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-120" yWindow="-120" windowWidth="23256" windowHeight="13176"/>
  </bookViews>
  <sheets>
    <sheet name="Раздел 1 недвижимое" sheetId="1" r:id="rId1"/>
    <sheet name="Раздел 2 движимое " sheetId="2" r:id="rId2"/>
    <sheet name="Раздел 3 МУП МУК" sheetId="3" r:id="rId3"/>
    <sheet name="Лист1" sheetId="4" r:id="rId4"/>
    <sheet name="Лист2" sheetId="5" r:id="rId5"/>
  </sheets>
  <definedNames>
    <definedName name="_xlnm._FilterDatabase" localSheetId="0" hidden="1">'Раздел 1 недвижимое'!$A$3:$O$3344</definedName>
    <definedName name="_xlnm._FilterDatabase" localSheetId="1" hidden="1">'Раздел 2 движимое '!$A$3:$L$11172</definedName>
    <definedName name="_xlnm._FilterDatabase" localSheetId="2" hidden="1">'Раздел 3 МУП МУК'!$A$3:$I$67</definedName>
    <definedName name="Z_2DCD716E_1533_446D_B259_42ED725E95A4_.wvu.FilterData" localSheetId="0" hidden="1">'Раздел 1 недвижимое'!$A$3:$O$3029</definedName>
    <definedName name="Z_2DCD716E_1533_446D_B259_42ED725E95A4_.wvu.FilterData" localSheetId="1" hidden="1">'Раздел 2 движимое '!$A$3:$L$11043</definedName>
    <definedName name="Z_2DCD716E_1533_446D_B259_42ED725E95A4_.wvu.FilterData" localSheetId="2" hidden="1">'Раздел 3 МУП МУК'!$A$3:$I$66</definedName>
  </definedNames>
  <calcPr calcId="145621"/>
  <customWorkbookViews>
    <customWorkbookView name="Goltseva - Личное представление" guid="{2DCD716E-1533-446D-B259-42ED725E95A4}" mergeInterval="0" personalView="1" maximized="1" windowWidth="1436" windowHeight="675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718" i="2" l="1"/>
  <c r="D2718" i="2"/>
  <c r="F865" i="1" l="1"/>
  <c r="G865" i="1"/>
  <c r="E11058" i="2" l="1"/>
  <c r="D11058" i="2"/>
  <c r="E11051" i="2"/>
  <c r="D11051" i="2"/>
  <c r="G309" i="1"/>
  <c r="F309" i="1"/>
  <c r="G1230" i="1" l="1"/>
  <c r="F1230" i="1"/>
  <c r="G3042" i="1" l="1"/>
  <c r="F3042" i="1"/>
  <c r="G1808" i="1"/>
  <c r="F1808" i="1"/>
  <c r="G2044" i="1" l="1"/>
  <c r="F2044" i="1"/>
  <c r="G947" i="1" l="1"/>
  <c r="G952" i="1"/>
  <c r="G951" i="1"/>
  <c r="G950" i="1"/>
  <c r="G949" i="1"/>
  <c r="F952" i="1"/>
  <c r="F951" i="1"/>
  <c r="F950" i="1"/>
  <c r="F949" i="1"/>
  <c r="F947" i="1"/>
  <c r="F2045" i="1" l="1"/>
  <c r="G2064" i="1" l="1"/>
  <c r="F2064" i="1"/>
  <c r="G2045" i="1"/>
  <c r="G2028" i="1"/>
  <c r="F2028" i="1"/>
  <c r="F840" i="1" l="1"/>
  <c r="F842" i="1"/>
  <c r="F841" i="1"/>
  <c r="E9630" i="2" l="1"/>
  <c r="D9630" i="2"/>
  <c r="E9622" i="2"/>
  <c r="D9622" i="2"/>
  <c r="E9615" i="2"/>
  <c r="D9615" i="2"/>
  <c r="E9542" i="2"/>
  <c r="D9542" i="2"/>
  <c r="E9504" i="2"/>
  <c r="D9504" i="2"/>
  <c r="E9710" i="2" l="1"/>
  <c r="D9710" i="2"/>
  <c r="D10014" i="2" l="1"/>
  <c r="E10012" i="2"/>
  <c r="D10012" i="2"/>
  <c r="E10002" i="2"/>
  <c r="D10002" i="2"/>
  <c r="E10001" i="2"/>
  <c r="D10001" i="2"/>
  <c r="E9999" i="2"/>
  <c r="D9999" i="2"/>
  <c r="E9998" i="2"/>
  <c r="D9998" i="2"/>
  <c r="E9995" i="2"/>
  <c r="D9995" i="2"/>
  <c r="E9994" i="2"/>
  <c r="D9994" i="2"/>
  <c r="E9991" i="2"/>
  <c r="D9991" i="2"/>
  <c r="E9989" i="2"/>
  <c r="D9989" i="2"/>
  <c r="E9988" i="2"/>
  <c r="D9988" i="2"/>
  <c r="E9987" i="2"/>
  <c r="D9987" i="2"/>
  <c r="E9986" i="2"/>
  <c r="D9986" i="2"/>
  <c r="E9982" i="2"/>
  <c r="D9982" i="2"/>
  <c r="E9981" i="2"/>
  <c r="D9981" i="2"/>
  <c r="E9980" i="2"/>
  <c r="D9980" i="2"/>
  <c r="D9964" i="2"/>
  <c r="D9955" i="2"/>
  <c r="E9949" i="2"/>
  <c r="D9949" i="2"/>
  <c r="D9943" i="2"/>
  <c r="D9942" i="2"/>
  <c r="D9941" i="2"/>
  <c r="D9939" i="2"/>
  <c r="D9937" i="2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3" i="1"/>
  <c r="F44" i="1"/>
  <c r="F45" i="1"/>
  <c r="F46" i="1"/>
  <c r="F47" i="1"/>
  <c r="F48" i="1"/>
  <c r="F49" i="1"/>
  <c r="F50" i="1"/>
  <c r="F51" i="1"/>
  <c r="F52" i="1"/>
  <c r="F53" i="1"/>
  <c r="F68" i="1"/>
  <c r="F69" i="1"/>
  <c r="F70" i="1"/>
  <c r="F71" i="1"/>
  <c r="F72" i="1"/>
  <c r="F78" i="1"/>
  <c r="F81" i="1"/>
  <c r="F84" i="1"/>
  <c r="F91" i="1"/>
  <c r="F92" i="1"/>
  <c r="F93" i="1"/>
  <c r="F94" i="1"/>
  <c r="F97" i="1"/>
  <c r="F98" i="1"/>
  <c r="F99" i="1"/>
  <c r="F100" i="1"/>
  <c r="F101" i="1"/>
  <c r="F105" i="1"/>
  <c r="F106" i="1"/>
  <c r="F107" i="1"/>
  <c r="F108" i="1"/>
  <c r="F109" i="1"/>
  <c r="F110" i="1"/>
  <c r="F111" i="1"/>
  <c r="F112" i="1"/>
  <c r="F145" i="1"/>
  <c r="F151" i="1"/>
  <c r="G151" i="1"/>
  <c r="F152" i="1"/>
  <c r="G152" i="1"/>
  <c r="F153" i="1"/>
  <c r="G153" i="1"/>
  <c r="G154" i="1"/>
  <c r="F155" i="1"/>
  <c r="G155" i="1"/>
  <c r="F242" i="1"/>
  <c r="F252" i="1"/>
  <c r="F253" i="1"/>
  <c r="F257" i="1"/>
  <c r="F258" i="1"/>
  <c r="F263" i="1"/>
  <c r="F265" i="1"/>
  <c r="F266" i="1"/>
  <c r="F271" i="1"/>
  <c r="F272" i="1"/>
  <c r="F273" i="1"/>
  <c r="F274" i="1"/>
  <c r="F275" i="1"/>
  <c r="F276" i="1"/>
  <c r="F277" i="1"/>
  <c r="G277" i="1"/>
  <c r="F278" i="1"/>
  <c r="F279" i="1"/>
  <c r="F280" i="1"/>
  <c r="F281" i="1"/>
  <c r="F283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12" i="1"/>
  <c r="F430" i="1"/>
  <c r="G430" i="1"/>
  <c r="F431" i="1"/>
  <c r="G431" i="1"/>
  <c r="F432" i="1"/>
  <c r="G432" i="1"/>
  <c r="F433" i="1"/>
  <c r="G433" i="1"/>
  <c r="F434" i="1"/>
  <c r="G434" i="1"/>
  <c r="F436" i="1"/>
  <c r="G436" i="1"/>
  <c r="F437" i="1"/>
  <c r="G437" i="1"/>
  <c r="F438" i="1"/>
  <c r="G438" i="1"/>
  <c r="F442" i="1"/>
  <c r="G442" i="1"/>
  <c r="F444" i="1"/>
  <c r="G444" i="1"/>
  <c r="F446" i="1"/>
  <c r="G446" i="1"/>
  <c r="F447" i="1"/>
  <c r="G447" i="1"/>
  <c r="F448" i="1"/>
  <c r="G448" i="1"/>
  <c r="F449" i="1"/>
  <c r="G449" i="1"/>
  <c r="F450" i="1"/>
  <c r="G450" i="1"/>
  <c r="F451" i="1"/>
  <c r="G451" i="1"/>
  <c r="F452" i="1"/>
  <c r="G452" i="1"/>
  <c r="F454" i="1"/>
  <c r="G454" i="1"/>
  <c r="F455" i="1"/>
  <c r="G455" i="1"/>
  <c r="F456" i="1"/>
  <c r="G456" i="1"/>
  <c r="F457" i="1"/>
  <c r="G457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6" i="1"/>
  <c r="G466" i="1"/>
  <c r="F467" i="1"/>
  <c r="G467" i="1"/>
  <c r="F468" i="1"/>
  <c r="G468" i="1"/>
  <c r="F469" i="1"/>
  <c r="G469" i="1"/>
  <c r="F470" i="1"/>
  <c r="G470" i="1"/>
  <c r="F471" i="1"/>
  <c r="G471" i="1"/>
  <c r="F472" i="1"/>
  <c r="G472" i="1"/>
  <c r="F473" i="1"/>
  <c r="G473" i="1"/>
  <c r="F474" i="1"/>
  <c r="G474" i="1"/>
  <c r="F475" i="1"/>
  <c r="G475" i="1"/>
  <c r="F476" i="1"/>
  <c r="G476" i="1"/>
  <c r="F477" i="1"/>
  <c r="G477" i="1"/>
  <c r="F478" i="1"/>
  <c r="G478" i="1"/>
  <c r="F479" i="1"/>
  <c r="G479" i="1"/>
  <c r="F480" i="1"/>
  <c r="G480" i="1"/>
  <c r="F481" i="1"/>
  <c r="G481" i="1"/>
  <c r="F482" i="1"/>
  <c r="G482" i="1"/>
  <c r="F483" i="1"/>
  <c r="G483" i="1"/>
  <c r="F484" i="1"/>
  <c r="G484" i="1"/>
  <c r="F485" i="1"/>
  <c r="G485" i="1"/>
  <c r="F486" i="1"/>
  <c r="G486" i="1"/>
  <c r="F487" i="1"/>
  <c r="G487" i="1"/>
  <c r="F488" i="1"/>
  <c r="G488" i="1"/>
  <c r="F489" i="1"/>
  <c r="G489" i="1"/>
  <c r="F490" i="1"/>
  <c r="G490" i="1"/>
  <c r="F491" i="1"/>
  <c r="G491" i="1"/>
  <c r="F492" i="1"/>
  <c r="G492" i="1"/>
  <c r="F493" i="1"/>
  <c r="G493" i="1"/>
  <c r="F495" i="1"/>
  <c r="G495" i="1"/>
  <c r="F496" i="1"/>
  <c r="G496" i="1"/>
  <c r="F497" i="1"/>
  <c r="G497" i="1"/>
  <c r="F498" i="1"/>
  <c r="G498" i="1"/>
  <c r="F499" i="1"/>
  <c r="G499" i="1"/>
  <c r="F500" i="1"/>
  <c r="G500" i="1"/>
  <c r="F501" i="1"/>
  <c r="G501" i="1"/>
  <c r="F502" i="1"/>
  <c r="G502" i="1"/>
  <c r="F503" i="1"/>
  <c r="G503" i="1"/>
  <c r="F504" i="1"/>
  <c r="G504" i="1"/>
  <c r="F505" i="1"/>
  <c r="G505" i="1"/>
  <c r="F506" i="1"/>
  <c r="G506" i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5" i="1"/>
  <c r="G525" i="1"/>
  <c r="F526" i="1"/>
  <c r="G526" i="1"/>
  <c r="F527" i="1"/>
  <c r="G527" i="1"/>
  <c r="F528" i="1"/>
  <c r="G528" i="1"/>
  <c r="F529" i="1"/>
  <c r="G529" i="1"/>
  <c r="F531" i="1"/>
  <c r="G531" i="1"/>
  <c r="F532" i="1"/>
  <c r="G532" i="1"/>
  <c r="F533" i="1"/>
  <c r="G533" i="1"/>
  <c r="F534" i="1"/>
  <c r="G534" i="1"/>
  <c r="F535" i="1"/>
  <c r="G535" i="1"/>
  <c r="F536" i="1"/>
  <c r="G536" i="1"/>
  <c r="F537" i="1"/>
  <c r="G537" i="1"/>
  <c r="F538" i="1"/>
  <c r="G538" i="1"/>
  <c r="F540" i="1"/>
  <c r="G540" i="1"/>
  <c r="F541" i="1"/>
  <c r="G541" i="1"/>
  <c r="F542" i="1"/>
  <c r="G542" i="1"/>
  <c r="F543" i="1"/>
  <c r="G543" i="1"/>
  <c r="F544" i="1"/>
  <c r="G544" i="1"/>
  <c r="F546" i="1"/>
  <c r="G546" i="1"/>
  <c r="F547" i="1"/>
  <c r="G547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7" i="1"/>
  <c r="G557" i="1"/>
  <c r="F558" i="1"/>
  <c r="G558" i="1"/>
  <c r="F559" i="1"/>
  <c r="G559" i="1"/>
  <c r="F560" i="1"/>
  <c r="G560" i="1"/>
  <c r="F562" i="1"/>
  <c r="G562" i="1"/>
  <c r="F564" i="1"/>
  <c r="G564" i="1"/>
  <c r="F566" i="1"/>
  <c r="G566" i="1"/>
  <c r="F567" i="1"/>
  <c r="G567" i="1"/>
  <c r="F568" i="1"/>
  <c r="G568" i="1"/>
  <c r="F569" i="1"/>
  <c r="G569" i="1"/>
  <c r="F570" i="1"/>
  <c r="G570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81" i="1"/>
  <c r="G581" i="1"/>
  <c r="F582" i="1"/>
  <c r="G582" i="1"/>
  <c r="F583" i="1"/>
  <c r="G583" i="1"/>
  <c r="F584" i="1"/>
  <c r="G584" i="1"/>
  <c r="F585" i="1"/>
  <c r="G585" i="1"/>
  <c r="F586" i="1"/>
  <c r="G586" i="1"/>
  <c r="F587" i="1"/>
  <c r="G587" i="1"/>
  <c r="F588" i="1"/>
  <c r="G588" i="1"/>
  <c r="F590" i="1"/>
  <c r="G590" i="1"/>
  <c r="F591" i="1"/>
  <c r="G591" i="1"/>
  <c r="F593" i="1"/>
  <c r="G593" i="1"/>
  <c r="F594" i="1"/>
  <c r="G594" i="1"/>
  <c r="F595" i="1"/>
  <c r="G595" i="1"/>
  <c r="F596" i="1"/>
  <c r="G596" i="1"/>
  <c r="F597" i="1"/>
  <c r="G597" i="1"/>
  <c r="F599" i="1"/>
  <c r="G599" i="1"/>
  <c r="F600" i="1"/>
  <c r="G600" i="1"/>
  <c r="F601" i="1"/>
  <c r="G601" i="1"/>
  <c r="F602" i="1"/>
  <c r="G602" i="1"/>
  <c r="F603" i="1"/>
  <c r="G603" i="1"/>
  <c r="F604" i="1"/>
  <c r="G604" i="1"/>
  <c r="F605" i="1"/>
  <c r="G605" i="1"/>
  <c r="F606" i="1"/>
  <c r="G606" i="1"/>
  <c r="F607" i="1"/>
  <c r="G607" i="1"/>
  <c r="F608" i="1"/>
  <c r="G608" i="1"/>
  <c r="F609" i="1"/>
  <c r="G609" i="1"/>
  <c r="F610" i="1"/>
  <c r="G610" i="1"/>
  <c r="F612" i="1"/>
  <c r="G612" i="1"/>
  <c r="F613" i="1"/>
  <c r="G613" i="1"/>
  <c r="F614" i="1"/>
  <c r="G614" i="1"/>
  <c r="F615" i="1"/>
  <c r="G615" i="1"/>
  <c r="F616" i="1"/>
  <c r="G616" i="1"/>
  <c r="F618" i="1"/>
  <c r="G618" i="1"/>
  <c r="F619" i="1"/>
  <c r="G619" i="1"/>
  <c r="F620" i="1"/>
  <c r="G620" i="1"/>
  <c r="F621" i="1"/>
  <c r="G621" i="1"/>
  <c r="F622" i="1"/>
  <c r="G622" i="1"/>
  <c r="F623" i="1"/>
  <c r="G623" i="1"/>
  <c r="F624" i="1"/>
  <c r="G624" i="1"/>
  <c r="F625" i="1"/>
  <c r="G625" i="1"/>
  <c r="F626" i="1"/>
  <c r="G626" i="1"/>
  <c r="F627" i="1"/>
  <c r="G627" i="1"/>
  <c r="F628" i="1"/>
  <c r="G628" i="1"/>
  <c r="F629" i="1"/>
  <c r="G629" i="1"/>
  <c r="F630" i="1"/>
  <c r="G630" i="1"/>
  <c r="F631" i="1"/>
  <c r="G631" i="1"/>
  <c r="F632" i="1"/>
  <c r="G632" i="1"/>
  <c r="F633" i="1"/>
  <c r="G633" i="1"/>
  <c r="F634" i="1"/>
  <c r="G634" i="1"/>
  <c r="F635" i="1"/>
  <c r="G635" i="1"/>
  <c r="F636" i="1"/>
  <c r="G636" i="1"/>
  <c r="F637" i="1"/>
  <c r="G637" i="1"/>
  <c r="F638" i="1"/>
  <c r="G638" i="1"/>
  <c r="F640" i="1"/>
  <c r="G640" i="1"/>
  <c r="F641" i="1"/>
  <c r="G641" i="1"/>
  <c r="F642" i="1"/>
  <c r="G642" i="1"/>
  <c r="F643" i="1"/>
  <c r="G643" i="1"/>
  <c r="F644" i="1"/>
  <c r="G644" i="1"/>
  <c r="F645" i="1"/>
  <c r="G645" i="1"/>
  <c r="F646" i="1"/>
  <c r="G646" i="1"/>
  <c r="F647" i="1"/>
  <c r="G647" i="1"/>
  <c r="F648" i="1"/>
  <c r="G648" i="1"/>
  <c r="F649" i="1"/>
  <c r="G649" i="1"/>
  <c r="F650" i="1"/>
  <c r="G650" i="1"/>
  <c r="F651" i="1"/>
  <c r="G651" i="1"/>
  <c r="F652" i="1"/>
  <c r="G652" i="1"/>
  <c r="F653" i="1"/>
  <c r="G653" i="1"/>
  <c r="F654" i="1"/>
  <c r="G654" i="1"/>
  <c r="F655" i="1"/>
  <c r="G655" i="1"/>
  <c r="F656" i="1"/>
  <c r="G656" i="1"/>
  <c r="F657" i="1"/>
  <c r="G657" i="1"/>
  <c r="F658" i="1"/>
  <c r="G658" i="1"/>
  <c r="F659" i="1"/>
  <c r="G659" i="1"/>
  <c r="F660" i="1"/>
  <c r="G660" i="1"/>
  <c r="F661" i="1"/>
  <c r="G661" i="1"/>
  <c r="F662" i="1"/>
  <c r="G662" i="1"/>
  <c r="F663" i="1"/>
  <c r="G663" i="1"/>
  <c r="F664" i="1"/>
  <c r="G664" i="1"/>
  <c r="F666" i="1"/>
  <c r="G666" i="1"/>
  <c r="F667" i="1"/>
  <c r="G667" i="1"/>
  <c r="F668" i="1"/>
  <c r="G668" i="1"/>
  <c r="F669" i="1"/>
  <c r="G669" i="1"/>
  <c r="F670" i="1"/>
  <c r="G670" i="1"/>
  <c r="F671" i="1"/>
  <c r="G671" i="1"/>
  <c r="F672" i="1"/>
  <c r="G672" i="1"/>
  <c r="F673" i="1"/>
  <c r="G673" i="1"/>
  <c r="F674" i="1"/>
  <c r="G674" i="1"/>
  <c r="F675" i="1"/>
  <c r="G675" i="1"/>
  <c r="F676" i="1"/>
  <c r="G676" i="1"/>
  <c r="F677" i="1"/>
  <c r="G677" i="1"/>
  <c r="F678" i="1"/>
  <c r="G678" i="1"/>
  <c r="F679" i="1"/>
  <c r="G679" i="1"/>
  <c r="F680" i="1"/>
  <c r="G680" i="1"/>
  <c r="F681" i="1"/>
  <c r="G681" i="1"/>
  <c r="F682" i="1"/>
  <c r="G682" i="1"/>
  <c r="F683" i="1"/>
  <c r="G683" i="1"/>
  <c r="F684" i="1"/>
  <c r="G684" i="1"/>
  <c r="F685" i="1"/>
  <c r="G685" i="1"/>
  <c r="F686" i="1"/>
  <c r="G686" i="1"/>
  <c r="F687" i="1"/>
  <c r="G687" i="1"/>
  <c r="F688" i="1"/>
  <c r="G688" i="1"/>
  <c r="F689" i="1"/>
  <c r="G689" i="1"/>
  <c r="F690" i="1"/>
  <c r="G690" i="1"/>
  <c r="F691" i="1"/>
  <c r="G691" i="1"/>
  <c r="F692" i="1"/>
  <c r="G692" i="1"/>
  <c r="F693" i="1"/>
  <c r="G693" i="1"/>
  <c r="F694" i="1"/>
  <c r="G694" i="1"/>
  <c r="F695" i="1"/>
  <c r="G695" i="1"/>
  <c r="F696" i="1"/>
  <c r="G696" i="1"/>
  <c r="F697" i="1"/>
  <c r="G697" i="1"/>
  <c r="F699" i="1"/>
  <c r="G699" i="1"/>
  <c r="F700" i="1"/>
  <c r="G700" i="1"/>
  <c r="F701" i="1"/>
  <c r="G701" i="1"/>
  <c r="F702" i="1"/>
  <c r="G702" i="1"/>
  <c r="F703" i="1"/>
  <c r="G703" i="1"/>
  <c r="F704" i="1"/>
  <c r="G704" i="1"/>
  <c r="F705" i="1"/>
  <c r="G705" i="1"/>
  <c r="F706" i="1"/>
  <c r="G706" i="1"/>
  <c r="F707" i="1"/>
  <c r="G707" i="1"/>
  <c r="F708" i="1"/>
  <c r="G708" i="1"/>
  <c r="F709" i="1"/>
  <c r="G709" i="1"/>
  <c r="F710" i="1"/>
  <c r="G710" i="1"/>
  <c r="F711" i="1"/>
  <c r="G711" i="1"/>
  <c r="F712" i="1"/>
  <c r="G712" i="1"/>
  <c r="F713" i="1"/>
  <c r="G713" i="1"/>
  <c r="F714" i="1"/>
  <c r="G714" i="1"/>
  <c r="F715" i="1"/>
  <c r="G715" i="1"/>
  <c r="F716" i="1"/>
  <c r="G716" i="1"/>
  <c r="F717" i="1"/>
  <c r="G717" i="1"/>
  <c r="F718" i="1"/>
  <c r="G718" i="1"/>
  <c r="F719" i="1"/>
  <c r="G719" i="1"/>
  <c r="F720" i="1"/>
  <c r="G720" i="1"/>
  <c r="F721" i="1"/>
  <c r="G721" i="1"/>
  <c r="F722" i="1"/>
  <c r="G722" i="1"/>
  <c r="F723" i="1"/>
  <c r="G723" i="1"/>
  <c r="F724" i="1"/>
  <c r="G724" i="1"/>
  <c r="F725" i="1"/>
  <c r="G725" i="1"/>
  <c r="F726" i="1"/>
  <c r="G726" i="1"/>
  <c r="F727" i="1"/>
  <c r="G727" i="1"/>
  <c r="F728" i="1"/>
  <c r="G728" i="1"/>
  <c r="F729" i="1"/>
  <c r="G729" i="1"/>
  <c r="F730" i="1"/>
  <c r="G730" i="1"/>
  <c r="F734" i="1"/>
  <c r="G734" i="1"/>
  <c r="F735" i="1"/>
  <c r="G735" i="1"/>
  <c r="F736" i="1"/>
  <c r="G736" i="1"/>
  <c r="F737" i="1"/>
  <c r="G737" i="1"/>
  <c r="F739" i="1"/>
  <c r="G739" i="1"/>
  <c r="F740" i="1"/>
  <c r="G740" i="1"/>
  <c r="F741" i="1"/>
  <c r="G741" i="1"/>
  <c r="F742" i="1"/>
  <c r="G742" i="1"/>
  <c r="F743" i="1"/>
  <c r="G743" i="1"/>
  <c r="F744" i="1"/>
  <c r="G744" i="1"/>
  <c r="F745" i="1"/>
  <c r="G745" i="1"/>
  <c r="F746" i="1"/>
  <c r="G746" i="1"/>
  <c r="F747" i="1"/>
  <c r="G747" i="1"/>
  <c r="F748" i="1"/>
  <c r="G748" i="1"/>
  <c r="F749" i="1"/>
  <c r="G749" i="1"/>
  <c r="F750" i="1"/>
  <c r="G750" i="1"/>
  <c r="F751" i="1"/>
  <c r="G751" i="1"/>
  <c r="F752" i="1"/>
  <c r="G752" i="1"/>
  <c r="F753" i="1"/>
  <c r="G753" i="1"/>
  <c r="F754" i="1"/>
  <c r="G754" i="1"/>
  <c r="F755" i="1"/>
  <c r="G755" i="1"/>
  <c r="F756" i="1"/>
  <c r="G756" i="1"/>
  <c r="F757" i="1"/>
  <c r="G757" i="1"/>
  <c r="F758" i="1"/>
  <c r="G758" i="1"/>
  <c r="F759" i="1"/>
  <c r="G759" i="1"/>
  <c r="F761" i="1"/>
  <c r="G761" i="1"/>
  <c r="F762" i="1"/>
  <c r="G762" i="1"/>
  <c r="F763" i="1"/>
  <c r="G763" i="1"/>
  <c r="F764" i="1"/>
  <c r="G764" i="1"/>
  <c r="F765" i="1"/>
  <c r="G765" i="1"/>
  <c r="F766" i="1"/>
  <c r="G766" i="1"/>
  <c r="F768" i="1"/>
  <c r="G768" i="1"/>
  <c r="F769" i="1"/>
  <c r="G769" i="1"/>
  <c r="F770" i="1"/>
  <c r="G770" i="1"/>
  <c r="F771" i="1"/>
  <c r="G771" i="1"/>
  <c r="F772" i="1"/>
  <c r="G772" i="1"/>
  <c r="F774" i="1"/>
  <c r="G774" i="1"/>
  <c r="F775" i="1"/>
  <c r="G775" i="1"/>
  <c r="F776" i="1"/>
  <c r="G776" i="1"/>
  <c r="F777" i="1"/>
  <c r="G777" i="1"/>
  <c r="F779" i="1"/>
  <c r="G779" i="1"/>
  <c r="F781" i="1"/>
  <c r="G781" i="1"/>
  <c r="F782" i="1"/>
  <c r="G782" i="1"/>
  <c r="F784" i="1"/>
  <c r="G784" i="1"/>
  <c r="F785" i="1"/>
  <c r="G785" i="1"/>
  <c r="F786" i="1"/>
  <c r="G786" i="1"/>
  <c r="F787" i="1"/>
  <c r="G787" i="1"/>
  <c r="F792" i="1"/>
  <c r="G792" i="1"/>
  <c r="F793" i="1"/>
  <c r="G793" i="1"/>
  <c r="F794" i="1"/>
  <c r="G794" i="1"/>
  <c r="F795" i="1"/>
  <c r="G795" i="1"/>
  <c r="F796" i="1"/>
  <c r="G796" i="1"/>
  <c r="F797" i="1"/>
  <c r="G797" i="1"/>
  <c r="F798" i="1"/>
  <c r="G798" i="1"/>
  <c r="F799" i="1"/>
  <c r="G799" i="1"/>
  <c r="F800" i="1"/>
  <c r="G800" i="1"/>
  <c r="F801" i="1"/>
  <c r="G801" i="1"/>
  <c r="F802" i="1"/>
  <c r="G802" i="1"/>
  <c r="F803" i="1"/>
  <c r="G803" i="1"/>
  <c r="F808" i="1"/>
  <c r="G808" i="1"/>
  <c r="F809" i="1"/>
  <c r="G809" i="1"/>
  <c r="F810" i="1"/>
  <c r="G810" i="1"/>
  <c r="F811" i="1"/>
  <c r="G811" i="1"/>
  <c r="F812" i="1"/>
  <c r="G812" i="1"/>
  <c r="F813" i="1"/>
  <c r="G813" i="1"/>
  <c r="F814" i="1"/>
  <c r="G814" i="1"/>
  <c r="F815" i="1"/>
  <c r="G815" i="1"/>
  <c r="F816" i="1"/>
  <c r="G816" i="1"/>
  <c r="F817" i="1"/>
  <c r="G817" i="1"/>
  <c r="F818" i="1"/>
  <c r="G818" i="1"/>
  <c r="F819" i="1"/>
  <c r="G819" i="1"/>
  <c r="F820" i="1"/>
  <c r="G820" i="1"/>
  <c r="F821" i="1"/>
  <c r="G821" i="1"/>
  <c r="F822" i="1"/>
  <c r="G822" i="1"/>
  <c r="F823" i="1"/>
  <c r="G823" i="1"/>
  <c r="F825" i="1"/>
  <c r="G825" i="1"/>
  <c r="F826" i="1"/>
  <c r="G826" i="1"/>
  <c r="F827" i="1"/>
  <c r="G827" i="1"/>
  <c r="F828" i="1"/>
  <c r="G828" i="1"/>
  <c r="F829" i="1"/>
  <c r="G829" i="1"/>
  <c r="F830" i="1"/>
  <c r="G830" i="1"/>
  <c r="F831" i="1"/>
  <c r="G831" i="1"/>
  <c r="F832" i="1"/>
  <c r="G832" i="1"/>
  <c r="F833" i="1"/>
  <c r="G833" i="1"/>
  <c r="F834" i="1"/>
  <c r="G834" i="1"/>
  <c r="F835" i="1"/>
  <c r="G835" i="1"/>
  <c r="F836" i="1"/>
  <c r="G836" i="1"/>
  <c r="F837" i="1"/>
  <c r="G837" i="1"/>
  <c r="F838" i="1"/>
  <c r="G838" i="1"/>
  <c r="F839" i="1"/>
  <c r="G839" i="1"/>
  <c r="G840" i="1"/>
  <c r="G841" i="1"/>
  <c r="G842" i="1"/>
  <c r="F845" i="1"/>
  <c r="G845" i="1"/>
  <c r="F846" i="1"/>
  <c r="G846" i="1"/>
  <c r="F847" i="1"/>
  <c r="G847" i="1"/>
  <c r="F848" i="1"/>
  <c r="G848" i="1"/>
  <c r="F849" i="1"/>
  <c r="G849" i="1"/>
  <c r="F850" i="1"/>
  <c r="G850" i="1"/>
  <c r="F851" i="1"/>
  <c r="G851" i="1"/>
  <c r="F852" i="1"/>
  <c r="G852" i="1"/>
  <c r="F853" i="1"/>
  <c r="G853" i="1"/>
  <c r="F855" i="1"/>
  <c r="G855" i="1"/>
  <c r="F856" i="1"/>
  <c r="G856" i="1"/>
  <c r="F857" i="1"/>
  <c r="G857" i="1"/>
  <c r="F858" i="1"/>
  <c r="G858" i="1"/>
  <c r="F859" i="1"/>
  <c r="G859" i="1"/>
  <c r="F860" i="1"/>
  <c r="G860" i="1"/>
  <c r="F861" i="1"/>
  <c r="G861" i="1"/>
  <c r="F862" i="1"/>
  <c r="G862" i="1"/>
  <c r="F863" i="1"/>
  <c r="G863" i="1"/>
  <c r="F864" i="1"/>
  <c r="G864" i="1"/>
  <c r="F866" i="1"/>
  <c r="G866" i="1"/>
  <c r="F867" i="1"/>
  <c r="G867" i="1"/>
  <c r="F868" i="1"/>
  <c r="G868" i="1"/>
  <c r="F869" i="1"/>
  <c r="G869" i="1"/>
  <c r="F870" i="1"/>
  <c r="G870" i="1"/>
  <c r="F871" i="1"/>
  <c r="G871" i="1"/>
  <c r="F872" i="1"/>
  <c r="G872" i="1"/>
  <c r="F873" i="1"/>
  <c r="G873" i="1"/>
  <c r="F874" i="1"/>
  <c r="G874" i="1"/>
  <c r="F875" i="1"/>
  <c r="G875" i="1"/>
  <c r="F876" i="1"/>
  <c r="G876" i="1"/>
  <c r="F877" i="1"/>
  <c r="G877" i="1"/>
  <c r="F878" i="1"/>
  <c r="G878" i="1"/>
  <c r="F879" i="1"/>
  <c r="G879" i="1"/>
  <c r="F880" i="1"/>
  <c r="G880" i="1"/>
  <c r="F881" i="1"/>
  <c r="G881" i="1"/>
  <c r="F882" i="1"/>
  <c r="G882" i="1"/>
  <c r="F883" i="1"/>
  <c r="G883" i="1"/>
  <c r="F884" i="1"/>
  <c r="G884" i="1"/>
  <c r="F885" i="1"/>
  <c r="G885" i="1"/>
  <c r="F886" i="1"/>
  <c r="G886" i="1"/>
  <c r="F887" i="1"/>
  <c r="G887" i="1"/>
  <c r="F888" i="1"/>
  <c r="G888" i="1"/>
  <c r="F889" i="1"/>
  <c r="G889" i="1"/>
  <c r="F891" i="1"/>
  <c r="G891" i="1"/>
  <c r="F892" i="1"/>
  <c r="G892" i="1"/>
  <c r="F893" i="1"/>
  <c r="G893" i="1"/>
  <c r="F894" i="1"/>
  <c r="G894" i="1"/>
  <c r="F895" i="1"/>
  <c r="G895" i="1"/>
  <c r="F896" i="1"/>
  <c r="G896" i="1"/>
  <c r="F897" i="1"/>
  <c r="G897" i="1"/>
  <c r="F898" i="1"/>
  <c r="G898" i="1"/>
  <c r="F899" i="1"/>
  <c r="G899" i="1"/>
  <c r="F900" i="1"/>
  <c r="G900" i="1"/>
  <c r="F901" i="1"/>
  <c r="G901" i="1"/>
  <c r="F902" i="1"/>
  <c r="G902" i="1"/>
  <c r="F903" i="1"/>
  <c r="G903" i="1"/>
  <c r="F904" i="1"/>
  <c r="G904" i="1"/>
  <c r="F905" i="1"/>
  <c r="G905" i="1"/>
  <c r="F906" i="1"/>
  <c r="G906" i="1"/>
  <c r="F907" i="1"/>
  <c r="G907" i="1"/>
  <c r="F908" i="1"/>
  <c r="G908" i="1"/>
  <c r="F909" i="1"/>
  <c r="G909" i="1"/>
  <c r="F910" i="1"/>
  <c r="G910" i="1"/>
  <c r="F911" i="1"/>
  <c r="G911" i="1"/>
  <c r="F912" i="1"/>
  <c r="G912" i="1"/>
  <c r="F913" i="1"/>
  <c r="G913" i="1"/>
  <c r="F914" i="1"/>
  <c r="G914" i="1"/>
  <c r="F915" i="1"/>
  <c r="G915" i="1"/>
  <c r="F916" i="1"/>
  <c r="G916" i="1"/>
  <c r="F917" i="1"/>
  <c r="G917" i="1"/>
  <c r="F918" i="1"/>
  <c r="G918" i="1"/>
  <c r="F919" i="1"/>
  <c r="G919" i="1"/>
  <c r="F920" i="1"/>
  <c r="G920" i="1"/>
  <c r="F921" i="1"/>
  <c r="G921" i="1"/>
  <c r="F922" i="1"/>
  <c r="G922" i="1"/>
  <c r="F923" i="1"/>
  <c r="G923" i="1"/>
  <c r="F924" i="1"/>
  <c r="G924" i="1"/>
  <c r="F925" i="1"/>
  <c r="G925" i="1"/>
  <c r="F926" i="1"/>
  <c r="G926" i="1"/>
  <c r="F927" i="1"/>
  <c r="G927" i="1"/>
  <c r="F928" i="1"/>
  <c r="G928" i="1"/>
  <c r="F929" i="1"/>
  <c r="G929" i="1"/>
  <c r="F930" i="1"/>
  <c r="G930" i="1"/>
  <c r="F931" i="1"/>
  <c r="G931" i="1"/>
  <c r="F932" i="1"/>
  <c r="G932" i="1"/>
  <c r="F933" i="1"/>
  <c r="G933" i="1"/>
  <c r="F934" i="1"/>
  <c r="G934" i="1"/>
  <c r="F935" i="1"/>
  <c r="G935" i="1"/>
  <c r="F936" i="1"/>
  <c r="G936" i="1"/>
  <c r="F937" i="1"/>
  <c r="G937" i="1"/>
  <c r="F938" i="1"/>
  <c r="G938" i="1"/>
  <c r="F939" i="1"/>
  <c r="G939" i="1"/>
  <c r="F940" i="1"/>
  <c r="G940" i="1"/>
  <c r="F941" i="1"/>
  <c r="G941" i="1"/>
  <c r="F942" i="1"/>
  <c r="G942" i="1"/>
  <c r="F943" i="1"/>
  <c r="G943" i="1"/>
  <c r="F944" i="1"/>
  <c r="G944" i="1"/>
  <c r="F945" i="1"/>
  <c r="G945" i="1"/>
  <c r="F946" i="1"/>
  <c r="G946" i="1"/>
  <c r="F954" i="1"/>
  <c r="G954" i="1"/>
  <c r="F955" i="1"/>
  <c r="G955" i="1"/>
  <c r="F956" i="1"/>
  <c r="G956" i="1"/>
  <c r="F959" i="1"/>
  <c r="G959" i="1"/>
  <c r="F960" i="1"/>
  <c r="G960" i="1"/>
  <c r="F961" i="1"/>
  <c r="G961" i="1"/>
  <c r="F963" i="1"/>
  <c r="G963" i="1"/>
  <c r="F964" i="1"/>
  <c r="G964" i="1"/>
  <c r="F965" i="1"/>
  <c r="G965" i="1"/>
  <c r="F966" i="1"/>
  <c r="G966" i="1"/>
  <c r="F967" i="1"/>
  <c r="G967" i="1"/>
  <c r="F968" i="1"/>
  <c r="G968" i="1"/>
  <c r="F969" i="1"/>
  <c r="G969" i="1"/>
  <c r="F970" i="1"/>
  <c r="G970" i="1"/>
  <c r="F971" i="1"/>
  <c r="G971" i="1"/>
  <c r="F972" i="1"/>
  <c r="G972" i="1"/>
  <c r="F973" i="1"/>
  <c r="G973" i="1"/>
  <c r="F974" i="1"/>
  <c r="G974" i="1"/>
  <c r="F975" i="1"/>
  <c r="G975" i="1"/>
  <c r="F976" i="1"/>
  <c r="G976" i="1"/>
  <c r="F977" i="1"/>
  <c r="G977" i="1"/>
  <c r="F978" i="1"/>
  <c r="G978" i="1"/>
  <c r="F979" i="1"/>
  <c r="G979" i="1"/>
  <c r="F980" i="1"/>
  <c r="G980" i="1"/>
  <c r="F981" i="1"/>
  <c r="G981" i="1"/>
  <c r="F982" i="1"/>
  <c r="G982" i="1"/>
  <c r="F983" i="1"/>
  <c r="G983" i="1"/>
  <c r="F984" i="1"/>
  <c r="G984" i="1"/>
  <c r="F985" i="1"/>
  <c r="G985" i="1"/>
  <c r="F987" i="1"/>
  <c r="G987" i="1"/>
  <c r="F988" i="1"/>
  <c r="G988" i="1"/>
  <c r="F989" i="1"/>
  <c r="G989" i="1"/>
  <c r="F990" i="1"/>
  <c r="G990" i="1"/>
  <c r="F991" i="1"/>
  <c r="G991" i="1"/>
  <c r="F992" i="1"/>
  <c r="G992" i="1"/>
  <c r="F993" i="1"/>
  <c r="G993" i="1"/>
  <c r="F994" i="1"/>
  <c r="G994" i="1"/>
  <c r="F995" i="1"/>
  <c r="G995" i="1"/>
  <c r="F996" i="1"/>
  <c r="G996" i="1"/>
  <c r="F997" i="1"/>
  <c r="G997" i="1"/>
  <c r="F998" i="1"/>
  <c r="G998" i="1"/>
  <c r="F999" i="1"/>
  <c r="G999" i="1"/>
  <c r="F1000" i="1"/>
  <c r="G1000" i="1"/>
  <c r="F1001" i="1"/>
  <c r="G1001" i="1"/>
  <c r="F1002" i="1"/>
  <c r="G1002" i="1"/>
  <c r="F1004" i="1"/>
  <c r="G1004" i="1"/>
  <c r="F1005" i="1"/>
  <c r="G1005" i="1"/>
  <c r="F1006" i="1"/>
  <c r="G1006" i="1"/>
  <c r="F1007" i="1"/>
  <c r="G1007" i="1"/>
  <c r="F1009" i="1"/>
  <c r="G1009" i="1"/>
  <c r="F1010" i="1"/>
  <c r="G1010" i="1"/>
  <c r="F1011" i="1"/>
  <c r="G1011" i="1"/>
  <c r="F1012" i="1"/>
  <c r="G1012" i="1"/>
  <c r="F1013" i="1"/>
  <c r="G1013" i="1"/>
  <c r="F1014" i="1"/>
  <c r="G1014" i="1"/>
  <c r="F1015" i="1"/>
  <c r="G1015" i="1"/>
  <c r="F1017" i="1"/>
  <c r="G1017" i="1"/>
  <c r="F1018" i="1"/>
  <c r="G1018" i="1"/>
  <c r="F1019" i="1"/>
  <c r="G1019" i="1"/>
  <c r="F1020" i="1"/>
  <c r="G1020" i="1"/>
  <c r="F1021" i="1"/>
  <c r="G1021" i="1"/>
  <c r="F1022" i="1"/>
  <c r="G1022" i="1"/>
  <c r="F1023" i="1"/>
  <c r="G1023" i="1"/>
  <c r="F1024" i="1"/>
  <c r="G1024" i="1"/>
  <c r="F1025" i="1"/>
  <c r="G1025" i="1"/>
  <c r="F1026" i="1"/>
  <c r="G1026" i="1"/>
  <c r="F1027" i="1"/>
  <c r="G1027" i="1"/>
  <c r="F1028" i="1"/>
  <c r="G1028" i="1"/>
  <c r="F1029" i="1"/>
  <c r="G1029" i="1"/>
  <c r="F1030" i="1"/>
  <c r="G1030" i="1"/>
  <c r="F1031" i="1"/>
  <c r="G1031" i="1"/>
  <c r="F1032" i="1"/>
  <c r="G1032" i="1"/>
  <c r="F1033" i="1"/>
  <c r="G1033" i="1"/>
  <c r="F1034" i="1"/>
  <c r="G1034" i="1"/>
  <c r="F1035" i="1"/>
  <c r="G1035" i="1"/>
  <c r="F1036" i="1"/>
  <c r="G1036" i="1"/>
  <c r="F1037" i="1"/>
  <c r="G1037" i="1"/>
  <c r="F1038" i="1"/>
  <c r="G1038" i="1"/>
  <c r="F1039" i="1"/>
  <c r="G1039" i="1"/>
  <c r="F1040" i="1"/>
  <c r="G1040" i="1"/>
  <c r="F1041" i="1"/>
  <c r="G1041" i="1"/>
  <c r="F1042" i="1"/>
  <c r="G1042" i="1"/>
  <c r="F1043" i="1"/>
  <c r="G1043" i="1"/>
  <c r="F1044" i="1"/>
  <c r="G1044" i="1"/>
  <c r="F1045" i="1"/>
  <c r="G1045" i="1"/>
  <c r="F1046" i="1"/>
  <c r="G1046" i="1"/>
  <c r="F1047" i="1"/>
  <c r="G1047" i="1"/>
  <c r="F1048" i="1"/>
  <c r="G1048" i="1"/>
  <c r="F1049" i="1"/>
  <c r="G1049" i="1"/>
  <c r="F1050" i="1"/>
  <c r="G1050" i="1"/>
  <c r="F1051" i="1"/>
  <c r="G1051" i="1"/>
  <c r="F1052" i="1"/>
  <c r="G1052" i="1"/>
  <c r="F1053" i="1"/>
  <c r="G1053" i="1"/>
  <c r="F1054" i="1"/>
  <c r="G1054" i="1"/>
  <c r="F1055" i="1"/>
  <c r="G1055" i="1"/>
  <c r="F1056" i="1"/>
  <c r="G1056" i="1"/>
  <c r="F1057" i="1"/>
  <c r="G1057" i="1"/>
  <c r="F1058" i="1"/>
  <c r="G1058" i="1"/>
  <c r="F1059" i="1"/>
  <c r="G1059" i="1"/>
  <c r="F1060" i="1"/>
  <c r="G1060" i="1"/>
  <c r="F1061" i="1"/>
  <c r="G1061" i="1"/>
  <c r="F1062" i="1"/>
  <c r="G1062" i="1"/>
  <c r="F1063" i="1"/>
  <c r="G1063" i="1"/>
  <c r="F1065" i="1"/>
  <c r="G1065" i="1"/>
  <c r="F1066" i="1"/>
  <c r="G1066" i="1"/>
  <c r="F1067" i="1"/>
  <c r="G1067" i="1"/>
  <c r="F1068" i="1"/>
  <c r="G1068" i="1"/>
  <c r="F1069" i="1"/>
  <c r="G1069" i="1"/>
  <c r="F1070" i="1"/>
  <c r="G1070" i="1"/>
  <c r="F1071" i="1"/>
  <c r="G1071" i="1"/>
  <c r="F1072" i="1"/>
  <c r="G1072" i="1"/>
  <c r="F1073" i="1"/>
  <c r="G1073" i="1"/>
  <c r="F1074" i="1"/>
  <c r="G1074" i="1"/>
  <c r="F1075" i="1"/>
  <c r="G1075" i="1"/>
  <c r="F1076" i="1"/>
  <c r="G1076" i="1"/>
  <c r="F1077" i="1"/>
  <c r="G1077" i="1"/>
  <c r="F1078" i="1"/>
  <c r="G1078" i="1"/>
  <c r="F1079" i="1"/>
  <c r="G1079" i="1"/>
  <c r="F1080" i="1"/>
  <c r="G1080" i="1"/>
  <c r="F1081" i="1"/>
  <c r="G1081" i="1"/>
  <c r="F1082" i="1"/>
  <c r="G1082" i="1"/>
  <c r="F1083" i="1"/>
  <c r="G1083" i="1"/>
  <c r="F1084" i="1"/>
  <c r="G1084" i="1"/>
  <c r="F1085" i="1"/>
  <c r="G1085" i="1"/>
  <c r="F1086" i="1"/>
  <c r="G1086" i="1"/>
  <c r="F1087" i="1"/>
  <c r="G1087" i="1"/>
  <c r="F1088" i="1"/>
  <c r="G1088" i="1"/>
  <c r="F1090" i="1"/>
  <c r="G1090" i="1"/>
  <c r="F1091" i="1"/>
  <c r="G1091" i="1"/>
  <c r="F1092" i="1"/>
  <c r="G1092" i="1"/>
  <c r="F1093" i="1"/>
  <c r="G1093" i="1"/>
  <c r="F1094" i="1"/>
  <c r="G1094" i="1"/>
  <c r="F1095" i="1"/>
  <c r="G1095" i="1"/>
  <c r="F1096" i="1"/>
  <c r="G1096" i="1"/>
  <c r="F1097" i="1"/>
  <c r="G1097" i="1"/>
  <c r="F1098" i="1"/>
  <c r="G1098" i="1"/>
  <c r="F1099" i="1"/>
  <c r="G1099" i="1"/>
  <c r="F1100" i="1"/>
  <c r="G1100" i="1"/>
  <c r="F1101" i="1"/>
  <c r="G1101" i="1"/>
  <c r="F1103" i="1"/>
  <c r="G1103" i="1"/>
  <c r="F1104" i="1"/>
  <c r="G1104" i="1"/>
  <c r="F1105" i="1"/>
  <c r="G1105" i="1"/>
  <c r="F1106" i="1"/>
  <c r="G1106" i="1"/>
  <c r="F1107" i="1"/>
  <c r="G1107" i="1"/>
  <c r="F1108" i="1"/>
  <c r="G1108" i="1"/>
  <c r="F1109" i="1"/>
  <c r="G1109" i="1"/>
  <c r="F1110" i="1"/>
  <c r="G1110" i="1"/>
  <c r="F1111" i="1"/>
  <c r="G1111" i="1"/>
  <c r="F1113" i="1"/>
  <c r="G1113" i="1"/>
  <c r="F1114" i="1"/>
  <c r="G1114" i="1"/>
  <c r="F1115" i="1"/>
  <c r="G1115" i="1"/>
  <c r="F1116" i="1"/>
  <c r="G1116" i="1"/>
  <c r="F1118" i="1"/>
  <c r="G1118" i="1"/>
  <c r="F1119" i="1"/>
  <c r="G1119" i="1"/>
  <c r="F1120" i="1"/>
  <c r="G1120" i="1"/>
  <c r="F1121" i="1"/>
  <c r="G1121" i="1"/>
  <c r="F1122" i="1"/>
  <c r="G1122" i="1"/>
  <c r="F1123" i="1"/>
  <c r="G1123" i="1"/>
  <c r="F1124" i="1"/>
  <c r="G1124" i="1"/>
  <c r="F1125" i="1"/>
  <c r="G1125" i="1"/>
  <c r="F1126" i="1"/>
  <c r="G1126" i="1"/>
  <c r="F1127" i="1"/>
  <c r="G1127" i="1"/>
  <c r="F1128" i="1"/>
  <c r="G1128" i="1"/>
  <c r="F1129" i="1"/>
  <c r="G1129" i="1"/>
  <c r="F1130" i="1"/>
  <c r="G1130" i="1"/>
  <c r="F1131" i="1"/>
  <c r="G1131" i="1"/>
  <c r="F1132" i="1"/>
  <c r="G1132" i="1"/>
  <c r="F1133" i="1"/>
  <c r="G1133" i="1"/>
  <c r="F1136" i="1"/>
  <c r="G1136" i="1"/>
  <c r="F1137" i="1"/>
  <c r="G1137" i="1"/>
  <c r="F1138" i="1"/>
  <c r="G1138" i="1"/>
  <c r="F1139" i="1"/>
  <c r="G1139" i="1"/>
  <c r="F1140" i="1"/>
  <c r="G1140" i="1"/>
  <c r="F1141" i="1"/>
  <c r="G1141" i="1"/>
  <c r="F1142" i="1"/>
  <c r="G1142" i="1"/>
  <c r="F1143" i="1"/>
  <c r="G1143" i="1"/>
  <c r="F1144" i="1"/>
  <c r="G1144" i="1"/>
  <c r="F1145" i="1"/>
  <c r="G1145" i="1"/>
  <c r="F1146" i="1"/>
  <c r="G1146" i="1"/>
  <c r="F1147" i="1"/>
  <c r="G1147" i="1"/>
  <c r="F1148" i="1"/>
  <c r="G1148" i="1"/>
  <c r="F1149" i="1"/>
  <c r="G1149" i="1"/>
  <c r="F1150" i="1"/>
  <c r="G1150" i="1"/>
  <c r="F1151" i="1"/>
  <c r="G1151" i="1"/>
  <c r="F1152" i="1"/>
  <c r="G1152" i="1"/>
  <c r="F1153" i="1"/>
  <c r="G1153" i="1"/>
  <c r="F1154" i="1"/>
  <c r="G1154" i="1"/>
  <c r="F1155" i="1"/>
  <c r="G1155" i="1"/>
  <c r="F1156" i="1"/>
  <c r="G1156" i="1"/>
  <c r="F1157" i="1"/>
  <c r="G1157" i="1"/>
  <c r="F1158" i="1"/>
  <c r="G1158" i="1"/>
  <c r="F1159" i="1"/>
  <c r="G1159" i="1"/>
  <c r="F1160" i="1"/>
  <c r="G1160" i="1"/>
  <c r="F1161" i="1"/>
  <c r="G1161" i="1"/>
  <c r="F1162" i="1"/>
  <c r="G1162" i="1"/>
  <c r="F1163" i="1"/>
  <c r="G1163" i="1"/>
  <c r="F1164" i="1"/>
  <c r="G1164" i="1"/>
  <c r="F1167" i="1"/>
  <c r="G1167" i="1"/>
  <c r="F1168" i="1"/>
  <c r="G1168" i="1"/>
  <c r="F1169" i="1"/>
  <c r="G1169" i="1"/>
  <c r="F1170" i="1"/>
  <c r="G1170" i="1"/>
  <c r="F1171" i="1"/>
  <c r="G1171" i="1"/>
  <c r="F1172" i="1"/>
  <c r="G1172" i="1"/>
  <c r="F1173" i="1"/>
  <c r="G1173" i="1"/>
  <c r="F1174" i="1"/>
  <c r="G1174" i="1"/>
  <c r="F1175" i="1"/>
  <c r="G1175" i="1"/>
  <c r="F1176" i="1"/>
  <c r="G1176" i="1"/>
  <c r="F1188" i="1"/>
  <c r="G1188" i="1"/>
  <c r="F1189" i="1"/>
  <c r="G1189" i="1"/>
  <c r="F1190" i="1"/>
  <c r="G1190" i="1"/>
  <c r="F1191" i="1"/>
  <c r="G1191" i="1"/>
  <c r="F1192" i="1"/>
  <c r="G1192" i="1"/>
  <c r="F1193" i="1"/>
  <c r="G1193" i="1"/>
  <c r="F1194" i="1"/>
  <c r="G1194" i="1"/>
  <c r="F1195" i="1"/>
  <c r="G1195" i="1"/>
  <c r="F1196" i="1"/>
  <c r="G1196" i="1"/>
  <c r="F1205" i="1"/>
  <c r="G1205" i="1"/>
  <c r="F1206" i="1"/>
  <c r="G1206" i="1"/>
  <c r="F1207" i="1"/>
  <c r="G1207" i="1"/>
  <c r="F1208" i="1"/>
  <c r="G1208" i="1"/>
  <c r="F1209" i="1"/>
  <c r="G1209" i="1"/>
  <c r="F1210" i="1"/>
  <c r="G1210" i="1"/>
  <c r="F1211" i="1"/>
  <c r="G1211" i="1"/>
  <c r="F1212" i="1"/>
  <c r="G1212" i="1"/>
  <c r="F1213" i="1"/>
  <c r="G1213" i="1"/>
  <c r="F1214" i="1"/>
  <c r="G1214" i="1"/>
  <c r="F1218" i="1"/>
  <c r="G1218" i="1"/>
  <c r="F1219" i="1"/>
  <c r="G1219" i="1"/>
  <c r="F1220" i="1"/>
  <c r="G1220" i="1"/>
  <c r="F1221" i="1"/>
  <c r="G1221" i="1"/>
  <c r="F1222" i="1"/>
  <c r="G1222" i="1"/>
  <c r="F1223" i="1"/>
  <c r="G1223" i="1"/>
  <c r="F1224" i="1"/>
  <c r="G1224" i="1"/>
  <c r="F1225" i="1"/>
  <c r="G1225" i="1"/>
  <c r="F1226" i="1"/>
  <c r="G1226" i="1"/>
  <c r="F1227" i="1"/>
  <c r="G1227" i="1"/>
  <c r="F1228" i="1"/>
  <c r="G1228" i="1"/>
  <c r="F1229" i="1"/>
  <c r="G1229" i="1"/>
  <c r="F1234" i="1"/>
  <c r="G1234" i="1"/>
  <c r="F1235" i="1"/>
  <c r="G1235" i="1"/>
  <c r="F1238" i="1"/>
  <c r="G1238" i="1"/>
  <c r="F1239" i="1"/>
  <c r="G1239" i="1"/>
  <c r="F1240" i="1"/>
  <c r="G1240" i="1"/>
  <c r="F1241" i="1"/>
  <c r="G1241" i="1"/>
  <c r="F1242" i="1"/>
  <c r="G1242" i="1"/>
  <c r="F1243" i="1"/>
  <c r="G1243" i="1"/>
  <c r="F1244" i="1"/>
  <c r="G1244" i="1"/>
  <c r="F1245" i="1"/>
  <c r="G1245" i="1"/>
  <c r="F1246" i="1"/>
  <c r="G1246" i="1"/>
  <c r="F1247" i="1"/>
  <c r="G1247" i="1"/>
  <c r="F1248" i="1"/>
  <c r="G1248" i="1"/>
  <c r="F1249" i="1"/>
  <c r="G1249" i="1"/>
  <c r="F1250" i="1"/>
  <c r="G1250" i="1"/>
  <c r="F1251" i="1"/>
  <c r="G1251" i="1"/>
  <c r="F1252" i="1"/>
  <c r="G1252" i="1"/>
  <c r="F1253" i="1"/>
  <c r="G1253" i="1"/>
  <c r="F1254" i="1"/>
  <c r="G1254" i="1"/>
  <c r="F1259" i="1"/>
  <c r="G1259" i="1"/>
  <c r="F1260" i="1"/>
  <c r="G1260" i="1"/>
  <c r="F1261" i="1"/>
  <c r="G1261" i="1"/>
  <c r="F1262" i="1"/>
  <c r="G1262" i="1"/>
  <c r="F1263" i="1"/>
  <c r="G1263" i="1"/>
  <c r="F1264" i="1"/>
  <c r="G1264" i="1"/>
  <c r="F1265" i="1"/>
  <c r="G1265" i="1"/>
  <c r="F1266" i="1"/>
  <c r="G1266" i="1"/>
  <c r="F1267" i="1"/>
  <c r="G1267" i="1"/>
  <c r="F1269" i="1"/>
  <c r="G1269" i="1"/>
  <c r="F1270" i="1"/>
  <c r="G1270" i="1"/>
  <c r="F1271" i="1"/>
  <c r="G1271" i="1"/>
  <c r="F1272" i="1"/>
  <c r="G1272" i="1"/>
  <c r="F1273" i="1"/>
  <c r="G1273" i="1"/>
  <c r="F1274" i="1"/>
  <c r="G1274" i="1"/>
  <c r="F1275" i="1"/>
  <c r="G1275" i="1"/>
  <c r="F1276" i="1"/>
  <c r="G1276" i="1"/>
  <c r="F1277" i="1"/>
  <c r="G1277" i="1"/>
  <c r="F1278" i="1"/>
  <c r="G1278" i="1"/>
  <c r="F1279" i="1"/>
  <c r="G1279" i="1"/>
  <c r="F1280" i="1"/>
  <c r="G1280" i="1"/>
  <c r="F1281" i="1"/>
  <c r="G1281" i="1"/>
  <c r="F1282" i="1"/>
  <c r="G1282" i="1"/>
  <c r="F1283" i="1"/>
  <c r="G1283" i="1"/>
  <c r="F1284" i="1"/>
  <c r="G1284" i="1"/>
  <c r="F1285" i="1"/>
  <c r="G1285" i="1"/>
  <c r="F1286" i="1"/>
  <c r="G1286" i="1"/>
  <c r="F1287" i="1"/>
  <c r="G1287" i="1"/>
  <c r="F1289" i="1"/>
  <c r="G1289" i="1"/>
  <c r="F1290" i="1"/>
  <c r="G1290" i="1"/>
  <c r="F1291" i="1"/>
  <c r="G1291" i="1"/>
  <c r="F1292" i="1"/>
  <c r="G1292" i="1"/>
  <c r="F1293" i="1"/>
  <c r="G1293" i="1"/>
  <c r="F1294" i="1"/>
  <c r="G1294" i="1"/>
  <c r="F1299" i="1"/>
  <c r="G1299" i="1"/>
  <c r="F1300" i="1"/>
  <c r="G1300" i="1"/>
  <c r="F1301" i="1"/>
  <c r="G1301" i="1"/>
  <c r="F1302" i="1"/>
  <c r="G1302" i="1"/>
  <c r="F1303" i="1"/>
  <c r="G1303" i="1"/>
  <c r="F1304" i="1"/>
  <c r="G1304" i="1"/>
  <c r="F1305" i="1"/>
  <c r="G1305" i="1"/>
  <c r="F1306" i="1"/>
  <c r="G1306" i="1"/>
  <c r="F1307" i="1"/>
  <c r="G1307" i="1"/>
  <c r="F1308" i="1"/>
  <c r="G1308" i="1"/>
  <c r="F1309" i="1"/>
  <c r="G1309" i="1"/>
  <c r="F1310" i="1"/>
  <c r="G1310" i="1"/>
  <c r="F1311" i="1"/>
  <c r="G1311" i="1"/>
  <c r="F1312" i="1"/>
  <c r="G1312" i="1"/>
  <c r="F1313" i="1"/>
  <c r="G1313" i="1"/>
  <c r="F1314" i="1"/>
  <c r="G1314" i="1"/>
  <c r="F1315" i="1"/>
  <c r="G1315" i="1"/>
  <c r="F1316" i="1"/>
  <c r="G1316" i="1"/>
  <c r="F1317" i="1"/>
  <c r="G1317" i="1"/>
  <c r="F1318" i="1"/>
  <c r="G1318" i="1"/>
  <c r="F1319" i="1"/>
  <c r="G1319" i="1"/>
  <c r="F1320" i="1"/>
  <c r="G1320" i="1"/>
  <c r="F1321" i="1"/>
  <c r="G1321" i="1"/>
  <c r="F1322" i="1"/>
  <c r="G1322" i="1"/>
  <c r="F1323" i="1"/>
  <c r="G1323" i="1"/>
  <c r="F1325" i="1"/>
  <c r="G1325" i="1"/>
  <c r="F1326" i="1"/>
  <c r="G1326" i="1"/>
  <c r="F1327" i="1"/>
  <c r="G1327" i="1"/>
  <c r="F1328" i="1"/>
  <c r="G1328" i="1"/>
  <c r="F1329" i="1"/>
  <c r="G1329" i="1"/>
  <c r="F1330" i="1"/>
  <c r="G1330" i="1"/>
  <c r="F1331" i="1"/>
  <c r="G1331" i="1"/>
  <c r="F1332" i="1"/>
  <c r="G1332" i="1"/>
  <c r="F1333" i="1"/>
  <c r="G1333" i="1"/>
  <c r="F1334" i="1"/>
  <c r="G1334" i="1"/>
  <c r="F1335" i="1"/>
  <c r="G1335" i="1"/>
  <c r="F1336" i="1"/>
  <c r="G1336" i="1"/>
  <c r="F1337" i="1"/>
  <c r="G1337" i="1"/>
  <c r="F1338" i="1"/>
  <c r="G1338" i="1"/>
  <c r="F1339" i="1"/>
  <c r="G1339" i="1"/>
  <c r="F1340" i="1"/>
  <c r="G1340" i="1"/>
  <c r="F1341" i="1"/>
  <c r="G1341" i="1"/>
  <c r="F1342" i="1"/>
  <c r="G1342" i="1"/>
  <c r="F1343" i="1"/>
  <c r="G1343" i="1"/>
  <c r="F1345" i="1"/>
  <c r="G1345" i="1"/>
  <c r="F1346" i="1"/>
  <c r="G1346" i="1"/>
  <c r="F1347" i="1"/>
  <c r="G1347" i="1"/>
  <c r="F1348" i="1"/>
  <c r="G1348" i="1"/>
  <c r="F1368" i="1"/>
  <c r="G1368" i="1"/>
  <c r="F1369" i="1"/>
  <c r="G1369" i="1"/>
  <c r="F1371" i="1"/>
  <c r="G1371" i="1"/>
  <c r="F1372" i="1"/>
  <c r="G1372" i="1"/>
  <c r="F1373" i="1"/>
  <c r="G1373" i="1"/>
  <c r="F1374" i="1"/>
  <c r="G1374" i="1"/>
  <c r="F1375" i="1"/>
  <c r="G1375" i="1"/>
  <c r="F1376" i="1"/>
  <c r="G1376" i="1"/>
  <c r="F1377" i="1"/>
  <c r="G1377" i="1"/>
  <c r="F1378" i="1"/>
  <c r="G1378" i="1"/>
  <c r="F1379" i="1"/>
  <c r="G1379" i="1"/>
  <c r="F1380" i="1"/>
  <c r="G1380" i="1"/>
  <c r="F1381" i="1"/>
  <c r="G1381" i="1"/>
  <c r="F1382" i="1"/>
  <c r="G1382" i="1"/>
  <c r="F1383" i="1"/>
  <c r="G1383" i="1"/>
  <c r="F1384" i="1"/>
  <c r="G1384" i="1"/>
  <c r="F1385" i="1"/>
  <c r="G1385" i="1"/>
  <c r="F1386" i="1"/>
  <c r="G1386" i="1"/>
  <c r="F1387" i="1"/>
  <c r="G1387" i="1"/>
  <c r="F1388" i="1"/>
  <c r="G1388" i="1"/>
  <c r="F1389" i="1"/>
  <c r="G1389" i="1"/>
  <c r="F1390" i="1"/>
  <c r="G1390" i="1"/>
  <c r="F1391" i="1"/>
  <c r="G1391" i="1"/>
  <c r="F1392" i="1"/>
  <c r="G1392" i="1"/>
  <c r="F1393" i="1"/>
  <c r="G1393" i="1"/>
  <c r="F1394" i="1"/>
  <c r="G1394" i="1"/>
  <c r="F1395" i="1"/>
  <c r="G1395" i="1"/>
  <c r="F1396" i="1"/>
  <c r="G1396" i="1"/>
  <c r="F1397" i="1"/>
  <c r="G1397" i="1"/>
  <c r="F1398" i="1"/>
  <c r="G1398" i="1"/>
  <c r="F1399" i="1"/>
  <c r="G1399" i="1"/>
  <c r="F1400" i="1"/>
  <c r="G1400" i="1"/>
  <c r="F1401" i="1"/>
  <c r="G1401" i="1"/>
  <c r="F1402" i="1"/>
  <c r="G1402" i="1"/>
  <c r="F1403" i="1"/>
  <c r="G1403" i="1"/>
  <c r="F1404" i="1"/>
  <c r="G1404" i="1"/>
  <c r="F1405" i="1"/>
  <c r="G1405" i="1"/>
  <c r="F1406" i="1"/>
  <c r="G1406" i="1"/>
  <c r="F1407" i="1"/>
  <c r="G1407" i="1"/>
  <c r="F1408" i="1"/>
  <c r="G1408" i="1"/>
  <c r="F1409" i="1"/>
  <c r="G1409" i="1"/>
  <c r="F1410" i="1"/>
  <c r="G1410" i="1"/>
  <c r="F1411" i="1"/>
  <c r="G1411" i="1"/>
  <c r="F1412" i="1"/>
  <c r="G1412" i="1"/>
  <c r="F1413" i="1"/>
  <c r="G1413" i="1"/>
  <c r="F1414" i="1"/>
  <c r="G1414" i="1"/>
  <c r="F1417" i="1"/>
  <c r="G1417" i="1"/>
  <c r="F1418" i="1"/>
  <c r="G1418" i="1"/>
  <c r="F1419" i="1"/>
  <c r="G1419" i="1"/>
  <c r="F1420" i="1"/>
  <c r="G1420" i="1"/>
  <c r="F1421" i="1"/>
  <c r="G1421" i="1"/>
  <c r="F953" i="1" l="1"/>
  <c r="D9508" i="2"/>
  <c r="E9739" i="2" l="1"/>
  <c r="D9739" i="2"/>
  <c r="E9711" i="2"/>
  <c r="D9711" i="2"/>
  <c r="E9690" i="2"/>
  <c r="D9690" i="2"/>
  <c r="E9689" i="2"/>
  <c r="D9689" i="2"/>
  <c r="E9614" i="2"/>
  <c r="D9614" i="2"/>
  <c r="E9613" i="2"/>
  <c r="D9613" i="2"/>
  <c r="E9596" i="2"/>
  <c r="D9596" i="2"/>
  <c r="E9595" i="2"/>
  <c r="D9595" i="2"/>
  <c r="E9594" i="2"/>
  <c r="D9594" i="2"/>
  <c r="E9593" i="2"/>
  <c r="D9593" i="2"/>
  <c r="E9591" i="2"/>
  <c r="D9591" i="2"/>
  <c r="E9561" i="2"/>
  <c r="D9561" i="2"/>
  <c r="E9523" i="2"/>
  <c r="D9523" i="2"/>
  <c r="E9515" i="2"/>
  <c r="D9515" i="2"/>
  <c r="E9513" i="2"/>
  <c r="D9513" i="2"/>
</calcChain>
</file>

<file path=xl/sharedStrings.xml><?xml version="1.0" encoding="utf-8"?>
<sst xmlns="http://schemas.openxmlformats.org/spreadsheetml/2006/main" count="86429" uniqueCount="23859">
  <si>
    <t>Наименование</t>
  </si>
  <si>
    <t>Адрес (местоположение)</t>
  </si>
  <si>
    <t>Кадастровый номер</t>
  </si>
  <si>
    <t>Кадастровая стоимость</t>
  </si>
  <si>
    <t>Сведения о правообладателе</t>
  </si>
  <si>
    <t>Сведения об установленных ограничениях (обременениях) с указанием основания и даты их возникновения и прекращения</t>
  </si>
  <si>
    <t>п. Серебряные Пруды М.О. ул. И.Садофьева</t>
  </si>
  <si>
    <t>п. Серебряные Пруды М.О. Привокзальная ул.</t>
  </si>
  <si>
    <t>п. Серебряные Пруды М.О. Механизаторов ул.</t>
  </si>
  <si>
    <t>п. Серебряные Пруды М.О. ул. Октябрьская</t>
  </si>
  <si>
    <t>п. Серебряные Пруды М.О. мкр. Западный</t>
  </si>
  <si>
    <t>п. Серебряные Пруды М.О. ул. 50 лет ВЛКСМ</t>
  </si>
  <si>
    <t>п. Серебряные Пруды М.О. ул. Первомайская д. 3</t>
  </si>
  <si>
    <t>1079,90</t>
  </si>
  <si>
    <t>-</t>
  </si>
  <si>
    <t>п. Серебряные Пруды М.О. ул. Первомайская</t>
  </si>
  <si>
    <t>п. Серебряные Пруды М.О. ул. Советская</t>
  </si>
  <si>
    <t>п. Серебряные Пруды М.О. ул. И.Садофьева д. 15</t>
  </si>
  <si>
    <t>273,1</t>
  </si>
  <si>
    <t>1527,6</t>
  </si>
  <si>
    <t>327,4</t>
  </si>
  <si>
    <t>394.214-00</t>
  </si>
  <si>
    <t>1224,7</t>
  </si>
  <si>
    <t>689,5</t>
  </si>
  <si>
    <t>п. Серебряные Пруды М.О. мкр. Юбилейный д.15</t>
  </si>
  <si>
    <t>1017,0</t>
  </si>
  <si>
    <t>п. Серебряные Пруды М.О. мкр. Центральный д.4</t>
  </si>
  <si>
    <t>2408,9</t>
  </si>
  <si>
    <t>п. Серебряные Пруды М.О. мкр. Западный д.28</t>
  </si>
  <si>
    <t>1141,1</t>
  </si>
  <si>
    <t>7061,1</t>
  </si>
  <si>
    <t>п. Серебряные Пруды М.О. м-н Центральный д. 1</t>
  </si>
  <si>
    <t xml:space="preserve">62,1 </t>
  </si>
  <si>
    <t>п. Серебряные Пруды М.О. ул. Садовая</t>
  </si>
  <si>
    <t>Здание морга</t>
  </si>
  <si>
    <t>п. Серебряные Пруды М.О. ул. Б. Луговая</t>
  </si>
  <si>
    <t>п. Серебряные Пруды М.О.  ул. Б. Луговая д. 3а</t>
  </si>
  <si>
    <t>50:39:0000000:1365</t>
  </si>
  <si>
    <t>557,6</t>
  </si>
  <si>
    <t>Эл.Подстанция Узуновской ср. школы</t>
  </si>
  <si>
    <t>909,0</t>
  </si>
  <si>
    <t>Погреб детского сада «Колосок»</t>
  </si>
  <si>
    <t>1220,7</t>
  </si>
  <si>
    <t>1247,5</t>
  </si>
  <si>
    <t>909,4</t>
  </si>
  <si>
    <t>3678,8</t>
  </si>
  <si>
    <t>Здание сельского Дома культуры</t>
  </si>
  <si>
    <t>Сараи хозяйтсвенные (комплекс 75 штук)</t>
  </si>
  <si>
    <t>1006,7</t>
  </si>
  <si>
    <t>680,4</t>
  </si>
  <si>
    <t>1867,8</t>
  </si>
  <si>
    <t>Здание Ангара Совхозной ср. школы</t>
  </si>
  <si>
    <t>905,1</t>
  </si>
  <si>
    <t>1179,4</t>
  </si>
  <si>
    <t>п. Серебряные Пруды М.О. ул. Б. Луговая д. 8б</t>
  </si>
  <si>
    <t>п. Серебряные Пруда М.О. ул. 50 лет ВЛКСМ д. 9а</t>
  </si>
  <si>
    <t>50:39:0000000:688</t>
  </si>
  <si>
    <t>291,0</t>
  </si>
  <si>
    <t>п. Серебряные Пруды М.О. м-н Центральный д.1</t>
  </si>
  <si>
    <t>1187,2</t>
  </si>
  <si>
    <t>п. Серебряные Пруды М.О. ул. М.Чуйкова д.15</t>
  </si>
  <si>
    <t>50:39:0050203:123</t>
  </si>
  <si>
    <t>306,5</t>
  </si>
  <si>
    <t>п. Серебряные Пруды М.О. ул. Первомайская д.12</t>
  </si>
  <si>
    <t>3887,7</t>
  </si>
  <si>
    <t>750,9</t>
  </si>
  <si>
    <t>п. Серебряные Пруды М.О. м-н Юбилейный д.17</t>
  </si>
  <si>
    <t>Здание Административное</t>
  </si>
  <si>
    <t>п. Серебряные Пруды М.О. ул. Пролетарская</t>
  </si>
  <si>
    <t>п. Серебряные Пруды М.О. ул. Механизаторов</t>
  </si>
  <si>
    <t>1- комнатная квартира</t>
  </si>
  <si>
    <t>28,7</t>
  </si>
  <si>
    <t>33,0</t>
  </si>
  <si>
    <t>2- комнатная квартира</t>
  </si>
  <si>
    <t>43,5</t>
  </si>
  <si>
    <t>№ п/п</t>
  </si>
  <si>
    <t>Площадь (кв. м)</t>
  </si>
  <si>
    <t xml:space="preserve">Баня </t>
  </si>
  <si>
    <t>ГРУ (оборудование) д. Дудино</t>
  </si>
  <si>
    <t xml:space="preserve">Водонапорная башня  </t>
  </si>
  <si>
    <t xml:space="preserve">Здание котельной </t>
  </si>
  <si>
    <t xml:space="preserve">Теплица Глубоковской школы </t>
  </si>
  <si>
    <t xml:space="preserve">Хоз. сарай Глубоковской школы </t>
  </si>
  <si>
    <t xml:space="preserve">Здание библиотеки </t>
  </si>
  <si>
    <t xml:space="preserve">Жилой дом врача </t>
  </si>
  <si>
    <t>п. Серебряные Пруды М.О. Школьный переулок д.1</t>
  </si>
  <si>
    <t xml:space="preserve">Интернат </t>
  </si>
  <si>
    <t xml:space="preserve">¼ теплой стоянки </t>
  </si>
  <si>
    <t xml:space="preserve"> 364,3</t>
  </si>
  <si>
    <t xml:space="preserve">Дата возникновения права  </t>
  </si>
  <si>
    <t>Документ–основание возникновения права</t>
  </si>
  <si>
    <t xml:space="preserve">Дата прекращения права </t>
  </si>
  <si>
    <t xml:space="preserve"> Документ–основание прекращения права</t>
  </si>
  <si>
    <t>Сумма начисленной амортизации (износе)</t>
  </si>
  <si>
    <t xml:space="preserve">Балансовая стоимость </t>
  </si>
  <si>
    <t>50:39:0080207:430</t>
  </si>
  <si>
    <t xml:space="preserve"> п. Серебряные Пруды М.О. СНТ "Солоница" уч. 84</t>
  </si>
  <si>
    <t xml:space="preserve">Земельный участок Категория земель - земли сельскохозяйственного назначения ВРИ - для садоводства </t>
  </si>
  <si>
    <t>50:39:0070106:145</t>
  </si>
  <si>
    <t>50:39:0050501:90</t>
  </si>
  <si>
    <t>Земельный участок Категория земель - не установлена ВРИ - для садоводства</t>
  </si>
  <si>
    <t>50:39:0020308:466</t>
  </si>
  <si>
    <t xml:space="preserve"> п. Серебряные Пруды М.О. СНТ "Солоница" уч. 32</t>
  </si>
  <si>
    <t>50:39:0070106:73</t>
  </si>
  <si>
    <t xml:space="preserve"> п. Серебряные Пруды М.О. СНТ "Куньи Выселки" уч. 5</t>
  </si>
  <si>
    <t>50:39:0060308:6</t>
  </si>
  <si>
    <t>50:39:0060601:134</t>
  </si>
  <si>
    <t>50:39:0020309:13</t>
  </si>
  <si>
    <t>50:39:0060202:141</t>
  </si>
  <si>
    <t xml:space="preserve">Земельный участок Категория земель - земли сельскохозяйственного назначения ВРИ - для ведения садоводства и огородничества </t>
  </si>
  <si>
    <t>Земельный участок Категория земель - земли сельскохозяйственного назначения ВРИ - для садоводства</t>
  </si>
  <si>
    <t>50:39:0060205:83</t>
  </si>
  <si>
    <t xml:space="preserve">Земельный участок Категория земель - земли сельскохозяйственного назначения ВРИ -для садоводства </t>
  </si>
  <si>
    <t>50:39:0040103:196</t>
  </si>
  <si>
    <t>50:39:0060107:58</t>
  </si>
  <si>
    <t>50:39:0080210:20</t>
  </si>
  <si>
    <t>Земельный участок Категория земель - земли сельскохозяйственного назначения ВРИ - для сельскохозяйственного использования</t>
  </si>
  <si>
    <t>50:39:0070111:8</t>
  </si>
  <si>
    <t>50:39:0080210:21</t>
  </si>
  <si>
    <t>50:39:0030120:63</t>
  </si>
  <si>
    <t>50:39:0060107:38</t>
  </si>
  <si>
    <t>50:39:0020308:293</t>
  </si>
  <si>
    <t>50:39:0080210:22</t>
  </si>
  <si>
    <t xml:space="preserve"> п. Серебряные Пруды М.О. СНТ "Солоница" уч. 146</t>
  </si>
  <si>
    <t>Земельный участок Категория земель - земли сельскохозяйственного назначения ВРИ - для садоводства и огородничества</t>
  </si>
  <si>
    <t>50:39:0060102:63</t>
  </si>
  <si>
    <t xml:space="preserve">Земельный участок Категория земель - земли сельскохозяйственного назначения ВРИ - для ведения садоводства </t>
  </si>
  <si>
    <t>50:39:0070106:57</t>
  </si>
  <si>
    <t xml:space="preserve"> п. Серебряные Пруды М.О. СНТ "Солоница" уч. 57</t>
  </si>
  <si>
    <t>50:39:0070106:37</t>
  </si>
  <si>
    <t xml:space="preserve">Земельный участок Категория земель - земли сельскохозяйственного назначения ВРИ -для ведения садоводства </t>
  </si>
  <si>
    <t>50:39:0040104:47</t>
  </si>
  <si>
    <t>50:39:0040103:10</t>
  </si>
  <si>
    <t>Земельный участок Категория земель - земли сельскохозяйственного назначения ВРИ - для ведения садоводства</t>
  </si>
  <si>
    <t>50:39:0020101:22</t>
  </si>
  <si>
    <t>50:39:0030202:9</t>
  </si>
  <si>
    <t>50:39:0020301:39</t>
  </si>
  <si>
    <t>50:39:0060308:147</t>
  </si>
  <si>
    <t>50:39:0040105:121</t>
  </si>
  <si>
    <t>Земельный участок Категория земель - земли сельскохозяйственного назначения ВРИ - для ведения коллективного садоводства</t>
  </si>
  <si>
    <t>50:39:0040103:141</t>
  </si>
  <si>
    <t xml:space="preserve"> п. Серебряные Пруды М.О. СНТ "Солоница" уч. 42</t>
  </si>
  <si>
    <t>50:39:0070106:134</t>
  </si>
  <si>
    <t>50:39:0020308:230</t>
  </si>
  <si>
    <t>50:39:0060202:148</t>
  </si>
  <si>
    <t>50:39:0070302:179</t>
  </si>
  <si>
    <t>50:39:0030110:69</t>
  </si>
  <si>
    <t>50:39:0060310:125</t>
  </si>
  <si>
    <t>50:39:0010205:83</t>
  </si>
  <si>
    <t>Земельный участок Категория земель - земли населенных пунктов ВРИ - размещение типографии</t>
  </si>
  <si>
    <t xml:space="preserve">Земельный участок Категория земель - земли населенных пунктов ВРИ - для ведения садово-огородного хозяйства </t>
  </si>
  <si>
    <t xml:space="preserve">Земельный участок Категория земель - земли населенных пунктов ВРИ - для ведения садоводства и огородничества </t>
  </si>
  <si>
    <t xml:space="preserve">Земельный участок Категория земель - земли населенных пунктов ВРИ - для ведения личного подсобного хозяйства </t>
  </si>
  <si>
    <t xml:space="preserve">Земельный участок Категория земель - земли населенных пунктов ВРИ - для ведения садоводства </t>
  </si>
  <si>
    <t>50:39:0000000:4091</t>
  </si>
  <si>
    <t>50:39:0060306:998</t>
  </si>
  <si>
    <t>50:39:0000000:4096</t>
  </si>
  <si>
    <t>50:39:0000000:4093</t>
  </si>
  <si>
    <t>50:39:0050301:637</t>
  </si>
  <si>
    <t>50:39:0000000:4092</t>
  </si>
  <si>
    <t>50:39:0000000:4199</t>
  </si>
  <si>
    <t>50:39:0000000:4197</t>
  </si>
  <si>
    <t>50:39:0000000:4200</t>
  </si>
  <si>
    <t>50:39:0060306:1020</t>
  </si>
  <si>
    <t>50:39:0000000:4222</t>
  </si>
  <si>
    <t>50:39:0000000:4198</t>
  </si>
  <si>
    <t>50:39:0000000:4203</t>
  </si>
  <si>
    <t>1-комнатная квартира</t>
  </si>
  <si>
    <t xml:space="preserve">Св-во о гос.рег-ии 50-АВN 322002 </t>
  </si>
  <si>
    <t xml:space="preserve"> п. Серебряные Пруды М.О. ул. Механизаторов д. 2</t>
  </si>
  <si>
    <t>50:39:0050513:179</t>
  </si>
  <si>
    <t>50:39:0050404:805</t>
  </si>
  <si>
    <t>50:39:0060201:94</t>
  </si>
  <si>
    <t>105 647.85</t>
  </si>
  <si>
    <t>п. Серебряные Пруды М.О. ул. Октябрьская д. 105</t>
  </si>
  <si>
    <t>50:39:0050301:574</t>
  </si>
  <si>
    <t>2 887 245.33</t>
  </si>
  <si>
    <t>Головной участок теплосети (отопление, протяженность: трубопроводов 2000 м, трассы 500 м, от тепловой камеры № 4 до поворота к зданию КДЦ)</t>
  </si>
  <si>
    <t>50:39:0000000:3484</t>
  </si>
  <si>
    <t>275:078-2096/13</t>
  </si>
  <si>
    <t>50:39:0030305:905</t>
  </si>
  <si>
    <t>кад. 12590</t>
  </si>
  <si>
    <t>Решение СД Сер.-Пруд. Муниц. р-на МО  № 614/61 от 20.10.2015 Св-во о гос.рег-ии 50 АД №847672</t>
  </si>
  <si>
    <t>Решение СД Сер.-Пруд. Муниц. р-на МО  № 614/61 от 20.10.2015 Св-во о гос.рег-ии 50 АД №847667</t>
  </si>
  <si>
    <t>Решение СД Сер.-Пруд. Муниц. р-на МО  № 614/61 от 20.10.2015 Св-во о гос.рег-ии 50-АЗ №527402</t>
  </si>
  <si>
    <t>Решение СД Сер.-Пруд. Муниц. р-на МО  № 614/61 от 20.10.2015 Св-во о гос.рег-ии 50-АД №746956</t>
  </si>
  <si>
    <t>Решение СД Сер.-Пруд. Муниц. р-на МО  № 614/61 от 20.10.2015 Св-во о гос.рег-ии 50-АД №747489</t>
  </si>
  <si>
    <t>Решение СД Сер.-Пруд. Муниц. р-на МО  № 614/61 от 20.10.2015 Св-во о гос.рег-ии 50-АЕ №811658</t>
  </si>
  <si>
    <t>Решение СД Сер.-Пруд. Муниц. р-на МО  № 614/61 от 20.10.2015 Св-во о гос.рег-ии 50-АИ №186614</t>
  </si>
  <si>
    <t>Решение СД Сер.-Пруд. Муниц. р-на МО  № 614/61 от 20.10.2015 Св-во о гос.рег-ии 50-АИ №509242</t>
  </si>
  <si>
    <t>Линии электропередач пл. 1287</t>
  </si>
  <si>
    <t>Св-во о гос.рег-ии 50 НВ № 051891</t>
  </si>
  <si>
    <t>Мелаллическая конструкция ограждение р. п. Сер.Пруды м-н Юбилейный д. 17</t>
  </si>
  <si>
    <t>Автомашина ГАЗ-31105 А 678 МК 90</t>
  </si>
  <si>
    <t>Компьютер (ноутбук), автомобильная система видеорегистрации</t>
  </si>
  <si>
    <t>Система видеонабл.дения</t>
  </si>
  <si>
    <t>Автомашина ГАЗ-3102 А 431 МО 50</t>
  </si>
  <si>
    <t>Стол теннисный</t>
  </si>
  <si>
    <t>Сирена</t>
  </si>
  <si>
    <t>Камера NUVICO</t>
  </si>
  <si>
    <t>Собака породы "Немецкая овчарка" (безв.пользование) ОВД</t>
  </si>
  <si>
    <t>Витраж инв. № 07.1.06.0002</t>
  </si>
  <si>
    <t>Табло сообщений инв. № 07.1.06.0002</t>
  </si>
  <si>
    <t>Постановление Адм. Сер-Пруд. р-на МО № 1346</t>
  </si>
  <si>
    <t>Муниципальный контракт № 138  Постановление Адм. Сер-Пруд. р-на МО от 23.10.2009 № 1341</t>
  </si>
  <si>
    <t>20.06.2014г</t>
  </si>
  <si>
    <t>Постановление администрации Серебряно-Прудского муниципального района МО №869</t>
  </si>
  <si>
    <t>20.06.2015г</t>
  </si>
  <si>
    <t>Постановление Адм. Сер-Пруд. р-на МО № 869</t>
  </si>
  <si>
    <t>Распоряжение администрации Серебряно-Прудского муниципального района № 69-р</t>
  </si>
  <si>
    <t>Книга "Край Серебряно-Прудский" 858 экземпл.</t>
  </si>
  <si>
    <t>14.02.2014г</t>
  </si>
  <si>
    <t>Распоряжение администрации Серебряно-Прудского муниципального района № 44-р</t>
  </si>
  <si>
    <t>50:39:0070104:444</t>
  </si>
  <si>
    <t>МФУ ХЕROX WorkGentre</t>
  </si>
  <si>
    <t>Сервер Xeon Е5-26 v 2.0/Источник бесп.пит.ISW1500/Win Svr</t>
  </si>
  <si>
    <t>Видеокамера</t>
  </si>
  <si>
    <t>Принтер</t>
  </si>
  <si>
    <t>Компьютер</t>
  </si>
  <si>
    <t>Факс</t>
  </si>
  <si>
    <t>Модем</t>
  </si>
  <si>
    <t>Ксерокс</t>
  </si>
  <si>
    <t>Монитор</t>
  </si>
  <si>
    <t>Системный блок</t>
  </si>
  <si>
    <t>Фотоаппарат</t>
  </si>
  <si>
    <t>Киноэкран</t>
  </si>
  <si>
    <t>Монитор 17 BenQ G700 TFT</t>
  </si>
  <si>
    <t>Музыкальный центр</t>
  </si>
  <si>
    <t>Диктофон</t>
  </si>
  <si>
    <t>Процессор Intel Core 2 Duo E4600</t>
  </si>
  <si>
    <t>Принтер HP DesignJet 110 Oplus</t>
  </si>
  <si>
    <t>Принтер лазерный</t>
  </si>
  <si>
    <t>МФУ Xerox WorkCentre DNI</t>
  </si>
  <si>
    <t>МФУ  XEROX Work Gentre, формат А3, лазерный, белый, сетевой, дуплекс</t>
  </si>
  <si>
    <t>Телефонный аппарат IP PHONE 9611G ICON ONL Y62 43.2641</t>
  </si>
  <si>
    <t>Компьютер Intel i3/Win 7 Pro ( сист.блок, клав., мышь, монитор)</t>
  </si>
  <si>
    <t>МФУ А3 формата цветной</t>
  </si>
  <si>
    <t>Инвентарный №</t>
  </si>
  <si>
    <t>1.101.04.965</t>
  </si>
  <si>
    <t>1.101.04.968</t>
  </si>
  <si>
    <t>1.101.04.969</t>
  </si>
  <si>
    <t>№ 1.101.04.973</t>
  </si>
  <si>
    <t>1.101.04.974</t>
  </si>
  <si>
    <t>1.101.04.975</t>
  </si>
  <si>
    <t>1.101.04.976</t>
  </si>
  <si>
    <t>1.101.04.977</t>
  </si>
  <si>
    <t>1.101.04.978</t>
  </si>
  <si>
    <t>1.101.04.979</t>
  </si>
  <si>
    <t>1.101.04.980</t>
  </si>
  <si>
    <t>Сирена С-40 (С-40М) устройство оконч. Ответ</t>
  </si>
  <si>
    <t xml:space="preserve">Сирена С-40 </t>
  </si>
  <si>
    <t>Стол письменный</t>
  </si>
  <si>
    <t>Жалюзи тканевые</t>
  </si>
  <si>
    <t>Шкаф для одежды</t>
  </si>
  <si>
    <t>Шкаф архив.метал.915х370х1830</t>
  </si>
  <si>
    <t>Шкаф 19 напольный 42U комплект профи+</t>
  </si>
  <si>
    <t>Кондиционер GC - F06HRI</t>
  </si>
  <si>
    <t>Набор мебели</t>
  </si>
  <si>
    <t>Сейф</t>
  </si>
  <si>
    <t>Шкаф</t>
  </si>
  <si>
    <t>Стол двухтумбовый</t>
  </si>
  <si>
    <t>Электрообогреватель</t>
  </si>
  <si>
    <t>Электропылесос</t>
  </si>
  <si>
    <t>Стол</t>
  </si>
  <si>
    <t>Стол руководителя</t>
  </si>
  <si>
    <t>Тумба</t>
  </si>
  <si>
    <t>Кресло</t>
  </si>
  <si>
    <t>Холодильник</t>
  </si>
  <si>
    <t>СВЧ-печь</t>
  </si>
  <si>
    <t>Диван</t>
  </si>
  <si>
    <t>Стол 2-х тумбовый</t>
  </si>
  <si>
    <t>Шкаф - стеллаж</t>
  </si>
  <si>
    <t>Жалюзи</t>
  </si>
  <si>
    <t>Кондиционер</t>
  </si>
  <si>
    <t>Игровая площадка</t>
  </si>
  <si>
    <t>Люстра</t>
  </si>
  <si>
    <t>Жалюзи вертикальные 1,6*2,3</t>
  </si>
  <si>
    <t>Кресло офисное</t>
  </si>
  <si>
    <t>Кондиционер LG S07LНР</t>
  </si>
  <si>
    <t>Кондиционер LG S09LНР</t>
  </si>
  <si>
    <t>Кондиционер LG S-24 LНР</t>
  </si>
  <si>
    <t>Кондиционер LG S-18 LНР</t>
  </si>
  <si>
    <t>Кондиционер Panasonik CS / CU -C18HKD</t>
  </si>
  <si>
    <t>Холодильник Daewoo FR-061</t>
  </si>
  <si>
    <t>Тумба подкатная  СТИЛЬ</t>
  </si>
  <si>
    <t>Шкаф высокий открытый СТИЛЬ</t>
  </si>
  <si>
    <t>Шкаф пенал полуоткрытый СТИЛЬ</t>
  </si>
  <si>
    <t>Стеллаж угловой наружный РЕСЕПШН</t>
  </si>
  <si>
    <t>Стеллаж МS-4 2550-7</t>
  </si>
  <si>
    <t>Кресло офисное "Стимул"</t>
  </si>
  <si>
    <t>Электропылесос Самсунг</t>
  </si>
  <si>
    <t>Холодильник Indesit</t>
  </si>
  <si>
    <t>Набор мебели  ПРАКТИК  АТМ</t>
  </si>
  <si>
    <t>Шкаф  АТМ 1891</t>
  </si>
  <si>
    <t>Шкаф М-18</t>
  </si>
  <si>
    <t>Кресло театральное</t>
  </si>
  <si>
    <t>Стул</t>
  </si>
  <si>
    <t>Круг спасательный</t>
  </si>
  <si>
    <t>Жилет спасательный</t>
  </si>
  <si>
    <t>Поисковый дозиметр</t>
  </si>
  <si>
    <t>Войсковой прибор</t>
  </si>
  <si>
    <t>Легкая защита</t>
  </si>
  <si>
    <t>Дозиметр</t>
  </si>
  <si>
    <t>Тумба под оргтехнику 1205 (994) бук</t>
  </si>
  <si>
    <t>Шкаф д/ одежды станд.С15.3(001,012) бук 55</t>
  </si>
  <si>
    <t>Шкаф полузакр.С15.4(999,006) бук 55</t>
  </si>
  <si>
    <t>Кресло рук.Виго ткань черная</t>
  </si>
  <si>
    <t>Шкаф д/ одежды  В-890 орех</t>
  </si>
  <si>
    <t>Шкаф закрытый 1005 (741) бук.</t>
  </si>
  <si>
    <t>Шкаф низкий 2-х дверный орех</t>
  </si>
  <si>
    <t>Стол для переговоров</t>
  </si>
  <si>
    <t>Шкаф тамбурный</t>
  </si>
  <si>
    <t>Флаг Серебряно-Прудского муниц.р-на (100*150 см, 2-сторонний) в сборе с подстав.</t>
  </si>
  <si>
    <t>Шкаф архив.метал. 2 дв. 915х370х1830</t>
  </si>
  <si>
    <t>Кондиционер GC - F08HRI</t>
  </si>
  <si>
    <t>Кондиционер GC - F13HRI</t>
  </si>
  <si>
    <t>Лестница из нержавеющей стали</t>
  </si>
  <si>
    <t>Стол эргоном прав.1442 вишня</t>
  </si>
  <si>
    <t>Шкаф метал. архив. 2 дв.915*370*1830</t>
  </si>
  <si>
    <t>Шкаф полузакр.этюд (орех)</t>
  </si>
  <si>
    <t>Стол письменный Этюд, орех 1200</t>
  </si>
  <si>
    <t>Тумба выкатная с замком Р20 орех</t>
  </si>
  <si>
    <t>Тумба стационарная с замком Р20 орех</t>
  </si>
  <si>
    <t>Тумба под ксерокс С 12. 5 (020) орех</t>
  </si>
  <si>
    <t>Шкаф для одежды С 15. 3 орех</t>
  </si>
  <si>
    <t>Кресло UT- 747 ткань С серая</t>
  </si>
  <si>
    <t>Стол стимул эргоном.лев.1 441</t>
  </si>
  <si>
    <t>Шкаф д/бумаг 850*500*1860</t>
  </si>
  <si>
    <t>Шкаф полузакрытый А-310 орех</t>
  </si>
  <si>
    <t>Кресло руководителя кожа чёрная</t>
  </si>
  <si>
    <t>Шкаф д/бумаг 425*500*1860</t>
  </si>
  <si>
    <t>Тумба под оргтехнику АТ-10 орех</t>
  </si>
  <si>
    <t>Брошюровочно-переплётный станокYunger M168</t>
  </si>
  <si>
    <t>Шкаф архив.метал.1 дв. 472х458х1830</t>
  </si>
  <si>
    <t>Кондиционер Panasonik S-А24JKD</t>
  </si>
  <si>
    <t>Сплит-система ЕRONIK ASI-07HM/ASO -07HM</t>
  </si>
  <si>
    <t>Тумба под оргтехнику 1271 вишня</t>
  </si>
  <si>
    <t>Сплит-система LG G09VHT</t>
  </si>
  <si>
    <t>Забор на территории гаражей</t>
  </si>
  <si>
    <t>Автомобиль Ssangyong Kyron Белый VIN RUMSoA16SE0013091</t>
  </si>
  <si>
    <t>ГАЗ -3110 У 748 НА 50 РУС  легковой</t>
  </si>
  <si>
    <t>ГАЗ -3110 С 754 МЕ 150  легковой</t>
  </si>
  <si>
    <t>1.101.06.887</t>
  </si>
  <si>
    <t>1.101.06.888</t>
  </si>
  <si>
    <t>1.101.06.978</t>
  </si>
  <si>
    <t>1.101.06.885</t>
  </si>
  <si>
    <t>1.101.06.886</t>
  </si>
  <si>
    <t>1.101.06.891</t>
  </si>
  <si>
    <t>1.101.06.005</t>
  </si>
  <si>
    <t>1.101.06.009</t>
  </si>
  <si>
    <t>1.101.06.011</t>
  </si>
  <si>
    <t>1.101.06.030</t>
  </si>
  <si>
    <t>1.101.06.032</t>
  </si>
  <si>
    <t>1.101.06.035</t>
  </si>
  <si>
    <t>1.101.06.036</t>
  </si>
  <si>
    <t>1.101.06.038</t>
  </si>
  <si>
    <t>1.101.06.039</t>
  </si>
  <si>
    <t>1.101.06.040</t>
  </si>
  <si>
    <t>1.101.06.041</t>
  </si>
  <si>
    <t>1.101.06.055</t>
  </si>
  <si>
    <t>1.101.06.056</t>
  </si>
  <si>
    <t>1.101.06.057</t>
  </si>
  <si>
    <t>1.101.06.058</t>
  </si>
  <si>
    <t>1.101.06.061</t>
  </si>
  <si>
    <t>1.101.06.062</t>
  </si>
  <si>
    <t>1.101.06.064</t>
  </si>
  <si>
    <t>1.101.06.065</t>
  </si>
  <si>
    <t>1.101.06.067</t>
  </si>
  <si>
    <t>1.101.06.077</t>
  </si>
  <si>
    <t>1.101.06.079</t>
  </si>
  <si>
    <t>1.101.06.080</t>
  </si>
  <si>
    <t>1.101.06.083</t>
  </si>
  <si>
    <t>1.101.06.084</t>
  </si>
  <si>
    <t>1.101.06.085</t>
  </si>
  <si>
    <t>1.101.06.086</t>
  </si>
  <si>
    <t>1.101.06.087</t>
  </si>
  <si>
    <t>1.101.06.088</t>
  </si>
  <si>
    <t>1.101.06.090</t>
  </si>
  <si>
    <t>1.101.06.093</t>
  </si>
  <si>
    <t>1.101.06.094</t>
  </si>
  <si>
    <t>1.101.06.095</t>
  </si>
  <si>
    <t>1.101.06.096</t>
  </si>
  <si>
    <t>1.101.06.097</t>
  </si>
  <si>
    <t>1.101.06.098</t>
  </si>
  <si>
    <t>1.101.06.099</t>
  </si>
  <si>
    <t>1.101.06.101</t>
  </si>
  <si>
    <t>1.101.06.102</t>
  </si>
  <si>
    <t>1.101.06.104</t>
  </si>
  <si>
    <t>1.101.06.114</t>
  </si>
  <si>
    <t>1.101.06.115</t>
  </si>
  <si>
    <t>1.101.06.116</t>
  </si>
  <si>
    <t>1.101.06.132</t>
  </si>
  <si>
    <t>1.101.06.133</t>
  </si>
  <si>
    <t>1.101.06.150</t>
  </si>
  <si>
    <t>1.101.06.151</t>
  </si>
  <si>
    <t>1.101.06.152</t>
  </si>
  <si>
    <t>1.101.06.153</t>
  </si>
  <si>
    <t>1.101.06.154</t>
  </si>
  <si>
    <t>1.101.06.155</t>
  </si>
  <si>
    <t>1.101.06.156</t>
  </si>
  <si>
    <t>1.101.06.157</t>
  </si>
  <si>
    <t>1.101.06.158</t>
  </si>
  <si>
    <t>1.101.06.159</t>
  </si>
  <si>
    <t>1.101.06.160</t>
  </si>
  <si>
    <t>1.101.06.161</t>
  </si>
  <si>
    <t>1.101.06.162</t>
  </si>
  <si>
    <t>1.101.06.163</t>
  </si>
  <si>
    <t>1.101.06.164</t>
  </si>
  <si>
    <t>1.101.06.165</t>
  </si>
  <si>
    <t>1.101.06.166</t>
  </si>
  <si>
    <t>1.101.06.167</t>
  </si>
  <si>
    <t>1.101.06.170</t>
  </si>
  <si>
    <t>1.101.06.171</t>
  </si>
  <si>
    <t>1.101.06.172</t>
  </si>
  <si>
    <t>1.101.06.176</t>
  </si>
  <si>
    <t>1.101.06.177</t>
  </si>
  <si>
    <t>1.101.06.178</t>
  </si>
  <si>
    <t>1.101.06.179</t>
  </si>
  <si>
    <t>1.101.06.180</t>
  </si>
  <si>
    <t>1.101.06.181</t>
  </si>
  <si>
    <t>1.101.06.182</t>
  </si>
  <si>
    <t>1.101.06.187</t>
  </si>
  <si>
    <t>1.101.06.188</t>
  </si>
  <si>
    <t>1.101.06.195</t>
  </si>
  <si>
    <t>1.101.06.197</t>
  </si>
  <si>
    <t>1.101.06.203</t>
  </si>
  <si>
    <t>1.101.06.204</t>
  </si>
  <si>
    <t>1.101.06.205</t>
  </si>
  <si>
    <t>1.101.06.206</t>
  </si>
  <si>
    <t>1.101.06.207</t>
  </si>
  <si>
    <t>1.101.06.208</t>
  </si>
  <si>
    <t>1.101.06.209</t>
  </si>
  <si>
    <t>1.101.06.210</t>
  </si>
  <si>
    <t>1.101.06.214</t>
  </si>
  <si>
    <t>1.101.06.215</t>
  </si>
  <si>
    <t>1.101.06.216</t>
  </si>
  <si>
    <t>1.101.06.218</t>
  </si>
  <si>
    <t>1.101.06.219</t>
  </si>
  <si>
    <t>1.101.06.220</t>
  </si>
  <si>
    <t>1.101.06.221</t>
  </si>
  <si>
    <t>1.101.06.222</t>
  </si>
  <si>
    <t>1.101.06.223</t>
  </si>
  <si>
    <t>1.101.06.224</t>
  </si>
  <si>
    <t>1.101.06.225</t>
  </si>
  <si>
    <t>1.101.06.227</t>
  </si>
  <si>
    <t>1.101.06.228</t>
  </si>
  <si>
    <t>1.101.06.229</t>
  </si>
  <si>
    <t>1.101.06.233</t>
  </si>
  <si>
    <t>1.101.06.237</t>
  </si>
  <si>
    <t>1.101.06.238</t>
  </si>
  <si>
    <t>1.101.06.239</t>
  </si>
  <si>
    <t>1.101.06.240</t>
  </si>
  <si>
    <t>1.101.06.241</t>
  </si>
  <si>
    <t>1.101.06.242</t>
  </si>
  <si>
    <t>1.101.06.243</t>
  </si>
  <si>
    <t>1.101.06.244</t>
  </si>
  <si>
    <t>1.101.06.245</t>
  </si>
  <si>
    <t>1.101.06.246</t>
  </si>
  <si>
    <t>1.101.06.247</t>
  </si>
  <si>
    <t>1.101.06.248</t>
  </si>
  <si>
    <t>1.101.06.249</t>
  </si>
  <si>
    <t>1.101.06.250</t>
  </si>
  <si>
    <t>1.101.06.251</t>
  </si>
  <si>
    <t>1.101.06.252</t>
  </si>
  <si>
    <t>1.101.06.253</t>
  </si>
  <si>
    <t>1.101.06.254</t>
  </si>
  <si>
    <t>1.101.06.255</t>
  </si>
  <si>
    <t>1.101.06.256</t>
  </si>
  <si>
    <t>1.101.06.257</t>
  </si>
  <si>
    <t>1.101.06.258</t>
  </si>
  <si>
    <t>1.101.06.259</t>
  </si>
  <si>
    <t>1.101.06.260</t>
  </si>
  <si>
    <t>1.101.06.261</t>
  </si>
  <si>
    <t>1.101.06.262</t>
  </si>
  <si>
    <t>1.101.06.263</t>
  </si>
  <si>
    <t>1.101.06.264</t>
  </si>
  <si>
    <t>1.101.06.265</t>
  </si>
  <si>
    <t>1.101.06.266</t>
  </si>
  <si>
    <t>1.101.06.267</t>
  </si>
  <si>
    <t>1.101.06.268</t>
  </si>
  <si>
    <t>1.101.06.269</t>
  </si>
  <si>
    <t>1.101.06.270</t>
  </si>
  <si>
    <t>1.101.06.271</t>
  </si>
  <si>
    <t>1.101.06.272</t>
  </si>
  <si>
    <t>1.101.06.273</t>
  </si>
  <si>
    <t>1.101.06.274</t>
  </si>
  <si>
    <t>1.101.06.275</t>
  </si>
  <si>
    <t>1.101.06.276</t>
  </si>
  <si>
    <t>1.101.06.277</t>
  </si>
  <si>
    <t>1.101.06.278</t>
  </si>
  <si>
    <t>1.101.06.279</t>
  </si>
  <si>
    <t>1.101.06.280</t>
  </si>
  <si>
    <t>1.101.06.281</t>
  </si>
  <si>
    <t>1.101.06.282</t>
  </si>
  <si>
    <t>1.101.06.283</t>
  </si>
  <si>
    <t>1.101.06.284</t>
  </si>
  <si>
    <t>1.101.06.285</t>
  </si>
  <si>
    <t>1.101.06.286</t>
  </si>
  <si>
    <t>1.101.06.287</t>
  </si>
  <si>
    <t>1.101.06.288</t>
  </si>
  <si>
    <t>1.101.06.289</t>
  </si>
  <si>
    <t>1.101.06.290</t>
  </si>
  <si>
    <t>1.101.06.291</t>
  </si>
  <si>
    <t>1.101.06.292</t>
  </si>
  <si>
    <t>1.101.06.293</t>
  </si>
  <si>
    <t>1.101.06.294</t>
  </si>
  <si>
    <t>1.101.06.295</t>
  </si>
  <si>
    <t>1.101.06.296</t>
  </si>
  <si>
    <t>1.101.06.297</t>
  </si>
  <si>
    <t>1.101.06.298</t>
  </si>
  <si>
    <t>1.101.06.299</t>
  </si>
  <si>
    <t>1.101.06.300</t>
  </si>
  <si>
    <t>1.101.06.301</t>
  </si>
  <si>
    <t>1.101.06.302</t>
  </si>
  <si>
    <t>1.101.06.303</t>
  </si>
  <si>
    <t>1.101.06.304</t>
  </si>
  <si>
    <t>1.101.06.305</t>
  </si>
  <si>
    <t>1.101.06.306</t>
  </si>
  <si>
    <t>1.101.06.307</t>
  </si>
  <si>
    <t>1.101.06.308</t>
  </si>
  <si>
    <t>1.101.06.309</t>
  </si>
  <si>
    <t>1.101.06.310</t>
  </si>
  <si>
    <t>1.101.06.311</t>
  </si>
  <si>
    <t>1.101.06.312</t>
  </si>
  <si>
    <t>1.101.06.313</t>
  </si>
  <si>
    <t>1.101.06.314</t>
  </si>
  <si>
    <t>1.101.06.315</t>
  </si>
  <si>
    <t>1.101.06.316</t>
  </si>
  <si>
    <t>1.101.06.317</t>
  </si>
  <si>
    <t>1.101.06.318</t>
  </si>
  <si>
    <t>1.101.06.319</t>
  </si>
  <si>
    <t>1.101.06.320</t>
  </si>
  <si>
    <t>1.101.06.321</t>
  </si>
  <si>
    <t>1.101.06.322</t>
  </si>
  <si>
    <t>1.101.06.323</t>
  </si>
  <si>
    <t>1.101.06.324</t>
  </si>
  <si>
    <t>1.101.06.325</t>
  </si>
  <si>
    <t>1.101.06.326</t>
  </si>
  <si>
    <t>1.101.06.327</t>
  </si>
  <si>
    <t>1.101.06.328</t>
  </si>
  <si>
    <t>1.101.06.329</t>
  </si>
  <si>
    <t>1.101.06.330</t>
  </si>
  <si>
    <t>1.101.06.331</t>
  </si>
  <si>
    <t>1.101.06.332</t>
  </si>
  <si>
    <t>1.101.06.333</t>
  </si>
  <si>
    <t>1.101.06.334</t>
  </si>
  <si>
    <t>1.101.06.335</t>
  </si>
  <si>
    <t>1.101.06.336</t>
  </si>
  <si>
    <t>1.101.06.337</t>
  </si>
  <si>
    <t>1.101.06.338</t>
  </si>
  <si>
    <t>1.101.06.339</t>
  </si>
  <si>
    <t>1.101.06.340</t>
  </si>
  <si>
    <t>1.101.06.341</t>
  </si>
  <si>
    <t>1.101.06.342</t>
  </si>
  <si>
    <t>1.101.06.343</t>
  </si>
  <si>
    <t>1.101.06.344</t>
  </si>
  <si>
    <t>1.101.06.345</t>
  </si>
  <si>
    <t>1.101.06.346</t>
  </si>
  <si>
    <t>1.101.06.347</t>
  </si>
  <si>
    <t>1.101.06.348</t>
  </si>
  <si>
    <t>1.101.06.349</t>
  </si>
  <si>
    <t>1.101.06.350</t>
  </si>
  <si>
    <t>1.101.06.351</t>
  </si>
  <si>
    <t>1.101.06.352</t>
  </si>
  <si>
    <t>1.101.06.353</t>
  </si>
  <si>
    <t>1.101.06.354</t>
  </si>
  <si>
    <t>1.101.06.355</t>
  </si>
  <si>
    <t>1.101.06.356</t>
  </si>
  <si>
    <t>1.101.06.357</t>
  </si>
  <si>
    <t>1.101.06.358</t>
  </si>
  <si>
    <t>1.101.06.359</t>
  </si>
  <si>
    <t>1.101.06.360</t>
  </si>
  <si>
    <t>1.101.06.361</t>
  </si>
  <si>
    <t>1.101.06.362</t>
  </si>
  <si>
    <t>1.101.06.363</t>
  </si>
  <si>
    <t>1.101.06.364</t>
  </si>
  <si>
    <t>1.101.06.365</t>
  </si>
  <si>
    <t>1.101.06.366</t>
  </si>
  <si>
    <t>1.101.06.367</t>
  </si>
  <si>
    <t>1.101.06.368</t>
  </si>
  <si>
    <t>1.101.06.369</t>
  </si>
  <si>
    <t>1.101.06.370</t>
  </si>
  <si>
    <t>1.101.06.371</t>
  </si>
  <si>
    <t>1.101.06.372</t>
  </si>
  <si>
    <t>1.101.06.373</t>
  </si>
  <si>
    <t>1.101.06.374</t>
  </si>
  <si>
    <t>1.101.06.375</t>
  </si>
  <si>
    <t>1.101.06.376</t>
  </si>
  <si>
    <t>1.101.06.377</t>
  </si>
  <si>
    <t>1.101.06.378</t>
  </si>
  <si>
    <t>1.101.06.379</t>
  </si>
  <si>
    <t>1.101.06.380</t>
  </si>
  <si>
    <t>1.101.06.381</t>
  </si>
  <si>
    <t>1.101.06.382</t>
  </si>
  <si>
    <t>1.101.06.383</t>
  </si>
  <si>
    <t>1.101.06.384</t>
  </si>
  <si>
    <t>1.101.06.385</t>
  </si>
  <si>
    <t>1.101.06.386</t>
  </si>
  <si>
    <t>1.101.06.387</t>
  </si>
  <si>
    <t>1.101.06.388</t>
  </si>
  <si>
    <t>1.101.06.389</t>
  </si>
  <si>
    <t>1.101.06.390</t>
  </si>
  <si>
    <t>1.101.06.391</t>
  </si>
  <si>
    <t>1.101.06.392</t>
  </si>
  <si>
    <t>1.101.06.393</t>
  </si>
  <si>
    <t>1.101.06.394</t>
  </si>
  <si>
    <t>1.101.06.395</t>
  </si>
  <si>
    <t>1.101.06.396</t>
  </si>
  <si>
    <t>1.101.06.397</t>
  </si>
  <si>
    <t>1.101.06.398</t>
  </si>
  <si>
    <t>1.101.06.399</t>
  </si>
  <si>
    <t>1.101.06.400</t>
  </si>
  <si>
    <t>1.101.06.401</t>
  </si>
  <si>
    <t>1.101.06.402</t>
  </si>
  <si>
    <t>1.101.06.403</t>
  </si>
  <si>
    <t>1.101.06.404</t>
  </si>
  <si>
    <t>1.101.06.405</t>
  </si>
  <si>
    <t>1.101.06.406</t>
  </si>
  <si>
    <t>1.101.06.407</t>
  </si>
  <si>
    <t>1.101.06.408</t>
  </si>
  <si>
    <t>1.101.06.409</t>
  </si>
  <si>
    <t>1.101.06.410</t>
  </si>
  <si>
    <t>1.101.06.411</t>
  </si>
  <si>
    <t>1.101.06.412</t>
  </si>
  <si>
    <t>1.101.06.413</t>
  </si>
  <si>
    <t>1.101.06.414</t>
  </si>
  <si>
    <t>1.101.06.415</t>
  </si>
  <si>
    <t>1.101.06.416</t>
  </si>
  <si>
    <t>1.101.06.417</t>
  </si>
  <si>
    <t>1.101.06.418</t>
  </si>
  <si>
    <t>1.101.06.419</t>
  </si>
  <si>
    <t>1.101.06.420</t>
  </si>
  <si>
    <t>1.101.06.421</t>
  </si>
  <si>
    <t>1.101.06.422</t>
  </si>
  <si>
    <t>1.101.06.423</t>
  </si>
  <si>
    <t>1.101.06.424</t>
  </si>
  <si>
    <t>1.101.06.425</t>
  </si>
  <si>
    <t>1.101.06.426</t>
  </si>
  <si>
    <t>1.101.06.427</t>
  </si>
  <si>
    <t>1.101.06.428</t>
  </si>
  <si>
    <t>1.101.06.429</t>
  </si>
  <si>
    <t>1.101.06.430</t>
  </si>
  <si>
    <t>1.101.06.431</t>
  </si>
  <si>
    <t>1.101.06.432</t>
  </si>
  <si>
    <t>1.101.06.433</t>
  </si>
  <si>
    <t>1.101.06.434</t>
  </si>
  <si>
    <t>1.101.06.435</t>
  </si>
  <si>
    <t>1.101.06.436</t>
  </si>
  <si>
    <t>1.101.06.437</t>
  </si>
  <si>
    <t>1.101.06.438</t>
  </si>
  <si>
    <t>1.101.06.439</t>
  </si>
  <si>
    <t>1.101.06.440</t>
  </si>
  <si>
    <t>1.101.06.441</t>
  </si>
  <si>
    <t>1.101.06.442</t>
  </si>
  <si>
    <t>1.101.06.443</t>
  </si>
  <si>
    <t>1.101.06.444</t>
  </si>
  <si>
    <t>1.101.06.445</t>
  </si>
  <si>
    <t>1.101.06.446</t>
  </si>
  <si>
    <t>1.101.06.447</t>
  </si>
  <si>
    <t>1.101.06.448</t>
  </si>
  <si>
    <t>1.101.06.449</t>
  </si>
  <si>
    <t>1.101.06.450</t>
  </si>
  <si>
    <t>1.101.06.451</t>
  </si>
  <si>
    <t>1.101.06.452</t>
  </si>
  <si>
    <t>1.101.06.453</t>
  </si>
  <si>
    <t>1.101.06.454</t>
  </si>
  <si>
    <t>1.101.06.455</t>
  </si>
  <si>
    <t>1.101.06.456</t>
  </si>
  <si>
    <t>1.101.06.457</t>
  </si>
  <si>
    <t>1.101.06.458</t>
  </si>
  <si>
    <t>1.101.06.459</t>
  </si>
  <si>
    <t>1.101.06.460</t>
  </si>
  <si>
    <t>1.101.06.461</t>
  </si>
  <si>
    <t>1.101.06.462</t>
  </si>
  <si>
    <t>1.101.06.463</t>
  </si>
  <si>
    <t>1.101.06.464</t>
  </si>
  <si>
    <t>1.101.06.465</t>
  </si>
  <si>
    <t>1.101.06.466</t>
  </si>
  <si>
    <t>1.101.06.467</t>
  </si>
  <si>
    <t>1.101.06.468</t>
  </si>
  <si>
    <t>1.101.06.469</t>
  </si>
  <si>
    <t>1.101.06.470</t>
  </si>
  <si>
    <t>1.101.06.471</t>
  </si>
  <si>
    <t>1.101.06.472</t>
  </si>
  <si>
    <t>1.101.06.473</t>
  </si>
  <si>
    <t>1.101.06.474</t>
  </si>
  <si>
    <t>1.101.06.475</t>
  </si>
  <si>
    <t>1.101.06.476</t>
  </si>
  <si>
    <t>1.101.06.477</t>
  </si>
  <si>
    <t>1.101.06.478</t>
  </si>
  <si>
    <t>1.101.06.479</t>
  </si>
  <si>
    <t>1.101.06.480</t>
  </si>
  <si>
    <t>1.101.06.481</t>
  </si>
  <si>
    <t>1.101.06.482</t>
  </si>
  <si>
    <t>1.101.06.483</t>
  </si>
  <si>
    <t>1.101.06.484</t>
  </si>
  <si>
    <t>1.101.06.485</t>
  </si>
  <si>
    <t>1.101.06.486</t>
  </si>
  <si>
    <t>1.101.06.487</t>
  </si>
  <si>
    <t>1.101.06.488</t>
  </si>
  <si>
    <t>1.101.06.489</t>
  </si>
  <si>
    <t>1.101.06.490</t>
  </si>
  <si>
    <t>1.101.06.491</t>
  </si>
  <si>
    <t>1.101.06.492</t>
  </si>
  <si>
    <t>1.101.06.493</t>
  </si>
  <si>
    <t>1.101.06.494</t>
  </si>
  <si>
    <t>1.101.06.495</t>
  </si>
  <si>
    <t>1.101.06.496</t>
  </si>
  <si>
    <t>1.101.06.497</t>
  </si>
  <si>
    <t>1.101.06.498</t>
  </si>
  <si>
    <t>1.101.06.499</t>
  </si>
  <si>
    <t>1.101.06.500</t>
  </si>
  <si>
    <t>1.101.06.501</t>
  </si>
  <si>
    <t>1.101.06.502</t>
  </si>
  <si>
    <t>1.101.06.503</t>
  </si>
  <si>
    <t>1.101.06.504</t>
  </si>
  <si>
    <t>1.101.06.505</t>
  </si>
  <si>
    <t>1.101.06.506</t>
  </si>
  <si>
    <t>1.101.06.507</t>
  </si>
  <si>
    <t>1.101.06.508</t>
  </si>
  <si>
    <t>1.101.06.509</t>
  </si>
  <si>
    <t>1.101.06.510</t>
  </si>
  <si>
    <t>1.101.06.511</t>
  </si>
  <si>
    <t>1.101.06.512</t>
  </si>
  <si>
    <t>1.101.06.513</t>
  </si>
  <si>
    <t>1.101.06.514</t>
  </si>
  <si>
    <t>1.101.06.515</t>
  </si>
  <si>
    <t>1.101.06.516</t>
  </si>
  <si>
    <t>1.101.06.517</t>
  </si>
  <si>
    <t>1.101.06.518</t>
  </si>
  <si>
    <t>1.101.06.519</t>
  </si>
  <si>
    <t>1.101.06.520</t>
  </si>
  <si>
    <t>1.101.06.522</t>
  </si>
  <si>
    <t>1.101.06.523</t>
  </si>
  <si>
    <t>1.101.06.524</t>
  </si>
  <si>
    <t>1.101.06.525</t>
  </si>
  <si>
    <t>1.101.06.526</t>
  </si>
  <si>
    <t>1.101.06.527</t>
  </si>
  <si>
    <t>1.101.06.528</t>
  </si>
  <si>
    <t>1.101.06.529</t>
  </si>
  <si>
    <t>1.101.06.530</t>
  </si>
  <si>
    <t>1.101.06.531</t>
  </si>
  <si>
    <t>1.101.06.532</t>
  </si>
  <si>
    <t>1.101.06.533</t>
  </si>
  <si>
    <t>1.101.06.534</t>
  </si>
  <si>
    <t>1.101.06.535</t>
  </si>
  <si>
    <t>1.101.06.536</t>
  </si>
  <si>
    <t>1.101.06.537</t>
  </si>
  <si>
    <t>1.101.06.538</t>
  </si>
  <si>
    <t>1.101.06.539</t>
  </si>
  <si>
    <t>1.101.06.540</t>
  </si>
  <si>
    <t>1.101.06.541</t>
  </si>
  <si>
    <t>1.101.06.542</t>
  </si>
  <si>
    <t>1.101.06.543</t>
  </si>
  <si>
    <t>1.101.06.545</t>
  </si>
  <si>
    <t>1.101.06.544</t>
  </si>
  <si>
    <t>1.101.06.546</t>
  </si>
  <si>
    <t>1.101.06.547</t>
  </si>
  <si>
    <t>1.101.06.550</t>
  </si>
  <si>
    <t>1.101.06.551</t>
  </si>
  <si>
    <t>1.101.06.553</t>
  </si>
  <si>
    <t>1.101.06.556</t>
  </si>
  <si>
    <t>1.101.06.557</t>
  </si>
  <si>
    <t>1.101.06.567</t>
  </si>
  <si>
    <t>1.101.06.568</t>
  </si>
  <si>
    <t>1.101.06.569</t>
  </si>
  <si>
    <t>1.101.06.573</t>
  </si>
  <si>
    <t>1.101.06.574</t>
  </si>
  <si>
    <t>1.101.06.575</t>
  </si>
  <si>
    <t>1.101.06.576</t>
  </si>
  <si>
    <t>1.101.06.577</t>
  </si>
  <si>
    <t>1.101.06.580</t>
  </si>
  <si>
    <t>1.101.06.581</t>
  </si>
  <si>
    <t>1.101.06.582</t>
  </si>
  <si>
    <t>1.101.06.586</t>
  </si>
  <si>
    <t>1.101.06.600</t>
  </si>
  <si>
    <t>1.101.06.599</t>
  </si>
  <si>
    <t>1.101.06.598</t>
  </si>
  <si>
    <t>1.101.06.597</t>
  </si>
  <si>
    <t>1.101.06.596</t>
  </si>
  <si>
    <t>1.101.06.595</t>
  </si>
  <si>
    <t>1.101.06.594</t>
  </si>
  <si>
    <t>1.101.06.593</t>
  </si>
  <si>
    <t>1.101.06.592</t>
  </si>
  <si>
    <t>1.101.06.591</t>
  </si>
  <si>
    <t>1.101.06.601</t>
  </si>
  <si>
    <t>1.101.06.863</t>
  </si>
  <si>
    <t>1.101.06.892</t>
  </si>
  <si>
    <t>1.101.06.893</t>
  </si>
  <si>
    <t>1.101.06.898</t>
  </si>
  <si>
    <t>1.101.06.899</t>
  </si>
  <si>
    <t>1.101.06.900</t>
  </si>
  <si>
    <t>1.101.06.901</t>
  </si>
  <si>
    <t>1.101.06.1033</t>
  </si>
  <si>
    <t>1.101.06.1034</t>
  </si>
  <si>
    <t>1.101.06.1035</t>
  </si>
  <si>
    <t>1.101.06.1036</t>
  </si>
  <si>
    <t>1.101.04.1014</t>
  </si>
  <si>
    <t>1.101.06.971</t>
  </si>
  <si>
    <t>1.101.06.972</t>
  </si>
  <si>
    <t>1.101.06.1029</t>
  </si>
  <si>
    <t>1.101.06.1030</t>
  </si>
  <si>
    <t>1.104.01.1031</t>
  </si>
  <si>
    <t>1.101.06.966</t>
  </si>
  <si>
    <t>1.101.06.967</t>
  </si>
  <si>
    <t>1.101.06.968</t>
  </si>
  <si>
    <t>1.101.04.955</t>
  </si>
  <si>
    <t>1.101.06.956</t>
  </si>
  <si>
    <t>1.101.04.957</t>
  </si>
  <si>
    <t>1.101.06.958</t>
  </si>
  <si>
    <t>1.101.06.959</t>
  </si>
  <si>
    <t>1.101.06.960</t>
  </si>
  <si>
    <t>1.101.06.961</t>
  </si>
  <si>
    <t>1.101.06.962</t>
  </si>
  <si>
    <t>1.101.06.963</t>
  </si>
  <si>
    <t>1.101.06.964</t>
  </si>
  <si>
    <t>1.101.06.965</t>
  </si>
  <si>
    <t>1.101.06.1017</t>
  </si>
  <si>
    <t>1.101.06.1018</t>
  </si>
  <si>
    <t>1.101.06.1020</t>
  </si>
  <si>
    <t>1.101.06.1021</t>
  </si>
  <si>
    <t>1.101.06.1022</t>
  </si>
  <si>
    <t>1.101.06.1023</t>
  </si>
  <si>
    <t>1.101.06.1024</t>
  </si>
  <si>
    <t>1.101.06.1025</t>
  </si>
  <si>
    <t>1.101.06.1126</t>
  </si>
  <si>
    <t>1.101.06.1027</t>
  </si>
  <si>
    <t>1.101.04.375</t>
  </si>
  <si>
    <t>1.101.06.897</t>
  </si>
  <si>
    <t>1.101.06.1031</t>
  </si>
  <si>
    <t>1.101.06.1032</t>
  </si>
  <si>
    <t>1.101.06.969</t>
  </si>
  <si>
    <t>1.101.06.970</t>
  </si>
  <si>
    <t>1.101.06.985</t>
  </si>
  <si>
    <t>1.101.06.976</t>
  </si>
  <si>
    <t>1.101.06.975</t>
  </si>
  <si>
    <t>1.101.06.1127</t>
  </si>
  <si>
    <t>1.101.03.002</t>
  </si>
  <si>
    <t>1.101.05.023</t>
  </si>
  <si>
    <t>1.101.05.010</t>
  </si>
  <si>
    <t>1.101.05.022</t>
  </si>
  <si>
    <t>1.101.05.002</t>
  </si>
  <si>
    <t>1.101.05.013</t>
  </si>
  <si>
    <t>Конвектор "Electrolux"</t>
  </si>
  <si>
    <t>Брошюровочная машинка "Fellowes"</t>
  </si>
  <si>
    <t>Кондиционер Panasonic</t>
  </si>
  <si>
    <t>Аппарат для воды (напольный)</t>
  </si>
  <si>
    <t>Ксерокс "Canon"</t>
  </si>
  <si>
    <t>Системный блок Celeron</t>
  </si>
  <si>
    <t>Системный блок Pentium</t>
  </si>
  <si>
    <t>Принтер лазерный НР LaserJet 1102</t>
  </si>
  <si>
    <t>Блок бесперебойного питания ИБП</t>
  </si>
  <si>
    <t>Принтер НР Laser Jet 1102</t>
  </si>
  <si>
    <t>Принтер НР Laser Jet Р2055</t>
  </si>
  <si>
    <t>Телефакс "Panasonic"</t>
  </si>
  <si>
    <t>Многофункциональное устройство Ricoh Aficio</t>
  </si>
  <si>
    <t>23.12.2013</t>
  </si>
  <si>
    <t>13 588,68</t>
  </si>
  <si>
    <t>19.12.2013</t>
  </si>
  <si>
    <t>06.12.2013</t>
  </si>
  <si>
    <t>18.09.2014</t>
  </si>
  <si>
    <t>01.10.2014</t>
  </si>
  <si>
    <t>29.05.2007</t>
  </si>
  <si>
    <t>30.05.2005</t>
  </si>
  <si>
    <t>29.12.2005</t>
  </si>
  <si>
    <t>20.12.2005</t>
  </si>
  <si>
    <t>28.02.2008</t>
  </si>
  <si>
    <t>31.01.2008</t>
  </si>
  <si>
    <t>22.08.2008</t>
  </si>
  <si>
    <t>23.12.2005</t>
  </si>
  <si>
    <t>18.05.2011</t>
  </si>
  <si>
    <t>09.07.2012</t>
  </si>
  <si>
    <t>04.09.2012</t>
  </si>
  <si>
    <t>18.12.2012</t>
  </si>
  <si>
    <t>28.12.2012</t>
  </si>
  <si>
    <t>акт ввода в эксплуатации</t>
  </si>
  <si>
    <t>Автомобиль ГАЗ 31105</t>
  </si>
  <si>
    <t>20.06.2014</t>
  </si>
  <si>
    <t>Стол с подвесной тумбой</t>
  </si>
  <si>
    <t xml:space="preserve">Кресло </t>
  </si>
  <si>
    <t>Шкаф открытый</t>
  </si>
  <si>
    <t>Тумба приставная</t>
  </si>
  <si>
    <t>Стол письменный "Эдют"</t>
  </si>
  <si>
    <t>Кресло компьютерное "Престиж"</t>
  </si>
  <si>
    <t>СВЧ-печь LG</t>
  </si>
  <si>
    <t>Стол компьютерный</t>
  </si>
  <si>
    <t>Шкаф-купе архив</t>
  </si>
  <si>
    <t>24.12.2013</t>
  </si>
  <si>
    <t>23.12.2014</t>
  </si>
  <si>
    <t>29.12.2014</t>
  </si>
  <si>
    <t>26.08.2014</t>
  </si>
  <si>
    <t>09.12.2014</t>
  </si>
  <si>
    <t>31.05.2005</t>
  </si>
  <si>
    <t>27.11.2007</t>
  </si>
  <si>
    <t>27.06.2002</t>
  </si>
  <si>
    <t>27.05.2008</t>
  </si>
  <si>
    <t>20.07.2012</t>
  </si>
  <si>
    <t>07.11.2012</t>
  </si>
  <si>
    <t>Гончарный круг Shimpo</t>
  </si>
  <si>
    <t>63 000,00</t>
  </si>
  <si>
    <t>Станок "Рейсмус"</t>
  </si>
  <si>
    <t>Внешний жесткий диск</t>
  </si>
  <si>
    <t>Проектор Acer</t>
  </si>
  <si>
    <t>Аэрограф</t>
  </si>
  <si>
    <t>Компрессор</t>
  </si>
  <si>
    <t>Копировательный аппарат Canon</t>
  </si>
  <si>
    <t>Магнитола</t>
  </si>
  <si>
    <t>Музыкальный центр Daewoo</t>
  </si>
  <si>
    <t>Многофункциональное устройство НР</t>
  </si>
  <si>
    <t>Пила диск Макита</t>
  </si>
  <si>
    <t>Принтер лазерный Samsung</t>
  </si>
  <si>
    <t>Принтер струйный НР</t>
  </si>
  <si>
    <t>Сварочный аппарат</t>
  </si>
  <si>
    <t>Цифровой фотоаппарат Panasonic</t>
  </si>
  <si>
    <t>Шуруповёрт Макита</t>
  </si>
  <si>
    <t>Планшет "Pocketbook"</t>
  </si>
  <si>
    <t>Лупа с подсветкой</t>
  </si>
  <si>
    <t>Принтер/копир/сканер "Canon" лазерный</t>
  </si>
  <si>
    <t>Системный блок "Winard"</t>
  </si>
  <si>
    <t>Принтер НР Officejet 7000 А3 цветной</t>
  </si>
  <si>
    <t>Ноутбук "Lenovo"</t>
  </si>
  <si>
    <t>Пила циркулярная</t>
  </si>
  <si>
    <t>Пила отрезная по металлу Sturm</t>
  </si>
  <si>
    <t>Манекен человека</t>
  </si>
  <si>
    <t>Дриммер</t>
  </si>
  <si>
    <t>Видеомагнитофон LG</t>
  </si>
  <si>
    <t>Камерная печь</t>
  </si>
  <si>
    <t>Ноутбук Asus</t>
  </si>
  <si>
    <t>Печь муфельная</t>
  </si>
  <si>
    <t>Пианино "Заря"</t>
  </si>
  <si>
    <t>Принтер Canon</t>
  </si>
  <si>
    <t>Принтер Laser Jet</t>
  </si>
  <si>
    <t>Принтер НР</t>
  </si>
  <si>
    <t>15 400,00</t>
  </si>
  <si>
    <t>4 180,00</t>
  </si>
  <si>
    <t>20 268,00</t>
  </si>
  <si>
    <t>3 559,25</t>
  </si>
  <si>
    <t>3 935,00</t>
  </si>
  <si>
    <t>6 916,00</t>
  </si>
  <si>
    <t>8 190,00</t>
  </si>
  <si>
    <t>5 250,00</t>
  </si>
  <si>
    <t>4 890,20</t>
  </si>
  <si>
    <t>4 790,00</t>
  </si>
  <si>
    <t>8 106,00</t>
  </si>
  <si>
    <t>5 690,00</t>
  </si>
  <si>
    <t>4 140,00</t>
  </si>
  <si>
    <t>15 201,00</t>
  </si>
  <si>
    <t>9 990,00</t>
  </si>
  <si>
    <t>6 376,00</t>
  </si>
  <si>
    <t>20 355,00</t>
  </si>
  <si>
    <t>19 900,00</t>
  </si>
  <si>
    <t>3 600,00</t>
  </si>
  <si>
    <t>8 218,00</t>
  </si>
  <si>
    <t>16 962,00</t>
  </si>
  <si>
    <t>10 100,00</t>
  </si>
  <si>
    <t>27 585,00</t>
  </si>
  <si>
    <t>3 550,00</t>
  </si>
  <si>
    <t>6 270,00</t>
  </si>
  <si>
    <t>8 331,00</t>
  </si>
  <si>
    <t>13 333,00</t>
  </si>
  <si>
    <t>10 887,00</t>
  </si>
  <si>
    <t>3 524,00</t>
  </si>
  <si>
    <t>6 230,84</t>
  </si>
  <si>
    <t>72 741,69</t>
  </si>
  <si>
    <t>39 020,00</t>
  </si>
  <si>
    <t>36 415,00</t>
  </si>
  <si>
    <t>70 941,25</t>
  </si>
  <si>
    <t>4 461,09</t>
  </si>
  <si>
    <t>4 508,40</t>
  </si>
  <si>
    <t>6 882,24</t>
  </si>
  <si>
    <t>7 496,00</t>
  </si>
  <si>
    <t>Телевизор</t>
  </si>
  <si>
    <t>Раскатчик малый для глиняных пластов</t>
  </si>
  <si>
    <t>Аудимагнитола LG</t>
  </si>
  <si>
    <t>Магнитола Panasonic</t>
  </si>
  <si>
    <t>Стол компьютерный "Сигма 4"</t>
  </si>
  <si>
    <t>Штендер</t>
  </si>
  <si>
    <t>Телевизор LED Izumi</t>
  </si>
  <si>
    <t>Телевизор Supra</t>
  </si>
  <si>
    <t>Витрина</t>
  </si>
  <si>
    <t>Насадка на гончарный круг</t>
  </si>
  <si>
    <t>Инструмент ручной гибочный</t>
  </si>
  <si>
    <t>Станок деревообрабатывающий</t>
  </si>
  <si>
    <t>Станок токарный по металлу</t>
  </si>
  <si>
    <t>Станок вертикально-сверлильный настольный</t>
  </si>
  <si>
    <t>Верстак комбинированный</t>
  </si>
  <si>
    <t>Верстак столярный</t>
  </si>
  <si>
    <t>Вешалка стойка</t>
  </si>
  <si>
    <t>Доска аудиторская</t>
  </si>
  <si>
    <t>Доска поворотная передвижная</t>
  </si>
  <si>
    <t>Журнальный столик</t>
  </si>
  <si>
    <t>Набор мебели для холла (диван, 2 кресла)</t>
  </si>
  <si>
    <t>Секция дивана угловая</t>
  </si>
  <si>
    <t>Стол письменый</t>
  </si>
  <si>
    <t>Шкаф (12 шт.)</t>
  </si>
  <si>
    <t>Пила настольная</t>
  </si>
  <si>
    <t>20 915,00</t>
  </si>
  <si>
    <t>10 200,00</t>
  </si>
  <si>
    <t>4 190,90</t>
  </si>
  <si>
    <t>4 690,90</t>
  </si>
  <si>
    <t>8 040,00</t>
  </si>
  <si>
    <t>3 773,00</t>
  </si>
  <si>
    <t>6 995,00</t>
  </si>
  <si>
    <t>6 300,00</t>
  </si>
  <si>
    <t>13 490,00</t>
  </si>
  <si>
    <t>22 761,00</t>
  </si>
  <si>
    <t>5 565,00</t>
  </si>
  <si>
    <t>12 005,00</t>
  </si>
  <si>
    <t>49 638,00</t>
  </si>
  <si>
    <t>10 045,81</t>
  </si>
  <si>
    <t>24 853,00</t>
  </si>
  <si>
    <t>11 639,00</t>
  </si>
  <si>
    <t>8 316,00</t>
  </si>
  <si>
    <t>7 473,00</t>
  </si>
  <si>
    <t>4 299,30</t>
  </si>
  <si>
    <t>4 572,00</t>
  </si>
  <si>
    <t>3 937,00</t>
  </si>
  <si>
    <t>16 084,55</t>
  </si>
  <si>
    <t>11 407,00</t>
  </si>
  <si>
    <t>3 911,60</t>
  </si>
  <si>
    <t>46 974,62</t>
  </si>
  <si>
    <t>56 913,92</t>
  </si>
  <si>
    <t>6 509,10</t>
  </si>
  <si>
    <t>3 216,91</t>
  </si>
  <si>
    <t>7 759,70</t>
  </si>
  <si>
    <t>11 948,92</t>
  </si>
  <si>
    <t>Книжный фонд ДХШ</t>
  </si>
  <si>
    <t>Книжный фонд</t>
  </si>
  <si>
    <t>3 149,11</t>
  </si>
  <si>
    <t>3 671,64</t>
  </si>
  <si>
    <t>Чучело "Белочка" настенное</t>
  </si>
  <si>
    <t>Чучело "Белочка" настольное</t>
  </si>
  <si>
    <t>Чучело "Глухарь"</t>
  </si>
  <si>
    <t>Чучело "Фазан"</t>
  </si>
  <si>
    <t>Чучело "Куница"</t>
  </si>
  <si>
    <t>Чучело "Турухтан"</t>
  </si>
  <si>
    <t>Чучело "Сойка"</t>
  </si>
  <si>
    <t>Чучело лисицы</t>
  </si>
  <si>
    <t>Гипсовая ваза греческая</t>
  </si>
  <si>
    <t>Гипсовый бюст Аполлона Бельведерского</t>
  </si>
  <si>
    <t>Гипсовый бюст Баттиста Сфорца</t>
  </si>
  <si>
    <t>Гипсовый бюст Венера</t>
  </si>
  <si>
    <t>Гипсовый бюст Гомер</t>
  </si>
  <si>
    <t>Гипсовый бюст Сатир</t>
  </si>
  <si>
    <t>Гипсовая фигура лучник</t>
  </si>
  <si>
    <t>Гипсовая лошадь</t>
  </si>
  <si>
    <t>Гипсовая статуя Венера Милосская</t>
  </si>
  <si>
    <t>Гипсовый торс Мюнхенский с головой</t>
  </si>
  <si>
    <t>4 900,00</t>
  </si>
  <si>
    <t>15 000,00</t>
  </si>
  <si>
    <t>13 500,00</t>
  </si>
  <si>
    <t>8 500,00</t>
  </si>
  <si>
    <t>6 800,00</t>
  </si>
  <si>
    <t>22 000,00</t>
  </si>
  <si>
    <t>6 125,00</t>
  </si>
  <si>
    <t>7 999,00</t>
  </si>
  <si>
    <t>3 850,00</t>
  </si>
  <si>
    <t>7 900,00</t>
  </si>
  <si>
    <t>9 975,00</t>
  </si>
  <si>
    <t>Железное ограждение</t>
  </si>
  <si>
    <t>1 116 654,19</t>
  </si>
  <si>
    <t>акт ввода в эксп.</t>
  </si>
  <si>
    <t>Система видеонаблюдения</t>
  </si>
  <si>
    <t>Клавинова Yamaha</t>
  </si>
  <si>
    <t>Баян "Тула-209"</t>
  </si>
  <si>
    <t>Рояль "Weber"</t>
  </si>
  <si>
    <t>Пианино "Yamaha"</t>
  </si>
  <si>
    <t>79 494,89</t>
  </si>
  <si>
    <t>30 000,00</t>
  </si>
  <si>
    <t>44 032,50</t>
  </si>
  <si>
    <t>25 500,00</t>
  </si>
  <si>
    <t>295 000,00</t>
  </si>
  <si>
    <t>144 400,00</t>
  </si>
  <si>
    <t>Телевизор Thomson</t>
  </si>
  <si>
    <t>Телевизор LG</t>
  </si>
  <si>
    <t>Графический планшет Wacon Bamboo</t>
  </si>
  <si>
    <t>Проектор "Epson"</t>
  </si>
  <si>
    <t>Бензотриммер</t>
  </si>
  <si>
    <t>Компьютер Optimum</t>
  </si>
  <si>
    <t>Цифровой сенсорный микшер</t>
  </si>
  <si>
    <t>Оверлок</t>
  </si>
  <si>
    <t>Акустическая система Alto</t>
  </si>
  <si>
    <t>Баян</t>
  </si>
  <si>
    <t>Баян "Тула"</t>
  </si>
  <si>
    <t>Видеокамера "Panasonic"</t>
  </si>
  <si>
    <t>Видеомагнитофон</t>
  </si>
  <si>
    <t>Гитара классическая Strunal Cremona</t>
  </si>
  <si>
    <t>Магнитола JVC</t>
  </si>
  <si>
    <t>Магнитофон</t>
  </si>
  <si>
    <t>Магнитофон LG</t>
  </si>
  <si>
    <t>Магнитофон Sony</t>
  </si>
  <si>
    <t>Микшерный пульт</t>
  </si>
  <si>
    <t>Музыкальный центр-караоке LG</t>
  </si>
  <si>
    <t>Музыкальный центр Sony</t>
  </si>
  <si>
    <t>Принтер Samsung</t>
  </si>
  <si>
    <t>Радиосистема</t>
  </si>
  <si>
    <t>Скрипка "Caprice"</t>
  </si>
  <si>
    <t>Телевизор Samsung</t>
  </si>
  <si>
    <t>Флейта</t>
  </si>
  <si>
    <t>Фотоаппарат Canon</t>
  </si>
  <si>
    <t>Цифровое пианино Yamaha</t>
  </si>
  <si>
    <t>Цифровое фортепиано Privia</t>
  </si>
  <si>
    <t>Цифровой фотоаппарат "Panasonic"</t>
  </si>
  <si>
    <t>Многофункциональное устройство Canon i-Sensys</t>
  </si>
  <si>
    <t>Скрипка "Strunal Cremona"</t>
  </si>
  <si>
    <t>Гитара классическая "Alhambra"</t>
  </si>
  <si>
    <t>Система охранной сигнализации</t>
  </si>
  <si>
    <t>Графический планшет Wacom Bamboo</t>
  </si>
  <si>
    <t>Аудиомагнитола</t>
  </si>
  <si>
    <t>Микросистема</t>
  </si>
  <si>
    <t>Ноутбук Levono</t>
  </si>
  <si>
    <t>Акустическая система с сабвуфером и комплектацией</t>
  </si>
  <si>
    <t>Аккордеон</t>
  </si>
  <si>
    <t>Аккордеон Roval-standart</t>
  </si>
  <si>
    <t>Аккордеон Stella</t>
  </si>
  <si>
    <t>Активная система Fender</t>
  </si>
  <si>
    <t>Баян "Готово-выборочный"</t>
  </si>
  <si>
    <t>Баян "Концертный"</t>
  </si>
  <si>
    <t>Баян "Москва"</t>
  </si>
  <si>
    <t>Баян "Рубин"</t>
  </si>
  <si>
    <t>Гитара Martinez</t>
  </si>
  <si>
    <t>Компьютер LG</t>
  </si>
  <si>
    <t>Ксерокс "Canon NP"</t>
  </si>
  <si>
    <t>Магнитофон Panasonic</t>
  </si>
  <si>
    <t>Пианино "Лирика"</t>
  </si>
  <si>
    <t>Пианино "Родина"</t>
  </si>
  <si>
    <t>Пианино "Рубенштейн"</t>
  </si>
  <si>
    <t>Рояль "Красный октябрь"</t>
  </si>
  <si>
    <t>Саксафон-тенор</t>
  </si>
  <si>
    <t>Световой занавес</t>
  </si>
  <si>
    <t>Синтезатор Yamaha</t>
  </si>
  <si>
    <t>Скрипка с футляром</t>
  </si>
  <si>
    <t>Труба "Амати"</t>
  </si>
  <si>
    <t>Труба "Музыка-907"</t>
  </si>
  <si>
    <t>Ударная установка</t>
  </si>
  <si>
    <t>19 500,00</t>
  </si>
  <si>
    <t>17 900,00</t>
  </si>
  <si>
    <t>8 110,00</t>
  </si>
  <si>
    <t>27 960,00</t>
  </si>
  <si>
    <t>37 585,00</t>
  </si>
  <si>
    <t>95 790,00</t>
  </si>
  <si>
    <t>8 250,00</t>
  </si>
  <si>
    <t>28 400,00</t>
  </si>
  <si>
    <t>5 550,00</t>
  </si>
  <si>
    <t>13 456,80</t>
  </si>
  <si>
    <t>42 474,30</t>
  </si>
  <si>
    <t>6 059,48</t>
  </si>
  <si>
    <t>11 400,00</t>
  </si>
  <si>
    <t>8 455,80</t>
  </si>
  <si>
    <t>3 570,00</t>
  </si>
  <si>
    <t>3 990,00</t>
  </si>
  <si>
    <t>4 990,00</t>
  </si>
  <si>
    <t>7 200,00</t>
  </si>
  <si>
    <t>5 703,84</t>
  </si>
  <si>
    <t>15 990,00</t>
  </si>
  <si>
    <t>27 180,00</t>
  </si>
  <si>
    <t>4 755,00</t>
  </si>
  <si>
    <t>16 800,00</t>
  </si>
  <si>
    <t>9 530,00</t>
  </si>
  <si>
    <t>9 102,00</t>
  </si>
  <si>
    <t>8 696,52</t>
  </si>
  <si>
    <t>9 657,00</t>
  </si>
  <si>
    <t>5 203,00</t>
  </si>
  <si>
    <t>81 000,00</t>
  </si>
  <si>
    <t>26 400,00</t>
  </si>
  <si>
    <t>23 270,00</t>
  </si>
  <si>
    <t>11 670,00</t>
  </si>
  <si>
    <t>14 500,00</t>
  </si>
  <si>
    <t>50 907,36</t>
  </si>
  <si>
    <t>5 385,00</t>
  </si>
  <si>
    <t>8 999,00</t>
  </si>
  <si>
    <t>9 999,00</t>
  </si>
  <si>
    <t>16 830,00</t>
  </si>
  <si>
    <t>80 074,00</t>
  </si>
  <si>
    <t xml:space="preserve">10 676,56
</t>
  </si>
  <si>
    <t>6 020,43</t>
  </si>
  <si>
    <t>5 251,59</t>
  </si>
  <si>
    <t>5 252,88</t>
  </si>
  <si>
    <t>3 178,56</t>
  </si>
  <si>
    <t>41 690,22</t>
  </si>
  <si>
    <t>3 393,99</t>
  </si>
  <si>
    <t>3 148,89</t>
  </si>
  <si>
    <t>3 308,85</t>
  </si>
  <si>
    <t>3 500,00</t>
  </si>
  <si>
    <t>27 805,00</t>
  </si>
  <si>
    <t>16 476,48</t>
  </si>
  <si>
    <t>4 253,06</t>
  </si>
  <si>
    <t>6 366,15</t>
  </si>
  <si>
    <t>6 367,44</t>
  </si>
  <si>
    <t>5 420,58</t>
  </si>
  <si>
    <t>6 364,86</t>
  </si>
  <si>
    <t>5 184,51</t>
  </si>
  <si>
    <t>4 164,12</t>
  </si>
  <si>
    <t>15 321,33</t>
  </si>
  <si>
    <t>5 917,23</t>
  </si>
  <si>
    <t>10 800,00</t>
  </si>
  <si>
    <t>39 461,10</t>
  </si>
  <si>
    <t>7 044,69</t>
  </si>
  <si>
    <t>10 977,90</t>
  </si>
  <si>
    <t>7 378,80</t>
  </si>
  <si>
    <t>12 230,49</t>
  </si>
  <si>
    <t>Стол переговорный</t>
  </si>
  <si>
    <t>Стеллаж</t>
  </si>
  <si>
    <t>Холодильник "Атлант"</t>
  </si>
  <si>
    <t>Аудиопособие (40 дисков)</t>
  </si>
  <si>
    <t>Витрина "Лида"</t>
  </si>
  <si>
    <t>Жалюзи (8 шт.)</t>
  </si>
  <si>
    <t>Ключница</t>
  </si>
  <si>
    <t>Кресло руководителя</t>
  </si>
  <si>
    <t>Педаль</t>
  </si>
  <si>
    <t>Стенд "Граммоты"</t>
  </si>
  <si>
    <t>Стенд "Наша гордость"</t>
  </si>
  <si>
    <t>Стенд "Наша жизнь"</t>
  </si>
  <si>
    <t>Стенд 0,75х1,5м.</t>
  </si>
  <si>
    <t>Стенд 1,0х1,5м.</t>
  </si>
  <si>
    <t>Тумба многоцелевого назначения</t>
  </si>
  <si>
    <t>Шкаф для книг со стеклом</t>
  </si>
  <si>
    <t>Лестница-стремянка</t>
  </si>
  <si>
    <t>Стенд "Граммоты" (1,5х1,5м.)</t>
  </si>
  <si>
    <t>Стенд "Пожарная безопасность"</t>
  </si>
  <si>
    <t>Стенд "Угроза терроризма"</t>
  </si>
  <si>
    <t>Кресло черное</t>
  </si>
  <si>
    <t>Проекционный столик</t>
  </si>
  <si>
    <t>Тумба сервисная</t>
  </si>
  <si>
    <t>Шкаф комбинированный</t>
  </si>
  <si>
    <t>Гардероб средний</t>
  </si>
  <si>
    <t>Боковины</t>
  </si>
  <si>
    <t>Топ</t>
  </si>
  <si>
    <t>Витраж</t>
  </si>
  <si>
    <t>Банкетка с подъёмным механизмом</t>
  </si>
  <si>
    <t>Доска поворотная</t>
  </si>
  <si>
    <t>Жалюзи (4 шт.)</t>
  </si>
  <si>
    <t>Жалюзи 27 м3 (6 шт.)</t>
  </si>
  <si>
    <t>Кресло трехместное (35шт.)</t>
  </si>
  <si>
    <t>Мемориальная гранитная доска</t>
  </si>
  <si>
    <t>Стенд "Выпускники"</t>
  </si>
  <si>
    <t>Многоместная секция тройка</t>
  </si>
  <si>
    <t>8 184,16</t>
  </si>
  <si>
    <t>9 249,22</t>
  </si>
  <si>
    <t>3 480,00</t>
  </si>
  <si>
    <t>3 248,00</t>
  </si>
  <si>
    <t>10 500,00</t>
  </si>
  <si>
    <t>7 076,00</t>
  </si>
  <si>
    <t>9 500,00</t>
  </si>
  <si>
    <t>36 976,19</t>
  </si>
  <si>
    <t>5 380,00</t>
  </si>
  <si>
    <t>7 969,00</t>
  </si>
  <si>
    <t>7 531,02</t>
  </si>
  <si>
    <t>5 358,00</t>
  </si>
  <si>
    <t>24 090,00</t>
  </si>
  <si>
    <t>8 100,00</t>
  </si>
  <si>
    <t>4 320,00</t>
  </si>
  <si>
    <t>10 890,00</t>
  </si>
  <si>
    <t>4 200,00</t>
  </si>
  <si>
    <t>6 200,00</t>
  </si>
  <si>
    <t>8 300,00</t>
  </si>
  <si>
    <t>3 200,00</t>
  </si>
  <si>
    <t>8 000,00</t>
  </si>
  <si>
    <t>4 130,00</t>
  </si>
  <si>
    <t>4 885,00</t>
  </si>
  <si>
    <t>10 673,10</t>
  </si>
  <si>
    <t>27 930,60</t>
  </si>
  <si>
    <t>6 531,30</t>
  </si>
  <si>
    <t>4 619,70</t>
  </si>
  <si>
    <t>3 239,10</t>
  </si>
  <si>
    <t>4 954,00</t>
  </si>
  <si>
    <t>6 630,00</t>
  </si>
  <si>
    <t>4 350,00</t>
  </si>
  <si>
    <t>13 993,68</t>
  </si>
  <si>
    <t>24 979,00</t>
  </si>
  <si>
    <t>138 604,20</t>
  </si>
  <si>
    <t>9 625,34</t>
  </si>
  <si>
    <t>3 516,80</t>
  </si>
  <si>
    <t>4 236,00</t>
  </si>
  <si>
    <t>Книжный фонд ДШИ</t>
  </si>
  <si>
    <t>3 868,13</t>
  </si>
  <si>
    <t>Костюм русский со шнуровкой</t>
  </si>
  <si>
    <t>Муляжи и наборы для лепки</t>
  </si>
  <si>
    <t>4 500,00</t>
  </si>
  <si>
    <t>17 800,00</t>
  </si>
  <si>
    <t>Видеокамера "Sony"</t>
  </si>
  <si>
    <t>Компьютер Notebook LG</t>
  </si>
  <si>
    <t>Ксерокс Canon FC-128</t>
  </si>
  <si>
    <t>Автобус Higer KLG 6840 Q</t>
  </si>
  <si>
    <t>Автомобиль ГАЗ 32213</t>
  </si>
  <si>
    <t>Ноутбук Samsung</t>
  </si>
  <si>
    <t>Шкаф архивный</t>
  </si>
  <si>
    <t>Бассейн сухой</t>
  </si>
  <si>
    <t>Комплект модулей гимнастических мягких (6 элементов) (2 шт.)</t>
  </si>
  <si>
    <t>Набор для подвижных игр (2 шт.)</t>
  </si>
  <si>
    <t>Рапира тренировочная (15 шт.)</t>
  </si>
  <si>
    <t>Набор знаков ПДД+ стойка для дорожного знака 10шт.</t>
  </si>
  <si>
    <t>30.08.2006</t>
  </si>
  <si>
    <t>31.08.2006</t>
  </si>
  <si>
    <t>2 635 619,56</t>
  </si>
  <si>
    <t>20.12.2007</t>
  </si>
  <si>
    <t>20.12.2010</t>
  </si>
  <si>
    <t>08.10.2013</t>
  </si>
  <si>
    <t>29.12.2007</t>
  </si>
  <si>
    <t>22.12.2007</t>
  </si>
  <si>
    <t>Светильник "250 UMA"</t>
  </si>
  <si>
    <t>Радиосистема "Shure"</t>
  </si>
  <si>
    <t>Аппарат для воды</t>
  </si>
  <si>
    <t>Аппарат для воды настольный</t>
  </si>
  <si>
    <t>Видеодвойка LG</t>
  </si>
  <si>
    <t>Видеокамера SONY</t>
  </si>
  <si>
    <t>Водонагреватель ВЭП-15</t>
  </si>
  <si>
    <t>Двухканальный подавитель акустический</t>
  </si>
  <si>
    <t>Домашний кинотеатр Panasonic</t>
  </si>
  <si>
    <t>Душевая кабина ESW</t>
  </si>
  <si>
    <t>Душевая кабина угловая</t>
  </si>
  <si>
    <t>Кабина душевая</t>
  </si>
  <si>
    <t>ККМ Элвис-Микро</t>
  </si>
  <si>
    <t>Компьютер Notebook</t>
  </si>
  <si>
    <t>Кондиционер "Daikin"</t>
  </si>
  <si>
    <t>Кондиционер "Sanyo"</t>
  </si>
  <si>
    <t>Копир Canon</t>
  </si>
  <si>
    <t>Копир-принтер Xerox</t>
  </si>
  <si>
    <t>Ледогенератор</t>
  </si>
  <si>
    <t>Лестница для бассейна</t>
  </si>
  <si>
    <t>Мойка профи без нагрева</t>
  </si>
  <si>
    <t>Морозильный ларь</t>
  </si>
  <si>
    <t>Музыкальный центр JVC</t>
  </si>
  <si>
    <t>Музыкальный центр "Sony"</t>
  </si>
  <si>
    <t>Ноутбук "Toshiba"</t>
  </si>
  <si>
    <t>Оргтехника</t>
  </si>
  <si>
    <t>Печь для сауны "Club-15G"</t>
  </si>
  <si>
    <t>Плазменная панель Panasonic</t>
  </si>
  <si>
    <t>Поломоечная машина</t>
  </si>
  <si>
    <t>Принтер "Epson"</t>
  </si>
  <si>
    <t>Принтер НР Laser Jet</t>
  </si>
  <si>
    <t>Пылесос для влажной уборки</t>
  </si>
  <si>
    <t>Солярий Siena</t>
  </si>
  <si>
    <t>Стиральная машина-автомат</t>
  </si>
  <si>
    <t>Стол массажный</t>
  </si>
  <si>
    <t>Телевизор Toshiba</t>
  </si>
  <si>
    <t>Телевизор "Sharp" (21 дюйм)</t>
  </si>
  <si>
    <t>Телефакс Panasonik</t>
  </si>
  <si>
    <t>Угловая инфракрасная кабина</t>
  </si>
  <si>
    <t>Фейерверк "Манголия"</t>
  </si>
  <si>
    <t>Холодильник "Daewo FR-91"</t>
  </si>
  <si>
    <t>Холодильник "Бирюса"</t>
  </si>
  <si>
    <t>Холодильник "Норд"</t>
  </si>
  <si>
    <t>Холодильник "Саратов"</t>
  </si>
  <si>
    <t>Холодильный шкаф</t>
  </si>
  <si>
    <t>Центр-караоке Samsung MAX</t>
  </si>
  <si>
    <t>Цифровая видеокамера Sony</t>
  </si>
  <si>
    <t>Швейная машинка</t>
  </si>
  <si>
    <t>Эл.гирлянда "Колокола с орнаментом"</t>
  </si>
  <si>
    <t>Эл.гирлянда "Снеговик"</t>
  </si>
  <si>
    <t>Анализатор состава тела</t>
  </si>
  <si>
    <t>Барьер легкоатлетический (69 шт.)</t>
  </si>
  <si>
    <t>Баскетбольные фермы с гидр.системой</t>
  </si>
  <si>
    <t>Баскетбольный щит из закален.стекла</t>
  </si>
  <si>
    <t>Велотренажер вертикальный+датчик пульса</t>
  </si>
  <si>
    <t>Велотренажер вертикальный Diamondback</t>
  </si>
  <si>
    <t>Весы напольные</t>
  </si>
  <si>
    <t>Вибромассажёр Body Scupture</t>
  </si>
  <si>
    <t>Ворота гандбольные</t>
  </si>
  <si>
    <t>Ворота гандбольные с кольцом для сетки</t>
  </si>
  <si>
    <t>Ворота гандбольные/минифутбольные</t>
  </si>
  <si>
    <t>Ворота футбольные</t>
  </si>
  <si>
    <t>Ворота футбольные (пара)</t>
  </si>
  <si>
    <t>Вышка стартера</t>
  </si>
  <si>
    <t>Вышка судейская</t>
  </si>
  <si>
    <t>Вышка судейская на финише для 6-12 чел.</t>
  </si>
  <si>
    <t>Гантельный ряд</t>
  </si>
  <si>
    <t>Гибкий мяч классический (21 шт.)</t>
  </si>
  <si>
    <t>Гибкий мяч классический (жёлтый) 9 шт.</t>
  </si>
  <si>
    <t>Гриф (хром)</t>
  </si>
  <si>
    <t>Дорожка беговая</t>
  </si>
  <si>
    <t>Жим ногами-Гак машина</t>
  </si>
  <si>
    <t>Измеритель установки планки д/прыжков в высоту</t>
  </si>
  <si>
    <t>Измеритель установки планки д/прыжков в высоту с шестом</t>
  </si>
  <si>
    <t>Колокол для сетчика кругов</t>
  </si>
  <si>
    <t>Кольцо амортизационное</t>
  </si>
  <si>
    <t>Короб для упора</t>
  </si>
  <si>
    <t>Кроссовер (SG-8013A)</t>
  </si>
  <si>
    <t>Машина Смита</t>
  </si>
  <si>
    <t>Место приземления для прыжков в высоту</t>
  </si>
  <si>
    <t>Место приземления для прыжков с шестом</t>
  </si>
  <si>
    <t>Набор шаговых отметок</t>
  </si>
  <si>
    <t>Наборный велотренажёр Diamondback</t>
  </si>
  <si>
    <t>Наклонный велотренажёр Diamondback</t>
  </si>
  <si>
    <t>Планка для прыжков с шестом</t>
  </si>
  <si>
    <t>Планка-индикатор (с полным набором)</t>
  </si>
  <si>
    <t>Покрытие борцовское</t>
  </si>
  <si>
    <t>Помост т/а тренировочный</t>
  </si>
  <si>
    <t>Протектор для м/б стоек с сеткой</t>
  </si>
  <si>
    <t>Профессиональная скамья для пресса</t>
  </si>
  <si>
    <t>Пьедестал победителей</t>
  </si>
  <si>
    <t>Сетка волейбольная</t>
  </si>
  <si>
    <t>Сетка д/ганбольных ворот (пара)</t>
  </si>
  <si>
    <t>Силовая стойка для приседов и жимов</t>
  </si>
  <si>
    <t>Скамья горизонтальная</t>
  </si>
  <si>
    <t>Скамья жимовая Powertec</t>
  </si>
  <si>
    <t>Скамья Л.Скотта</t>
  </si>
  <si>
    <t>Скамья универсальная</t>
  </si>
  <si>
    <t>Слайд (SE 60) 20 шт.</t>
  </si>
  <si>
    <t>Стенка шведская</t>
  </si>
  <si>
    <t>Степплер Diamondback (1150 ES)</t>
  </si>
  <si>
    <t>Стойка баскетбольная (комплект из 2 шт.)</t>
  </si>
  <si>
    <t>Стойка волейбольная</t>
  </si>
  <si>
    <t>Стойка гантельная</t>
  </si>
  <si>
    <t>Стойка для прыжков с шестом</t>
  </si>
  <si>
    <t>Стойки волейбольные, круглые (комплект)</t>
  </si>
  <si>
    <t>Стойки финишные</t>
  </si>
  <si>
    <t>Тележки для перевозки 10 барьеров "Чемпион"</t>
  </si>
  <si>
    <t>Тренажёр "Сведение перед грудью"</t>
  </si>
  <si>
    <t>Тренажёр "Тяга сверху + тяга снизу"</t>
  </si>
  <si>
    <t>Тренажёр Powertec "Жим от плеч"</t>
  </si>
  <si>
    <t>Тренажёр Povertec "Сгибание/разгибание ног"</t>
  </si>
  <si>
    <t>Тренажер (гиперэкстенция наклонная)</t>
  </si>
  <si>
    <t>Тренажёр "Голень сидя"</t>
  </si>
  <si>
    <t>Штанга олимпийская рекордная (182 кг)</t>
  </si>
  <si>
    <t>Штанга олимпийская рекордная (284 кг)</t>
  </si>
  <si>
    <t>Элептический тренажёр "Precor"</t>
  </si>
  <si>
    <t>Элептический тренажёр "Precor 5/23"</t>
  </si>
  <si>
    <t>Бензотриммер "Efco Stark 25 T2"</t>
  </si>
  <si>
    <t>Бензопила "Husqvarna"</t>
  </si>
  <si>
    <t>Бензотриммер "Husqvarna 235R"</t>
  </si>
  <si>
    <t>Вилы-штаблер</t>
  </si>
  <si>
    <t>Газонокосилка "Harri"</t>
  </si>
  <si>
    <t>Дрель аккумуляторная</t>
  </si>
  <si>
    <t>Дрель электрическая "Кресс"</t>
  </si>
  <si>
    <t>Каток ручной</t>
  </si>
  <si>
    <t>Колонка пожарная КПА</t>
  </si>
  <si>
    <t>Косилка (МГД) самоходная</t>
  </si>
  <si>
    <t>Косилка ручная</t>
  </si>
  <si>
    <t>Перфоратор "Кресс"</t>
  </si>
  <si>
    <t>Разбрасыватель минеральных удобрений</t>
  </si>
  <si>
    <t>Разбрасыватель удобрений</t>
  </si>
  <si>
    <t>Разметчик мокрый LFL-150</t>
  </si>
  <si>
    <t>Резонатор напряжения "Каскад"</t>
  </si>
  <si>
    <t>Сеялка</t>
  </si>
  <si>
    <t>Снегоуборщик</t>
  </si>
  <si>
    <t>Электроагрегат (АБП 2,2-230 ВХ-5)</t>
  </si>
  <si>
    <t>Электроагрегат (ЕВ 3.0/230S)</t>
  </si>
  <si>
    <t>Электрокомпрессор (Super Tiger-262M)</t>
  </si>
  <si>
    <t>4 526,24</t>
  </si>
  <si>
    <t>4 452,00</t>
  </si>
  <si>
    <t>11 961,60</t>
  </si>
  <si>
    <t>201 949,00</t>
  </si>
  <si>
    <t>6 438,00</t>
  </si>
  <si>
    <t>17 382,60</t>
  </si>
  <si>
    <t>30 751,80</t>
  </si>
  <si>
    <t>69 000,00</t>
  </si>
  <si>
    <t>39 560,00</t>
  </si>
  <si>
    <t>20 800,00</t>
  </si>
  <si>
    <t>23 500,00</t>
  </si>
  <si>
    <t>13 700,00</t>
  </si>
  <si>
    <t>13 991,41</t>
  </si>
  <si>
    <t>29 826,90</t>
  </si>
  <si>
    <t>61 503,60</t>
  </si>
  <si>
    <t>181 832,00</t>
  </si>
  <si>
    <t>148 869,00</t>
  </si>
  <si>
    <t>73 970,40</t>
  </si>
  <si>
    <t>50 715,00</t>
  </si>
  <si>
    <t>41 446,61</t>
  </si>
  <si>
    <t>13 200,00</t>
  </si>
  <si>
    <t>17 304,20</t>
  </si>
  <si>
    <t>42 275,70</t>
  </si>
  <si>
    <t>19 260,00</t>
  </si>
  <si>
    <t>14 669,70</t>
  </si>
  <si>
    <t>7 479,30</t>
  </si>
  <si>
    <t>44 037,02</t>
  </si>
  <si>
    <t>9 057,60</t>
  </si>
  <si>
    <t>34 351,08</t>
  </si>
  <si>
    <t>33 044,70</t>
  </si>
  <si>
    <t>203 428,40</t>
  </si>
  <si>
    <t>172 790,56</t>
  </si>
  <si>
    <t>6 409,30</t>
  </si>
  <si>
    <t>9 389,25</t>
  </si>
  <si>
    <t>7 647,55</t>
  </si>
  <si>
    <t>5 569,39</t>
  </si>
  <si>
    <t>17 100,00</t>
  </si>
  <si>
    <t>16 478,00</t>
  </si>
  <si>
    <t>28 000,00</t>
  </si>
  <si>
    <t>234 023,00</t>
  </si>
  <si>
    <t>12 444,00</t>
  </si>
  <si>
    <t>36 160,00</t>
  </si>
  <si>
    <t>4 269,30</t>
  </si>
  <si>
    <t>8 121,30</t>
  </si>
  <si>
    <t>11 424,00</t>
  </si>
  <si>
    <t>7 990,00</t>
  </si>
  <si>
    <t>133 126,24</t>
  </si>
  <si>
    <t>25 000,00</t>
  </si>
  <si>
    <t>4 697,30</t>
  </si>
  <si>
    <t>9 291,00</t>
  </si>
  <si>
    <t>10 716,00</t>
  </si>
  <si>
    <t>12 540,00</t>
  </si>
  <si>
    <t>10 248,60</t>
  </si>
  <si>
    <t>9 712,80</t>
  </si>
  <si>
    <t>36 743,80</t>
  </si>
  <si>
    <t>8 870,30</t>
  </si>
  <si>
    <t>34 768,00</t>
  </si>
  <si>
    <t>8 592,10</t>
  </si>
  <si>
    <t>13 010,13</t>
  </si>
  <si>
    <t>19 174,40</t>
  </si>
  <si>
    <t>55 004,56</t>
  </si>
  <si>
    <t>513 900,27</t>
  </si>
  <si>
    <t>1 262 071,01</t>
  </si>
  <si>
    <t>52 368,72</t>
  </si>
  <si>
    <t>74 523,50</t>
  </si>
  <si>
    <t>30 161,96</t>
  </si>
  <si>
    <t>15 676,53</t>
  </si>
  <si>
    <t>10 000,00</t>
  </si>
  <si>
    <t>35 650,00</t>
  </si>
  <si>
    <t>63 510,52</t>
  </si>
  <si>
    <t>15 080,00</t>
  </si>
  <si>
    <t>113 778,68</t>
  </si>
  <si>
    <t>65 929,85</t>
  </si>
  <si>
    <t>11 501,14</t>
  </si>
  <si>
    <t>12 965,44</t>
  </si>
  <si>
    <t>31 524,74</t>
  </si>
  <si>
    <t>82 433,50</t>
  </si>
  <si>
    <t>69 904,17</t>
  </si>
  <si>
    <t>133 921,20</t>
  </si>
  <si>
    <t>62 421,66</t>
  </si>
  <si>
    <t>10 224,92</t>
  </si>
  <si>
    <t>41 125,53</t>
  </si>
  <si>
    <t>59 343,08</t>
  </si>
  <si>
    <t>23 571,80</t>
  </si>
  <si>
    <t>15 153,30</t>
  </si>
  <si>
    <t>13 538,53</t>
  </si>
  <si>
    <t>13 537,40</t>
  </si>
  <si>
    <t>16 757,90</t>
  </si>
  <si>
    <t>12 999,52</t>
  </si>
  <si>
    <t>97 342,56</t>
  </si>
  <si>
    <t>43 398,78</t>
  </si>
  <si>
    <t>439 909,00</t>
  </si>
  <si>
    <t>749 855,57</t>
  </si>
  <si>
    <t>10 890,46</t>
  </si>
  <si>
    <t>85 156,80</t>
  </si>
  <si>
    <t>7 213,92</t>
  </si>
  <si>
    <t>6 853,45</t>
  </si>
  <si>
    <t>56 802,84</t>
  </si>
  <si>
    <t>43 222,50</t>
  </si>
  <si>
    <t>276 398,00</t>
  </si>
  <si>
    <t>9 411,77</t>
  </si>
  <si>
    <t>16 913,84</t>
  </si>
  <si>
    <t>21 807,88</t>
  </si>
  <si>
    <t>7 465,39</t>
  </si>
  <si>
    <t>8 098,83</t>
  </si>
  <si>
    <t>28 702,00</t>
  </si>
  <si>
    <t>8 486,30</t>
  </si>
  <si>
    <t>37 075,30</t>
  </si>
  <si>
    <t>17 655,12</t>
  </si>
  <si>
    <t>14 782,66</t>
  </si>
  <si>
    <t>14 508,00</t>
  </si>
  <si>
    <t>198 605,00</t>
  </si>
  <si>
    <t>14 106,92</t>
  </si>
  <si>
    <t>76 877,29</t>
  </si>
  <si>
    <t>28 539,84</t>
  </si>
  <si>
    <t>20 479,84</t>
  </si>
  <si>
    <t>9 347,36</t>
  </si>
  <si>
    <t>19 874,44</t>
  </si>
  <si>
    <t>138 567,38</t>
  </si>
  <si>
    <t>98 087,39</t>
  </si>
  <si>
    <t>17 013,28</t>
  </si>
  <si>
    <t>17 012,15</t>
  </si>
  <si>
    <t>49 135,79</t>
  </si>
  <si>
    <t>75 420,72</t>
  </si>
  <si>
    <t>77 456,98</t>
  </si>
  <si>
    <t>41 825,82</t>
  </si>
  <si>
    <t>9 880,72</t>
  </si>
  <si>
    <t>10 920,00</t>
  </si>
  <si>
    <t>18 735,40</t>
  </si>
  <si>
    <t>37 468,54</t>
  </si>
  <si>
    <t>86 784,00</t>
  </si>
  <si>
    <t>250 148,10</t>
  </si>
  <si>
    <t>278 533,70</t>
  </si>
  <si>
    <t>10 824,66</t>
  </si>
  <si>
    <t>15 220,00</t>
  </si>
  <si>
    <t>17 990,00</t>
  </si>
  <si>
    <t>18 540,00</t>
  </si>
  <si>
    <t>42 546,90</t>
  </si>
  <si>
    <t>10 878,00</t>
  </si>
  <si>
    <t>3 241,20</t>
  </si>
  <si>
    <t>20 266,20</t>
  </si>
  <si>
    <t>288 231,79</t>
  </si>
  <si>
    <t>48 188,52</t>
  </si>
  <si>
    <t>8 585,85</t>
  </si>
  <si>
    <t>6 500,00</t>
  </si>
  <si>
    <t>9 720,00</t>
  </si>
  <si>
    <t>19 198,70</t>
  </si>
  <si>
    <t>13 424,40</t>
  </si>
  <si>
    <t>10 789,20</t>
  </si>
  <si>
    <t>21 800,00</t>
  </si>
  <si>
    <t>20 946,81</t>
  </si>
  <si>
    <t>25 897,41</t>
  </si>
  <si>
    <t>8 899,98</t>
  </si>
  <si>
    <t>Автобус "Higer KLQ 6720 B1L"</t>
  </si>
  <si>
    <t>Автомобиль "Hyundai Porter"</t>
  </si>
  <si>
    <t>Аэратор/щелеватель/сеятель "Blue Bird"</t>
  </si>
  <si>
    <t>Косилка самоходная "Mclane"</t>
  </si>
  <si>
    <t>МКСМ-800 (с набором сменного оборудования)</t>
  </si>
  <si>
    <t>Опрыскиватель</t>
  </si>
  <si>
    <t>Пескоразбрасыватель прицепной (Pink 1010)</t>
  </si>
  <si>
    <t>Полуприцеп тракторный ПТС 2,5т</t>
  </si>
  <si>
    <t>Снегоочиститель</t>
  </si>
  <si>
    <t>Трактор "Беларус 320 МК"</t>
  </si>
  <si>
    <t>1 507 000,00</t>
  </si>
  <si>
    <t>360 000,00</t>
  </si>
  <si>
    <t>453 990,00</t>
  </si>
  <si>
    <t>239 890,00</t>
  </si>
  <si>
    <t>1 100 616,00</t>
  </si>
  <si>
    <t>65 720,00</t>
  </si>
  <si>
    <t>532 775,10</t>
  </si>
  <si>
    <t>85 514,60</t>
  </si>
  <si>
    <t>57 384,10</t>
  </si>
  <si>
    <t>684 870,00</t>
  </si>
  <si>
    <t>Кресло "Менеджер"</t>
  </si>
  <si>
    <t>Буфет по эскизу</t>
  </si>
  <si>
    <t>Барная стойка</t>
  </si>
  <si>
    <t>Банер "Спорткомплекс Молодежный"</t>
  </si>
  <si>
    <t>Банер "Мы за здоровый образ жизни"</t>
  </si>
  <si>
    <t>Вешалка-стойка (14 шт.)</t>
  </si>
  <si>
    <t>Гардероб</t>
  </si>
  <si>
    <t>Двухместная секция без подлокотников</t>
  </si>
  <si>
    <t>Держатель настенный для пленки</t>
  </si>
  <si>
    <t>Диван угловой</t>
  </si>
  <si>
    <t>Диван угловой секционный для холла</t>
  </si>
  <si>
    <t>Диван-кровать</t>
  </si>
  <si>
    <t>Знамя Московской области</t>
  </si>
  <si>
    <t>Знамя Российской Федерации</t>
  </si>
  <si>
    <t>Знамя Серебряно-Прудского района</t>
  </si>
  <si>
    <t>Кабинет руководителя</t>
  </si>
  <si>
    <t>Карниз</t>
  </si>
  <si>
    <t>Картина "Янтарная осень"</t>
  </si>
  <si>
    <t>Кофеварка</t>
  </si>
  <si>
    <t>Кресло "Надир"</t>
  </si>
  <si>
    <t>Кресло из искуственной кожи</t>
  </si>
  <si>
    <t>Кресло руководителя "Менеджер"</t>
  </si>
  <si>
    <t>Кронштейн для плазменной панели</t>
  </si>
  <si>
    <t>Кушетка черная</t>
  </si>
  <si>
    <t>Микроволновая печь</t>
  </si>
  <si>
    <t>Набор мебели "Калифорния"</t>
  </si>
  <si>
    <t>Набор мебели "Линда"</t>
  </si>
  <si>
    <t>Одноместная секция без подлокотников (8 шт.)</t>
  </si>
  <si>
    <t>Палас-дорожка</t>
  </si>
  <si>
    <t>Палатка торговая</t>
  </si>
  <si>
    <t>Перетяжка "Участникам соревнований"</t>
  </si>
  <si>
    <t>Подставка напольная одинарная, темная</t>
  </si>
  <si>
    <t>Расширитель стола</t>
  </si>
  <si>
    <t>Решетка для окна (3 шт.)</t>
  </si>
  <si>
    <t>Сейф 380/500/470</t>
  </si>
  <si>
    <t>Сейф 980/500/470</t>
  </si>
  <si>
    <t>Сейф Ш-3</t>
  </si>
  <si>
    <t>Стенд для ключей</t>
  </si>
  <si>
    <t>Стенд информационный (6 шт.)</t>
  </si>
  <si>
    <t>Стенка мебельная</t>
  </si>
  <si>
    <t>Стол "Рондо"</t>
  </si>
  <si>
    <t>Стол овальный</t>
  </si>
  <si>
    <t>Стол переговоров</t>
  </si>
  <si>
    <t>Стол рабочий</t>
  </si>
  <si>
    <t>Трехместная секция без подлокотников</t>
  </si>
  <si>
    <t>Тумба (5 шт.)</t>
  </si>
  <si>
    <t>Угловая секция</t>
  </si>
  <si>
    <t>Угловая секция без подлокотников</t>
  </si>
  <si>
    <t>Шкаф (20 шт.)</t>
  </si>
  <si>
    <t>Шкаф для книг</t>
  </si>
  <si>
    <t>Шкаф медицинский для одежды</t>
  </si>
  <si>
    <t>Шкаф медицинский со стеклом и замком</t>
  </si>
  <si>
    <t>Шкаф металлический</t>
  </si>
  <si>
    <t>Шкаф металлический (20 шт)</t>
  </si>
  <si>
    <t>Шкаф-раздевалка</t>
  </si>
  <si>
    <t>Шкаф-раздевалка ШРМ-22</t>
  </si>
  <si>
    <t>Шкаф со стеклянными тонированными дверьми</t>
  </si>
  <si>
    <t>Шланг поливочный (комплект из 10 шт.)</t>
  </si>
  <si>
    <t>Шторы</t>
  </si>
  <si>
    <t>Кресло компьютерное "Престиж" (3 шт.)</t>
  </si>
  <si>
    <t>Биты городошные (3 шт.)</t>
  </si>
  <si>
    <t>Табло информационное (полевое)</t>
  </si>
  <si>
    <t>Табло электронное</t>
  </si>
  <si>
    <t>Грабли-разравнитель песка</t>
  </si>
  <si>
    <t>Гриф W-образный</t>
  </si>
  <si>
    <t>Колодка стартовая (10 шт.)</t>
  </si>
  <si>
    <t>Подставка под гимнастические палки</t>
  </si>
  <si>
    <t>Протекторы для щита (2 шт.)</t>
  </si>
  <si>
    <t>Рулетка измерительная (4 шт.)</t>
  </si>
  <si>
    <t>Рупор ручной</t>
  </si>
  <si>
    <t>Сетка для футбольных ворот (пара)</t>
  </si>
  <si>
    <t>Сетка защитная</t>
  </si>
  <si>
    <t>Сетка на ворота (5м*2м д 3,1 мм)</t>
  </si>
  <si>
    <t>Core-доска (20 шт.)</t>
  </si>
  <si>
    <t>Степ-доска (20 шт.)</t>
  </si>
  <si>
    <t>Стойка для аэробических штанг</t>
  </si>
  <si>
    <t>Стойка для бодибаров</t>
  </si>
  <si>
    <t>Стойка для олимпийских дисков</t>
  </si>
  <si>
    <t>Стол теннисный "Мега Си Эс" с сеткой</t>
  </si>
  <si>
    <t>Стол теннисный "Престиж Си Эс" с сеткой</t>
  </si>
  <si>
    <t>Табло-счётчик кругов с цифрами</t>
  </si>
  <si>
    <t>Табло информационное "Дзюдо"</t>
  </si>
  <si>
    <t>Табло-счетчик кругов с цифрами</t>
  </si>
  <si>
    <t>Татами (142 шт.)</t>
  </si>
  <si>
    <t>Сварочный аппарат "Дуга"</t>
  </si>
  <si>
    <t>Кусторез</t>
  </si>
  <si>
    <t>Тумбочка верстачная</t>
  </si>
  <si>
    <t>5 437,80</t>
  </si>
  <si>
    <t>55 463,99</t>
  </si>
  <si>
    <t>42 030,66</t>
  </si>
  <si>
    <t>9 435,00</t>
  </si>
  <si>
    <t>12 750,00</t>
  </si>
  <si>
    <t>67 271,40</t>
  </si>
  <si>
    <t>7 656,00</t>
  </si>
  <si>
    <t>73 625,76</t>
  </si>
  <si>
    <t>10 839,10</t>
  </si>
  <si>
    <t>7 660,80</t>
  </si>
  <si>
    <t>29 166,06</t>
  </si>
  <si>
    <t>9 507,60</t>
  </si>
  <si>
    <t>15 900,00</t>
  </si>
  <si>
    <t>27 000,00</t>
  </si>
  <si>
    <t>20 300,00</t>
  </si>
  <si>
    <t>27 840,33</t>
  </si>
  <si>
    <t>5 970,00</t>
  </si>
  <si>
    <t>3 720,00</t>
  </si>
  <si>
    <t>9 790,00</t>
  </si>
  <si>
    <t>7 854,60</t>
  </si>
  <si>
    <t>6 771,60</t>
  </si>
  <si>
    <t>7 211,80</t>
  </si>
  <si>
    <t>5 061,10</t>
  </si>
  <si>
    <t>6 566,40</t>
  </si>
  <si>
    <t>3 693,60</t>
  </si>
  <si>
    <t>4 377,60</t>
  </si>
  <si>
    <t>116 650,00</t>
  </si>
  <si>
    <t>199 688,10</t>
  </si>
  <si>
    <t>57 934,80</t>
  </si>
  <si>
    <t>4 333,50</t>
  </si>
  <si>
    <t>4 446,00</t>
  </si>
  <si>
    <t>10 550,00</t>
  </si>
  <si>
    <t>4 110,00</t>
  </si>
  <si>
    <t>3 861,00</t>
  </si>
  <si>
    <t>11 900,00</t>
  </si>
  <si>
    <t>6 355,00</t>
  </si>
  <si>
    <t>6 356,24</t>
  </si>
  <si>
    <t>10 512,72</t>
  </si>
  <si>
    <t>20 107,22</t>
  </si>
  <si>
    <t>7 395,84</t>
  </si>
  <si>
    <t>19 420,50</t>
  </si>
  <si>
    <t>13 406,40</t>
  </si>
  <si>
    <t>6 019,20</t>
  </si>
  <si>
    <t>25 545,12</t>
  </si>
  <si>
    <t>5 198,40</t>
  </si>
  <si>
    <t>5 694,54</t>
  </si>
  <si>
    <t>4 976,10</t>
  </si>
  <si>
    <t>9 570,00</t>
  </si>
  <si>
    <t>20 109,60</t>
  </si>
  <si>
    <t>119 631,60</t>
  </si>
  <si>
    <t>19 134,90</t>
  </si>
  <si>
    <t>11 022,00</t>
  </si>
  <si>
    <t>47 401,20</t>
  </si>
  <si>
    <t>96 193,20</t>
  </si>
  <si>
    <t>9 848,28</t>
  </si>
  <si>
    <t>6 026,04</t>
  </si>
  <si>
    <t>8 846,40</t>
  </si>
  <si>
    <t>14 411,88</t>
  </si>
  <si>
    <t>134 884,80</t>
  </si>
  <si>
    <t>6 798,00</t>
  </si>
  <si>
    <t>116 640,70</t>
  </si>
  <si>
    <t>140 052,00</t>
  </si>
  <si>
    <t>12 309,00</t>
  </si>
  <si>
    <t>40 983,14</t>
  </si>
  <si>
    <t>14 630,00</t>
  </si>
  <si>
    <t>10 150,02</t>
  </si>
  <si>
    <t>58 062,48</t>
  </si>
  <si>
    <t>25 568,72</t>
  </si>
  <si>
    <t>6 410,37</t>
  </si>
  <si>
    <t>3 558,82</t>
  </si>
  <si>
    <t>31 190,50</t>
  </si>
  <si>
    <t>7 372,56</t>
  </si>
  <si>
    <t>7 935,12</t>
  </si>
  <si>
    <t>14 115,44</t>
  </si>
  <si>
    <t>4 815,00</t>
  </si>
  <si>
    <t>9 150,00</t>
  </si>
  <si>
    <t>234 593,76</t>
  </si>
  <si>
    <t>61 194,90</t>
  </si>
  <si>
    <t>80 250,00</t>
  </si>
  <si>
    <t>10 625,00</t>
  </si>
  <si>
    <t>16 745,00</t>
  </si>
  <si>
    <t>4 900,60</t>
  </si>
  <si>
    <t>18 478,90</t>
  </si>
  <si>
    <t>19 486,84</t>
  </si>
  <si>
    <t>20 947,39</t>
  </si>
  <si>
    <t>7 125,00</t>
  </si>
  <si>
    <t>443 816,74</t>
  </si>
  <si>
    <t>27 556,62</t>
  </si>
  <si>
    <t>21 749,57</t>
  </si>
  <si>
    <t>5 244,07</t>
  </si>
  <si>
    <t>Ель каркасная</t>
  </si>
  <si>
    <t>Пневмокостюм "Колобоша с мячом"</t>
  </si>
  <si>
    <t>Пневмокостюм "Рыжий клоун"</t>
  </si>
  <si>
    <t>Танцующая девушка</t>
  </si>
  <si>
    <t>Танцующий человек</t>
  </si>
  <si>
    <t>Туя "Смарагд" (12шт.)</t>
  </si>
  <si>
    <t>Туя шаровидная "Голден Глоуб"</t>
  </si>
  <si>
    <t>Фонтан (4 чаши с бортами)</t>
  </si>
  <si>
    <t>Цветочница</t>
  </si>
  <si>
    <t>Ваза</t>
  </si>
  <si>
    <t>89 000,00</t>
  </si>
  <si>
    <t>37 931,45</t>
  </si>
  <si>
    <t>60 680,40</t>
  </si>
  <si>
    <t>58 386,64</t>
  </si>
  <si>
    <t>42 000,00</t>
  </si>
  <si>
    <t>65 000,00</t>
  </si>
  <si>
    <t>5 000,00</t>
  </si>
  <si>
    <t>6 000,00</t>
  </si>
  <si>
    <t>Набор торцевых головок</t>
  </si>
  <si>
    <t>Металлодетектор арочный (поиск 3М1)</t>
  </si>
  <si>
    <t>Радиосистема AKG WMS40-PRO</t>
  </si>
  <si>
    <t>Гирлянда светодиодная</t>
  </si>
  <si>
    <t>Многофункциональное устройство НР Laser Jet 1017</t>
  </si>
  <si>
    <t>Стиральная машинка</t>
  </si>
  <si>
    <t>Внешний блок кондиционер Hansa (HAS-09H)</t>
  </si>
  <si>
    <t>Внутренний блок кондиционер Hansa (HAS-09H)</t>
  </si>
  <si>
    <t>Двухантенная вокальная радиосистема с капсюлем</t>
  </si>
  <si>
    <t>Источник бесперебойного питания</t>
  </si>
  <si>
    <t>Ламинатор</t>
  </si>
  <si>
    <t>Микшер шестиканальный</t>
  </si>
  <si>
    <t>Насос фонтанный</t>
  </si>
  <si>
    <t>Пульт микшерный компактный</t>
  </si>
  <si>
    <t>Телефакс Panasonic (KX-FT93RU)</t>
  </si>
  <si>
    <t>Принтер "HP Laserjet Pro"</t>
  </si>
  <si>
    <t>Колонка Peavey BMX динамик</t>
  </si>
  <si>
    <t>Лазерный проектор</t>
  </si>
  <si>
    <t>Алкометр "Динго Про"</t>
  </si>
  <si>
    <t>Тренажер (сведение-разведение)</t>
  </si>
  <si>
    <t>Скамья атлетическая "Hard-Man"</t>
  </si>
  <si>
    <t>Скамья Скотта</t>
  </si>
  <si>
    <t>Стойка для стритбола "Surt Shot"</t>
  </si>
  <si>
    <t>Тренажёр "Hard Man"</t>
  </si>
  <si>
    <t>Вибромассажер "Kampfler"</t>
  </si>
  <si>
    <t>Тренажёр для икроножных мышц</t>
  </si>
  <si>
    <t>Снегоотбрасыватель</t>
  </si>
  <si>
    <t>Прицепной профи-аэратор</t>
  </si>
  <si>
    <t>Разметчик мокрый</t>
  </si>
  <si>
    <t>Дополнение к системе видеонаблюдения</t>
  </si>
  <si>
    <t>Бензогазонокосилка</t>
  </si>
  <si>
    <t>Зарядно-пусковое устройство</t>
  </si>
  <si>
    <t>Мегаомметр</t>
  </si>
  <si>
    <t>Перфораторы "Makita"</t>
  </si>
  <si>
    <t>Спутниковый навигатор Garmin 205</t>
  </si>
  <si>
    <t>Фонтанный насос</t>
  </si>
  <si>
    <t>Шуруповерт</t>
  </si>
  <si>
    <t>Купольная видеокамера "Sony"</t>
  </si>
  <si>
    <t>Корпусная видеокамера "Sony"</t>
  </si>
  <si>
    <t>Ноутбук Acer Aspire</t>
  </si>
  <si>
    <t>Портативный HDD</t>
  </si>
  <si>
    <t>Многофункциональное устройство Xerox</t>
  </si>
  <si>
    <t>ИБП Ippon Power PRO</t>
  </si>
  <si>
    <t>Музыкальный центр "Bork"</t>
  </si>
  <si>
    <t>Алкометр Alcotest Draeger</t>
  </si>
  <si>
    <t>Болгарка</t>
  </si>
  <si>
    <t>Комплект газосварочного оборудования</t>
  </si>
  <si>
    <t>Оборудование для разв.каб.ТВ</t>
  </si>
  <si>
    <t>Тепловентилятор 3кВт/220В</t>
  </si>
  <si>
    <t>Электроточило бытовое</t>
  </si>
  <si>
    <t>9 811,00</t>
  </si>
  <si>
    <t>68 000,00</t>
  </si>
  <si>
    <t>42 460,00</t>
  </si>
  <si>
    <t>22 321,46</t>
  </si>
  <si>
    <t>31 290,91</t>
  </si>
  <si>
    <t>6 494,91</t>
  </si>
  <si>
    <t>4 496,91</t>
  </si>
  <si>
    <t>18 680,00</t>
  </si>
  <si>
    <t>3 536,04</t>
  </si>
  <si>
    <t>5 969,62</t>
  </si>
  <si>
    <t>3 635,00</t>
  </si>
  <si>
    <t>8 873,34</t>
  </si>
  <si>
    <t>11 600,00</t>
  </si>
  <si>
    <t>18 126,00</t>
  </si>
  <si>
    <t>5 112,72</t>
  </si>
  <si>
    <t>3 402,49</t>
  </si>
  <si>
    <t>3 402,50</t>
  </si>
  <si>
    <t>7 430,00</t>
  </si>
  <si>
    <t>42 543,00</t>
  </si>
  <si>
    <t>4 100,00</t>
  </si>
  <si>
    <t>97 262,87</t>
  </si>
  <si>
    <t>48 024,00</t>
  </si>
  <si>
    <t>8 400,00</t>
  </si>
  <si>
    <t>11 000,00</t>
  </si>
  <si>
    <t>10 414,08</t>
  </si>
  <si>
    <t>16 500,00</t>
  </si>
  <si>
    <t>11 990,00</t>
  </si>
  <si>
    <t>9 800,00</t>
  </si>
  <si>
    <t>74 350,00</t>
  </si>
  <si>
    <t>60 547,00</t>
  </si>
  <si>
    <t>21 980,00</t>
  </si>
  <si>
    <t>97 813,96</t>
  </si>
  <si>
    <t>42 555,40</t>
  </si>
  <si>
    <t>19 290,00</t>
  </si>
  <si>
    <t>7 000,00</t>
  </si>
  <si>
    <t>5 485,00</t>
  </si>
  <si>
    <t>5 456,56</t>
  </si>
  <si>
    <t>6 730,00</t>
  </si>
  <si>
    <t>11 560,00</t>
  </si>
  <si>
    <t>11 210,00</t>
  </si>
  <si>
    <t>4 335,00</t>
  </si>
  <si>
    <t>5 599,99</t>
  </si>
  <si>
    <t>5 777,00</t>
  </si>
  <si>
    <t>11 487,00</t>
  </si>
  <si>
    <t>26 490,00</t>
  </si>
  <si>
    <t>30 196,99</t>
  </si>
  <si>
    <t>3 573,34</t>
  </si>
  <si>
    <t>13 004,00</t>
  </si>
  <si>
    <t>40 008,91</t>
  </si>
  <si>
    <t>8 001,84</t>
  </si>
  <si>
    <t>3 210,00</t>
  </si>
  <si>
    <t>5 264,40</t>
  </si>
  <si>
    <t>28 500,00</t>
  </si>
  <si>
    <t>3 388,00</t>
  </si>
  <si>
    <t>4 119,21</t>
  </si>
  <si>
    <t>4 972,00</t>
  </si>
  <si>
    <t>4 998,00</t>
  </si>
  <si>
    <t>3 438,50</t>
  </si>
  <si>
    <t>16 490,00</t>
  </si>
  <si>
    <t>Трактор Husqvarna</t>
  </si>
  <si>
    <t>190 070,00</t>
  </si>
  <si>
    <t>138 750,96</t>
  </si>
  <si>
    <t>Кровать металлическая двухярусная</t>
  </si>
  <si>
    <t>Шкаф для документов</t>
  </si>
  <si>
    <t>Стол процедур передвижной</t>
  </si>
  <si>
    <t>Баннер</t>
  </si>
  <si>
    <t>Контейнер 0,75 м3</t>
  </si>
  <si>
    <t>Сушильная машина Miele</t>
  </si>
  <si>
    <t>Баннер "Россия-вперед"</t>
  </si>
  <si>
    <t>Вешалка ФС-5 (14 шт.)</t>
  </si>
  <si>
    <t>Водонагреватель</t>
  </si>
  <si>
    <t>Доска информации (1000х1000 мм)</t>
  </si>
  <si>
    <t>Доска информации (1200х1000 мм)</t>
  </si>
  <si>
    <t>Доска информации (1400х1200 мм)</t>
  </si>
  <si>
    <t>Доска информации на 20 карманов (А5)</t>
  </si>
  <si>
    <t>Информационный стенд</t>
  </si>
  <si>
    <t>Контейнер для мусора</t>
  </si>
  <si>
    <t>Кровать двухъярусная (12 шт.)</t>
  </si>
  <si>
    <t>Скамейка ФС (10 шт.)</t>
  </si>
  <si>
    <t>Скамья без спинки "Славянка"</t>
  </si>
  <si>
    <t>Скамья со спинкой "Славянка"</t>
  </si>
  <si>
    <t>Стенд</t>
  </si>
  <si>
    <t>Стенд информационный</t>
  </si>
  <si>
    <t>Стол "Славянка"</t>
  </si>
  <si>
    <t>Телефон "Panasonic" (с дополнительной трубкой)</t>
  </si>
  <si>
    <t>Уборочный инвентарь</t>
  </si>
  <si>
    <t>Флаг (6 шт.)</t>
  </si>
  <si>
    <t>Шкаф для бумаг</t>
  </si>
  <si>
    <t>Шкаф угловой (6 шт.)</t>
  </si>
  <si>
    <t>Шкаф угловой (ФМ 1 У) 10 шт.</t>
  </si>
  <si>
    <t>Ячейки для ключей (2 шт.)</t>
  </si>
  <si>
    <t>Утюг "Tefal"</t>
  </si>
  <si>
    <t>Плакат на баннере "Мы выбираем спорт"</t>
  </si>
  <si>
    <t>Тумба 2-х дверная</t>
  </si>
  <si>
    <t>Кровать 880х2045</t>
  </si>
  <si>
    <t>Шкаф 3-х дверный с зеркалом "Анастасия"</t>
  </si>
  <si>
    <t>Флаг Московской области</t>
  </si>
  <si>
    <t>Флаг "Серебряные Пруды"</t>
  </si>
  <si>
    <t>Доска информации на 8 карманов</t>
  </si>
  <si>
    <t>Шатер Canadian</t>
  </si>
  <si>
    <t>Надпись светодиодная "С Новым Годом"</t>
  </si>
  <si>
    <t>Жим от плеч со сведением</t>
  </si>
  <si>
    <t>Скамья Body Solid</t>
  </si>
  <si>
    <t>Татами для единоборств Super жёлтые. (1м*2м)</t>
  </si>
  <si>
    <t>Стол Sunflex Indoor</t>
  </si>
  <si>
    <t>Ворота футбольные с сеткой (комплект)</t>
  </si>
  <si>
    <t>Ворота гандбольные с сеткой и гасителем (комплект)</t>
  </si>
  <si>
    <t>Ловушка "Itech"</t>
  </si>
  <si>
    <t>Стойка волейбольная универсальная</t>
  </si>
  <si>
    <t>Стойка металлическая</t>
  </si>
  <si>
    <t>Стойка бадминтонная с сеткой и шнуром</t>
  </si>
  <si>
    <t>Электрообогреватель (ПЭТ-4)</t>
  </si>
  <si>
    <t>Баннер (6000х3000 мм)</t>
  </si>
  <si>
    <t>Тент для автомобиля</t>
  </si>
  <si>
    <t>Флаг "Серебрянопрудский район"</t>
  </si>
  <si>
    <t>Стол (19 шт.)</t>
  </si>
  <si>
    <t>Экран огнеупорный</t>
  </si>
  <si>
    <t>Банер "Комитет по физической культуре"</t>
  </si>
  <si>
    <t>Банер "Правительство Московской области"</t>
  </si>
  <si>
    <t>Банер "Администрация Серебряно-Прудского района"</t>
  </si>
  <si>
    <t>Станок для заточки коньков</t>
  </si>
  <si>
    <t>Палатка туристическая</t>
  </si>
  <si>
    <t>Станок сверлильный настольный</t>
  </si>
  <si>
    <t>Чехлы для салона Hunday Porter</t>
  </si>
  <si>
    <t>4 600,00</t>
  </si>
  <si>
    <t>4 919,24</t>
  </si>
  <si>
    <t>3 390,00</t>
  </si>
  <si>
    <t>8 600,00</t>
  </si>
  <si>
    <t>5 500,00</t>
  </si>
  <si>
    <t>26 090,91</t>
  </si>
  <si>
    <t>6 133,40</t>
  </si>
  <si>
    <t>7 600,00</t>
  </si>
  <si>
    <t>80 304,00</t>
  </si>
  <si>
    <t>4 902,00</t>
  </si>
  <si>
    <t>3 760,00</t>
  </si>
  <si>
    <t>3 240,00</t>
  </si>
  <si>
    <t>5 760,00</t>
  </si>
  <si>
    <t>16 370,00</t>
  </si>
  <si>
    <t>3 589,85</t>
  </si>
  <si>
    <t>92 502,00</t>
  </si>
  <si>
    <t>72 784,00</t>
  </si>
  <si>
    <t>3 270,00</t>
  </si>
  <si>
    <t>4 000,00</t>
  </si>
  <si>
    <t>6 313,00</t>
  </si>
  <si>
    <t>4 890,00</t>
  </si>
  <si>
    <t>16 849,00</t>
  </si>
  <si>
    <t>4 760,00</t>
  </si>
  <si>
    <t>4 265,88</t>
  </si>
  <si>
    <t>3 130,00</t>
  </si>
  <si>
    <t>9 064,71</t>
  </si>
  <si>
    <t>18 797,00</t>
  </si>
  <si>
    <t>4 503,78</t>
  </si>
  <si>
    <t>55 800,00</t>
  </si>
  <si>
    <t>85 064,00</t>
  </si>
  <si>
    <t>14 940,00</t>
  </si>
  <si>
    <t>3 100,00</t>
  </si>
  <si>
    <t>23 050,00</t>
  </si>
  <si>
    <t>13 300,00</t>
  </si>
  <si>
    <t>3 900,00</t>
  </si>
  <si>
    <t>9 308,04</t>
  </si>
  <si>
    <t>11 780,00</t>
  </si>
  <si>
    <t>6 133,30</t>
  </si>
  <si>
    <t>3 186,00</t>
  </si>
  <si>
    <t>3 363,00</t>
  </si>
  <si>
    <t>21 830,00</t>
  </si>
  <si>
    <t>35 500,00</t>
  </si>
  <si>
    <t>22 100,00</t>
  </si>
  <si>
    <t>3 050,00</t>
  </si>
  <si>
    <t>32 000,00</t>
  </si>
  <si>
    <t>13 100,00</t>
  </si>
  <si>
    <t>3 042,00</t>
  </si>
  <si>
    <t>20 955,00</t>
  </si>
  <si>
    <t>4 674,00</t>
  </si>
  <si>
    <t>3 170,00</t>
  </si>
  <si>
    <t>7 836,66</t>
  </si>
  <si>
    <t>7 185,96</t>
  </si>
  <si>
    <t>16 250,00</t>
  </si>
  <si>
    <t>5 600,00</t>
  </si>
  <si>
    <t>3 185,00</t>
  </si>
  <si>
    <t>61 640,56</t>
  </si>
  <si>
    <t>3 552,40</t>
  </si>
  <si>
    <t>4 770,00</t>
  </si>
  <si>
    <t>4 503,63</t>
  </si>
  <si>
    <t>42 200,00</t>
  </si>
  <si>
    <t>3 854,14</t>
  </si>
  <si>
    <t>3 049,50</t>
  </si>
  <si>
    <t>Акация цветущая</t>
  </si>
  <si>
    <t>Береза</t>
  </si>
  <si>
    <t>Вазоны</t>
  </si>
  <si>
    <t>Дерево "Азалия"</t>
  </si>
  <si>
    <t>Дерево "Зеленый фикус"</t>
  </si>
  <si>
    <t>Дерево "Ива"</t>
  </si>
  <si>
    <t>Дерево "Карпенсия"</t>
  </si>
  <si>
    <t>Дерево "Красный фикус"</t>
  </si>
  <si>
    <t>Дерево "Манго"</t>
  </si>
  <si>
    <t>Дерево "Фикус пестрый"</t>
  </si>
  <si>
    <t>Монстера</t>
  </si>
  <si>
    <t>Пахира</t>
  </si>
  <si>
    <t>Фонтан напольный</t>
  </si>
  <si>
    <t>4 240,00</t>
  </si>
  <si>
    <t>17 500,00</t>
  </si>
  <si>
    <t>4 022,70</t>
  </si>
  <si>
    <t>4 028,00</t>
  </si>
  <si>
    <t>4 229,40</t>
  </si>
  <si>
    <t>3 524,50</t>
  </si>
  <si>
    <t>3 423,80</t>
  </si>
  <si>
    <t>5 800,00</t>
  </si>
  <si>
    <t>6 032,00</t>
  </si>
  <si>
    <t>04.05.2008г.</t>
  </si>
  <si>
    <t>Постановление Главы Серебряно-Прудского района № 346 от 04.05.2008 г.</t>
  </si>
  <si>
    <t>Снегоуборщик "Shtormpower"</t>
  </si>
  <si>
    <t>62 660,00</t>
  </si>
  <si>
    <t>Скамейка</t>
  </si>
  <si>
    <t>Полка</t>
  </si>
  <si>
    <t>Ведро</t>
  </si>
  <si>
    <t>Табуретка</t>
  </si>
  <si>
    <t>Люлька</t>
  </si>
  <si>
    <t>Скамья трюмо</t>
  </si>
  <si>
    <t>Вешалка</t>
  </si>
  <si>
    <t>Стол круглый</t>
  </si>
  <si>
    <t>Стул "Атос"</t>
  </si>
  <si>
    <t>Стенд-ширма</t>
  </si>
  <si>
    <t>Стенд-витрина</t>
  </si>
  <si>
    <t>Знамя с бахромой</t>
  </si>
  <si>
    <t>Знамя</t>
  </si>
  <si>
    <t>Подиум</t>
  </si>
  <si>
    <t>Декоративный задник</t>
  </si>
  <si>
    <t>19 250,00</t>
  </si>
  <si>
    <t>4 312,00</t>
  </si>
  <si>
    <t>3 988,00</t>
  </si>
  <si>
    <t>20 394,00</t>
  </si>
  <si>
    <t>8 932,00</t>
  </si>
  <si>
    <t>5 280,00</t>
  </si>
  <si>
    <t>8 800,00</t>
  </si>
  <si>
    <t>13 530,00</t>
  </si>
  <si>
    <t>10 450,00</t>
  </si>
  <si>
    <t>21 450,00</t>
  </si>
  <si>
    <t>26 334,00</t>
  </si>
  <si>
    <t>8 547,00</t>
  </si>
  <si>
    <t>35 835,00</t>
  </si>
  <si>
    <t>25 710,00</t>
  </si>
  <si>
    <t>27 105,00</t>
  </si>
  <si>
    <t>27 405,00</t>
  </si>
  <si>
    <t>48 900,00</t>
  </si>
  <si>
    <t>17 115,00</t>
  </si>
  <si>
    <t>32 900,00</t>
  </si>
  <si>
    <t>80 500,00</t>
  </si>
  <si>
    <t>20 124,93</t>
  </si>
  <si>
    <t>29 341,00</t>
  </si>
  <si>
    <t>Водонагреватель "Гермекс"</t>
  </si>
  <si>
    <t>Котел напольный "Therm"</t>
  </si>
  <si>
    <t>Газонокосилка бензиновая "Viking"</t>
  </si>
  <si>
    <t>Бензотриммер БТ-8933Д</t>
  </si>
  <si>
    <t>Видеомагнитофон Funaj</t>
  </si>
  <si>
    <t>Комплект охранно-пожарной сигнализации</t>
  </si>
  <si>
    <t>Многофункциональное устройство</t>
  </si>
  <si>
    <t>Ноутбук "Samsung"</t>
  </si>
  <si>
    <t>Сканер Mustek Express</t>
  </si>
  <si>
    <t>Счетчик газовый</t>
  </si>
  <si>
    <t>Факс "Brother"</t>
  </si>
  <si>
    <t>Фотокамера</t>
  </si>
  <si>
    <t>72 084,00</t>
  </si>
  <si>
    <t>15 618,20</t>
  </si>
  <si>
    <t>32 933,33</t>
  </si>
  <si>
    <t>46 338,33</t>
  </si>
  <si>
    <t>9 860,00</t>
  </si>
  <si>
    <t>6 487,88</t>
  </si>
  <si>
    <t>7 282,80</t>
  </si>
  <si>
    <t>65 528,21</t>
  </si>
  <si>
    <t>6 420,00</t>
  </si>
  <si>
    <t>31 040,00</t>
  </si>
  <si>
    <t>6 240,00</t>
  </si>
  <si>
    <t>10 560,00</t>
  </si>
  <si>
    <t>Шкаф книжный</t>
  </si>
  <si>
    <t>Стеллаж с 5-ю полками</t>
  </si>
  <si>
    <t>Тумба подкатная</t>
  </si>
  <si>
    <t>Шкаф полузакрытый</t>
  </si>
  <si>
    <t>Гардероб напольный на 40 крючков</t>
  </si>
  <si>
    <t>Вывеска учреждение</t>
  </si>
  <si>
    <t>Доска информации</t>
  </si>
  <si>
    <t>Подставка под видео</t>
  </si>
  <si>
    <t>Пылесос</t>
  </si>
  <si>
    <t>Радиатор масляный</t>
  </si>
  <si>
    <t>7 150,10</t>
  </si>
  <si>
    <t>4 042,08</t>
  </si>
  <si>
    <t>3 362,27</t>
  </si>
  <si>
    <t>4 170,97</t>
  </si>
  <si>
    <t>4 033,68</t>
  </si>
  <si>
    <t>4 496,65</t>
  </si>
  <si>
    <t>11 820,00</t>
  </si>
  <si>
    <t>4 784,00</t>
  </si>
  <si>
    <t>10 530,00</t>
  </si>
  <si>
    <t>46 161,29</t>
  </si>
  <si>
    <t>3 044,19</t>
  </si>
  <si>
    <t>4 318,00</t>
  </si>
  <si>
    <t>4 023,39</t>
  </si>
  <si>
    <t>Книжный фонд музея</t>
  </si>
  <si>
    <t>Портрет Н.В. Коровушкин</t>
  </si>
  <si>
    <t>Портрет Т.П. Обухов</t>
  </si>
  <si>
    <t>Портрет Г.В. Полуэктов</t>
  </si>
  <si>
    <t>Портрет П.И. Романов</t>
  </si>
  <si>
    <t>Портрет В.С. Серёгин</t>
  </si>
  <si>
    <t>Портрет В.Н. Харитонов</t>
  </si>
  <si>
    <t>Портрет П.И. Хохлов</t>
  </si>
  <si>
    <t>6 871,43</t>
  </si>
  <si>
    <t>6 871,42</t>
  </si>
  <si>
    <t>Компьютер (ноутбук)</t>
  </si>
  <si>
    <t>Компьютер Aser (ноутбук)</t>
  </si>
  <si>
    <t>Копировательный аппарат</t>
  </si>
  <si>
    <t>Ксерокс Canon IR 2016</t>
  </si>
  <si>
    <t>Музыкальный центр Samsung</t>
  </si>
  <si>
    <t>Плазменный телевизор LG</t>
  </si>
  <si>
    <t>Принтер Laser Jet 1010</t>
  </si>
  <si>
    <t>Принтер-ксерокс</t>
  </si>
  <si>
    <t>Телевизор Philips</t>
  </si>
  <si>
    <t>Телевизор Sharp</t>
  </si>
  <si>
    <t>Факс Panasonic</t>
  </si>
  <si>
    <t>Фотоаппарат Nicon Coolhve</t>
  </si>
  <si>
    <t>Фотоаппарат Kodak</t>
  </si>
  <si>
    <t>Холодильник Daewo</t>
  </si>
  <si>
    <t>Цифровой фотоаппарат Nicon</t>
  </si>
  <si>
    <t>5 311,00</t>
  </si>
  <si>
    <t>35 764,40</t>
  </si>
  <si>
    <t>59 230,92</t>
  </si>
  <si>
    <t>32 871,75</t>
  </si>
  <si>
    <t>20 758,00</t>
  </si>
  <si>
    <t>30 500,00</t>
  </si>
  <si>
    <t>45 088,73</t>
  </si>
  <si>
    <t>53 364,11</t>
  </si>
  <si>
    <t>16 100,00</t>
  </si>
  <si>
    <t>40 768,00</t>
  </si>
  <si>
    <t>4 660,92</t>
  </si>
  <si>
    <t>4 108,80</t>
  </si>
  <si>
    <t>10 499,00</t>
  </si>
  <si>
    <t>33 038,82</t>
  </si>
  <si>
    <t>4 794,00</t>
  </si>
  <si>
    <t>8 549,30</t>
  </si>
  <si>
    <t>11 872,00</t>
  </si>
  <si>
    <t>37 990,00</t>
  </si>
  <si>
    <t>27 990,91</t>
  </si>
  <si>
    <t>5 995,00</t>
  </si>
  <si>
    <t>44 407,00</t>
  </si>
  <si>
    <t>7 800,00</t>
  </si>
  <si>
    <t>8 465,16</t>
  </si>
  <si>
    <t>Баннер "Мы выбираем жизнь"</t>
  </si>
  <si>
    <t>Баннер "С днем молодежи"</t>
  </si>
  <si>
    <t>Растяжка</t>
  </si>
  <si>
    <t>Баннер с люверсами</t>
  </si>
  <si>
    <t>Сейф 160 кг.</t>
  </si>
  <si>
    <t>Стол для заседания Эрейбл</t>
  </si>
  <si>
    <t>Стол журнальный</t>
  </si>
  <si>
    <t>Стол СК-6Н</t>
  </si>
  <si>
    <t>Телефон Panasonic</t>
  </si>
  <si>
    <t>Тент-шатер</t>
  </si>
  <si>
    <t>Тумба выкатная Эрейбл</t>
  </si>
  <si>
    <t>Шкаф (серый)</t>
  </si>
  <si>
    <t>7 500,00</t>
  </si>
  <si>
    <t>3 383,34</t>
  </si>
  <si>
    <t>10 501,56</t>
  </si>
  <si>
    <t>3 244,24</t>
  </si>
  <si>
    <t>9 483,09</t>
  </si>
  <si>
    <t>4 928,87</t>
  </si>
  <si>
    <t>3 408,60</t>
  </si>
  <si>
    <t>5 302,25</t>
  </si>
  <si>
    <t>3 277,50</t>
  </si>
  <si>
    <t>4 706,62</t>
  </si>
  <si>
    <t>3 100,07</t>
  </si>
  <si>
    <t>10 300,00</t>
  </si>
  <si>
    <t>12 650,00</t>
  </si>
  <si>
    <t>4 050,00</t>
  </si>
  <si>
    <t>Флаг</t>
  </si>
  <si>
    <t>Книга почётных гостей и отзывов</t>
  </si>
  <si>
    <t>16 000,00</t>
  </si>
  <si>
    <t>Винтовка "Diana"</t>
  </si>
  <si>
    <t>Винтовка пневматическая</t>
  </si>
  <si>
    <t>Мегафон</t>
  </si>
  <si>
    <t>Пистолет пневматический ИЖ</t>
  </si>
  <si>
    <t>Пистолет пневматический ИЖ 654</t>
  </si>
  <si>
    <t>Канат для перетягивания</t>
  </si>
  <si>
    <t>30.12.2005</t>
  </si>
  <si>
    <t>03.03.2008</t>
  </si>
  <si>
    <t>10.07.2003</t>
  </si>
  <si>
    <t>01.03.2008</t>
  </si>
  <si>
    <t>20.08.2003</t>
  </si>
  <si>
    <t>14.12.2004</t>
  </si>
  <si>
    <t>21 269,50</t>
  </si>
  <si>
    <t>397 000,00</t>
  </si>
  <si>
    <t>Бензогенератор</t>
  </si>
  <si>
    <t>Винтовка пневматическая МР-512-26</t>
  </si>
  <si>
    <t>Винтовка пневматическая "Юнкер-5"</t>
  </si>
  <si>
    <t>Пистолет пневматический "МР-654К-20"</t>
  </si>
  <si>
    <t>Рация "Аргут"</t>
  </si>
  <si>
    <t>Автомагнитола</t>
  </si>
  <si>
    <t>Автомат АК 74 М</t>
  </si>
  <si>
    <t>Акустическая колонка</t>
  </si>
  <si>
    <t>Винтовка МП-512</t>
  </si>
  <si>
    <t>Винтовка пневматическая ИЖ 61</t>
  </si>
  <si>
    <t>Вокальный микрофон</t>
  </si>
  <si>
    <t>ДВД система к домашнему кинотеатру</t>
  </si>
  <si>
    <t>Динамический кардиоидный вокальный микрофон</t>
  </si>
  <si>
    <t>Динамический микрофон</t>
  </si>
  <si>
    <t>Микшерный пульт с усилителем Yamaha</t>
  </si>
  <si>
    <t>Набор водительских инструментов</t>
  </si>
  <si>
    <t>Напольный монитор АС</t>
  </si>
  <si>
    <t>Ноутбук "RoverBook"</t>
  </si>
  <si>
    <t>Радиомикрофон</t>
  </si>
  <si>
    <t>Радиосистема "Shure PGX"</t>
  </si>
  <si>
    <t>Сабвуфер "FYT 415 Т"</t>
  </si>
  <si>
    <t>Светомузыкальная установка</t>
  </si>
  <si>
    <t>Усилитель мощности</t>
  </si>
  <si>
    <t>Цифровой кроссовер</t>
  </si>
  <si>
    <t>Бензокоса "Echo"</t>
  </si>
  <si>
    <t>Копировательный аппарат "Canon"</t>
  </si>
  <si>
    <t>Принтер НР LaserJet 1102</t>
  </si>
  <si>
    <t>Сканер НР ScanJet</t>
  </si>
  <si>
    <t>Конвектор</t>
  </si>
  <si>
    <t>36 000,00</t>
  </si>
  <si>
    <t>3 400,00</t>
  </si>
  <si>
    <t>13 400,00</t>
  </si>
  <si>
    <t>4 013,50</t>
  </si>
  <si>
    <t>10 550,54</t>
  </si>
  <si>
    <t>16 158,71</t>
  </si>
  <si>
    <t>1 782,50</t>
  </si>
  <si>
    <t>2 080,00</t>
  </si>
  <si>
    <t>2 760,00</t>
  </si>
  <si>
    <t>4 623,36</t>
  </si>
  <si>
    <t>9 747,92</t>
  </si>
  <si>
    <t>3 818,40</t>
  </si>
  <si>
    <t>28 062,66</t>
  </si>
  <si>
    <t>7 546,71</t>
  </si>
  <si>
    <t>20 000,00</t>
  </si>
  <si>
    <t>14 162,50</t>
  </si>
  <si>
    <t>12 840,00</t>
  </si>
  <si>
    <t>9 836,50</t>
  </si>
  <si>
    <t>14 222,00</t>
  </si>
  <si>
    <t>15 286,00</t>
  </si>
  <si>
    <t>9 270,00</t>
  </si>
  <si>
    <t>9 723,00</t>
  </si>
  <si>
    <t>39 600,00</t>
  </si>
  <si>
    <t>24 950,00</t>
  </si>
  <si>
    <t>8 950,00</t>
  </si>
  <si>
    <t>4 417,38</t>
  </si>
  <si>
    <t>Комплект чехлов (велюр 14 штук)</t>
  </si>
  <si>
    <t>Рэковый кейс</t>
  </si>
  <si>
    <t>Палатка "Indiana"</t>
  </si>
  <si>
    <t>6 400,00</t>
  </si>
  <si>
    <t>12 082,00</t>
  </si>
  <si>
    <t>7 975,00</t>
  </si>
  <si>
    <t>3 796,20</t>
  </si>
  <si>
    <t>Электрогитара с кейсом "Gibson"</t>
  </si>
  <si>
    <t>Аэрохоккей взрослый "Антивандальный плюс"</t>
  </si>
  <si>
    <t>Блок распределения нагрузки "Imlight PWD"</t>
  </si>
  <si>
    <t>Акустическая система 2-х полосная "Carvin TRX 152"</t>
  </si>
  <si>
    <t>Видеодвойка DVD</t>
  </si>
  <si>
    <t>Генератор тумана с пультом управления "Robe Faze 1000 FT"</t>
  </si>
  <si>
    <t>Гитара электрическая "Carvin"</t>
  </si>
  <si>
    <t>Диммер "Фаворит" 12 канальный</t>
  </si>
  <si>
    <t>Духовой оркестр</t>
  </si>
  <si>
    <t>Звуковой процессор</t>
  </si>
  <si>
    <t>Звукоусилительное устройство</t>
  </si>
  <si>
    <t>Колонка (1018)</t>
  </si>
  <si>
    <t>Комбоусилитель для бас-гитары "Carvin"</t>
  </si>
  <si>
    <t>Комплект из 7 микрофонов "Carvin"</t>
  </si>
  <si>
    <t>Кроссовер "Ciclotron"</t>
  </si>
  <si>
    <t>Ламповый комбоусилитель для бас-гитары</t>
  </si>
  <si>
    <t>Миди-клавиатура "Keystation"</t>
  </si>
  <si>
    <t>Микрофон студийный</t>
  </si>
  <si>
    <t>Микшерный пульт "Carvin" (16 каналов)</t>
  </si>
  <si>
    <t>Микшерный пульт "Carvin" (8 каналов)</t>
  </si>
  <si>
    <t>Микшерный пульт студийный цифровой</t>
  </si>
  <si>
    <t>Одежда сцены</t>
  </si>
  <si>
    <t>Плеттер 3-х дисковый</t>
  </si>
  <si>
    <t>Рекордер MD минидиск "Tascam"</t>
  </si>
  <si>
    <t>Телевизор ЖК "Toshiba"</t>
  </si>
  <si>
    <t>Темнитель театральный "Протон"</t>
  </si>
  <si>
    <t>Усилитель мощности "Carvin"</t>
  </si>
  <si>
    <t>Экран моторизованный "Baronet"</t>
  </si>
  <si>
    <t>Электрическая композиция "Салют"</t>
  </si>
  <si>
    <t>Счетчик горячей воды</t>
  </si>
  <si>
    <t>Сателлит</t>
  </si>
  <si>
    <t>Усилитель мощности СРХ600</t>
  </si>
  <si>
    <t>Графический эквалайзер DBX</t>
  </si>
  <si>
    <t>Микрофон кардиоидный театрально-хоровой</t>
  </si>
  <si>
    <t>Рабочая станция для управления звуком зала</t>
  </si>
  <si>
    <t>Микрофон кардиоидный театрально-хоровой с большой диафрагмой</t>
  </si>
  <si>
    <t>Световой прибор с лампой "Robe Clubspot"</t>
  </si>
  <si>
    <t>Световой прибор с лампой "Robe Clubwash"</t>
  </si>
  <si>
    <t>77 370,00</t>
  </si>
  <si>
    <t>164 260,00</t>
  </si>
  <si>
    <t>164 045,00</t>
  </si>
  <si>
    <t>20 757,94</t>
  </si>
  <si>
    <t>42 479,00</t>
  </si>
  <si>
    <t>20 501,25</t>
  </si>
  <si>
    <t>34 413,75</t>
  </si>
  <si>
    <t>35 110,92</t>
  </si>
  <si>
    <t>612 246,90</t>
  </si>
  <si>
    <t>438 675,10</t>
  </si>
  <si>
    <t>888 065,72</t>
  </si>
  <si>
    <t>128 760,79</t>
  </si>
  <si>
    <t>53 251,20</t>
  </si>
  <si>
    <t>44 976,50</t>
  </si>
  <si>
    <t>21 416,95</t>
  </si>
  <si>
    <t>22 443,75</t>
  </si>
  <si>
    <t>33 732,17</t>
  </si>
  <si>
    <t>20 916,84</t>
  </si>
  <si>
    <t>25 697,88</t>
  </si>
  <si>
    <t>34 802,78</t>
  </si>
  <si>
    <t>25 944,98</t>
  </si>
  <si>
    <t>317 548,92</t>
  </si>
  <si>
    <t>1 170 911,64</t>
  </si>
  <si>
    <t>1 778 449,26</t>
  </si>
  <si>
    <t>417 666,26</t>
  </si>
  <si>
    <t>524 628,00</t>
  </si>
  <si>
    <t>22 230,00</t>
  </si>
  <si>
    <t>20 412,82</t>
  </si>
  <si>
    <t>22 927,32</t>
  </si>
  <si>
    <t>25 226,78</t>
  </si>
  <si>
    <t>26 094,60</t>
  </si>
  <si>
    <t>38 274,08</t>
  </si>
  <si>
    <t>31 301,55</t>
  </si>
  <si>
    <t>25 252,00</t>
  </si>
  <si>
    <t>34 240,64</t>
  </si>
  <si>
    <t>40 014,00</t>
  </si>
  <si>
    <t>49 051,55</t>
  </si>
  <si>
    <t>57 383,50</t>
  </si>
  <si>
    <t>5 678,43</t>
  </si>
  <si>
    <t>67 313,37</t>
  </si>
  <si>
    <t>27 129,84</t>
  </si>
  <si>
    <t>17 482,01</t>
  </si>
  <si>
    <t>9 387,00</t>
  </si>
  <si>
    <t>285 756,89</t>
  </si>
  <si>
    <t>50 735,57</t>
  </si>
  <si>
    <t>76 500,00</t>
  </si>
  <si>
    <t>МФУ НР принтер</t>
  </si>
  <si>
    <t>Мотив "Фонтан" с динамикой</t>
  </si>
  <si>
    <t>Объемная фигура из пластика "Олень с санками"</t>
  </si>
  <si>
    <t>Бензопомпа</t>
  </si>
  <si>
    <t>Микрофонная пара Rode</t>
  </si>
  <si>
    <t>Микрофон студийный "RODE"</t>
  </si>
  <si>
    <t>Швейная машинка "Bother"</t>
  </si>
  <si>
    <t>Генератор мыльных пузырей</t>
  </si>
  <si>
    <t>Насос дренаж</t>
  </si>
  <si>
    <t>Флипчарт</t>
  </si>
  <si>
    <t>Насос (WP 977 OS)</t>
  </si>
  <si>
    <t>Профессиональные закрытые наушники "Sennheiser"</t>
  </si>
  <si>
    <t>Наушники закрытые для радиостанций</t>
  </si>
  <si>
    <t>Распределитель/усилитель для наушников "Art Hdamp"</t>
  </si>
  <si>
    <t>ДВД плеер</t>
  </si>
  <si>
    <t>ДВД проигрыватель "Samsung"</t>
  </si>
  <si>
    <t>Бензотриммер "Энергомаш" (БГ 8933 Д)</t>
  </si>
  <si>
    <t>Блок бесперебойного питания</t>
  </si>
  <si>
    <t>Генератор дыма</t>
  </si>
  <si>
    <t>Гитарный процессор</t>
  </si>
  <si>
    <t>Домашний кинотеатр (караоке)</t>
  </si>
  <si>
    <t>Кроссовер</t>
  </si>
  <si>
    <t>МП 3 плеер "Pioner"</t>
  </si>
  <si>
    <t>Ноутбук НР</t>
  </si>
  <si>
    <t>Ноутбук НР+мышь</t>
  </si>
  <si>
    <t>Плеер "Pioneer"</t>
  </si>
  <si>
    <t>Портативный проигрыватель ДВД</t>
  </si>
  <si>
    <t>Принтер НР LaserJet 1018</t>
  </si>
  <si>
    <t>Принтер струйный</t>
  </si>
  <si>
    <t>Профессиональный одиночный рековый МР 3 проигрыватель "Reloop"</t>
  </si>
  <si>
    <t>Сканер НР "ScanJet"</t>
  </si>
  <si>
    <t>Факс "Panasonic"</t>
  </si>
  <si>
    <t>Экран видеопроекционный</t>
  </si>
  <si>
    <t>Процессор эффектов гитарный моделирующий напольный</t>
  </si>
  <si>
    <t>Дрель-шуруповерт</t>
  </si>
  <si>
    <t>Цифровая студия записи "Zoom H-4 Next"</t>
  </si>
  <si>
    <t>Напольный гитарный процессор "Line 6"</t>
  </si>
  <si>
    <t>Предусилитель гитарный "Modern rock"</t>
  </si>
  <si>
    <t>Насос Дренаж НГ-97130</t>
  </si>
  <si>
    <t>Бас-гитара "Fender American"</t>
  </si>
  <si>
    <t>Принтер НР LaserJet Pro P1102</t>
  </si>
  <si>
    <t>Концертный баян "Ясная поляна"</t>
  </si>
  <si>
    <t>Канальный компрессор DBX</t>
  </si>
  <si>
    <t>Усилитель мощности OSC RMX 5050</t>
  </si>
  <si>
    <t>Светодиодный светильник мультичип</t>
  </si>
  <si>
    <t>ККМ "Меркурий-180К"</t>
  </si>
  <si>
    <t>Снегоуборщик электрический</t>
  </si>
  <si>
    <t>Насос</t>
  </si>
  <si>
    <t>Лампа "Jocrtr"</t>
  </si>
  <si>
    <t>Meke-up table для бобин с подсветкой (600м)</t>
  </si>
  <si>
    <t>Двухантенная вокальная радиосистема "Shure Pgx24/beta 58"</t>
  </si>
  <si>
    <t>Акустическая система</t>
  </si>
  <si>
    <t>Аудиоинтерфейс</t>
  </si>
  <si>
    <t>Бас гитара</t>
  </si>
  <si>
    <t>Видеопроектор "Sanyo"</t>
  </si>
  <si>
    <t>Вокальная радиосистема с микрофоном</t>
  </si>
  <si>
    <t>Вокальная двухъантенная радиосистема</t>
  </si>
  <si>
    <t>Выпрямитель внешний</t>
  </si>
  <si>
    <t>Гирлянда электрическая "Колокола с орнаментом"</t>
  </si>
  <si>
    <t>Гитара "АЕG10"</t>
  </si>
  <si>
    <t>Дека однокассетный "Yamaha"</t>
  </si>
  <si>
    <t>Диммерный блок Протон</t>
  </si>
  <si>
    <t>Доминатор</t>
  </si>
  <si>
    <t>Дымовая машина</t>
  </si>
  <si>
    <t>Звуковая колонка "Internation"</t>
  </si>
  <si>
    <t>Звуковой модуль</t>
  </si>
  <si>
    <t>Звуковой модуль "Kurzweil"</t>
  </si>
  <si>
    <t>Кассовый аппарат</t>
  </si>
  <si>
    <t>Клавишный инструмент "Korg"</t>
  </si>
  <si>
    <t>Клавишный инструмент "Roland"</t>
  </si>
  <si>
    <t>Колонка "Alesis"</t>
  </si>
  <si>
    <t>Колонка (КМХ-128)</t>
  </si>
  <si>
    <t>Колонка-600</t>
  </si>
  <si>
    <t>Компрессор "Tibe-tech"</t>
  </si>
  <si>
    <t>Компьютер "Intel Core"</t>
  </si>
  <si>
    <t>Компьютер (видеонаблюдение)</t>
  </si>
  <si>
    <t>Конденсаторный микрофон "Neumann"</t>
  </si>
  <si>
    <t>Кондиционер "Samsung"</t>
  </si>
  <si>
    <t>Лампа</t>
  </si>
  <si>
    <t>Лампа TL с двумя лампами</t>
  </si>
  <si>
    <t>Лимитер-компрессор "Alesis"</t>
  </si>
  <si>
    <t>Магнитофон "Panasonic"</t>
  </si>
  <si>
    <t>Микрофон "Shure"</t>
  </si>
  <si>
    <t>Микрофон вокальный</t>
  </si>
  <si>
    <t>Микрофон вокальный динамический</t>
  </si>
  <si>
    <t>Микрофон вокальный однонаправленный, суперкардиоидный "Shure"</t>
  </si>
  <si>
    <t>Микрофон студийный "Behringer"</t>
  </si>
  <si>
    <t>Микрофон сценический</t>
  </si>
  <si>
    <t>Микшерный пульт с усилителем</t>
  </si>
  <si>
    <t>Монитор студийный</t>
  </si>
  <si>
    <t>Предусилитель "Tube-Tech"</t>
  </si>
  <si>
    <t>Пресс для склейки пленки</t>
  </si>
  <si>
    <t>Принтер "Canon"</t>
  </si>
  <si>
    <t>Проекционное окно</t>
  </si>
  <si>
    <t>Процессор "Akai"</t>
  </si>
  <si>
    <t>Процессор "Finalizer"</t>
  </si>
  <si>
    <t>Процессор гитарный</t>
  </si>
  <si>
    <t>Процессор (М 2000)</t>
  </si>
  <si>
    <t>Процессор эффектов "Electronic" (голосовая обработка)</t>
  </si>
  <si>
    <t>Пульт "Mackie"</t>
  </si>
  <si>
    <t>Пульт к темнителю "Протон"</t>
  </si>
  <si>
    <t>Пульт световой с монитором "Leprecon"</t>
  </si>
  <si>
    <t>Распределитель сигнала "Imlight Splitter"</t>
  </si>
  <si>
    <t>Распределительная коробка "Neutrik"</t>
  </si>
  <si>
    <t>Сабвуфер</t>
  </si>
  <si>
    <t>Сабвуфер (TCS 1800)</t>
  </si>
  <si>
    <t>Светильник для 4-х ламп "Протон" (12 шт.)</t>
  </si>
  <si>
    <t>Световой прибор, прожектор следящий для лампы</t>
  </si>
  <si>
    <t>Световой прибор с лампой "Robe Colormix"</t>
  </si>
  <si>
    <t>Световой прибор сканер с лампой "Robe Scan"</t>
  </si>
  <si>
    <t>Свитчер DMX-управление "Протон Акцент-7"</t>
  </si>
  <si>
    <t>Синтезатор "Yamaha"</t>
  </si>
  <si>
    <t>Синтезатор "Roland 106"</t>
  </si>
  <si>
    <t>Система "Sanyo DC-TS"</t>
  </si>
  <si>
    <t>Система ввода/вывода аудиоданных</t>
  </si>
  <si>
    <t>Стойка для световых приборов</t>
  </si>
  <si>
    <t>Стробоскоп управления</t>
  </si>
  <si>
    <t>Тарелки</t>
  </si>
  <si>
    <t>Телевизор "LG"</t>
  </si>
  <si>
    <t>Тепловая завеса</t>
  </si>
  <si>
    <t>Тепловентилятор "Бархан"</t>
  </si>
  <si>
    <t>Ударная установка "Амати"</t>
  </si>
  <si>
    <t>Усилитель звука</t>
  </si>
  <si>
    <t>Усилители для наушников</t>
  </si>
  <si>
    <t>Усилитель звука США</t>
  </si>
  <si>
    <t>Цифровой активный студийный монитор ближнего поля "Tannoy Reveal"</t>
  </si>
  <si>
    <t>Цифровой микшерный пульт "Yamaha"</t>
  </si>
  <si>
    <t>Шлифовальная машина</t>
  </si>
  <si>
    <t>Экран</t>
  </si>
  <si>
    <t>Электрическая гитара</t>
  </si>
  <si>
    <t>Электрическая гитара "Чарвиль"</t>
  </si>
  <si>
    <t>Электрический обогреватель</t>
  </si>
  <si>
    <t>Электрическая печь</t>
  </si>
  <si>
    <t>Счетчик холодной воды</t>
  </si>
  <si>
    <t>Светильник с интерфейсом</t>
  </si>
  <si>
    <t>Поролоновый модуль "Веселые старты"</t>
  </si>
  <si>
    <t>6 490,00</t>
  </si>
  <si>
    <t>26 883,54</t>
  </si>
  <si>
    <t>11 474,68</t>
  </si>
  <si>
    <t>23 858,76</t>
  </si>
  <si>
    <t>24 170,00</t>
  </si>
  <si>
    <t>9 900,00</t>
  </si>
  <si>
    <t>4 179,96</t>
  </si>
  <si>
    <t>5 400,00</t>
  </si>
  <si>
    <t>5 700,00</t>
  </si>
  <si>
    <t>7 100,00</t>
  </si>
  <si>
    <t>3 340,54</t>
  </si>
  <si>
    <t>9 430,00</t>
  </si>
  <si>
    <t>3 650,00</t>
  </si>
  <si>
    <t>8 560,00</t>
  </si>
  <si>
    <t>9 250,00</t>
  </si>
  <si>
    <t>36 668,00</t>
  </si>
  <si>
    <t>27 800,00</t>
  </si>
  <si>
    <t>9 324,00</t>
  </si>
  <si>
    <t>4 952,00</t>
  </si>
  <si>
    <t>4 725,00</t>
  </si>
  <si>
    <t>4 040,32</t>
  </si>
  <si>
    <t>15 895,00</t>
  </si>
  <si>
    <t>3 300,00</t>
  </si>
  <si>
    <t>7 023,00</t>
  </si>
  <si>
    <t>28 870,00</t>
  </si>
  <si>
    <t>15 020,00</t>
  </si>
  <si>
    <t>24 425,00</t>
  </si>
  <si>
    <t>29 000,00</t>
  </si>
  <si>
    <t>53 719,00</t>
  </si>
  <si>
    <t>4 806,00</t>
  </si>
  <si>
    <t>21 600,00</t>
  </si>
  <si>
    <t>24 290,00</t>
  </si>
  <si>
    <t>74 612,00</t>
  </si>
  <si>
    <t>26 300,00</t>
  </si>
  <si>
    <t>33 485,00</t>
  </si>
  <si>
    <t>39 120,00</t>
  </si>
  <si>
    <t>15 727,93</t>
  </si>
  <si>
    <t>12 060,16</t>
  </si>
  <si>
    <t>150 080,40</t>
  </si>
  <si>
    <t>19 764,00</t>
  </si>
  <si>
    <t>9 587,28</t>
  </si>
  <si>
    <t>11 437,14</t>
  </si>
  <si>
    <t>104 477,54</t>
  </si>
  <si>
    <t>5 187,00</t>
  </si>
  <si>
    <t>10 416,75</t>
  </si>
  <si>
    <t>10 320,00</t>
  </si>
  <si>
    <t>76 098,40</t>
  </si>
  <si>
    <t>39 516,33</t>
  </si>
  <si>
    <t>137 273,18</t>
  </si>
  <si>
    <t>13 496,49</t>
  </si>
  <si>
    <t>8 520,00</t>
  </si>
  <si>
    <t>9 539,04</t>
  </si>
  <si>
    <t>13 365,05</t>
  </si>
  <si>
    <t>13 538,55</t>
  </si>
  <si>
    <t>3 093,42</t>
  </si>
  <si>
    <t>11 580,33</t>
  </si>
  <si>
    <t>3 921,60</t>
  </si>
  <si>
    <t>51 322,65</t>
  </si>
  <si>
    <t>39 605,58</t>
  </si>
  <si>
    <t>29 196,57</t>
  </si>
  <si>
    <t>13 964,25</t>
  </si>
  <si>
    <t>11 989,26</t>
  </si>
  <si>
    <t>5 356,08</t>
  </si>
  <si>
    <t>3 479,13</t>
  </si>
  <si>
    <t>4 140,90</t>
  </si>
  <si>
    <t>78 877,05</t>
  </si>
  <si>
    <t>56 220,83</t>
  </si>
  <si>
    <t>23 128,41</t>
  </si>
  <si>
    <t>116 857,26</t>
  </si>
  <si>
    <t>26 120,00</t>
  </si>
  <si>
    <t>123 529,00</t>
  </si>
  <si>
    <t>29 471,00</t>
  </si>
  <si>
    <t>86 466,70</t>
  </si>
  <si>
    <t>11 891,22</t>
  </si>
  <si>
    <t>7 128,10</t>
  </si>
  <si>
    <t>85 000,00</t>
  </si>
  <si>
    <t>41 088,35</t>
  </si>
  <si>
    <t>13 715,28</t>
  </si>
  <si>
    <t>21 118,59</t>
  </si>
  <si>
    <t>5 548,29</t>
  </si>
  <si>
    <t>4 654,50</t>
  </si>
  <si>
    <t>5 150,00</t>
  </si>
  <si>
    <t>4 910,64</t>
  </si>
  <si>
    <t>4 411,80</t>
  </si>
  <si>
    <t>5 574,24</t>
  </si>
  <si>
    <t>13 427,61</t>
  </si>
  <si>
    <t>6 016,92</t>
  </si>
  <si>
    <t>4 297,80</t>
  </si>
  <si>
    <t>21 489,00</t>
  </si>
  <si>
    <t>10 005,24</t>
  </si>
  <si>
    <t>25 085,34</t>
  </si>
  <si>
    <t>62 372,79</t>
  </si>
  <si>
    <t>10 429,50</t>
  </si>
  <si>
    <t>5 630,34</t>
  </si>
  <si>
    <t>5 599,92</t>
  </si>
  <si>
    <t>3 420,06</t>
  </si>
  <si>
    <t>34 493,04</t>
  </si>
  <si>
    <t>7 548,00</t>
  </si>
  <si>
    <t>4 435,47</t>
  </si>
  <si>
    <t>55 287,64</t>
  </si>
  <si>
    <t>18 473,56</t>
  </si>
  <si>
    <t>23 059,82</t>
  </si>
  <si>
    <t>4 430,87</t>
  </si>
  <si>
    <t>39 115,30</t>
  </si>
  <si>
    <t>8 760,00</t>
  </si>
  <si>
    <t>43 066,65</t>
  </si>
  <si>
    <t>8 011,65</t>
  </si>
  <si>
    <t>175 240,80</t>
  </si>
  <si>
    <t>4 190,00</t>
  </si>
  <si>
    <t>8 998,42</t>
  </si>
  <si>
    <t>6 882,75</t>
  </si>
  <si>
    <t>6 910,06</t>
  </si>
  <si>
    <t>61 164,21</t>
  </si>
  <si>
    <t>53 164,57</t>
  </si>
  <si>
    <t>74 872,88</t>
  </si>
  <si>
    <t>81 632,25</t>
  </si>
  <si>
    <t>65 604,00</t>
  </si>
  <si>
    <t>17 573,92</t>
  </si>
  <si>
    <t>37 867,95</t>
  </si>
  <si>
    <t>3 366,63</t>
  </si>
  <si>
    <t>52 997,10</t>
  </si>
  <si>
    <t>52 018,20</t>
  </si>
  <si>
    <t>17 227,80</t>
  </si>
  <si>
    <t>11 928,00</t>
  </si>
  <si>
    <t>5 727,60</t>
  </si>
  <si>
    <t>14 002,95</t>
  </si>
  <si>
    <t>5 564,00</t>
  </si>
  <si>
    <t>8 990,00</t>
  </si>
  <si>
    <t>5 190,00</t>
  </si>
  <si>
    <t>11 097,73</t>
  </si>
  <si>
    <t>8 480,40</t>
  </si>
  <si>
    <t>6 379,17</t>
  </si>
  <si>
    <t>29 128,20</t>
  </si>
  <si>
    <t>3 589,74</t>
  </si>
  <si>
    <t>66 942,23</t>
  </si>
  <si>
    <t>82 090,44</t>
  </si>
  <si>
    <t>13 278,72</t>
  </si>
  <si>
    <t>146 276,97</t>
  </si>
  <si>
    <t>5 405,00</t>
  </si>
  <si>
    <t>16 452,66</t>
  </si>
  <si>
    <t>6 798,75</t>
  </si>
  <si>
    <t>7 953,15</t>
  </si>
  <si>
    <t>13 202,00</t>
  </si>
  <si>
    <t>6 100,00</t>
  </si>
  <si>
    <t>7 197,00</t>
  </si>
  <si>
    <t>33 333,30</t>
  </si>
  <si>
    <t>33 333,40</t>
  </si>
  <si>
    <t>11 500,00</t>
  </si>
  <si>
    <t>Олень папа коричневый</t>
  </si>
  <si>
    <t>Ёлка</t>
  </si>
  <si>
    <t>Ковер</t>
  </si>
  <si>
    <t>Костюм концертный</t>
  </si>
  <si>
    <t>МПК "Командные штаны" (2 шт.)</t>
  </si>
  <si>
    <t>МПК "Памперсы с пинетками" (2 шт.)</t>
  </si>
  <si>
    <t>Подставка для мониторов высокая ближней зоны</t>
  </si>
  <si>
    <t>Радиостанция "Motorolla"</t>
  </si>
  <si>
    <t>Ростовая кукла "Нюша"</t>
  </si>
  <si>
    <t>Снегурочка ММФ + подсветка внутри</t>
  </si>
  <si>
    <t>Тепловентилятор</t>
  </si>
  <si>
    <t>Тепловентилятор "Энтузиаст"</t>
  </si>
  <si>
    <t>Транспорант</t>
  </si>
  <si>
    <t>Чайник</t>
  </si>
  <si>
    <t>Напольный MIDI-контроллер с двумя педалями</t>
  </si>
  <si>
    <t>Батут Хепи Хуп</t>
  </si>
  <si>
    <t>Передвижное ограждение (11 шт.)</t>
  </si>
  <si>
    <t>Конус КС 3.10</t>
  </si>
  <si>
    <t>Вентилятор сценический</t>
  </si>
  <si>
    <t>Театральный светодиодный прожектор</t>
  </si>
  <si>
    <t>Ростовая кукла "Китти"</t>
  </si>
  <si>
    <t>Ростовая кукла "Мишка"</t>
  </si>
  <si>
    <t>Баннер "Родина-мать"</t>
  </si>
  <si>
    <t>Банкетка (5 шт.)</t>
  </si>
  <si>
    <t>Баннер "Портрет Столярова"</t>
  </si>
  <si>
    <t>Баннер "Столяровские встречи"</t>
  </si>
  <si>
    <t>Баннер с макетом "9 мая"</t>
  </si>
  <si>
    <t>Барабан пехотный (15 шт.)</t>
  </si>
  <si>
    <t>Дорожка п/ш</t>
  </si>
  <si>
    <t>Жалюзи (7 шт.)</t>
  </si>
  <si>
    <t>Жезл-майор</t>
  </si>
  <si>
    <t>Картина-портрет В.И.Чуйкова</t>
  </si>
  <si>
    <t>Костюм концертный (L) 4 шт.</t>
  </si>
  <si>
    <t>Костюм концертный (М) 2 шт.</t>
  </si>
  <si>
    <t>Костюм концертный (ХL) 7 шт.</t>
  </si>
  <si>
    <t>Костюм концертный (ХХL)</t>
  </si>
  <si>
    <t>Костюм концертный (ХХХL) 3 шт.</t>
  </si>
  <si>
    <t>Кресло 3-х местное (26 шт.)</t>
  </si>
  <si>
    <t>Кресло аудиторское (Зал) 372 шт.</t>
  </si>
  <si>
    <t>Новогодний "Дед Мороз"</t>
  </si>
  <si>
    <t>Пандусы (комплект)</t>
  </si>
  <si>
    <t>Перетяжка "65 лет Сталинградской битве"</t>
  </si>
  <si>
    <t>Ремень для гитары</t>
  </si>
  <si>
    <t>Ростовая кукла "Кот"</t>
  </si>
  <si>
    <t>Рэк напольный на 20 предметов</t>
  </si>
  <si>
    <t>Стенд информации</t>
  </si>
  <si>
    <t>Стойка рэковая напольная "Bespeco" (3 шт.)</t>
  </si>
  <si>
    <t>Стол бильярдный</t>
  </si>
  <si>
    <t>Стол письменный (1600х800х750) 3 шт.</t>
  </si>
  <si>
    <t>Стол шахматный с парковыми фигурами</t>
  </si>
  <si>
    <t>Стол шахматный с тронов. фигурами</t>
  </si>
  <si>
    <t>Переносное ограждение "Н1000 х W2500" 8 шт.</t>
  </si>
  <si>
    <t>Стул (кресло дермантин) 10 шт.</t>
  </si>
  <si>
    <t>Сценический подиум</t>
  </si>
  <si>
    <t>Тепловентилятор "Иола-К"</t>
  </si>
  <si>
    <t>Трибуна с подсветкой</t>
  </si>
  <si>
    <t>Универсальный потолочный крепеж (для проектора)</t>
  </si>
  <si>
    <t>Кресло 3-х местное (18 шт.)</t>
  </si>
  <si>
    <t>10 756,00</t>
  </si>
  <si>
    <t>55 000,00</t>
  </si>
  <si>
    <t>9 000,00</t>
  </si>
  <si>
    <t>5 220,00</t>
  </si>
  <si>
    <t>12 000,00</t>
  </si>
  <si>
    <t>6 018,00</t>
  </si>
  <si>
    <t>9 477,00</t>
  </si>
  <si>
    <t>10 034,00</t>
  </si>
  <si>
    <t>3 250,00</t>
  </si>
  <si>
    <t>5 950,00</t>
  </si>
  <si>
    <t>29 995,00</t>
  </si>
  <si>
    <t>33 005,00</t>
  </si>
  <si>
    <t>37 400,00</t>
  </si>
  <si>
    <t>13 999,92</t>
  </si>
  <si>
    <t>22 948,00</t>
  </si>
  <si>
    <t>26 000,00</t>
  </si>
  <si>
    <t>31 000,00</t>
  </si>
  <si>
    <t>6 030,00</t>
  </si>
  <si>
    <t>6 700,00</t>
  </si>
  <si>
    <t>53 638,20</t>
  </si>
  <si>
    <t>7 920,00</t>
  </si>
  <si>
    <t>24 985,00</t>
  </si>
  <si>
    <t>15 240,00</t>
  </si>
  <si>
    <t>6 554,00</t>
  </si>
  <si>
    <t>21 920,00</t>
  </si>
  <si>
    <t>10 440,00</t>
  </si>
  <si>
    <t>40 880,00</t>
  </si>
  <si>
    <t>6 180,00</t>
  </si>
  <si>
    <t>19 560,00</t>
  </si>
  <si>
    <t>102 963,12</t>
  </si>
  <si>
    <t>2 529 599,14</t>
  </si>
  <si>
    <t>3 369,64</t>
  </si>
  <si>
    <t>4 600,82</t>
  </si>
  <si>
    <t>5 476,26</t>
  </si>
  <si>
    <t>4 555,48</t>
  </si>
  <si>
    <t>3 912,00</t>
  </si>
  <si>
    <t>3 171,48</t>
  </si>
  <si>
    <t>14 280,00</t>
  </si>
  <si>
    <t>9 461,50</t>
  </si>
  <si>
    <t>6 349,25</t>
  </si>
  <si>
    <t>4 617,71</t>
  </si>
  <si>
    <t>25 585,89</t>
  </si>
  <si>
    <t>30 325,06</t>
  </si>
  <si>
    <t>3 618,52</t>
  </si>
  <si>
    <t>18 111,60</t>
  </si>
  <si>
    <t>6 600,00</t>
  </si>
  <si>
    <t>27 200,00</t>
  </si>
  <si>
    <t>40 460,00</t>
  </si>
  <si>
    <t>195 275,00</t>
  </si>
  <si>
    <t>13 260,00</t>
  </si>
  <si>
    <t>4 888,83</t>
  </si>
  <si>
    <t>71 282,16</t>
  </si>
  <si>
    <t>Сани снегурочки</t>
  </si>
  <si>
    <t>Ростовая кукла "Маша"</t>
  </si>
  <si>
    <t>Костюм мужской</t>
  </si>
  <si>
    <t>Ель искуственная 240 см.</t>
  </si>
  <si>
    <t>Платье "Вальс"</t>
  </si>
  <si>
    <t>Костюм "Маленькие дети"</t>
  </si>
  <si>
    <t>Рубашка "Вальс" + галстук бабочка</t>
  </si>
  <si>
    <t>Костюм "Лебединая верность"</t>
  </si>
  <si>
    <t>Модуль "Гусеница мини"</t>
  </si>
  <si>
    <t>Поролоновый модуль "Перекати поле"</t>
  </si>
  <si>
    <t>Поролоновый модуль "Лошадиные скачки"</t>
  </si>
  <si>
    <t>Детский электроквадроцикл "Polaris Sportman"</t>
  </si>
  <si>
    <t>Детский электромобиль "Gaucho Super"</t>
  </si>
  <si>
    <t>Детский квадроцикл "Corral T-Rex"</t>
  </si>
  <si>
    <t>Детский электромобиль с радиоуправлением FIAT</t>
  </si>
  <si>
    <t>Детский электромобиль "Raider Princess"</t>
  </si>
  <si>
    <t>Детский электромобиль "Polaris Ranger"</t>
  </si>
  <si>
    <t>Пачка шопеновская</t>
  </si>
  <si>
    <t>Рубашка к танцу "Сновидение"</t>
  </si>
  <si>
    <t>54 000,00</t>
  </si>
  <si>
    <t>11 150,00</t>
  </si>
  <si>
    <t>4 335,30</t>
  </si>
  <si>
    <t>4 450,00</t>
  </si>
  <si>
    <t>7 876,00</t>
  </si>
  <si>
    <t>7 889,90</t>
  </si>
  <si>
    <t>5 736,00</t>
  </si>
  <si>
    <t>39 730,00</t>
  </si>
  <si>
    <t>49 540,00</t>
  </si>
  <si>
    <t>12 360,00</t>
  </si>
  <si>
    <t>8 499,00</t>
  </si>
  <si>
    <t>26 999,00</t>
  </si>
  <si>
    <t>5 116,60</t>
  </si>
  <si>
    <t>3 220,00</t>
  </si>
  <si>
    <t>акт ввода в эксплуатацию</t>
  </si>
  <si>
    <t>Монитор "Philips"</t>
  </si>
  <si>
    <t>Принтер струйный "Canon"</t>
  </si>
  <si>
    <t>Фотоаппарат "Canon"</t>
  </si>
  <si>
    <t>23 485,00</t>
  </si>
  <si>
    <t>22.12.2014</t>
  </si>
  <si>
    <t>23 313,72</t>
  </si>
  <si>
    <t>15 877,50</t>
  </si>
  <si>
    <t>11 317,00</t>
  </si>
  <si>
    <t>20.10.2004</t>
  </si>
  <si>
    <t>14 062,00</t>
  </si>
  <si>
    <t>4 520,00</t>
  </si>
  <si>
    <t>02.04.2008</t>
  </si>
  <si>
    <t>17 280,00</t>
  </si>
  <si>
    <t>11 656,86</t>
  </si>
  <si>
    <t>Лодка</t>
  </si>
  <si>
    <t>Шкаф бухгалтерский с трейзером</t>
  </si>
  <si>
    <t>Шкаф мебельный с трейзером</t>
  </si>
  <si>
    <t>01.01.2009</t>
  </si>
  <si>
    <t>24.12.2014</t>
  </si>
  <si>
    <t>12 498,00</t>
  </si>
  <si>
    <t>16.09.2014</t>
  </si>
  <si>
    <t>4 632,00</t>
  </si>
  <si>
    <t>21.04.2008</t>
  </si>
  <si>
    <t>5 181,00</t>
  </si>
  <si>
    <t>4 005,00</t>
  </si>
  <si>
    <t>05.06.2012</t>
  </si>
  <si>
    <t>акт приема-передачи</t>
  </si>
  <si>
    <t>Рояль "Falcone"</t>
  </si>
  <si>
    <t>Пианино "Rohler and Campbell 1896"</t>
  </si>
  <si>
    <t>Аккордеон "Юность"</t>
  </si>
  <si>
    <t>Аккордеон "Royal"</t>
  </si>
  <si>
    <t>Баян "Тула-210"</t>
  </si>
  <si>
    <t>Видеокамера "Canon"</t>
  </si>
  <si>
    <t>Гитара "Струнал"</t>
  </si>
  <si>
    <t>Саксофон "Альт"</t>
  </si>
  <si>
    <t>Саксофон сопрано</t>
  </si>
  <si>
    <t>Скрипка</t>
  </si>
  <si>
    <t>Флейта "Амати"</t>
  </si>
  <si>
    <t>Цифровое пианино "Casio"</t>
  </si>
  <si>
    <t>Цифровое фортепиано"Casio"</t>
  </si>
  <si>
    <t>Электрический синтезатор</t>
  </si>
  <si>
    <t>Электрическое фортепиано "Yamaha"</t>
  </si>
  <si>
    <t>329 024,00</t>
  </si>
  <si>
    <t>16.06.2015</t>
  </si>
  <si>
    <t>166 000,00</t>
  </si>
  <si>
    <t>150 491,88</t>
  </si>
  <si>
    <t>23 072,00</t>
  </si>
  <si>
    <t>18 396,00</t>
  </si>
  <si>
    <t>11 200,00</t>
  </si>
  <si>
    <t>23 240,00</t>
  </si>
  <si>
    <t>17 479,00</t>
  </si>
  <si>
    <t>7 095,00</t>
  </si>
  <si>
    <t>13 390,00</t>
  </si>
  <si>
    <t>11 330,00</t>
  </si>
  <si>
    <t>26 303,00</t>
  </si>
  <si>
    <t>17 459,82</t>
  </si>
  <si>
    <t>16 686,00</t>
  </si>
  <si>
    <t>18 900,00</t>
  </si>
  <si>
    <t>24 100,00</t>
  </si>
  <si>
    <t>36 325,80</t>
  </si>
  <si>
    <t>31 130,00</t>
  </si>
  <si>
    <t>18 910,00</t>
  </si>
  <si>
    <t>Диван "Бизон"</t>
  </si>
  <si>
    <t>Труба Bb стандартнаяYamaha</t>
  </si>
  <si>
    <t>Виолончель</t>
  </si>
  <si>
    <t>Флейта "Yamaha"</t>
  </si>
  <si>
    <t>Пианино "Rearl_River"</t>
  </si>
  <si>
    <t>Газонокосилка</t>
  </si>
  <si>
    <t>Перфоратор</t>
  </si>
  <si>
    <t>Ноутбук "Dell Inspiron"</t>
  </si>
  <si>
    <t>Ноутбук "НР Pavilion"</t>
  </si>
  <si>
    <t>Труба стандартная "Yamaha"</t>
  </si>
  <si>
    <t>Ноутбук "Sony"</t>
  </si>
  <si>
    <t>Телевизор "Mystery"</t>
  </si>
  <si>
    <t>Аккордеон "Аккорд"</t>
  </si>
  <si>
    <t>Баян "Орфей"</t>
  </si>
  <si>
    <t>Гитара "Cremana"</t>
  </si>
  <si>
    <t>Гобой</t>
  </si>
  <si>
    <t>Кларнет</t>
  </si>
  <si>
    <t>Домра "Прима Питер"</t>
  </si>
  <si>
    <t>Ксилофон</t>
  </si>
  <si>
    <t>Пианино</t>
  </si>
  <si>
    <t>Скрипка "Струнал"</t>
  </si>
  <si>
    <t>Скрипка 3/4</t>
  </si>
  <si>
    <t>Телевизор "Sony"</t>
  </si>
  <si>
    <t>Труба помповая</t>
  </si>
  <si>
    <t>Флейта "Пиккало"</t>
  </si>
  <si>
    <t>Флейта (Тайвань)</t>
  </si>
  <si>
    <t>Флейта поперечная</t>
  </si>
  <si>
    <t>Флейта ТРС-40S</t>
  </si>
  <si>
    <t>Фотоаппарат "Panasonic"</t>
  </si>
  <si>
    <t>Холодильник "Nord"</t>
  </si>
  <si>
    <t>Электрическая швейная машинка</t>
  </si>
  <si>
    <t>18 200,00</t>
  </si>
  <si>
    <t>168 020,00</t>
  </si>
  <si>
    <t>4 300,00</t>
  </si>
  <si>
    <t>28 990,00</t>
  </si>
  <si>
    <t>44 500,00</t>
  </si>
  <si>
    <t>23 980,00</t>
  </si>
  <si>
    <t>6 598,01</t>
  </si>
  <si>
    <t>21 100,00</t>
  </si>
  <si>
    <t>3 289,50</t>
  </si>
  <si>
    <t>3 330,00</t>
  </si>
  <si>
    <t>4 331,15</t>
  </si>
  <si>
    <t>6 926,40</t>
  </si>
  <si>
    <t>3 663,00</t>
  </si>
  <si>
    <t>8 892,00</t>
  </si>
  <si>
    <t>8 325,00</t>
  </si>
  <si>
    <t>6 184,60</t>
  </si>
  <si>
    <t>4 251,30</t>
  </si>
  <si>
    <t>3 885,00</t>
  </si>
  <si>
    <t>6 990,00</t>
  </si>
  <si>
    <t>7 992,00</t>
  </si>
  <si>
    <t>6 427,20</t>
  </si>
  <si>
    <t>7 015,20</t>
  </si>
  <si>
    <t>7 488,18</t>
  </si>
  <si>
    <t>5 899,00</t>
  </si>
  <si>
    <t>Доска магнитная</t>
  </si>
  <si>
    <t>Кушетка "Махаон"</t>
  </si>
  <si>
    <t>4 230,90</t>
  </si>
  <si>
    <t>4 453,00</t>
  </si>
  <si>
    <t>Подогреватель ППВ-25</t>
  </si>
  <si>
    <t>Электрическая печь Harvia Club</t>
  </si>
  <si>
    <t>37 584,00</t>
  </si>
  <si>
    <t>45 420,00</t>
  </si>
  <si>
    <t>Автобус ПАЗ-320539</t>
  </si>
  <si>
    <t>606 900,00</t>
  </si>
  <si>
    <t>Автоматический пылесос "Dolphin"</t>
  </si>
  <si>
    <t>Ворота для мини-футбола</t>
  </si>
  <si>
    <t>Вышка-тура 21м.</t>
  </si>
  <si>
    <t>99 800,00</t>
  </si>
  <si>
    <t>38 195,76</t>
  </si>
  <si>
    <t>26 450,00</t>
  </si>
  <si>
    <t>Стиральная машина LG</t>
  </si>
  <si>
    <t>Дрель аккумуляторная Makita</t>
  </si>
  <si>
    <t>ККМ Элвес-Микро-К</t>
  </si>
  <si>
    <t>Телефакс Panasonic</t>
  </si>
  <si>
    <t>Шланг 50м.</t>
  </si>
  <si>
    <t>Табло для бассейна</t>
  </si>
  <si>
    <t>Бензопила</t>
  </si>
  <si>
    <t>Бензопила HUSQVARNA</t>
  </si>
  <si>
    <t>Насос К 20/30</t>
  </si>
  <si>
    <t>Триммер</t>
  </si>
  <si>
    <t>Фотоаппарат "Casio"</t>
  </si>
  <si>
    <t>Электрический котел</t>
  </si>
  <si>
    <t>Насос центробежный</t>
  </si>
  <si>
    <t>13 600,00</t>
  </si>
  <si>
    <t>5 545,00</t>
  </si>
  <si>
    <t>14 600,00</t>
  </si>
  <si>
    <t>9 015,00</t>
  </si>
  <si>
    <t>9 588,00</t>
  </si>
  <si>
    <t>5 323,00</t>
  </si>
  <si>
    <t>15 812,00</t>
  </si>
  <si>
    <t>5 100,00</t>
  </si>
  <si>
    <t>7 700,00</t>
  </si>
  <si>
    <t>8 128,00</t>
  </si>
  <si>
    <t>8 987,00</t>
  </si>
  <si>
    <t>31 152,00</t>
  </si>
  <si>
    <t>9 952,87</t>
  </si>
  <si>
    <t>32 815,02</t>
  </si>
  <si>
    <t>14 400,00</t>
  </si>
  <si>
    <t>Диван "Махаон" 3х местный</t>
  </si>
  <si>
    <t>Ель пластиковая</t>
  </si>
  <si>
    <t>Тепловентилятор "Элара" 15 кВт</t>
  </si>
  <si>
    <t>Шары для бильярда</t>
  </si>
  <si>
    <t>Шкаф для сумок</t>
  </si>
  <si>
    <t>Стенд план эвакуации</t>
  </si>
  <si>
    <t>Мебель для сауны</t>
  </si>
  <si>
    <t>Одноместная секция без подлокотников</t>
  </si>
  <si>
    <t>Поддон для мытья ног</t>
  </si>
  <si>
    <t>Разделитель дорожки "Рим"</t>
  </si>
  <si>
    <t>Светильник "Ретро-абажур"</t>
  </si>
  <si>
    <t>Сейф 80 кг.</t>
  </si>
  <si>
    <t>Стойка для волейбола</t>
  </si>
  <si>
    <t>Стол бильярдный "Классик-Люкс"</t>
  </si>
  <si>
    <t>Стол бильярдный "Модерн-Люкс ПУЛ"</t>
  </si>
  <si>
    <t>Стол компьютерный СК-6</t>
  </si>
  <si>
    <t>Плакат на баннере с люверсами</t>
  </si>
  <si>
    <t>5 930,00</t>
  </si>
  <si>
    <t>6 880,10</t>
  </si>
  <si>
    <t>34 282,00</t>
  </si>
  <si>
    <t>7 144,20</t>
  </si>
  <si>
    <t>14 677,50</t>
  </si>
  <si>
    <t>5 918,22</t>
  </si>
  <si>
    <t>5 098,00</t>
  </si>
  <si>
    <t>7 669,00</t>
  </si>
  <si>
    <t>11 640,00</t>
  </si>
  <si>
    <t>8 180,64</t>
  </si>
  <si>
    <t>6 439,26</t>
  </si>
  <si>
    <t>5 266,80</t>
  </si>
  <si>
    <t>26 600,70</t>
  </si>
  <si>
    <t>42 351,14</t>
  </si>
  <si>
    <t>9 067,80</t>
  </si>
  <si>
    <t>5 791,25</t>
  </si>
  <si>
    <t>81 374,00</t>
  </si>
  <si>
    <t>90 731,72</t>
  </si>
  <si>
    <t>63 783,77</t>
  </si>
  <si>
    <t>35 108,00</t>
  </si>
  <si>
    <t>Надувная фигура "Дед Мороз и снеговик"</t>
  </si>
  <si>
    <t>Электронная книга "Наши земляки"</t>
  </si>
  <si>
    <t>Пульт "Эпиграф"</t>
  </si>
  <si>
    <t>Системный блок Pentium 4</t>
  </si>
  <si>
    <t>Цифровой фотоаппарат "Sony"</t>
  </si>
  <si>
    <t>Ноутбук "Asus"</t>
  </si>
  <si>
    <t>Телевизор "LG 42"</t>
  </si>
  <si>
    <t>Компьютер "MegaWork"</t>
  </si>
  <si>
    <t>250 000,00</t>
  </si>
  <si>
    <t>29 785,00</t>
  </si>
  <si>
    <t>29 266,23</t>
  </si>
  <si>
    <t>23 547,00</t>
  </si>
  <si>
    <t>17 098,00</t>
  </si>
  <si>
    <t>26 900,00</t>
  </si>
  <si>
    <t>39 000,00</t>
  </si>
  <si>
    <t>30 730,00</t>
  </si>
  <si>
    <t>Библиомобиль</t>
  </si>
  <si>
    <t>193 932,90</t>
  </si>
  <si>
    <t>7 010 600,00</t>
  </si>
  <si>
    <t>Многофункциональное устройство Canon</t>
  </si>
  <si>
    <t>Фотоаппарат Sony</t>
  </si>
  <si>
    <t>Монитор 19 дюймов "Samsung"</t>
  </si>
  <si>
    <t>Принтер лазерный НР 1018</t>
  </si>
  <si>
    <t>Компьютер Intel Pentium E6600</t>
  </si>
  <si>
    <t>42 924,74</t>
  </si>
  <si>
    <t>7 050,00</t>
  </si>
  <si>
    <t>8 584,92</t>
  </si>
  <si>
    <t>14 360,00</t>
  </si>
  <si>
    <t>8 625,00</t>
  </si>
  <si>
    <t>3 180,00</t>
  </si>
  <si>
    <t>6 684,29</t>
  </si>
  <si>
    <t>9 870,00</t>
  </si>
  <si>
    <t>4 650,00</t>
  </si>
  <si>
    <t>4 284,00</t>
  </si>
  <si>
    <t>3 774,00</t>
  </si>
  <si>
    <t>8 613,22</t>
  </si>
  <si>
    <t>9 536,03</t>
  </si>
  <si>
    <t>23 517,45</t>
  </si>
  <si>
    <t>23 517,50</t>
  </si>
  <si>
    <t>Шкаф-витрина "Детольф"</t>
  </si>
  <si>
    <t>Сейф огнестойкий</t>
  </si>
  <si>
    <t>Компьютерный стол</t>
  </si>
  <si>
    <t>Вывеска учреждения</t>
  </si>
  <si>
    <t>Гирлянда электрическая</t>
  </si>
  <si>
    <t>Комплект для аудиторского стола</t>
  </si>
  <si>
    <t>Латунная таблица "Столяров"</t>
  </si>
  <si>
    <t>Печатная машинка</t>
  </si>
  <si>
    <t>Прожектор (11 шт.)</t>
  </si>
  <si>
    <t>Пылесос вакумный LG</t>
  </si>
  <si>
    <t>СВЧ печь "Daewoo"</t>
  </si>
  <si>
    <t>Стремянка</t>
  </si>
  <si>
    <t>Стул-кресло</t>
  </si>
  <si>
    <t>Угловой диван "Престиж"</t>
  </si>
  <si>
    <t>Стенд выставочный</t>
  </si>
  <si>
    <t>Трибуна малая</t>
  </si>
  <si>
    <t>4 999,00</t>
  </si>
  <si>
    <t>6 997,00</t>
  </si>
  <si>
    <t>6 555,00</t>
  </si>
  <si>
    <t>7 550,55</t>
  </si>
  <si>
    <t>5 697,72</t>
  </si>
  <si>
    <t>6 342,38</t>
  </si>
  <si>
    <t>17 903,19</t>
  </si>
  <si>
    <t>7 196,91</t>
  </si>
  <si>
    <t>34 013,43</t>
  </si>
  <si>
    <t>3 022,60</t>
  </si>
  <si>
    <t>3 598,00</t>
  </si>
  <si>
    <t>11 469,37</t>
  </si>
  <si>
    <t>4 188,46</t>
  </si>
  <si>
    <t>3 458,21</t>
  </si>
  <si>
    <t>15 346,68</t>
  </si>
  <si>
    <t>32 800,00</t>
  </si>
  <si>
    <t>4 157,98</t>
  </si>
  <si>
    <t>Видео камера  SONI</t>
  </si>
  <si>
    <t>Доска интерактивная Interwrite DualBoard 1289</t>
  </si>
  <si>
    <t>Проектор Epson EB-585VV со специализиров-м креплением</t>
  </si>
  <si>
    <t xml:space="preserve">4101240008                    </t>
  </si>
  <si>
    <t xml:space="preserve">4 101240002                   </t>
  </si>
  <si>
    <t xml:space="preserve">4 101240003                   </t>
  </si>
  <si>
    <t>Теневой навес 500х300см.</t>
  </si>
  <si>
    <t>Пылесос бытовой</t>
  </si>
  <si>
    <t>Камера холод. "Атлант  2823-80"</t>
  </si>
  <si>
    <t>Магнитофон "Шарп"</t>
  </si>
  <si>
    <t>Машина стир. авт. ВЕКО</t>
  </si>
  <si>
    <t>Музык.центр 1-кас. CD</t>
  </si>
  <si>
    <t>ПК (кабель USB,сист.блок Pentium,мон-р ASER,оп.сист,клав, мышь)</t>
  </si>
  <si>
    <t>Плита эл.</t>
  </si>
  <si>
    <t>Принтер "Самсунг "</t>
  </si>
  <si>
    <t>Стиральная машина</t>
  </si>
  <si>
    <t>Холодильник  "Стинол"</t>
  </si>
  <si>
    <t>Водонагреватель ABS PRO ECO 80V SLIM</t>
  </si>
  <si>
    <t>Холодильник NORD 403  ( мед. каб. )</t>
  </si>
  <si>
    <t>Напольный палас (покрытие)</t>
  </si>
  <si>
    <t>Весы эл.  15 кг</t>
  </si>
  <si>
    <t>Ёлка зелёная - 3м ПВХ</t>
  </si>
  <si>
    <t>Палас</t>
  </si>
  <si>
    <t>Стенка - мини (М-30)</t>
  </si>
  <si>
    <t>Стол разд.нерж.</t>
  </si>
  <si>
    <t>Уголок кухня 1 (1300*350*1300)</t>
  </si>
  <si>
    <t>Уголок кухня 2 (850*340*800)</t>
  </si>
  <si>
    <t>стенка игровая 1 (1830*280*1450)</t>
  </si>
  <si>
    <t>стенка игровая 2 (2370*280*1450)</t>
  </si>
  <si>
    <t>скамейка гимнастическая 2,0м</t>
  </si>
  <si>
    <t>Шкаф металлический ШМ -01-МСК ( мед.каб.)</t>
  </si>
  <si>
    <t>Детская площадка . DUPLO</t>
  </si>
  <si>
    <t>Дикие животные .DUPLO</t>
  </si>
  <si>
    <t>Дочки- матери. DUPLO</t>
  </si>
  <si>
    <t>Набор для игры с водой</t>
  </si>
  <si>
    <t>Передвижной стол игровой ,для занятий с водой или песком</t>
  </si>
  <si>
    <t xml:space="preserve">4101230001                    </t>
  </si>
  <si>
    <t xml:space="preserve">1.10104008                    </t>
  </si>
  <si>
    <t xml:space="preserve">1.101040010                   </t>
  </si>
  <si>
    <t xml:space="preserve">1.101040005                   </t>
  </si>
  <si>
    <t xml:space="preserve">1.10104023                    </t>
  </si>
  <si>
    <t xml:space="preserve">110104015                     </t>
  </si>
  <si>
    <t xml:space="preserve">1.10104005                    </t>
  </si>
  <si>
    <t xml:space="preserve">1,10104016                    </t>
  </si>
  <si>
    <t xml:space="preserve">1.101040009                   </t>
  </si>
  <si>
    <t xml:space="preserve">1.10104010                    </t>
  </si>
  <si>
    <t xml:space="preserve">1.101040007                   </t>
  </si>
  <si>
    <t xml:space="preserve">41013404                      </t>
  </si>
  <si>
    <t xml:space="preserve">1,1013405                     </t>
  </si>
  <si>
    <t xml:space="preserve">2.10106019                    </t>
  </si>
  <si>
    <t xml:space="preserve">1.10106016                    </t>
  </si>
  <si>
    <t xml:space="preserve">1.101060012                   </t>
  </si>
  <si>
    <t xml:space="preserve">1.10106006                    </t>
  </si>
  <si>
    <t xml:space="preserve">1.10106015                    </t>
  </si>
  <si>
    <t xml:space="preserve">1.10106011                    </t>
  </si>
  <si>
    <t xml:space="preserve">1.10106004                    </t>
  </si>
  <si>
    <t xml:space="preserve">1.101060025                   </t>
  </si>
  <si>
    <t xml:space="preserve">4101360002                    </t>
  </si>
  <si>
    <t xml:space="preserve">4101360001                    </t>
  </si>
  <si>
    <t xml:space="preserve">4101360004                    </t>
  </si>
  <si>
    <t xml:space="preserve">4101360003                    </t>
  </si>
  <si>
    <t xml:space="preserve">4101360005                    </t>
  </si>
  <si>
    <t xml:space="preserve">11013805                      </t>
  </si>
  <si>
    <t xml:space="preserve">4101380001                    </t>
  </si>
  <si>
    <t xml:space="preserve">4101380002                    </t>
  </si>
  <si>
    <t xml:space="preserve">4101380003                    </t>
  </si>
  <si>
    <t xml:space="preserve">4101380004                    </t>
  </si>
  <si>
    <t xml:space="preserve">4101380005                    </t>
  </si>
  <si>
    <t>Теневой навес 500х600см.</t>
  </si>
  <si>
    <t>Плита  ПЭП-48 М-ШЖ</t>
  </si>
  <si>
    <t>Музыкал. центр с аудио системой</t>
  </si>
  <si>
    <t>Косилка- триммер с нож.- 1.8л.</t>
  </si>
  <si>
    <t>Машина стир. авт.LG</t>
  </si>
  <si>
    <t>Морозильник "Стинол"</t>
  </si>
  <si>
    <t>Телевизор  ЖК 20 со встроенным  DVD плером</t>
  </si>
  <si>
    <t>Телевизор цв. "VESTEL"</t>
  </si>
  <si>
    <t>Холодильник 2-х кам."Бирюса-135"</t>
  </si>
  <si>
    <t>Камера морозильная "Саратов 104"</t>
  </si>
  <si>
    <t>телевизор FUSION FLTV-16C10</t>
  </si>
  <si>
    <t>Машина стир. авт.LG  F12B8QD</t>
  </si>
  <si>
    <t>Музык. центр "Витек"</t>
  </si>
  <si>
    <t>Телевизор ЖК - 20 со встроен. DVD плеером</t>
  </si>
  <si>
    <t>Холодильник NORD 403 (мед.каб-т)</t>
  </si>
  <si>
    <t>ПК (кабель USB,сист.блок Pentium,мон-р ASER,операц.сист,клав, мышь)</t>
  </si>
  <si>
    <t>Принтер Samsunq</t>
  </si>
  <si>
    <t>Ёлка зелёная- 3м ПВХ</t>
  </si>
  <si>
    <t>Мясорубка  Тефаль МЕ-7001</t>
  </si>
  <si>
    <t>Палас   - 8.8 м.</t>
  </si>
  <si>
    <t>Стенка  "Теремок"</t>
  </si>
  <si>
    <t>Стол дидактический</t>
  </si>
  <si>
    <t>Стол кух разд.нерж.</t>
  </si>
  <si>
    <t>Стол произв. раздел. с полкой (нерж. столеш.,окраш.м/к)1200*600*870</t>
  </si>
  <si>
    <t>Шкаф - стенка</t>
  </si>
  <si>
    <t>Шкафчик д/раздевалки  5-ти/секцион.</t>
  </si>
  <si>
    <t>Шкаф широкий полуоткр.И</t>
  </si>
  <si>
    <t>стенка игровая "Горка" 2500*420*1400</t>
  </si>
  <si>
    <t>кровать 3-х ярусная выкатная 1450*600</t>
  </si>
  <si>
    <t>стеллаж для кухни нерж.1500*400*1800</t>
  </si>
  <si>
    <t xml:space="preserve">пылесос Samsung </t>
  </si>
  <si>
    <t>кухня игровая пластиковая</t>
  </si>
  <si>
    <t>Шкаф для одежды 1 секционный</t>
  </si>
  <si>
    <t>Стол для работы с песком для тактильной игры " Рисуем на песке "</t>
  </si>
  <si>
    <t>Шкаф метал. ШМ-01-МСК (мед.каб-т)</t>
  </si>
  <si>
    <t>Детская площадка .DUPLO</t>
  </si>
  <si>
    <t>Доска-основа магнитная черная 90х90 см</t>
  </si>
  <si>
    <t>Игра " Что это ?  "</t>
  </si>
  <si>
    <t>Базовый комплект для тактильной игры " Рисуем на песке "</t>
  </si>
  <si>
    <t>Дочки-матери . DUPLO</t>
  </si>
  <si>
    <t xml:space="preserve">1.10124254                    </t>
  </si>
  <si>
    <t xml:space="preserve">2.10134075                    </t>
  </si>
  <si>
    <t xml:space="preserve">1,10104003                    </t>
  </si>
  <si>
    <t xml:space="preserve">1,101040001                   </t>
  </si>
  <si>
    <t xml:space="preserve">1,10104011                    </t>
  </si>
  <si>
    <t xml:space="preserve">1,10104020                    </t>
  </si>
  <si>
    <t xml:space="preserve">1.10134073                    </t>
  </si>
  <si>
    <t xml:space="preserve">1,10104013                    </t>
  </si>
  <si>
    <t xml:space="preserve">1,10104002                    </t>
  </si>
  <si>
    <t xml:space="preserve">4.10134077                    </t>
  </si>
  <si>
    <t xml:space="preserve">4101340001                    </t>
  </si>
  <si>
    <t xml:space="preserve">4.10134083                    </t>
  </si>
  <si>
    <t xml:space="preserve">1.101340052                   </t>
  </si>
  <si>
    <t xml:space="preserve">1.101340051                   </t>
  </si>
  <si>
    <t xml:space="preserve">110134271                     </t>
  </si>
  <si>
    <t xml:space="preserve">1.10134074                    </t>
  </si>
  <si>
    <t xml:space="preserve">1.10134076                    </t>
  </si>
  <si>
    <t xml:space="preserve">2.10136076                    </t>
  </si>
  <si>
    <t xml:space="preserve">1,10106051                    </t>
  </si>
  <si>
    <t xml:space="preserve">10106008                      </t>
  </si>
  <si>
    <t xml:space="preserve">1,10106002                    </t>
  </si>
  <si>
    <t xml:space="preserve">1,10106010                    </t>
  </si>
  <si>
    <t xml:space="preserve">1,10106003                    </t>
  </si>
  <si>
    <t xml:space="preserve">1,10106043                    </t>
  </si>
  <si>
    <t xml:space="preserve">1,10106048                    </t>
  </si>
  <si>
    <t xml:space="preserve">1,10106038                    </t>
  </si>
  <si>
    <t xml:space="preserve">1.10136020                    </t>
  </si>
  <si>
    <t xml:space="preserve">1,10106005                    </t>
  </si>
  <si>
    <t xml:space="preserve">1.10136246                    </t>
  </si>
  <si>
    <t xml:space="preserve">1.10136247                    </t>
  </si>
  <si>
    <t xml:space="preserve">1.10136248                    </t>
  </si>
  <si>
    <t xml:space="preserve">1.10136249                    </t>
  </si>
  <si>
    <t xml:space="preserve">1.10136250                    </t>
  </si>
  <si>
    <t xml:space="preserve">1.10136251                    </t>
  </si>
  <si>
    <t xml:space="preserve">1.10136252                    </t>
  </si>
  <si>
    <t xml:space="preserve">1.10136253                    </t>
  </si>
  <si>
    <t xml:space="preserve">4.10136078                    </t>
  </si>
  <si>
    <t xml:space="preserve">4.10136079                    </t>
  </si>
  <si>
    <t xml:space="preserve">4.10136080                    </t>
  </si>
  <si>
    <t xml:space="preserve">4.10136081                    </t>
  </si>
  <si>
    <t xml:space="preserve">4.10136082                    </t>
  </si>
  <si>
    <t xml:space="preserve">4.10136083                    </t>
  </si>
  <si>
    <t xml:space="preserve">4.10136084                    </t>
  </si>
  <si>
    <t xml:space="preserve">4.10136085                    </t>
  </si>
  <si>
    <t xml:space="preserve">4.10136086                    </t>
  </si>
  <si>
    <t xml:space="preserve">4101360006                    </t>
  </si>
  <si>
    <t xml:space="preserve">4101360007                    </t>
  </si>
  <si>
    <t xml:space="preserve">4101360008                    </t>
  </si>
  <si>
    <t xml:space="preserve">4101360009                    </t>
  </si>
  <si>
    <t xml:space="preserve">4101360010                    </t>
  </si>
  <si>
    <t xml:space="preserve">4101360011                    </t>
  </si>
  <si>
    <t xml:space="preserve">110136270                     </t>
  </si>
  <si>
    <t xml:space="preserve">4101380012                    </t>
  </si>
  <si>
    <t xml:space="preserve">4101380013                    </t>
  </si>
  <si>
    <t xml:space="preserve">4101380014                    </t>
  </si>
  <si>
    <t xml:space="preserve">4101380015                    </t>
  </si>
  <si>
    <t xml:space="preserve">4101380016                    </t>
  </si>
  <si>
    <t xml:space="preserve">4101380017                    </t>
  </si>
  <si>
    <t>Плита пром. ПЭМ-4 М 4-х /комф. с жар./шкафом</t>
  </si>
  <si>
    <t>Компьютер персональный</t>
  </si>
  <si>
    <t>Машина стир.авт.JG</t>
  </si>
  <si>
    <t>Музык. центр 1-кас. CD</t>
  </si>
  <si>
    <t>Пианино "Лира"</t>
  </si>
  <si>
    <t>Телевизор-21 JVC</t>
  </si>
  <si>
    <t>Фотоаппарат цихр.SONI</t>
  </si>
  <si>
    <t>Холодильник "Атлант -4012"</t>
  </si>
  <si>
    <t>Холодильник "Снайге"</t>
  </si>
  <si>
    <t>Сканер HP ScanJet</t>
  </si>
  <si>
    <t>Мотокоса Husgvarna 128 R</t>
  </si>
  <si>
    <t>Синтезатор SUPRA SKB-614</t>
  </si>
  <si>
    <t>Водонагреватель Аристон PRO 10  SNR/3</t>
  </si>
  <si>
    <t>Косилка тример бенз. Патриот РТ 3050</t>
  </si>
  <si>
    <t>Водонагреватель с вентилем нерж. (17л)</t>
  </si>
  <si>
    <t>Весы</t>
  </si>
  <si>
    <t>Ковёр</t>
  </si>
  <si>
    <t xml:space="preserve">Стенка </t>
  </si>
  <si>
    <t>Стол кух. разд.нерж.</t>
  </si>
  <si>
    <t>Весы медицинские ВМЭН-150</t>
  </si>
  <si>
    <t>Весы фасовочные МТ 15 В1 (до 15 кг)</t>
  </si>
  <si>
    <t>Шкаф д/одежды детск. 4-х/секцион.(наказы избират.)</t>
  </si>
  <si>
    <t>Стол разделочный нержав. 800*600*870</t>
  </si>
  <si>
    <t>Мойка нержав. 1 секционная 530*530*870</t>
  </si>
  <si>
    <t>Стеллаж  кухонный нерж. 800*400*1850</t>
  </si>
  <si>
    <t>Полка кухонная для досок 600*440*280</t>
  </si>
  <si>
    <t>Полка кухонная для крышек 900*400*400</t>
  </si>
  <si>
    <t>Полка кухонная закрытая 800*400*610</t>
  </si>
  <si>
    <t>Полка кухонная для тарелок и стаканов 940*320*720</t>
  </si>
  <si>
    <t>Стол разделочный нержав. 600*600*870</t>
  </si>
  <si>
    <t>Стиральная машина LG F12B8 QD5</t>
  </si>
  <si>
    <t>Уголок для ИЗО</t>
  </si>
  <si>
    <t>Скамейка гимнастическая 2 м</t>
  </si>
  <si>
    <t>Стол раздаточный</t>
  </si>
  <si>
    <t>Игр. зона "Парикмахерская</t>
  </si>
  <si>
    <t>Игр. уголок "Ряжения  Р"</t>
  </si>
  <si>
    <t>Игр. зона "Кухня  Р"</t>
  </si>
  <si>
    <t>Стеллаж Р (стенка) детская д/игрушек</t>
  </si>
  <si>
    <t xml:space="preserve">4101240144                    </t>
  </si>
  <si>
    <t xml:space="preserve">1,10106023                    </t>
  </si>
  <si>
    <t xml:space="preserve">1,10106024                    </t>
  </si>
  <si>
    <t xml:space="preserve">1.10134105                    </t>
  </si>
  <si>
    <t xml:space="preserve">1.10104103                    </t>
  </si>
  <si>
    <t xml:space="preserve">1.10134104                    </t>
  </si>
  <si>
    <t xml:space="preserve">1,101040002                   </t>
  </si>
  <si>
    <t xml:space="preserve">1,10104012                    </t>
  </si>
  <si>
    <t xml:space="preserve">1,10104001                    </t>
  </si>
  <si>
    <t xml:space="preserve">1.10104102                    </t>
  </si>
  <si>
    <t xml:space="preserve">1.10104017                    </t>
  </si>
  <si>
    <t xml:space="preserve">1.10104014                    </t>
  </si>
  <si>
    <t xml:space="preserve">410134143                     </t>
  </si>
  <si>
    <t xml:space="preserve">1.10134385                    </t>
  </si>
  <si>
    <t xml:space="preserve">1.10134386                    </t>
  </si>
  <si>
    <t xml:space="preserve">110134201                     </t>
  </si>
  <si>
    <t xml:space="preserve">1.10134091                    </t>
  </si>
  <si>
    <t xml:space="preserve">1.10134092                    </t>
  </si>
  <si>
    <t xml:space="preserve">1.10134093                    </t>
  </si>
  <si>
    <t xml:space="preserve">1,10106136                    </t>
  </si>
  <si>
    <t xml:space="preserve">1,10106004                    </t>
  </si>
  <si>
    <t xml:space="preserve">110136005                     </t>
  </si>
  <si>
    <t xml:space="preserve">1,10106021                    </t>
  </si>
  <si>
    <t xml:space="preserve">1,10136201                    </t>
  </si>
  <si>
    <t xml:space="preserve">1.10136202                    </t>
  </si>
  <si>
    <t xml:space="preserve">4.10136137                    </t>
  </si>
  <si>
    <t xml:space="preserve">4.10136138                    </t>
  </si>
  <si>
    <t xml:space="preserve">4.10136139                    </t>
  </si>
  <si>
    <t xml:space="preserve">4.10136140                    </t>
  </si>
  <si>
    <t xml:space="preserve">4101360155                    </t>
  </si>
  <si>
    <t xml:space="preserve">4101360149                    </t>
  </si>
  <si>
    <t xml:space="preserve">4101360150                    </t>
  </si>
  <si>
    <t xml:space="preserve">4101360151                    </t>
  </si>
  <si>
    <t xml:space="preserve">4101360152                    </t>
  </si>
  <si>
    <t xml:space="preserve">4101360153                    </t>
  </si>
  <si>
    <t xml:space="preserve">4101360154                    </t>
  </si>
  <si>
    <t xml:space="preserve">4101360148                    </t>
  </si>
  <si>
    <t xml:space="preserve">1,10136006                    </t>
  </si>
  <si>
    <t xml:space="preserve">410136144                     </t>
  </si>
  <si>
    <t xml:space="preserve">410136146                     </t>
  </si>
  <si>
    <t xml:space="preserve">410136147                     </t>
  </si>
  <si>
    <t xml:space="preserve">410136145                     </t>
  </si>
  <si>
    <t xml:space="preserve">4.10136141                    </t>
  </si>
  <si>
    <t xml:space="preserve">4.10136142                    </t>
  </si>
  <si>
    <t xml:space="preserve">110136006                     </t>
  </si>
  <si>
    <t xml:space="preserve">110136007                     </t>
  </si>
  <si>
    <t xml:space="preserve">110136008                     </t>
  </si>
  <si>
    <t xml:space="preserve">110136200                     </t>
  </si>
  <si>
    <t xml:space="preserve">1.10136087                    </t>
  </si>
  <si>
    <t xml:space="preserve">1.10136088                    </t>
  </si>
  <si>
    <t xml:space="preserve">1.10136089                    </t>
  </si>
  <si>
    <t xml:space="preserve">1.10136090                    </t>
  </si>
  <si>
    <t xml:space="preserve">4101240001                    </t>
  </si>
  <si>
    <t xml:space="preserve">4101130001                    </t>
  </si>
  <si>
    <t>Музык.центр 1-кас.CD</t>
  </si>
  <si>
    <t xml:space="preserve">1,10104017                    </t>
  </si>
  <si>
    <t xml:space="preserve">1,10134021                    </t>
  </si>
  <si>
    <t>Плита электр.4-х/комф. с духовкой (500*500*850мм)</t>
  </si>
  <si>
    <t xml:space="preserve">1,10134020                    </t>
  </si>
  <si>
    <t xml:space="preserve">1,10134022                    </t>
  </si>
  <si>
    <t>Стир. маш.-авт. ВЕКО</t>
  </si>
  <si>
    <t xml:space="preserve">1,10104014                    </t>
  </si>
  <si>
    <t xml:space="preserve">1.101340053                   </t>
  </si>
  <si>
    <t>Телевизор -21</t>
  </si>
  <si>
    <t xml:space="preserve">1.10134090                    </t>
  </si>
  <si>
    <t xml:space="preserve">1.10134384                    </t>
  </si>
  <si>
    <t>Холодильник NORD 403 (мед. кабинет)</t>
  </si>
  <si>
    <t xml:space="preserve">1.10134202                    </t>
  </si>
  <si>
    <t xml:space="preserve">1,10136013                    </t>
  </si>
  <si>
    <t>Ёлка зелёная ПВХ - 2,4 м.</t>
  </si>
  <si>
    <t xml:space="preserve">1,10106009                    </t>
  </si>
  <si>
    <t>Стол произв. раздел. с полкой (нерж.столеш.окраш.м/к) 1000*600*870</t>
  </si>
  <si>
    <t xml:space="preserve">1.10136011                    </t>
  </si>
  <si>
    <t>Стол произв. раздел. с полкой (нерж.столеш.окраш.м/к) 1200*600*870</t>
  </si>
  <si>
    <t xml:space="preserve">1,10136010                    </t>
  </si>
  <si>
    <t>Стол 2-м КВ(рег.столешн.+высота.2-4гр.) (наказ.избират.)</t>
  </si>
  <si>
    <t xml:space="preserve">410136037                     </t>
  </si>
  <si>
    <t xml:space="preserve">410136038                     </t>
  </si>
  <si>
    <t xml:space="preserve">410136039                     </t>
  </si>
  <si>
    <t xml:space="preserve">410136040                     </t>
  </si>
  <si>
    <t xml:space="preserve">410136041                     </t>
  </si>
  <si>
    <t>Доска меловая магнитная 100*120</t>
  </si>
  <si>
    <t>Тумба 2-х створчатая 800*600*850</t>
  </si>
  <si>
    <t>Скамейка гимнастическая 2.0 м</t>
  </si>
  <si>
    <t>Полоса препятствий (30 предметов)</t>
  </si>
  <si>
    <t>Шкаф полуоткрытый 850*450*2100</t>
  </si>
  <si>
    <t xml:space="preserve">1.10136012                    </t>
  </si>
  <si>
    <t>Шкаф для одежды 3-х секц.(цв.фасад)</t>
  </si>
  <si>
    <t xml:space="preserve">4101360016                    </t>
  </si>
  <si>
    <t xml:space="preserve">4101360015                    </t>
  </si>
  <si>
    <t xml:space="preserve">4101360014                    </t>
  </si>
  <si>
    <t xml:space="preserve">4101360013                    </t>
  </si>
  <si>
    <t xml:space="preserve">4101360012                    </t>
  </si>
  <si>
    <t>Стол "Ромашка" 6 лепестковый регулир.</t>
  </si>
  <si>
    <t>Уголок "Доктора" - 4 предм.(цв.фасад)</t>
  </si>
  <si>
    <t>Спортивный уголок 1010*420*1050 (цв. фасад)</t>
  </si>
  <si>
    <t>Уголок дежурств 400*420*1300 (цв. фасад)</t>
  </si>
  <si>
    <t>Уголок "Ряжения" 1050*300*1100 (цв.фасад)</t>
  </si>
  <si>
    <t>Облучатель бактерицидный ОБПЕ-300</t>
  </si>
  <si>
    <t xml:space="preserve">1.10136036                    </t>
  </si>
  <si>
    <t>Костюм новогодний "ДЕД МОРОЗ"</t>
  </si>
  <si>
    <t xml:space="preserve">10106011                      </t>
  </si>
  <si>
    <t>Обществен. и муниц. транспорт DUPLO</t>
  </si>
  <si>
    <t>Игра тактильная "Пощупай и угадай"</t>
  </si>
  <si>
    <t xml:space="preserve">1.101040021                   </t>
  </si>
  <si>
    <t>Ларь морозильный</t>
  </si>
  <si>
    <t xml:space="preserve">1101044029                    </t>
  </si>
  <si>
    <t xml:space="preserve">1.101040018                   </t>
  </si>
  <si>
    <t xml:space="preserve">1.101040001                   </t>
  </si>
  <si>
    <t xml:space="preserve">1,10104022                    </t>
  </si>
  <si>
    <t>МФУ-лазерный /принтер,сканер,копир /</t>
  </si>
  <si>
    <t xml:space="preserve">1101044033                    </t>
  </si>
  <si>
    <t>Мясорубка</t>
  </si>
  <si>
    <t xml:space="preserve">1.101040027                   </t>
  </si>
  <si>
    <t>Мясорубка универсал.МИМ 560х520х420</t>
  </si>
  <si>
    <t xml:space="preserve">1101044038                    </t>
  </si>
  <si>
    <t xml:space="preserve">1.101040032                   </t>
  </si>
  <si>
    <t xml:space="preserve">1.101040020                   </t>
  </si>
  <si>
    <t>Плита 6-ти конф.</t>
  </si>
  <si>
    <t xml:space="preserve">1.101040292                   </t>
  </si>
  <si>
    <t>Стиральная машина автомат LD</t>
  </si>
  <si>
    <t xml:space="preserve">1.101040290                   </t>
  </si>
  <si>
    <t>Стиральная машина автомат БОШ WAE-20160</t>
  </si>
  <si>
    <t xml:space="preserve">1.10104300                    </t>
  </si>
  <si>
    <t>Стиральная машина Индезит  (800 обор.5 кг )</t>
  </si>
  <si>
    <t xml:space="preserve">1101044037                    </t>
  </si>
  <si>
    <t>Телевизор  ДВС-2</t>
  </si>
  <si>
    <t xml:space="preserve">1.101040295                   </t>
  </si>
  <si>
    <t>Телевизор  Сони</t>
  </si>
  <si>
    <t xml:space="preserve">1.101040030                   </t>
  </si>
  <si>
    <t>Триммер Etco 85  3,2,5 л.нож леска</t>
  </si>
  <si>
    <t xml:space="preserve">1.10104301                    </t>
  </si>
  <si>
    <t>Установка стоматологическая</t>
  </si>
  <si>
    <t xml:space="preserve">1.101040002                   </t>
  </si>
  <si>
    <t>Холодильник Айсберг</t>
  </si>
  <si>
    <t xml:space="preserve">1.10104025                    </t>
  </si>
  <si>
    <t>Холодильник Бирюса</t>
  </si>
  <si>
    <t xml:space="preserve">1.10104013                    </t>
  </si>
  <si>
    <t>Холодильник НОРД-155 /морозильник/</t>
  </si>
  <si>
    <t xml:space="preserve">1.1010440033                  </t>
  </si>
  <si>
    <t>Холодильник Саратов</t>
  </si>
  <si>
    <t>Холодильник Смоленск /из д/с №8/</t>
  </si>
  <si>
    <t xml:space="preserve">1101044032                    </t>
  </si>
  <si>
    <t>Холодильный шкаф ШХ</t>
  </si>
  <si>
    <t xml:space="preserve">1.10104009                    </t>
  </si>
  <si>
    <t>Шкаф жарочный  2-х секционный</t>
  </si>
  <si>
    <t xml:space="preserve">1101044039                    </t>
  </si>
  <si>
    <t>Электрокоса Старк</t>
  </si>
  <si>
    <t xml:space="preserve">1.1010400032                  </t>
  </si>
  <si>
    <t>Стенка для игр</t>
  </si>
  <si>
    <t xml:space="preserve">1.101040033                   </t>
  </si>
  <si>
    <t xml:space="preserve">1.101040028                   </t>
  </si>
  <si>
    <t>Гладильный каток</t>
  </si>
  <si>
    <t xml:space="preserve">1.1010400011                  </t>
  </si>
  <si>
    <t>Водонагреватель  Ariston  ABS  BLU  ECO  50 V</t>
  </si>
  <si>
    <t xml:space="preserve">1.10134153                    </t>
  </si>
  <si>
    <t>Принтер HP  LJ   PRO   P1102 ( Option B 19 )</t>
  </si>
  <si>
    <t xml:space="preserve">1.10134151                    </t>
  </si>
  <si>
    <t>Музыкальный центр LD СМ 2520</t>
  </si>
  <si>
    <t>Ноутбук 15.6 SAMSUNG NP 300 Е5С-U06</t>
  </si>
  <si>
    <t xml:space="preserve">110136152                     </t>
  </si>
  <si>
    <t>Проектор ВеnQ MW519 DLP 2800 ANSI</t>
  </si>
  <si>
    <t xml:space="preserve">110136153                     </t>
  </si>
  <si>
    <t>Музыкальный центр 1-кас.(Витек )</t>
  </si>
  <si>
    <t xml:space="preserve">1,10104023                    </t>
  </si>
  <si>
    <t xml:space="preserve">1,10104024                    </t>
  </si>
  <si>
    <t>Снегоуборщик HUTER SGC 4100</t>
  </si>
  <si>
    <t xml:space="preserve">4101340002                    </t>
  </si>
  <si>
    <t>Музыкальный центр 1 касс. СВ</t>
  </si>
  <si>
    <t xml:space="preserve">1.10104019                    </t>
  </si>
  <si>
    <t>Музыкальный центр 1-кас /из д/с №8 /</t>
  </si>
  <si>
    <t xml:space="preserve">1101044030                    </t>
  </si>
  <si>
    <t>Фотоаппарат цифр /.Сони /</t>
  </si>
  <si>
    <t xml:space="preserve">1101044031                    </t>
  </si>
  <si>
    <t xml:space="preserve">Фотоаппарат  OLYMPUS  SP - 620  UZ </t>
  </si>
  <si>
    <t xml:space="preserve">1.10134154                    </t>
  </si>
  <si>
    <t xml:space="preserve"> Планшет интерактивный Interwrite Mobi 500</t>
  </si>
  <si>
    <t xml:space="preserve">4101340006                    </t>
  </si>
  <si>
    <t>Комплект монтажного оборудования и коммутации</t>
  </si>
  <si>
    <t xml:space="preserve">4 101340007                   </t>
  </si>
  <si>
    <t>Шкаф 4х секц. в раздевалку</t>
  </si>
  <si>
    <t xml:space="preserve">210106145                     </t>
  </si>
  <si>
    <t>Шкаф 4х секционный в раздевалку</t>
  </si>
  <si>
    <t xml:space="preserve">210106146                     </t>
  </si>
  <si>
    <t xml:space="preserve">210106147                     </t>
  </si>
  <si>
    <t xml:space="preserve">210106148                     </t>
  </si>
  <si>
    <t xml:space="preserve">210106149                     </t>
  </si>
  <si>
    <t xml:space="preserve">210106150                     </t>
  </si>
  <si>
    <t>Стремянка 9 ступеней</t>
  </si>
  <si>
    <t xml:space="preserve">210136155                     </t>
  </si>
  <si>
    <t>Аккордион Восход</t>
  </si>
  <si>
    <t xml:space="preserve">1.101060006                   </t>
  </si>
  <si>
    <t>Аудимагнитофон  V 61  LD</t>
  </si>
  <si>
    <t xml:space="preserve">1.1010600031                  </t>
  </si>
  <si>
    <t>Беговая дорожка</t>
  </si>
  <si>
    <t xml:space="preserve">1.1010600029                  </t>
  </si>
  <si>
    <t>Велотренажер</t>
  </si>
  <si>
    <t xml:space="preserve">1.101060001                   </t>
  </si>
  <si>
    <t>Весы электронные</t>
  </si>
  <si>
    <t xml:space="preserve">1.10106102                    </t>
  </si>
  <si>
    <t>Видео-плеер</t>
  </si>
  <si>
    <t xml:space="preserve">1.101060007                   </t>
  </si>
  <si>
    <t>Горка "Дельфин " с баскет.кольцом 134х31х73</t>
  </si>
  <si>
    <t xml:space="preserve">1.10106146                    </t>
  </si>
  <si>
    <t>Елка 3м.</t>
  </si>
  <si>
    <t xml:space="preserve">1.10106035                    </t>
  </si>
  <si>
    <t>Игровой стеллаж угловой цветной</t>
  </si>
  <si>
    <t xml:space="preserve">1.10106103                    </t>
  </si>
  <si>
    <t>Комбайн  Молинекс</t>
  </si>
  <si>
    <t xml:space="preserve">1.10106040                    </t>
  </si>
  <si>
    <t>Комплект Здоровье</t>
  </si>
  <si>
    <t xml:space="preserve">1.10106049                    </t>
  </si>
  <si>
    <t>Кухня</t>
  </si>
  <si>
    <t xml:space="preserve">1,10106071                    </t>
  </si>
  <si>
    <t>Мягкая мебель</t>
  </si>
  <si>
    <t xml:space="preserve">1,1010639                     </t>
  </si>
  <si>
    <t>Детская мягкая мебель</t>
  </si>
  <si>
    <t xml:space="preserve">110106145                     </t>
  </si>
  <si>
    <t>Разделочная столешница н/ж</t>
  </si>
  <si>
    <t xml:space="preserve">110106041                     </t>
  </si>
  <si>
    <t xml:space="preserve">1.10106077                    </t>
  </si>
  <si>
    <t>Стеллаж "Паравозик"</t>
  </si>
  <si>
    <t xml:space="preserve">1.10106144                    </t>
  </si>
  <si>
    <t>Стеллаж игр.угловой</t>
  </si>
  <si>
    <t xml:space="preserve">1,10106034                    </t>
  </si>
  <si>
    <t>Стенка детс.прямая</t>
  </si>
  <si>
    <t xml:space="preserve">1.1010600033                  </t>
  </si>
  <si>
    <t>Стенка для игрушек</t>
  </si>
  <si>
    <t xml:space="preserve">1.10106089                    </t>
  </si>
  <si>
    <t xml:space="preserve">Стенка для игрушек  </t>
  </si>
  <si>
    <t xml:space="preserve">1,10106032                    </t>
  </si>
  <si>
    <t>Стенка Мария</t>
  </si>
  <si>
    <t xml:space="preserve">1.101060005                   </t>
  </si>
  <si>
    <t xml:space="preserve">1.10106050                    </t>
  </si>
  <si>
    <t>Стол производственный</t>
  </si>
  <si>
    <t xml:space="preserve">1.1010600006                  </t>
  </si>
  <si>
    <t>Стол ромашка</t>
  </si>
  <si>
    <t xml:space="preserve">1.10106104                    </t>
  </si>
  <si>
    <t xml:space="preserve">1.10106105                    </t>
  </si>
  <si>
    <t xml:space="preserve">1.10106106                    </t>
  </si>
  <si>
    <t xml:space="preserve">1.10106107                    </t>
  </si>
  <si>
    <t>Триммер-косилка /из д/с №8/</t>
  </si>
  <si>
    <t xml:space="preserve">1.10106138                    </t>
  </si>
  <si>
    <t>Трюмо Маленькая леди"</t>
  </si>
  <si>
    <t xml:space="preserve">1.10106147                    </t>
  </si>
  <si>
    <t>Уголок природы</t>
  </si>
  <si>
    <t xml:space="preserve">1.10106067                    </t>
  </si>
  <si>
    <t xml:space="preserve">1.10106039                    </t>
  </si>
  <si>
    <t>Шкаф для горшков</t>
  </si>
  <si>
    <t xml:space="preserve">1.10106109                    </t>
  </si>
  <si>
    <t>Пылесос САМСУНГ SC 6780</t>
  </si>
  <si>
    <t xml:space="preserve">1.10136155                    </t>
  </si>
  <si>
    <t>Шкаф холодильный среднетемпер. КАПРИ 595*718*2030</t>
  </si>
  <si>
    <t xml:space="preserve"> Пылесос  LG V-70362 N                              </t>
  </si>
  <si>
    <t xml:space="preserve">210136154                     </t>
  </si>
  <si>
    <t xml:space="preserve">1,1010640                     </t>
  </si>
  <si>
    <t xml:space="preserve">1,10106033                    </t>
  </si>
  <si>
    <t xml:space="preserve">110106042                     </t>
  </si>
  <si>
    <t xml:space="preserve">1,10106035                    </t>
  </si>
  <si>
    <t xml:space="preserve">1,10106036                    </t>
  </si>
  <si>
    <t xml:space="preserve">1,10106037                    </t>
  </si>
  <si>
    <t xml:space="preserve">1,10106072                    </t>
  </si>
  <si>
    <t xml:space="preserve">1,10106073                    </t>
  </si>
  <si>
    <t>Холодильник Атлант 2823</t>
  </si>
  <si>
    <t>Машина стирал. LG 10 B 8QD</t>
  </si>
  <si>
    <t>Морозильник Саратов 106</t>
  </si>
  <si>
    <t>Шкаф для пожарного крана ШПК-315НЗ</t>
  </si>
  <si>
    <t>шкаф для пожарного крана ШПК-315НЗ</t>
  </si>
  <si>
    <t>Елка 2,4 м.зеленая ПВХ /из д/с №8/</t>
  </si>
  <si>
    <t xml:space="preserve">1.10106137                    </t>
  </si>
  <si>
    <t>Дорожка ковровая 1х22,5</t>
  </si>
  <si>
    <t xml:space="preserve">1.101060061                   </t>
  </si>
  <si>
    <t>Ковер 1,9х3,1</t>
  </si>
  <si>
    <t xml:space="preserve">1,10106006                    </t>
  </si>
  <si>
    <t>Ковер 3x5  9 группа</t>
  </si>
  <si>
    <t xml:space="preserve">1.10106007                    </t>
  </si>
  <si>
    <t>Ковер прямоугольный п/ш 3х5м.зелёно-беж.</t>
  </si>
  <si>
    <t xml:space="preserve">1,101060087                   </t>
  </si>
  <si>
    <t>Машина швейная</t>
  </si>
  <si>
    <t xml:space="preserve">1.10106078                    </t>
  </si>
  <si>
    <t xml:space="preserve">1,10106008                    </t>
  </si>
  <si>
    <t>Игр.Салон красоты</t>
  </si>
  <si>
    <t xml:space="preserve">1,10109048                    </t>
  </si>
  <si>
    <t xml:space="preserve">1,10109049                    </t>
  </si>
  <si>
    <t xml:space="preserve">1,10109050                    </t>
  </si>
  <si>
    <t xml:space="preserve">1,10109051                    </t>
  </si>
  <si>
    <t xml:space="preserve">1,10109052                    </t>
  </si>
  <si>
    <t>Большой пиратски</t>
  </si>
  <si>
    <t xml:space="preserve">1.10109056                    </t>
  </si>
  <si>
    <t>Игра футбол на столе</t>
  </si>
  <si>
    <t xml:space="preserve">1.10109057                    </t>
  </si>
  <si>
    <t>Набор конструиров-я и разв-я  мышления Wedgits с карт-ми базов. уровня в конт-ре</t>
  </si>
  <si>
    <t xml:space="preserve">4 101380008                   </t>
  </si>
  <si>
    <t xml:space="preserve">4 101380009                   </t>
  </si>
  <si>
    <t>Набор констр-я и разв-я  мышления Wedgits с карт-ми продвин-го уровня в конт-ре</t>
  </si>
  <si>
    <t xml:space="preserve">4 101380010                   </t>
  </si>
  <si>
    <t xml:space="preserve">4 101380011                   </t>
  </si>
  <si>
    <t>Комплект деревян.зодчества Varis Toys</t>
  </si>
  <si>
    <t xml:space="preserve">4 101380004                   </t>
  </si>
  <si>
    <t xml:space="preserve">4 101380005                   </t>
  </si>
  <si>
    <t>Забор  (ограждение, ворота, калитка)</t>
  </si>
  <si>
    <t xml:space="preserve">410123  001                   </t>
  </si>
  <si>
    <t>Забор (ограждение, ворота, калитка) от Теремка</t>
  </si>
  <si>
    <t xml:space="preserve">4101240002                    </t>
  </si>
  <si>
    <t>Плита  электр-я  4-х/комфорочная</t>
  </si>
  <si>
    <t xml:space="preserve">1.10106058                    </t>
  </si>
  <si>
    <t>Картины (комплект -5 шт.)</t>
  </si>
  <si>
    <t xml:space="preserve">1,10109001-005                </t>
  </si>
  <si>
    <t>Газонокосилка- триммер Etco Stark-42 с нож.1.8л</t>
  </si>
  <si>
    <t xml:space="preserve">1,101040004                   </t>
  </si>
  <si>
    <t xml:space="preserve">1,10104010                    </t>
  </si>
  <si>
    <t>Машина стир. "Ока"</t>
  </si>
  <si>
    <t xml:space="preserve">1,10104044                    </t>
  </si>
  <si>
    <t>Машина стир. авт.ВЕКО</t>
  </si>
  <si>
    <t xml:space="preserve">1,101040005                   </t>
  </si>
  <si>
    <t>Машинка пишущая</t>
  </si>
  <si>
    <t xml:space="preserve">1,10104004                    </t>
  </si>
  <si>
    <t>Музык.центр 1-кас. VITEK</t>
  </si>
  <si>
    <t xml:space="preserve">1,10104033                    </t>
  </si>
  <si>
    <t>Плейер  " DVD"</t>
  </si>
  <si>
    <t xml:space="preserve">1,10104006                    </t>
  </si>
  <si>
    <t xml:space="preserve">1,10104008                    </t>
  </si>
  <si>
    <t xml:space="preserve">1,10104007                    </t>
  </si>
  <si>
    <t>Телефон сотовый</t>
  </si>
  <si>
    <t>Фотоаппарат цифр. SONI</t>
  </si>
  <si>
    <t xml:space="preserve">1,10104021                    </t>
  </si>
  <si>
    <t xml:space="preserve">1,101040003                   </t>
  </si>
  <si>
    <t>Холодильник "Памир"</t>
  </si>
  <si>
    <t>Холодильник "Стинол"</t>
  </si>
  <si>
    <t>Эл.плита</t>
  </si>
  <si>
    <t>Машина стир. ВЕСТЕЛ WMO 1040 LE</t>
  </si>
  <si>
    <t xml:space="preserve">1.10134208                    </t>
  </si>
  <si>
    <t xml:space="preserve">110134191                     </t>
  </si>
  <si>
    <t xml:space="preserve">1,10134045                    </t>
  </si>
  <si>
    <t xml:space="preserve">1,10134046                    </t>
  </si>
  <si>
    <t>Умывальник электр. пласт. Мойдодыр с нерж. мойкой</t>
  </si>
  <si>
    <t xml:space="preserve">2.10136205                    </t>
  </si>
  <si>
    <t>Весы эл. 15 кг</t>
  </si>
  <si>
    <t xml:space="preserve">1.10106057                    </t>
  </si>
  <si>
    <t>Ёлка 3-х метровая</t>
  </si>
  <si>
    <t xml:space="preserve">1,10106001                    </t>
  </si>
  <si>
    <t>Ковёр "Скрол"</t>
  </si>
  <si>
    <t>Костюм Д.Мороза</t>
  </si>
  <si>
    <t xml:space="preserve">1,10106013                    </t>
  </si>
  <si>
    <t xml:space="preserve">1,10106022                    </t>
  </si>
  <si>
    <t>Сейф метал-й</t>
  </si>
  <si>
    <t xml:space="preserve">1,10106011                    </t>
  </si>
  <si>
    <t>Стол кух. разд. нерж.</t>
  </si>
  <si>
    <t>Пылесос "Самсунг" SC 6780</t>
  </si>
  <si>
    <t xml:space="preserve">1.10136207                    </t>
  </si>
  <si>
    <t>Водонагреватель Ariston ABC BLU R 50 V</t>
  </si>
  <si>
    <t xml:space="preserve">1.10136209                    </t>
  </si>
  <si>
    <t xml:space="preserve">1.10136210                    </t>
  </si>
  <si>
    <t xml:space="preserve">1.10136211                    </t>
  </si>
  <si>
    <t>Стеллаж игровой "Ракета" - наказ.избират.</t>
  </si>
  <si>
    <t xml:space="preserve">4.10136061                    </t>
  </si>
  <si>
    <t>Стенка игровая "Золушка" - наказ.избират.</t>
  </si>
  <si>
    <t xml:space="preserve">4.10136062                    </t>
  </si>
  <si>
    <t>стол разделочный с бортом</t>
  </si>
  <si>
    <t>Холодильник Атлант 4425-000-N</t>
  </si>
  <si>
    <t>Стол письменный (1400*700*750)</t>
  </si>
  <si>
    <t>Шкаф метал-й ШМ-01-МСК (мед.каб-т)</t>
  </si>
  <si>
    <t xml:space="preserve">110136190                     </t>
  </si>
  <si>
    <t>Пруд "Селигер"</t>
  </si>
  <si>
    <t xml:space="preserve">1,10109008                    </t>
  </si>
  <si>
    <t>Комплект моделей городских строений Plan Toys для сюжетно-ролевой игры "Город "</t>
  </si>
  <si>
    <t>Модель дома Plan Toys с семьей для сюжетно-ролевой игры " Город "</t>
  </si>
  <si>
    <t>Модель  аэропорта Plan Toys  для сюжетно-ролевой игры " Город "</t>
  </si>
  <si>
    <t>Модель паркинга Plan  Toys  для сюжетно-ролевой игры " Город "</t>
  </si>
  <si>
    <t>Сооружение для сушки белья (сушилка)</t>
  </si>
  <si>
    <t xml:space="preserve">4,10123006                    </t>
  </si>
  <si>
    <t xml:space="preserve">2.10104106                    </t>
  </si>
  <si>
    <t>Машина стирал. (загр.6-7кг)</t>
  </si>
  <si>
    <t xml:space="preserve">2.10134107                    </t>
  </si>
  <si>
    <t xml:space="preserve">2.10134108                    </t>
  </si>
  <si>
    <t>Радиотелефон TEXET</t>
  </si>
  <si>
    <t xml:space="preserve">2.10134028                    </t>
  </si>
  <si>
    <t>Машина стир.авт. "Веко"</t>
  </si>
  <si>
    <t xml:space="preserve">1.10104101                    </t>
  </si>
  <si>
    <t>Морозильник "Айсберг"</t>
  </si>
  <si>
    <t>Музык центр "Панасоник" (зал)</t>
  </si>
  <si>
    <t xml:space="preserve">1,10104025                    </t>
  </si>
  <si>
    <t>Плита  электр.</t>
  </si>
  <si>
    <t>Плита 6-ти /комфорочная</t>
  </si>
  <si>
    <t>Стиральная машина "Ока"</t>
  </si>
  <si>
    <t xml:space="preserve">1,10104019                    </t>
  </si>
  <si>
    <t>Холодильник " ВЕКО"  МВС 51(к-т м/сестры)</t>
  </si>
  <si>
    <t>Холодильник "НОРД"</t>
  </si>
  <si>
    <t>Холодильник "СТИНОЛ"</t>
  </si>
  <si>
    <t xml:space="preserve">1,10104009                    </t>
  </si>
  <si>
    <t>Холодильник 2-х кам."Бирюса"</t>
  </si>
  <si>
    <t>Маршрутизатор  WiFi TP-LinK WR 841 ND</t>
  </si>
  <si>
    <t xml:space="preserve">4103110002                    </t>
  </si>
  <si>
    <t>Холодильник АТЛАНТ 6025-031</t>
  </si>
  <si>
    <t xml:space="preserve">4.10134084                    </t>
  </si>
  <si>
    <t>Компьютер перс-й</t>
  </si>
  <si>
    <t xml:space="preserve">1.101040004                   </t>
  </si>
  <si>
    <t>МФУ (принтер, сканер, копир)</t>
  </si>
  <si>
    <t xml:space="preserve">1.10104105                    </t>
  </si>
  <si>
    <t>Ковёр (подарки родителей)</t>
  </si>
  <si>
    <t xml:space="preserve">2.10136021                    </t>
  </si>
  <si>
    <t>Пылесос "Самсунг"</t>
  </si>
  <si>
    <t xml:space="preserve">1.10136201                    </t>
  </si>
  <si>
    <t xml:space="preserve">2.10136022                    </t>
  </si>
  <si>
    <t xml:space="preserve">2.10136023                    </t>
  </si>
  <si>
    <t>Бакт. облуч. передв-й (1шт.-ясли;2шт-мед.каб-т)</t>
  </si>
  <si>
    <t>Вешалка напольная для полотенцев 5-ти местная</t>
  </si>
  <si>
    <t xml:space="preserve">1.10106075                    </t>
  </si>
  <si>
    <t xml:space="preserve">1.10106076                    </t>
  </si>
  <si>
    <t xml:space="preserve">1.10106079                    </t>
  </si>
  <si>
    <t xml:space="preserve">1.10106080                    </t>
  </si>
  <si>
    <t xml:space="preserve">1.10106081                    </t>
  </si>
  <si>
    <t xml:space="preserve">1.10106082                    </t>
  </si>
  <si>
    <t xml:space="preserve">1.10106083                    </t>
  </si>
  <si>
    <t xml:space="preserve">1.10106084                    </t>
  </si>
  <si>
    <t xml:space="preserve">1.10106085                    </t>
  </si>
  <si>
    <t xml:space="preserve">1.10106087                    </t>
  </si>
  <si>
    <t xml:space="preserve">1.10106088                    </t>
  </si>
  <si>
    <t>Ёлка зелёная -3м. ПВХ</t>
  </si>
  <si>
    <t xml:space="preserve">1,10106050                    </t>
  </si>
  <si>
    <t>Искусственное дерево-2 шт.</t>
  </si>
  <si>
    <t xml:space="preserve">1,10106006-7                  </t>
  </si>
  <si>
    <t>Ковёр - 3/4м. (ясли)</t>
  </si>
  <si>
    <t>Машинка швейная эл. наст.Brather</t>
  </si>
  <si>
    <t xml:space="preserve">1,10106060                    </t>
  </si>
  <si>
    <t>Стеллаж игровой (мл.; средн.группы)</t>
  </si>
  <si>
    <t xml:space="preserve">1.10136025                    </t>
  </si>
  <si>
    <t>Тренажер "Бегущая по волнам" (ясли,зал)</t>
  </si>
  <si>
    <t xml:space="preserve">1.10136008                    </t>
  </si>
  <si>
    <t>кровать детская трехъярусная</t>
  </si>
  <si>
    <t xml:space="preserve">4101130008                    </t>
  </si>
  <si>
    <t xml:space="preserve">4101130007                    </t>
  </si>
  <si>
    <t xml:space="preserve">4101130006                    </t>
  </si>
  <si>
    <t xml:space="preserve">4101130005                    </t>
  </si>
  <si>
    <t xml:space="preserve">4101130004                    </t>
  </si>
  <si>
    <t xml:space="preserve">4101130003                    </t>
  </si>
  <si>
    <t xml:space="preserve">4101130002                    </t>
  </si>
  <si>
    <t>Пылесос самсунгsc-4752</t>
  </si>
  <si>
    <t xml:space="preserve">4101130010                    </t>
  </si>
  <si>
    <t xml:space="preserve">4101130009                    </t>
  </si>
  <si>
    <t xml:space="preserve">1.10136341                    </t>
  </si>
  <si>
    <t xml:space="preserve">1.10136026                    </t>
  </si>
  <si>
    <t xml:space="preserve">1.10136013                    </t>
  </si>
  <si>
    <t xml:space="preserve">1.10106014                    </t>
  </si>
  <si>
    <t xml:space="preserve">1.10136009                    </t>
  </si>
  <si>
    <t>Шкаф металлический ШМ -01-МСК    ( мед.каб. )</t>
  </si>
  <si>
    <t xml:space="preserve">110136028                     </t>
  </si>
  <si>
    <t>Библиотека</t>
  </si>
  <si>
    <t xml:space="preserve">1,10107001                    </t>
  </si>
  <si>
    <t>Библиотечный фонд</t>
  </si>
  <si>
    <t xml:space="preserve">1.10107001                    </t>
  </si>
  <si>
    <t>Комплект обучения основам безопасного поведения на дорогах СПОБДД-ДО</t>
  </si>
  <si>
    <t xml:space="preserve">4101380007                    </t>
  </si>
  <si>
    <t>Стенд металлический с огнетушителями</t>
  </si>
  <si>
    <t xml:space="preserve">4101130011                    </t>
  </si>
  <si>
    <t>Набор трекового конструктора "Хибелино" в контейнере</t>
  </si>
  <si>
    <t>Комплект наборов для сборки транспорта Рлан Тоус (машина 60 деталей,машина 30 де</t>
  </si>
  <si>
    <t xml:space="preserve">4101380008                    </t>
  </si>
  <si>
    <t>Набор деревянных игр -головоломок</t>
  </si>
  <si>
    <t xml:space="preserve">4101380006                    </t>
  </si>
  <si>
    <t>Набор игр для развития ловкости и социальных навыков Рлан Тоус в контейнере (шну</t>
  </si>
  <si>
    <t>Конструктор -каталка "Маленький паровозик"</t>
  </si>
  <si>
    <t xml:space="preserve">Конструктор Животные </t>
  </si>
  <si>
    <t>Центр воды и песка ЦВ-02</t>
  </si>
  <si>
    <t xml:space="preserve">4101380009                    </t>
  </si>
  <si>
    <t>Дидактический стол СД-03</t>
  </si>
  <si>
    <t xml:space="preserve">4101380010                    </t>
  </si>
  <si>
    <t xml:space="preserve">4101380011                    </t>
  </si>
  <si>
    <t>Шкаф детский раздевальный 3-х секционный</t>
  </si>
  <si>
    <t>Кухня детская К-04</t>
  </si>
  <si>
    <t>Компьютер в сборе (АРМ)</t>
  </si>
  <si>
    <t xml:space="preserve">4101340004                    </t>
  </si>
  <si>
    <t>Компьютер (сист.блок,мон-р,модем,ист-к бесп/пит-я,клав,мышь,кабель)</t>
  </si>
  <si>
    <t xml:space="preserve">1.10104049                    </t>
  </si>
  <si>
    <t>Плита электрич. 4-х /конфорочн. с жар-м шкафом</t>
  </si>
  <si>
    <t xml:space="preserve">1.10106042                    </t>
  </si>
  <si>
    <t>Комплект наборов экспериментов "Дошколенок" в контейнере</t>
  </si>
  <si>
    <t xml:space="preserve">4101280001                    </t>
  </si>
  <si>
    <t>Теневой навес 500х300см</t>
  </si>
  <si>
    <t>Дрель ИНТЕРСКОЛ</t>
  </si>
  <si>
    <t xml:space="preserve">2.10134203                    </t>
  </si>
  <si>
    <t>Косилка- триммер с нож. - 1.8л.</t>
  </si>
  <si>
    <t xml:space="preserve">1,101040007                   </t>
  </si>
  <si>
    <t>Машина стир. авт. LG</t>
  </si>
  <si>
    <t xml:space="preserve">1,101040006                   </t>
  </si>
  <si>
    <t>Морозильная камера</t>
  </si>
  <si>
    <t xml:space="preserve">1,10104018                    </t>
  </si>
  <si>
    <t xml:space="preserve">1,10104046                    </t>
  </si>
  <si>
    <t>Телевизор - 21</t>
  </si>
  <si>
    <t xml:space="preserve">1.10134050                    </t>
  </si>
  <si>
    <t>Телевизор "Вестел" -54см.</t>
  </si>
  <si>
    <t>Травокосилка</t>
  </si>
  <si>
    <t>Фотоаппарат цифр.SONI</t>
  </si>
  <si>
    <t>Комбайн кухон.Bosh MCM 4 100</t>
  </si>
  <si>
    <t xml:space="preserve">1.1013434090                  </t>
  </si>
  <si>
    <t>Косилка (тример бенз.) Patriot PT 3050</t>
  </si>
  <si>
    <t>Синтезатор Ямаха PRS R300</t>
  </si>
  <si>
    <t>Проектор BENQ MS504</t>
  </si>
  <si>
    <t xml:space="preserve">4101340003                    </t>
  </si>
  <si>
    <t>Экран LUMIEN Eco View 150х150 см</t>
  </si>
  <si>
    <t>Холодильник NORD 403   ( мед.каб. )</t>
  </si>
  <si>
    <t xml:space="preserve">110134010                     </t>
  </si>
  <si>
    <t xml:space="preserve">1.10104048                    </t>
  </si>
  <si>
    <t xml:space="preserve">1,10106045                    </t>
  </si>
  <si>
    <t>Кровать 3-х/ярусн. выкатная</t>
  </si>
  <si>
    <t xml:space="preserve">1.10136021                    </t>
  </si>
  <si>
    <t xml:space="preserve">1,10106020                    </t>
  </si>
  <si>
    <t xml:space="preserve">1,10106041                    </t>
  </si>
  <si>
    <t xml:space="preserve">Тюль  </t>
  </si>
  <si>
    <t xml:space="preserve">1.10136001                    </t>
  </si>
  <si>
    <t>Пылесос Samsung SC4326 1600Вт циклон</t>
  </si>
  <si>
    <t>Пылесос Samsung SC4474 2200Вт циклон</t>
  </si>
  <si>
    <t>Стол разделочный нержавейка 800*600*870</t>
  </si>
  <si>
    <t>Мясорубка Moulinex</t>
  </si>
  <si>
    <t>Игровое оборудование (мягкие модули "Зоопарк"</t>
  </si>
  <si>
    <t xml:space="preserve">10136002                      </t>
  </si>
  <si>
    <t xml:space="preserve">1.10136002                    </t>
  </si>
  <si>
    <t xml:space="preserve">1.10106005                    </t>
  </si>
  <si>
    <t xml:space="preserve">1.10106022                    </t>
  </si>
  <si>
    <t xml:space="preserve">1.10106023                    </t>
  </si>
  <si>
    <t xml:space="preserve">1.10106024                    </t>
  </si>
  <si>
    <t xml:space="preserve">1.10106025                    </t>
  </si>
  <si>
    <t>Шкаф металлический   ШМ -01-МСК    ( мед.каб. )</t>
  </si>
  <si>
    <t xml:space="preserve">110136011                     </t>
  </si>
  <si>
    <t>Игра "Парикмахерская со стулом"</t>
  </si>
  <si>
    <t xml:space="preserve">1,10109001                    </t>
  </si>
  <si>
    <t>Комплект деревянного зодчества Varis Toys</t>
  </si>
  <si>
    <t>Ограждение металлическое</t>
  </si>
  <si>
    <t xml:space="preserve">1,10103001                    </t>
  </si>
  <si>
    <t>Навес теневой 500*600см (беседка)</t>
  </si>
  <si>
    <t xml:space="preserve">4101240003                    </t>
  </si>
  <si>
    <t>Компьютер (сист.блок,монитор,модем,ист.бесп/пит-я,клав,мышь,кабель)</t>
  </si>
  <si>
    <t xml:space="preserve">1.10104021                    </t>
  </si>
  <si>
    <t>Холодильник с морозильником</t>
  </si>
  <si>
    <t xml:space="preserve">2.10134123                    </t>
  </si>
  <si>
    <t>Косилка- триммер Etco- 85 с ножн. леской 2.5л.</t>
  </si>
  <si>
    <t>Машина стир. авт. "ВЕКО"</t>
  </si>
  <si>
    <t>Машина стирал. "Индезит"</t>
  </si>
  <si>
    <t xml:space="preserve">1.10134022                    </t>
  </si>
  <si>
    <t>Мороз. камера "Норд"</t>
  </si>
  <si>
    <t>Музык центр 1-кас. VITEK</t>
  </si>
  <si>
    <t xml:space="preserve">1,10104041                    </t>
  </si>
  <si>
    <t>Музык. центр 2-х/кассетный LG</t>
  </si>
  <si>
    <t>Плита электр.</t>
  </si>
  <si>
    <t>Холодильник 2-х кам."Норд"</t>
  </si>
  <si>
    <t>Холодильник ВЕКО CN 329120 S</t>
  </si>
  <si>
    <t>Маршрутизатор WIFI TP-Link WR841ND (интернет "Умные сети")</t>
  </si>
  <si>
    <t>Бензотриммер GGT-1900 T Huter (косилка)</t>
  </si>
  <si>
    <t xml:space="preserve">4101340005                    </t>
  </si>
  <si>
    <t>Холодильник NORD 403 (мед. каб-т)</t>
  </si>
  <si>
    <t xml:space="preserve">110134231                     </t>
  </si>
  <si>
    <t xml:space="preserve">1.10104020                    </t>
  </si>
  <si>
    <t>Ноутбук Packardbell  ENTG71BM</t>
  </si>
  <si>
    <t>Принтер  HP LaserJet ProP 1102</t>
  </si>
  <si>
    <t>Электрический конвектор</t>
  </si>
  <si>
    <t xml:space="preserve">2.10136125                    </t>
  </si>
  <si>
    <t xml:space="preserve">2.10136124                    </t>
  </si>
  <si>
    <t xml:space="preserve">1,10106068                    </t>
  </si>
  <si>
    <t>Ковёр  (3/5 м.) ясли</t>
  </si>
  <si>
    <t xml:space="preserve">1,10106066                    </t>
  </si>
  <si>
    <t>Стенка  "М-102" угловая правая</t>
  </si>
  <si>
    <t xml:space="preserve">1,10106101                    </t>
  </si>
  <si>
    <t>Стол большой (зав)</t>
  </si>
  <si>
    <t xml:space="preserve">1,10106017                    </t>
  </si>
  <si>
    <t>Стол произв.раздел.с полкой(нерж.столеш.,окраш.м/к)1200*600*870</t>
  </si>
  <si>
    <t xml:space="preserve">1.10136102                    </t>
  </si>
  <si>
    <t>Шкаф - стенка (разобр. по группам)</t>
  </si>
  <si>
    <t>Шкаф для одежды 4-х секц.</t>
  </si>
  <si>
    <t xml:space="preserve">1.10106026                    </t>
  </si>
  <si>
    <t xml:space="preserve">1.10136200                    </t>
  </si>
  <si>
    <t xml:space="preserve">1.10136103                    </t>
  </si>
  <si>
    <t xml:space="preserve">1.10136104                    </t>
  </si>
  <si>
    <t xml:space="preserve">1.10106027                    </t>
  </si>
  <si>
    <t xml:space="preserve">1.10106028                    </t>
  </si>
  <si>
    <t xml:space="preserve">1.10106031                    </t>
  </si>
  <si>
    <t xml:space="preserve">1.10106033                    </t>
  </si>
  <si>
    <t xml:space="preserve">1.10106032                    </t>
  </si>
  <si>
    <t xml:space="preserve">1.10106034                    </t>
  </si>
  <si>
    <t xml:space="preserve">1,10106030                    </t>
  </si>
  <si>
    <t xml:space="preserve">1.10106029                    </t>
  </si>
  <si>
    <t>Стол для дидактических игр СД-01</t>
  </si>
  <si>
    <t>Корабль ИЗ-04</t>
  </si>
  <si>
    <t>Книжный уголок КУ-04</t>
  </si>
  <si>
    <t>Книжный уголок КУ-01</t>
  </si>
  <si>
    <t>Кухня К-03</t>
  </si>
  <si>
    <t>Центр воды и песка ЦВ -02 (стол)</t>
  </si>
  <si>
    <t>Кухня К-02</t>
  </si>
  <si>
    <t>Уголок ряжения УР-01</t>
  </si>
  <si>
    <t>Министенка СТ-23</t>
  </si>
  <si>
    <t>Стол произв-й разд-й  (нерж.)  900*600*870</t>
  </si>
  <si>
    <t>Холодильник INDESIT SB 185</t>
  </si>
  <si>
    <t xml:space="preserve">110136230                     </t>
  </si>
  <si>
    <t>Стиральная машина LG F10 B 8 QD</t>
  </si>
  <si>
    <t>Набор констр-я и развития мышления Wedgits с карточками баз. уровня в контейнере</t>
  </si>
  <si>
    <t>Набор констр-я и разв-я мышления Wedgits с карт-ми продв-го уровня в контейнере</t>
  </si>
  <si>
    <t>Косилка- триммер Etco Stark - 42 c нож.- 1.8л.</t>
  </si>
  <si>
    <t>Холодильник- 2</t>
  </si>
  <si>
    <t xml:space="preserve">1,10104015                    </t>
  </si>
  <si>
    <t>Швейная машина</t>
  </si>
  <si>
    <t>Холодильник  Саратов 452</t>
  </si>
  <si>
    <t xml:space="preserve">410134027                     </t>
  </si>
  <si>
    <t xml:space="preserve">410134028                     </t>
  </si>
  <si>
    <t>Холодильник  NORD  403   ( мед.каб.)</t>
  </si>
  <si>
    <t xml:space="preserve">110134021                     </t>
  </si>
  <si>
    <t>ПК (кабель USB,сист.блок Pentium,мон-р ASER,опер.сист,клав, мышь)</t>
  </si>
  <si>
    <t xml:space="preserve">1,10134024                    </t>
  </si>
  <si>
    <t xml:space="preserve">1,10134025                    </t>
  </si>
  <si>
    <t>ПК в сборе (сист.блок i3\500Gb, монитор 21,5"BENQ 2200H TFT, клав, мышь)</t>
  </si>
  <si>
    <t xml:space="preserve">410134050                     </t>
  </si>
  <si>
    <t>Ёлка зелёная - 2.4м (ПВХ)</t>
  </si>
  <si>
    <t xml:space="preserve">1,10106012                    </t>
  </si>
  <si>
    <t>Книжный уголок</t>
  </si>
  <si>
    <t>Стенка "Гриб"</t>
  </si>
  <si>
    <t>Стол "Ромашка"(цел.) на рег. ножках</t>
  </si>
  <si>
    <t>Стол дидакт. с пуфиками</t>
  </si>
  <si>
    <t xml:space="preserve">1,101060011                   </t>
  </si>
  <si>
    <t>Стол произв.раздел. с полкой(нерж.столеш.,окраш.м/к,)1200*600*870</t>
  </si>
  <si>
    <t xml:space="preserve">1.10136014                    </t>
  </si>
  <si>
    <t>стол детский пятиместный</t>
  </si>
  <si>
    <t>Шкаф д/одежды детский 4-х секц.(наказ. избират.)</t>
  </si>
  <si>
    <t xml:space="preserve">410136021                     </t>
  </si>
  <si>
    <t xml:space="preserve">410136022                     </t>
  </si>
  <si>
    <t xml:space="preserve">410136023                     </t>
  </si>
  <si>
    <t xml:space="preserve">410136024                     </t>
  </si>
  <si>
    <t>Игровой стеллаж "РАКЕТА"</t>
  </si>
  <si>
    <t xml:space="preserve">410136025                     </t>
  </si>
  <si>
    <t>Сейф AIKO T-23 EL</t>
  </si>
  <si>
    <t xml:space="preserve">410136026                     </t>
  </si>
  <si>
    <t>Плита электрическая ПЭМ 4-010</t>
  </si>
  <si>
    <t xml:space="preserve">1.10136015                    </t>
  </si>
  <si>
    <t xml:space="preserve">1.10106008                    </t>
  </si>
  <si>
    <t xml:space="preserve">101060009                     </t>
  </si>
  <si>
    <t>Стеллаж кух. вертик. (4 нерж.полки на мет. каркасе)</t>
  </si>
  <si>
    <t xml:space="preserve">4.10136027                    </t>
  </si>
  <si>
    <t>Шкаф металлический ШМ -01-МСК  ( мед. каб.)</t>
  </si>
  <si>
    <t xml:space="preserve">110136020                     </t>
  </si>
  <si>
    <t>Игр."Парикмахерская со стулом"</t>
  </si>
  <si>
    <t xml:space="preserve">Набор конструирования и развития мышления Wedgits с карточками базового уровня </t>
  </si>
  <si>
    <t>Набор конструирования и развития мышления Wedgits с карточками продвинутого уров</t>
  </si>
  <si>
    <t>Комплект моделей городских строений Plan Toys для сюжетно-ролевой игры " Город "</t>
  </si>
  <si>
    <t>Модель аэропорта Plan Toys для сюжетно-ролевой игры " Город "</t>
  </si>
  <si>
    <t>Модель паркинга Plan Toys  для сюжетно-ролевой игры " Город "</t>
  </si>
  <si>
    <t xml:space="preserve">1,101040013                   </t>
  </si>
  <si>
    <t>Мясорубка   эл. М-75</t>
  </si>
  <si>
    <t xml:space="preserve">1,101040024                   </t>
  </si>
  <si>
    <t xml:space="preserve">4101330001                    </t>
  </si>
  <si>
    <t xml:space="preserve">1,10134065                    </t>
  </si>
  <si>
    <t xml:space="preserve">1,10134066                    </t>
  </si>
  <si>
    <t>Газонокос.-триммер с нож.- 1.8л.</t>
  </si>
  <si>
    <t xml:space="preserve">1,101040023                   </t>
  </si>
  <si>
    <t xml:space="preserve">1,101040019                   </t>
  </si>
  <si>
    <t>Магнитофон (1-й класс)</t>
  </si>
  <si>
    <t>Магнитофон (мл. гр.)</t>
  </si>
  <si>
    <t>Машина стир. авт.</t>
  </si>
  <si>
    <t>Музык. центр 1-кас. VITEK (ср. гр.)</t>
  </si>
  <si>
    <t xml:space="preserve">1,10104061                    </t>
  </si>
  <si>
    <t xml:space="preserve">1,101040010                   </t>
  </si>
  <si>
    <t>Пианино-1</t>
  </si>
  <si>
    <t>Плита 4-х комф.</t>
  </si>
  <si>
    <t xml:space="preserve">1,101040012                   </t>
  </si>
  <si>
    <t>Плита эл. -2</t>
  </si>
  <si>
    <t xml:space="preserve">1,101040020                   </t>
  </si>
  <si>
    <t>Принтер Grotheч  HL-2035</t>
  </si>
  <si>
    <t xml:space="preserve">1,10104064                    </t>
  </si>
  <si>
    <t xml:space="preserve">1,10104063                    </t>
  </si>
  <si>
    <t>Телевизор "Витязь"</t>
  </si>
  <si>
    <t>Холодильная камера "Орск"</t>
  </si>
  <si>
    <t>Холодильник "Иней"</t>
  </si>
  <si>
    <t xml:space="preserve">1,101040021                   </t>
  </si>
  <si>
    <t>Холодильник "Смоленск"</t>
  </si>
  <si>
    <t>Холодильник 1-кам. "Бирюса-8"</t>
  </si>
  <si>
    <t xml:space="preserve">1,101040022                   </t>
  </si>
  <si>
    <t>Проектор NEC V 260G</t>
  </si>
  <si>
    <t xml:space="preserve">Экран LUMIEN </t>
  </si>
  <si>
    <t xml:space="preserve">110134300                     </t>
  </si>
  <si>
    <t>Водонагреватель Ariston FDC 50 V</t>
  </si>
  <si>
    <t xml:space="preserve">1.10134071                    </t>
  </si>
  <si>
    <t>Водонагреватель №1891</t>
  </si>
  <si>
    <t xml:space="preserve">2.10136074                    </t>
  </si>
  <si>
    <t>Стол разделочный кухон. метал.</t>
  </si>
  <si>
    <t xml:space="preserve">4.10136077                    </t>
  </si>
  <si>
    <t>Стеллаж кухонный метал.</t>
  </si>
  <si>
    <t>Ёлка новогодняя</t>
  </si>
  <si>
    <t>Костюм Снегурочки</t>
  </si>
  <si>
    <t xml:space="preserve">1,10106007                    </t>
  </si>
  <si>
    <t>Палас (муз. зал)</t>
  </si>
  <si>
    <t>Стенка "Грибок" (младшая гр.)</t>
  </si>
  <si>
    <t xml:space="preserve">1,10106028                    </t>
  </si>
  <si>
    <t>Тренажёр "Бег. дорожка"</t>
  </si>
  <si>
    <t>Шкаф- уголок прир.</t>
  </si>
  <si>
    <t xml:space="preserve">Стол  Ромашка </t>
  </si>
  <si>
    <t xml:space="preserve">4,101360002                   </t>
  </si>
  <si>
    <t>стеллаж 2700*340*700</t>
  </si>
  <si>
    <t>детская игровая мебель диван +2кресла</t>
  </si>
  <si>
    <t>стол для игр вода+песок на колесах</t>
  </si>
  <si>
    <t>ШПК шкаф 315Н3Б (навесной закрытый белый)</t>
  </si>
  <si>
    <t>ШПК-315 Н3Б (навесной закрытый белый</t>
  </si>
  <si>
    <t xml:space="preserve">110136301                     </t>
  </si>
  <si>
    <t xml:space="preserve">1.10136072                    </t>
  </si>
  <si>
    <t>Игр. уголок "Ряжения Р"</t>
  </si>
  <si>
    <t xml:space="preserve">1.10136073                    </t>
  </si>
  <si>
    <t xml:space="preserve">1.10136074                    </t>
  </si>
  <si>
    <t>Шкаф д/одежды Р</t>
  </si>
  <si>
    <t xml:space="preserve">1.10136075                    </t>
  </si>
  <si>
    <t>Стеллаж д/горшков</t>
  </si>
  <si>
    <t xml:space="preserve">1.10136076                    </t>
  </si>
  <si>
    <t>Сухой бассейн</t>
  </si>
  <si>
    <t>Комплект моделей городских строений Рлан Тоус для сюжетно-ролевой игры "Город" (</t>
  </si>
  <si>
    <t>Модель дома Рлан Тоус с семьей для сюжетно-ролевой игры "Город"</t>
  </si>
  <si>
    <t>Модель аэропорта Рлан Тоус для сюжетно -ролевой игры "Город"</t>
  </si>
  <si>
    <t>Модель паркинга Рлан Тоус для сюжетно -ролевой игры "Город"</t>
  </si>
  <si>
    <t xml:space="preserve">Набор Дорожные знаки напольные </t>
  </si>
  <si>
    <t xml:space="preserve">1,101040015                   </t>
  </si>
  <si>
    <t>Плита ЭПК - 47 ЖШ</t>
  </si>
  <si>
    <t xml:space="preserve">410126078                     </t>
  </si>
  <si>
    <t xml:space="preserve">1,101040016                   </t>
  </si>
  <si>
    <t>Камера мороз."Свияга - 104"</t>
  </si>
  <si>
    <t xml:space="preserve">1,101040017                   </t>
  </si>
  <si>
    <t>Машина стир. авт.  JG</t>
  </si>
  <si>
    <t>Музык центр 1-кас.CD</t>
  </si>
  <si>
    <t xml:space="preserve">1,10104209                    </t>
  </si>
  <si>
    <t>ПК (кабель USB,сист.блок Pentium,мон-р ASER,операц.с-ма,клав,мышь)</t>
  </si>
  <si>
    <t xml:space="preserve">1,10134212                    </t>
  </si>
  <si>
    <t xml:space="preserve">1,10134213                    </t>
  </si>
  <si>
    <t>Телевизор "Камерон- 21"</t>
  </si>
  <si>
    <t xml:space="preserve">1,10104205                    </t>
  </si>
  <si>
    <t xml:space="preserve">1,10104210                    </t>
  </si>
  <si>
    <t>Холод.камера "Бирюса- 542"</t>
  </si>
  <si>
    <t xml:space="preserve">1,101040014                   </t>
  </si>
  <si>
    <t>Холодильник 2-х кам. 244 "Норд"</t>
  </si>
  <si>
    <t xml:space="preserve">1,10134201                    </t>
  </si>
  <si>
    <t xml:space="preserve">2,10136048                    </t>
  </si>
  <si>
    <t>Ёлка зелёная - 3 м ПВХ</t>
  </si>
  <si>
    <t>Злектроводонагреватель  DL  100в</t>
  </si>
  <si>
    <t xml:space="preserve">1,10106042                    </t>
  </si>
  <si>
    <t>Ковровая дорожка</t>
  </si>
  <si>
    <t>Стенка "Грибок"</t>
  </si>
  <si>
    <t xml:space="preserve">1,10106040                    </t>
  </si>
  <si>
    <t>Стол произв.разд.с полкой (нерж.столеш.,окраш.м/к)1200*600*870</t>
  </si>
  <si>
    <t xml:space="preserve">1,10136045                    </t>
  </si>
  <si>
    <t>Шкаф для одежды 3-х секционный (бук)</t>
  </si>
  <si>
    <t>Стеллаж детский светло-зел. и жёлт.(2700*400*650 см)</t>
  </si>
  <si>
    <t>Стенка детская (340*30*140см)</t>
  </si>
  <si>
    <t>Игровая зона "Уголок Доктора"</t>
  </si>
  <si>
    <t>Уголок природы (170*42*130 см)</t>
  </si>
  <si>
    <t>Стол  Дидактический ЛДСП (1050*440*860см)</t>
  </si>
  <si>
    <t>Шкаф д/бумаг Р 4-х/дверный</t>
  </si>
  <si>
    <t xml:space="preserve">1.10136078                    </t>
  </si>
  <si>
    <t xml:space="preserve">1.10136079                    </t>
  </si>
  <si>
    <t xml:space="preserve">1.10136080                    </t>
  </si>
  <si>
    <t>Набор трекового конструктора Hubelino в контейнере</t>
  </si>
  <si>
    <t xml:space="preserve">4,101240001                   </t>
  </si>
  <si>
    <t>Т еневой навес 500х300см</t>
  </si>
  <si>
    <t>Облучатель бактериц. А 30 ОБПе-450 (3*30)</t>
  </si>
  <si>
    <t xml:space="preserve">1.10134244                    </t>
  </si>
  <si>
    <t>Мотокоса Stihl FS 100</t>
  </si>
  <si>
    <t>Косилка- триммер Etco Stark 42-1.8л.  с нож.</t>
  </si>
  <si>
    <t>Машина стир.авт. "ВЕКО"</t>
  </si>
  <si>
    <t xml:space="preserve">1,10104034                    </t>
  </si>
  <si>
    <t>Мороз. камера "Атлант"</t>
  </si>
  <si>
    <t xml:space="preserve">1,10104035                    </t>
  </si>
  <si>
    <t>Морозильник "Смоленск"</t>
  </si>
  <si>
    <t>Музык. центр 1-кас.CD</t>
  </si>
  <si>
    <t xml:space="preserve">1,10134036                    </t>
  </si>
  <si>
    <t xml:space="preserve">1,10134037                    </t>
  </si>
  <si>
    <t>Сканер</t>
  </si>
  <si>
    <t>Стир. машина</t>
  </si>
  <si>
    <t>Стиральная машина- 2</t>
  </si>
  <si>
    <t>Телевизор "Вестел"- 54 см.</t>
  </si>
  <si>
    <t>Фотоаппарат цифров. "SONI"</t>
  </si>
  <si>
    <t>Холодильная камера</t>
  </si>
  <si>
    <t>Холодильник 2-х кам.НОРД</t>
  </si>
  <si>
    <t>Эл. обогреватель</t>
  </si>
  <si>
    <t>Холодильник ZANUSSI   ZRT(медиц.кабинет)</t>
  </si>
  <si>
    <t xml:space="preserve">1.10134080                    </t>
  </si>
  <si>
    <t>Водонагреватель Ariston PRO 10 STR\3</t>
  </si>
  <si>
    <t xml:space="preserve">1,10134093                    </t>
  </si>
  <si>
    <t xml:space="preserve">1.1034094                     </t>
  </si>
  <si>
    <t>Ванна моечная двух секционная 960*530*870</t>
  </si>
  <si>
    <t>Стеллаж 800*400*1850</t>
  </si>
  <si>
    <t>Спорт.инвентарь "Дуга"</t>
  </si>
  <si>
    <t>Опора под балку</t>
  </si>
  <si>
    <t>Дорожка</t>
  </si>
  <si>
    <t xml:space="preserve">1,10106015                    </t>
  </si>
  <si>
    <t>Дорожка ковровая</t>
  </si>
  <si>
    <t xml:space="preserve">1,101060001                   </t>
  </si>
  <si>
    <t>Ёлка зелёная ПВХ- 3м.</t>
  </si>
  <si>
    <t xml:space="preserve">1,10106026                    </t>
  </si>
  <si>
    <t xml:space="preserve">1,10106014                    </t>
  </si>
  <si>
    <t xml:space="preserve">1,10106018                    </t>
  </si>
  <si>
    <t>Шкаф метал. ШМ-01-МСК</t>
  </si>
  <si>
    <t xml:space="preserve">1.10136245                    </t>
  </si>
  <si>
    <t>Водонагреватель Ariston ABS BLU R 50V</t>
  </si>
  <si>
    <t xml:space="preserve">1.10136106                    </t>
  </si>
  <si>
    <t>Игровая зона "Кухня Р"</t>
  </si>
  <si>
    <t xml:space="preserve">1.10136095                    </t>
  </si>
  <si>
    <t>Мебель "Уголок природы Р"</t>
  </si>
  <si>
    <t xml:space="preserve">1.10136096                    </t>
  </si>
  <si>
    <t xml:space="preserve">1.10136097                    </t>
  </si>
  <si>
    <t xml:space="preserve">Комплект моделей городских строений Рлан Тоус для сюжетно- ролевой игры "Город" </t>
  </si>
  <si>
    <t>Модель дома Рлен Тоус с семьей для сюжетно-ролевой игры "Город"</t>
  </si>
  <si>
    <t>Модель аэропорта Рлан Тоус для сюжетно-ролевой игры "Город"</t>
  </si>
  <si>
    <t>Модель паркинга Рлан Тоус для сюжетно- ролевой игры "Город"</t>
  </si>
  <si>
    <t>Экран Diqis мобильный 180х180. (DSRC-1102)</t>
  </si>
  <si>
    <t>Проектор Epson EB-S03 LCD 2700лм, SVQA 2.3кг.</t>
  </si>
  <si>
    <t>Эл.мясорубка унив.УКМ (протирка,овощерезка)</t>
  </si>
  <si>
    <t>Горка</t>
  </si>
  <si>
    <t>Ноутбук РН Н5 К60 ЕА Compad 650 / DVDRW/ 15.6*/  WiFi|/ BT</t>
  </si>
  <si>
    <t xml:space="preserve">1.10134203                    </t>
  </si>
  <si>
    <t>Видеопроектор Vivitek D516</t>
  </si>
  <si>
    <t xml:space="preserve">1.10134103                    </t>
  </si>
  <si>
    <t>DVD - Караоке</t>
  </si>
  <si>
    <t xml:space="preserve">1,10104005                    </t>
  </si>
  <si>
    <t>Копир.  "Canon"</t>
  </si>
  <si>
    <t>Машина стир.</t>
  </si>
  <si>
    <t>Муз. центр "Самсунг - 56"</t>
  </si>
  <si>
    <t xml:space="preserve">1,10104031                    </t>
  </si>
  <si>
    <t xml:space="preserve">1,10104030                    </t>
  </si>
  <si>
    <t>Фотоаппарат "CANON"</t>
  </si>
  <si>
    <t xml:space="preserve">1.10134605                    </t>
  </si>
  <si>
    <t>Холодильник НОРД  ДХ 220/7-020</t>
  </si>
  <si>
    <t xml:space="preserve">1.10134102                    </t>
  </si>
  <si>
    <t>Весы 14-ЕР 324-15,5</t>
  </si>
  <si>
    <t xml:space="preserve">21013611604                   </t>
  </si>
  <si>
    <t>Ёлка зелёная -3м ПВХ</t>
  </si>
  <si>
    <t xml:space="preserve">1,10106016                    </t>
  </si>
  <si>
    <t>Качалка на пружине (фунд-т дв-й)</t>
  </si>
  <si>
    <t>Кровать дет.(вишня) с ортопед.матрац.2-х сторон.120*60см</t>
  </si>
  <si>
    <t xml:space="preserve">1.10106062                    </t>
  </si>
  <si>
    <t>Машина стир.-автомат "Ардо"</t>
  </si>
  <si>
    <t>Стиральная машина-автомат Ардо</t>
  </si>
  <si>
    <t xml:space="preserve">1.10106061                    </t>
  </si>
  <si>
    <t xml:space="preserve">1.10136204                    </t>
  </si>
  <si>
    <t>Пылесос  САМСУНГ  SC 6780</t>
  </si>
  <si>
    <t xml:space="preserve">1.10136205                    </t>
  </si>
  <si>
    <t>Кровать детская  ХВОЯ 2 в компл. с матрасом</t>
  </si>
  <si>
    <t xml:space="preserve">410136206                     </t>
  </si>
  <si>
    <t xml:space="preserve">410136207                     </t>
  </si>
  <si>
    <t xml:space="preserve">410136208                     </t>
  </si>
  <si>
    <t xml:space="preserve">410136209                     </t>
  </si>
  <si>
    <t xml:space="preserve">410136210                     </t>
  </si>
  <si>
    <t>Стол дидакт. малый с наполнением (наказ. избират.)</t>
  </si>
  <si>
    <t xml:space="preserve">410136211                     </t>
  </si>
  <si>
    <t xml:space="preserve">1,10106063                    </t>
  </si>
  <si>
    <t xml:space="preserve">1.10106064                    </t>
  </si>
  <si>
    <t xml:space="preserve">1.10106065                    </t>
  </si>
  <si>
    <t xml:space="preserve">1.10106066                    </t>
  </si>
  <si>
    <t xml:space="preserve">1.10106068                    </t>
  </si>
  <si>
    <t xml:space="preserve">1.10106069                    </t>
  </si>
  <si>
    <t xml:space="preserve">1.10106070                    </t>
  </si>
  <si>
    <t xml:space="preserve">1.10106071                    </t>
  </si>
  <si>
    <t xml:space="preserve">1.10106072                    </t>
  </si>
  <si>
    <t xml:space="preserve">1.10106073                    </t>
  </si>
  <si>
    <t xml:space="preserve">1.10106074                    </t>
  </si>
  <si>
    <t>Шкаф металлический   ШМ -01-МСК   ( мед.каб. )</t>
  </si>
  <si>
    <t xml:space="preserve">1.10136604                    </t>
  </si>
  <si>
    <t>Игровая спальня для кукол</t>
  </si>
  <si>
    <t xml:space="preserve">410136212                     </t>
  </si>
  <si>
    <t xml:space="preserve">410136213                     </t>
  </si>
  <si>
    <t xml:space="preserve">410136214                     </t>
  </si>
  <si>
    <t>Стеллаж "Паровозик"</t>
  </si>
  <si>
    <t xml:space="preserve">410136215                     </t>
  </si>
  <si>
    <t xml:space="preserve">410136216                     </t>
  </si>
  <si>
    <t xml:space="preserve">410136217                     </t>
  </si>
  <si>
    <t>Горка без крыши</t>
  </si>
  <si>
    <t xml:space="preserve">1,101090011                   </t>
  </si>
  <si>
    <t>Жалюзи вертикальные</t>
  </si>
  <si>
    <t xml:space="preserve">1.10138004                    </t>
  </si>
  <si>
    <t>Пылесос Samsung SC- 4477</t>
  </si>
  <si>
    <t>Набор трекового конструктора  Hubeiino в контейнере</t>
  </si>
  <si>
    <t>Комплект игр Сундучок знаний (Сказки, В мире животных, Мои первые картинки, Азбу</t>
  </si>
  <si>
    <t>Комплект магнитных досок Dieco в контейнере (6 досок)</t>
  </si>
  <si>
    <t>Набор пазлов Larsen для самых маленьких (40шт)</t>
  </si>
  <si>
    <t>Набор пазлов Larsen  для маленьких (20 шт)</t>
  </si>
  <si>
    <t>Набор пазлов Larsen (20 шт)</t>
  </si>
  <si>
    <t>Набор пазлов Larsen  обучающих (15 шт)</t>
  </si>
  <si>
    <t>Шкаф для раздевалки сиреневый, розовый</t>
  </si>
  <si>
    <t xml:space="preserve">4101380018                    </t>
  </si>
  <si>
    <t>Парихмахерская п-01</t>
  </si>
  <si>
    <t xml:space="preserve">4101380019                    </t>
  </si>
  <si>
    <t xml:space="preserve">4101380020                    </t>
  </si>
  <si>
    <t>Парихмахерская п-02</t>
  </si>
  <si>
    <t xml:space="preserve">4101380021                    </t>
  </si>
  <si>
    <t>уголок изо из-04</t>
  </si>
  <si>
    <t xml:space="preserve">4101380022                    </t>
  </si>
  <si>
    <t>Книжный уголок КУ-05</t>
  </si>
  <si>
    <t xml:space="preserve">4101380023                    </t>
  </si>
  <si>
    <t xml:space="preserve">4101380024                    </t>
  </si>
  <si>
    <t>Уголок природы УП-03</t>
  </si>
  <si>
    <t xml:space="preserve">4101380025                    </t>
  </si>
  <si>
    <t xml:space="preserve">1.10138005                    </t>
  </si>
  <si>
    <t>Мясорубка Panasonic MK-G 1800</t>
  </si>
  <si>
    <t>Утюг Tefal  FV-3830</t>
  </si>
  <si>
    <t>Теневой навес</t>
  </si>
  <si>
    <t xml:space="preserve">4101230002                    </t>
  </si>
  <si>
    <t xml:space="preserve">4101230003                    </t>
  </si>
  <si>
    <t xml:space="preserve">4101240019                    </t>
  </si>
  <si>
    <t>Эл. мясоруб.универс.УКМ 06/300</t>
  </si>
  <si>
    <t xml:space="preserve">1.10104022                    </t>
  </si>
  <si>
    <t>Облучатель бактерицидный АЗОВ ОБПе-450</t>
  </si>
  <si>
    <t xml:space="preserve">2101342227                    </t>
  </si>
  <si>
    <t>Бензотример  GGT -1500 Т Huter</t>
  </si>
  <si>
    <t xml:space="preserve">2101340001                    </t>
  </si>
  <si>
    <t>Видеопроектор ViewSonic  PJD 5133</t>
  </si>
  <si>
    <t xml:space="preserve">21010342224                   </t>
  </si>
  <si>
    <t>Водонагреватель Ariston ABS BLU</t>
  </si>
  <si>
    <t xml:space="preserve">1.1013402225                  </t>
  </si>
  <si>
    <t>Видеокамера Панасоник VDR</t>
  </si>
  <si>
    <t>Морозильник Свияга</t>
  </si>
  <si>
    <t>Плита эл. 6ти конфорочная</t>
  </si>
  <si>
    <t xml:space="preserve">1.10104024                    </t>
  </si>
  <si>
    <t>Стиральная машина автомат</t>
  </si>
  <si>
    <t>Стиральная машина ВЕКО</t>
  </si>
  <si>
    <t>Телевизор Витязь</t>
  </si>
  <si>
    <t xml:space="preserve">1.10104026                    </t>
  </si>
  <si>
    <t>Триммер Etco  Stark 42.1.8 л. с нож./газонокос./</t>
  </si>
  <si>
    <t>Холодильник  Смоленск</t>
  </si>
  <si>
    <t xml:space="preserve">1.10104016                    </t>
  </si>
  <si>
    <t>Холодильник 2хкамер.Бирюса 131</t>
  </si>
  <si>
    <t>Холодильник Стинол</t>
  </si>
  <si>
    <t xml:space="preserve">1.10104027                    </t>
  </si>
  <si>
    <t>Музыкальный центр1-кас CD "Витек "(1склад,1муз.з</t>
  </si>
  <si>
    <t xml:space="preserve">110104008                     </t>
  </si>
  <si>
    <t xml:space="preserve">110104009                     </t>
  </si>
  <si>
    <t>Диапроектор Пеленг</t>
  </si>
  <si>
    <t xml:space="preserve">1.10104001                    </t>
  </si>
  <si>
    <t>Компьютер /сист.блок+монитор Proview  SP</t>
  </si>
  <si>
    <t xml:space="preserve">1.10104007                    </t>
  </si>
  <si>
    <t>Монитор 17 Самсунг</t>
  </si>
  <si>
    <t>МФУ -   лазерный /принтер, сканер, копир /</t>
  </si>
  <si>
    <t xml:space="preserve">1.1010474                     </t>
  </si>
  <si>
    <t>Стенка детская прямая</t>
  </si>
  <si>
    <t xml:space="preserve">2.10106018                    </t>
  </si>
  <si>
    <t>Кровать двухъярусная выкатная Кд-03</t>
  </si>
  <si>
    <t xml:space="preserve">2101360001                    </t>
  </si>
  <si>
    <t xml:space="preserve">2101360002                    </t>
  </si>
  <si>
    <t>Стеллаж детский СТ-03</t>
  </si>
  <si>
    <t xml:space="preserve">2101360003                    </t>
  </si>
  <si>
    <t xml:space="preserve">2101360004                    </t>
  </si>
  <si>
    <t xml:space="preserve">2101360005                    </t>
  </si>
  <si>
    <t>Экран настенный Diqis Optimal -B формат 4:3 MW</t>
  </si>
  <si>
    <t xml:space="preserve">2101362225                    </t>
  </si>
  <si>
    <t>Кусторез GHT -60 Huter</t>
  </si>
  <si>
    <t xml:space="preserve">2101360006                    </t>
  </si>
  <si>
    <t>Стеллаж Р (стенка ) детская д/игрушек</t>
  </si>
  <si>
    <t xml:space="preserve">1.1013602226                  </t>
  </si>
  <si>
    <t>Стеллаж для книг детский И</t>
  </si>
  <si>
    <t xml:space="preserve">1.1013602228                  </t>
  </si>
  <si>
    <t>Стеллаж Р (стенка ) детская  д /игрушек</t>
  </si>
  <si>
    <t xml:space="preserve">1.1013602225                  </t>
  </si>
  <si>
    <t>Видео-плеер Самсунг</t>
  </si>
  <si>
    <t>Кухня Мальвина малая</t>
  </si>
  <si>
    <t xml:space="preserve">1.10106009                    </t>
  </si>
  <si>
    <t>Н-р полумягкой мебели Алина</t>
  </si>
  <si>
    <t xml:space="preserve">1.10106010                    </t>
  </si>
  <si>
    <t>Набор мебели Годвин</t>
  </si>
  <si>
    <t xml:space="preserve">1.10106037                    </t>
  </si>
  <si>
    <t>Пианино Ноктюрн</t>
  </si>
  <si>
    <t>Подиум Горка</t>
  </si>
  <si>
    <t>Стенка для книг</t>
  </si>
  <si>
    <t xml:space="preserve">1.10106048                    </t>
  </si>
  <si>
    <t xml:space="preserve">1.10106135                    </t>
  </si>
  <si>
    <t>Стенка Золушка</t>
  </si>
  <si>
    <t xml:space="preserve">1.10106012                    </t>
  </si>
  <si>
    <t>Холодильник "Саратов" 451</t>
  </si>
  <si>
    <t xml:space="preserve">1.10136224                    </t>
  </si>
  <si>
    <t>Стол кондитерский 1400х700 с дер.столешницей</t>
  </si>
  <si>
    <t xml:space="preserve">4101362228                    </t>
  </si>
  <si>
    <t>Мойка нерж. 530х530 (односекционное )</t>
  </si>
  <si>
    <t xml:space="preserve">4101362229                    </t>
  </si>
  <si>
    <t xml:space="preserve">1 10106045                    </t>
  </si>
  <si>
    <t xml:space="preserve"> 110106046                    </t>
  </si>
  <si>
    <t>Шкаф классический 5 секции</t>
  </si>
  <si>
    <t xml:space="preserve">4101360019                    </t>
  </si>
  <si>
    <t xml:space="preserve">4101360021                    </t>
  </si>
  <si>
    <t xml:space="preserve">4.101360020                   </t>
  </si>
  <si>
    <t xml:space="preserve">4101360023                    </t>
  </si>
  <si>
    <t xml:space="preserve">4101360024                    </t>
  </si>
  <si>
    <t xml:space="preserve">4101360025                    </t>
  </si>
  <si>
    <t xml:space="preserve">4101360022                    </t>
  </si>
  <si>
    <t xml:space="preserve">4101360027                    </t>
  </si>
  <si>
    <t xml:space="preserve">4101360026                    </t>
  </si>
  <si>
    <t xml:space="preserve">4101360028                    </t>
  </si>
  <si>
    <t xml:space="preserve">4101360029                    </t>
  </si>
  <si>
    <t xml:space="preserve">4101360030                    </t>
  </si>
  <si>
    <t xml:space="preserve">4101360031                    </t>
  </si>
  <si>
    <t xml:space="preserve">4101360032                    </t>
  </si>
  <si>
    <t xml:space="preserve">4101360033                    </t>
  </si>
  <si>
    <t xml:space="preserve">4101360034                    </t>
  </si>
  <si>
    <t xml:space="preserve">4101360035                    </t>
  </si>
  <si>
    <t xml:space="preserve">4101360036                    </t>
  </si>
  <si>
    <t xml:space="preserve">4101360037                    </t>
  </si>
  <si>
    <t xml:space="preserve">4101360038                    </t>
  </si>
  <si>
    <t xml:space="preserve">4101360039                    </t>
  </si>
  <si>
    <t xml:space="preserve">4101360040                    </t>
  </si>
  <si>
    <t>Холодильник Indesit tia 140</t>
  </si>
  <si>
    <t>Морозильник Candy Ccfe 260</t>
  </si>
  <si>
    <t xml:space="preserve">4101360017                    </t>
  </si>
  <si>
    <t>Стол разделочный</t>
  </si>
  <si>
    <t xml:space="preserve">4101362226                    </t>
  </si>
  <si>
    <t>Машина стиральная Ariston WMF 7080 BCIS</t>
  </si>
  <si>
    <t xml:space="preserve">1.101362226                   </t>
  </si>
  <si>
    <t>Весы медицинские ВМЭН -150 (мед.каб.)</t>
  </si>
  <si>
    <t xml:space="preserve">1,101362224                   </t>
  </si>
  <si>
    <t>Набор мебели для куклы ИС-04 (спальня)</t>
  </si>
  <si>
    <t>Набор мебели для куклы ИС-04  (спальня)</t>
  </si>
  <si>
    <t>Стеллаж детский СТ-09</t>
  </si>
  <si>
    <t>Уголок ИЗО ИЗ-03</t>
  </si>
  <si>
    <t>Физкультурный уголок СПУ -03</t>
  </si>
  <si>
    <t>Стеллаж СТ-22</t>
  </si>
  <si>
    <t>Уголок природы УП-13</t>
  </si>
  <si>
    <t>Стол рабочий (от ОМТО)</t>
  </si>
  <si>
    <t xml:space="preserve">410136164                     </t>
  </si>
  <si>
    <t>Стол рабочий правый(от ОМТО)</t>
  </si>
  <si>
    <t xml:space="preserve">410136161                     </t>
  </si>
  <si>
    <t>Шкаф гардеробный (от ОМТО)</t>
  </si>
  <si>
    <t xml:space="preserve">410136160                     </t>
  </si>
  <si>
    <t>Ковер 3х4  (серо-бежевого цвета )</t>
  </si>
  <si>
    <t xml:space="preserve">1.10106113                    </t>
  </si>
  <si>
    <t xml:space="preserve">1.10106122                    </t>
  </si>
  <si>
    <t>Цифровой фотоаппаратСони</t>
  </si>
  <si>
    <t xml:space="preserve">1.10106123                    </t>
  </si>
  <si>
    <t>Интерактивный музыкальный инструмент бесконтактного взаимодействия Beamz Lekotek</t>
  </si>
  <si>
    <t xml:space="preserve">4101340018                    </t>
  </si>
  <si>
    <t>Литература</t>
  </si>
  <si>
    <t>Кухня детская К-02</t>
  </si>
  <si>
    <t xml:space="preserve">2101380001                    </t>
  </si>
  <si>
    <t>Дополнительный набор пластикового конструктура Кликс с подвижным креплением элем</t>
  </si>
  <si>
    <t xml:space="preserve">1.10109005                    </t>
  </si>
  <si>
    <t>Плита ЭПК-47 ЖШ</t>
  </si>
  <si>
    <t xml:space="preserve">410124202                     </t>
  </si>
  <si>
    <t>Картофелечистка МОК 150</t>
  </si>
  <si>
    <t>Электропианино 88 кл</t>
  </si>
  <si>
    <t xml:space="preserve">4.101240004                   </t>
  </si>
  <si>
    <t>Программно-аппаратный универсальный комплекс с гибридным энергообеспечением в сб</t>
  </si>
  <si>
    <t xml:space="preserve">4101240007                    </t>
  </si>
  <si>
    <t>Интерактивная доска Interwrite DuaiBoard 1289</t>
  </si>
  <si>
    <t>Интерактивный  комплект оперативной диагностики Interwrite Numeric IR 32</t>
  </si>
  <si>
    <t>Мультимедийный проектор Epson EB-585W в комплекте со специализированным крепежом</t>
  </si>
  <si>
    <t xml:space="preserve">4101240006                    </t>
  </si>
  <si>
    <t>Компьютер /сист.блок+монитор Proview S P/</t>
  </si>
  <si>
    <t>Компьютер /сист.блок,монитор,ист.беспер.пит.,мышь,кабель,клавиатура /</t>
  </si>
  <si>
    <t xml:space="preserve">1.1010449                     </t>
  </si>
  <si>
    <t>Комплект для создания детских анамационных фильмов 3Д с наборами кукол людей и ж</t>
  </si>
  <si>
    <t xml:space="preserve">4101280002                    </t>
  </si>
  <si>
    <t>Беседка средняя (3000*1800*2300)</t>
  </si>
  <si>
    <t xml:space="preserve">2101330001                    </t>
  </si>
  <si>
    <t>В/м и  DVD Самсунг</t>
  </si>
  <si>
    <t xml:space="preserve">1.10104002                    </t>
  </si>
  <si>
    <t>Ларь морозильный "Бирюса" 260л</t>
  </si>
  <si>
    <t xml:space="preserve">1.10104108                    </t>
  </si>
  <si>
    <t>Музыкальный центр 1-ка.CD</t>
  </si>
  <si>
    <t xml:space="preserve">110104106                     </t>
  </si>
  <si>
    <t>Музыкальный центр Самсунг</t>
  </si>
  <si>
    <t xml:space="preserve">1.10104071                    </t>
  </si>
  <si>
    <t>Плита 4х конф.</t>
  </si>
  <si>
    <t xml:space="preserve">1.10104044                    </t>
  </si>
  <si>
    <t>Телевизор  Sone</t>
  </si>
  <si>
    <t xml:space="preserve">1.10104050                    </t>
  </si>
  <si>
    <t>Холодильник Зануси  /из д/с №8 Теремок/</t>
  </si>
  <si>
    <t xml:space="preserve">1.1010447                     </t>
  </si>
  <si>
    <t>Холодильник НОРД-155</t>
  </si>
  <si>
    <t xml:space="preserve">1.10104045                    </t>
  </si>
  <si>
    <t xml:space="preserve">1.10104011                    </t>
  </si>
  <si>
    <t>Проектор BenQ MW 516</t>
  </si>
  <si>
    <t xml:space="preserve">110134143                     </t>
  </si>
  <si>
    <t>Нетбук ASUS Eee PC101 1015 BX</t>
  </si>
  <si>
    <t xml:space="preserve">110134144                     </t>
  </si>
  <si>
    <t xml:space="preserve">1,10104105                    </t>
  </si>
  <si>
    <t xml:space="preserve">110134142                     </t>
  </si>
  <si>
    <t xml:space="preserve">1.10104109                    </t>
  </si>
  <si>
    <t xml:space="preserve">1.10104110                    </t>
  </si>
  <si>
    <t>МФУ лазерный  /принтер,сканер,копир  /</t>
  </si>
  <si>
    <t xml:space="preserve">1.1010448                     </t>
  </si>
  <si>
    <t>Мясорубка пром.   /300кг/час/</t>
  </si>
  <si>
    <t xml:space="preserve">2,10106136                    </t>
  </si>
  <si>
    <t>Набор полумягкой мебели "Алина "(подарок род.)</t>
  </si>
  <si>
    <t xml:space="preserve">210136137                     </t>
  </si>
  <si>
    <t>Стеллаж " Гараж " (подарок родителей )</t>
  </si>
  <si>
    <t xml:space="preserve">210136138                     </t>
  </si>
  <si>
    <t>Стол процедурный (две нерж.полки +колеса)</t>
  </si>
  <si>
    <t xml:space="preserve">210136136                     </t>
  </si>
  <si>
    <t>Весы МТ 15 В1ДА-8/НК "Гастроном "</t>
  </si>
  <si>
    <t xml:space="preserve">210136145                     </t>
  </si>
  <si>
    <t>Бензиновый триммер</t>
  </si>
  <si>
    <t xml:space="preserve">210136140                     </t>
  </si>
  <si>
    <t>Полумягкая детская мебель (корич.- бежевая)</t>
  </si>
  <si>
    <t xml:space="preserve">210136143                     </t>
  </si>
  <si>
    <t>Стеллаж для игрушек (синий с салат.-желт.дверками)</t>
  </si>
  <si>
    <t xml:space="preserve">210136144                     </t>
  </si>
  <si>
    <t>Полумягкая детская мебель "Алина" (Диван +2кресла )подарок"</t>
  </si>
  <si>
    <t xml:space="preserve">210136141                     </t>
  </si>
  <si>
    <t>Дидактический стол +2пуфика (подарок )</t>
  </si>
  <si>
    <t xml:space="preserve">210136142                     </t>
  </si>
  <si>
    <t>Стиральная машина LD 10 B 8 QD</t>
  </si>
  <si>
    <t xml:space="preserve">410136196                     </t>
  </si>
  <si>
    <t>Бак облуч.передвижной +лампа медиц.</t>
  </si>
  <si>
    <t xml:space="preserve">1.1010611                     </t>
  </si>
  <si>
    <t>Весы механические</t>
  </si>
  <si>
    <t>Вывеска</t>
  </si>
  <si>
    <t>набор их 4-ох шкафов</t>
  </si>
  <si>
    <t xml:space="preserve">1.10106013                    </t>
  </si>
  <si>
    <t xml:space="preserve">110106105                     </t>
  </si>
  <si>
    <t xml:space="preserve">1.10106110                    </t>
  </si>
  <si>
    <t>Стенка Грибок</t>
  </si>
  <si>
    <t>Стенка Настенька</t>
  </si>
  <si>
    <t>Стол дидакт.с пуфиками</t>
  </si>
  <si>
    <t xml:space="preserve">1.10106117                    </t>
  </si>
  <si>
    <t>Шкаф 4-ох секционный</t>
  </si>
  <si>
    <t>Шкаф стенка</t>
  </si>
  <si>
    <t>Мягкий модуль "Гусеница"</t>
  </si>
  <si>
    <t xml:space="preserve">4.101380001                   </t>
  </si>
  <si>
    <t>Мягкий модуль  "Гулливер"</t>
  </si>
  <si>
    <t xml:space="preserve">4.101380002                   </t>
  </si>
  <si>
    <t>УП-04 уголок природы</t>
  </si>
  <si>
    <t xml:space="preserve">.4.101380003                  </t>
  </si>
  <si>
    <t>Кровать "ХВОЯ" в комп.с матрасом  (наказ.избират.)</t>
  </si>
  <si>
    <t xml:space="preserve">110136146                     </t>
  </si>
  <si>
    <t>Кровать"ХВОЯ" в комп.с матрасом (наказ.избират.)</t>
  </si>
  <si>
    <t xml:space="preserve">110136147                     </t>
  </si>
  <si>
    <t>Кровать " ХВОЯ" в комп.с матрасом ( наказ.избират.)</t>
  </si>
  <si>
    <t xml:space="preserve">110136148                     </t>
  </si>
  <si>
    <t>Кровать "ХВОЯ" в комп.с матрасом (наказ.избират.)</t>
  </si>
  <si>
    <t xml:space="preserve">110136149                     </t>
  </si>
  <si>
    <t>Кровать " ХВОЯ " в комп. с матрасом (наказ.избират.)</t>
  </si>
  <si>
    <t xml:space="preserve">110136150                     </t>
  </si>
  <si>
    <t>Кровать " ХВОЯ " в комп. с матрасом ( наказ.избират.)</t>
  </si>
  <si>
    <t xml:space="preserve">110136151                     </t>
  </si>
  <si>
    <t>Кровать " ХВОЯ " в комп.с матрасом ( наказ.избират.)</t>
  </si>
  <si>
    <t>Кровать " ХВОЯ" в комп.с матрасом (наказ.избират.)</t>
  </si>
  <si>
    <t>Кровать " ХВОЯ " в комп.с матрасом (наказ.избират.)</t>
  </si>
  <si>
    <t xml:space="preserve">110136154                     </t>
  </si>
  <si>
    <t>Кровать " ХВОЯ " в комп.с матрасом ( наказ.избират )</t>
  </si>
  <si>
    <t xml:space="preserve">110136155                     </t>
  </si>
  <si>
    <t>Кровать " ХВОЯ" в комп.с матрасом   (наказ.избират.)</t>
  </si>
  <si>
    <t xml:space="preserve">110136156                     </t>
  </si>
  <si>
    <t xml:space="preserve">110136157                     </t>
  </si>
  <si>
    <t xml:space="preserve">110136158                     </t>
  </si>
  <si>
    <t xml:space="preserve">110136159                     </t>
  </si>
  <si>
    <t>Кровать " ХВОЯ " в комп.с матрасом ( наказ.избират.2013)</t>
  </si>
  <si>
    <t xml:space="preserve">110136160                     </t>
  </si>
  <si>
    <t>Кровать " ХВОЯ " в комп. с матрасом ( наказ.избират.2013)</t>
  </si>
  <si>
    <t xml:space="preserve">110136161                     </t>
  </si>
  <si>
    <t xml:space="preserve">110136162                     </t>
  </si>
  <si>
    <t xml:space="preserve">110136163                     </t>
  </si>
  <si>
    <t>Кровать " ХВОЯ " в комп.с матрасом ( наказ.избират. 2013 )</t>
  </si>
  <si>
    <t xml:space="preserve">110136164                     </t>
  </si>
  <si>
    <t xml:space="preserve">110136165                     </t>
  </si>
  <si>
    <t>Кровать " ХВОЯ " в комп.с матрасом (наказ.избират.2013)</t>
  </si>
  <si>
    <t xml:space="preserve">110136166                     </t>
  </si>
  <si>
    <t>Кровать "ХВОЯ" в комп.с матрасом ( наказ.избират.2013)</t>
  </si>
  <si>
    <t xml:space="preserve">110136167                     </t>
  </si>
  <si>
    <t xml:space="preserve">110136168                     </t>
  </si>
  <si>
    <t xml:space="preserve">110136169                     </t>
  </si>
  <si>
    <t>Стиральная машина Hotpoint-Ariston</t>
  </si>
  <si>
    <t>Пылесос Самсунг SC 6780</t>
  </si>
  <si>
    <t xml:space="preserve">1.10136143                    </t>
  </si>
  <si>
    <t>Стол дидакт.с наполн.2-ух мест.( наказ.избират.)</t>
  </si>
  <si>
    <t>Шкаф д/одежды детский 4-ех секц.(наказ.избир.)</t>
  </si>
  <si>
    <t xml:space="preserve">410136148                     </t>
  </si>
  <si>
    <t xml:space="preserve">410136149                     </t>
  </si>
  <si>
    <t>Шкаф д/одежды детский 4-ех секц(наказ.избират.)</t>
  </si>
  <si>
    <t xml:space="preserve">410136150                     </t>
  </si>
  <si>
    <t>Шкаф д/одежды детский 4-ех секц (наказ.избират.)</t>
  </si>
  <si>
    <t xml:space="preserve">410136151                     </t>
  </si>
  <si>
    <t xml:space="preserve">410136152                     </t>
  </si>
  <si>
    <t>Шкаф д/одежды детский 4-ех секц ( наказ.избират.)</t>
  </si>
  <si>
    <t xml:space="preserve">410136153                     </t>
  </si>
  <si>
    <t>Стенка игровая " Золушка " ( наказ.избират.)</t>
  </si>
  <si>
    <t xml:space="preserve">410136154                     </t>
  </si>
  <si>
    <t>Игровой " Уголок доктора " И   (наказ.избират )</t>
  </si>
  <si>
    <t xml:space="preserve">410136155                     </t>
  </si>
  <si>
    <t xml:space="preserve">410136156                     </t>
  </si>
  <si>
    <t xml:space="preserve">410136157                     </t>
  </si>
  <si>
    <t xml:space="preserve">410136158                     </t>
  </si>
  <si>
    <t xml:space="preserve">410136159                     </t>
  </si>
  <si>
    <t xml:space="preserve">410136162                     </t>
  </si>
  <si>
    <t xml:space="preserve">410136163                     </t>
  </si>
  <si>
    <t xml:space="preserve">410136165                     </t>
  </si>
  <si>
    <t xml:space="preserve">410136166                     </t>
  </si>
  <si>
    <t xml:space="preserve">410136167                     </t>
  </si>
  <si>
    <t xml:space="preserve">410136168                     </t>
  </si>
  <si>
    <t xml:space="preserve">410136169                     </t>
  </si>
  <si>
    <t>Шкаф классический с выемкой 4-секции 1180ммх 320мм х 1320 мм</t>
  </si>
  <si>
    <t>Шкаф классический с выемкой 4 секции 1180 ммх320ммх1320 мм</t>
  </si>
  <si>
    <t>Шкаф классический с выемкой 4 секции 1180 мм х 320ммх 1320 мм</t>
  </si>
  <si>
    <t>Шкаф классический с выемкой 4 секции 1180 ммх320 ммх1320мм</t>
  </si>
  <si>
    <t>Шкаф классический с выемкой 4 секции 1180мм х320мм х1320 мм</t>
  </si>
  <si>
    <t xml:space="preserve">Шкаф классический с выемкой 4 секции 1180 мм х320 ммх 1320мм </t>
  </si>
  <si>
    <t>Шкаф классический с выемкой 4 секции 1180 ммх 320мм х 1320 мм</t>
  </si>
  <si>
    <t>Шкаф классический с выемкой 4 секции 1180 мм х 320 ммх 1320мм</t>
  </si>
  <si>
    <t xml:space="preserve">4101360018                    </t>
  </si>
  <si>
    <t>Шкаф классический с выемкой 4 секции  1180 мм х 320 мм х 1320мм</t>
  </si>
  <si>
    <t>Шкаф классический с выемкой 4 секции 1180 мм х 320мм х 1320мм.</t>
  </si>
  <si>
    <t xml:space="preserve">4101360020                    </t>
  </si>
  <si>
    <t>Шкаф классический с выемкой 4 секции 1180мм х 320мм х 1320 мм.</t>
  </si>
  <si>
    <t>Шкаф классический с выемкой 4 секции 1180 ммх 320 мм х 1320мм</t>
  </si>
  <si>
    <t>Экран Classic Solution Scutum 150*150 настенный</t>
  </si>
  <si>
    <t>Проектор Ben MW523</t>
  </si>
  <si>
    <t xml:space="preserve">Столик для мультимедиа-проекторов </t>
  </si>
  <si>
    <t>Визуализатор Epson ELP DC 20</t>
  </si>
  <si>
    <t>Интерактивный планшет Interwrite Mobi 500</t>
  </si>
  <si>
    <t xml:space="preserve">4101240005                    </t>
  </si>
  <si>
    <t>Специализированное развивающее программное обеспечение НИО-ДОУ 2,0</t>
  </si>
  <si>
    <t xml:space="preserve">4101240009                    </t>
  </si>
  <si>
    <t>Специализированное программное обеспечение СПОБДД-ДО с комплектом методических м</t>
  </si>
  <si>
    <t xml:space="preserve">4101240004                    </t>
  </si>
  <si>
    <t xml:space="preserve">410136199                     </t>
  </si>
  <si>
    <t xml:space="preserve">410136198                     </t>
  </si>
  <si>
    <t>Столы разделочные</t>
  </si>
  <si>
    <t xml:space="preserve">410136197                     </t>
  </si>
  <si>
    <t xml:space="preserve">410136200                     </t>
  </si>
  <si>
    <t xml:space="preserve">410136201                     </t>
  </si>
  <si>
    <t xml:space="preserve">1,10106106                    </t>
  </si>
  <si>
    <t>Шкаф металлический ШМ -01-МСК  ( мед. каб. )</t>
  </si>
  <si>
    <t xml:space="preserve">1,10136142                    </t>
  </si>
  <si>
    <t>Машина  швейная</t>
  </si>
  <si>
    <t xml:space="preserve">1.10106111                    </t>
  </si>
  <si>
    <t>Игр.Парикмахерская со стулом</t>
  </si>
  <si>
    <t xml:space="preserve">10138107                      </t>
  </si>
  <si>
    <t>Уголок изодеятельности</t>
  </si>
  <si>
    <t>Кухня детская стенка</t>
  </si>
  <si>
    <t xml:space="preserve">4.101380003                   </t>
  </si>
  <si>
    <t>Набор конструирования  и развития мышления с карточками базового уровня в контей</t>
  </si>
  <si>
    <t>Набор конструирования и развития мышления с карточками продвинутого уровня в кон</t>
  </si>
  <si>
    <t>Комплект досок Десо в контейнере (6 досок)</t>
  </si>
  <si>
    <t>Набор пазлов для самых маленьких (40 штук))</t>
  </si>
  <si>
    <t>Набор пазлов для маленьких (20шт)</t>
  </si>
  <si>
    <t>Набор пазлов (20 шт)</t>
  </si>
  <si>
    <t>Набор пазлов обучающих (15шт)</t>
  </si>
  <si>
    <t>Принтер HP Lazer Jet OroP 1102</t>
  </si>
  <si>
    <t xml:space="preserve">4.101380010                   </t>
  </si>
  <si>
    <t>Ограждение железо-бетонное</t>
  </si>
  <si>
    <t xml:space="preserve">410123   001                  </t>
  </si>
  <si>
    <t>Каб.русск. яз.(экран,мон,телев,с.блок,проек,инт.доска)</t>
  </si>
  <si>
    <t>Каб-т физики (нац. проект)-КП"PenTium",клав.,мышь,графопроектор,экран 150*150см,изм.блок.</t>
  </si>
  <si>
    <t xml:space="preserve">1,10104101                    </t>
  </si>
  <si>
    <t>Компьютер №02</t>
  </si>
  <si>
    <t>Компьютер №3 (Библиот.)</t>
  </si>
  <si>
    <t>Радиорубка</t>
  </si>
  <si>
    <t xml:space="preserve">Проектор мультимедиа с комплектом видеокоммутации и крепежа Epson ELP </t>
  </si>
  <si>
    <t xml:space="preserve">4.10124118                    </t>
  </si>
  <si>
    <t>Система оперативного контроля знаний (СОКЗ) со специал.програм.обеспеч.</t>
  </si>
  <si>
    <t xml:space="preserve">4.10124082                    </t>
  </si>
  <si>
    <t>Интерактивная доска Interwrite 1279 с комплектом программного обеспечения и сист</t>
  </si>
  <si>
    <t xml:space="preserve">4.101240001                   </t>
  </si>
  <si>
    <t>Комбайн кухонный</t>
  </si>
  <si>
    <t>Овощерезка</t>
  </si>
  <si>
    <t xml:space="preserve">1,10106326                    </t>
  </si>
  <si>
    <t>Доска интерактивная многопользовательская с настенным креплением</t>
  </si>
  <si>
    <t xml:space="preserve">4.10126117                    </t>
  </si>
  <si>
    <t>Уч-е пособие для кабинета рус. языка</t>
  </si>
  <si>
    <t>Библиотека-литература</t>
  </si>
  <si>
    <t xml:space="preserve"> Учебники поступление 2014года.</t>
  </si>
  <si>
    <t>Учебники</t>
  </si>
  <si>
    <t>Учебники 08-10г.</t>
  </si>
  <si>
    <t>Учебники 2011г.</t>
  </si>
  <si>
    <t>Учебники для 6 класса -поступления 2015г</t>
  </si>
  <si>
    <t>Учебники поступления 2015 года.</t>
  </si>
  <si>
    <t>Учебники 2012 г. поступления</t>
  </si>
  <si>
    <t>Учебники (август-сентябрь 2013г.)</t>
  </si>
  <si>
    <t>Учебники 2012 г.(ноябрь) поступления</t>
  </si>
  <si>
    <t>Фотоаппарат CONON PowerShot A3400 IS, карта памяти</t>
  </si>
  <si>
    <t xml:space="preserve">2.10134153                    </t>
  </si>
  <si>
    <t>Принтер HP Deskiet Ink Advantage 2540  All-in-One  Series (подарок от ИМЦ)</t>
  </si>
  <si>
    <t xml:space="preserve">2.10134120                    </t>
  </si>
  <si>
    <t>Процессор РК IUR Corp 310 P</t>
  </si>
  <si>
    <t xml:space="preserve">1,10134293                    </t>
  </si>
  <si>
    <t>Монитор   BЕNQ G 95 OA (18,5 дюймов)</t>
  </si>
  <si>
    <t xml:space="preserve">1.10134297                    </t>
  </si>
  <si>
    <t>Телевизор 21 JVC</t>
  </si>
  <si>
    <t xml:space="preserve">1,10104103                    </t>
  </si>
  <si>
    <t>DVD плеер- караоке</t>
  </si>
  <si>
    <t xml:space="preserve">1,10104092                    </t>
  </si>
  <si>
    <t xml:space="preserve">Колонки </t>
  </si>
  <si>
    <t xml:space="preserve">1.10104030                    </t>
  </si>
  <si>
    <t>Синтезатор</t>
  </si>
  <si>
    <t xml:space="preserve">1,10104099                    </t>
  </si>
  <si>
    <t xml:space="preserve">1,10104091                    </t>
  </si>
  <si>
    <t xml:space="preserve">1.10104029                    </t>
  </si>
  <si>
    <t xml:space="preserve">1,10134295                    </t>
  </si>
  <si>
    <t xml:space="preserve">1.10134296                    </t>
  </si>
  <si>
    <t>Видеоплеер LG</t>
  </si>
  <si>
    <t xml:space="preserve">1,10104090                    </t>
  </si>
  <si>
    <t>Прибор механ. ПОЗМ</t>
  </si>
  <si>
    <t xml:space="preserve">1,10104038                    </t>
  </si>
  <si>
    <t xml:space="preserve">1,10104089                    </t>
  </si>
  <si>
    <t>Станок винторез.</t>
  </si>
  <si>
    <t xml:space="preserve">Станок токарн. </t>
  </si>
  <si>
    <t xml:space="preserve">1.10104060                    </t>
  </si>
  <si>
    <t>Станок фрезерн.</t>
  </si>
  <si>
    <t>Станок фуговал.(циркулярка)</t>
  </si>
  <si>
    <t>Тренажёр</t>
  </si>
  <si>
    <t xml:space="preserve">1,10104098                    </t>
  </si>
  <si>
    <t>Электроточило</t>
  </si>
  <si>
    <t xml:space="preserve">1,101040063                   </t>
  </si>
  <si>
    <t xml:space="preserve">1.10104061                    </t>
  </si>
  <si>
    <t xml:space="preserve">1. 10104062                   </t>
  </si>
  <si>
    <t xml:space="preserve">1,10134294                    </t>
  </si>
  <si>
    <t xml:space="preserve">1.10134298                    </t>
  </si>
  <si>
    <t>Компьютер №05</t>
  </si>
  <si>
    <t>МФУ (принтер,сканер,копир)  WORKKENTRC-3119</t>
  </si>
  <si>
    <t xml:space="preserve">1,10104106                    </t>
  </si>
  <si>
    <t>Оргтехника в полн. комп-и</t>
  </si>
  <si>
    <t xml:space="preserve">1,10104069                    </t>
  </si>
  <si>
    <t>Принтер HP LaserJet Pro P1 102w</t>
  </si>
  <si>
    <t xml:space="preserve">1.10134300                    </t>
  </si>
  <si>
    <t>Водонагреватель эл.</t>
  </si>
  <si>
    <t xml:space="preserve">1,101041001                   </t>
  </si>
  <si>
    <t xml:space="preserve">1,10104059                    </t>
  </si>
  <si>
    <t>ПК (сист.блок Pentium,мон-р ASER,операц.сист,клавиат, мышь)</t>
  </si>
  <si>
    <t xml:space="preserve">1.10134276                    </t>
  </si>
  <si>
    <t>Плита эл. 4-х комфор.</t>
  </si>
  <si>
    <t>Холодильник "Атлант" 2-х /камерный</t>
  </si>
  <si>
    <t xml:space="preserve">1,10104107                    </t>
  </si>
  <si>
    <t>Холодильник Атлант  2823-80</t>
  </si>
  <si>
    <t xml:space="preserve">1.10104075                    </t>
  </si>
  <si>
    <t>Универсальная платформа для перемещ.,хранения и подзарядки мобильных компьютеров</t>
  </si>
  <si>
    <t xml:space="preserve">4.10134082                    </t>
  </si>
  <si>
    <t>Микроскоп цифровой тип 2Levenhuk 2L NG+цифр.камера к микроскопам</t>
  </si>
  <si>
    <t xml:space="preserve">4.10134085                    </t>
  </si>
  <si>
    <t xml:space="preserve">4.10134086                    </t>
  </si>
  <si>
    <t>Компьютер мобильный педагога с предустановленными многопольз.операц.системой</t>
  </si>
  <si>
    <t xml:space="preserve">4.10134087                    </t>
  </si>
  <si>
    <t>Компьютер мобильный обучающегося</t>
  </si>
  <si>
    <t xml:space="preserve">4.10134088                    </t>
  </si>
  <si>
    <t xml:space="preserve">4.10134089                    </t>
  </si>
  <si>
    <t xml:space="preserve">4.10134090                    </t>
  </si>
  <si>
    <t xml:space="preserve">4.10134091                    </t>
  </si>
  <si>
    <t xml:space="preserve">4.10134092                    </t>
  </si>
  <si>
    <t xml:space="preserve">4.10134093                    </t>
  </si>
  <si>
    <t xml:space="preserve">4.10134094                    </t>
  </si>
  <si>
    <t xml:space="preserve">4.10134095                    </t>
  </si>
  <si>
    <t xml:space="preserve">4.10134096                    </t>
  </si>
  <si>
    <t xml:space="preserve">4.10134097                    </t>
  </si>
  <si>
    <t xml:space="preserve">4.10134098                    </t>
  </si>
  <si>
    <t xml:space="preserve">4.10134099                    </t>
  </si>
  <si>
    <t xml:space="preserve">4.10134100                    </t>
  </si>
  <si>
    <t>Документ-камера Epson ELP-DC 11</t>
  </si>
  <si>
    <t xml:space="preserve">4.10134101                    </t>
  </si>
  <si>
    <t>Многофункциональное устройство BrotherMFC-7860DWR</t>
  </si>
  <si>
    <t xml:space="preserve">4.10134102                    </t>
  </si>
  <si>
    <t>К-т цифрового  измерительного оборудования для проведения экспериментов</t>
  </si>
  <si>
    <t xml:space="preserve">4.10134103                    </t>
  </si>
  <si>
    <t>К-т цифрового измерит.оборуд.для проведения экспериментов (для обущающ.)</t>
  </si>
  <si>
    <t xml:space="preserve">4.10134104                    </t>
  </si>
  <si>
    <t xml:space="preserve">4.10134105                    </t>
  </si>
  <si>
    <t xml:space="preserve">4.10134106                    </t>
  </si>
  <si>
    <t xml:space="preserve">4.10134107                    </t>
  </si>
  <si>
    <t xml:space="preserve">т для создания и редактирования анимационных мультфильмов </t>
  </si>
  <si>
    <t xml:space="preserve">4.10134108                    </t>
  </si>
  <si>
    <t xml:space="preserve">4.10134109                    </t>
  </si>
  <si>
    <t xml:space="preserve">4.10134110                    </t>
  </si>
  <si>
    <t xml:space="preserve">4.10134111                    </t>
  </si>
  <si>
    <t>Видеокамера цифровая Sony</t>
  </si>
  <si>
    <t xml:space="preserve">4.10134112                    </t>
  </si>
  <si>
    <t>Фотоаппарат цифровой CANON</t>
  </si>
  <si>
    <t xml:space="preserve">4.10134113                    </t>
  </si>
  <si>
    <t>К-т по началам конструирования и робототехники в начальной шк.(Конструктор)</t>
  </si>
  <si>
    <t xml:space="preserve">4.10134114                    </t>
  </si>
  <si>
    <t xml:space="preserve">4.10134115                    </t>
  </si>
  <si>
    <t>Микроскоп цифровой тип 1 Ltvenhuk D50L NG</t>
  </si>
  <si>
    <t xml:space="preserve">4.10134116                    </t>
  </si>
  <si>
    <t>КП в сборе(с.блок Сеleron 1610/500Gb/DVD-RW/клав.,мышь,Монитор 21,5"BENQ2200ЕТHТ</t>
  </si>
  <si>
    <t xml:space="preserve">4.10134301                    </t>
  </si>
  <si>
    <t xml:space="preserve">4.10134302                    </t>
  </si>
  <si>
    <t xml:space="preserve">Холодильник "Саратов - 452" </t>
  </si>
  <si>
    <t xml:space="preserve">1.10134077                    </t>
  </si>
  <si>
    <t xml:space="preserve">Комплекс аппаратно-программных средств Lenouo G5070 15/6\Intei Core I 3 4030U c </t>
  </si>
  <si>
    <t xml:space="preserve">4,101340001                   </t>
  </si>
  <si>
    <t xml:space="preserve">Мультимедийный проектор Epson EB-X 20 </t>
  </si>
  <si>
    <t xml:space="preserve">4,101340003                   </t>
  </si>
  <si>
    <t>Комплект коммутаций большой сборный ККБ</t>
  </si>
  <si>
    <t xml:space="preserve">4,101340002                   </t>
  </si>
  <si>
    <t>Монитор 21,5 LQ 22M 35A 35 A 1920 х1080 D-SUB</t>
  </si>
  <si>
    <t xml:space="preserve">4,101340004                   </t>
  </si>
  <si>
    <t>Системный блок HP 400 PRQ MT</t>
  </si>
  <si>
    <t xml:space="preserve">4,101340007                   </t>
  </si>
  <si>
    <t>Проектор Optoma X 316 abar</t>
  </si>
  <si>
    <t xml:space="preserve">4,101340005                   </t>
  </si>
  <si>
    <t>Проектор Optoma-2 adar</t>
  </si>
  <si>
    <t xml:space="preserve">4,101340006                   </t>
  </si>
  <si>
    <t xml:space="preserve">110134172                     </t>
  </si>
  <si>
    <t>Маршрутизатор WIFI</t>
  </si>
  <si>
    <t>Монитор 22  от 11,12,2014</t>
  </si>
  <si>
    <t>Системный блок 3240\4\клавиатура \мышь</t>
  </si>
  <si>
    <t>Многофункциональное устройство НР3525</t>
  </si>
  <si>
    <t>Видеоплеер</t>
  </si>
  <si>
    <t xml:space="preserve">1,10104040                    </t>
  </si>
  <si>
    <t xml:space="preserve">1,10104039                    </t>
  </si>
  <si>
    <t>Автомашина ГАЗ- 52-04 (Р.знак 18-01 МЗУ)</t>
  </si>
  <si>
    <t xml:space="preserve">1,10105001                    </t>
  </si>
  <si>
    <t>Стол демонстр.</t>
  </si>
  <si>
    <t xml:space="preserve">1,10106120                    </t>
  </si>
  <si>
    <t>Шкаф вытяжной</t>
  </si>
  <si>
    <t xml:space="preserve"> 1,10106117                   </t>
  </si>
  <si>
    <t>Доска классная</t>
  </si>
  <si>
    <t xml:space="preserve">1,10106324                    </t>
  </si>
  <si>
    <t xml:space="preserve">1,  10106117                  </t>
  </si>
  <si>
    <t>Доска школьная 2-х элементная</t>
  </si>
  <si>
    <t xml:space="preserve">4.101360002                   </t>
  </si>
  <si>
    <t>Ёлка зелёная ПВХ - 3м</t>
  </si>
  <si>
    <t xml:space="preserve">1,10106323                    </t>
  </si>
  <si>
    <t>Шкаф закрытый</t>
  </si>
  <si>
    <t>Доска ДН-32М (наказ. избират.)</t>
  </si>
  <si>
    <t>Доска ДН-31М (наказ. избират.)</t>
  </si>
  <si>
    <t>Шкаф полуоткрытый</t>
  </si>
  <si>
    <t xml:space="preserve">4.101360001                   </t>
  </si>
  <si>
    <t>Стол обеденный</t>
  </si>
  <si>
    <t>Стеллаж библиотечный односторонний</t>
  </si>
  <si>
    <t>Стеллаж библиотечный демонстрационный</t>
  </si>
  <si>
    <t>Набор складной мебели (5 предметов)</t>
  </si>
  <si>
    <t>Весы медицинские ВМЭН-150 (мед.каб-т)</t>
  </si>
  <si>
    <t xml:space="preserve">110136170                     </t>
  </si>
  <si>
    <t xml:space="preserve">110136171                     </t>
  </si>
  <si>
    <t xml:space="preserve">1,101060211                   </t>
  </si>
  <si>
    <t>Шкаф со створками</t>
  </si>
  <si>
    <t xml:space="preserve">1,10106209                    </t>
  </si>
  <si>
    <t xml:space="preserve">1,10106210                    </t>
  </si>
  <si>
    <t xml:space="preserve">1,10106115                    </t>
  </si>
  <si>
    <t>Машина  эл.форная</t>
  </si>
  <si>
    <t xml:space="preserve">1,10109004                    </t>
  </si>
  <si>
    <t>Каб. русск.яз. (DVD,Аудиокнига)</t>
  </si>
  <si>
    <t xml:space="preserve">1,10109012                    </t>
  </si>
  <si>
    <t>Мат гимнастический</t>
  </si>
  <si>
    <t>Скамейка гимнастическая 3 м</t>
  </si>
  <si>
    <t>Видеокамера SONI</t>
  </si>
  <si>
    <t xml:space="preserve">1,10104131                    </t>
  </si>
  <si>
    <t>Плита ПЭП - 48М -ШЖ</t>
  </si>
  <si>
    <t xml:space="preserve">1.10124246                    </t>
  </si>
  <si>
    <t xml:space="preserve">Доска интерактивная многопользов.с настен-м крепл-ем InterwriteDualBoard 1279 </t>
  </si>
  <si>
    <t xml:space="preserve">4.10124120                    </t>
  </si>
  <si>
    <t>Проектор мультимедиа с компл-ом видеокомм-ии и крепежа EpsonEB_X18</t>
  </si>
  <si>
    <t xml:space="preserve">4.10124121                    </t>
  </si>
  <si>
    <t xml:space="preserve">Система оперативного контроля знаний (СОКЗ)  со спец-ым программн.обеспечен </t>
  </si>
  <si>
    <t xml:space="preserve">4.10124125                    </t>
  </si>
  <si>
    <t xml:space="preserve">Интерактивная доска Interwrite с комплектом программного обеспечения и системой </t>
  </si>
  <si>
    <t xml:space="preserve">1,10106119                    </t>
  </si>
  <si>
    <t>Библиотечный фонд - литература</t>
  </si>
  <si>
    <t>Учебники 2014 года поступления</t>
  </si>
  <si>
    <t>Учебники  2008г.</t>
  </si>
  <si>
    <t>Учебники 2012г. поступления</t>
  </si>
  <si>
    <t>Учебники 2015 год</t>
  </si>
  <si>
    <t>Учебники математика 5 кл.2015г.</t>
  </si>
  <si>
    <t xml:space="preserve">2.10134142                    </t>
  </si>
  <si>
    <t>Фотоаппарат NIKON coolpix S3300 , карта памяти, фоточехол</t>
  </si>
  <si>
    <t xml:space="preserve">2.10134159                    </t>
  </si>
  <si>
    <t>Радиосистема передачи извещений тревожной сигнализации</t>
  </si>
  <si>
    <t>Копировальный  аппарат</t>
  </si>
  <si>
    <t>Машинка швейная</t>
  </si>
  <si>
    <t>Оргтехника в полн. компл-и</t>
  </si>
  <si>
    <t xml:space="preserve">1,101040102                   </t>
  </si>
  <si>
    <t xml:space="preserve">1,101040101                   </t>
  </si>
  <si>
    <t xml:space="preserve">1,10134137                    </t>
  </si>
  <si>
    <t xml:space="preserve">1,10134138                    </t>
  </si>
  <si>
    <t>Телевизор-21  JVC</t>
  </si>
  <si>
    <t xml:space="preserve">1,10104136                    </t>
  </si>
  <si>
    <t xml:space="preserve">1,10104027                    </t>
  </si>
  <si>
    <t>Холодильник INDESIT 167</t>
  </si>
  <si>
    <t xml:space="preserve">1.10134243                    </t>
  </si>
  <si>
    <t>Принтер HP LaserJetPro P1 102 (наказ.избират.)</t>
  </si>
  <si>
    <t xml:space="preserve">1.10134081                    </t>
  </si>
  <si>
    <t>МФУ BROTHER DCP-7057R(мнофункц. устройство)-наказ.избират.</t>
  </si>
  <si>
    <t xml:space="preserve">1.10134082                    </t>
  </si>
  <si>
    <t>Проектор BENG MS 502 (наказ.избират.)</t>
  </si>
  <si>
    <t xml:space="preserve">1.10134083                    </t>
  </si>
  <si>
    <t>КП в сборе-сист.блок IRU Corp, монитор ЖК  VIEWSONIC VA1911A-LED(наказ.избират.)</t>
  </si>
  <si>
    <t xml:space="preserve">1.10134084                    </t>
  </si>
  <si>
    <t xml:space="preserve">1.10134085                    </t>
  </si>
  <si>
    <t>Униве-ая платф-ма для перемещ-я,хран-ия и подзаряд. моб-х.компьют.пед-га и об-ся</t>
  </si>
  <si>
    <t>Микроскоп цифр.тип2 Levenhuk 2L NG+цифр.камера к микроск-м</t>
  </si>
  <si>
    <t>Компьютер моб. пед-га с предустан-ми многопользоват-й операц.системой</t>
  </si>
  <si>
    <t xml:space="preserve">Компьютер моб. обуч-ся с предустанов-ми многопольз-й операц-ой системой,пакетом </t>
  </si>
  <si>
    <t xml:space="preserve">4.10134117                    </t>
  </si>
  <si>
    <t xml:space="preserve">4.10134118                    </t>
  </si>
  <si>
    <t xml:space="preserve">4.10134119                    </t>
  </si>
  <si>
    <t>Документ-камера  Epson ELP-DC11</t>
  </si>
  <si>
    <t xml:space="preserve">4.10134122                    </t>
  </si>
  <si>
    <t>МФУ Brother MFC-7860DWR</t>
  </si>
  <si>
    <t xml:space="preserve">4.10134123                    </t>
  </si>
  <si>
    <t>Комплект цифр-го измер-го оборуд-ия для провед-ия экспериментов (для педагога )</t>
  </si>
  <si>
    <t xml:space="preserve">4.10134124                    </t>
  </si>
  <si>
    <t>Комплект для создан-ия и редактир-ия анимацио-х мультфильмов Zu3DAnimationKit</t>
  </si>
  <si>
    <t xml:space="preserve">4.10134126                    </t>
  </si>
  <si>
    <t xml:space="preserve">4.10134128                    </t>
  </si>
  <si>
    <t xml:space="preserve">4.10134129                    </t>
  </si>
  <si>
    <t xml:space="preserve">4.10134130                    </t>
  </si>
  <si>
    <t>Комплект цифр-го измеритель-го оборуд-я для провед-я экспериментов( для обуч-ся)</t>
  </si>
  <si>
    <t xml:space="preserve">4.10134131                    </t>
  </si>
  <si>
    <t xml:space="preserve">4.10134132                    </t>
  </si>
  <si>
    <t xml:space="preserve">4.10134134                    </t>
  </si>
  <si>
    <t xml:space="preserve">4.10134135                    </t>
  </si>
  <si>
    <t>Видеокамера цифр-я Sony HDR-CX220E</t>
  </si>
  <si>
    <t xml:space="preserve">4.10134136                    </t>
  </si>
  <si>
    <t>Фотоаппарат цифровой CANONPowerShotA2500 карта памяти</t>
  </si>
  <si>
    <t xml:space="preserve">4.10134138                    </t>
  </si>
  <si>
    <t>Комплект по началам констру-я и робототехнике в нач. школе</t>
  </si>
  <si>
    <t xml:space="preserve">4.10134139                    </t>
  </si>
  <si>
    <t xml:space="preserve">4.10134140                    </t>
  </si>
  <si>
    <t>Микроскоп цифровой тип 1 Levenhuk D50L NG</t>
  </si>
  <si>
    <t xml:space="preserve">4.10134141                    </t>
  </si>
  <si>
    <t>Комплекс аппаратно-программных средств Lenovo C5070 c гибридным енергообеспечени</t>
  </si>
  <si>
    <t xml:space="preserve">4.101340001                   </t>
  </si>
  <si>
    <t>Мультимедийный проектор Epson EB-X 20</t>
  </si>
  <si>
    <t xml:space="preserve">Комплект коммутации большой сборный ККБ </t>
  </si>
  <si>
    <t xml:space="preserve">Верстак </t>
  </si>
  <si>
    <t xml:space="preserve">1.10104036                    </t>
  </si>
  <si>
    <t>Станок кругл.</t>
  </si>
  <si>
    <t>Станок по дереву</t>
  </si>
  <si>
    <t>Станок по металлу</t>
  </si>
  <si>
    <t>Станок сверлильный</t>
  </si>
  <si>
    <t>Станок фуговальный</t>
  </si>
  <si>
    <t>Эл. точило</t>
  </si>
  <si>
    <t xml:space="preserve">1.10104042                    </t>
  </si>
  <si>
    <t xml:space="preserve">1.10104043                    </t>
  </si>
  <si>
    <t xml:space="preserve">1,10106116                    </t>
  </si>
  <si>
    <t>Ель новогодняя</t>
  </si>
  <si>
    <t xml:space="preserve">1.10106153                    </t>
  </si>
  <si>
    <t>Шкаф секцион.</t>
  </si>
  <si>
    <t xml:space="preserve">1,10106107                    </t>
  </si>
  <si>
    <t>Метал.Мебель ПРАКТИК МД 1 1657 шкаф мед.стекл.2 дв 570*320*1716</t>
  </si>
  <si>
    <t>Метал.Мебель Rm Стол медицинский 2-х полочный 600х460х880</t>
  </si>
  <si>
    <t xml:space="preserve">Конь спорт.-1, </t>
  </si>
  <si>
    <t xml:space="preserve">Козёл спорт.-1, </t>
  </si>
  <si>
    <t>К-т для дем.опытов по химии</t>
  </si>
  <si>
    <t xml:space="preserve">1,10109003                    </t>
  </si>
  <si>
    <t>Интеракт. доска DualBoard 1279M(Фед. б-т.1-й класс)</t>
  </si>
  <si>
    <t xml:space="preserve">1.10134171                    </t>
  </si>
  <si>
    <t>Интерактивная доска</t>
  </si>
  <si>
    <t xml:space="preserve">1.101041002                   </t>
  </si>
  <si>
    <t>Каб. русск. яз.(экран,мон-р,плеер,тел-р,с.блок,пр-р,инт.доска)</t>
  </si>
  <si>
    <t>Автобус ПАЗ - 320538-70 (Р.знак Т 115 АН 50)</t>
  </si>
  <si>
    <t xml:space="preserve">4.10125026                    </t>
  </si>
  <si>
    <t>Лестница - стремянка 3-х секц.</t>
  </si>
  <si>
    <t xml:space="preserve">1,10106163                    </t>
  </si>
  <si>
    <t>Мясорубка электр.</t>
  </si>
  <si>
    <t xml:space="preserve">1,10106212                    </t>
  </si>
  <si>
    <t>Плита пром-я ПЭМ-4 м  4-х/комф. с жар. шк.</t>
  </si>
  <si>
    <t xml:space="preserve">1,10106233                    </t>
  </si>
  <si>
    <t>Ель интерьерная-3,5 м (хвоя-плёнка)</t>
  </si>
  <si>
    <t xml:space="preserve">1,10106252                    </t>
  </si>
  <si>
    <t>Библиотечный фонд-литература</t>
  </si>
  <si>
    <t>Учебники 2014г. поступления</t>
  </si>
  <si>
    <t>Учебники 2015 г. поступления</t>
  </si>
  <si>
    <t>Учебное пособие для каб. рус. яз.</t>
  </si>
  <si>
    <t xml:space="preserve">1,10107004                    </t>
  </si>
  <si>
    <t xml:space="preserve">2.10134185                    </t>
  </si>
  <si>
    <t>Фотоаппарат Fujifjim FinePix SL 300 , карта памяти</t>
  </si>
  <si>
    <t xml:space="preserve">2.10134158                    </t>
  </si>
  <si>
    <t>DVD  "Акай"</t>
  </si>
  <si>
    <t xml:space="preserve">1,10104114                    </t>
  </si>
  <si>
    <t xml:space="preserve">1.10104144                    </t>
  </si>
  <si>
    <t>Телевизор "Вестел-2113"</t>
  </si>
  <si>
    <t>Телевизор "Астра-21"</t>
  </si>
  <si>
    <t>Видеокамера (подарок)</t>
  </si>
  <si>
    <t xml:space="preserve">1,101040047                   </t>
  </si>
  <si>
    <t xml:space="preserve">1,10104036                    </t>
  </si>
  <si>
    <t>Док.-камера Ken-a-vision 7880 Auto Focus Vision Viewer с прогр.обесп-м(Фед.б-т.1-й класс)</t>
  </si>
  <si>
    <t xml:space="preserve">1.10134181                    </t>
  </si>
  <si>
    <t>Копиров. ап-т "Canon"</t>
  </si>
  <si>
    <t>Котёл "Ariston"</t>
  </si>
  <si>
    <t>Культиватор</t>
  </si>
  <si>
    <t>Микроскоп цифров. Кепа Т-1050(Фед.б-т.1-й класс)</t>
  </si>
  <si>
    <t xml:space="preserve">1.10134178                    </t>
  </si>
  <si>
    <t xml:space="preserve">1.10134179                    </t>
  </si>
  <si>
    <t xml:space="preserve">1.10134180                    </t>
  </si>
  <si>
    <t>Микроскоп цифровой Bresser с компл.(Фед. б-т.1-й класс)</t>
  </si>
  <si>
    <t xml:space="preserve">1.10134155                    </t>
  </si>
  <si>
    <t xml:space="preserve">1.10134156                    </t>
  </si>
  <si>
    <t>Модул.система экспер-в на базе цифр. технологий Proloq (Фед.б-т.1-й класс)</t>
  </si>
  <si>
    <t xml:space="preserve">1.10134175                    </t>
  </si>
  <si>
    <t xml:space="preserve">1.10134176                    </t>
  </si>
  <si>
    <t xml:space="preserve">1.10134177                    </t>
  </si>
  <si>
    <t>Мультимедиапроектор ACER- Х 110 P DLP  Proector {800*600см(Фед. б-т.1-й класс)</t>
  </si>
  <si>
    <t xml:space="preserve">1.10134157                    </t>
  </si>
  <si>
    <t>Нетбук 10,1"НП(Самсунг),встр.камера(Фед. б-т.1-й класс)</t>
  </si>
  <si>
    <t xml:space="preserve">1.10104150                    </t>
  </si>
  <si>
    <t xml:space="preserve">1.10104151                    </t>
  </si>
  <si>
    <t xml:space="preserve">1.10104152                    </t>
  </si>
  <si>
    <t>Нетбук RoverBook NEO570 10.1(Фед.б-т.1-й класс)</t>
  </si>
  <si>
    <t xml:space="preserve">1.10134167                    </t>
  </si>
  <si>
    <t xml:space="preserve">1.10134168                    </t>
  </si>
  <si>
    <t xml:space="preserve">1.10134169                    </t>
  </si>
  <si>
    <t xml:space="preserve">1.10134170                    </t>
  </si>
  <si>
    <t>Ноутбук Acer Travel Mate 15.6"(Фед. б-т,1-й класс)</t>
  </si>
  <si>
    <t xml:space="preserve">1.10134166                    </t>
  </si>
  <si>
    <t>Плуг</t>
  </si>
  <si>
    <t xml:space="preserve">1,10104111                    </t>
  </si>
  <si>
    <t>Проектор мультимед. Epson EB-X02 (Фед.б-т.1-й класс)</t>
  </si>
  <si>
    <t xml:space="preserve">1.10134172                    </t>
  </si>
  <si>
    <t>Проектор Мультимедийный</t>
  </si>
  <si>
    <t>Сист. контроля и монитор.качества знаний-на 15 пульт.(Фед.б-т.1-й класс)</t>
  </si>
  <si>
    <t xml:space="preserve">1.10134174                    </t>
  </si>
  <si>
    <t>Системный блок библиот.</t>
  </si>
  <si>
    <t xml:space="preserve">1,101040009                   </t>
  </si>
  <si>
    <t>Стир. маш. авт. " Zanussi "</t>
  </si>
  <si>
    <t>Телевизор "Rolsen"</t>
  </si>
  <si>
    <t>Устр-во беспров. орган-и сети(Фед. б-т.1-й класс)</t>
  </si>
  <si>
    <t xml:space="preserve">1.10134183                    </t>
  </si>
  <si>
    <t>Фотоаппарат цифр. "Panasonic"</t>
  </si>
  <si>
    <t xml:space="preserve">1,10104142                    </t>
  </si>
  <si>
    <t xml:space="preserve">1,10104037                    </t>
  </si>
  <si>
    <t>Холодильник "Саратов" -медиц. кабинет</t>
  </si>
  <si>
    <t xml:space="preserve">1,10104115                    </t>
  </si>
  <si>
    <t>Холодильник  "Снайге RF 315 А "</t>
  </si>
  <si>
    <t xml:space="preserve">1,101040112                   </t>
  </si>
  <si>
    <t>Цифров. аппарат Phaser 3 100MFPV_S+компл.(Фед.б-т.1-й класс)</t>
  </si>
  <si>
    <t xml:space="preserve">1.10134173                    </t>
  </si>
  <si>
    <t>Шкаф жарочный</t>
  </si>
  <si>
    <t>Экран "Proiecta " 145* 145,80,7"(Фед.б-т.1-й класс)</t>
  </si>
  <si>
    <t xml:space="preserve">1.10134165                    </t>
  </si>
  <si>
    <t>Принтер HP 8100, струйный</t>
  </si>
  <si>
    <t xml:space="preserve">4101340008                    </t>
  </si>
  <si>
    <t>МФУ  KYOCERA FS -1025MFP</t>
  </si>
  <si>
    <t xml:space="preserve">4101340007                    </t>
  </si>
  <si>
    <t>Компьютер в сборе (АРМ) - мон-р 23 Dtll, с.блок Pentium3240, ж. дискWD Mu Uitra</t>
  </si>
  <si>
    <t>Мультимедийный проектор Aser X113</t>
  </si>
  <si>
    <t>Экран Lumien Eco View, 150*150 см</t>
  </si>
  <si>
    <t>Ноутбук 15.6 Aser</t>
  </si>
  <si>
    <t>Проектор мультимед. Acer X 112 (кабель 10м)</t>
  </si>
  <si>
    <t xml:space="preserve">4.10134184                    </t>
  </si>
  <si>
    <t>Мотокоса Husgvarna 323R</t>
  </si>
  <si>
    <t xml:space="preserve">1.10134383                    </t>
  </si>
  <si>
    <t>DVD " Хундай - 5004 "</t>
  </si>
  <si>
    <t xml:space="preserve">1,101041102                   </t>
  </si>
  <si>
    <t>Компьютер в сборе "Провиех"</t>
  </si>
  <si>
    <t xml:space="preserve">1.101040025                   </t>
  </si>
  <si>
    <t>Телевизор "Полар - 5072"</t>
  </si>
  <si>
    <t xml:space="preserve">1,101041101                   </t>
  </si>
  <si>
    <t>Операц.сист.(монитор,сист.блок)</t>
  </si>
  <si>
    <t>Проектор  Мультимедийный</t>
  </si>
  <si>
    <t xml:space="preserve">1,101041003                   </t>
  </si>
  <si>
    <t xml:space="preserve">1,10104043                    </t>
  </si>
  <si>
    <t>Принтер лазер. МФУ "Самсунг"</t>
  </si>
  <si>
    <t>Системный блок уч.</t>
  </si>
  <si>
    <t xml:space="preserve">1,101040008                   </t>
  </si>
  <si>
    <t xml:space="preserve">Станок сверл. </t>
  </si>
  <si>
    <t>Станок токар. по мет.</t>
  </si>
  <si>
    <t>Станок фуговал.</t>
  </si>
  <si>
    <t>Абонент. терминал Гранит-навигатор 2.08 (GPS \ ГЛОНАСС) с SIM-картой</t>
  </si>
  <si>
    <t xml:space="preserve">1,10134126                    </t>
  </si>
  <si>
    <t>Бензо-триммер (косилка)</t>
  </si>
  <si>
    <t xml:space="preserve">1,10106211                    </t>
  </si>
  <si>
    <t xml:space="preserve">Доска классная </t>
  </si>
  <si>
    <t xml:space="preserve">1.10106130                    </t>
  </si>
  <si>
    <t>Кресло "Пилот"</t>
  </si>
  <si>
    <t xml:space="preserve">Моечная   </t>
  </si>
  <si>
    <t xml:space="preserve">1.10106133                    </t>
  </si>
  <si>
    <t>Стенка</t>
  </si>
  <si>
    <t xml:space="preserve">010106138                     </t>
  </si>
  <si>
    <t>Стол произв. раздел., нержав. столеш.+ краш. м/к (600*600*870см)-по нак.изб.</t>
  </si>
  <si>
    <t xml:space="preserve">1.10136256                    </t>
  </si>
  <si>
    <t>Стол произв.раздел., нержав.столеш.+краш.м/к (1500*600*870см)-по нак.изб.</t>
  </si>
  <si>
    <t>Стол процедурн. (две нержав. полки+колёса)-по нак.изб.</t>
  </si>
  <si>
    <t xml:space="preserve">1.10136257                    </t>
  </si>
  <si>
    <t>Шкафы</t>
  </si>
  <si>
    <t xml:space="preserve">1.10136254                    </t>
  </si>
  <si>
    <t xml:space="preserve">1.10136255                    </t>
  </si>
  <si>
    <t xml:space="preserve">1.10106131                    </t>
  </si>
  <si>
    <t xml:space="preserve">1.10106134                    </t>
  </si>
  <si>
    <t>Весы  МТ 15 В1ДА-8/НК "ГАСТРОНОМ"</t>
  </si>
  <si>
    <t>Холодильник "Саратов-451"</t>
  </si>
  <si>
    <t xml:space="preserve">4.10136258                    </t>
  </si>
  <si>
    <t>Витрина выставочная (музей)</t>
  </si>
  <si>
    <t xml:space="preserve">1.10136384                    </t>
  </si>
  <si>
    <t xml:space="preserve">1.10136385                    </t>
  </si>
  <si>
    <t xml:space="preserve">1.10136386                    </t>
  </si>
  <si>
    <t xml:space="preserve">1.10136387                    </t>
  </si>
  <si>
    <t>Шкаф метал-ий ШМ -01-МСК (мед.каб-т)</t>
  </si>
  <si>
    <t xml:space="preserve">110136188                     </t>
  </si>
  <si>
    <t>Козёл  спортивный</t>
  </si>
  <si>
    <t xml:space="preserve">1,10106135                    </t>
  </si>
  <si>
    <t>Сетка минифутбольная</t>
  </si>
  <si>
    <t xml:space="preserve">1,10106223                    </t>
  </si>
  <si>
    <t>Каб-т русск. языка (DVD, Аудиокнига)</t>
  </si>
  <si>
    <t xml:space="preserve">1,10109006                    </t>
  </si>
  <si>
    <t xml:space="preserve">410113001                     </t>
  </si>
  <si>
    <t xml:space="preserve">4101240012                    </t>
  </si>
  <si>
    <t xml:space="preserve">1.10104193                    </t>
  </si>
  <si>
    <t xml:space="preserve">1.10104196                    </t>
  </si>
  <si>
    <t>Програмное обеспечение</t>
  </si>
  <si>
    <t xml:space="preserve">1.10104195                    </t>
  </si>
  <si>
    <t>Проектор мультимедийный</t>
  </si>
  <si>
    <t xml:space="preserve">1.10104194                    </t>
  </si>
  <si>
    <t>Доска интерактивная многопольз. с настен. креплением</t>
  </si>
  <si>
    <t xml:space="preserve">4.10124255                    </t>
  </si>
  <si>
    <t>Проектор мультимедиа с комплектом видеокоммутации и крепежа Epson EB-X18</t>
  </si>
  <si>
    <t xml:space="preserve">4.10124256                    </t>
  </si>
  <si>
    <t>Система оперативного контроля знаний (СОКЗ) со спец. прогр.обесп-м</t>
  </si>
  <si>
    <t xml:space="preserve">4.10124259                    </t>
  </si>
  <si>
    <t>Интерактивная доска Interwrite 1279</t>
  </si>
  <si>
    <t xml:space="preserve">4101240010                    </t>
  </si>
  <si>
    <t>Учебная литература 2014г поступления</t>
  </si>
  <si>
    <t>Учебная литература -2015 года</t>
  </si>
  <si>
    <t xml:space="preserve">4101270001                    </t>
  </si>
  <si>
    <t xml:space="preserve">2.10134274                    </t>
  </si>
  <si>
    <t xml:space="preserve">2.10134155                    </t>
  </si>
  <si>
    <t xml:space="preserve">1,10104189                    </t>
  </si>
  <si>
    <t>Мотокультиватор</t>
  </si>
  <si>
    <t xml:space="preserve">1,10104190                    </t>
  </si>
  <si>
    <t>Видеомагнитифон</t>
  </si>
  <si>
    <t xml:space="preserve">1,10104097                    </t>
  </si>
  <si>
    <t xml:space="preserve">1,10104080                    </t>
  </si>
  <si>
    <t xml:space="preserve">1,10104079                    </t>
  </si>
  <si>
    <t xml:space="preserve">1,10104073                    </t>
  </si>
  <si>
    <t xml:space="preserve">1,10104072                    </t>
  </si>
  <si>
    <t>Много/функц-е устройство Canon i SENSYS</t>
  </si>
  <si>
    <t xml:space="preserve">1.10104202                    </t>
  </si>
  <si>
    <t>Много/функц-е устройство Canon Pixma MP-180</t>
  </si>
  <si>
    <t xml:space="preserve">1.10104201                    </t>
  </si>
  <si>
    <t xml:space="preserve">1,10104104                    </t>
  </si>
  <si>
    <t xml:space="preserve">1,101040100                   </t>
  </si>
  <si>
    <t>Оргтехника в полн. комл-и</t>
  </si>
  <si>
    <t xml:space="preserve">1,101040103                   </t>
  </si>
  <si>
    <t>Принтер  HP LaserJet 1005</t>
  </si>
  <si>
    <t xml:space="preserve">1.10104206                    </t>
  </si>
  <si>
    <t>Проектор  мультимед-й</t>
  </si>
  <si>
    <t xml:space="preserve">1.10104205                    </t>
  </si>
  <si>
    <t>Телевизор   "Витязь"</t>
  </si>
  <si>
    <t xml:space="preserve">1,10104070                    </t>
  </si>
  <si>
    <t>Телевизор  "LG- 3780,21 " ( 54 см.)</t>
  </si>
  <si>
    <t xml:space="preserve">1,10104100                    </t>
  </si>
  <si>
    <t>Телевизор  21 JVC</t>
  </si>
  <si>
    <t xml:space="preserve">1,10104102                    </t>
  </si>
  <si>
    <t>Телевизор "Самсунг"</t>
  </si>
  <si>
    <t xml:space="preserve">1,101040094                   </t>
  </si>
  <si>
    <t>Светофор трансп-ый 3-х секцион.,светодиодный. ГОСТ Р 52289-2004</t>
  </si>
  <si>
    <t xml:space="preserve">4.10134160                    </t>
  </si>
  <si>
    <t>Универс. платформа д/перем-я,хранения и подзарядки моб. ПК педагога и обуч-ся</t>
  </si>
  <si>
    <t xml:space="preserve">4.101334236                   </t>
  </si>
  <si>
    <t>Микроскоп цифр. тип 2 Levenhuk 2l NG+цифр. камера к микроскопам</t>
  </si>
  <si>
    <t xml:space="preserve">4.10134237                    </t>
  </si>
  <si>
    <t xml:space="preserve">4.10134238                    </t>
  </si>
  <si>
    <t xml:space="preserve">4.10134239                    </t>
  </si>
  <si>
    <t xml:space="preserve">4.10134240                    </t>
  </si>
  <si>
    <t>Компьютер моб. педагога с опер. системой, пакетом прогр.обеспечения</t>
  </si>
  <si>
    <t xml:space="preserve">4.10134241                    </t>
  </si>
  <si>
    <t>Компьютер моб. ученика с опер. системой, пакетом прогр.обеспечения</t>
  </si>
  <si>
    <t xml:space="preserve">4.10134242                    </t>
  </si>
  <si>
    <t xml:space="preserve">4.10134243                    </t>
  </si>
  <si>
    <t xml:space="preserve">4.10134244                    </t>
  </si>
  <si>
    <t xml:space="preserve">4.10134245                    </t>
  </si>
  <si>
    <t xml:space="preserve">4.10134246                    </t>
  </si>
  <si>
    <t xml:space="preserve">4.10134247                    </t>
  </si>
  <si>
    <t xml:space="preserve">4.10134248                    </t>
  </si>
  <si>
    <t xml:space="preserve">4.10134249                    </t>
  </si>
  <si>
    <t xml:space="preserve">4.10134250                    </t>
  </si>
  <si>
    <t xml:space="preserve">4.10134251                    </t>
  </si>
  <si>
    <t xml:space="preserve">4.10134252                    </t>
  </si>
  <si>
    <t xml:space="preserve">4.10134253                    </t>
  </si>
  <si>
    <t xml:space="preserve">4.10134254                    </t>
  </si>
  <si>
    <t>Документ-камера Epson ELP-DS11</t>
  </si>
  <si>
    <t xml:space="preserve">4.10134257                    </t>
  </si>
  <si>
    <t>Многофункц-е устройство (копир) BrotherMFC-7860DWR.Картриджи-2шт.</t>
  </si>
  <si>
    <t xml:space="preserve">4.10134258                    </t>
  </si>
  <si>
    <t>Комплект цифр. измерит. оборудования д/провед-я экспериментов (педагога)</t>
  </si>
  <si>
    <t xml:space="preserve">4.10134260                    </t>
  </si>
  <si>
    <t>Комплект цифр. измерит. оборудования д/провед-я экспериментов (ученика)</t>
  </si>
  <si>
    <t xml:space="preserve">4.10134261                    </t>
  </si>
  <si>
    <t xml:space="preserve">4.10134262                    </t>
  </si>
  <si>
    <t xml:space="preserve">4.10134263                    </t>
  </si>
  <si>
    <t xml:space="preserve">4.10134264                    </t>
  </si>
  <si>
    <t>Комплект д/создания и редакт-я анимационных мультфильмов</t>
  </si>
  <si>
    <t xml:space="preserve">4.10134265                    </t>
  </si>
  <si>
    <t xml:space="preserve">4.10134266                    </t>
  </si>
  <si>
    <t xml:space="preserve">4.10134267                    </t>
  </si>
  <si>
    <t xml:space="preserve">4.10134268                    </t>
  </si>
  <si>
    <t>Видео камера цифровая Sony HDR -CX220E.Карта памяти, штатив.</t>
  </si>
  <si>
    <t xml:space="preserve">4.10134269                    </t>
  </si>
  <si>
    <t>Фотоаппарат цифровой CАNON PowerShot A2500 ,карта памяти</t>
  </si>
  <si>
    <t xml:space="preserve">4.10134270                    </t>
  </si>
  <si>
    <t>Комплект по началам конструир-я и робототехники в нач. школе (Робот Лего)</t>
  </si>
  <si>
    <t xml:space="preserve">4.10134271                    </t>
  </si>
  <si>
    <t xml:space="preserve">4.10134272                    </t>
  </si>
  <si>
    <t>Микроскоп цифр. тип 1 Levenhuk D50L NG</t>
  </si>
  <si>
    <t xml:space="preserve">4.10134273                    </t>
  </si>
  <si>
    <t xml:space="preserve">Компьютер </t>
  </si>
  <si>
    <t>Компьютер в сборе</t>
  </si>
  <si>
    <t xml:space="preserve">Комплекс аппаратно - программных средств Lenoro G5070 15.6 </t>
  </si>
  <si>
    <t>Мультимедийный проектор Epson EB-X20</t>
  </si>
  <si>
    <t xml:space="preserve">4101340009                    </t>
  </si>
  <si>
    <t>Комплект коммутации большой сборной ККБ</t>
  </si>
  <si>
    <t xml:space="preserve">4101340011                    </t>
  </si>
  <si>
    <t>Холодильник NORD 403  (мед.каб-т)</t>
  </si>
  <si>
    <t>Маршрутизатор wifi</t>
  </si>
  <si>
    <t xml:space="preserve">4101340012                    </t>
  </si>
  <si>
    <t xml:space="preserve">Компьютер в сборе </t>
  </si>
  <si>
    <t>Ноутбук Lenovo</t>
  </si>
  <si>
    <t>МФУ  HP LaserJet</t>
  </si>
  <si>
    <t>Принтер  HP LaserJet</t>
  </si>
  <si>
    <t xml:space="preserve">1,10104192                    </t>
  </si>
  <si>
    <t xml:space="preserve">1,10104095                    </t>
  </si>
  <si>
    <t xml:space="preserve">1,101040206                   </t>
  </si>
  <si>
    <t>Трактор Беларусь (Р.знак 50 МВ 8400)</t>
  </si>
  <si>
    <t>Набор инструментов ( ключ- трещётка)</t>
  </si>
  <si>
    <t xml:space="preserve">1,10106121                    </t>
  </si>
  <si>
    <t>Угло-шлифов. машинка, 2.1 КВт.</t>
  </si>
  <si>
    <t>Ёлка искусственная</t>
  </si>
  <si>
    <t>Костюм Д. Мороза</t>
  </si>
  <si>
    <t>Шкаф вытяжной дем. ДС</t>
  </si>
  <si>
    <t xml:space="preserve">1.10136241                    </t>
  </si>
  <si>
    <t>Стол дем. хим. ДС</t>
  </si>
  <si>
    <t xml:space="preserve">1.10136242                    </t>
  </si>
  <si>
    <t xml:space="preserve">1.10106132                    </t>
  </si>
  <si>
    <t>Доска классная ДН-32М (наказ. избират.)</t>
  </si>
  <si>
    <t xml:space="preserve">4.101360012                   </t>
  </si>
  <si>
    <t xml:space="preserve">4.101360013                   </t>
  </si>
  <si>
    <t>Доска классная ДН-31М (наказ. избират.)</t>
  </si>
  <si>
    <t xml:space="preserve">4.101360015                   </t>
  </si>
  <si>
    <t>Велосипед STELS Pilot 310</t>
  </si>
  <si>
    <t xml:space="preserve">4.10136172                    </t>
  </si>
  <si>
    <t>велосипед STELS Pilot 310</t>
  </si>
  <si>
    <t xml:space="preserve">4.10136173                    </t>
  </si>
  <si>
    <t xml:space="preserve">Стол  разделочный </t>
  </si>
  <si>
    <t xml:space="preserve">4.10136152                    </t>
  </si>
  <si>
    <t xml:space="preserve">4.10136157                    </t>
  </si>
  <si>
    <t xml:space="preserve">4.10136159                    </t>
  </si>
  <si>
    <t>Весы медиц-е ВМЭН-150 (мед.каб-т)</t>
  </si>
  <si>
    <t>Мяч волейб.</t>
  </si>
  <si>
    <t>Палатка 2-х/местная</t>
  </si>
  <si>
    <t xml:space="preserve">1,10106127                    </t>
  </si>
  <si>
    <t>Палатка 4-х /местная</t>
  </si>
  <si>
    <t>Стол разделочный без борта 1200*600*870</t>
  </si>
  <si>
    <t>Экран на штативе (125/125 см.)</t>
  </si>
  <si>
    <t xml:space="preserve">1,10109014                    </t>
  </si>
  <si>
    <t>Н-р лабар."Электр-во" с 8 по 11 кл.</t>
  </si>
  <si>
    <t xml:space="preserve">1.10109009                    </t>
  </si>
  <si>
    <t xml:space="preserve">1.10109010                    </t>
  </si>
  <si>
    <t xml:space="preserve">1.10109011                    </t>
  </si>
  <si>
    <t xml:space="preserve">1.10109012                    </t>
  </si>
  <si>
    <t xml:space="preserve">1.10109013                    </t>
  </si>
  <si>
    <t xml:space="preserve">4101240015                    </t>
  </si>
  <si>
    <t>Интеракт-й комплект (инт/акт доска, компьютер</t>
  </si>
  <si>
    <t xml:space="preserve">1.10104161                    </t>
  </si>
  <si>
    <t>Каб. истории (сист/блок, мон-р, ист/бесп. пит-я, DVD, плеер, телев. Philips, многоф.к-с "Дид-ка", пр.об.,уч. нагл. пос-я.)</t>
  </si>
  <si>
    <t xml:space="preserve">1.10104175                    </t>
  </si>
  <si>
    <t>Каб. физики (мульт/мед. проек-р,комп-р, экран)</t>
  </si>
  <si>
    <t xml:space="preserve">1.10104174                    </t>
  </si>
  <si>
    <t>Компьютер в сборе /клавиат, мышь, монитор LG/</t>
  </si>
  <si>
    <t xml:space="preserve">1.10104171                    </t>
  </si>
  <si>
    <t xml:space="preserve">1,10104163                    </t>
  </si>
  <si>
    <t>К-т уч.-лаб.об-я д/пр-исслед. д-ти при из-и жив. природы и среды обит-я человека</t>
  </si>
  <si>
    <t xml:space="preserve">4.10124615                    </t>
  </si>
  <si>
    <t xml:space="preserve">4.10124616                    </t>
  </si>
  <si>
    <t xml:space="preserve">4.10124617                    </t>
  </si>
  <si>
    <t>К-т уч.-лаб.об-я д/пр-исслед. д-ти при изучении прост. и сложн. химич.веществ</t>
  </si>
  <si>
    <t xml:space="preserve">4.10124618                    </t>
  </si>
  <si>
    <t xml:space="preserve">4.10124619                    </t>
  </si>
  <si>
    <t xml:space="preserve">4.10124620                    </t>
  </si>
  <si>
    <t>К-т учеб.-лаб.обор-я д/пр-исслед. деят-ти при изуч-и органов чувств человека</t>
  </si>
  <si>
    <t xml:space="preserve">4.10124621                    </t>
  </si>
  <si>
    <t xml:space="preserve">4.10124622                    </t>
  </si>
  <si>
    <t xml:space="preserve">4.10124623                    </t>
  </si>
  <si>
    <t>К-т уч.-лаб.об-я д/пр-исслед. д-ти при из-и природ.и искуст.источн.тепла и света</t>
  </si>
  <si>
    <t xml:space="preserve">4.10124624                    </t>
  </si>
  <si>
    <t xml:space="preserve">4.10124625                    </t>
  </si>
  <si>
    <t xml:space="preserve">4.10124626                    </t>
  </si>
  <si>
    <t>Базовый н-р допол. обор-я,обеспеч. работу компл-в д/пр-исслед. д-ти. Цифр.лаб-я</t>
  </si>
  <si>
    <t xml:space="preserve">4.10124627                    </t>
  </si>
  <si>
    <t xml:space="preserve">4.10124628                    </t>
  </si>
  <si>
    <t xml:space="preserve">4.10124629                    </t>
  </si>
  <si>
    <t>К-т д/ изуч-я конс-я и робототехники LEGO в к-те с набором зад.по физике,энергет</t>
  </si>
  <si>
    <t xml:space="preserve">4.10124630                    </t>
  </si>
  <si>
    <t xml:space="preserve">4.10124631                    </t>
  </si>
  <si>
    <t xml:space="preserve">4.10124632                    </t>
  </si>
  <si>
    <t xml:space="preserve">К-т  изучения програм-я и управления робототехн.комплексами в компл-ции </t>
  </si>
  <si>
    <t xml:space="preserve">4.10124687                    </t>
  </si>
  <si>
    <t>Устройство автомат. воспроизведения 3-х/мерных моделей физ. объектов</t>
  </si>
  <si>
    <t xml:space="preserve">4.10124688                    </t>
  </si>
  <si>
    <t>Устройство автомат. построения 3-х/мерных моделей реальных физ. объектов</t>
  </si>
  <si>
    <t xml:space="preserve">4.10124633                    </t>
  </si>
  <si>
    <t>К-т ср-в орган-и хр-я и дистрибуции элект.контента (тип 1) Азбука на 40 лицензий</t>
  </si>
  <si>
    <t xml:space="preserve">4.10124634                    </t>
  </si>
  <si>
    <t>Доска интеракт-я Interwrite DualBoard 1279 в к-те с инструктив. и метод.материал</t>
  </si>
  <si>
    <t xml:space="preserve">4.10124676                    </t>
  </si>
  <si>
    <t>Сист.опер. контроля знаний Interwrite Numeric IR 32  в к-те с инстр. и метод.мат</t>
  </si>
  <si>
    <t xml:space="preserve">4.10124604                    </t>
  </si>
  <si>
    <t>Демонстр. электр. образ. ресурсы, инстр.и метод. материалы в комп-ции Экз-Медиа</t>
  </si>
  <si>
    <t xml:space="preserve">4.10124606                    </t>
  </si>
  <si>
    <t xml:space="preserve">Электр. образ. ресурсы по учебн. предметам в комп-ции.Новый диск/ 1С </t>
  </si>
  <si>
    <t xml:space="preserve">4.10124607                    </t>
  </si>
  <si>
    <t>Комплект средств орган-и онлайн взаимод-я, эл. поддержки образ. процесса в компл</t>
  </si>
  <si>
    <t xml:space="preserve">4.10124608                    </t>
  </si>
  <si>
    <t>Комплект учеб.-лаб.обор-я д/пректно-исслед. деят-ти при изучении механ.явлений</t>
  </si>
  <si>
    <t xml:space="preserve">4.10124609                    </t>
  </si>
  <si>
    <t xml:space="preserve">4.10124610                    </t>
  </si>
  <si>
    <t xml:space="preserve">4.10124611                    </t>
  </si>
  <si>
    <t>К-т учеб.-лаб.обор-я д/пректно-исслед. деят-ти при изучении экологии человека</t>
  </si>
  <si>
    <t xml:space="preserve">4.10124612                    </t>
  </si>
  <si>
    <t xml:space="preserve">4.10124613                    </t>
  </si>
  <si>
    <t xml:space="preserve">4.10124614                    </t>
  </si>
  <si>
    <t xml:space="preserve">1.10106142                    </t>
  </si>
  <si>
    <t>Учебная литература</t>
  </si>
  <si>
    <t>Учебники (авг.- сент.2013г.)</t>
  </si>
  <si>
    <t>Учебная литература 2014 года поступление</t>
  </si>
  <si>
    <t>Дем. набор "Белый свет"</t>
  </si>
  <si>
    <t xml:space="preserve">1.10109022                    </t>
  </si>
  <si>
    <t>Комплект волновой и геометрической оптики</t>
  </si>
  <si>
    <t xml:space="preserve">1.10109021                    </t>
  </si>
  <si>
    <t xml:space="preserve">2.10134689                    </t>
  </si>
  <si>
    <t xml:space="preserve">2.10134152                    </t>
  </si>
  <si>
    <t xml:space="preserve">1.10104078                    </t>
  </si>
  <si>
    <t>Холодильник 2-х кам."Снайге"</t>
  </si>
  <si>
    <t xml:space="preserve">1.10104159                    </t>
  </si>
  <si>
    <t xml:space="preserve">1.10134271                    </t>
  </si>
  <si>
    <t>Компьютер  в сборе (клав, мышь, монитор LG)</t>
  </si>
  <si>
    <t xml:space="preserve">1.10104172                    </t>
  </si>
  <si>
    <t>Компьютер в сборе (клав., мышь, монитор LG)</t>
  </si>
  <si>
    <t xml:space="preserve">1.10104160                    </t>
  </si>
  <si>
    <t>Компьютер в сборе (клавиат, мышъ, монитор LG)</t>
  </si>
  <si>
    <t xml:space="preserve">1.10104167                    </t>
  </si>
  <si>
    <t xml:space="preserve">1.10104170                    </t>
  </si>
  <si>
    <t xml:space="preserve">1.10104165                    </t>
  </si>
  <si>
    <t xml:space="preserve">1.10104169                    </t>
  </si>
  <si>
    <t xml:space="preserve">1.10104168                    </t>
  </si>
  <si>
    <t xml:space="preserve">1.10104164                    </t>
  </si>
  <si>
    <t>Копировальный аппарат</t>
  </si>
  <si>
    <t xml:space="preserve">1.10104189                    </t>
  </si>
  <si>
    <t xml:space="preserve">1.10104087                    </t>
  </si>
  <si>
    <t xml:space="preserve">1.10104158                    </t>
  </si>
  <si>
    <t xml:space="preserve">1.101040017                   </t>
  </si>
  <si>
    <t xml:space="preserve">1.101040016                   </t>
  </si>
  <si>
    <t xml:space="preserve">1.10104034                    </t>
  </si>
  <si>
    <t>Пианино "Заря" .</t>
  </si>
  <si>
    <t xml:space="preserve">1.10104033                    </t>
  </si>
  <si>
    <t xml:space="preserve">1.10134401                    </t>
  </si>
  <si>
    <t xml:space="preserve">1.101040003                   </t>
  </si>
  <si>
    <t xml:space="preserve">1.10104012                    </t>
  </si>
  <si>
    <t xml:space="preserve">1.101040015                   </t>
  </si>
  <si>
    <t xml:space="preserve">1.10104006                    </t>
  </si>
  <si>
    <t xml:space="preserve">1.10104004                    </t>
  </si>
  <si>
    <t xml:space="preserve">1.10104003                    </t>
  </si>
  <si>
    <t xml:space="preserve">1.10104086                    </t>
  </si>
  <si>
    <t>Станок сверл.</t>
  </si>
  <si>
    <t xml:space="preserve">1.10104053                    </t>
  </si>
  <si>
    <t>Станок ТВ</t>
  </si>
  <si>
    <t>Станок фуговальн.</t>
  </si>
  <si>
    <t xml:space="preserve">1.10104054                    </t>
  </si>
  <si>
    <t xml:space="preserve">1.10104192                    </t>
  </si>
  <si>
    <t xml:space="preserve">1.10104197                    </t>
  </si>
  <si>
    <t xml:space="preserve">1.10104198                    </t>
  </si>
  <si>
    <t xml:space="preserve">1.10104199                    </t>
  </si>
  <si>
    <t xml:space="preserve">1.10104200                    </t>
  </si>
  <si>
    <t>Телевизор  Samsung</t>
  </si>
  <si>
    <t xml:space="preserve">1.10104191                    </t>
  </si>
  <si>
    <t xml:space="preserve">1.10104079                    </t>
  </si>
  <si>
    <t xml:space="preserve">1.10104187                    </t>
  </si>
  <si>
    <t>Ноотбук 15,6 Fujitsu Lifebook АН 502</t>
  </si>
  <si>
    <t xml:space="preserve">4.10134288                    </t>
  </si>
  <si>
    <t xml:space="preserve">4.10134289                    </t>
  </si>
  <si>
    <t>Документ-камера EPSON ELR-DC11</t>
  </si>
  <si>
    <t xml:space="preserve">4.10134680                    </t>
  </si>
  <si>
    <t>Мультимед.проектор EPSON EB-X12 в к-те с лампой и креплением</t>
  </si>
  <si>
    <t xml:space="preserve">4.10134675                    </t>
  </si>
  <si>
    <t>Специализир.управл-я станция USN OEM с гибридным энергообеспечением</t>
  </si>
  <si>
    <t xml:space="preserve">4.10134681                    </t>
  </si>
  <si>
    <t>Монитор  (тип 1) ASUS VВ 198 TL</t>
  </si>
  <si>
    <t xml:space="preserve">4.10134677                    </t>
  </si>
  <si>
    <t>Многофунк-е устройство Xerox WorkCentre 3615 в к-те с зап. картриджем</t>
  </si>
  <si>
    <t xml:space="preserve">4.10134678                    </t>
  </si>
  <si>
    <t>Планшет интеракт. беспроводной Interwrite Mobi 501</t>
  </si>
  <si>
    <t xml:space="preserve">4.10134679                    </t>
  </si>
  <si>
    <t>Электр. уч-метод.материалы и интеракт. пособия д/подготовки к ГИА и ЕГЭ-ФИЗИКОН</t>
  </si>
  <si>
    <t xml:space="preserve">4.10134682                    </t>
  </si>
  <si>
    <t>Сетевое хранилище Seadate STCG3000200</t>
  </si>
  <si>
    <t xml:space="preserve">4.10134683                    </t>
  </si>
  <si>
    <t>Точка доступа  UBIQUITI в компл-и с монтажным комп-м и адаптором питания</t>
  </si>
  <si>
    <t xml:space="preserve">4.10134684                    </t>
  </si>
  <si>
    <t>Специализир.станция графич. обраб-ки и управления с гибридным энергообеспечением</t>
  </si>
  <si>
    <t xml:space="preserve">4.10134685                    </t>
  </si>
  <si>
    <t>Монитор  (тип 2) ASUS VE 228 TLB</t>
  </si>
  <si>
    <t xml:space="preserve">4.10134686                    </t>
  </si>
  <si>
    <t>Мобильный прогр.-технический комплекс Lenovo ThinkPad Edge E531</t>
  </si>
  <si>
    <t xml:space="preserve">4.10134639                    </t>
  </si>
  <si>
    <t xml:space="preserve">4.10134640                    </t>
  </si>
  <si>
    <t xml:space="preserve">4.10134641                    </t>
  </si>
  <si>
    <t xml:space="preserve">4.10134642                    </t>
  </si>
  <si>
    <t xml:space="preserve">4.10134643                    </t>
  </si>
  <si>
    <t xml:space="preserve">4.10134644                    </t>
  </si>
  <si>
    <t xml:space="preserve">4.10134645                    </t>
  </si>
  <si>
    <t xml:space="preserve">4.10134646                    </t>
  </si>
  <si>
    <t xml:space="preserve">4.10134647                    </t>
  </si>
  <si>
    <t xml:space="preserve">4.10134648                    </t>
  </si>
  <si>
    <t xml:space="preserve">4.10134649                    </t>
  </si>
  <si>
    <t xml:space="preserve">4.10134650                    </t>
  </si>
  <si>
    <t xml:space="preserve">4.10134651                    </t>
  </si>
  <si>
    <t xml:space="preserve">4.10134652                    </t>
  </si>
  <si>
    <t xml:space="preserve">4.10134653                    </t>
  </si>
  <si>
    <t xml:space="preserve">4.10134654                    </t>
  </si>
  <si>
    <t xml:space="preserve">4.10134655                    </t>
  </si>
  <si>
    <t xml:space="preserve">4.10134656                    </t>
  </si>
  <si>
    <t xml:space="preserve">4.10134657                    </t>
  </si>
  <si>
    <t xml:space="preserve">4.10134658                    </t>
  </si>
  <si>
    <t xml:space="preserve">4.10134659                    </t>
  </si>
  <si>
    <t xml:space="preserve">4.10134660                    </t>
  </si>
  <si>
    <t xml:space="preserve">4.10134661                    </t>
  </si>
  <si>
    <t xml:space="preserve">4.10134662                    </t>
  </si>
  <si>
    <t xml:space="preserve">4.10134663                    </t>
  </si>
  <si>
    <t xml:space="preserve">4.10134664                    </t>
  </si>
  <si>
    <t>Универс-я платформа д/перем-я,хранения и подзарядки моб.прогр-техн.комплексов</t>
  </si>
  <si>
    <t xml:space="preserve">4.10134635                    </t>
  </si>
  <si>
    <t xml:space="preserve">4.10134636                    </t>
  </si>
  <si>
    <t>Точка доступа  UBIQUITI в компл-и с монтажным комп-м и адаптером питания</t>
  </si>
  <si>
    <t xml:space="preserve">4.10134637                    </t>
  </si>
  <si>
    <t>К-т специализ. програм. обеспечения коллект.и сетевого взаимодвия и управления</t>
  </si>
  <si>
    <t xml:space="preserve">4.10134638                    </t>
  </si>
  <si>
    <t>Планш-й компьютер RAYpad TM105S в комплекте с прогр. пакетом</t>
  </si>
  <si>
    <t xml:space="preserve">4.10134665                    </t>
  </si>
  <si>
    <t xml:space="preserve">4.10134666                    </t>
  </si>
  <si>
    <t xml:space="preserve">4.10134667                    </t>
  </si>
  <si>
    <t xml:space="preserve">4.10134668                    </t>
  </si>
  <si>
    <t xml:space="preserve">4.10134669                    </t>
  </si>
  <si>
    <t xml:space="preserve">4.10134670                    </t>
  </si>
  <si>
    <t xml:space="preserve">4.10134671                    </t>
  </si>
  <si>
    <t xml:space="preserve">4.10134672                    </t>
  </si>
  <si>
    <t xml:space="preserve">4.10134673                    </t>
  </si>
  <si>
    <t xml:space="preserve">4.10134674                    </t>
  </si>
  <si>
    <t xml:space="preserve">4.10134236                    </t>
  </si>
  <si>
    <t>Комплекс аппаратно-программных средств Lenovo g 5070 15/6</t>
  </si>
  <si>
    <t xml:space="preserve">Комплекс аппаратно-программных средств Lenovo G 5070 15.6  </t>
  </si>
  <si>
    <t>Проекционный экран Lumien Eco View 200x200 cм Vattt white</t>
  </si>
  <si>
    <t>Проекционный экран Lumity Eco  View 200x200 см Matte White</t>
  </si>
  <si>
    <t>Комплект коммутации малый сборный ККБ</t>
  </si>
  <si>
    <t xml:space="preserve">4101340010                    </t>
  </si>
  <si>
    <t>Принтер НП LJ PRO P1 102 (Option B 19)</t>
  </si>
  <si>
    <t xml:space="preserve">1.10134311                    </t>
  </si>
  <si>
    <t>Принтер НП LaserJet  Pro P1 102W</t>
  </si>
  <si>
    <t xml:space="preserve">1.10134312                    </t>
  </si>
  <si>
    <t xml:space="preserve">1.101341301                   </t>
  </si>
  <si>
    <t xml:space="preserve">Стол кух. разд. нерж. </t>
  </si>
  <si>
    <t xml:space="preserve">1.10106020                    </t>
  </si>
  <si>
    <t xml:space="preserve">1.10106141                    </t>
  </si>
  <si>
    <t xml:space="preserve">1.10106311                    </t>
  </si>
  <si>
    <t xml:space="preserve">1.10106312                    </t>
  </si>
  <si>
    <t xml:space="preserve">1.10106313                    </t>
  </si>
  <si>
    <t xml:space="preserve">1.10106314                    </t>
  </si>
  <si>
    <t xml:space="preserve">1.10106315                    </t>
  </si>
  <si>
    <t xml:space="preserve">1.10106316                    </t>
  </si>
  <si>
    <t>Доска настенная</t>
  </si>
  <si>
    <t xml:space="preserve">1.10106310                    </t>
  </si>
  <si>
    <t>Костюм  Снегурочки</t>
  </si>
  <si>
    <t xml:space="preserve">1.10106021                    </t>
  </si>
  <si>
    <t>Стол демонстрационный  химический</t>
  </si>
  <si>
    <t xml:space="preserve">1.10106268                    </t>
  </si>
  <si>
    <t>Стол демонстрационный физический</t>
  </si>
  <si>
    <t xml:space="preserve">1.10106317                    </t>
  </si>
  <si>
    <t xml:space="preserve">1.10106019                    </t>
  </si>
  <si>
    <t xml:space="preserve">1.10106267                    </t>
  </si>
  <si>
    <t>Шкаф широкий со стеклом</t>
  </si>
  <si>
    <t xml:space="preserve">1.10106281                    </t>
  </si>
  <si>
    <t xml:space="preserve">1.10106282                    </t>
  </si>
  <si>
    <t xml:space="preserve">1.10106283                    </t>
  </si>
  <si>
    <t>Доска ДН-33М (наказ. избират.)</t>
  </si>
  <si>
    <t xml:space="preserve">4.10136284                    </t>
  </si>
  <si>
    <t>Шкаф "Директор" И (наказ. избират.)</t>
  </si>
  <si>
    <t xml:space="preserve">4.10136285                    </t>
  </si>
  <si>
    <t xml:space="preserve">4.10136286                    </t>
  </si>
  <si>
    <t xml:space="preserve">4.10136287                    </t>
  </si>
  <si>
    <t>Стенд 4500*1000мм</t>
  </si>
  <si>
    <t xml:space="preserve">4.10136317                    </t>
  </si>
  <si>
    <t xml:space="preserve">1.10106140                    </t>
  </si>
  <si>
    <t xml:space="preserve">1.10106139                    </t>
  </si>
  <si>
    <t>Бензиновый триммер Patriot</t>
  </si>
  <si>
    <t xml:space="preserve">410134001                     </t>
  </si>
  <si>
    <t xml:space="preserve">410134002                     </t>
  </si>
  <si>
    <t xml:space="preserve">Шкаф полуоткрытый </t>
  </si>
  <si>
    <t xml:space="preserve">410136003                     </t>
  </si>
  <si>
    <t xml:space="preserve">410136 004                    </t>
  </si>
  <si>
    <t xml:space="preserve">410136005                     </t>
  </si>
  <si>
    <t xml:space="preserve">410136006                     </t>
  </si>
  <si>
    <t>Стиральная машина BOSCK 16164 OE</t>
  </si>
  <si>
    <t>Весы медиц. ВМЭН-150 (мед.каб-т)</t>
  </si>
  <si>
    <t xml:space="preserve">110136280                     </t>
  </si>
  <si>
    <t xml:space="preserve">110136281                     </t>
  </si>
  <si>
    <t xml:space="preserve">1.10106252                    </t>
  </si>
  <si>
    <t>Велотренажёр</t>
  </si>
  <si>
    <t xml:space="preserve">1.10106253                    </t>
  </si>
  <si>
    <t>Палатка 2-х местная</t>
  </si>
  <si>
    <t>Стенка шведская  2,4 м</t>
  </si>
  <si>
    <t xml:space="preserve">1.10106254                    </t>
  </si>
  <si>
    <t xml:space="preserve">1,10106255                    </t>
  </si>
  <si>
    <t xml:space="preserve">1,10106256                    </t>
  </si>
  <si>
    <t xml:space="preserve">1,10106257                    </t>
  </si>
  <si>
    <t>Комплект фолий. Черчение.</t>
  </si>
  <si>
    <t xml:space="preserve">1.10109006                    </t>
  </si>
  <si>
    <t>Теллелурий  (Модель  Солнце-Земля-Луна)</t>
  </si>
  <si>
    <t xml:space="preserve">1.10109023                    </t>
  </si>
  <si>
    <t>Кол-ция:"Натур-е хим-е элементы к табл. Менд."</t>
  </si>
  <si>
    <t xml:space="preserve">1.10109003                    </t>
  </si>
  <si>
    <t xml:space="preserve">410113116                     </t>
  </si>
  <si>
    <t>Проектор мультимедиа с комплектом видеокоммутации и крепежа Epson EB-X16</t>
  </si>
  <si>
    <t xml:space="preserve">410126127                     </t>
  </si>
  <si>
    <t>Система оперативного контроля знаний (СОКЗ)со специал.прогр.обеспеч.</t>
  </si>
  <si>
    <t xml:space="preserve">410124128                     </t>
  </si>
  <si>
    <t>Мясорубка (тип1) МИМ-300М</t>
  </si>
  <si>
    <t xml:space="preserve">410124152                     </t>
  </si>
  <si>
    <t>Плита (тип3)тITEPMA ПКЭ-6ПР-1475/850/860-64</t>
  </si>
  <si>
    <t xml:space="preserve">410124116                     </t>
  </si>
  <si>
    <t>Пароконвектомат (тип2)PIRON G910RXS D в спецкомплектации</t>
  </si>
  <si>
    <t xml:space="preserve">410124117                     </t>
  </si>
  <si>
    <t>Машина посудомоечная (тип1)SILANOS  Е 1000 в спецкомплектации</t>
  </si>
  <si>
    <t xml:space="preserve">410124118                     </t>
  </si>
  <si>
    <t>Автомашина ГАЗ 32213</t>
  </si>
  <si>
    <t xml:space="preserve">1.10105002                    </t>
  </si>
  <si>
    <t xml:space="preserve">410126126                     </t>
  </si>
  <si>
    <t>Библиотека (май 2011г.)</t>
  </si>
  <si>
    <t xml:space="preserve">1,10107005                    </t>
  </si>
  <si>
    <t>Учебники ( август,сентябрь -2012 )</t>
  </si>
  <si>
    <t>Учебники (август,сентябрь м-ц) 2013г.</t>
  </si>
  <si>
    <t>Учебники (август,сентябрь 2012)</t>
  </si>
  <si>
    <t>Учебная литература 2014 г. поступления</t>
  </si>
  <si>
    <t>Учебники (21.04.2015)</t>
  </si>
  <si>
    <t>Учебники ( 15.04.2015)</t>
  </si>
  <si>
    <t xml:space="preserve">2.10134223                    </t>
  </si>
  <si>
    <t>Фотоаппарат CONON PowerShot A3400 IS(карта памяти)</t>
  </si>
  <si>
    <t xml:space="preserve">2,10134110                    </t>
  </si>
  <si>
    <t>П/К  LCD Philips ( в сборе)</t>
  </si>
  <si>
    <t>Видеомагн."Самсунг"</t>
  </si>
  <si>
    <t>Магнитофон  2-х кассетн.</t>
  </si>
  <si>
    <t>Макет с/х машин</t>
  </si>
  <si>
    <t>Морозильник</t>
  </si>
  <si>
    <t xml:space="preserve">1.10104041                    </t>
  </si>
  <si>
    <t>П/К  "Pentium",мон-р"Acer".опер.сис.клавиатура,мышь</t>
  </si>
  <si>
    <t xml:space="preserve">110104108                     </t>
  </si>
  <si>
    <t>Телевизор "DVC"</t>
  </si>
  <si>
    <t xml:space="preserve">1.10104038                    </t>
  </si>
  <si>
    <t>Телевизор "Хендай"</t>
  </si>
  <si>
    <t xml:space="preserve">1.10104039                    </t>
  </si>
  <si>
    <t>Холодильник "Стинол - 345 А"</t>
  </si>
  <si>
    <t>Компьютер в сборе (системный блок,монитор,клавиатура,мышь,адаптер беспроводной )</t>
  </si>
  <si>
    <t>Экран Didis мобильный 180х180</t>
  </si>
  <si>
    <t>Проектор BenQ MW 523</t>
  </si>
  <si>
    <t>Перфоратор Makita hr 2020 SDS + 710 Вт,2реж.,2,2Дж</t>
  </si>
  <si>
    <t xml:space="preserve">410134114                     </t>
  </si>
  <si>
    <t>Документ-камера EpsonELP-DC11</t>
  </si>
  <si>
    <t xml:space="preserve">410134141                     </t>
  </si>
  <si>
    <t>Комплект для создания и редактирования анимационных мультфильмов Zu3DAnimationKi</t>
  </si>
  <si>
    <t xml:space="preserve">410134142                     </t>
  </si>
  <si>
    <t xml:space="preserve">410134144                     </t>
  </si>
  <si>
    <t xml:space="preserve">410134145                     </t>
  </si>
  <si>
    <t>Видеокамера цифровая Sony HOR-CX220E</t>
  </si>
  <si>
    <t xml:space="preserve">410134146                     </t>
  </si>
  <si>
    <t xml:space="preserve">410134147                     </t>
  </si>
  <si>
    <t>К-т по началам конструирования и робототехники в нач.шк.</t>
  </si>
  <si>
    <t xml:space="preserve">410134148                     </t>
  </si>
  <si>
    <t xml:space="preserve">410134149                     </t>
  </si>
  <si>
    <t xml:space="preserve">410134150                     </t>
  </si>
  <si>
    <t>Универ.платформа для перемещ.,хранения и подзарядки моб.компьютер.педагог и обущ</t>
  </si>
  <si>
    <t xml:space="preserve">410134116                     </t>
  </si>
  <si>
    <t xml:space="preserve">Микроскоп цифровой </t>
  </si>
  <si>
    <t xml:space="preserve">410134117                     </t>
  </si>
  <si>
    <t xml:space="preserve">410134118                     </t>
  </si>
  <si>
    <t xml:space="preserve">410134119                     </t>
  </si>
  <si>
    <t xml:space="preserve">410134120                     </t>
  </si>
  <si>
    <t>Компьютер мобильный обучающегося с предустанов.многопольз.операц.системой</t>
  </si>
  <si>
    <t xml:space="preserve">410134121                     </t>
  </si>
  <si>
    <t xml:space="preserve">410134122                     </t>
  </si>
  <si>
    <t xml:space="preserve">410134123                     </t>
  </si>
  <si>
    <t xml:space="preserve">410134124                     </t>
  </si>
  <si>
    <t xml:space="preserve">410134125                     </t>
  </si>
  <si>
    <t xml:space="preserve">410134126                     </t>
  </si>
  <si>
    <t xml:space="preserve">410134127                     </t>
  </si>
  <si>
    <t xml:space="preserve">410134128                     </t>
  </si>
  <si>
    <t xml:space="preserve">410134129                     </t>
  </si>
  <si>
    <t xml:space="preserve">410134130                     </t>
  </si>
  <si>
    <t xml:space="preserve">410134131                     </t>
  </si>
  <si>
    <t xml:space="preserve">410134132                     </t>
  </si>
  <si>
    <t xml:space="preserve">410134133                     </t>
  </si>
  <si>
    <t>Многофункциональное устройство BrotherMFC -7860 DWR</t>
  </si>
  <si>
    <t xml:space="preserve">410134134                     </t>
  </si>
  <si>
    <t>Комплект цифрового измерительного оборудования для проведения экспериментов</t>
  </si>
  <si>
    <t xml:space="preserve">410134135                     </t>
  </si>
  <si>
    <t>Компьютер мобильный педагога с предустановл.операц.системой</t>
  </si>
  <si>
    <t xml:space="preserve">410134136                     </t>
  </si>
  <si>
    <t xml:space="preserve">410134137                     </t>
  </si>
  <si>
    <t xml:space="preserve">410134139                     </t>
  </si>
  <si>
    <t xml:space="preserve">410134140                     </t>
  </si>
  <si>
    <t xml:space="preserve">1.10104032                    </t>
  </si>
  <si>
    <t>Накопительный водонагреватель</t>
  </si>
  <si>
    <t xml:space="preserve">110104107                     </t>
  </si>
  <si>
    <t xml:space="preserve">410134138                     </t>
  </si>
  <si>
    <t>Блок питания</t>
  </si>
  <si>
    <t xml:space="preserve">1.10104028                    </t>
  </si>
  <si>
    <t xml:space="preserve">1.10104015                    </t>
  </si>
  <si>
    <t>Оргтехника в полн.компл-и</t>
  </si>
  <si>
    <t xml:space="preserve">1.101040041                   </t>
  </si>
  <si>
    <t xml:space="preserve">Принтер </t>
  </si>
  <si>
    <t>Проектор мульт-й</t>
  </si>
  <si>
    <t xml:space="preserve">1.101040037                   </t>
  </si>
  <si>
    <t>Сист. блок</t>
  </si>
  <si>
    <t xml:space="preserve">1.10104018                    </t>
  </si>
  <si>
    <t xml:space="preserve">1.101040022                   </t>
  </si>
  <si>
    <t xml:space="preserve">1.101040029                   </t>
  </si>
  <si>
    <t xml:space="preserve">Монитор </t>
  </si>
  <si>
    <t>Телевизор " POLSEN "</t>
  </si>
  <si>
    <t xml:space="preserve">110104105                     </t>
  </si>
  <si>
    <t xml:space="preserve">1.10106179                    </t>
  </si>
  <si>
    <t xml:space="preserve">1.10106222                    </t>
  </si>
  <si>
    <t>Палатка 4-х местная</t>
  </si>
  <si>
    <t xml:space="preserve">1.10106163                    </t>
  </si>
  <si>
    <t>Стол  кух. разд. нерж.</t>
  </si>
  <si>
    <t xml:space="preserve">1.10106160                    </t>
  </si>
  <si>
    <t xml:space="preserve">Шкаф со стеклом- </t>
  </si>
  <si>
    <t xml:space="preserve">1,10106124                    </t>
  </si>
  <si>
    <t>Доска меловая - магнитная зеленая 1200х2400 Board SYS одноэлемент М1-240</t>
  </si>
  <si>
    <t>Стремянка Zalger алюм.трансформер телескоп.4 секции Н=527 см. (311-44)</t>
  </si>
  <si>
    <t>Верстак столярный м.900 ( наказ.избират.2013 года )</t>
  </si>
  <si>
    <t xml:space="preserve">110136120                     </t>
  </si>
  <si>
    <t>Верстак столярный м. 900 ( наказ.избират.2013 года)</t>
  </si>
  <si>
    <t xml:space="preserve">110136121                     </t>
  </si>
  <si>
    <t xml:space="preserve">110136122                     </t>
  </si>
  <si>
    <t>Верстак слесарный м.901 ( наказ.избират.2013 года)</t>
  </si>
  <si>
    <t xml:space="preserve">110136123                     </t>
  </si>
  <si>
    <t>Водонагреватель Ariston  ABC PRO PLUS PW 100 V</t>
  </si>
  <si>
    <t xml:space="preserve">1,10134011                    </t>
  </si>
  <si>
    <t>Контейнер для ТБО</t>
  </si>
  <si>
    <t xml:space="preserve">1,10106125                    </t>
  </si>
  <si>
    <t>Шкаф вытяжной демонстрационный с трубой 1000*690*2000</t>
  </si>
  <si>
    <t xml:space="preserve">Перекладина гимнастическая универсальная </t>
  </si>
  <si>
    <t>Флипчарт на треноге с выдвижной планкой,Комус (доска)</t>
  </si>
  <si>
    <t xml:space="preserve">410136115                     </t>
  </si>
  <si>
    <t>Весы эл. до 30 кг</t>
  </si>
  <si>
    <t xml:space="preserve">1.10106221                    </t>
  </si>
  <si>
    <t>Стол разделочный (тип2) ITERMA CЦ 131-1206</t>
  </si>
  <si>
    <t xml:space="preserve">410136119                     </t>
  </si>
  <si>
    <t xml:space="preserve">410136120                     </t>
  </si>
  <si>
    <t xml:space="preserve">410136121                     </t>
  </si>
  <si>
    <t xml:space="preserve">410136122                     </t>
  </si>
  <si>
    <t xml:space="preserve">410136123                     </t>
  </si>
  <si>
    <t>Универсальная подставка ITERMA G 906/910</t>
  </si>
  <si>
    <t xml:space="preserve">410136124                     </t>
  </si>
  <si>
    <t>Стол обеденный (тип1) арт.997,311</t>
  </si>
  <si>
    <t xml:space="preserve">410136125                     </t>
  </si>
  <si>
    <t xml:space="preserve">410136126                     </t>
  </si>
  <si>
    <t xml:space="preserve">410136127                     </t>
  </si>
  <si>
    <t xml:space="preserve">410136128                     </t>
  </si>
  <si>
    <t xml:space="preserve">410136129                     </t>
  </si>
  <si>
    <t xml:space="preserve">410136130                     </t>
  </si>
  <si>
    <t xml:space="preserve">410136131                     </t>
  </si>
  <si>
    <t xml:space="preserve">410136132                     </t>
  </si>
  <si>
    <t xml:space="preserve">410136133                     </t>
  </si>
  <si>
    <t xml:space="preserve">410136134                     </t>
  </si>
  <si>
    <t xml:space="preserve">410136135                     </t>
  </si>
  <si>
    <t xml:space="preserve">410136136                     </t>
  </si>
  <si>
    <t xml:space="preserve">410136137                     </t>
  </si>
  <si>
    <t xml:space="preserve">410136138                     </t>
  </si>
  <si>
    <t xml:space="preserve">410136139                     </t>
  </si>
  <si>
    <t xml:space="preserve">410136140                     </t>
  </si>
  <si>
    <t xml:space="preserve">410136141                     </t>
  </si>
  <si>
    <t xml:space="preserve">410136142                     </t>
  </si>
  <si>
    <t xml:space="preserve">Стол разделочный </t>
  </si>
  <si>
    <t xml:space="preserve">4.10136112                    </t>
  </si>
  <si>
    <t xml:space="preserve">4.10136113                    </t>
  </si>
  <si>
    <t>триммер STIHL FS -90</t>
  </si>
  <si>
    <t>Табл.:Граммат. русск. языка (Чендулаева)</t>
  </si>
  <si>
    <t xml:space="preserve">1,10104217                    </t>
  </si>
  <si>
    <t>Оборудование компьют.</t>
  </si>
  <si>
    <t xml:space="preserve">1,101040099                   </t>
  </si>
  <si>
    <t>Инт. комплекс /доска ,проектор,мон-р,сист. блок/</t>
  </si>
  <si>
    <t xml:space="preserve">1,10104222                    </t>
  </si>
  <si>
    <t>Лестница- стремянка 3-х секц.</t>
  </si>
  <si>
    <t xml:space="preserve">Учебники 2014 год (август) </t>
  </si>
  <si>
    <t>Учебники 2015г.</t>
  </si>
  <si>
    <t xml:space="preserve">2.10134157                    </t>
  </si>
  <si>
    <t>КП в сборе (прцессор CPU,опер.сист.Home Basic,монитор LG,манип-р,клав.,колонки)- от ИМЦ на юбилей школы</t>
  </si>
  <si>
    <t>Принтер МФУ Canon i-Sensys MF(от ИМЦ на юбилей школы)</t>
  </si>
  <si>
    <t>Макет с/х-машин</t>
  </si>
  <si>
    <t xml:space="preserve">1,10104055                    </t>
  </si>
  <si>
    <t>Станок  фрезерный</t>
  </si>
  <si>
    <t xml:space="preserve">1,101040051                   </t>
  </si>
  <si>
    <t>Станок сверл. верт.</t>
  </si>
  <si>
    <t>Точило электр.</t>
  </si>
  <si>
    <t xml:space="preserve">1,10104048                    </t>
  </si>
  <si>
    <t xml:space="preserve">Станок по металлу </t>
  </si>
  <si>
    <t>Видеокамера "SONI"</t>
  </si>
  <si>
    <t xml:space="preserve">1,10104166                    </t>
  </si>
  <si>
    <t>Видеомагнитофон "ДЭУ"</t>
  </si>
  <si>
    <t xml:space="preserve">1.10104094                    </t>
  </si>
  <si>
    <t>Видеомагнитофон "Самсунг"</t>
  </si>
  <si>
    <t xml:space="preserve">1.10104091                    </t>
  </si>
  <si>
    <t>Телевизор "Вестел"</t>
  </si>
  <si>
    <t xml:space="preserve">1.10104088                    </t>
  </si>
  <si>
    <t>Фотопппарат цифр."Kodak"</t>
  </si>
  <si>
    <t xml:space="preserve">1,10104221                    </t>
  </si>
  <si>
    <t>Телевизор - 21 JVC</t>
  </si>
  <si>
    <t xml:space="preserve">1,10104065                    </t>
  </si>
  <si>
    <t>Телевизор "Шиваки"</t>
  </si>
  <si>
    <t xml:space="preserve">1,10104132                    </t>
  </si>
  <si>
    <t xml:space="preserve">1.10104093                    </t>
  </si>
  <si>
    <t>Комплект приборов №1</t>
  </si>
  <si>
    <t>Компьют. измер. блок</t>
  </si>
  <si>
    <t xml:space="preserve">1,10104066                    </t>
  </si>
  <si>
    <t>Комплект приборов №2</t>
  </si>
  <si>
    <t xml:space="preserve">1.10104089                    </t>
  </si>
  <si>
    <t>Набор демон-й по геометрии</t>
  </si>
  <si>
    <t xml:space="preserve">1,10104197                    </t>
  </si>
  <si>
    <t xml:space="preserve">1.10104067                    </t>
  </si>
  <si>
    <t xml:space="preserve">1,10104219                    </t>
  </si>
  <si>
    <t xml:space="preserve">1,10104141                    </t>
  </si>
  <si>
    <t>Системный блок учит.</t>
  </si>
  <si>
    <t xml:space="preserve">1,10104137                    </t>
  </si>
  <si>
    <t>Электрощит</t>
  </si>
  <si>
    <t xml:space="preserve">1.10104068                    </t>
  </si>
  <si>
    <t xml:space="preserve">1.10104069                    </t>
  </si>
  <si>
    <t>Видеомагнитофон "Soni"</t>
  </si>
  <si>
    <t xml:space="preserve">1.10104092                    </t>
  </si>
  <si>
    <t>Котёл  электрический</t>
  </si>
  <si>
    <t>Мороз.камера "Индезит"</t>
  </si>
  <si>
    <t xml:space="preserve">1,10104220                    </t>
  </si>
  <si>
    <t>Музык. центр "Самсунг"</t>
  </si>
  <si>
    <t xml:space="preserve">1,10104165                    </t>
  </si>
  <si>
    <t xml:space="preserve">1,10104218                    </t>
  </si>
  <si>
    <t xml:space="preserve">1.10134396                    </t>
  </si>
  <si>
    <t>Плита  электрическая</t>
  </si>
  <si>
    <t>Принтер "Фазер"</t>
  </si>
  <si>
    <t>Синтезатор "Ямаха"</t>
  </si>
  <si>
    <t xml:space="preserve">1,10104134                    </t>
  </si>
  <si>
    <t xml:space="preserve">Система акуст. </t>
  </si>
  <si>
    <t>Сканер  "HP"</t>
  </si>
  <si>
    <t xml:space="preserve">1.10104090                    </t>
  </si>
  <si>
    <t xml:space="preserve">1,10104130                    </t>
  </si>
  <si>
    <t>Усилитель-микшер</t>
  </si>
  <si>
    <t xml:space="preserve">1,10104052                    </t>
  </si>
  <si>
    <t xml:space="preserve">1,101040048                   </t>
  </si>
  <si>
    <t xml:space="preserve">1,10104208                    </t>
  </si>
  <si>
    <t>Холодильник 2-х/камерный (1860*600*600см)  "Zanussi"-по наказ.избират.</t>
  </si>
  <si>
    <t xml:space="preserve">1.10134195                    </t>
  </si>
  <si>
    <t>Электроплита</t>
  </si>
  <si>
    <t>Компьютер в полной комплектации (Системный блок, монитор, клавиатура, мышь, кабель USB)</t>
  </si>
  <si>
    <t>компьютер в сборе</t>
  </si>
  <si>
    <t>Мотокоса Husgvarna 323 R</t>
  </si>
  <si>
    <t xml:space="preserve">1.10134382                    </t>
  </si>
  <si>
    <t xml:space="preserve">110134301                     </t>
  </si>
  <si>
    <t xml:space="preserve">1,10106151                    </t>
  </si>
  <si>
    <t xml:space="preserve">1,10106152                    </t>
  </si>
  <si>
    <t xml:space="preserve">1,10106226                    </t>
  </si>
  <si>
    <t xml:space="preserve">1,10106202                    </t>
  </si>
  <si>
    <t xml:space="preserve">1,10106247                    </t>
  </si>
  <si>
    <t>Мат гимнастический ПВХ 1*2*0,1   А2543</t>
  </si>
  <si>
    <t xml:space="preserve">1 .10136303                   </t>
  </si>
  <si>
    <t xml:space="preserve">1.10136304                    </t>
  </si>
  <si>
    <t xml:space="preserve">1.10136305                    </t>
  </si>
  <si>
    <t xml:space="preserve">1,10106236                    </t>
  </si>
  <si>
    <t xml:space="preserve">1,10106194                    </t>
  </si>
  <si>
    <t xml:space="preserve">1,10106230                    </t>
  </si>
  <si>
    <t xml:space="preserve">1,10106199                    </t>
  </si>
  <si>
    <t xml:space="preserve">1,10106172                    </t>
  </si>
  <si>
    <t>Весы фасов. МТ  15 В1(до 15кг)</t>
  </si>
  <si>
    <t xml:space="preserve">1.10136272                    </t>
  </si>
  <si>
    <t>Водонагреватель Polaris P 100VP</t>
  </si>
  <si>
    <t xml:space="preserve">1.10136303                    </t>
  </si>
  <si>
    <t>Ванна моечная (Дмитр. ООШ)</t>
  </si>
  <si>
    <t xml:space="preserve">4.10136076                    </t>
  </si>
  <si>
    <t>Шкаф вытяжной демонстрационный 1000*690*2000</t>
  </si>
  <si>
    <t>доска школьная 2-х элементная  правосторонняя (225*100)</t>
  </si>
  <si>
    <t>доска школьная 3-х элементная  (225*75)</t>
  </si>
  <si>
    <t xml:space="preserve">Кресло руководителя  "Пилот"                                                    </t>
  </si>
  <si>
    <t>Стол письменный 2-х тумбовый 150*60*75</t>
  </si>
  <si>
    <t>мясорубка Mystery MGM-3000</t>
  </si>
  <si>
    <t xml:space="preserve">110136300                     </t>
  </si>
  <si>
    <t xml:space="preserve">110136302                     </t>
  </si>
  <si>
    <t xml:space="preserve">4.10136180                    </t>
  </si>
  <si>
    <t>Стенд "Охрана труда" 1000х750</t>
  </si>
  <si>
    <t>Скелет человека</t>
  </si>
  <si>
    <t xml:space="preserve">1,10109007                    </t>
  </si>
  <si>
    <t>МОУ "Серебряно-Прудская средняя общеобразовательная школа имени маршала В.И.Чуйкова"</t>
  </si>
  <si>
    <t>Железобетонное  ограждение</t>
  </si>
  <si>
    <t xml:space="preserve">1101030001                    </t>
  </si>
  <si>
    <t>Металлическое ограждение</t>
  </si>
  <si>
    <t xml:space="preserve">1101030002                    </t>
  </si>
  <si>
    <t>Мультимедийный проектор</t>
  </si>
  <si>
    <t>Шкаф холодильный ШХС -1,2</t>
  </si>
  <si>
    <t xml:space="preserve">10104003                      </t>
  </si>
  <si>
    <t>Интерактивная доска  1кл. федер. бюджет</t>
  </si>
  <si>
    <t xml:space="preserve">110104452                     </t>
  </si>
  <si>
    <t>Мультимедийный проектор  Сони</t>
  </si>
  <si>
    <t>Система контроля и мониторинга качества знаний /СКМКЗ/   1кл.  федер.бюджет</t>
  </si>
  <si>
    <t xml:space="preserve">110104499                     </t>
  </si>
  <si>
    <t>Интерактивная доска  Interwrite DuaIBoard 1279  /иновацион.опразов. программа /</t>
  </si>
  <si>
    <t xml:space="preserve">110104426                     </t>
  </si>
  <si>
    <t>Интерактивная доска /монитор сис. блок/</t>
  </si>
  <si>
    <t xml:space="preserve">110104232                     </t>
  </si>
  <si>
    <t>Интерактивная доска /монитор,сис. блок, /</t>
  </si>
  <si>
    <t xml:space="preserve">110104230                     </t>
  </si>
  <si>
    <t>Интерактивная доскаSMARKB</t>
  </si>
  <si>
    <t xml:space="preserve">110104357                     </t>
  </si>
  <si>
    <t>Интерактивная доскаSMARTB ( нач.школа)</t>
  </si>
  <si>
    <t xml:space="preserve">110104351                     </t>
  </si>
  <si>
    <t>Кабинет истории ( (Систем. блок, монитор, источ. беспереб. пит., DVD плеер, телевизор Philips, многгф. комплекс "Дидактика", прог. об., уч.нагл. пос.)</t>
  </si>
  <si>
    <t xml:space="preserve">1.10104403                    </t>
  </si>
  <si>
    <t>Кабинет русского языка (Системный блок, монитор, источ. бесперебойного питания, многофункц. комплекс "Дидактика")</t>
  </si>
  <si>
    <t xml:space="preserve">1.10104404                    </t>
  </si>
  <si>
    <t>Комплекс звукового оборуд. с управл. оператора</t>
  </si>
  <si>
    <t xml:space="preserve">110104146                     </t>
  </si>
  <si>
    <t>Комплекс светового оборуд. с управл. оператора</t>
  </si>
  <si>
    <t xml:space="preserve">110104145                     </t>
  </si>
  <si>
    <t>Комплект "Дидактика"</t>
  </si>
  <si>
    <t xml:space="preserve">110104022                     </t>
  </si>
  <si>
    <t>Компьютерный класс</t>
  </si>
  <si>
    <t xml:space="preserve">1.10104347                    </t>
  </si>
  <si>
    <t>Мультимедийный комплекс</t>
  </si>
  <si>
    <t xml:space="preserve">110104214                     </t>
  </si>
  <si>
    <t xml:space="preserve">110104215                     </t>
  </si>
  <si>
    <t xml:space="preserve">110104216                     </t>
  </si>
  <si>
    <t xml:space="preserve">110104217                     </t>
  </si>
  <si>
    <t xml:space="preserve">110104219                     </t>
  </si>
  <si>
    <t xml:space="preserve">110104220                     </t>
  </si>
  <si>
    <t xml:space="preserve">110104221                     </t>
  </si>
  <si>
    <t xml:space="preserve">110104222                     </t>
  </si>
  <si>
    <t xml:space="preserve">110104223                     </t>
  </si>
  <si>
    <t>Мультимедийный комплекс с экраном и кроншт</t>
  </si>
  <si>
    <t xml:space="preserve">110104114                     </t>
  </si>
  <si>
    <t>Мультимедийный комплекс с экраном и кронштейн</t>
  </si>
  <si>
    <t xml:space="preserve">110104138                     </t>
  </si>
  <si>
    <t>Мультимедийный комплекс с экраном и кронш.(нач.шк.)</t>
  </si>
  <si>
    <t xml:space="preserve">110104142                     </t>
  </si>
  <si>
    <t>Мультимедийный проектор  Epson EB Х12 /иновац.образ.прогр./</t>
  </si>
  <si>
    <t xml:space="preserve">110104429                     </t>
  </si>
  <si>
    <t>Мультимидийный комплекс с экраном и кроншт.</t>
  </si>
  <si>
    <t xml:space="preserve">110104137                     </t>
  </si>
  <si>
    <t>Пианино шпон красного дерева</t>
  </si>
  <si>
    <t xml:space="preserve">110104144                     </t>
  </si>
  <si>
    <t>Сервер в полной комплектации</t>
  </si>
  <si>
    <t xml:space="preserve">110104056                     </t>
  </si>
  <si>
    <t xml:space="preserve">110104313                     </t>
  </si>
  <si>
    <t>Стоматологическая установка</t>
  </si>
  <si>
    <t xml:space="preserve">110104038                     </t>
  </si>
  <si>
    <t>Цветомузыка в ассортименте /спецэфекты/</t>
  </si>
  <si>
    <t xml:space="preserve">110104318                     </t>
  </si>
  <si>
    <t xml:space="preserve"> Система видеопротокол-я, видеотрансляции (видеокамера 7шт, коммутатор 2шт,винче</t>
  </si>
  <si>
    <t xml:space="preserve">4101240023                    </t>
  </si>
  <si>
    <t>Система блокировки сотовой связи (блокиратор 7шт,индикатор поля 1шт)</t>
  </si>
  <si>
    <t xml:space="preserve">4101240024                    </t>
  </si>
  <si>
    <t xml:space="preserve">110104169                     </t>
  </si>
  <si>
    <t xml:space="preserve">110104170                     </t>
  </si>
  <si>
    <t>Экран (тип 2) Lumien Master Control 229x400 cм Matte White в компл.с пультом дис</t>
  </si>
  <si>
    <t xml:space="preserve">4101240018                    </t>
  </si>
  <si>
    <t>Мультимед-й проектор (тип 4) Epson EB-G655WU вкомпл-те с доп. лампой, спец.крепл</t>
  </si>
  <si>
    <t>Аккустическая система (тип 2) JBL PRX735 в компл-те со специал-м крепежом</t>
  </si>
  <si>
    <t xml:space="preserve">4101240020                    </t>
  </si>
  <si>
    <t xml:space="preserve">4101240021                    </t>
  </si>
  <si>
    <t>Комплект монтажного оборудования и коммутации (тип 2)</t>
  </si>
  <si>
    <t xml:space="preserve">4101240022                    </t>
  </si>
  <si>
    <t>компьютер</t>
  </si>
  <si>
    <t xml:space="preserve">110104380                     </t>
  </si>
  <si>
    <t>Брайлевский принтер</t>
  </si>
  <si>
    <t xml:space="preserve">4101240025                    </t>
  </si>
  <si>
    <t>Специализированная инфракрасная звукоусиливающая система</t>
  </si>
  <si>
    <t xml:space="preserve">4101240026                    </t>
  </si>
  <si>
    <t>Интерак.доска Inttrwrite DualBoard 1279  Прогр.обесп</t>
  </si>
  <si>
    <t>Проектор короткофокусный Vivitek D791 ST</t>
  </si>
  <si>
    <t xml:space="preserve">4101240011                    </t>
  </si>
  <si>
    <t>Комплекс оперативного контроля знаний  CPS/иновац.образов.програм. /</t>
  </si>
  <si>
    <t xml:space="preserve">110104428                     </t>
  </si>
  <si>
    <t>Комплект демонстрационого оборудования в составе:система сбора данных /инов.обра</t>
  </si>
  <si>
    <t xml:space="preserve">110104431                     </t>
  </si>
  <si>
    <t>Комплект лабораторного оборудования в составе :устройство измерения и обработкиа</t>
  </si>
  <si>
    <t xml:space="preserve">110104433                     </t>
  </si>
  <si>
    <t>Комплект лабораторного оборудования в составе:устройство измерения и обработки д</t>
  </si>
  <si>
    <t xml:space="preserve">110104434                     </t>
  </si>
  <si>
    <t>Комплект лабораторного оборудовая в составе:устройство измерения и обработки дан</t>
  </si>
  <si>
    <t xml:space="preserve">110104432-                    </t>
  </si>
  <si>
    <t>Комплект програмного обеспечения по предмет.естественнонаучного цикла /иновац.об</t>
  </si>
  <si>
    <t xml:space="preserve">110104444                     </t>
  </si>
  <si>
    <t>Картофелечистка</t>
  </si>
  <si>
    <t xml:space="preserve">1.10104327                    </t>
  </si>
  <si>
    <t>Машинауниверсальная УКМ -100 М2</t>
  </si>
  <si>
    <t xml:space="preserve">110104012                     </t>
  </si>
  <si>
    <t>Низкотемпературный холодильник</t>
  </si>
  <si>
    <t xml:space="preserve">110104171                     </t>
  </si>
  <si>
    <t>Плита  электр 6ти конфор</t>
  </si>
  <si>
    <t xml:space="preserve">110104001                     </t>
  </si>
  <si>
    <t>Плита 6_ти конфор</t>
  </si>
  <si>
    <t xml:space="preserve">110104002                     </t>
  </si>
  <si>
    <t>Посудомоечная машина</t>
  </si>
  <si>
    <t xml:space="preserve">110104039                     </t>
  </si>
  <si>
    <t>Сковорода электрич СЭСМ -0,2К</t>
  </si>
  <si>
    <t xml:space="preserve">110104005                     </t>
  </si>
  <si>
    <t>Тестомес Л4 -ХТЕ с дежой</t>
  </si>
  <si>
    <t xml:space="preserve">110104018                     </t>
  </si>
  <si>
    <t>Универсальная кухонная машина УКМ-06</t>
  </si>
  <si>
    <t xml:space="preserve">110104020                     </t>
  </si>
  <si>
    <t>Шкаф пекарский ШПЭСМ -2-02</t>
  </si>
  <si>
    <t xml:space="preserve">110104019                     </t>
  </si>
  <si>
    <t>Шкаф холодильный ШХС -0,5</t>
  </si>
  <si>
    <t>Шкаф холодильный ШХС _08</t>
  </si>
  <si>
    <t xml:space="preserve">110104003                     </t>
  </si>
  <si>
    <t xml:space="preserve">1.10104326                    </t>
  </si>
  <si>
    <t xml:space="preserve">1.10104331                    </t>
  </si>
  <si>
    <t>Копировальный аппарат формата А4 и А3</t>
  </si>
  <si>
    <t xml:space="preserve">110104049                     </t>
  </si>
  <si>
    <t>Автомобиль ШЕВРОЛЕ  НИВА свет .серебрис.</t>
  </si>
  <si>
    <t xml:space="preserve">10105004                      </t>
  </si>
  <si>
    <t>Автомашина ГАЗ 3307</t>
  </si>
  <si>
    <t xml:space="preserve">10105002                      </t>
  </si>
  <si>
    <t>Автомашина ГАЗ 5312</t>
  </si>
  <si>
    <t xml:space="preserve">10105006                      </t>
  </si>
  <si>
    <t>ГАЗ-САЗ 350701</t>
  </si>
  <si>
    <t xml:space="preserve">10105007                      </t>
  </si>
  <si>
    <t>Трактор Беларусь 320</t>
  </si>
  <si>
    <t xml:space="preserve">10105008                      </t>
  </si>
  <si>
    <t>Трактор МТЗ  82Л</t>
  </si>
  <si>
    <t xml:space="preserve">10105003                      </t>
  </si>
  <si>
    <t>Автомобиль Лада-210740</t>
  </si>
  <si>
    <t xml:space="preserve">4101250001                    </t>
  </si>
  <si>
    <t>Автомашина ВАЗ 21074 Жигули</t>
  </si>
  <si>
    <t xml:space="preserve">10105012                      </t>
  </si>
  <si>
    <t>Автомашина ВАЗ 21043</t>
  </si>
  <si>
    <t xml:space="preserve">10105009                      </t>
  </si>
  <si>
    <t>Наглядные пособия для каб.технология</t>
  </si>
  <si>
    <t xml:space="preserve">1.101061237                   </t>
  </si>
  <si>
    <t>Овощерезка-протирка</t>
  </si>
  <si>
    <t xml:space="preserve">0101360001                    </t>
  </si>
  <si>
    <t>Машина посудомоечная купольного типа C34DGT в спецкомплектации</t>
  </si>
  <si>
    <t xml:space="preserve">4101260003                    </t>
  </si>
  <si>
    <t>Прилавок для первых блюд ПМЭС-70КМ</t>
  </si>
  <si>
    <t xml:space="preserve">4101260005                    </t>
  </si>
  <si>
    <t>Шкаф холодильный низкотемпературный с глухой дверью малый СВ107-S</t>
  </si>
  <si>
    <t xml:space="preserve">4101260004                    </t>
  </si>
  <si>
    <t>Пароконвектомат большой PRIMAX EDE-910-HS в спецкомплектации</t>
  </si>
  <si>
    <t xml:space="preserve">4101260006                    </t>
  </si>
  <si>
    <t>Брусья разновысокие</t>
  </si>
  <si>
    <t xml:space="preserve">110106323                     </t>
  </si>
  <si>
    <t>Комплект оборуд. для прыжков в высоту (стойки. планка)</t>
  </si>
  <si>
    <t xml:space="preserve">110106336                     </t>
  </si>
  <si>
    <t>Комплект оборудов. для прыжков в высоту (стойки. планки)</t>
  </si>
  <si>
    <t xml:space="preserve">110106337                     </t>
  </si>
  <si>
    <t>Комплект полосы препятствий уличн.</t>
  </si>
  <si>
    <t xml:space="preserve">110106334                     </t>
  </si>
  <si>
    <t xml:space="preserve">110106335                     </t>
  </si>
  <si>
    <t>Маты .татами для обор.</t>
  </si>
  <si>
    <t xml:space="preserve">110106326                     </t>
  </si>
  <si>
    <t>Металические 3х секционные шкафы со скамейками</t>
  </si>
  <si>
    <t xml:space="preserve">110106740                     </t>
  </si>
  <si>
    <t xml:space="preserve">110106741                     </t>
  </si>
  <si>
    <t xml:space="preserve">110106742                     </t>
  </si>
  <si>
    <t>Металлические 3х секционные шкафы со скамейками</t>
  </si>
  <si>
    <t xml:space="preserve">110106385                     </t>
  </si>
  <si>
    <t xml:space="preserve">110106386                     </t>
  </si>
  <si>
    <t xml:space="preserve">110106387                     </t>
  </si>
  <si>
    <t xml:space="preserve">110106388                     </t>
  </si>
  <si>
    <t xml:space="preserve">110106389                     </t>
  </si>
  <si>
    <t xml:space="preserve">110106390                     </t>
  </si>
  <si>
    <t xml:space="preserve">110106391                     </t>
  </si>
  <si>
    <t xml:space="preserve">110106392                     </t>
  </si>
  <si>
    <t xml:space="preserve">110106393                     </t>
  </si>
  <si>
    <t xml:space="preserve">110106394                     </t>
  </si>
  <si>
    <t xml:space="preserve">110106395                     </t>
  </si>
  <si>
    <t xml:space="preserve">110106396                     </t>
  </si>
  <si>
    <t xml:space="preserve">110106397                     </t>
  </si>
  <si>
    <t xml:space="preserve">110106743                     </t>
  </si>
  <si>
    <t xml:space="preserve">110106744                     </t>
  </si>
  <si>
    <t xml:space="preserve">110106745                     </t>
  </si>
  <si>
    <t xml:space="preserve">110106746                     </t>
  </si>
  <si>
    <t xml:space="preserve">110106747                     </t>
  </si>
  <si>
    <t xml:space="preserve">110106748                     </t>
  </si>
  <si>
    <t xml:space="preserve">110106749                     </t>
  </si>
  <si>
    <t xml:space="preserve">110106750                     </t>
  </si>
  <si>
    <t xml:space="preserve">110106752                     </t>
  </si>
  <si>
    <t xml:space="preserve">110106753                     </t>
  </si>
  <si>
    <t xml:space="preserve">110106754                     </t>
  </si>
  <si>
    <t xml:space="preserve">110106755                     </t>
  </si>
  <si>
    <t xml:space="preserve">110106756                     </t>
  </si>
  <si>
    <t xml:space="preserve">110106757                     </t>
  </si>
  <si>
    <t xml:space="preserve">110106758                     </t>
  </si>
  <si>
    <t>МИеталлические 3х секционные шкафы со скамейками</t>
  </si>
  <si>
    <t xml:space="preserve">110106751                     </t>
  </si>
  <si>
    <t>Силовой тренажор</t>
  </si>
  <si>
    <t xml:space="preserve">1101063131                    </t>
  </si>
  <si>
    <t>Стеклянная  витрина -шкаф с замком</t>
  </si>
  <si>
    <t xml:space="preserve">1101062553                    </t>
  </si>
  <si>
    <t>Стелажи закрытые для спортинвентаря</t>
  </si>
  <si>
    <t xml:space="preserve">110106734                     </t>
  </si>
  <si>
    <t xml:space="preserve">110106735                     </t>
  </si>
  <si>
    <t xml:space="preserve">110106736                     </t>
  </si>
  <si>
    <t xml:space="preserve">110106737                     </t>
  </si>
  <si>
    <t xml:space="preserve">110106738                     </t>
  </si>
  <si>
    <t>Щит баскетб. +колькцо 45см+ферма</t>
  </si>
  <si>
    <t xml:space="preserve">110106332                     </t>
  </si>
  <si>
    <t>Щит баскетб. +кольцо 45см +ферма</t>
  </si>
  <si>
    <t xml:space="preserve">110106333                     </t>
  </si>
  <si>
    <t>Коммунальный отвал Бщетка для Беларусь 320</t>
  </si>
  <si>
    <t xml:space="preserve">1101062825                    </t>
  </si>
  <si>
    <t>Косилка Л-502</t>
  </si>
  <si>
    <t xml:space="preserve">1101062828                    </t>
  </si>
  <si>
    <t>Культиватор-окучник-ПОЧ-2,1</t>
  </si>
  <si>
    <t xml:space="preserve">1101062827                    </t>
  </si>
  <si>
    <t>Машиномоечная машина</t>
  </si>
  <si>
    <t xml:space="preserve">1101062823                    </t>
  </si>
  <si>
    <t>Плуг 2х корпусной  Л-101</t>
  </si>
  <si>
    <t xml:space="preserve">1101062824                    </t>
  </si>
  <si>
    <t>Прицеп тракторный 1-ПТС2</t>
  </si>
  <si>
    <t xml:space="preserve">1101062826                    </t>
  </si>
  <si>
    <t>Наглядные пособия для каб.физики</t>
  </si>
  <si>
    <t xml:space="preserve">1.101062845                   </t>
  </si>
  <si>
    <t>Банер металлокопазитный на стену (каб.39)</t>
  </si>
  <si>
    <t xml:space="preserve">1101062437                    </t>
  </si>
  <si>
    <t>Банер пластиковый на стену (каб.39)</t>
  </si>
  <si>
    <t xml:space="preserve">1101062438                    </t>
  </si>
  <si>
    <t>Вешалка напольная двухстор. 1,5м с подстав.для обуви</t>
  </si>
  <si>
    <t xml:space="preserve">110106511                     </t>
  </si>
  <si>
    <t>Вешалка напольная двухсторон. 1,5м с подставк. для обуви</t>
  </si>
  <si>
    <t xml:space="preserve">110106509                     </t>
  </si>
  <si>
    <t>Вешалка напольная двухсторон.1,5м с подстав. для обуви</t>
  </si>
  <si>
    <t xml:space="preserve">110106510                     </t>
  </si>
  <si>
    <t>Вышка тура ПСРВ_7.5 секц.  Н= 6,42м</t>
  </si>
  <si>
    <t xml:space="preserve">110106939                     </t>
  </si>
  <si>
    <t>Диван угловой 3х местный</t>
  </si>
  <si>
    <t xml:space="preserve">110106548                     </t>
  </si>
  <si>
    <t xml:space="preserve">110106549                     </t>
  </si>
  <si>
    <t>Кабинки со  стеклянн. вставкой и с оборудов. 14чел (подвал )</t>
  </si>
  <si>
    <t xml:space="preserve">1101061014                    </t>
  </si>
  <si>
    <t>Комплекс Дидактика 2х сторонняя</t>
  </si>
  <si>
    <t xml:space="preserve">1101062534                    </t>
  </si>
  <si>
    <t>Комплект "Дидактика</t>
  </si>
  <si>
    <t xml:space="preserve">1101061340                    </t>
  </si>
  <si>
    <t xml:space="preserve">1101061345                    </t>
  </si>
  <si>
    <t>Комплект "Дидактика "</t>
  </si>
  <si>
    <t xml:space="preserve">1101061640                    </t>
  </si>
  <si>
    <t xml:space="preserve">1101061734                    </t>
  </si>
  <si>
    <t xml:space="preserve">1101061660                    </t>
  </si>
  <si>
    <t>Комплект "Дидактика "(Бескова нач.шк.)</t>
  </si>
  <si>
    <t xml:space="preserve">1101062502                    </t>
  </si>
  <si>
    <t xml:space="preserve">110106199                     </t>
  </si>
  <si>
    <t xml:space="preserve">1101061018                    </t>
  </si>
  <si>
    <t xml:space="preserve">1101061024                    </t>
  </si>
  <si>
    <t xml:space="preserve">1101061028                    </t>
  </si>
  <si>
    <t xml:space="preserve">1101061364                    </t>
  </si>
  <si>
    <t xml:space="preserve">1101061365                    </t>
  </si>
  <si>
    <t xml:space="preserve">1101061542                    </t>
  </si>
  <si>
    <t xml:space="preserve">1101061544                    </t>
  </si>
  <si>
    <t xml:space="preserve">1101061545                    </t>
  </si>
  <si>
    <t xml:space="preserve">1101061639                    </t>
  </si>
  <si>
    <t xml:space="preserve">1101061642                    </t>
  </si>
  <si>
    <t xml:space="preserve">1101061644                    </t>
  </si>
  <si>
    <t xml:space="preserve">1101061692                    </t>
  </si>
  <si>
    <t xml:space="preserve">1101061727                    </t>
  </si>
  <si>
    <t xml:space="preserve">1101061658                    </t>
  </si>
  <si>
    <t xml:space="preserve">1101061661                    </t>
  </si>
  <si>
    <t xml:space="preserve">1101061662                    </t>
  </si>
  <si>
    <t xml:space="preserve">1101061773                    </t>
  </si>
  <si>
    <t xml:space="preserve">1101061774                    </t>
  </si>
  <si>
    <t>Кондиционер в раздевалку</t>
  </si>
  <si>
    <t xml:space="preserve">1101062701                    </t>
  </si>
  <si>
    <t>Лестница стремянка 6м</t>
  </si>
  <si>
    <t xml:space="preserve">1101062443                    </t>
  </si>
  <si>
    <t>Набор кухонной мебел. 6метров. с встроен. оборуд.</t>
  </si>
  <si>
    <t xml:space="preserve">110106140                     </t>
  </si>
  <si>
    <t xml:space="preserve">110106983                     </t>
  </si>
  <si>
    <t xml:space="preserve">1101062685                    </t>
  </si>
  <si>
    <t xml:space="preserve">1101062687                    </t>
  </si>
  <si>
    <t>Стойка оператора 3х метровая со столом</t>
  </si>
  <si>
    <t xml:space="preserve">1101061817                    </t>
  </si>
  <si>
    <t>Стол бриффинг серия Престиж Люкс</t>
  </si>
  <si>
    <t xml:space="preserve">110106888                     </t>
  </si>
  <si>
    <t>Стол демонстрационный</t>
  </si>
  <si>
    <t xml:space="preserve">1101061429                    </t>
  </si>
  <si>
    <t>Стол для аквариума</t>
  </si>
  <si>
    <t xml:space="preserve">11010061140                   </t>
  </si>
  <si>
    <t>Шкаф для одежды серия Престиж Люкс</t>
  </si>
  <si>
    <t xml:space="preserve">110106895                     </t>
  </si>
  <si>
    <t>Шкаф перегородка для лаборатории</t>
  </si>
  <si>
    <t xml:space="preserve">110106621                     </t>
  </si>
  <si>
    <t>ШКАф стекл-й закрыт  1 под  серия Престиж Люкс</t>
  </si>
  <si>
    <t xml:space="preserve">110106893                     </t>
  </si>
  <si>
    <t>Шкаф стекл-й закрыт. под 1 топ. серия Престиж Люкс</t>
  </si>
  <si>
    <t xml:space="preserve">110106892                     </t>
  </si>
  <si>
    <t>Шкаф стекл-й закрытый под 1 топ серия Престиж Люкс</t>
  </si>
  <si>
    <t xml:space="preserve">110106891                     </t>
  </si>
  <si>
    <t>Столик для детей с ДЦП</t>
  </si>
  <si>
    <t xml:space="preserve">4101260009                    </t>
  </si>
  <si>
    <t xml:space="preserve">4101260011                    </t>
  </si>
  <si>
    <t xml:space="preserve">4101260008                    </t>
  </si>
  <si>
    <t xml:space="preserve">4101260010                    </t>
  </si>
  <si>
    <t xml:space="preserve">4101260007                    </t>
  </si>
  <si>
    <t xml:space="preserve">4101260001                    </t>
  </si>
  <si>
    <t>Устройство для межэтажной транспортировки инвалидов</t>
  </si>
  <si>
    <t xml:space="preserve">4101260002                    </t>
  </si>
  <si>
    <t xml:space="preserve">1101062686                    </t>
  </si>
  <si>
    <t xml:space="preserve">  1101061543                  </t>
  </si>
  <si>
    <t>Вентоотсос  МВО -12МС</t>
  </si>
  <si>
    <t xml:space="preserve">110106046                     </t>
  </si>
  <si>
    <t>Вентоотсос  МВО  -12МС</t>
  </si>
  <si>
    <t xml:space="preserve">110106047                     </t>
  </si>
  <si>
    <t>Вентоотсос МВО -12МС</t>
  </si>
  <si>
    <t xml:space="preserve">110106044                     </t>
  </si>
  <si>
    <t xml:space="preserve">110106045                     </t>
  </si>
  <si>
    <t>Ларь для овощей</t>
  </si>
  <si>
    <t xml:space="preserve">110106013                     </t>
  </si>
  <si>
    <t>Линия раздачи</t>
  </si>
  <si>
    <t xml:space="preserve">1101060019                    </t>
  </si>
  <si>
    <t>Стеллаж технологический  СТР -12</t>
  </si>
  <si>
    <t xml:space="preserve">110106001                     </t>
  </si>
  <si>
    <t xml:space="preserve">110106009                     </t>
  </si>
  <si>
    <t>Стеллаж технологический -СТР-12</t>
  </si>
  <si>
    <t>Стеллаж технологический СТР -12</t>
  </si>
  <si>
    <t xml:space="preserve">110106004                     </t>
  </si>
  <si>
    <t xml:space="preserve">110106007                     </t>
  </si>
  <si>
    <t xml:space="preserve">110106008                     </t>
  </si>
  <si>
    <t xml:space="preserve">110106010                     </t>
  </si>
  <si>
    <t>Стеллаж технологичечкий СТР -12</t>
  </si>
  <si>
    <t xml:space="preserve">110106005                     </t>
  </si>
  <si>
    <t>Стол производственный  СП   122/907</t>
  </si>
  <si>
    <t xml:space="preserve">110106037                     </t>
  </si>
  <si>
    <t>Стол производственный  СП  122/907</t>
  </si>
  <si>
    <t xml:space="preserve">110106038                     </t>
  </si>
  <si>
    <t xml:space="preserve">110106039                     </t>
  </si>
  <si>
    <t xml:space="preserve">110106040                     </t>
  </si>
  <si>
    <t>Шкаф для хлеба</t>
  </si>
  <si>
    <t xml:space="preserve">110106018                     </t>
  </si>
  <si>
    <t>Сейф-шкаф</t>
  </si>
  <si>
    <t xml:space="preserve">1101062504                    </t>
  </si>
  <si>
    <t>Инструментальный стол  подвижный</t>
  </si>
  <si>
    <t xml:space="preserve">110106263                     </t>
  </si>
  <si>
    <t>Инструментальный стол подвижный</t>
  </si>
  <si>
    <t xml:space="preserve">110106261                     </t>
  </si>
  <si>
    <t xml:space="preserve">110106262                     </t>
  </si>
  <si>
    <t xml:space="preserve">110106198                     </t>
  </si>
  <si>
    <t>Ножовка механическая</t>
  </si>
  <si>
    <t xml:space="preserve">110106205                     </t>
  </si>
  <si>
    <t>Станок горизон.-фрезерный с тумбой на мет. каркасе</t>
  </si>
  <si>
    <t xml:space="preserve">110106200                     </t>
  </si>
  <si>
    <t>Станок сверлильный настольный  на мет. каркасе</t>
  </si>
  <si>
    <t xml:space="preserve">110106204                     </t>
  </si>
  <si>
    <t>Станок токарный</t>
  </si>
  <si>
    <t xml:space="preserve">110106201                     </t>
  </si>
  <si>
    <t>Станок токарный цельный с креплен.к полу</t>
  </si>
  <si>
    <t xml:space="preserve">110106202                     </t>
  </si>
  <si>
    <t>Станок фуговально .пильный креплен. к столу</t>
  </si>
  <si>
    <t xml:space="preserve">110106203                     </t>
  </si>
  <si>
    <t>Тумба для инструмента с инмструментами</t>
  </si>
  <si>
    <t xml:space="preserve">110106265                     </t>
  </si>
  <si>
    <t>Тумба для инструмента с инструментами</t>
  </si>
  <si>
    <t xml:space="preserve">110106264                     </t>
  </si>
  <si>
    <t xml:space="preserve">110106266                     </t>
  </si>
  <si>
    <t xml:space="preserve">110106268                     </t>
  </si>
  <si>
    <t>Тумба для инструментов с инструментами</t>
  </si>
  <si>
    <t xml:space="preserve">110106267                     </t>
  </si>
  <si>
    <t>Набор столярно.слесарных инструментов</t>
  </si>
  <si>
    <t xml:space="preserve"> 10106208                     </t>
  </si>
  <si>
    <t>Вытяжной шкаф в лабораторию</t>
  </si>
  <si>
    <t xml:space="preserve">1101062479                    </t>
  </si>
  <si>
    <t>Вытяжной шкаф двухсторонний</t>
  </si>
  <si>
    <t xml:space="preserve">1101063525                    </t>
  </si>
  <si>
    <t>Шкаф гардеробный серия Премер</t>
  </si>
  <si>
    <t xml:space="preserve">110106903                     </t>
  </si>
  <si>
    <t>Шкаф закрытый серия Премер</t>
  </si>
  <si>
    <t xml:space="preserve">110106904                     </t>
  </si>
  <si>
    <t>Шкаф стеклянный серия Премер</t>
  </si>
  <si>
    <t xml:space="preserve">110106905                     </t>
  </si>
  <si>
    <t xml:space="preserve">110106906                     </t>
  </si>
  <si>
    <t>Учебники (нов.курс англ.яз. Афанасьева) окт.2013г.</t>
  </si>
  <si>
    <t>Учебники (нов.курс англ.яз. Афанасьева ) окт.2013г.</t>
  </si>
  <si>
    <t>Учебники ( Право проф.уровень ) окт.2013г.</t>
  </si>
  <si>
    <t>Учебная литература 2014 года</t>
  </si>
  <si>
    <t>Нечаева 1кл."АЗБУКА" ФГОС (Дом Федоров)</t>
  </si>
  <si>
    <t>Учебник Обществознание 10 кл.(ноябрь 2013г.)</t>
  </si>
  <si>
    <t>Учебники ( ноябрь 2013г.)</t>
  </si>
  <si>
    <t>Библиотека  2011г</t>
  </si>
  <si>
    <t>Учебники (авг.- сент. 2013г.)</t>
  </si>
  <si>
    <t>Учебная литература поступление 2014 год</t>
  </si>
  <si>
    <t>Учебники 2014 г. (156 шт.)</t>
  </si>
  <si>
    <t>Учебники 2013 г. (223 шт.)</t>
  </si>
  <si>
    <t>Учебники 2012 г. (218 шт.)</t>
  </si>
  <si>
    <t>Учебники поступление 2015 г.</t>
  </si>
  <si>
    <t>Учебники(авг,сент-2012)2628-147</t>
  </si>
  <si>
    <t xml:space="preserve">10107018                      </t>
  </si>
  <si>
    <t>Карта</t>
  </si>
  <si>
    <t xml:space="preserve">10107013                      </t>
  </si>
  <si>
    <t>Карты 3шт</t>
  </si>
  <si>
    <t>Монитор  ЖК  LD  ( каб.28 нач.шк.)</t>
  </si>
  <si>
    <t xml:space="preserve">2,10104405                    </t>
  </si>
  <si>
    <t>Монитор ЖК LD ( каб.29 нач.шк.)</t>
  </si>
  <si>
    <t xml:space="preserve">2,10104403                    </t>
  </si>
  <si>
    <t>Монитор ЖК "Самсунг " (каб.38 нач.шк.)</t>
  </si>
  <si>
    <t xml:space="preserve">2,10104401                    </t>
  </si>
  <si>
    <t>Монитор ЖК "Аквариус " (каб.Автодела нач.шк.)</t>
  </si>
  <si>
    <t xml:space="preserve">2,10104404                    </t>
  </si>
  <si>
    <t>МФУ   Canon i Sensys MF 4410</t>
  </si>
  <si>
    <t xml:space="preserve">2110104602                    </t>
  </si>
  <si>
    <t>МФУ Samsung SC Х3200</t>
  </si>
  <si>
    <t xml:space="preserve">2110104603                    </t>
  </si>
  <si>
    <t xml:space="preserve">210134636                     </t>
  </si>
  <si>
    <t>Фотоаппарат Fujifjlm FinePix SL300 (карта памяти ; DVD диски)</t>
  </si>
  <si>
    <t xml:space="preserve">2.101340182                   </t>
  </si>
  <si>
    <t>ВидеомагнитофонDVD+VHD</t>
  </si>
  <si>
    <t xml:space="preserve">110104206                     </t>
  </si>
  <si>
    <t xml:space="preserve">110104343                     </t>
  </si>
  <si>
    <t>Компьютер биб.</t>
  </si>
  <si>
    <t xml:space="preserve">1101043991                    </t>
  </si>
  <si>
    <t>Телевизор 21"</t>
  </si>
  <si>
    <t xml:space="preserve">110104147                     </t>
  </si>
  <si>
    <t xml:space="preserve">110104319                     </t>
  </si>
  <si>
    <t>Модем  Zyxen</t>
  </si>
  <si>
    <t xml:space="preserve">1.10104382                    </t>
  </si>
  <si>
    <t>Документ-камера  Ken-a-vision7880 Auto 1кл.  федер.бюджет</t>
  </si>
  <si>
    <t xml:space="preserve">110104453                     </t>
  </si>
  <si>
    <t>Компьютер Aquarius</t>
  </si>
  <si>
    <t xml:space="preserve">110104388                     </t>
  </si>
  <si>
    <t>Микроскоп цифровой  Kena  Т-1050</t>
  </si>
  <si>
    <t xml:space="preserve">110104511                     </t>
  </si>
  <si>
    <t xml:space="preserve">110104510                     </t>
  </si>
  <si>
    <t>Микроскоп цифровой Kena  Т-1050</t>
  </si>
  <si>
    <t xml:space="preserve">110104507                     </t>
  </si>
  <si>
    <t>Микроскоп цифровой Kena Т-1050</t>
  </si>
  <si>
    <t xml:space="preserve">110104508                     </t>
  </si>
  <si>
    <t xml:space="preserve">110104509                     </t>
  </si>
  <si>
    <t>Модульная система экспериментов на базе цифр.технологий   1кл.  федер бюджет</t>
  </si>
  <si>
    <t xml:space="preserve">110104500                     </t>
  </si>
  <si>
    <t>Модульная система экспериментов на базе цифр.технологий   1кл.  федер. бюджет</t>
  </si>
  <si>
    <t xml:space="preserve">110104501                     </t>
  </si>
  <si>
    <t>Модульная система экспериментов на базе цифров. технологий   1кл.  федер. бюджет</t>
  </si>
  <si>
    <t xml:space="preserve">110104502                     </t>
  </si>
  <si>
    <t xml:space="preserve">110104504                     </t>
  </si>
  <si>
    <t>Модульная система экспериментов на базе цифров. технологий  1кл.  федер. бюджет</t>
  </si>
  <si>
    <t xml:space="preserve">110104503                     </t>
  </si>
  <si>
    <t>Монитор  Aquarius</t>
  </si>
  <si>
    <t xml:space="preserve">110104390                     </t>
  </si>
  <si>
    <t>Нетбук  RjverBook NEO 570</t>
  </si>
  <si>
    <t xml:space="preserve">110104457                     </t>
  </si>
  <si>
    <t>Нетбук  Rover Book NEO 570 1кл.  федер. бюджет</t>
  </si>
  <si>
    <t xml:space="preserve">110104466                     </t>
  </si>
  <si>
    <t>Нетбук  RoverBook NEO 570  1кл.  федер. бюджет</t>
  </si>
  <si>
    <t xml:space="preserve">110104468                     </t>
  </si>
  <si>
    <t>Нетбук  RoverBook NEO570  1кл.  федер. бюджет</t>
  </si>
  <si>
    <t xml:space="preserve">110104463                     </t>
  </si>
  <si>
    <t>Нетбук  RoverBook NEO570  1кл. федер.бюджет</t>
  </si>
  <si>
    <t xml:space="preserve">110104456                     </t>
  </si>
  <si>
    <t>Нетбук  RoverBook NEO570 1кл.  федер. бюджет</t>
  </si>
  <si>
    <t xml:space="preserve">110104462                     </t>
  </si>
  <si>
    <t>Нетбук RjverBook NEO570 1кл. федер. бюджет</t>
  </si>
  <si>
    <t xml:space="preserve">110104458                     </t>
  </si>
  <si>
    <t>Нетбук RoverBook BTO 570   1кл.  федер. бюджет</t>
  </si>
  <si>
    <t xml:space="preserve">110104461                     </t>
  </si>
  <si>
    <t>Нетбук RoverBook NEO 570 1кл.  федер. бюджет</t>
  </si>
  <si>
    <t xml:space="preserve">110104460                     </t>
  </si>
  <si>
    <t xml:space="preserve">110104465                     </t>
  </si>
  <si>
    <t>Нетбук RoverBook NEO570   1кл.  федер. бюджет</t>
  </si>
  <si>
    <t xml:space="preserve">110104467                     </t>
  </si>
  <si>
    <t>Нетбук RoverBook NEO570 1кл  федер.бюджет</t>
  </si>
  <si>
    <t xml:space="preserve">110104464                     </t>
  </si>
  <si>
    <t>НетбукRoverBook NEO 570</t>
  </si>
  <si>
    <t xml:space="preserve">110104459                     </t>
  </si>
  <si>
    <t>Ноутбук  Acer Travei Mate   1 кл. федер.бюджет</t>
  </si>
  <si>
    <t xml:space="preserve">110104451                     </t>
  </si>
  <si>
    <t>Проектор мультимедийный   EpsonEB Х02   1кл.  федер.бюджет</t>
  </si>
  <si>
    <t xml:space="preserve">110104494                     </t>
  </si>
  <si>
    <t>Устройство беспроводной организации сети  1кл.  федер. бюджет</t>
  </si>
  <si>
    <t xml:space="preserve">110104455                     </t>
  </si>
  <si>
    <t>Цифровой аппарат  Phaser3100MFV  1кл.   федер. бюджет</t>
  </si>
  <si>
    <t xml:space="preserve">110104495                     </t>
  </si>
  <si>
    <t>Прицеп ТПС-4</t>
  </si>
  <si>
    <t xml:space="preserve">1.10104368                    </t>
  </si>
  <si>
    <t xml:space="preserve">410134010                     </t>
  </si>
  <si>
    <t xml:space="preserve">1.10104366                    </t>
  </si>
  <si>
    <t xml:space="preserve">110104355                     </t>
  </si>
  <si>
    <t>Активные мониторы на сцену</t>
  </si>
  <si>
    <t xml:space="preserve">110104314                     </t>
  </si>
  <si>
    <t xml:space="preserve">110104315                     </t>
  </si>
  <si>
    <t>Акустическая гитара "вестерн"</t>
  </si>
  <si>
    <t xml:space="preserve">110104283                     </t>
  </si>
  <si>
    <t>Акустическая гитара "классика"</t>
  </si>
  <si>
    <t xml:space="preserve">110104284                     </t>
  </si>
  <si>
    <t>Акустическая система Sven Stream Light /иновац.образ.прогр./</t>
  </si>
  <si>
    <t xml:space="preserve">110104430                     </t>
  </si>
  <si>
    <t>Видеомагнитофон   DVD+VHS</t>
  </si>
  <si>
    <t xml:space="preserve">110104059                     </t>
  </si>
  <si>
    <t>Видеомагнитофон  DVD +VHD</t>
  </si>
  <si>
    <t xml:space="preserve">110104110                     </t>
  </si>
  <si>
    <t>Видеомагнитофон  DVD +VHS</t>
  </si>
  <si>
    <t xml:space="preserve">1101041131                    </t>
  </si>
  <si>
    <t>Видеомагнитофон DVD +VHD</t>
  </si>
  <si>
    <t xml:space="preserve">110104168                     </t>
  </si>
  <si>
    <t>Видеомагнитофон DVD +VHS</t>
  </si>
  <si>
    <t xml:space="preserve">110104120                     </t>
  </si>
  <si>
    <t>ВИдеомагнитофон DVD +VHS</t>
  </si>
  <si>
    <t xml:space="preserve">110104126                     </t>
  </si>
  <si>
    <t xml:space="preserve">110104141                     </t>
  </si>
  <si>
    <t xml:space="preserve">110104196                     </t>
  </si>
  <si>
    <t>Видеомагнитофон DVD+ VHS</t>
  </si>
  <si>
    <t xml:space="preserve">110104041                     </t>
  </si>
  <si>
    <t xml:space="preserve">110104166                     </t>
  </si>
  <si>
    <t xml:space="preserve">110104193                     </t>
  </si>
  <si>
    <t>Видеомагнитофон DVD+VHS</t>
  </si>
  <si>
    <t xml:space="preserve">110104115                     </t>
  </si>
  <si>
    <t xml:space="preserve">110104118                     </t>
  </si>
  <si>
    <t xml:space="preserve">110104160                     </t>
  </si>
  <si>
    <t xml:space="preserve">110104161                     </t>
  </si>
  <si>
    <t>Видеомагнитофон DVd+VHS</t>
  </si>
  <si>
    <t xml:space="preserve">110104162                     </t>
  </si>
  <si>
    <t xml:space="preserve">110104167                     </t>
  </si>
  <si>
    <t xml:space="preserve">110104194                     </t>
  </si>
  <si>
    <t xml:space="preserve">110104197                     </t>
  </si>
  <si>
    <t xml:space="preserve">110104198                     </t>
  </si>
  <si>
    <t xml:space="preserve">110104199                     </t>
  </si>
  <si>
    <t xml:space="preserve">110104200                     </t>
  </si>
  <si>
    <t xml:space="preserve">110104201                     </t>
  </si>
  <si>
    <t xml:space="preserve">110104202                     </t>
  </si>
  <si>
    <t xml:space="preserve">110104205                     </t>
  </si>
  <si>
    <t xml:space="preserve">110104401                     </t>
  </si>
  <si>
    <t>Видеомагнитофон DVD=+VHS</t>
  </si>
  <si>
    <t xml:space="preserve">110104165                     </t>
  </si>
  <si>
    <t>Видеомагнитофон DVD=VHS</t>
  </si>
  <si>
    <t xml:space="preserve">110104163                     </t>
  </si>
  <si>
    <t xml:space="preserve">110104164                     </t>
  </si>
  <si>
    <t>ВидеомагнитофонDVD +VHS</t>
  </si>
  <si>
    <t xml:space="preserve">110104122                     </t>
  </si>
  <si>
    <t>ВидеомагнитофонDVD+VHS</t>
  </si>
  <si>
    <t xml:space="preserve">110104195                     </t>
  </si>
  <si>
    <t xml:space="preserve">110104203                     </t>
  </si>
  <si>
    <t xml:space="preserve">110104204                     </t>
  </si>
  <si>
    <t xml:space="preserve">110104207                     </t>
  </si>
  <si>
    <t xml:space="preserve">110104208                     </t>
  </si>
  <si>
    <t xml:space="preserve">110104209                     </t>
  </si>
  <si>
    <t xml:space="preserve">110104210                     </t>
  </si>
  <si>
    <t xml:space="preserve">110104211                     </t>
  </si>
  <si>
    <t xml:space="preserve">110104212                     </t>
  </si>
  <si>
    <t>Интерактивный планшет Interwrite Mobi Learner IP 500 /иновац.образ.прогр/</t>
  </si>
  <si>
    <t xml:space="preserve">110104427                     </t>
  </si>
  <si>
    <t>Кварц тубусный облучатель БОП.4 (новая школа )</t>
  </si>
  <si>
    <t xml:space="preserve">110104036                     </t>
  </si>
  <si>
    <t>Колонки 0,5-1 киловат</t>
  </si>
  <si>
    <t xml:space="preserve">110104311                     </t>
  </si>
  <si>
    <t xml:space="preserve">110104312                     </t>
  </si>
  <si>
    <t>Комбо -усилитель для гитары "соло"</t>
  </si>
  <si>
    <t xml:space="preserve">110104300                     </t>
  </si>
  <si>
    <t>Комбо-усилитель для гитары "ритм"</t>
  </si>
  <si>
    <t xml:space="preserve">110104298                     </t>
  </si>
  <si>
    <t>Комбо-усилитель для гитары"бас"</t>
  </si>
  <si>
    <t xml:space="preserve">110104299                     </t>
  </si>
  <si>
    <t>Комплект перкуссии</t>
  </si>
  <si>
    <t xml:space="preserve">110104297                     </t>
  </si>
  <si>
    <t xml:space="preserve">110104336                     </t>
  </si>
  <si>
    <t xml:space="preserve">110104337                     </t>
  </si>
  <si>
    <t xml:space="preserve">110104338                     </t>
  </si>
  <si>
    <t xml:space="preserve">110104339                     </t>
  </si>
  <si>
    <t xml:space="preserve">110104340                     </t>
  </si>
  <si>
    <t xml:space="preserve">110104341                     </t>
  </si>
  <si>
    <t>Компьютер"Самсунг " каб.22 нач.шк.</t>
  </si>
  <si>
    <t xml:space="preserve">110104342                     </t>
  </si>
  <si>
    <t xml:space="preserve">110104344                     </t>
  </si>
  <si>
    <t xml:space="preserve">110104346                     </t>
  </si>
  <si>
    <t>Компьютер  в сборе + комплектующ.  /подарок /</t>
  </si>
  <si>
    <t xml:space="preserve">1,10104418                    </t>
  </si>
  <si>
    <t>Компьютер Aguarius</t>
  </si>
  <si>
    <t xml:space="preserve">110104360                     </t>
  </si>
  <si>
    <t xml:space="preserve">110104368                     </t>
  </si>
  <si>
    <t xml:space="preserve">110104372                     </t>
  </si>
  <si>
    <t xml:space="preserve">110104376                     </t>
  </si>
  <si>
    <t>Компьютер Aquarius  (каб. 21 нач.шк.)</t>
  </si>
  <si>
    <t xml:space="preserve">110104384                     </t>
  </si>
  <si>
    <t xml:space="preserve">110104392                     </t>
  </si>
  <si>
    <t>Компьютер в сборе + комплектующ.  /подарок /каб.24 нач      /  по накз. изрерат.</t>
  </si>
  <si>
    <t xml:space="preserve">1,10104417                    </t>
  </si>
  <si>
    <t>Компьютер в сборе +комплектующие  по наказам.избират.каб.26 нач.шк.</t>
  </si>
  <si>
    <t xml:space="preserve">110104414                     </t>
  </si>
  <si>
    <t>Компьютер  "Самсунг " каб.25 нач.шк.</t>
  </si>
  <si>
    <t xml:space="preserve">110104352                     </t>
  </si>
  <si>
    <t>Компьютер Р30 S45</t>
  </si>
  <si>
    <t xml:space="preserve">110104358                     </t>
  </si>
  <si>
    <t>Компьютер учителя Aguarius</t>
  </si>
  <si>
    <t xml:space="preserve">110104415                     </t>
  </si>
  <si>
    <t>Лазерный принтер</t>
  </si>
  <si>
    <t xml:space="preserve">110104173                     </t>
  </si>
  <si>
    <t>Лазерный принтер ч_б</t>
  </si>
  <si>
    <t xml:space="preserve">1,10104060                    </t>
  </si>
  <si>
    <t>Музыкальный центр  LD   /ка сетный +диск МП3 /</t>
  </si>
  <si>
    <t xml:space="preserve">110104270                     </t>
  </si>
  <si>
    <t>Музыкальный цент LD  /касетный + диск МП -3 /</t>
  </si>
  <si>
    <t xml:space="preserve">110104265                     </t>
  </si>
  <si>
    <t>Музыкальный центр lLD /касетный + диск МП -3 /</t>
  </si>
  <si>
    <t xml:space="preserve">110104267                     </t>
  </si>
  <si>
    <t>Музыкальный центр LD  /касетный + диск МП -3 /</t>
  </si>
  <si>
    <t xml:space="preserve">110104268                     </t>
  </si>
  <si>
    <t>Музыкальный центр LD /касетный + диск МП-3 /</t>
  </si>
  <si>
    <t xml:space="preserve">110104255                     </t>
  </si>
  <si>
    <t xml:space="preserve">110104266                     </t>
  </si>
  <si>
    <t>Музыкальный центр LD  /касетный + диск МП-3 /</t>
  </si>
  <si>
    <t xml:space="preserve">110104269                     </t>
  </si>
  <si>
    <t>Музыкальный центр LD  /касетный +диск МП 3 /</t>
  </si>
  <si>
    <t xml:space="preserve">110104272                     </t>
  </si>
  <si>
    <t>Музыкальный центр LD /касетный +диск МП-3 /</t>
  </si>
  <si>
    <t xml:space="preserve">110104256                     </t>
  </si>
  <si>
    <t xml:space="preserve">110104257                     </t>
  </si>
  <si>
    <t>Музыкальный центр LD/касетный +диск МП-3 /</t>
  </si>
  <si>
    <t xml:space="preserve">110104259                     </t>
  </si>
  <si>
    <t xml:space="preserve">110104261                     </t>
  </si>
  <si>
    <t xml:space="preserve">110104263                     </t>
  </si>
  <si>
    <t>Музыкальный центр LD  /касетный +диск МП-3 /</t>
  </si>
  <si>
    <t xml:space="preserve">110104264                     </t>
  </si>
  <si>
    <t>Музыкальный центр LD /касетный +диск МП3 /</t>
  </si>
  <si>
    <t xml:space="preserve">110104258                     </t>
  </si>
  <si>
    <t>Музыкальный центр LD  /касетный+диск МП-3 /</t>
  </si>
  <si>
    <t xml:space="preserve">110104253                     </t>
  </si>
  <si>
    <t>Монит ор LSD17</t>
  </si>
  <si>
    <t xml:space="preserve">110104098                     </t>
  </si>
  <si>
    <t>Монитор   Aquarius</t>
  </si>
  <si>
    <t xml:space="preserve">110104370                     </t>
  </si>
  <si>
    <t xml:space="preserve">110104374                     </t>
  </si>
  <si>
    <t>Монитор  Самсунг 17   по накаизберат.(каб.23 нач.шк.)</t>
  </si>
  <si>
    <t xml:space="preserve">1.10104419                    </t>
  </si>
  <si>
    <t>МониторACER</t>
  </si>
  <si>
    <t xml:space="preserve">110104347                     </t>
  </si>
  <si>
    <t>Монитор Aquarius</t>
  </si>
  <si>
    <t xml:space="preserve">110104378                     </t>
  </si>
  <si>
    <t xml:space="preserve">110104382                     </t>
  </si>
  <si>
    <t xml:space="preserve">110104386                     </t>
  </si>
  <si>
    <t xml:space="preserve">110104394                     </t>
  </si>
  <si>
    <t>Монитор Fquarius</t>
  </si>
  <si>
    <t xml:space="preserve">110104366                     </t>
  </si>
  <si>
    <t>Монитор JSD17</t>
  </si>
  <si>
    <t>Монитор LCD 17"</t>
  </si>
  <si>
    <t xml:space="preserve">110104149                     </t>
  </si>
  <si>
    <t>Монитор LSD 17</t>
  </si>
  <si>
    <t xml:space="preserve">110104087                     </t>
  </si>
  <si>
    <t>Монитор LSD 17"</t>
  </si>
  <si>
    <t xml:space="preserve">110104124                     </t>
  </si>
  <si>
    <t>Монитор LSD17</t>
  </si>
  <si>
    <t xml:space="preserve">110104085                     </t>
  </si>
  <si>
    <t xml:space="preserve">110104088                     </t>
  </si>
  <si>
    <t xml:space="preserve">110104089                     </t>
  </si>
  <si>
    <t xml:space="preserve">110104090                     </t>
  </si>
  <si>
    <t xml:space="preserve">110104091                     </t>
  </si>
  <si>
    <t xml:space="preserve">110104092                     </t>
  </si>
  <si>
    <t xml:space="preserve">110104093                     </t>
  </si>
  <si>
    <t xml:space="preserve">110104094                     </t>
  </si>
  <si>
    <t xml:space="preserve">110104095                     </t>
  </si>
  <si>
    <t xml:space="preserve">110104097                     </t>
  </si>
  <si>
    <t xml:space="preserve">110104099                     </t>
  </si>
  <si>
    <t xml:space="preserve">110104100                     </t>
  </si>
  <si>
    <t>Монитор LSD17"</t>
  </si>
  <si>
    <t xml:space="preserve">110104128                     </t>
  </si>
  <si>
    <t xml:space="preserve">110104130                     </t>
  </si>
  <si>
    <t xml:space="preserve">110104132                     </t>
  </si>
  <si>
    <t xml:space="preserve">110104134                     </t>
  </si>
  <si>
    <t xml:space="preserve">110104136                     </t>
  </si>
  <si>
    <t>Монитор ЖК  /софинансирование /</t>
  </si>
  <si>
    <t xml:space="preserve">110104419                     </t>
  </si>
  <si>
    <t>Монитор ЖК /софинансирование /</t>
  </si>
  <si>
    <t xml:space="preserve">110104420                     </t>
  </si>
  <si>
    <t>Монитор ЛСД 17</t>
  </si>
  <si>
    <t xml:space="preserve">110104102                     </t>
  </si>
  <si>
    <t>Монитор учителя ASUS  VB195Т</t>
  </si>
  <si>
    <t xml:space="preserve">110104416                     </t>
  </si>
  <si>
    <t>МониторAquarius</t>
  </si>
  <si>
    <t xml:space="preserve">110104362                     </t>
  </si>
  <si>
    <t>МониторJSD17</t>
  </si>
  <si>
    <t>МониторLSD17</t>
  </si>
  <si>
    <t xml:space="preserve">110104086                     </t>
  </si>
  <si>
    <t xml:space="preserve">110104096                     </t>
  </si>
  <si>
    <t xml:space="preserve">110104101                     </t>
  </si>
  <si>
    <t xml:space="preserve">110104103                     </t>
  </si>
  <si>
    <t xml:space="preserve">110104104                     </t>
  </si>
  <si>
    <t xml:space="preserve">110104224                     </t>
  </si>
  <si>
    <t xml:space="preserve">110104225                     </t>
  </si>
  <si>
    <t xml:space="preserve">110104227                     </t>
  </si>
  <si>
    <t>Мультимедиапроектор "Бенк" (каб.27 нач.шк.) софинансир.</t>
  </si>
  <si>
    <t xml:space="preserve">,110104414                    </t>
  </si>
  <si>
    <t>Мультимедиапроектор с экраном (каб.28 нач.шк.)софинансир.</t>
  </si>
  <si>
    <t xml:space="preserve">1,10104416                    </t>
  </si>
  <si>
    <t>Мультимедиапроектор Сони каб.28 нач.шк..</t>
  </si>
  <si>
    <t xml:space="preserve">1,10104415                    </t>
  </si>
  <si>
    <t>Мультимедийный проектор   Сони с экраном   (каб.21нач.шк.)</t>
  </si>
  <si>
    <t xml:space="preserve">110104350                     </t>
  </si>
  <si>
    <t>Мультимедийный проектор "Сони" (каб.32 нач.шк.)</t>
  </si>
  <si>
    <t xml:space="preserve">110104349                     </t>
  </si>
  <si>
    <t>МФУ   XEROX   Work  Centre 3119  (Мотина )</t>
  </si>
  <si>
    <t xml:space="preserve">110104402                     </t>
  </si>
  <si>
    <t>Оверхэд проектор</t>
  </si>
  <si>
    <t xml:space="preserve">110104277                     </t>
  </si>
  <si>
    <t xml:space="preserve">110104278                     </t>
  </si>
  <si>
    <t>Педаль эффект для гитары "бас"</t>
  </si>
  <si>
    <t xml:space="preserve">110104293                     </t>
  </si>
  <si>
    <t>Переходник   min USB British   /иновац.образ.прогр. /</t>
  </si>
  <si>
    <t xml:space="preserve">110104440                     </t>
  </si>
  <si>
    <t>Переходник min USB  Bristish / иновац.образ.прогр./</t>
  </si>
  <si>
    <t xml:space="preserve">110104447                     </t>
  </si>
  <si>
    <t>Переходник min USB British  / иновац.образ.прогр. /</t>
  </si>
  <si>
    <t xml:space="preserve">110104439                     </t>
  </si>
  <si>
    <t xml:space="preserve">1.10104330                    </t>
  </si>
  <si>
    <t xml:space="preserve">1101041395                    </t>
  </si>
  <si>
    <t>Принтер Oki В2200 (зам.дир.нач.шк.)</t>
  </si>
  <si>
    <t xml:space="preserve">110104399                     </t>
  </si>
  <si>
    <t xml:space="preserve">110104273                     </t>
  </si>
  <si>
    <t xml:space="preserve">110104274                     </t>
  </si>
  <si>
    <t xml:space="preserve">110104275                     </t>
  </si>
  <si>
    <t xml:space="preserve">110104276                     </t>
  </si>
  <si>
    <t>Принтер лазерный Н Р Лазер Р1005</t>
  </si>
  <si>
    <t xml:space="preserve">2,10104406                    </t>
  </si>
  <si>
    <t>Процессор для электрогитары "соло"</t>
  </si>
  <si>
    <t xml:space="preserve">110104292                     </t>
  </si>
  <si>
    <t>Пульт расширяющий</t>
  </si>
  <si>
    <t xml:space="preserve">110104309                     </t>
  </si>
  <si>
    <t xml:space="preserve">110104316                     </t>
  </si>
  <si>
    <t>Системный блок в сборе+комплект /подарок/ софинансирование</t>
  </si>
  <si>
    <t xml:space="preserve">110104422                     </t>
  </si>
  <si>
    <t>Системный блок/в сборе+комплект  /подарок/ /  софинансирование</t>
  </si>
  <si>
    <t xml:space="preserve">110104421                     </t>
  </si>
  <si>
    <t>Сканер планшетный</t>
  </si>
  <si>
    <t xml:space="preserve">110104057                     </t>
  </si>
  <si>
    <t>Стиральная машина   "Индезит"</t>
  </si>
  <si>
    <t xml:space="preserve">110104026                     </t>
  </si>
  <si>
    <t>Телевизор  21"Самсунг " (нач.шк.)</t>
  </si>
  <si>
    <t xml:space="preserve">110104143                     </t>
  </si>
  <si>
    <t xml:space="preserve">110104040                     </t>
  </si>
  <si>
    <t xml:space="preserve">110104058                     </t>
  </si>
  <si>
    <t xml:space="preserve">110104109                     </t>
  </si>
  <si>
    <t xml:space="preserve">110104112                     </t>
  </si>
  <si>
    <t xml:space="preserve">110104116                     </t>
  </si>
  <si>
    <t xml:space="preserve">110104117                     </t>
  </si>
  <si>
    <t>Телевизор 21"Самсунг " (нач.шк.)</t>
  </si>
  <si>
    <t xml:space="preserve">110104119                     </t>
  </si>
  <si>
    <t xml:space="preserve">110104121                     </t>
  </si>
  <si>
    <t xml:space="preserve">110104125                     </t>
  </si>
  <si>
    <t xml:space="preserve">110104140                     </t>
  </si>
  <si>
    <t xml:space="preserve">110104150                     </t>
  </si>
  <si>
    <t xml:space="preserve">110104151                     </t>
  </si>
  <si>
    <t xml:space="preserve">110104152                     </t>
  </si>
  <si>
    <t xml:space="preserve">110104153                     </t>
  </si>
  <si>
    <t>Телевизор 21"Самсунг " (нач.шк. )</t>
  </si>
  <si>
    <t xml:space="preserve">110104154                     </t>
  </si>
  <si>
    <t xml:space="preserve">110104155                     </t>
  </si>
  <si>
    <t xml:space="preserve">110104156                     </t>
  </si>
  <si>
    <t xml:space="preserve">110104157                     </t>
  </si>
  <si>
    <t xml:space="preserve">110104158                     </t>
  </si>
  <si>
    <t>Телевизор 21"Самсунг"(нач.шк)</t>
  </si>
  <si>
    <t xml:space="preserve">110104159                     </t>
  </si>
  <si>
    <t xml:space="preserve">110104174                     </t>
  </si>
  <si>
    <t>Телевизор 21"Тошиба " (нач.шк.)</t>
  </si>
  <si>
    <t xml:space="preserve">110104175                     </t>
  </si>
  <si>
    <t xml:space="preserve">110104176                     </t>
  </si>
  <si>
    <t xml:space="preserve">110104177                     </t>
  </si>
  <si>
    <t xml:space="preserve">110104178                     </t>
  </si>
  <si>
    <t xml:space="preserve">110104179                     </t>
  </si>
  <si>
    <t xml:space="preserve">110104180                     </t>
  </si>
  <si>
    <t xml:space="preserve">110104181                     </t>
  </si>
  <si>
    <t xml:space="preserve">110104183                     </t>
  </si>
  <si>
    <t xml:space="preserve">110104184                     </t>
  </si>
  <si>
    <t xml:space="preserve">110104185                     </t>
  </si>
  <si>
    <t xml:space="preserve">110104186                     </t>
  </si>
  <si>
    <t xml:space="preserve">110104187                     </t>
  </si>
  <si>
    <t xml:space="preserve">110104188                     </t>
  </si>
  <si>
    <t xml:space="preserve">110104189                     </t>
  </si>
  <si>
    <t xml:space="preserve">110104190                     </t>
  </si>
  <si>
    <t xml:space="preserve">110104191                     </t>
  </si>
  <si>
    <t xml:space="preserve">110104192                     </t>
  </si>
  <si>
    <t>Телевтзор 21"</t>
  </si>
  <si>
    <t xml:space="preserve">110104182                     </t>
  </si>
  <si>
    <t>Холодильник "Индезит " (каб.Котовой)</t>
  </si>
  <si>
    <t xml:space="preserve">110104035                     </t>
  </si>
  <si>
    <t>Холодильник "Атлант"2х камерн. (мед.каб. нов.шк.</t>
  </si>
  <si>
    <t xml:space="preserve">110104037                     </t>
  </si>
  <si>
    <t>Холодильник 2х камерный</t>
  </si>
  <si>
    <t xml:space="preserve">110104045                     </t>
  </si>
  <si>
    <t>Холодильник "Саратов "2-х камерн..(мед.каб.нов.шк.)</t>
  </si>
  <si>
    <t xml:space="preserve">110104025                     </t>
  </si>
  <si>
    <t>Экран  / подарок /  по наказ. изберат (каб.22 нач.шк.)</t>
  </si>
  <si>
    <t xml:space="preserve">1,1010441416                  </t>
  </si>
  <si>
    <t>Экран  145х145,80,7</t>
  </si>
  <si>
    <t xml:space="preserve">110104417                     </t>
  </si>
  <si>
    <t>Экран 145х145,80,7,  /Софинансирование /</t>
  </si>
  <si>
    <t xml:space="preserve">110104418                     </t>
  </si>
  <si>
    <t>Электрогитара "ритм"</t>
  </si>
  <si>
    <t xml:space="preserve">110104279                     </t>
  </si>
  <si>
    <t>Ломтерезка</t>
  </si>
  <si>
    <t xml:space="preserve">110104027                     </t>
  </si>
  <si>
    <t>Холодильник "Норд" (лаб.нач.шк.)</t>
  </si>
  <si>
    <t>Ноутбук НР ProBook</t>
  </si>
  <si>
    <t xml:space="preserve">4101340214                    </t>
  </si>
  <si>
    <t>Проектор Acer P 1276 + кабель VGA 10 м.</t>
  </si>
  <si>
    <t xml:space="preserve">4101340213                    </t>
  </si>
  <si>
    <t>Монитор (тип 2) ASUS VE228TLB</t>
  </si>
  <si>
    <t xml:space="preserve">4101340196                    </t>
  </si>
  <si>
    <t xml:space="preserve">4101340197                    </t>
  </si>
  <si>
    <t>Динамич-ий кардиоидный микрофон SHURE SM58-LCE в компл-е с микроф.стойкой</t>
  </si>
  <si>
    <t xml:space="preserve">4101340198                    </t>
  </si>
  <si>
    <t xml:space="preserve">4101340199                    </t>
  </si>
  <si>
    <t>Мультимедийная дека CDJ-350</t>
  </si>
  <si>
    <t xml:space="preserve">4101340200                    </t>
  </si>
  <si>
    <t>Микшерный пульт (тип 1)  DJM-350</t>
  </si>
  <si>
    <t xml:space="preserve">4101340201                    </t>
  </si>
  <si>
    <t>Наушники SHURE SRH840</t>
  </si>
  <si>
    <t xml:space="preserve">4101340202                    </t>
  </si>
  <si>
    <t>Система радиомикроф-в (тип1) SHURE BLX14E\PG30 K3E в комп-те с микроф-й стойкой</t>
  </si>
  <si>
    <t xml:space="preserve">4101340203                    </t>
  </si>
  <si>
    <t>Система радиомикроф-в (тип 2) SHURE BLX24E\PG58 K3Eв компл-те с микроф-й стойкой</t>
  </si>
  <si>
    <t xml:space="preserve">4101340205                    </t>
  </si>
  <si>
    <t>Микшерный пульт (тип 2) MACKIE ProFX12</t>
  </si>
  <si>
    <t xml:space="preserve">4101340204                    </t>
  </si>
  <si>
    <t>Источник беспереб-го питания APC Smart-UPS C 1500VA LCD230V</t>
  </si>
  <si>
    <t xml:space="preserve">4101340206                    </t>
  </si>
  <si>
    <t>Прожектор INVOLIGHT LED PAR64\BK</t>
  </si>
  <si>
    <t xml:space="preserve">4101340207                    </t>
  </si>
  <si>
    <t xml:space="preserve">4101340208                    </t>
  </si>
  <si>
    <t xml:space="preserve">4101340209                    </t>
  </si>
  <si>
    <t xml:space="preserve">4101340210                    </t>
  </si>
  <si>
    <t xml:space="preserve">4101340211                    </t>
  </si>
  <si>
    <t xml:space="preserve">4101340212                    </t>
  </si>
  <si>
    <t xml:space="preserve">1,10104380                    </t>
  </si>
  <si>
    <t>Монитор  Самсунг 17   по наказам.изберат.каб.27 нач.шк.</t>
  </si>
  <si>
    <t xml:space="preserve">1.10104420                    </t>
  </si>
  <si>
    <t>Монитор  Самсунг 17</t>
  </si>
  <si>
    <t xml:space="preserve">1.10104421                    </t>
  </si>
  <si>
    <t xml:space="preserve">Микрофоны вокальные  </t>
  </si>
  <si>
    <t xml:space="preserve">Микрофоны для ударной установки   </t>
  </si>
  <si>
    <t xml:space="preserve">1.10104304                    </t>
  </si>
  <si>
    <t>Комп. IRU Corp/320. IP.П2010,DDR34 Гб,500Гб DWD-RW Wi-s  8Pro</t>
  </si>
  <si>
    <t xml:space="preserve">4101340190                    </t>
  </si>
  <si>
    <t xml:space="preserve">4101340191                    </t>
  </si>
  <si>
    <t>Проектор NEC V 260 XG</t>
  </si>
  <si>
    <t xml:space="preserve">4.101340192                   </t>
  </si>
  <si>
    <t xml:space="preserve">4101340193                    </t>
  </si>
  <si>
    <t>Монитор ЖК VIEWSONIC VA1911A-LED 18.5</t>
  </si>
  <si>
    <t xml:space="preserve">4101340194                    </t>
  </si>
  <si>
    <t>МФУ BROTHER DCP-7057R</t>
  </si>
  <si>
    <t xml:space="preserve">4101340195                    </t>
  </si>
  <si>
    <t>Электроплита (Делюкс)</t>
  </si>
  <si>
    <t xml:space="preserve">1,10134023                    </t>
  </si>
  <si>
    <t>Электроплита ( Делюкс )</t>
  </si>
  <si>
    <t xml:space="preserve">1.10134024                    </t>
  </si>
  <si>
    <t>Констр-ор по началам конструирования "Простые механизмы"</t>
  </si>
  <si>
    <t xml:space="preserve">4101340114                    </t>
  </si>
  <si>
    <t xml:space="preserve">4101340115                    </t>
  </si>
  <si>
    <t xml:space="preserve">4101340116                    </t>
  </si>
  <si>
    <t xml:space="preserve">4101340117                    </t>
  </si>
  <si>
    <t xml:space="preserve">4101340118                    </t>
  </si>
  <si>
    <t xml:space="preserve">4101340119                    </t>
  </si>
  <si>
    <t xml:space="preserve">4101340120                    </t>
  </si>
  <si>
    <t xml:space="preserve">4101340121                    </t>
  </si>
  <si>
    <t xml:space="preserve">4101340122                    </t>
  </si>
  <si>
    <t xml:space="preserve">4101340123                    </t>
  </si>
  <si>
    <t xml:space="preserve">4101340124                    </t>
  </si>
  <si>
    <t xml:space="preserve">4101340125                    </t>
  </si>
  <si>
    <t xml:space="preserve">4101340126                    </t>
  </si>
  <si>
    <t xml:space="preserve">4101340127                    </t>
  </si>
  <si>
    <t xml:space="preserve">4101340128                    </t>
  </si>
  <si>
    <t xml:space="preserve">4101340129                    </t>
  </si>
  <si>
    <t xml:space="preserve">4101340130                    </t>
  </si>
  <si>
    <t xml:space="preserve">4101340131                    </t>
  </si>
  <si>
    <t>Конструктор по нач.конст-ия робототех. LEGO (рук-во для учителя)</t>
  </si>
  <si>
    <t xml:space="preserve">4101340132                    </t>
  </si>
  <si>
    <t xml:space="preserve">4101340133                    </t>
  </si>
  <si>
    <t xml:space="preserve">4101340134                    </t>
  </si>
  <si>
    <t xml:space="preserve">4101340135                    </t>
  </si>
  <si>
    <t xml:space="preserve">4101340136                    </t>
  </si>
  <si>
    <t xml:space="preserve">4101340137                    </t>
  </si>
  <si>
    <t xml:space="preserve">4101340138                    </t>
  </si>
  <si>
    <t xml:space="preserve">4101340139                    </t>
  </si>
  <si>
    <t xml:space="preserve">4101340140                    </t>
  </si>
  <si>
    <t xml:space="preserve">4101340141                    </t>
  </si>
  <si>
    <t>Микроскоп цифр.Micro Life ML-12-1.3( пособие для педагога )</t>
  </si>
  <si>
    <t xml:space="preserve">4101340142                    </t>
  </si>
  <si>
    <t xml:space="preserve">4101340143                    </t>
  </si>
  <si>
    <t xml:space="preserve">4101340144                    </t>
  </si>
  <si>
    <t xml:space="preserve">4101340145                    </t>
  </si>
  <si>
    <t xml:space="preserve">4101340146                    </t>
  </si>
  <si>
    <t xml:space="preserve">4101340147                    </t>
  </si>
  <si>
    <t xml:space="preserve">4101340148                    </t>
  </si>
  <si>
    <t xml:space="preserve">4101340149                    </t>
  </si>
  <si>
    <t xml:space="preserve">4101340150                    </t>
  </si>
  <si>
    <t xml:space="preserve">4101340151                    </t>
  </si>
  <si>
    <t xml:space="preserve">4101340152                    </t>
  </si>
  <si>
    <t xml:space="preserve">4101340153                    </t>
  </si>
  <si>
    <t xml:space="preserve">4101340154                    </t>
  </si>
  <si>
    <t xml:space="preserve">4101340155                    </t>
  </si>
  <si>
    <t xml:space="preserve">4101340156                    </t>
  </si>
  <si>
    <t xml:space="preserve">4101340157                    </t>
  </si>
  <si>
    <t xml:space="preserve">4101340158                    </t>
  </si>
  <si>
    <t xml:space="preserve">4101340159                    </t>
  </si>
  <si>
    <t xml:space="preserve">4101340160                    </t>
  </si>
  <si>
    <t xml:space="preserve">4101340161                    </t>
  </si>
  <si>
    <t>Микроскоп цифровой Mikro Life ML -12-1.3</t>
  </si>
  <si>
    <t xml:space="preserve">4101340162                    </t>
  </si>
  <si>
    <t xml:space="preserve">4101340163                    </t>
  </si>
  <si>
    <t xml:space="preserve">4101340164                    </t>
  </si>
  <si>
    <t xml:space="preserve">4101340165                    </t>
  </si>
  <si>
    <t xml:space="preserve">4101340166                    </t>
  </si>
  <si>
    <t>Многофункциональное уст-во с запасным картриджем</t>
  </si>
  <si>
    <t xml:space="preserve">4101340167                    </t>
  </si>
  <si>
    <t xml:space="preserve">4101340168                    </t>
  </si>
  <si>
    <t xml:space="preserve">4101340169                    </t>
  </si>
  <si>
    <t xml:space="preserve">4101340170                    </t>
  </si>
  <si>
    <t xml:space="preserve">4101340171                    </t>
  </si>
  <si>
    <t xml:space="preserve">Универс-ная платформа для перемещения,хранения и подзарядки портат. компьютеров </t>
  </si>
  <si>
    <t xml:space="preserve">4101340172                    </t>
  </si>
  <si>
    <t xml:space="preserve">4101340173                    </t>
  </si>
  <si>
    <t xml:space="preserve">4101340174                    </t>
  </si>
  <si>
    <t xml:space="preserve">4101340175                    </t>
  </si>
  <si>
    <t xml:space="preserve">4101340176                    </t>
  </si>
  <si>
    <t>Фотоаппарат Canon Power Shot A3300 IS (карта памяти</t>
  </si>
  <si>
    <t xml:space="preserve">4101340177                    </t>
  </si>
  <si>
    <t xml:space="preserve">4101340178                    </t>
  </si>
  <si>
    <t xml:space="preserve">4101340179                    </t>
  </si>
  <si>
    <t xml:space="preserve">4101340180                    </t>
  </si>
  <si>
    <t xml:space="preserve">4101340181                    </t>
  </si>
  <si>
    <t>Ноутбук ACER Extensa EX2510G</t>
  </si>
  <si>
    <t xml:space="preserve">4101340219                    </t>
  </si>
  <si>
    <t xml:space="preserve">4101340218                    </t>
  </si>
  <si>
    <t>Мультимедийный проектор Optoma Х316</t>
  </si>
  <si>
    <t xml:space="preserve">4101340217                    </t>
  </si>
  <si>
    <t xml:space="preserve">4101340216                    </t>
  </si>
  <si>
    <t>Видеорегистратор автомобильный Mystery MDR 790</t>
  </si>
  <si>
    <t xml:space="preserve">4101340215                    </t>
  </si>
  <si>
    <t>Мотокоса Husgarva 323R</t>
  </si>
  <si>
    <t xml:space="preserve">4101340182                    </t>
  </si>
  <si>
    <t>Принтер HP 1018/лазер/ (от Вечерней СОШ)</t>
  </si>
  <si>
    <t xml:space="preserve">4101340223                    </t>
  </si>
  <si>
    <t>Телевизор JG (от Вечерней СОШ)</t>
  </si>
  <si>
    <t xml:space="preserve">4101340224                    </t>
  </si>
  <si>
    <t>Ноутбук LENOVO IdealPad B590, Intel Core i3 (от Вечерней СОШ)</t>
  </si>
  <si>
    <t xml:space="preserve">4101340225                    </t>
  </si>
  <si>
    <t>ПК1-RU+монитор 17 "Филипс" (клавиатура+мышь) (от Вечерней СОШ)</t>
  </si>
  <si>
    <t xml:space="preserve">4101340226                    </t>
  </si>
  <si>
    <t>Принтер "SAMSUNG" ML 2160 (от Вечерней СОШ)</t>
  </si>
  <si>
    <t xml:space="preserve">4101340227                    </t>
  </si>
  <si>
    <t xml:space="preserve">Документ-камера Gaoke GK-9000 A(метод. реком-и пособие для педагога по орган-и </t>
  </si>
  <si>
    <t xml:space="preserve">4101340013                    </t>
  </si>
  <si>
    <t xml:space="preserve">4101340014                    </t>
  </si>
  <si>
    <t xml:space="preserve">4101340015                    </t>
  </si>
  <si>
    <t>Ком-кт лаб.об-ия для нач.школы  (Автон.уст-во отобр.,регист. и  сохр-я резу-ов )</t>
  </si>
  <si>
    <t xml:space="preserve">4101340016                    </t>
  </si>
  <si>
    <t xml:space="preserve">4101340017                    </t>
  </si>
  <si>
    <t xml:space="preserve">4101340019                    </t>
  </si>
  <si>
    <t xml:space="preserve">4101340020                    </t>
  </si>
  <si>
    <t>Комп-кт лаб.обор-ия для нач.школы. Автон. уст-во отобр.рег.-и и сохр.(пособ.   .</t>
  </si>
  <si>
    <t xml:space="preserve">4101340021                    </t>
  </si>
  <si>
    <t xml:space="preserve">4101340022                    </t>
  </si>
  <si>
    <t xml:space="preserve">4101340023                    </t>
  </si>
  <si>
    <t xml:space="preserve">4101340024                    </t>
  </si>
  <si>
    <t xml:space="preserve">4101340025                    </t>
  </si>
  <si>
    <t xml:space="preserve">4101340026                    </t>
  </si>
  <si>
    <t xml:space="preserve">4101340027                    </t>
  </si>
  <si>
    <t xml:space="preserve">4101340028                    </t>
  </si>
  <si>
    <t xml:space="preserve">4101340029                    </t>
  </si>
  <si>
    <t xml:space="preserve">4101340030                    </t>
  </si>
  <si>
    <t xml:space="preserve">4101340031                    </t>
  </si>
  <si>
    <t xml:space="preserve">4101340032                    </t>
  </si>
  <si>
    <t xml:space="preserve">4101340033                    </t>
  </si>
  <si>
    <t xml:space="preserve">4101340034                    </t>
  </si>
  <si>
    <t xml:space="preserve">4101340035                    </t>
  </si>
  <si>
    <t xml:space="preserve">4101340036                    </t>
  </si>
  <si>
    <t xml:space="preserve">4101340037                    </t>
  </si>
  <si>
    <t xml:space="preserve">4101340038                    </t>
  </si>
  <si>
    <t xml:space="preserve">4101340039                    </t>
  </si>
  <si>
    <t xml:space="preserve">4101340040                    </t>
  </si>
  <si>
    <t xml:space="preserve">Ноутбук ученика Acer Travel  Mate (мышь,гарнитура) </t>
  </si>
  <si>
    <t xml:space="preserve">4101340042                    </t>
  </si>
  <si>
    <t xml:space="preserve">4101340043                    </t>
  </si>
  <si>
    <t xml:space="preserve">4101340044                    </t>
  </si>
  <si>
    <t xml:space="preserve">4101340045                    </t>
  </si>
  <si>
    <t xml:space="preserve">4101340046                    </t>
  </si>
  <si>
    <t xml:space="preserve">4101340047                    </t>
  </si>
  <si>
    <t xml:space="preserve">4101340048                    </t>
  </si>
  <si>
    <t xml:space="preserve">4101340049                    </t>
  </si>
  <si>
    <t xml:space="preserve">4101340050                    </t>
  </si>
  <si>
    <t xml:space="preserve">4101340051                    </t>
  </si>
  <si>
    <t xml:space="preserve">4101340052                    </t>
  </si>
  <si>
    <t xml:space="preserve">4101340053                    </t>
  </si>
  <si>
    <t xml:space="preserve">4101340054                    </t>
  </si>
  <si>
    <t xml:space="preserve">4101340055                    </t>
  </si>
  <si>
    <t xml:space="preserve">4101340056                    </t>
  </si>
  <si>
    <t xml:space="preserve">4101340057                    </t>
  </si>
  <si>
    <t xml:space="preserve">4101340058                    </t>
  </si>
  <si>
    <t xml:space="preserve">4101340059                    </t>
  </si>
  <si>
    <t xml:space="preserve">4101340060                    </t>
  </si>
  <si>
    <t xml:space="preserve">4101340061                    </t>
  </si>
  <si>
    <t xml:space="preserve">4101340062                    </t>
  </si>
  <si>
    <t xml:space="preserve">4101340063                    </t>
  </si>
  <si>
    <t xml:space="preserve">4101340064                    </t>
  </si>
  <si>
    <t xml:space="preserve">4101340065                    </t>
  </si>
  <si>
    <t xml:space="preserve">4101340066                    </t>
  </si>
  <si>
    <t xml:space="preserve">4101340067                    </t>
  </si>
  <si>
    <t xml:space="preserve">4101340068                    </t>
  </si>
  <si>
    <t xml:space="preserve">4101340069                    </t>
  </si>
  <si>
    <t xml:space="preserve">4101340070                    </t>
  </si>
  <si>
    <t xml:space="preserve">4101340071                    </t>
  </si>
  <si>
    <t xml:space="preserve">4101340072                    </t>
  </si>
  <si>
    <t xml:space="preserve">4101340073                    </t>
  </si>
  <si>
    <t xml:space="preserve">4101340074                    </t>
  </si>
  <si>
    <t xml:space="preserve">4101340075                    </t>
  </si>
  <si>
    <t xml:space="preserve">4101340076                    </t>
  </si>
  <si>
    <t xml:space="preserve">4101340077                    </t>
  </si>
  <si>
    <t xml:space="preserve">4101340078                    </t>
  </si>
  <si>
    <t xml:space="preserve">4101340079                    </t>
  </si>
  <si>
    <t xml:space="preserve">4101340080                    </t>
  </si>
  <si>
    <t xml:space="preserve">4101340081                    </t>
  </si>
  <si>
    <t xml:space="preserve">4101340082                    </t>
  </si>
  <si>
    <t xml:space="preserve">4101340083                    </t>
  </si>
  <si>
    <t xml:space="preserve">4101340084                    </t>
  </si>
  <si>
    <t xml:space="preserve">4101340085                    </t>
  </si>
  <si>
    <t xml:space="preserve">4101340086                    </t>
  </si>
  <si>
    <t xml:space="preserve">4101340087                    </t>
  </si>
  <si>
    <t xml:space="preserve">4101340088                    </t>
  </si>
  <si>
    <t xml:space="preserve">4101340089                    </t>
  </si>
  <si>
    <t xml:space="preserve">4101340090                    </t>
  </si>
  <si>
    <t xml:space="preserve">4101340091                    </t>
  </si>
  <si>
    <t xml:space="preserve">4101340092                    </t>
  </si>
  <si>
    <t xml:space="preserve">4101340093                    </t>
  </si>
  <si>
    <t xml:space="preserve">4101340094                    </t>
  </si>
  <si>
    <t xml:space="preserve">4101340095                    </t>
  </si>
  <si>
    <t xml:space="preserve">4101340096                    </t>
  </si>
  <si>
    <t xml:space="preserve">4101340097                    </t>
  </si>
  <si>
    <t xml:space="preserve">4101340098                    </t>
  </si>
  <si>
    <t xml:space="preserve">4101340099                    </t>
  </si>
  <si>
    <t xml:space="preserve">4101340100                    </t>
  </si>
  <si>
    <t xml:space="preserve">4101340101                    </t>
  </si>
  <si>
    <t xml:space="preserve">4101340102                    </t>
  </si>
  <si>
    <t xml:space="preserve">4101340103                    </t>
  </si>
  <si>
    <t xml:space="preserve">4101340104                    </t>
  </si>
  <si>
    <t xml:space="preserve">4101340105                    </t>
  </si>
  <si>
    <t xml:space="preserve">4101340106                    </t>
  </si>
  <si>
    <t>Ноутбук педагога Acer Travel Mate (мышь и гарнитура)</t>
  </si>
  <si>
    <t xml:space="preserve">4101340107                    </t>
  </si>
  <si>
    <t xml:space="preserve">4101340108                    </t>
  </si>
  <si>
    <t xml:space="preserve">4101340109                    </t>
  </si>
  <si>
    <t xml:space="preserve">4101340110                    </t>
  </si>
  <si>
    <t xml:space="preserve">4101340111                    </t>
  </si>
  <si>
    <t xml:space="preserve">4101340112                    </t>
  </si>
  <si>
    <t xml:space="preserve">4101340113                    </t>
  </si>
  <si>
    <t>Радиосистема AKG WMS40 MINI VOCAL</t>
  </si>
  <si>
    <t xml:space="preserve">4101340185                    </t>
  </si>
  <si>
    <t xml:space="preserve">4101340186                    </t>
  </si>
  <si>
    <t xml:space="preserve">4101340187                    </t>
  </si>
  <si>
    <t>Рампа  NIGHTSUN SPC002B</t>
  </si>
  <si>
    <t xml:space="preserve">4101340188                    </t>
  </si>
  <si>
    <t>Мультикор FORCE MSB-20/30</t>
  </si>
  <si>
    <t xml:space="preserve">4101340189                    </t>
  </si>
  <si>
    <t>Барабан малый PEARL STE-1465 AL</t>
  </si>
  <si>
    <t xml:space="preserve">5101340012                    </t>
  </si>
  <si>
    <t>Процессор эффектов LEXICON MX300</t>
  </si>
  <si>
    <t xml:space="preserve">4101340183                    </t>
  </si>
  <si>
    <t xml:space="preserve">4101340184                    </t>
  </si>
  <si>
    <t>Сервер S5000В ( S5349LN), Core 17-3770/8Гб/2х1 Тб SATA  RAID(c установкой программы</t>
  </si>
  <si>
    <t>ИБП UPS 1500 VA  ( бесперебойник )</t>
  </si>
  <si>
    <t>Коммутатор D-Link &lt;DES-1210-52 &gt;</t>
  </si>
  <si>
    <t xml:space="preserve">Монитор 20 " MONITOR BenQ  GL 2055 &lt;Black &gt; </t>
  </si>
  <si>
    <t>Ноутбук 15.6 "Acer Packard Bell 3520"  (АРМ Ноутбук, мышь, вебкамера, колонки)</t>
  </si>
  <si>
    <t xml:space="preserve">4101340221                    </t>
  </si>
  <si>
    <t>Принтер HP  Laser Jet 1102</t>
  </si>
  <si>
    <t xml:space="preserve">4101340220                    </t>
  </si>
  <si>
    <t>Копировальный аппарат Canon FC-128, А4</t>
  </si>
  <si>
    <t xml:space="preserve">4101340222                    </t>
  </si>
  <si>
    <t>Графический програмируемый калькулятор TI-84 /иновацион.образ.прогр. /</t>
  </si>
  <si>
    <t xml:space="preserve">110104436                     </t>
  </si>
  <si>
    <t>Графический программируемый калькулятор TI-84  /иновацион.образ.прогр. /</t>
  </si>
  <si>
    <t xml:space="preserve">110104437                     </t>
  </si>
  <si>
    <t>Графический программируемый калькулятор TI-84/иновац.образ.прогр./</t>
  </si>
  <si>
    <t xml:space="preserve">110104438                     </t>
  </si>
  <si>
    <t>Динамическая рельсовая скамья  Verniet Dynamics /иновац.образ.прогр. /</t>
  </si>
  <si>
    <t xml:space="preserve">110104441                     </t>
  </si>
  <si>
    <t>Документ -камера AYerYision C Р135</t>
  </si>
  <si>
    <t xml:space="preserve">110104425                     </t>
  </si>
  <si>
    <t>Комплект для изучения динамическиз процессов по физике  /иновац.образ.прогр. /</t>
  </si>
  <si>
    <t xml:space="preserve">110104443                     </t>
  </si>
  <si>
    <t>Комплект специализированного програмного обеспечения  /иновац.образ.прогр./</t>
  </si>
  <si>
    <t xml:space="preserve">110104445                     </t>
  </si>
  <si>
    <t>Слайд-проекторы с пультом</t>
  </si>
  <si>
    <t xml:space="preserve">110104251                     </t>
  </si>
  <si>
    <t>Устройство для подзарядки УИОДов /иновац.образ.прогр./</t>
  </si>
  <si>
    <t xml:space="preserve">110104442                     </t>
  </si>
  <si>
    <t>Операкионная система /монитор. сис. блок/</t>
  </si>
  <si>
    <t xml:space="preserve">110104233                     </t>
  </si>
  <si>
    <t>Комплекс     учебно -лабор. оборуд. в    комплекте: нетбук  Samsung</t>
  </si>
  <si>
    <t xml:space="preserve">110104555                     </t>
  </si>
  <si>
    <t>Комплекс учебно -лабор. оборуд. в комплекте:нетбук  Samsung</t>
  </si>
  <si>
    <t xml:space="preserve">110104557                     </t>
  </si>
  <si>
    <t>Комплекс учебно-бабор. оборуд. в комплекте: нетбук  Samsung</t>
  </si>
  <si>
    <t xml:space="preserve">110104558                     </t>
  </si>
  <si>
    <t>Комплекс учебно-лабор. оборуд. в комплекте :нетбук  Samsung</t>
  </si>
  <si>
    <t xml:space="preserve">110104551                     </t>
  </si>
  <si>
    <t>Комплексучебно-лабор. оборуд. в комплекте :нетбук  Samsung</t>
  </si>
  <si>
    <t xml:space="preserve">110104553                     </t>
  </si>
  <si>
    <t xml:space="preserve">110104559                     </t>
  </si>
  <si>
    <t>Комплекс учебно-лабор. оборуд. в комплекте: нетбук  Samsung</t>
  </si>
  <si>
    <t xml:space="preserve">110104552                     </t>
  </si>
  <si>
    <t xml:space="preserve">110104554                     </t>
  </si>
  <si>
    <t xml:space="preserve">110104556                     </t>
  </si>
  <si>
    <t xml:space="preserve">110104561                     </t>
  </si>
  <si>
    <t xml:space="preserve">110104562                     </t>
  </si>
  <si>
    <t>Комплекс учебно-лабор. оборуд. в комплекте: нетбук Samsung</t>
  </si>
  <si>
    <t xml:space="preserve">110104560                     </t>
  </si>
  <si>
    <t>Комплекс учебно-лаборапторного  оборуд. в комплекте нетбук   Samsuhg</t>
  </si>
  <si>
    <t xml:space="preserve">110104550                     </t>
  </si>
  <si>
    <t>ВЭТ-200_водонагреватель проточный</t>
  </si>
  <si>
    <t>Машина овощерезательная МПР-350,02</t>
  </si>
  <si>
    <t xml:space="preserve">110104011                     </t>
  </si>
  <si>
    <t>Мясорубка МИМ -300</t>
  </si>
  <si>
    <t>Холодильник "Атлант"2х Камерный</t>
  </si>
  <si>
    <t xml:space="preserve">110104006                     </t>
  </si>
  <si>
    <t>Шкаф жарочный ШЖЭП-1</t>
  </si>
  <si>
    <t xml:space="preserve">110104017                     </t>
  </si>
  <si>
    <t>Электро плита (Делюкс )</t>
  </si>
  <si>
    <t xml:space="preserve">1.10134007                    </t>
  </si>
  <si>
    <t xml:space="preserve">1.10134008                    </t>
  </si>
  <si>
    <t>Факс-телефон</t>
  </si>
  <si>
    <t xml:space="preserve">110104252                     </t>
  </si>
  <si>
    <t>Модель автомашины</t>
  </si>
  <si>
    <t xml:space="preserve">1.10104325                    </t>
  </si>
  <si>
    <t xml:space="preserve">110104398                     </t>
  </si>
  <si>
    <t xml:space="preserve">110104396                     </t>
  </si>
  <si>
    <t xml:space="preserve">1.10104369                    </t>
  </si>
  <si>
    <t>Станок ТСД-120</t>
  </si>
  <si>
    <t xml:space="preserve">1.10104370                    </t>
  </si>
  <si>
    <t>Микшер с усилителем</t>
  </si>
  <si>
    <t xml:space="preserve">1.10104328                    </t>
  </si>
  <si>
    <t xml:space="preserve">1.10104329                    </t>
  </si>
  <si>
    <t>Графопроектор</t>
  </si>
  <si>
    <t xml:space="preserve">1101041399                    </t>
  </si>
  <si>
    <t xml:space="preserve">1101041400                    </t>
  </si>
  <si>
    <t>APC Smart_UPS 750XL w PowerChute+biack</t>
  </si>
  <si>
    <t xml:space="preserve">110104055                     </t>
  </si>
  <si>
    <t xml:space="preserve">110104047                     </t>
  </si>
  <si>
    <t xml:space="preserve">110104051                     </t>
  </si>
  <si>
    <t>Струйный цветной принтер</t>
  </si>
  <si>
    <t xml:space="preserve">110104048                     </t>
  </si>
  <si>
    <t>Операционная система /монит. сис. блок/</t>
  </si>
  <si>
    <t xml:space="preserve">110104231                     </t>
  </si>
  <si>
    <t>Ванна моечная ВМО -3/480 (1540х580х870 )</t>
  </si>
  <si>
    <t>Стол разделочный с бортом СРО 6-1200 (1200х600х870 )</t>
  </si>
  <si>
    <t xml:space="preserve">2101360007                    </t>
  </si>
  <si>
    <t>Стол разделочный с бортом СРО 6-1000 (1000х600х870 )</t>
  </si>
  <si>
    <t xml:space="preserve">2101360008                    </t>
  </si>
  <si>
    <t>Бревно  напольное</t>
  </si>
  <si>
    <t xml:space="preserve">2.10106033                    </t>
  </si>
  <si>
    <t xml:space="preserve">2.10106034                    </t>
  </si>
  <si>
    <t>Бревно гимнастическое</t>
  </si>
  <si>
    <t xml:space="preserve">2.10106032                    </t>
  </si>
  <si>
    <t>Кольцо баскетбольное</t>
  </si>
  <si>
    <t xml:space="preserve">2.10106031                    </t>
  </si>
  <si>
    <t>Перекладина гимнастическая</t>
  </si>
  <si>
    <t xml:space="preserve">2.10106030                    </t>
  </si>
  <si>
    <t>Светофор транспортный 3 сигнала с пеш. переходом</t>
  </si>
  <si>
    <t xml:space="preserve">2.10106024                    </t>
  </si>
  <si>
    <t>Ковш 0,2 м. куб. для ФГП-03 МТ</t>
  </si>
  <si>
    <t>Отвал для ФГП -03 МТ поворотный</t>
  </si>
  <si>
    <t>Навесное оборудование ФГП-03,МТ на МТЗ 320</t>
  </si>
  <si>
    <t>Доски аудиторные поворотные  напольные (Нач.шк.)</t>
  </si>
  <si>
    <t xml:space="preserve">2.101063373                   </t>
  </si>
  <si>
    <t>Механический тренажер диагностическо-реанимационный /Максим /</t>
  </si>
  <si>
    <t xml:space="preserve">2101063378                    </t>
  </si>
  <si>
    <t>Радиостанция   черн/сер /к-т из 2-х шт./</t>
  </si>
  <si>
    <t xml:space="preserve">2101063335                    </t>
  </si>
  <si>
    <t>Доски аудиторные поворотные  напольные (нач.шк.)</t>
  </si>
  <si>
    <t xml:space="preserve">2.101063445                   </t>
  </si>
  <si>
    <t xml:space="preserve">2101360009                    </t>
  </si>
  <si>
    <t xml:space="preserve">2101360010                    </t>
  </si>
  <si>
    <t>М-на для протирки овощей</t>
  </si>
  <si>
    <t>мясорубка МИМ-600</t>
  </si>
  <si>
    <t xml:space="preserve">101060010                     </t>
  </si>
  <si>
    <t xml:space="preserve">101060006                     </t>
  </si>
  <si>
    <t xml:space="preserve">101060007                     </t>
  </si>
  <si>
    <t xml:space="preserve">101060011                     </t>
  </si>
  <si>
    <t>Сушилка для тарел навесн металлич на 70тар</t>
  </si>
  <si>
    <t xml:space="preserve">101060002                     </t>
  </si>
  <si>
    <t>Сушилка для тарелок навес металлич на 70 тар</t>
  </si>
  <si>
    <t xml:space="preserve">101060003                     </t>
  </si>
  <si>
    <t>Сушилка для тарелок навесн металлич на 70 тар</t>
  </si>
  <si>
    <t xml:space="preserve">101060004                     </t>
  </si>
  <si>
    <t xml:space="preserve">101060005                     </t>
  </si>
  <si>
    <t xml:space="preserve">1.101007                      </t>
  </si>
  <si>
    <t>Стол малый Стол обеденный 1200х600х700 5 рост.гр.</t>
  </si>
  <si>
    <t xml:space="preserve">4101360055                    </t>
  </si>
  <si>
    <t xml:space="preserve">4101360048                    </t>
  </si>
  <si>
    <t xml:space="preserve">4101360046                    </t>
  </si>
  <si>
    <t xml:space="preserve">4101360044                    </t>
  </si>
  <si>
    <t xml:space="preserve">4101360042                    </t>
  </si>
  <si>
    <t xml:space="preserve">4101360061                    </t>
  </si>
  <si>
    <t xml:space="preserve">4101360060                    </t>
  </si>
  <si>
    <t xml:space="preserve">4101360059                    </t>
  </si>
  <si>
    <t xml:space="preserve">4101360058                    </t>
  </si>
  <si>
    <t xml:space="preserve">4101360057                    </t>
  </si>
  <si>
    <t xml:space="preserve">4101360056                    </t>
  </si>
  <si>
    <t xml:space="preserve">4101360054                    </t>
  </si>
  <si>
    <t xml:space="preserve">4101360053                    </t>
  </si>
  <si>
    <t xml:space="preserve">4101360052                    </t>
  </si>
  <si>
    <t xml:space="preserve">4101360051                    </t>
  </si>
  <si>
    <t xml:space="preserve">4101360050                    </t>
  </si>
  <si>
    <t xml:space="preserve">4101360049                    </t>
  </si>
  <si>
    <t xml:space="preserve">4101360047                    </t>
  </si>
  <si>
    <t xml:space="preserve">4101360045                    </t>
  </si>
  <si>
    <t xml:space="preserve">4101360043                    </t>
  </si>
  <si>
    <t xml:space="preserve">4101360041                    </t>
  </si>
  <si>
    <t xml:space="preserve">4101360062                    </t>
  </si>
  <si>
    <t xml:space="preserve">4101360063                    </t>
  </si>
  <si>
    <t xml:space="preserve">4101360064                    </t>
  </si>
  <si>
    <t xml:space="preserve">4101360065                    </t>
  </si>
  <si>
    <t xml:space="preserve">4101360066                    </t>
  </si>
  <si>
    <t xml:space="preserve">4101360067                    </t>
  </si>
  <si>
    <t xml:space="preserve">4101360068                    </t>
  </si>
  <si>
    <t xml:space="preserve">4101360069                    </t>
  </si>
  <si>
    <t xml:space="preserve">4101360070                    </t>
  </si>
  <si>
    <t xml:space="preserve">4101360071                    </t>
  </si>
  <si>
    <t xml:space="preserve">4101360072                    </t>
  </si>
  <si>
    <t xml:space="preserve">4101360073                    </t>
  </si>
  <si>
    <t>Стол разделочный средний НСО 430ЭЦ-12/6</t>
  </si>
  <si>
    <t xml:space="preserve">4101360074                    </t>
  </si>
  <si>
    <t xml:space="preserve">4101360075                    </t>
  </si>
  <si>
    <t>Полка для разделочных досок ПКД-600</t>
  </si>
  <si>
    <t xml:space="preserve">4101360076                    </t>
  </si>
  <si>
    <t>Подставка для пароконвектомата 920х820х700</t>
  </si>
  <si>
    <t xml:space="preserve">4101360077                    </t>
  </si>
  <si>
    <t>Ванна моечная двухсекционная ВСМ-2/600</t>
  </si>
  <si>
    <t xml:space="preserve">4101360079                    </t>
  </si>
  <si>
    <t>Ванна моечная трёхсекционная ВСМ-3/430</t>
  </si>
  <si>
    <t xml:space="preserve">4101360078                    </t>
  </si>
  <si>
    <t>Холодильник "Саратов 451"</t>
  </si>
  <si>
    <t>Шкаф жарочный 2-х секционный ШЖЭП-2</t>
  </si>
  <si>
    <t>Картотека на 49 ящиков</t>
  </si>
  <si>
    <t xml:space="preserve">1101062207                    </t>
  </si>
  <si>
    <t xml:space="preserve">Подкатная тумба к письмен  столу </t>
  </si>
  <si>
    <t xml:space="preserve">1101062194                    </t>
  </si>
  <si>
    <t>Подставка для цветов</t>
  </si>
  <si>
    <t xml:space="preserve">1101062768                    </t>
  </si>
  <si>
    <t xml:space="preserve">Подставка для цветов  </t>
  </si>
  <si>
    <t xml:space="preserve">1101062766                    </t>
  </si>
  <si>
    <t xml:space="preserve">Стеллаж  односторонний  </t>
  </si>
  <si>
    <t xml:space="preserve">1101062226                    </t>
  </si>
  <si>
    <t>Стеллаж двухсторонний</t>
  </si>
  <si>
    <t xml:space="preserve">11010622230                   </t>
  </si>
  <si>
    <t xml:space="preserve">110102231                     </t>
  </si>
  <si>
    <t xml:space="preserve">11010622232                   </t>
  </si>
  <si>
    <t xml:space="preserve">11010622233                   </t>
  </si>
  <si>
    <t xml:space="preserve">11010622234                   </t>
  </si>
  <si>
    <t xml:space="preserve">11010622235                   </t>
  </si>
  <si>
    <t xml:space="preserve">11010622236                   </t>
  </si>
  <si>
    <t xml:space="preserve">11010622237                   </t>
  </si>
  <si>
    <t xml:space="preserve">11010622238                   </t>
  </si>
  <si>
    <t xml:space="preserve">11010622239                   </t>
  </si>
  <si>
    <t xml:space="preserve">11010622240                   </t>
  </si>
  <si>
    <t xml:space="preserve">11010622241                   </t>
  </si>
  <si>
    <t xml:space="preserve">11010622243                   </t>
  </si>
  <si>
    <t xml:space="preserve">11010622244                   </t>
  </si>
  <si>
    <t xml:space="preserve">11010622245                   </t>
  </si>
  <si>
    <t xml:space="preserve">11010622246                   </t>
  </si>
  <si>
    <t xml:space="preserve">11010622247                   </t>
  </si>
  <si>
    <t xml:space="preserve">11010622248                   </t>
  </si>
  <si>
    <t xml:space="preserve">11010622249                   </t>
  </si>
  <si>
    <t>Стеллаж демонстрацион  с наклон  полками</t>
  </si>
  <si>
    <t xml:space="preserve">1101062204                    </t>
  </si>
  <si>
    <t>Стеллаж демонстрацион  с наклон полками</t>
  </si>
  <si>
    <t xml:space="preserve">1101062206                    </t>
  </si>
  <si>
    <t>Стеллаж демонстрацион  с наклонн полками</t>
  </si>
  <si>
    <t xml:space="preserve">1101062205                    </t>
  </si>
  <si>
    <t>Стеллаж демонстрацион с наклон полками</t>
  </si>
  <si>
    <t xml:space="preserve">1101062203                    </t>
  </si>
  <si>
    <t>Стеллаж односторонний</t>
  </si>
  <si>
    <t xml:space="preserve">1101062228                    </t>
  </si>
  <si>
    <t xml:space="preserve">Стеллаж односторонний  </t>
  </si>
  <si>
    <t xml:space="preserve">1101062222                    </t>
  </si>
  <si>
    <t xml:space="preserve">1101062220                    </t>
  </si>
  <si>
    <t xml:space="preserve">1101062224                    </t>
  </si>
  <si>
    <t>Стеллаж твухсторонний</t>
  </si>
  <si>
    <t xml:space="preserve">11010622242                   </t>
  </si>
  <si>
    <t>Стол барьерный библиотечный</t>
  </si>
  <si>
    <t xml:space="preserve">1101062201                    </t>
  </si>
  <si>
    <t>Стол-кафедра для выдачи книг</t>
  </si>
  <si>
    <t xml:space="preserve">1101062202                    </t>
  </si>
  <si>
    <t>Стул полумягкий</t>
  </si>
  <si>
    <t xml:space="preserve">110106097                     </t>
  </si>
  <si>
    <t xml:space="preserve">110106098                     </t>
  </si>
  <si>
    <t>Шкаф с тумбой открытый</t>
  </si>
  <si>
    <t xml:space="preserve">110106197                     </t>
  </si>
  <si>
    <t xml:space="preserve">1101062195                    </t>
  </si>
  <si>
    <t xml:space="preserve">1101062223                    </t>
  </si>
  <si>
    <t xml:space="preserve">1101062227                    </t>
  </si>
  <si>
    <t xml:space="preserve">1101062221                    </t>
  </si>
  <si>
    <t xml:space="preserve">1101062225                    </t>
  </si>
  <si>
    <t xml:space="preserve">1101062767                    </t>
  </si>
  <si>
    <t>Велосипед Пилот Стелс 20 скор.</t>
  </si>
  <si>
    <t xml:space="preserve">101063129                     </t>
  </si>
  <si>
    <t xml:space="preserve">1101063132                    </t>
  </si>
  <si>
    <t>Баскетбольная стойка /высота 395/уличная</t>
  </si>
  <si>
    <t xml:space="preserve">110106729                     </t>
  </si>
  <si>
    <t>Баскетбольная стойка /высота395/ уличная</t>
  </si>
  <si>
    <t xml:space="preserve">110106730                     </t>
  </si>
  <si>
    <t>Баскетбольный щит  уличный</t>
  </si>
  <si>
    <t xml:space="preserve">110106731                     </t>
  </si>
  <si>
    <t xml:space="preserve">110106732                     </t>
  </si>
  <si>
    <t xml:space="preserve">110106325                     </t>
  </si>
  <si>
    <t>Волейбольная стойка /380 высота/ уличная</t>
  </si>
  <si>
    <t xml:space="preserve">110106728                     </t>
  </si>
  <si>
    <t>Волейбольная стойка /380высота/ уличная</t>
  </si>
  <si>
    <t xml:space="preserve">110106727                     </t>
  </si>
  <si>
    <t>Ворота для ручного мяча в зал и улицу разборн</t>
  </si>
  <si>
    <t xml:space="preserve">110106703                     </t>
  </si>
  <si>
    <t xml:space="preserve">110106704                     </t>
  </si>
  <si>
    <t xml:space="preserve">110106338                     </t>
  </si>
  <si>
    <t xml:space="preserve">110106339                     </t>
  </si>
  <si>
    <t>Гандбольные ворота /уличн/</t>
  </si>
  <si>
    <t xml:space="preserve">110106723                     </t>
  </si>
  <si>
    <t>Гандбольные ворота /уличные/</t>
  </si>
  <si>
    <t xml:space="preserve">110106724                     </t>
  </si>
  <si>
    <t>Гимнастический турник /уличный/</t>
  </si>
  <si>
    <t xml:space="preserve">110106725                     </t>
  </si>
  <si>
    <t xml:space="preserve">110106726                     </t>
  </si>
  <si>
    <t>Доска гимнастическая наклонная</t>
  </si>
  <si>
    <t xml:space="preserve">110106698                     </t>
  </si>
  <si>
    <t xml:space="preserve">110106699                     </t>
  </si>
  <si>
    <t xml:space="preserve">110106700                     </t>
  </si>
  <si>
    <t xml:space="preserve">110106701                     </t>
  </si>
  <si>
    <t xml:space="preserve">110106702                     </t>
  </si>
  <si>
    <t>Жалюзи на окна</t>
  </si>
  <si>
    <t xml:space="preserve">1101062906                    </t>
  </si>
  <si>
    <t xml:space="preserve">1101062907                    </t>
  </si>
  <si>
    <t>Защитные сетки на окна и стены для двух залов</t>
  </si>
  <si>
    <t xml:space="preserve">110106733                     </t>
  </si>
  <si>
    <t>Канат для лазания с 139</t>
  </si>
  <si>
    <t xml:space="preserve">110106328                     </t>
  </si>
  <si>
    <t>Канат для лазания с139</t>
  </si>
  <si>
    <t xml:space="preserve">110106327                     </t>
  </si>
  <si>
    <t xml:space="preserve">110106330                     </t>
  </si>
  <si>
    <t>Козел гимнастический</t>
  </si>
  <si>
    <t xml:space="preserve">110106321                     </t>
  </si>
  <si>
    <t xml:space="preserve">110106322                     </t>
  </si>
  <si>
    <t>Кольцо баскетб-щит тренировочный</t>
  </si>
  <si>
    <t xml:space="preserve">110106718                     </t>
  </si>
  <si>
    <t xml:space="preserve">110106719                     </t>
  </si>
  <si>
    <t xml:space="preserve">110106720                     </t>
  </si>
  <si>
    <t xml:space="preserve">110106721                     </t>
  </si>
  <si>
    <t xml:space="preserve">110106722                     </t>
  </si>
  <si>
    <t>Комплект оборуд-я волейбольной площадки</t>
  </si>
  <si>
    <t xml:space="preserve">110106341                     </t>
  </si>
  <si>
    <t>Комплект оборудован. для большого тениса</t>
  </si>
  <si>
    <t xml:space="preserve">110106658                     </t>
  </si>
  <si>
    <t xml:space="preserve">110106659                     </t>
  </si>
  <si>
    <t>Комплект оьор-я волейбольной площадки</t>
  </si>
  <si>
    <t xml:space="preserve">110106340                     </t>
  </si>
  <si>
    <t>Конь гимнастический</t>
  </si>
  <si>
    <t xml:space="preserve">110106320                     </t>
  </si>
  <si>
    <t>Копье для метания</t>
  </si>
  <si>
    <t xml:space="preserve">110106352                     </t>
  </si>
  <si>
    <t xml:space="preserve">110106353                     </t>
  </si>
  <si>
    <t xml:space="preserve">110106354                     </t>
  </si>
  <si>
    <t xml:space="preserve">110106355                     </t>
  </si>
  <si>
    <t>Магнитный велотренажер</t>
  </si>
  <si>
    <t xml:space="preserve">110106665                     </t>
  </si>
  <si>
    <t>Маты гимнастичес кож зам</t>
  </si>
  <si>
    <t xml:space="preserve">1101061328                    </t>
  </si>
  <si>
    <t>Маты гимнастические кож зам</t>
  </si>
  <si>
    <t xml:space="preserve">110106298                     </t>
  </si>
  <si>
    <t xml:space="preserve">110106301                     </t>
  </si>
  <si>
    <t xml:space="preserve">110106302                     </t>
  </si>
  <si>
    <t xml:space="preserve">110106303                     </t>
  </si>
  <si>
    <t xml:space="preserve">110106304                     </t>
  </si>
  <si>
    <t xml:space="preserve">110106305                     </t>
  </si>
  <si>
    <t xml:space="preserve">110106306                     </t>
  </si>
  <si>
    <t xml:space="preserve">110106307                     </t>
  </si>
  <si>
    <t xml:space="preserve">110106308                     </t>
  </si>
  <si>
    <t xml:space="preserve">110106309                     </t>
  </si>
  <si>
    <t xml:space="preserve">110106310                     </t>
  </si>
  <si>
    <t xml:space="preserve">110106311                     </t>
  </si>
  <si>
    <t xml:space="preserve">110106312                     </t>
  </si>
  <si>
    <t xml:space="preserve">110106313                     </t>
  </si>
  <si>
    <t xml:space="preserve">110106314                     </t>
  </si>
  <si>
    <t xml:space="preserve">110106315                     </t>
  </si>
  <si>
    <t xml:space="preserve">110106316                     </t>
  </si>
  <si>
    <t xml:space="preserve">110106317                     </t>
  </si>
  <si>
    <t xml:space="preserve">110106318                     </t>
  </si>
  <si>
    <t>Маты гимнастические кож. зам.</t>
  </si>
  <si>
    <t xml:space="preserve">110106291                     </t>
  </si>
  <si>
    <t xml:space="preserve">110106292                     </t>
  </si>
  <si>
    <t>Маты гимнастические кож.зам.</t>
  </si>
  <si>
    <t xml:space="preserve">110106290                     </t>
  </si>
  <si>
    <t xml:space="preserve">110106293                     </t>
  </si>
  <si>
    <t xml:space="preserve">110106294                     </t>
  </si>
  <si>
    <t xml:space="preserve">110106295                     </t>
  </si>
  <si>
    <t>Мостик гимнастический</t>
  </si>
  <si>
    <t xml:space="preserve">110106357                     </t>
  </si>
  <si>
    <t xml:space="preserve">110106358                     </t>
  </si>
  <si>
    <t xml:space="preserve">110106359                     </t>
  </si>
  <si>
    <t>Палатки туристические 4х местные</t>
  </si>
  <si>
    <t xml:space="preserve">110106615                     </t>
  </si>
  <si>
    <t>Палатки туристсческие  6ти местные</t>
  </si>
  <si>
    <t xml:space="preserve">110106618                     </t>
  </si>
  <si>
    <t>Перекладина высокая</t>
  </si>
  <si>
    <t xml:space="preserve">110106319                     </t>
  </si>
  <si>
    <t>Подкатная тумба</t>
  </si>
  <si>
    <t xml:space="preserve">110106762                     </t>
  </si>
  <si>
    <t>Пристенные перекладины</t>
  </si>
  <si>
    <t xml:space="preserve">110106366                     </t>
  </si>
  <si>
    <t xml:space="preserve">110106367                     </t>
  </si>
  <si>
    <t>Ракетка большого тениса</t>
  </si>
  <si>
    <t xml:space="preserve">110106660                     </t>
  </si>
  <si>
    <t xml:space="preserve">110106661                     </t>
  </si>
  <si>
    <t xml:space="preserve">110106663                     </t>
  </si>
  <si>
    <t>Рукосушилки металлические</t>
  </si>
  <si>
    <t xml:space="preserve">1101062529                    </t>
  </si>
  <si>
    <t>Сетка волебольная</t>
  </si>
  <si>
    <t xml:space="preserve">1101063128                    </t>
  </si>
  <si>
    <t>Скамья  гимнастическая</t>
  </si>
  <si>
    <t xml:space="preserve">110106686                     </t>
  </si>
  <si>
    <t>Скамья гимнастическая</t>
  </si>
  <si>
    <t xml:space="preserve">110106678                     </t>
  </si>
  <si>
    <t xml:space="preserve">110106679                     </t>
  </si>
  <si>
    <t xml:space="preserve">110106680                     </t>
  </si>
  <si>
    <t xml:space="preserve">110106681                     </t>
  </si>
  <si>
    <t xml:space="preserve">110106683                     </t>
  </si>
  <si>
    <t xml:space="preserve">110106684                     </t>
  </si>
  <si>
    <t xml:space="preserve">110106685                     </t>
  </si>
  <si>
    <t xml:space="preserve">110106687                     </t>
  </si>
  <si>
    <t>Скамья гимнастичкская</t>
  </si>
  <si>
    <t xml:space="preserve">110106682                     </t>
  </si>
  <si>
    <t>Скамья для жима со стойками под штангу</t>
  </si>
  <si>
    <t xml:space="preserve">110106667                     </t>
  </si>
  <si>
    <t>Скамья для пресса</t>
  </si>
  <si>
    <t xml:space="preserve">110106666                     </t>
  </si>
  <si>
    <t>Стартовые колодки</t>
  </si>
  <si>
    <t xml:space="preserve">110106360                     </t>
  </si>
  <si>
    <t xml:space="preserve">110106361                     </t>
  </si>
  <si>
    <t xml:space="preserve">110106362                     </t>
  </si>
  <si>
    <t xml:space="preserve">110106363                     </t>
  </si>
  <si>
    <t>Стенка шваедская гимнастическая</t>
  </si>
  <si>
    <t xml:space="preserve">110106374                     </t>
  </si>
  <si>
    <t xml:space="preserve">Стенка шведская    </t>
  </si>
  <si>
    <t xml:space="preserve">1101062588                    </t>
  </si>
  <si>
    <t xml:space="preserve">Стенка шведская   </t>
  </si>
  <si>
    <t xml:space="preserve">1101062586                    </t>
  </si>
  <si>
    <t xml:space="preserve">Стенка шведская  </t>
  </si>
  <si>
    <t xml:space="preserve">1101062574                    </t>
  </si>
  <si>
    <t xml:space="preserve">1101062576                    </t>
  </si>
  <si>
    <t xml:space="preserve">1101062580                    </t>
  </si>
  <si>
    <t xml:space="preserve">1101062582                    </t>
  </si>
  <si>
    <t xml:space="preserve">1101062584                    </t>
  </si>
  <si>
    <t xml:space="preserve">Стенка шведская </t>
  </si>
  <si>
    <t xml:space="preserve">.1101062570                   </t>
  </si>
  <si>
    <t xml:space="preserve">1101062578                    </t>
  </si>
  <si>
    <t xml:space="preserve">1101062572                    </t>
  </si>
  <si>
    <t>Стенка шведская гимнастическая</t>
  </si>
  <si>
    <t xml:space="preserve">110106368                     </t>
  </si>
  <si>
    <t xml:space="preserve">110106370                     </t>
  </si>
  <si>
    <t xml:space="preserve">110106371                     </t>
  </si>
  <si>
    <t xml:space="preserve">110106372                     </t>
  </si>
  <si>
    <t xml:space="preserve">110106373                     </t>
  </si>
  <si>
    <t xml:space="preserve">110106375                     </t>
  </si>
  <si>
    <t xml:space="preserve">110106376                     </t>
  </si>
  <si>
    <t xml:space="preserve">110106377                     </t>
  </si>
  <si>
    <t xml:space="preserve">110106378                     </t>
  </si>
  <si>
    <t xml:space="preserve">110106379                     </t>
  </si>
  <si>
    <t xml:space="preserve">110106380                     </t>
  </si>
  <si>
    <t xml:space="preserve">110106381                     </t>
  </si>
  <si>
    <t xml:space="preserve">110106382                     </t>
  </si>
  <si>
    <t xml:space="preserve">110106383                     </t>
  </si>
  <si>
    <t xml:space="preserve">110106384                     </t>
  </si>
  <si>
    <t xml:space="preserve">110106675                     </t>
  </si>
  <si>
    <t xml:space="preserve">110106676                     </t>
  </si>
  <si>
    <t xml:space="preserve">110106677                     </t>
  </si>
  <si>
    <t>Стенка шведская гимнастсческая</t>
  </si>
  <si>
    <t xml:space="preserve">110106369                     </t>
  </si>
  <si>
    <t>Стол тенисный</t>
  </si>
  <si>
    <t xml:space="preserve">110106648                     </t>
  </si>
  <si>
    <t xml:space="preserve">110106649                     </t>
  </si>
  <si>
    <t xml:space="preserve">110106650                     </t>
  </si>
  <si>
    <t xml:space="preserve">110106651                     </t>
  </si>
  <si>
    <t>Тумба шкаф закрытый</t>
  </si>
  <si>
    <t xml:space="preserve">1101062852                    </t>
  </si>
  <si>
    <t>Туристический набор /стол+ 4стула/</t>
  </si>
  <si>
    <t xml:space="preserve">110106640                     </t>
  </si>
  <si>
    <t>Туристический набор /стол+4 стула/</t>
  </si>
  <si>
    <t xml:space="preserve">110106642                     </t>
  </si>
  <si>
    <t xml:space="preserve">1101062853                    </t>
  </si>
  <si>
    <t>Шкаф с тумбой со стекл створками</t>
  </si>
  <si>
    <t xml:space="preserve">1101062851                    </t>
  </si>
  <si>
    <t>Шкаф стеллаж метал закрыт.</t>
  </si>
  <si>
    <t xml:space="preserve">110106669                     </t>
  </si>
  <si>
    <t>Шкаф стеллаж метал открыт</t>
  </si>
  <si>
    <t xml:space="preserve">110106673                     </t>
  </si>
  <si>
    <t xml:space="preserve">110106674                     </t>
  </si>
  <si>
    <t>Шкаф стеллаж метал. открыт</t>
  </si>
  <si>
    <t xml:space="preserve">110106671                     </t>
  </si>
  <si>
    <t xml:space="preserve">110106672                     </t>
  </si>
  <si>
    <t>Шкаф стеллаж метал.закрыт.</t>
  </si>
  <si>
    <t xml:space="preserve">110106670                     </t>
  </si>
  <si>
    <t>Штанга с блинами общий вес 107,5кг</t>
  </si>
  <si>
    <t xml:space="preserve">110106668                     </t>
  </si>
  <si>
    <t>Электрическая беговая дорожка</t>
  </si>
  <si>
    <t xml:space="preserve">110106664                     </t>
  </si>
  <si>
    <t xml:space="preserve">1101062587                    </t>
  </si>
  <si>
    <t xml:space="preserve">1101062571                    </t>
  </si>
  <si>
    <t xml:space="preserve">1101062575                    </t>
  </si>
  <si>
    <t xml:space="preserve">1101062577                    </t>
  </si>
  <si>
    <t xml:space="preserve">1101062579                    </t>
  </si>
  <si>
    <t xml:space="preserve">1101062581                    </t>
  </si>
  <si>
    <t xml:space="preserve">1101062583                    </t>
  </si>
  <si>
    <t xml:space="preserve">1101062585                    </t>
  </si>
  <si>
    <t xml:space="preserve">1101062589                    </t>
  </si>
  <si>
    <t xml:space="preserve">1101062573                    </t>
  </si>
  <si>
    <t xml:space="preserve">Лыжные ботинки с 35 по 45   </t>
  </si>
  <si>
    <t xml:space="preserve">110106463                     </t>
  </si>
  <si>
    <t xml:space="preserve">110106464                     </t>
  </si>
  <si>
    <t xml:space="preserve">110106465                     </t>
  </si>
  <si>
    <t xml:space="preserve">110106466                     </t>
  </si>
  <si>
    <t xml:space="preserve">110106467                     </t>
  </si>
  <si>
    <t xml:space="preserve">110106468                     </t>
  </si>
  <si>
    <t xml:space="preserve">110106469                     </t>
  </si>
  <si>
    <t xml:space="preserve">110106470                     </t>
  </si>
  <si>
    <t xml:space="preserve">110106471                     </t>
  </si>
  <si>
    <t xml:space="preserve">110106472                     </t>
  </si>
  <si>
    <t xml:space="preserve">110106473                     </t>
  </si>
  <si>
    <t xml:space="preserve">110106474                     </t>
  </si>
  <si>
    <t xml:space="preserve">110106475                     </t>
  </si>
  <si>
    <t xml:space="preserve">110106476                     </t>
  </si>
  <si>
    <t xml:space="preserve">110106477                     </t>
  </si>
  <si>
    <t xml:space="preserve">110106478                     </t>
  </si>
  <si>
    <t xml:space="preserve">110106479                     </t>
  </si>
  <si>
    <t xml:space="preserve">110106480                     </t>
  </si>
  <si>
    <t xml:space="preserve">110106481                     </t>
  </si>
  <si>
    <t xml:space="preserve">110106482                     </t>
  </si>
  <si>
    <t xml:space="preserve">110106483                     </t>
  </si>
  <si>
    <t xml:space="preserve">110106484                     </t>
  </si>
  <si>
    <t xml:space="preserve">110106485                     </t>
  </si>
  <si>
    <t xml:space="preserve">110106486                     </t>
  </si>
  <si>
    <t xml:space="preserve">110106487                     </t>
  </si>
  <si>
    <t xml:space="preserve">110106488                     </t>
  </si>
  <si>
    <t xml:space="preserve">110106489                     </t>
  </si>
  <si>
    <t xml:space="preserve">110106490                     </t>
  </si>
  <si>
    <t xml:space="preserve">110106491                     </t>
  </si>
  <si>
    <t xml:space="preserve">110106492                     </t>
  </si>
  <si>
    <t xml:space="preserve">110106493                     </t>
  </si>
  <si>
    <t xml:space="preserve">110106494                     </t>
  </si>
  <si>
    <t xml:space="preserve">110106495                     </t>
  </si>
  <si>
    <t xml:space="preserve">110106496                     </t>
  </si>
  <si>
    <t xml:space="preserve">110106497                     </t>
  </si>
  <si>
    <t xml:space="preserve">110106498                     </t>
  </si>
  <si>
    <t xml:space="preserve">11016662                      </t>
  </si>
  <si>
    <t xml:space="preserve">1.101062831                   </t>
  </si>
  <si>
    <t>Компрессор до 10 атм</t>
  </si>
  <si>
    <t xml:space="preserve">110106161                     </t>
  </si>
  <si>
    <t>Нагрузочная вилка</t>
  </si>
  <si>
    <t xml:space="preserve">110106156                     </t>
  </si>
  <si>
    <t xml:space="preserve">110106157                     </t>
  </si>
  <si>
    <t xml:space="preserve">110106158                     </t>
  </si>
  <si>
    <t xml:space="preserve">110106159                     </t>
  </si>
  <si>
    <t>Оборудование для зарядки аккумуляторов</t>
  </si>
  <si>
    <t xml:space="preserve">110106160                     </t>
  </si>
  <si>
    <t>Чехлы автомобильные</t>
  </si>
  <si>
    <t>Набор инструментов</t>
  </si>
  <si>
    <t>Щит пожарный ЩПО-К открытый (багор, лом, топор, ведро, ПП)</t>
  </si>
  <si>
    <t>Информационное оборудование Пожарная безопасность 920*800 мм</t>
  </si>
  <si>
    <t>Стремянка Zalger алюм.трансформер телескоп. 4 секции Н=527 см</t>
  </si>
  <si>
    <t>МФУ SAMSYNG SCX-4833FR\ XEV A4</t>
  </si>
  <si>
    <t xml:space="preserve">5101340008                    </t>
  </si>
  <si>
    <t>Документ камера AverVision CP1351</t>
  </si>
  <si>
    <t xml:space="preserve">5101340011                    </t>
  </si>
  <si>
    <t>Микроскоп цифр.Bresser</t>
  </si>
  <si>
    <t xml:space="preserve">5101340009                    </t>
  </si>
  <si>
    <t>Фотоаппарат Kanon Power Shot A330</t>
  </si>
  <si>
    <t xml:space="preserve">5101340010                    </t>
  </si>
  <si>
    <t>Ноотбук Acer ТМ 5744-382 (Window 7 )</t>
  </si>
  <si>
    <t xml:space="preserve">5101340007                    </t>
  </si>
  <si>
    <t>Шкаф закрытый с тумбой</t>
  </si>
  <si>
    <t xml:space="preserve">1101062554                    </t>
  </si>
  <si>
    <t xml:space="preserve">10106782                      </t>
  </si>
  <si>
    <t>Шкаф для одежды ДСП  (подвал)</t>
  </si>
  <si>
    <t xml:space="preserve">110106015                     </t>
  </si>
  <si>
    <t xml:space="preserve">1101062365                    </t>
  </si>
  <si>
    <t>Жаюзи на окна</t>
  </si>
  <si>
    <t xml:space="preserve">1101062956                    </t>
  </si>
  <si>
    <t xml:space="preserve">101060001                     </t>
  </si>
  <si>
    <t>Аквариум прямоугольный на 103 литра</t>
  </si>
  <si>
    <t xml:space="preserve">1101061032                    </t>
  </si>
  <si>
    <t>Бактерицидная лампа переносная(мед.каб.нов.шк.)</t>
  </si>
  <si>
    <t xml:space="preserve">1101062774                    </t>
  </si>
  <si>
    <t xml:space="preserve">1101062775                    </t>
  </si>
  <si>
    <t>Бактерицидная лампа переносная (мед.каб.нач.шк.)</t>
  </si>
  <si>
    <t xml:space="preserve">1101062776                    </t>
  </si>
  <si>
    <t>Верстак слесарный (подвал)</t>
  </si>
  <si>
    <t xml:space="preserve">110106240                     </t>
  </si>
  <si>
    <t>Верстак слесарный( подвал )</t>
  </si>
  <si>
    <t xml:space="preserve">110106220                     </t>
  </si>
  <si>
    <t>Верстак слесарный (подвал )</t>
  </si>
  <si>
    <t xml:space="preserve">110106221                     </t>
  </si>
  <si>
    <t>Верстак слесарный  (подвал )</t>
  </si>
  <si>
    <t xml:space="preserve">110106222                     </t>
  </si>
  <si>
    <t xml:space="preserve">110106223                     </t>
  </si>
  <si>
    <t xml:space="preserve">110106224                     </t>
  </si>
  <si>
    <t xml:space="preserve">110106225                     </t>
  </si>
  <si>
    <t xml:space="preserve">110106226                     </t>
  </si>
  <si>
    <t xml:space="preserve">110106227                     </t>
  </si>
  <si>
    <t xml:space="preserve">110106228                     </t>
  </si>
  <si>
    <t xml:space="preserve">110106229                     </t>
  </si>
  <si>
    <t>Верстак столярный  (Подвал )</t>
  </si>
  <si>
    <t xml:space="preserve">110106210                     </t>
  </si>
  <si>
    <t xml:space="preserve">Вешалка с меняющ высотой </t>
  </si>
  <si>
    <t xml:space="preserve">1101061848                    </t>
  </si>
  <si>
    <t xml:space="preserve">Вешалка с меняющ.высотой  </t>
  </si>
  <si>
    <t xml:space="preserve">1101061846                    </t>
  </si>
  <si>
    <t xml:space="preserve">Вешалки с  меняющ. высотой  </t>
  </si>
  <si>
    <t xml:space="preserve">1101061845                    </t>
  </si>
  <si>
    <t xml:space="preserve">Вешалки с меняющ высотой  </t>
  </si>
  <si>
    <t xml:space="preserve">1101061862                    </t>
  </si>
  <si>
    <t xml:space="preserve">Вешалки с меняющ высотой </t>
  </si>
  <si>
    <t xml:space="preserve">1101061854                    </t>
  </si>
  <si>
    <t xml:space="preserve">1101061855                    </t>
  </si>
  <si>
    <t xml:space="preserve">1101061856                    </t>
  </si>
  <si>
    <t xml:space="preserve">1101061857                    </t>
  </si>
  <si>
    <t>Вешалки с меняющ высотой</t>
  </si>
  <si>
    <t xml:space="preserve">1101061859                    </t>
  </si>
  <si>
    <t xml:space="preserve">1101061860                    </t>
  </si>
  <si>
    <t xml:space="preserve">1101061861                    </t>
  </si>
  <si>
    <t xml:space="preserve">1101061863                    </t>
  </si>
  <si>
    <t xml:space="preserve">1101061864                    </t>
  </si>
  <si>
    <t xml:space="preserve">1101061865                    </t>
  </si>
  <si>
    <t xml:space="preserve">1101061866                    </t>
  </si>
  <si>
    <t xml:space="preserve">1101061867                    </t>
  </si>
  <si>
    <t xml:space="preserve">1101061847                    </t>
  </si>
  <si>
    <t xml:space="preserve">1101061849                    </t>
  </si>
  <si>
    <t xml:space="preserve">1101061850                    </t>
  </si>
  <si>
    <t xml:space="preserve">1101061851                    </t>
  </si>
  <si>
    <t xml:space="preserve">1101061852                    </t>
  </si>
  <si>
    <t xml:space="preserve">1101061853                    </t>
  </si>
  <si>
    <t xml:space="preserve">Вешалки с меняющ. высотой </t>
  </si>
  <si>
    <t xml:space="preserve">1101061844                    </t>
  </si>
  <si>
    <t xml:space="preserve">Вешалки сменяющ высотой </t>
  </si>
  <si>
    <t xml:space="preserve">1101061858                    </t>
  </si>
  <si>
    <t xml:space="preserve">Винтовки пневматические спортивные </t>
  </si>
  <si>
    <t xml:space="preserve">1.10106284                    </t>
  </si>
  <si>
    <t>Витрины джля экспонатов по размеру стен</t>
  </si>
  <si>
    <t xml:space="preserve">11010622267                   </t>
  </si>
  <si>
    <t>Витрины для экспонатов по размеру стен</t>
  </si>
  <si>
    <t xml:space="preserve">11010622258                   </t>
  </si>
  <si>
    <t xml:space="preserve">11010622259                   </t>
  </si>
  <si>
    <t xml:space="preserve">11010622260                   </t>
  </si>
  <si>
    <t xml:space="preserve">11010622261                   </t>
  </si>
  <si>
    <t xml:space="preserve">11010622262                   </t>
  </si>
  <si>
    <t xml:space="preserve">11010622263                   </t>
  </si>
  <si>
    <t xml:space="preserve">11010622265                   </t>
  </si>
  <si>
    <t xml:space="preserve">11010622266                   </t>
  </si>
  <si>
    <t xml:space="preserve">11010622268                   </t>
  </si>
  <si>
    <t xml:space="preserve">11010622269                   </t>
  </si>
  <si>
    <t xml:space="preserve">11010622270                   </t>
  </si>
  <si>
    <t xml:space="preserve">11010622271                   </t>
  </si>
  <si>
    <t xml:space="preserve">11010622272                   </t>
  </si>
  <si>
    <t xml:space="preserve">11010622273                   </t>
  </si>
  <si>
    <t xml:space="preserve">11010622274                   </t>
  </si>
  <si>
    <t xml:space="preserve">11010622275                   </t>
  </si>
  <si>
    <t xml:space="preserve">11010622276                   </t>
  </si>
  <si>
    <t xml:space="preserve">11010622277                   </t>
  </si>
  <si>
    <t xml:space="preserve">11010622278                   </t>
  </si>
  <si>
    <t xml:space="preserve">11010622279                   </t>
  </si>
  <si>
    <t xml:space="preserve">11010622280                   </t>
  </si>
  <si>
    <t xml:space="preserve">11010622281                   </t>
  </si>
  <si>
    <t xml:space="preserve">11010622282                   </t>
  </si>
  <si>
    <t xml:space="preserve">11010622283                   </t>
  </si>
  <si>
    <t xml:space="preserve">11010622284                   </t>
  </si>
  <si>
    <t xml:space="preserve">11010622285                   </t>
  </si>
  <si>
    <t xml:space="preserve">11010622286                   </t>
  </si>
  <si>
    <t xml:space="preserve">11010622287                   </t>
  </si>
  <si>
    <t xml:space="preserve">11010622288                   </t>
  </si>
  <si>
    <t xml:space="preserve">11010622289                   </t>
  </si>
  <si>
    <t xml:space="preserve">11010622290                   </t>
  </si>
  <si>
    <t xml:space="preserve">11010622291                   </t>
  </si>
  <si>
    <t xml:space="preserve">11010622292                   </t>
  </si>
  <si>
    <t>Витрины для экспонатолв по размеру стен</t>
  </si>
  <si>
    <t xml:space="preserve">11010622264                   </t>
  </si>
  <si>
    <t>Доска поворотная двухсторонняя под  мет</t>
  </si>
  <si>
    <t xml:space="preserve">110106620                     </t>
  </si>
  <si>
    <t>Жалюзи  на окна</t>
  </si>
  <si>
    <t xml:space="preserve">1101062912                    </t>
  </si>
  <si>
    <t>Жалюзи н\а окна</t>
  </si>
  <si>
    <t xml:space="preserve">1101062988                    </t>
  </si>
  <si>
    <t>Жалюзи на  окна</t>
  </si>
  <si>
    <t xml:space="preserve">1101062921                    </t>
  </si>
  <si>
    <t xml:space="preserve">1101062869                    </t>
  </si>
  <si>
    <t xml:space="preserve">1101062870                    </t>
  </si>
  <si>
    <t xml:space="preserve">1101062871                    </t>
  </si>
  <si>
    <t xml:space="preserve">1101062872                    </t>
  </si>
  <si>
    <t xml:space="preserve">1101062873                    </t>
  </si>
  <si>
    <t xml:space="preserve">1101062874                    </t>
  </si>
  <si>
    <t xml:space="preserve">1101062875                    </t>
  </si>
  <si>
    <t xml:space="preserve">1101062876                    </t>
  </si>
  <si>
    <t xml:space="preserve">1101062877                    </t>
  </si>
  <si>
    <t xml:space="preserve">1101062878                    </t>
  </si>
  <si>
    <t xml:space="preserve">1101062879                    </t>
  </si>
  <si>
    <t xml:space="preserve">1101062880                    </t>
  </si>
  <si>
    <t xml:space="preserve">1101062881                    </t>
  </si>
  <si>
    <t xml:space="preserve">1101062882                    </t>
  </si>
  <si>
    <t xml:space="preserve">1101062886                    </t>
  </si>
  <si>
    <t xml:space="preserve">1101062887                    </t>
  </si>
  <si>
    <t xml:space="preserve">1101062889                    </t>
  </si>
  <si>
    <t>Жалюзи на окна  (охрана )</t>
  </si>
  <si>
    <t xml:space="preserve">1101062890                    </t>
  </si>
  <si>
    <t>Жалюзи на окна  (столовая )</t>
  </si>
  <si>
    <t xml:space="preserve">1101062892                    </t>
  </si>
  <si>
    <t xml:space="preserve">1101062900                    </t>
  </si>
  <si>
    <t xml:space="preserve">1101062901                    </t>
  </si>
  <si>
    <t xml:space="preserve">1101062902                    </t>
  </si>
  <si>
    <t xml:space="preserve">1101062903                    </t>
  </si>
  <si>
    <t xml:space="preserve">1101062908                    </t>
  </si>
  <si>
    <t xml:space="preserve">1101062909                    </t>
  </si>
  <si>
    <t xml:space="preserve">1101062910                    </t>
  </si>
  <si>
    <t xml:space="preserve">1101062911                    </t>
  </si>
  <si>
    <t xml:space="preserve">1101062913                    </t>
  </si>
  <si>
    <t xml:space="preserve">1101062914                    </t>
  </si>
  <si>
    <t xml:space="preserve">1101062915                    </t>
  </si>
  <si>
    <t xml:space="preserve">1101062916                    </t>
  </si>
  <si>
    <t xml:space="preserve">1101062917                    </t>
  </si>
  <si>
    <t xml:space="preserve">1101062918                    </t>
  </si>
  <si>
    <t xml:space="preserve">1101062919                    </t>
  </si>
  <si>
    <t xml:space="preserve">1101062920                    </t>
  </si>
  <si>
    <t xml:space="preserve">1101062922                    </t>
  </si>
  <si>
    <t xml:space="preserve">1101062923                    </t>
  </si>
  <si>
    <t xml:space="preserve">1101062924                    </t>
  </si>
  <si>
    <t xml:space="preserve">1101062925                    </t>
  </si>
  <si>
    <t xml:space="preserve">1101062926                    </t>
  </si>
  <si>
    <t xml:space="preserve">1101062927                    </t>
  </si>
  <si>
    <t xml:space="preserve">1101062928                    </t>
  </si>
  <si>
    <t xml:space="preserve">1101062929                    </t>
  </si>
  <si>
    <t xml:space="preserve">1101062930                    </t>
  </si>
  <si>
    <t xml:space="preserve">1101062931                    </t>
  </si>
  <si>
    <t xml:space="preserve">1101062932                    </t>
  </si>
  <si>
    <t xml:space="preserve">1101062933                    </t>
  </si>
  <si>
    <t xml:space="preserve">1101062934                    </t>
  </si>
  <si>
    <t xml:space="preserve">1101062935                    </t>
  </si>
  <si>
    <t xml:space="preserve">1101062936                    </t>
  </si>
  <si>
    <t xml:space="preserve">1101062937                    </t>
  </si>
  <si>
    <t xml:space="preserve">1101062938                    </t>
  </si>
  <si>
    <t xml:space="preserve">1101062939                    </t>
  </si>
  <si>
    <t xml:space="preserve">1101062940                    </t>
  </si>
  <si>
    <t xml:space="preserve">1101062941                    </t>
  </si>
  <si>
    <t xml:space="preserve">1101062942                    </t>
  </si>
  <si>
    <t xml:space="preserve">1101062943                    </t>
  </si>
  <si>
    <t xml:space="preserve">1101062944                    </t>
  </si>
  <si>
    <t xml:space="preserve">1101062945                    </t>
  </si>
  <si>
    <t xml:space="preserve">1101062946                    </t>
  </si>
  <si>
    <t xml:space="preserve">1101062947                    </t>
  </si>
  <si>
    <t xml:space="preserve">1101062948                    </t>
  </si>
  <si>
    <t xml:space="preserve">1101062949                    </t>
  </si>
  <si>
    <t xml:space="preserve">1101062950                    </t>
  </si>
  <si>
    <t xml:space="preserve">1101062951                    </t>
  </si>
  <si>
    <t xml:space="preserve">1101062952                    </t>
  </si>
  <si>
    <t xml:space="preserve">1101062953                    </t>
  </si>
  <si>
    <t xml:space="preserve">1101062954                    </t>
  </si>
  <si>
    <t xml:space="preserve">1101062955                    </t>
  </si>
  <si>
    <t xml:space="preserve">1101062957                    </t>
  </si>
  <si>
    <t xml:space="preserve">1101062958                    </t>
  </si>
  <si>
    <t xml:space="preserve">1101062959                    </t>
  </si>
  <si>
    <t xml:space="preserve">1101062960                    </t>
  </si>
  <si>
    <t xml:space="preserve">1101062961                    </t>
  </si>
  <si>
    <t xml:space="preserve">1101062962                    </t>
  </si>
  <si>
    <t xml:space="preserve">1101062963                    </t>
  </si>
  <si>
    <t xml:space="preserve">1101062964                    </t>
  </si>
  <si>
    <t xml:space="preserve">1101062965                    </t>
  </si>
  <si>
    <t xml:space="preserve">1101062966                    </t>
  </si>
  <si>
    <t xml:space="preserve">1101062967                    </t>
  </si>
  <si>
    <t xml:space="preserve">1101062968                    </t>
  </si>
  <si>
    <t xml:space="preserve">1101062969                    </t>
  </si>
  <si>
    <t xml:space="preserve">1101062970                    </t>
  </si>
  <si>
    <t xml:space="preserve">1101062971                    </t>
  </si>
  <si>
    <t xml:space="preserve">1101062972                    </t>
  </si>
  <si>
    <t xml:space="preserve">1101062973                    </t>
  </si>
  <si>
    <t xml:space="preserve">1101062974                    </t>
  </si>
  <si>
    <t xml:space="preserve">1101062975                    </t>
  </si>
  <si>
    <t xml:space="preserve">1101062976                    </t>
  </si>
  <si>
    <t xml:space="preserve">1101062977                    </t>
  </si>
  <si>
    <t xml:space="preserve">1101062978                    </t>
  </si>
  <si>
    <t xml:space="preserve">1101062979                    </t>
  </si>
  <si>
    <t xml:space="preserve">1101062980                    </t>
  </si>
  <si>
    <t xml:space="preserve">1101062981                    </t>
  </si>
  <si>
    <t xml:space="preserve">1101062982                    </t>
  </si>
  <si>
    <t xml:space="preserve">1101062983                    </t>
  </si>
  <si>
    <t xml:space="preserve">1101062984                    </t>
  </si>
  <si>
    <t xml:space="preserve">1101062985                    </t>
  </si>
  <si>
    <t xml:space="preserve">1101062986                    </t>
  </si>
  <si>
    <t xml:space="preserve">1101062987                    </t>
  </si>
  <si>
    <t xml:space="preserve">1101062989                    </t>
  </si>
  <si>
    <t xml:space="preserve">1101062990                    </t>
  </si>
  <si>
    <t xml:space="preserve">1101062991                    </t>
  </si>
  <si>
    <t xml:space="preserve">1101062992                    </t>
  </si>
  <si>
    <t xml:space="preserve">1101062993                    </t>
  </si>
  <si>
    <t xml:space="preserve">1101062994                    </t>
  </si>
  <si>
    <t xml:space="preserve">1101062995                    </t>
  </si>
  <si>
    <t xml:space="preserve">1101062996                    </t>
  </si>
  <si>
    <t xml:space="preserve">1101062997                    </t>
  </si>
  <si>
    <t xml:space="preserve">1101062998                    </t>
  </si>
  <si>
    <t xml:space="preserve">1101062999                    </t>
  </si>
  <si>
    <t>Жалюзи на окна  (каб.Котовой)</t>
  </si>
  <si>
    <t xml:space="preserve">1101063000                    </t>
  </si>
  <si>
    <t>Жалюзи на окна  каб.Минаевой )</t>
  </si>
  <si>
    <t xml:space="preserve">1101063001                    </t>
  </si>
  <si>
    <t xml:space="preserve">110103002                     </t>
  </si>
  <si>
    <t xml:space="preserve">1101063003                    </t>
  </si>
  <si>
    <t xml:space="preserve">1101063004                    </t>
  </si>
  <si>
    <t xml:space="preserve">1101063005                    </t>
  </si>
  <si>
    <t xml:space="preserve">1101063006                    </t>
  </si>
  <si>
    <t xml:space="preserve">1101063007                    </t>
  </si>
  <si>
    <t xml:space="preserve">1101063008                    </t>
  </si>
  <si>
    <t xml:space="preserve">1101063009                    </t>
  </si>
  <si>
    <t xml:space="preserve">1101063010                    </t>
  </si>
  <si>
    <t>Жалюзи на окна (кор.у мед.каб.)</t>
  </si>
  <si>
    <t xml:space="preserve">110106605                     </t>
  </si>
  <si>
    <t>Жалюзи на окна  каб.Семова</t>
  </si>
  <si>
    <t xml:space="preserve">110106606                     </t>
  </si>
  <si>
    <t>Жалюзи на окна(каб.Семова )</t>
  </si>
  <si>
    <t xml:space="preserve">110106607                     </t>
  </si>
  <si>
    <t>Жалюзи на окна  (вестибюль)</t>
  </si>
  <si>
    <t xml:space="preserve">110106608                     </t>
  </si>
  <si>
    <t>Журнальный стол</t>
  </si>
  <si>
    <t xml:space="preserve">110106944                     </t>
  </si>
  <si>
    <t xml:space="preserve">110106945                     </t>
  </si>
  <si>
    <t xml:space="preserve">1101061641                    </t>
  </si>
  <si>
    <t>Комплект школьной мебели /12столов.24стула) каб.Колгановой нач.шк.</t>
  </si>
  <si>
    <t xml:space="preserve">1.101062829                   </t>
  </si>
  <si>
    <t>Конвектор тепловой (нач.шк.)</t>
  </si>
  <si>
    <t xml:space="preserve">1101062688                    </t>
  </si>
  <si>
    <t xml:space="preserve">1101062689                    </t>
  </si>
  <si>
    <t>Конвектор тепловой  (нач.шк.)</t>
  </si>
  <si>
    <t xml:space="preserve">1101062691                    </t>
  </si>
  <si>
    <t>Конвектор тепловой (нач.кш.)</t>
  </si>
  <si>
    <t xml:space="preserve">1101062692                    </t>
  </si>
  <si>
    <t>Конвектор тепловой   (нач.шк.)</t>
  </si>
  <si>
    <t xml:space="preserve">1101062693                    </t>
  </si>
  <si>
    <t xml:space="preserve">1101062694                    </t>
  </si>
  <si>
    <t>Контейнер для мусора уличный без крышек и колес</t>
  </si>
  <si>
    <t xml:space="preserve">1101062439                    </t>
  </si>
  <si>
    <t xml:space="preserve">1101062440                    </t>
  </si>
  <si>
    <t xml:space="preserve">1101062441                    </t>
  </si>
  <si>
    <t>Кресла мягкие</t>
  </si>
  <si>
    <t xml:space="preserve">110106545                     </t>
  </si>
  <si>
    <t xml:space="preserve">110106546                     </t>
  </si>
  <si>
    <t xml:space="preserve">110106547                     </t>
  </si>
  <si>
    <t xml:space="preserve">110106941                     </t>
  </si>
  <si>
    <t xml:space="preserve">110106942                     </t>
  </si>
  <si>
    <t xml:space="preserve">110106943                     </t>
  </si>
  <si>
    <t>Кресла мягкие к дивану</t>
  </si>
  <si>
    <t xml:space="preserve">110106873                     </t>
  </si>
  <si>
    <t xml:space="preserve">110106874                     </t>
  </si>
  <si>
    <t>Кресло руководителя кожанное черное</t>
  </si>
  <si>
    <t xml:space="preserve">110106896                     </t>
  </si>
  <si>
    <t>Кронштейн для мультимедиа с проводами (каб.16)</t>
  </si>
  <si>
    <t xml:space="preserve">1101062503                    </t>
  </si>
  <si>
    <t>Кушетка медиц.( белая, мед.каб.нов.шк.)</t>
  </si>
  <si>
    <t xml:space="preserve">110106184                     </t>
  </si>
  <si>
    <t>Кушетка медиц.(белая,мед.каб.нов.шк.)</t>
  </si>
  <si>
    <t xml:space="preserve">110106174                     </t>
  </si>
  <si>
    <t>Лестница стремянка 3,5м</t>
  </si>
  <si>
    <t xml:space="preserve">1101062442                    </t>
  </si>
  <si>
    <t>Маслянные радиаторы   (каб.39)</t>
  </si>
  <si>
    <t xml:space="preserve">1101062667                    </t>
  </si>
  <si>
    <t>Машина  швейная электр</t>
  </si>
  <si>
    <t xml:space="preserve">110106083                     </t>
  </si>
  <si>
    <t>Машина  швейная электр. с электропривод.</t>
  </si>
  <si>
    <t xml:space="preserve">110106073                     </t>
  </si>
  <si>
    <t>Машина краеобметочная (оверлок) с эоектроприв</t>
  </si>
  <si>
    <t xml:space="preserve">110106091                     </t>
  </si>
  <si>
    <t>Машина петельная с электропривод</t>
  </si>
  <si>
    <t xml:space="preserve">110106092                     </t>
  </si>
  <si>
    <t>Машина швейная  электр</t>
  </si>
  <si>
    <t xml:space="preserve">110106080                     </t>
  </si>
  <si>
    <t>Машина швейная  электр с электроприв</t>
  </si>
  <si>
    <t xml:space="preserve">110106074                     </t>
  </si>
  <si>
    <t>Машина швейная элект</t>
  </si>
  <si>
    <t xml:space="preserve">110106075                     </t>
  </si>
  <si>
    <t xml:space="preserve">110106076                     </t>
  </si>
  <si>
    <t xml:space="preserve">110106077                     </t>
  </si>
  <si>
    <t xml:space="preserve">110106081                     </t>
  </si>
  <si>
    <t>Машина швейная электр</t>
  </si>
  <si>
    <t xml:space="preserve">110106078                     </t>
  </si>
  <si>
    <t xml:space="preserve">110106079                     </t>
  </si>
  <si>
    <t xml:space="preserve">110106082                     </t>
  </si>
  <si>
    <t xml:space="preserve">110106084                     </t>
  </si>
  <si>
    <t xml:space="preserve">110106085                     </t>
  </si>
  <si>
    <t xml:space="preserve">110106086                     </t>
  </si>
  <si>
    <t xml:space="preserve">1101062793                    </t>
  </si>
  <si>
    <t xml:space="preserve">1101062794                    </t>
  </si>
  <si>
    <t xml:space="preserve">1101062795                    </t>
  </si>
  <si>
    <t xml:space="preserve">1101062796                    </t>
  </si>
  <si>
    <t xml:space="preserve">1101062797                    </t>
  </si>
  <si>
    <t xml:space="preserve">1101062798                    </t>
  </si>
  <si>
    <t xml:space="preserve">1101062799                    </t>
  </si>
  <si>
    <t xml:space="preserve">1101062800                    </t>
  </si>
  <si>
    <t>Подкатная тумба к писмен столу руководителя</t>
  </si>
  <si>
    <t xml:space="preserve">1101061031                    </t>
  </si>
  <si>
    <t>Подкатная тумба к письм столу</t>
  </si>
  <si>
    <t xml:space="preserve">110106067                     </t>
  </si>
  <si>
    <t>Подкатная тумба к письм. столу</t>
  </si>
  <si>
    <t xml:space="preserve">110106066                     </t>
  </si>
  <si>
    <t xml:space="preserve">Подкатная тумба к письмен   столу  </t>
  </si>
  <si>
    <t xml:space="preserve">1101061407                    </t>
  </si>
  <si>
    <t>Подкатная тумба к письмен  столу</t>
  </si>
  <si>
    <t xml:space="preserve">1101061410                    </t>
  </si>
  <si>
    <t xml:space="preserve">11010665                      </t>
  </si>
  <si>
    <t>Подкатная тумба к письмен  стоу</t>
  </si>
  <si>
    <t xml:space="preserve">1101061002                    </t>
  </si>
  <si>
    <t>Подкатная тумба (каб.50)</t>
  </si>
  <si>
    <t xml:space="preserve">110106779                     </t>
  </si>
  <si>
    <t>Подкатная тумба к письмен. столу</t>
  </si>
  <si>
    <t xml:space="preserve">1101061020                    </t>
  </si>
  <si>
    <t xml:space="preserve">1101061239                    </t>
  </si>
  <si>
    <t xml:space="preserve">1101061240                    </t>
  </si>
  <si>
    <t xml:space="preserve">1101061255                    </t>
  </si>
  <si>
    <t xml:space="preserve">1101061549                    </t>
  </si>
  <si>
    <t xml:space="preserve">1101061551                    </t>
  </si>
  <si>
    <t>Подкатная тумба (Котова )</t>
  </si>
  <si>
    <t xml:space="preserve">1101061553                    </t>
  </si>
  <si>
    <t xml:space="preserve">1101061555                    </t>
  </si>
  <si>
    <t xml:space="preserve">1101061646                    </t>
  </si>
  <si>
    <t xml:space="preserve">1101061694                    </t>
  </si>
  <si>
    <t>Подкатная тумба (охрана )</t>
  </si>
  <si>
    <t xml:space="preserve">1101061730                    </t>
  </si>
  <si>
    <t>Подкатная тумба к письмен.столу</t>
  </si>
  <si>
    <t xml:space="preserve">1101061253                    </t>
  </si>
  <si>
    <t>Подкатная тумба к письменн  столу</t>
  </si>
  <si>
    <t xml:space="preserve">1101061428                    </t>
  </si>
  <si>
    <t>Подкатная тумба к письменн столу</t>
  </si>
  <si>
    <t xml:space="preserve">1101061426                    </t>
  </si>
  <si>
    <t>Подкатная тумба к письменн столу руководителя</t>
  </si>
  <si>
    <t xml:space="preserve">110106993                     </t>
  </si>
  <si>
    <t>Подкатная тумба к письменн. столу</t>
  </si>
  <si>
    <t xml:space="preserve">1101061547                    </t>
  </si>
  <si>
    <t xml:space="preserve">Подкатная тумба к письменн. столу  </t>
  </si>
  <si>
    <t xml:space="preserve">1101061737                    </t>
  </si>
  <si>
    <t>Подкатная тумба к письменн.столу</t>
  </si>
  <si>
    <t xml:space="preserve">110106781                     </t>
  </si>
  <si>
    <t>Подкатная тумба к письменному столу</t>
  </si>
  <si>
    <t xml:space="preserve">1101061251                    </t>
  </si>
  <si>
    <t xml:space="preserve">1101061367                    </t>
  </si>
  <si>
    <t xml:space="preserve">1101061369                    </t>
  </si>
  <si>
    <t xml:space="preserve">1101061371                    </t>
  </si>
  <si>
    <t xml:space="preserve">1101061373                    </t>
  </si>
  <si>
    <t>Подкатная тумба каб.13</t>
  </si>
  <si>
    <t xml:space="preserve">1101061838                    </t>
  </si>
  <si>
    <t>Подкатная тумба к столу письменному</t>
  </si>
  <si>
    <t xml:space="preserve">1101061026                    </t>
  </si>
  <si>
    <t>Подкатная тумба ( каб.13)</t>
  </si>
  <si>
    <t xml:space="preserve">110106163                     </t>
  </si>
  <si>
    <t>Подкатная тумба к столу руководителя</t>
  </si>
  <si>
    <t xml:space="preserve">110106540                     </t>
  </si>
  <si>
    <t xml:space="preserve">110106541                     </t>
  </si>
  <si>
    <t xml:space="preserve">110106543                     </t>
  </si>
  <si>
    <t xml:space="preserve">110106768                     </t>
  </si>
  <si>
    <t xml:space="preserve">110106769                     </t>
  </si>
  <si>
    <t>Подкатная тумба    каб.13</t>
  </si>
  <si>
    <t xml:space="preserve">110106784                     </t>
  </si>
  <si>
    <t>Подкатная тумба   мед.каб (белая )</t>
  </si>
  <si>
    <t xml:space="preserve">110106785                     </t>
  </si>
  <si>
    <t xml:space="preserve">110106787                     </t>
  </si>
  <si>
    <t xml:space="preserve">110106789                     </t>
  </si>
  <si>
    <t>Подкатная тумба белая мед.каб.</t>
  </si>
  <si>
    <t xml:space="preserve">110106792                     </t>
  </si>
  <si>
    <t xml:space="preserve">110106794                     </t>
  </si>
  <si>
    <t>Подставка для цветов  (завуч нач.шк.)</t>
  </si>
  <si>
    <t xml:space="preserve">1101062666                    </t>
  </si>
  <si>
    <t xml:space="preserve">1101062756                    </t>
  </si>
  <si>
    <t xml:space="preserve">1101062759                    </t>
  </si>
  <si>
    <t xml:space="preserve">1101062762                    </t>
  </si>
  <si>
    <t>Подставка для цветов  (Охрана )</t>
  </si>
  <si>
    <t xml:space="preserve">1101062763                    </t>
  </si>
  <si>
    <t xml:space="preserve">1101062764                    </t>
  </si>
  <si>
    <t xml:space="preserve">1101062769                    </t>
  </si>
  <si>
    <t xml:space="preserve">Подставка для цветов    </t>
  </si>
  <si>
    <t xml:space="preserve">1101061763                    </t>
  </si>
  <si>
    <t xml:space="preserve">Подставка для цветов   </t>
  </si>
  <si>
    <t xml:space="preserve">1101062770                    </t>
  </si>
  <si>
    <t xml:space="preserve">1101062760                    </t>
  </si>
  <si>
    <t xml:space="preserve">Подставка для цветов </t>
  </si>
  <si>
    <t xml:space="preserve">1101062772                    </t>
  </si>
  <si>
    <t>Пылесос для коврового покрытия  каб.3</t>
  </si>
  <si>
    <t xml:space="preserve">1101062562                    </t>
  </si>
  <si>
    <t>Рукосушилки пластиковые маленькие нач.шк.</t>
  </si>
  <si>
    <t xml:space="preserve">1101062436                    </t>
  </si>
  <si>
    <t>Сейф для документов</t>
  </si>
  <si>
    <t xml:space="preserve">110106911                     </t>
  </si>
  <si>
    <t xml:space="preserve">110106912                     </t>
  </si>
  <si>
    <t>Секция к вышке_туре ПСРВ _7,5м</t>
  </si>
  <si>
    <t xml:space="preserve">110106940                     </t>
  </si>
  <si>
    <t>Стол рабочий (учительская )</t>
  </si>
  <si>
    <t xml:space="preserve">110106525                     </t>
  </si>
  <si>
    <t>Стол  ученический с бортиком</t>
  </si>
  <si>
    <t xml:space="preserve">1101061521                    </t>
  </si>
  <si>
    <t>Стол рабочий (учител.)</t>
  </si>
  <si>
    <t xml:space="preserve">110106526                     </t>
  </si>
  <si>
    <t>Стол рабочий ( учител.)</t>
  </si>
  <si>
    <t xml:space="preserve">110106521                     </t>
  </si>
  <si>
    <t xml:space="preserve">110106523                     </t>
  </si>
  <si>
    <t xml:space="preserve">110106528                     </t>
  </si>
  <si>
    <t xml:space="preserve">110106529                     </t>
  </si>
  <si>
    <t>Стол рабочий (актовый зал )</t>
  </si>
  <si>
    <t xml:space="preserve">110106520                     </t>
  </si>
  <si>
    <t xml:space="preserve">110106524                     </t>
  </si>
  <si>
    <t>Стол рабочий (актов.зал)</t>
  </si>
  <si>
    <t xml:space="preserve">110106527                     </t>
  </si>
  <si>
    <t>Стол рабочий (Калашник )</t>
  </si>
  <si>
    <t xml:space="preserve">110106522                     </t>
  </si>
  <si>
    <t xml:space="preserve">1101061256                    </t>
  </si>
  <si>
    <t xml:space="preserve">1101061430                    </t>
  </si>
  <si>
    <t xml:space="preserve">1101061667                    </t>
  </si>
  <si>
    <t>Стол демонстрационный для физики</t>
  </si>
  <si>
    <t xml:space="preserve">1101062481                    </t>
  </si>
  <si>
    <t xml:space="preserve">1,10106946                    </t>
  </si>
  <si>
    <t>Стол для заседания</t>
  </si>
  <si>
    <t xml:space="preserve">110106908                     </t>
  </si>
  <si>
    <t xml:space="preserve">110106914                     </t>
  </si>
  <si>
    <t>Стол для стерильных инструментов</t>
  </si>
  <si>
    <t xml:space="preserve">110106181                     </t>
  </si>
  <si>
    <t>Стол журнальный к комплекту мягкой мебели</t>
  </si>
  <si>
    <t xml:space="preserve">110106875                     </t>
  </si>
  <si>
    <t>Стол лабораторный с пластиков покрытием</t>
  </si>
  <si>
    <t xml:space="preserve">1101061668                    </t>
  </si>
  <si>
    <t xml:space="preserve">1101061669                    </t>
  </si>
  <si>
    <t>Стол лриффинг серия Престиж Люкс</t>
  </si>
  <si>
    <t xml:space="preserve">110106887                     </t>
  </si>
  <si>
    <t>Стол обеден с табурет на 4человека солеш бежевая</t>
  </si>
  <si>
    <t xml:space="preserve">110106146                     </t>
  </si>
  <si>
    <t>Стол обеден с табурет на 4человека столеш. бежевая</t>
  </si>
  <si>
    <t xml:space="preserve">110106143                     </t>
  </si>
  <si>
    <t>Стол обеден. с табурет на 4человека сотеш бежевая</t>
  </si>
  <si>
    <t xml:space="preserve">110106142                     </t>
  </si>
  <si>
    <t>Стол обеден. с табурет. на 4человека  солеш. бежевая</t>
  </si>
  <si>
    <t xml:space="preserve">110106141                     </t>
  </si>
  <si>
    <t>Стол обеденн с табурет на 4человека столеш. бежевая</t>
  </si>
  <si>
    <t xml:space="preserve">110106144                     </t>
  </si>
  <si>
    <t>Стол белый (мед.каб.)</t>
  </si>
  <si>
    <t xml:space="preserve">110106096                     </t>
  </si>
  <si>
    <t xml:space="preserve">110106164                     </t>
  </si>
  <si>
    <t xml:space="preserve">110106172                     </t>
  </si>
  <si>
    <t>Стол письменный   (каб.39)</t>
  </si>
  <si>
    <t xml:space="preserve">110106778                     </t>
  </si>
  <si>
    <t xml:space="preserve">110106780                     </t>
  </si>
  <si>
    <t xml:space="preserve">1101061019                    </t>
  </si>
  <si>
    <t>Стол по  аквариум</t>
  </si>
  <si>
    <t xml:space="preserve">1101061033                    </t>
  </si>
  <si>
    <t xml:space="preserve">110106538                     </t>
  </si>
  <si>
    <t xml:space="preserve">110106539                     </t>
  </si>
  <si>
    <t xml:space="preserve">110106542                     </t>
  </si>
  <si>
    <t xml:space="preserve">110106766                     </t>
  </si>
  <si>
    <t xml:space="preserve">110106767                     </t>
  </si>
  <si>
    <t xml:space="preserve">110106783                     </t>
  </si>
  <si>
    <t xml:space="preserve">110106786                     </t>
  </si>
  <si>
    <t xml:space="preserve">110106788                     </t>
  </si>
  <si>
    <t xml:space="preserve">110106790                     </t>
  </si>
  <si>
    <t>Стол руководителя (охрана )</t>
  </si>
  <si>
    <t xml:space="preserve">110106791                     </t>
  </si>
  <si>
    <t>Стол руководителя (каб.50 )</t>
  </si>
  <si>
    <t xml:space="preserve">110106994                     </t>
  </si>
  <si>
    <t>Стол руководителя (Котова )</t>
  </si>
  <si>
    <t xml:space="preserve">110106622                     </t>
  </si>
  <si>
    <t>Стол руководителя (каб.13)</t>
  </si>
  <si>
    <t xml:space="preserve">110106162                     </t>
  </si>
  <si>
    <t>Стол руководителя серия Престиж Люкс</t>
  </si>
  <si>
    <t xml:space="preserve">110106886                     </t>
  </si>
  <si>
    <t>Стол с табурет на 4человека солеш бежевая</t>
  </si>
  <si>
    <t>Стол ученический с бортиком</t>
  </si>
  <si>
    <t xml:space="preserve">1101061540                    </t>
  </si>
  <si>
    <t xml:space="preserve">1101061695                    </t>
  </si>
  <si>
    <t xml:space="preserve">1101061708                    </t>
  </si>
  <si>
    <t xml:space="preserve">Стол ученический с бортиком  </t>
  </si>
  <si>
    <t xml:space="preserve">1101061512                    </t>
  </si>
  <si>
    <t xml:space="preserve">Стол ученический с бортиком   </t>
  </si>
  <si>
    <t xml:space="preserve">1101061515                    </t>
  </si>
  <si>
    <t xml:space="preserve">1.101061522                   </t>
  </si>
  <si>
    <t xml:space="preserve">1.101061525                   </t>
  </si>
  <si>
    <t xml:space="preserve">1101061705                    </t>
  </si>
  <si>
    <t xml:space="preserve">1101061518                    </t>
  </si>
  <si>
    <t xml:space="preserve">Стол ученический с бортиком </t>
  </si>
  <si>
    <t xml:space="preserve">1101061509                    </t>
  </si>
  <si>
    <t xml:space="preserve">1.101061528                   </t>
  </si>
  <si>
    <t xml:space="preserve">.1101061531                   </t>
  </si>
  <si>
    <t xml:space="preserve">.1101061689                   </t>
  </si>
  <si>
    <t xml:space="preserve">1101061680                    </t>
  </si>
  <si>
    <t xml:space="preserve">1101061683                    </t>
  </si>
  <si>
    <t xml:space="preserve">1101061686                    </t>
  </si>
  <si>
    <t xml:space="preserve">1101061699                    </t>
  </si>
  <si>
    <t xml:space="preserve">.1101061696                   </t>
  </si>
  <si>
    <t>Стол факсовый серия Престиж Люкс</t>
  </si>
  <si>
    <t xml:space="preserve">110106889                     </t>
  </si>
  <si>
    <t>Столик инструментальный</t>
  </si>
  <si>
    <t xml:space="preserve">110106168                     </t>
  </si>
  <si>
    <t xml:space="preserve">110106175                     </t>
  </si>
  <si>
    <t>Стул для барабанщика</t>
  </si>
  <si>
    <t xml:space="preserve">1101062805                    </t>
  </si>
  <si>
    <t>Стул для врача</t>
  </si>
  <si>
    <t xml:space="preserve">110106178                     </t>
  </si>
  <si>
    <t>Стул п/мягкий ножки хром.</t>
  </si>
  <si>
    <t xml:space="preserve">1101061363                    </t>
  </si>
  <si>
    <t xml:space="preserve">Стул п/мягкий ножки хром.  </t>
  </si>
  <si>
    <t xml:space="preserve">1101061361                    </t>
  </si>
  <si>
    <t>Стулья мягкие для переговоров кожан черн.</t>
  </si>
  <si>
    <t xml:space="preserve">110106876                     </t>
  </si>
  <si>
    <t>Стулья мягкие для переговоров кожан. черн</t>
  </si>
  <si>
    <t xml:space="preserve">110106883                     </t>
  </si>
  <si>
    <t>Стулья мягкие для переговоров кожан. черн.</t>
  </si>
  <si>
    <t xml:space="preserve">110106877                     </t>
  </si>
  <si>
    <t xml:space="preserve">110106878                     </t>
  </si>
  <si>
    <t xml:space="preserve">110106879                     </t>
  </si>
  <si>
    <t xml:space="preserve">110106880                     </t>
  </si>
  <si>
    <t xml:space="preserve">110106881                     </t>
  </si>
  <si>
    <t xml:space="preserve">110106882                     </t>
  </si>
  <si>
    <t xml:space="preserve">110106884                     </t>
  </si>
  <si>
    <t xml:space="preserve">110106885                     </t>
  </si>
  <si>
    <t>Сушилка для тарелок навес металлич на 70 тар.(каб.39)</t>
  </si>
  <si>
    <t xml:space="preserve">1101062790                    </t>
  </si>
  <si>
    <t>Сушилка для тарелок навес металлич на 70 тар  -/-</t>
  </si>
  <si>
    <t xml:space="preserve">1101062791                    </t>
  </si>
  <si>
    <t xml:space="preserve">  Сушилка для тарелок навес.металлич.на 70 тарел.  -/-</t>
  </si>
  <si>
    <t xml:space="preserve">1101062782                    </t>
  </si>
  <si>
    <t xml:space="preserve">  Сушилка для тарелок навесная металлич на 70 тарел   -/-</t>
  </si>
  <si>
    <t xml:space="preserve">1101062780                    </t>
  </si>
  <si>
    <t>Сушка для тарелок навес металлич на 70 тар   -/-</t>
  </si>
  <si>
    <t xml:space="preserve">1101062785                    </t>
  </si>
  <si>
    <t>Табурет винтовой  поворотный из кож.зам</t>
  </si>
  <si>
    <t xml:space="preserve">1101061823                    </t>
  </si>
  <si>
    <t>Табурет винтовой поворотный</t>
  </si>
  <si>
    <t xml:space="preserve">110106984                     </t>
  </si>
  <si>
    <t xml:space="preserve">Тостер   </t>
  </si>
  <si>
    <t xml:space="preserve">1101062566                    </t>
  </si>
  <si>
    <t>Трельяж (гардероб)</t>
  </si>
  <si>
    <t xml:space="preserve">110106090                     </t>
  </si>
  <si>
    <t>Зеркало с тумбой  (Мотина )</t>
  </si>
  <si>
    <t xml:space="preserve">110106532                     </t>
  </si>
  <si>
    <t>Тумба -шкаф открытый</t>
  </si>
  <si>
    <t xml:space="preserve">1101062364                    </t>
  </si>
  <si>
    <t>Тумба -шкаф закрытый</t>
  </si>
  <si>
    <t xml:space="preserve">1101062366                    </t>
  </si>
  <si>
    <t xml:space="preserve">1101062369                    </t>
  </si>
  <si>
    <t xml:space="preserve">1101062371                    </t>
  </si>
  <si>
    <t>Тумба 3х секционная серия Престиж Люкс</t>
  </si>
  <si>
    <t xml:space="preserve">110106890                     </t>
  </si>
  <si>
    <t>Тумба для плакатов</t>
  </si>
  <si>
    <t xml:space="preserve">110106600                     </t>
  </si>
  <si>
    <t xml:space="preserve">110106601                     </t>
  </si>
  <si>
    <t>Тумба приставная под зеркало</t>
  </si>
  <si>
    <t xml:space="preserve">1101062432                    </t>
  </si>
  <si>
    <t xml:space="preserve">1101062434                    </t>
  </si>
  <si>
    <t xml:space="preserve">1101062435                    </t>
  </si>
  <si>
    <t>Тумба прставная под зеркало</t>
  </si>
  <si>
    <t xml:space="preserve">1101062433                    </t>
  </si>
  <si>
    <t xml:space="preserve">1.10106017                    </t>
  </si>
  <si>
    <t xml:space="preserve">1101061023                    </t>
  </si>
  <si>
    <t>Тумба шкаф открытый</t>
  </si>
  <si>
    <t xml:space="preserve">1101061352                    </t>
  </si>
  <si>
    <t xml:space="preserve">1101061355                    </t>
  </si>
  <si>
    <t xml:space="preserve">1101061522                    </t>
  </si>
  <si>
    <t xml:space="preserve">1101061523                    </t>
  </si>
  <si>
    <t xml:space="preserve">1101061614                    </t>
  </si>
  <si>
    <t xml:space="preserve">1101061411                    </t>
  </si>
  <si>
    <t>Тумба шкаф открытый (каб.Минаевой )</t>
  </si>
  <si>
    <t xml:space="preserve">1101061414                    </t>
  </si>
  <si>
    <t xml:space="preserve">1101061676                    </t>
  </si>
  <si>
    <t>Тумба шкаф открытый (каб.Котовой)</t>
  </si>
  <si>
    <t xml:space="preserve">1101062844                    </t>
  </si>
  <si>
    <t xml:space="preserve">1101062847                    </t>
  </si>
  <si>
    <t xml:space="preserve">1101062856                    </t>
  </si>
  <si>
    <t xml:space="preserve">1101062858                    </t>
  </si>
  <si>
    <t xml:space="preserve">1101062861                    </t>
  </si>
  <si>
    <t xml:space="preserve">Тумба шкаф закрытый   </t>
  </si>
  <si>
    <t xml:space="preserve">1101061528                    </t>
  </si>
  <si>
    <t xml:space="preserve">1101062848                    </t>
  </si>
  <si>
    <t xml:space="preserve">Тумба шкаф закрытый  </t>
  </si>
  <si>
    <t xml:space="preserve">1101061623                    </t>
  </si>
  <si>
    <t xml:space="preserve">Тумба шкаф закрытый </t>
  </si>
  <si>
    <t xml:space="preserve">110106992                     </t>
  </si>
  <si>
    <t xml:space="preserve">1101061220                    </t>
  </si>
  <si>
    <t xml:space="preserve">1101061222                    </t>
  </si>
  <si>
    <t xml:space="preserve">1101061353                    </t>
  </si>
  <si>
    <t xml:space="preserve">1101061524                    </t>
  </si>
  <si>
    <t xml:space="preserve">1101061526                    </t>
  </si>
  <si>
    <t xml:space="preserve">1101061615                    </t>
  </si>
  <si>
    <t xml:space="preserve">1101061617                    </t>
  </si>
  <si>
    <t xml:space="preserve">1101061619                    </t>
  </si>
  <si>
    <t xml:space="preserve">1101061621                    </t>
  </si>
  <si>
    <t xml:space="preserve">1.101061695                   </t>
  </si>
  <si>
    <t>Тумба шкаф закрытый (охрана )</t>
  </si>
  <si>
    <t xml:space="preserve">1101061391                    </t>
  </si>
  <si>
    <t xml:space="preserve">1101061393                    </t>
  </si>
  <si>
    <t xml:space="preserve">110106412                     </t>
  </si>
  <si>
    <t xml:space="preserve">1101062862                    </t>
  </si>
  <si>
    <t xml:space="preserve">1101062867                    </t>
  </si>
  <si>
    <t xml:space="preserve">1101061412                    </t>
  </si>
  <si>
    <t>Тумба шкаф застеклен ный белый (каб.16)</t>
  </si>
  <si>
    <t xml:space="preserve">1101061731                    </t>
  </si>
  <si>
    <t>Тумба шкаф застекленный</t>
  </si>
  <si>
    <t xml:space="preserve">1101061247                    </t>
  </si>
  <si>
    <t>Тумба-шкаф закрытый</t>
  </si>
  <si>
    <t xml:space="preserve">1101062358                    </t>
  </si>
  <si>
    <t xml:space="preserve">1101062359                    </t>
  </si>
  <si>
    <t xml:space="preserve">1101062360                    </t>
  </si>
  <si>
    <t xml:space="preserve">1101062361                    </t>
  </si>
  <si>
    <t xml:space="preserve">1101062362                    </t>
  </si>
  <si>
    <t xml:space="preserve">1101062363                    </t>
  </si>
  <si>
    <t xml:space="preserve">1101062367                    </t>
  </si>
  <si>
    <t xml:space="preserve">1101062368                    </t>
  </si>
  <si>
    <t xml:space="preserve">1101062370                    </t>
  </si>
  <si>
    <t>Угловой мягкий диван 3х местный</t>
  </si>
  <si>
    <t xml:space="preserve">110106872                     </t>
  </si>
  <si>
    <t>Швейные машинки</t>
  </si>
  <si>
    <t xml:space="preserve">1101062792                    </t>
  </si>
  <si>
    <t>Ширма для примерки  (каб.Минаевой )</t>
  </si>
  <si>
    <t xml:space="preserve">1101062803                    </t>
  </si>
  <si>
    <t>Шкаф   стеллаж</t>
  </si>
  <si>
    <t xml:space="preserve">1101061674                    </t>
  </si>
  <si>
    <t>Шкаф  закрытый глухой</t>
  </si>
  <si>
    <t xml:space="preserve">1101062491                    </t>
  </si>
  <si>
    <t xml:space="preserve">1101062499                    </t>
  </si>
  <si>
    <t>Шкаф  офисный  (каб.37)</t>
  </si>
  <si>
    <t xml:space="preserve">1,101063319                   </t>
  </si>
  <si>
    <t>Шкаф  офисный (каб.37)</t>
  </si>
  <si>
    <t xml:space="preserve">1,101063320                   </t>
  </si>
  <si>
    <t xml:space="preserve">1,101063322                   </t>
  </si>
  <si>
    <t>шкаф  офисный (каб.37)</t>
  </si>
  <si>
    <t xml:space="preserve">1,101063324                   </t>
  </si>
  <si>
    <t>шкаф  офисный (учител.нач.кл.)</t>
  </si>
  <si>
    <t xml:space="preserve">1,101063327                   </t>
  </si>
  <si>
    <t>Шкаф  офисный (учител.нач.кл.)</t>
  </si>
  <si>
    <t xml:space="preserve">1,101063326                   </t>
  </si>
  <si>
    <t>Шкаф  с тумбой открытый</t>
  </si>
  <si>
    <t xml:space="preserve">1101061725                    </t>
  </si>
  <si>
    <t>Шкаф  со стеклом</t>
  </si>
  <si>
    <t xml:space="preserve">1101062353                    </t>
  </si>
  <si>
    <t>Шкаф гардеробный</t>
  </si>
  <si>
    <t xml:space="preserve">110106535                     </t>
  </si>
  <si>
    <t xml:space="preserve">1101062842                    </t>
  </si>
  <si>
    <t>Шкаф гардеробный (каб.Котовой )</t>
  </si>
  <si>
    <t xml:space="preserve">1101062843                    </t>
  </si>
  <si>
    <t xml:space="preserve">1101062846                    </t>
  </si>
  <si>
    <t xml:space="preserve">1101062854                    </t>
  </si>
  <si>
    <t xml:space="preserve">1101062860                    </t>
  </si>
  <si>
    <t xml:space="preserve">1101062864                    </t>
  </si>
  <si>
    <t>Шкаф гардеробный с бельевым отсеком</t>
  </si>
  <si>
    <t xml:space="preserve">110106988                     </t>
  </si>
  <si>
    <t xml:space="preserve">110106070                     </t>
  </si>
  <si>
    <t>Шкаф гардеробный (охрана )</t>
  </si>
  <si>
    <t xml:space="preserve">110106176                     </t>
  </si>
  <si>
    <t xml:space="preserve">1101062866                    </t>
  </si>
  <si>
    <t>Шкаф для одежды  ДСП  (подвал)</t>
  </si>
  <si>
    <t xml:space="preserve">110106016                     </t>
  </si>
  <si>
    <t>Шкаф со стеклом (каб.Семова )</t>
  </si>
  <si>
    <t xml:space="preserve">110106017                     </t>
  </si>
  <si>
    <t>Шкаф для одежды без бельевого отсека</t>
  </si>
  <si>
    <t xml:space="preserve">1101061739                    </t>
  </si>
  <si>
    <t>Шкаф для одежды ДСП   (подвал )</t>
  </si>
  <si>
    <t xml:space="preserve">110106014                     </t>
  </si>
  <si>
    <t>Шкаф для одежды с бельевым отсеком</t>
  </si>
  <si>
    <t xml:space="preserve">1101061022                    </t>
  </si>
  <si>
    <t xml:space="preserve">1101061224                    </t>
  </si>
  <si>
    <t xml:space="preserve">1101061356                    </t>
  </si>
  <si>
    <t xml:space="preserve">1101061670                    </t>
  </si>
  <si>
    <t>Шкаф для одежды (подвал )</t>
  </si>
  <si>
    <t xml:space="preserve">1101061671                    </t>
  </si>
  <si>
    <t>Шкаф для одехды с бельевым отсеком</t>
  </si>
  <si>
    <t xml:space="preserve">1101061225                    </t>
  </si>
  <si>
    <t>Шкаф для реактивов закрытый</t>
  </si>
  <si>
    <t xml:space="preserve">1101061650-                   </t>
  </si>
  <si>
    <t xml:space="preserve">1101061651                    </t>
  </si>
  <si>
    <t xml:space="preserve">1101061652                    </t>
  </si>
  <si>
    <t xml:space="preserve">1101061653                    </t>
  </si>
  <si>
    <t>Шкаф одежды (подвал )</t>
  </si>
  <si>
    <t xml:space="preserve">1101062489                    </t>
  </si>
  <si>
    <t>Шкаф закрытый глухой</t>
  </si>
  <si>
    <t xml:space="preserve">1101062490                    </t>
  </si>
  <si>
    <t xml:space="preserve">1101062492                    </t>
  </si>
  <si>
    <t xml:space="preserve">1101062493                    </t>
  </si>
  <si>
    <t xml:space="preserve">1101062494                    </t>
  </si>
  <si>
    <t xml:space="preserve">1101062495                    </t>
  </si>
  <si>
    <t xml:space="preserve">1101062496                    </t>
  </si>
  <si>
    <t xml:space="preserve">1101062497                    </t>
  </si>
  <si>
    <t xml:space="preserve">1101062498                    </t>
  </si>
  <si>
    <t xml:space="preserve">1101062500                    </t>
  </si>
  <si>
    <t xml:space="preserve">1101062501                    </t>
  </si>
  <si>
    <t>Шкаф закрытый для документов серия Престиж Люкс</t>
  </si>
  <si>
    <t xml:space="preserve">110106894                     </t>
  </si>
  <si>
    <t xml:space="preserve">1101092552                    </t>
  </si>
  <si>
    <t xml:space="preserve">110106553                     </t>
  </si>
  <si>
    <t xml:space="preserve">1101062555                    </t>
  </si>
  <si>
    <t xml:space="preserve">1101062556                    </t>
  </si>
  <si>
    <t xml:space="preserve">1101062557                    </t>
  </si>
  <si>
    <t xml:space="preserve">1101062558                    </t>
  </si>
  <si>
    <t xml:space="preserve">1101062559                    </t>
  </si>
  <si>
    <t xml:space="preserve">1101062560                    </t>
  </si>
  <si>
    <t>Шкаф открытый с тумбой</t>
  </si>
  <si>
    <t xml:space="preserve">1101062561                    </t>
  </si>
  <si>
    <t>Шкаф застекл. с замками и ячейками для жур   (каб.Котовой )налов</t>
  </si>
  <si>
    <t xml:space="preserve">110106530                     </t>
  </si>
  <si>
    <t>Шкаф медицинский двухстворчатый</t>
  </si>
  <si>
    <t xml:space="preserve">110106167                     </t>
  </si>
  <si>
    <t xml:space="preserve">110106173                     </t>
  </si>
  <si>
    <t>Шкаф настен. для хранен. ключей на 100ячеек стек.</t>
  </si>
  <si>
    <t xml:space="preserve">110106915                     </t>
  </si>
  <si>
    <t>Шкаф настенный для хранен. ключей на 100яч     (охрана )</t>
  </si>
  <si>
    <t xml:space="preserve">110106534                     </t>
  </si>
  <si>
    <t>Шкаф настенный для хранения ключей на 100ячеек(каб.Котовой )(</t>
  </si>
  <si>
    <t xml:space="preserve">1101061870                    </t>
  </si>
  <si>
    <t xml:space="preserve">1101061690                    </t>
  </si>
  <si>
    <t xml:space="preserve">1101061401                    </t>
  </si>
  <si>
    <t xml:space="preserve">1101061402                    </t>
  </si>
  <si>
    <t>Шкаф офисный (нач.школа)</t>
  </si>
  <si>
    <t xml:space="preserve">1,101063321                   </t>
  </si>
  <si>
    <t>Шкаф с полками закрыт. для документов</t>
  </si>
  <si>
    <t xml:space="preserve">110106531                     </t>
  </si>
  <si>
    <t>Шкаф с полками закрытый для докумен.</t>
  </si>
  <si>
    <t xml:space="preserve">110106765                     </t>
  </si>
  <si>
    <t>Шкаф с тумбой  со стеклян..створками</t>
  </si>
  <si>
    <t xml:space="preserve">110106990                     </t>
  </si>
  <si>
    <t>Шкаф с тумбой ос стекл. створками</t>
  </si>
  <si>
    <t xml:space="preserve">1101061631                    </t>
  </si>
  <si>
    <t xml:space="preserve">110106139                     </t>
  </si>
  <si>
    <t xml:space="preserve">110106154                     </t>
  </si>
  <si>
    <t xml:space="preserve">110106194                     </t>
  </si>
  <si>
    <t xml:space="preserve">110106195                     </t>
  </si>
  <si>
    <t xml:space="preserve">110106196                     </t>
  </si>
  <si>
    <t xml:space="preserve">1101061016                    </t>
  </si>
  <si>
    <t>Шкаф с тумбой открытый  (учител.нов.шк.)</t>
  </si>
  <si>
    <t xml:space="preserve">1101061135                    </t>
  </si>
  <si>
    <t xml:space="preserve">1101061226-1227               </t>
  </si>
  <si>
    <t xml:space="preserve">1101061227                    </t>
  </si>
  <si>
    <t xml:space="preserve">1101061249                    </t>
  </si>
  <si>
    <t xml:space="preserve">1101061357                    </t>
  </si>
  <si>
    <t xml:space="preserve">1101061358                    </t>
  </si>
  <si>
    <t xml:space="preserve">1101061530                    </t>
  </si>
  <si>
    <t xml:space="preserve">1101061531                    </t>
  </si>
  <si>
    <t xml:space="preserve">1101061532                    </t>
  </si>
  <si>
    <t xml:space="preserve">1101061533                    </t>
  </si>
  <si>
    <t xml:space="preserve">1101061626                    </t>
  </si>
  <si>
    <t xml:space="preserve">1101061628                    </t>
  </si>
  <si>
    <t xml:space="preserve">1101061629                    </t>
  </si>
  <si>
    <t xml:space="preserve">1101061687                    </t>
  </si>
  <si>
    <t xml:space="preserve">1101061732                    </t>
  </si>
  <si>
    <t xml:space="preserve">1101061395                    </t>
  </si>
  <si>
    <t xml:space="preserve">1101061420                    </t>
  </si>
  <si>
    <t xml:space="preserve">1101061421                    </t>
  </si>
  <si>
    <t xml:space="preserve">1101061672                    </t>
  </si>
  <si>
    <t xml:space="preserve">1101061673                    </t>
  </si>
  <si>
    <t xml:space="preserve">1101061834                    </t>
  </si>
  <si>
    <t xml:space="preserve">1101061835                    </t>
  </si>
  <si>
    <t xml:space="preserve">1101061836                    </t>
  </si>
  <si>
    <t xml:space="preserve">1101062839                    </t>
  </si>
  <si>
    <t xml:space="preserve">1101062841                    </t>
  </si>
  <si>
    <t>Шкаф с тумбой открытый 5456,51</t>
  </si>
  <si>
    <t xml:space="preserve">1101061625                    </t>
  </si>
  <si>
    <t>Шкаф с тумбой со  стекл  створками</t>
  </si>
  <si>
    <t xml:space="preserve">110106089                     </t>
  </si>
  <si>
    <t>Шкаф с тумбой со  стеклян. створками</t>
  </si>
  <si>
    <t xml:space="preserve">1101061231                    </t>
  </si>
  <si>
    <t>Шкаф с тумбой со стек створками</t>
  </si>
  <si>
    <t xml:space="preserve">110106088                     </t>
  </si>
  <si>
    <t>Шкаф с тумбой со стекл  створками</t>
  </si>
  <si>
    <t xml:space="preserve">1101061004                    </t>
  </si>
  <si>
    <t xml:space="preserve">110106087                     </t>
  </si>
  <si>
    <t xml:space="preserve">1101061003                    </t>
  </si>
  <si>
    <t xml:space="preserve">1101061726                    </t>
  </si>
  <si>
    <t xml:space="preserve">1101062850                    </t>
  </si>
  <si>
    <t xml:space="preserve">1101062855                    </t>
  </si>
  <si>
    <t xml:space="preserve">1101062857                    </t>
  </si>
  <si>
    <t xml:space="preserve">1101062859                    </t>
  </si>
  <si>
    <t xml:space="preserve">1101062865                    </t>
  </si>
  <si>
    <t>Шкаф с тумбой со стекл. створками</t>
  </si>
  <si>
    <t xml:space="preserve">11010061136                   </t>
  </si>
  <si>
    <t xml:space="preserve">1101061632                    </t>
  </si>
  <si>
    <t xml:space="preserve">1101062845                    </t>
  </si>
  <si>
    <t>Шкаф с тумбой со стеклян  створками</t>
  </si>
  <si>
    <t xml:space="preserve">110106989                     </t>
  </si>
  <si>
    <t xml:space="preserve">1101061828                    </t>
  </si>
  <si>
    <t xml:space="preserve">1101061829                    </t>
  </si>
  <si>
    <t>Шкаф с тумбой со стеклян створками  /без стекла /</t>
  </si>
  <si>
    <t xml:space="preserve">1101061236                    </t>
  </si>
  <si>
    <t>Шкаф с тумбой со стеклян. створками</t>
  </si>
  <si>
    <t xml:space="preserve">1101061015                    </t>
  </si>
  <si>
    <t xml:space="preserve">1101061232                    </t>
  </si>
  <si>
    <t xml:space="preserve">1101061359                    </t>
  </si>
  <si>
    <t xml:space="preserve">1101061360                    </t>
  </si>
  <si>
    <t xml:space="preserve">1101061534                    </t>
  </si>
  <si>
    <t xml:space="preserve">1101061535                    </t>
  </si>
  <si>
    <t xml:space="preserve">1101061536                    </t>
  </si>
  <si>
    <t xml:space="preserve">1101061537                    </t>
  </si>
  <si>
    <t xml:space="preserve">1101061633                    </t>
  </si>
  <si>
    <t>Шкаф с тумбой со стеклян. створками /без стекла /</t>
  </si>
  <si>
    <t xml:space="preserve">11010061236                   </t>
  </si>
  <si>
    <t>Шкаф с тумбой со стеклян.створками</t>
  </si>
  <si>
    <t xml:space="preserve">110106909                     </t>
  </si>
  <si>
    <t xml:space="preserve">110106987                     </t>
  </si>
  <si>
    <t>Шкаф с тумбой со стеклянн. створками</t>
  </si>
  <si>
    <t xml:space="preserve">1101061765                    </t>
  </si>
  <si>
    <t xml:space="preserve">1101061766                    </t>
  </si>
  <si>
    <t>Шкаф с тумбой со стеклянными створками</t>
  </si>
  <si>
    <t xml:space="preserve">1101061080                    </t>
  </si>
  <si>
    <t>Шкаф со стеклом</t>
  </si>
  <si>
    <t xml:space="preserve">1101062347                    </t>
  </si>
  <si>
    <t xml:space="preserve">1101062348                    </t>
  </si>
  <si>
    <t xml:space="preserve">1101062349                    </t>
  </si>
  <si>
    <t xml:space="preserve">1101062350                    </t>
  </si>
  <si>
    <t xml:space="preserve">1101062351                    </t>
  </si>
  <si>
    <t xml:space="preserve">1101062354                    </t>
  </si>
  <si>
    <t xml:space="preserve">1101062355                    </t>
  </si>
  <si>
    <t xml:space="preserve">1101062356                    </t>
  </si>
  <si>
    <t xml:space="preserve">1101062357                    </t>
  </si>
  <si>
    <t>Шкаф стеклянный  (мед.каб.)</t>
  </si>
  <si>
    <t xml:space="preserve">110106180                     </t>
  </si>
  <si>
    <t>Шкаф стеллаж</t>
  </si>
  <si>
    <t xml:space="preserve">1101061228                    </t>
  </si>
  <si>
    <t xml:space="preserve">1101061229                    </t>
  </si>
  <si>
    <t xml:space="preserve">1101061344                    </t>
  </si>
  <si>
    <t xml:space="preserve">1101061345-                   </t>
  </si>
  <si>
    <t xml:space="preserve">1101061346                    </t>
  </si>
  <si>
    <t xml:space="preserve">1101061347                    </t>
  </si>
  <si>
    <t xml:space="preserve">1101061348                    </t>
  </si>
  <si>
    <t xml:space="preserve">1101061349                    </t>
  </si>
  <si>
    <t xml:space="preserve">1101061675                    </t>
  </si>
  <si>
    <t>Шкаф стеллаж металлич. джля моющих средств</t>
  </si>
  <si>
    <t xml:space="preserve">1101061843                    </t>
  </si>
  <si>
    <t>Шкаф стеллаж широкий</t>
  </si>
  <si>
    <t xml:space="preserve">110106071                     </t>
  </si>
  <si>
    <t xml:space="preserve">110106072                     </t>
  </si>
  <si>
    <t>Шкаф стеллаж широкий закрыт</t>
  </si>
  <si>
    <t xml:space="preserve">1101061688                    </t>
  </si>
  <si>
    <t xml:space="preserve">1101061689                    </t>
  </si>
  <si>
    <t>Шкаф стеллаж широкий закрытый</t>
  </si>
  <si>
    <t xml:space="preserve">1101061415                    </t>
  </si>
  <si>
    <t xml:space="preserve">1101061418                    </t>
  </si>
  <si>
    <t xml:space="preserve">1101061419                    </t>
  </si>
  <si>
    <t>Шкаф узкий полуоткрытый для документов</t>
  </si>
  <si>
    <t xml:space="preserve">110106612                     </t>
  </si>
  <si>
    <t>Шкаф широкий закрытый мет</t>
  </si>
  <si>
    <t xml:space="preserve">110106177                     </t>
  </si>
  <si>
    <t>Шкф с тумбой открытый</t>
  </si>
  <si>
    <t xml:space="preserve">1101061627                    </t>
  </si>
  <si>
    <t>Шторы на окна</t>
  </si>
  <si>
    <t xml:space="preserve">1101062891                    </t>
  </si>
  <si>
    <t xml:space="preserve">1101062883                    </t>
  </si>
  <si>
    <t xml:space="preserve">1101062885                    </t>
  </si>
  <si>
    <t xml:space="preserve">101062888                     </t>
  </si>
  <si>
    <t xml:space="preserve">1101062888                    </t>
  </si>
  <si>
    <t>Электромиксер</t>
  </si>
  <si>
    <t xml:space="preserve">110106151                     </t>
  </si>
  <si>
    <t>Электромясорубка бытовая</t>
  </si>
  <si>
    <t xml:space="preserve">110106149                     </t>
  </si>
  <si>
    <t xml:space="preserve">110106150                     </t>
  </si>
  <si>
    <t>Электросушилка для рук (2этаж)</t>
  </si>
  <si>
    <t xml:space="preserve">1101061088                    </t>
  </si>
  <si>
    <t xml:space="preserve">1101061089                    </t>
  </si>
  <si>
    <t>Электросушилка для рук (3этаж )</t>
  </si>
  <si>
    <t xml:space="preserve">1101061090                    </t>
  </si>
  <si>
    <t>Электросушилка для рук(нач.шк.)</t>
  </si>
  <si>
    <t xml:space="preserve">1101061091                    </t>
  </si>
  <si>
    <t xml:space="preserve">Стол ученический  с бортиком </t>
  </si>
  <si>
    <t xml:space="preserve">101061702                     </t>
  </si>
  <si>
    <t>Шкаф металлическийШМ-01-МСК</t>
  </si>
  <si>
    <t>Контейнер (для мусора)</t>
  </si>
  <si>
    <t xml:space="preserve">4101360086                    </t>
  </si>
  <si>
    <t xml:space="preserve">4101360085                    </t>
  </si>
  <si>
    <t>Доска школьная 3-х элементная для мела 300х100см.(от Вечерней СОШ)</t>
  </si>
  <si>
    <t xml:space="preserve">4101360080                    </t>
  </si>
  <si>
    <t>Стол компьютерный угловой Л 120х170 (от Вечерней СОШ)</t>
  </si>
  <si>
    <t xml:space="preserve">4101360081                    </t>
  </si>
  <si>
    <t>Шкаф широкий полуоткрытый (от Вечерней СОШ)</t>
  </si>
  <si>
    <t xml:space="preserve">4101360084                    </t>
  </si>
  <si>
    <t xml:space="preserve">4101360083                    </t>
  </si>
  <si>
    <t xml:space="preserve">4101360082                    </t>
  </si>
  <si>
    <t>Стол с подв.тумбой КВ</t>
  </si>
  <si>
    <t>Доска 3-ех  эл.ДН-31М</t>
  </si>
  <si>
    <t>Доска ДП 12К</t>
  </si>
  <si>
    <t>Дырокол KW-trio 952 до 150 листов, особо мощный</t>
  </si>
  <si>
    <t xml:space="preserve">1.101062841                   </t>
  </si>
  <si>
    <t xml:space="preserve">1.101062842                   </t>
  </si>
  <si>
    <t xml:space="preserve">1.101062843                   </t>
  </si>
  <si>
    <t xml:space="preserve">101061703                     </t>
  </si>
  <si>
    <t xml:space="preserve">101061704                     </t>
  </si>
  <si>
    <t xml:space="preserve">1101061221                    </t>
  </si>
  <si>
    <t xml:space="preserve">1101061223                    </t>
  </si>
  <si>
    <t xml:space="preserve">1101061354                    </t>
  </si>
  <si>
    <t xml:space="preserve">1101061362                    </t>
  </si>
  <si>
    <t xml:space="preserve">1101061392                    </t>
  </si>
  <si>
    <t xml:space="preserve">1101061394                    </t>
  </si>
  <si>
    <t xml:space="preserve">1101061408                    </t>
  </si>
  <si>
    <t xml:space="preserve">1101061413                    </t>
  </si>
  <si>
    <t xml:space="preserve">1101061519                    </t>
  </si>
  <si>
    <t xml:space="preserve">1101061520                    </t>
  </si>
  <si>
    <t xml:space="preserve">1101061513                    </t>
  </si>
  <si>
    <t xml:space="preserve">1101061514                    </t>
  </si>
  <si>
    <t xml:space="preserve">1101061510                    </t>
  </si>
  <si>
    <t xml:space="preserve">1101061511                    </t>
  </si>
  <si>
    <t xml:space="preserve">1101061516                    </t>
  </si>
  <si>
    <t xml:space="preserve">1101061517                    </t>
  </si>
  <si>
    <t xml:space="preserve">1.101061523                   </t>
  </si>
  <si>
    <t xml:space="preserve">1.101061524                   </t>
  </si>
  <si>
    <t xml:space="preserve">1101061525                    </t>
  </si>
  <si>
    <t xml:space="preserve">1.101061526                   </t>
  </si>
  <si>
    <t xml:space="preserve">1.101061527                   </t>
  </si>
  <si>
    <t xml:space="preserve">1101061527                    </t>
  </si>
  <si>
    <t xml:space="preserve">1101061529                    </t>
  </si>
  <si>
    <t xml:space="preserve">1.101061530                   </t>
  </si>
  <si>
    <t xml:space="preserve">.1101061532                   </t>
  </si>
  <si>
    <t xml:space="preserve">.1101061533                   </t>
  </si>
  <si>
    <t xml:space="preserve">1101061616                    </t>
  </si>
  <si>
    <t xml:space="preserve">1101061618                    </t>
  </si>
  <si>
    <t xml:space="preserve">1101061620                    </t>
  </si>
  <si>
    <t xml:space="preserve">1101061622                    </t>
  </si>
  <si>
    <t xml:space="preserve">1101061624                    </t>
  </si>
  <si>
    <t xml:space="preserve">.1101061690                   </t>
  </si>
  <si>
    <t xml:space="preserve">.1101061691                   </t>
  </si>
  <si>
    <t xml:space="preserve">1101061681                    </t>
  </si>
  <si>
    <t xml:space="preserve">1101061682                    </t>
  </si>
  <si>
    <t xml:space="preserve">11010684                      </t>
  </si>
  <si>
    <t xml:space="preserve">1101061685                    </t>
  </si>
  <si>
    <t xml:space="preserve">1101061696                    </t>
  </si>
  <si>
    <t xml:space="preserve">1101061700                    </t>
  </si>
  <si>
    <t xml:space="preserve">1101061701                    </t>
  </si>
  <si>
    <t xml:space="preserve">1101061706                    </t>
  </si>
  <si>
    <t xml:space="preserve">1101061707                    </t>
  </si>
  <si>
    <t xml:space="preserve">1101061697                    </t>
  </si>
  <si>
    <t xml:space="preserve">1101061698                    </t>
  </si>
  <si>
    <t xml:space="preserve">1101061738                    </t>
  </si>
  <si>
    <t xml:space="preserve">1101061762                    </t>
  </si>
  <si>
    <t xml:space="preserve">.1101062567                   </t>
  </si>
  <si>
    <t>Маслянные радиаторы(охрана )</t>
  </si>
  <si>
    <t xml:space="preserve">1101062668                    </t>
  </si>
  <si>
    <t xml:space="preserve">1101061764                    </t>
  </si>
  <si>
    <t xml:space="preserve">1101062761                    </t>
  </si>
  <si>
    <t xml:space="preserve">1101062765                    </t>
  </si>
  <si>
    <t xml:space="preserve">1101062771                    </t>
  </si>
  <si>
    <t xml:space="preserve">1101062773                    </t>
  </si>
  <si>
    <t xml:space="preserve">1101062849                    </t>
  </si>
  <si>
    <t xml:space="preserve">1101062863                    </t>
  </si>
  <si>
    <t xml:space="preserve">1101062868                    </t>
  </si>
  <si>
    <t xml:space="preserve">110106413                     </t>
  </si>
  <si>
    <t xml:space="preserve">11010666                      </t>
  </si>
  <si>
    <t xml:space="preserve">.1101061688                   </t>
  </si>
  <si>
    <t xml:space="preserve">.,110106992                   </t>
  </si>
  <si>
    <t>Кейс для транспортировки FLT кейс</t>
  </si>
  <si>
    <t xml:space="preserve">10106018                      </t>
  </si>
  <si>
    <t xml:space="preserve">1.06986101                    </t>
  </si>
  <si>
    <t xml:space="preserve">1.10106986                    </t>
  </si>
  <si>
    <t>Стремянка HAILO L60 5 ступенек Н=280см с лотком, алюм.</t>
  </si>
  <si>
    <t xml:space="preserve">Проекционный столик </t>
  </si>
  <si>
    <t>Ноутбук 15,6 НР(SAMSUNG)|4 Gb\W 7 (встроен. камера)</t>
  </si>
  <si>
    <t>Фотоаппарат Panasonic Lumix DMC-FS 40</t>
  </si>
  <si>
    <t xml:space="preserve">Бензиновая коса Huter </t>
  </si>
  <si>
    <t xml:space="preserve"> 1101061529                   </t>
  </si>
  <si>
    <t xml:space="preserve"> 1 101061687                  </t>
  </si>
  <si>
    <t xml:space="preserve">  1 101061763                 </t>
  </si>
  <si>
    <t xml:space="preserve"> 1 101061764                  </t>
  </si>
  <si>
    <t xml:space="preserve">1101061761                    </t>
  </si>
  <si>
    <t xml:space="preserve"> 1 101062840                  </t>
  </si>
  <si>
    <t>Весы  до 10 кг</t>
  </si>
  <si>
    <t xml:space="preserve">110106011                     </t>
  </si>
  <si>
    <t>Весы до 500 кг</t>
  </si>
  <si>
    <t xml:space="preserve">110106012                     </t>
  </si>
  <si>
    <t>Жалюзи н7а окна</t>
  </si>
  <si>
    <t xml:space="preserve">1101062896                    </t>
  </si>
  <si>
    <t xml:space="preserve">1101062893                    </t>
  </si>
  <si>
    <t xml:space="preserve">1101062894                    </t>
  </si>
  <si>
    <t xml:space="preserve">1101062895                    </t>
  </si>
  <si>
    <t xml:space="preserve">1101062897                    </t>
  </si>
  <si>
    <t xml:space="preserve">1101062898                    </t>
  </si>
  <si>
    <t xml:space="preserve">1101062899                    </t>
  </si>
  <si>
    <t xml:space="preserve">1101062779                    </t>
  </si>
  <si>
    <t xml:space="preserve">1101062778                    </t>
  </si>
  <si>
    <t xml:space="preserve">Миксер на 1 литр           </t>
  </si>
  <si>
    <t xml:space="preserve">1101062564-                   </t>
  </si>
  <si>
    <t>Подкатная тумба к письмен . столу 436х450х576</t>
  </si>
  <si>
    <t xml:space="preserve">110106049                     </t>
  </si>
  <si>
    <t>Подставка ПК  ЭОС</t>
  </si>
  <si>
    <t xml:space="preserve">110106043                     </t>
  </si>
  <si>
    <t>Рукосушитель</t>
  </si>
  <si>
    <t xml:space="preserve">110106020                     </t>
  </si>
  <si>
    <t xml:space="preserve">110106021                     </t>
  </si>
  <si>
    <t xml:space="preserve">110106022                     </t>
  </si>
  <si>
    <t>Секция -вставка  210х840х860</t>
  </si>
  <si>
    <t xml:space="preserve">110106060                     </t>
  </si>
  <si>
    <t>Стеллаж стационарный</t>
  </si>
  <si>
    <t xml:space="preserve">110106057                     </t>
  </si>
  <si>
    <t xml:space="preserve">110106058                     </t>
  </si>
  <si>
    <t xml:space="preserve">110106059                     </t>
  </si>
  <si>
    <t>Стол  производственный СП 111/900 с борт</t>
  </si>
  <si>
    <t xml:space="preserve">110106027                     </t>
  </si>
  <si>
    <t>Стол для хлеборезки</t>
  </si>
  <si>
    <t xml:space="preserve">110106061                     </t>
  </si>
  <si>
    <t xml:space="preserve">Стол обеденный четырехместный с табурет  </t>
  </si>
  <si>
    <t xml:space="preserve">110106062                     </t>
  </si>
  <si>
    <t>Стол письменный 1600х700х750</t>
  </si>
  <si>
    <t xml:space="preserve">110106048                     </t>
  </si>
  <si>
    <t>Стол производственный  СП  111/1500</t>
  </si>
  <si>
    <t xml:space="preserve">110106032                     </t>
  </si>
  <si>
    <t xml:space="preserve">110106036                     </t>
  </si>
  <si>
    <t>Стол производственный  СП 111/1500</t>
  </si>
  <si>
    <t xml:space="preserve">110106033                     </t>
  </si>
  <si>
    <t xml:space="preserve">110106034                     </t>
  </si>
  <si>
    <t>Стол производственный (сбор отходов (</t>
  </si>
  <si>
    <t xml:space="preserve">110106006                     </t>
  </si>
  <si>
    <t>Стол производственный СП  111/1500</t>
  </si>
  <si>
    <t xml:space="preserve">110106035                     </t>
  </si>
  <si>
    <t>Стол производственный СП  111/900 с борт</t>
  </si>
  <si>
    <t xml:space="preserve">110106029                     </t>
  </si>
  <si>
    <t xml:space="preserve">110106030                     </t>
  </si>
  <si>
    <t>Стол производственный СП 111/1500</t>
  </si>
  <si>
    <t xml:space="preserve">110106031                     </t>
  </si>
  <si>
    <t>Стол производственный СП 111/900 с борт</t>
  </si>
  <si>
    <t xml:space="preserve">110106024                     </t>
  </si>
  <si>
    <t xml:space="preserve">110106025                     </t>
  </si>
  <si>
    <t xml:space="preserve">110106026                     </t>
  </si>
  <si>
    <t xml:space="preserve">110106028                     </t>
  </si>
  <si>
    <t>Сушилка для тарел навесн металлич на 70 тар</t>
  </si>
  <si>
    <t xml:space="preserve">1101062781                    </t>
  </si>
  <si>
    <t xml:space="preserve">1101062783                    </t>
  </si>
  <si>
    <t>Сушилка для тарелок металлич навес на 70 тар</t>
  </si>
  <si>
    <t xml:space="preserve">1101062787                    </t>
  </si>
  <si>
    <t xml:space="preserve">1101062784                    </t>
  </si>
  <si>
    <t xml:space="preserve">1101062788                    </t>
  </si>
  <si>
    <t xml:space="preserve">110102789                     </t>
  </si>
  <si>
    <t>Шкаф гардеробный  820х430х2030</t>
  </si>
  <si>
    <t xml:space="preserve">110106051                     </t>
  </si>
  <si>
    <t xml:space="preserve">110106052                     </t>
  </si>
  <si>
    <t>Шкаф гардеробный 820х430х2030</t>
  </si>
  <si>
    <t xml:space="preserve">110106053                     </t>
  </si>
  <si>
    <t xml:space="preserve">110106054                     </t>
  </si>
  <si>
    <t xml:space="preserve">1101062505                    </t>
  </si>
  <si>
    <t xml:space="preserve">1101062506                    </t>
  </si>
  <si>
    <t xml:space="preserve">1101062507                    </t>
  </si>
  <si>
    <t xml:space="preserve">110106063                     </t>
  </si>
  <si>
    <t xml:space="preserve">110106064                     </t>
  </si>
  <si>
    <t xml:space="preserve">110106065                     </t>
  </si>
  <si>
    <t xml:space="preserve">.110106066                    </t>
  </si>
  <si>
    <t xml:space="preserve">.110106067                    </t>
  </si>
  <si>
    <t xml:space="preserve">110106068                     </t>
  </si>
  <si>
    <t xml:space="preserve">110106069                     </t>
  </si>
  <si>
    <t xml:space="preserve">.110106070                    </t>
  </si>
  <si>
    <t xml:space="preserve">.110106071                    </t>
  </si>
  <si>
    <t xml:space="preserve">.110106072                    </t>
  </si>
  <si>
    <t xml:space="preserve">.110106073                    </t>
  </si>
  <si>
    <t xml:space="preserve">.110106074                    </t>
  </si>
  <si>
    <t xml:space="preserve">.110106075                    </t>
  </si>
  <si>
    <t xml:space="preserve">.110106076                    </t>
  </si>
  <si>
    <t xml:space="preserve">.110106077                    </t>
  </si>
  <si>
    <t xml:space="preserve">.110106078                    </t>
  </si>
  <si>
    <t xml:space="preserve">.110106079                    </t>
  </si>
  <si>
    <t xml:space="preserve">.110106080                    </t>
  </si>
  <si>
    <t xml:space="preserve">.110106081                    </t>
  </si>
  <si>
    <t xml:space="preserve">.110106082                    </t>
  </si>
  <si>
    <t xml:space="preserve">.110106083                    </t>
  </si>
  <si>
    <t xml:space="preserve">.110106084                    </t>
  </si>
  <si>
    <t xml:space="preserve">.110106085                    </t>
  </si>
  <si>
    <t xml:space="preserve">.110106086                    </t>
  </si>
  <si>
    <t xml:space="preserve">.110106087                    </t>
  </si>
  <si>
    <t xml:space="preserve">.110106088                    </t>
  </si>
  <si>
    <t xml:space="preserve">.110106089                    </t>
  </si>
  <si>
    <t xml:space="preserve">.110106090                    </t>
  </si>
  <si>
    <t xml:space="preserve">.110106091                    </t>
  </si>
  <si>
    <t xml:space="preserve">.110106092                    </t>
  </si>
  <si>
    <t xml:space="preserve">.110106093                    </t>
  </si>
  <si>
    <t xml:space="preserve">.110106094                    </t>
  </si>
  <si>
    <t xml:space="preserve">.110106095                    </t>
  </si>
  <si>
    <t xml:space="preserve">.110106096                    </t>
  </si>
  <si>
    <t xml:space="preserve">.110106097                    </t>
  </si>
  <si>
    <t xml:space="preserve">.110106098                    </t>
  </si>
  <si>
    <t xml:space="preserve">.110106099                    </t>
  </si>
  <si>
    <t xml:space="preserve">110106100                     </t>
  </si>
  <si>
    <t xml:space="preserve">110106101                     </t>
  </si>
  <si>
    <t>Самовар на 4литра  300х300</t>
  </si>
  <si>
    <t xml:space="preserve">110106947                     </t>
  </si>
  <si>
    <t xml:space="preserve">1101062904                    </t>
  </si>
  <si>
    <t>Верстак слесарный</t>
  </si>
  <si>
    <t xml:space="preserve">110106231                     </t>
  </si>
  <si>
    <t xml:space="preserve">110106232                     </t>
  </si>
  <si>
    <t xml:space="preserve">110106233                     </t>
  </si>
  <si>
    <t xml:space="preserve">110106234                     </t>
  </si>
  <si>
    <t xml:space="preserve">110106235                     </t>
  </si>
  <si>
    <t xml:space="preserve">110106236                     </t>
  </si>
  <si>
    <t xml:space="preserve">110106237                     </t>
  </si>
  <si>
    <t xml:space="preserve">110106238                     </t>
  </si>
  <si>
    <t xml:space="preserve">110106239                     </t>
  </si>
  <si>
    <t xml:space="preserve">110106213                     </t>
  </si>
  <si>
    <t xml:space="preserve">110106214                     </t>
  </si>
  <si>
    <t xml:space="preserve">110106215                     </t>
  </si>
  <si>
    <t xml:space="preserve">110106216                     </t>
  </si>
  <si>
    <t xml:space="preserve">110106217                     </t>
  </si>
  <si>
    <t xml:space="preserve">110106218                     </t>
  </si>
  <si>
    <t xml:space="preserve">110106219                     </t>
  </si>
  <si>
    <t xml:space="preserve">Подкатная тумба к столу письменному   </t>
  </si>
  <si>
    <t xml:space="preserve">1101061143                    </t>
  </si>
  <si>
    <t>Слесарный набор /ключи гаечные/</t>
  </si>
  <si>
    <t xml:space="preserve">1101062563                    </t>
  </si>
  <si>
    <t>Стол преподавателя на п/о трубе</t>
  </si>
  <si>
    <t xml:space="preserve">11101063249                   </t>
  </si>
  <si>
    <t>Табурет рабочий дерев. на 4нлжках поворотный</t>
  </si>
  <si>
    <t xml:space="preserve">110106280                     </t>
  </si>
  <si>
    <t>Табурет рабочий дерев. на 4ножках поворотный</t>
  </si>
  <si>
    <t xml:space="preserve">110106270                     </t>
  </si>
  <si>
    <t xml:space="preserve">110106273                     </t>
  </si>
  <si>
    <t xml:space="preserve">110106274                     </t>
  </si>
  <si>
    <t xml:space="preserve">110106275                     </t>
  </si>
  <si>
    <t xml:space="preserve">110106276                     </t>
  </si>
  <si>
    <t xml:space="preserve">110106277                     </t>
  </si>
  <si>
    <t xml:space="preserve">110106278                     </t>
  </si>
  <si>
    <t xml:space="preserve">110106279                     </t>
  </si>
  <si>
    <t xml:space="preserve">110106281                     </t>
  </si>
  <si>
    <t xml:space="preserve">110106282                     </t>
  </si>
  <si>
    <t xml:space="preserve">110106284                     </t>
  </si>
  <si>
    <t xml:space="preserve">110106285                     </t>
  </si>
  <si>
    <t xml:space="preserve">110106288                     </t>
  </si>
  <si>
    <t>Шифовальная машинка электр. ручная</t>
  </si>
  <si>
    <t xml:space="preserve">110106206                     </t>
  </si>
  <si>
    <t>Шкаф для одежды с бельев отсеком</t>
  </si>
  <si>
    <t xml:space="preserve">110106191                     </t>
  </si>
  <si>
    <t>Шкаф с тумбой  открытый</t>
  </si>
  <si>
    <t xml:space="preserve">110106193                     </t>
  </si>
  <si>
    <t xml:space="preserve">110106192                     </t>
  </si>
  <si>
    <t xml:space="preserve">1101061133                    </t>
  </si>
  <si>
    <t xml:space="preserve">1101061134                    </t>
  </si>
  <si>
    <t xml:space="preserve">1101061144                    </t>
  </si>
  <si>
    <t xml:space="preserve">Стол ученический 2-местный (меламин. кант ПВХ) гр.6 п/о труба м/к синий сетка полк </t>
  </si>
  <si>
    <t xml:space="preserve">1101063164                    </t>
  </si>
  <si>
    <t xml:space="preserve">1101063165                    </t>
  </si>
  <si>
    <t xml:space="preserve">1101063166                    </t>
  </si>
  <si>
    <t xml:space="preserve">1101063167                    </t>
  </si>
  <si>
    <t xml:space="preserve">1101063168                    </t>
  </si>
  <si>
    <t xml:space="preserve">1101063169                    </t>
  </si>
  <si>
    <t xml:space="preserve">1101063170                    </t>
  </si>
  <si>
    <t xml:space="preserve">1101063171                    </t>
  </si>
  <si>
    <t xml:space="preserve">1101063172                    </t>
  </si>
  <si>
    <t xml:space="preserve">1101063173                    </t>
  </si>
  <si>
    <t xml:space="preserve">1101063174                    </t>
  </si>
  <si>
    <t xml:space="preserve">1101063175                    </t>
  </si>
  <si>
    <t xml:space="preserve">1101063176                    </t>
  </si>
  <si>
    <t xml:space="preserve">1101063177                    </t>
  </si>
  <si>
    <t xml:space="preserve">1101063178                    </t>
  </si>
  <si>
    <t xml:space="preserve">1101063179                    </t>
  </si>
  <si>
    <t xml:space="preserve">1101063180                    </t>
  </si>
  <si>
    <t xml:space="preserve">1101063181                    </t>
  </si>
  <si>
    <t xml:space="preserve">1101063182                    </t>
  </si>
  <si>
    <t xml:space="preserve">1101063183                    </t>
  </si>
  <si>
    <t xml:space="preserve">1101063184                    </t>
  </si>
  <si>
    <t xml:space="preserve">1101063185                    </t>
  </si>
  <si>
    <t xml:space="preserve">1101063186                    </t>
  </si>
  <si>
    <t xml:space="preserve">1101063187                    </t>
  </si>
  <si>
    <t xml:space="preserve">1101063188                    </t>
  </si>
  <si>
    <t>М-н вокал.с гиперкад.</t>
  </si>
  <si>
    <t xml:space="preserve">1.101062836                   </t>
  </si>
  <si>
    <t>Шкаф сушильный низкотемпературный</t>
  </si>
  <si>
    <t xml:space="preserve">1101061638                    </t>
  </si>
  <si>
    <t>Кресло руководителя кожанное черн.</t>
  </si>
  <si>
    <t xml:space="preserve">110106907                     </t>
  </si>
  <si>
    <t xml:space="preserve">110106897                     </t>
  </si>
  <si>
    <t>Стол брифинг серия Премер</t>
  </si>
  <si>
    <t xml:space="preserve">110106899                     </t>
  </si>
  <si>
    <t>Стол компьютерный серия Премер</t>
  </si>
  <si>
    <t xml:space="preserve">110106900                     </t>
  </si>
  <si>
    <t>Стол руководителя серия Премер</t>
  </si>
  <si>
    <t xml:space="preserve">110106898                     </t>
  </si>
  <si>
    <t xml:space="preserve">110106901                     </t>
  </si>
  <si>
    <t xml:space="preserve">110106902                     </t>
  </si>
  <si>
    <t>мебель для оргтехники серии премьер</t>
  </si>
  <si>
    <t xml:space="preserve">Видеорегистратор автомобильный  </t>
  </si>
  <si>
    <t xml:space="preserve">2.101090324                   </t>
  </si>
  <si>
    <t>Световой  короб</t>
  </si>
  <si>
    <t xml:space="preserve">2.10109028                    </t>
  </si>
  <si>
    <t xml:space="preserve">110138144                     </t>
  </si>
  <si>
    <t xml:space="preserve">110138145                     </t>
  </si>
  <si>
    <t xml:space="preserve">110138146                     </t>
  </si>
  <si>
    <t xml:space="preserve">110138147                     </t>
  </si>
  <si>
    <t>Стенд метал</t>
  </si>
  <si>
    <t xml:space="preserve">2.101090322                   </t>
  </si>
  <si>
    <t xml:space="preserve">2.10109029                    </t>
  </si>
  <si>
    <t>Светофор  транспортный 4х секционный</t>
  </si>
  <si>
    <t xml:space="preserve">2.10109026                    </t>
  </si>
  <si>
    <t>Комплект нагл. пособ. для мастерской по тканям</t>
  </si>
  <si>
    <t xml:space="preserve">110109036                     </t>
  </si>
  <si>
    <t>Наглядн пособ для каб технологии №24</t>
  </si>
  <si>
    <t xml:space="preserve">110109631                     </t>
  </si>
  <si>
    <t>Ширма для кукольн театра большая</t>
  </si>
  <si>
    <t xml:space="preserve">110109473                     </t>
  </si>
  <si>
    <t>Ширма для кукольн театра малая</t>
  </si>
  <si>
    <t xml:space="preserve">110109472                     </t>
  </si>
  <si>
    <t>Костюм Бабы Яги разм 48-50</t>
  </si>
  <si>
    <t xml:space="preserve">110109403                     </t>
  </si>
  <si>
    <t>Костюм Белки  разм 38-42</t>
  </si>
  <si>
    <t xml:space="preserve">110109408                     </t>
  </si>
  <si>
    <t>Костюм Буратино разм 42-44</t>
  </si>
  <si>
    <t xml:space="preserve">110109412                     </t>
  </si>
  <si>
    <t>Костюм Волка разм 38-42</t>
  </si>
  <si>
    <t xml:space="preserve">110109405                     </t>
  </si>
  <si>
    <t>Костюм Деда Мороза разм 52</t>
  </si>
  <si>
    <t xml:space="preserve">110109401                     </t>
  </si>
  <si>
    <t>Костюм Зайца разм 38-42</t>
  </si>
  <si>
    <t xml:space="preserve">110109406                     </t>
  </si>
  <si>
    <t>Костюм Лисы разм 38-42</t>
  </si>
  <si>
    <t xml:space="preserve">110109404                     </t>
  </si>
  <si>
    <t>Костюм Мальвины  разм 42-44</t>
  </si>
  <si>
    <t xml:space="preserve">110109411                     </t>
  </si>
  <si>
    <t>Костюм Медведя разм  38-42</t>
  </si>
  <si>
    <t xml:space="preserve">110109407                     </t>
  </si>
  <si>
    <t>Костюм Снегурочки разм 48-50</t>
  </si>
  <si>
    <t xml:space="preserve">110109402                     </t>
  </si>
  <si>
    <t>Костюм Царевича  46-48</t>
  </si>
  <si>
    <t xml:space="preserve">110109410                     </t>
  </si>
  <si>
    <t>Костюм Царевны  разм  46-48</t>
  </si>
  <si>
    <t xml:space="preserve">110109409                     </t>
  </si>
  <si>
    <t>Русские народ костюмы /женские/ разм 46-48</t>
  </si>
  <si>
    <t xml:space="preserve">110109425                     </t>
  </si>
  <si>
    <t>Русские народн костюмы  /мужские /</t>
  </si>
  <si>
    <t xml:space="preserve">110109413                     </t>
  </si>
  <si>
    <t>Русские народн костюмы  /мужские/</t>
  </si>
  <si>
    <t xml:space="preserve">110109414                     </t>
  </si>
  <si>
    <t>Русские народн костюмы /женские / разм 46-48</t>
  </si>
  <si>
    <t xml:space="preserve">110109426                     </t>
  </si>
  <si>
    <t>Русские народн костюмы /женские /46-48</t>
  </si>
  <si>
    <t xml:space="preserve">110109424                     </t>
  </si>
  <si>
    <t>Русские народн костюмы /женские /разм 46-48</t>
  </si>
  <si>
    <t xml:space="preserve">110109423                     </t>
  </si>
  <si>
    <t>Русские народн костюмы /женские/ разм 46-48</t>
  </si>
  <si>
    <t xml:space="preserve">110109429                     </t>
  </si>
  <si>
    <t xml:space="preserve">110109430                     </t>
  </si>
  <si>
    <t>Русские народн костюмы /женские/разм 46--48</t>
  </si>
  <si>
    <t xml:space="preserve">110109428                     </t>
  </si>
  <si>
    <t>Русские народн костюмы /женские/разм 46-48</t>
  </si>
  <si>
    <t xml:space="preserve">110109427                     </t>
  </si>
  <si>
    <t xml:space="preserve">110109431                     </t>
  </si>
  <si>
    <t xml:space="preserve">110109432                     </t>
  </si>
  <si>
    <t>Русские народные костюми/мужские / разм 46-48</t>
  </si>
  <si>
    <t xml:space="preserve">110109417                     </t>
  </si>
  <si>
    <t>Русские народные костюмы  /мужские /</t>
  </si>
  <si>
    <t xml:space="preserve">110109415                     </t>
  </si>
  <si>
    <t>Русские народные костюмы  /мужские /разм 46-48</t>
  </si>
  <si>
    <t xml:space="preserve">110109420                     </t>
  </si>
  <si>
    <t>Русские народные костюмы /мужские / разм 46-48</t>
  </si>
  <si>
    <t xml:space="preserve">110109419                     </t>
  </si>
  <si>
    <t xml:space="preserve">110109422                     </t>
  </si>
  <si>
    <t>Русские народные костюмы /мужские /разм 46-48</t>
  </si>
  <si>
    <t xml:space="preserve">110109418                     </t>
  </si>
  <si>
    <t xml:space="preserve">110109421                     </t>
  </si>
  <si>
    <t>Русские наролдные костюмы  /мужские / разм 46-48</t>
  </si>
  <si>
    <t xml:space="preserve">110109416                     </t>
  </si>
  <si>
    <t>Портреты математиков  компл</t>
  </si>
  <si>
    <t xml:space="preserve">110109602                     </t>
  </si>
  <si>
    <t>Нагл пособ для каб музыки №85</t>
  </si>
  <si>
    <t xml:space="preserve">110109630                     </t>
  </si>
  <si>
    <t>Наглядные пособия для каб.музыки</t>
  </si>
  <si>
    <t xml:space="preserve">1.101099988                   </t>
  </si>
  <si>
    <t>Простые задачи /из 2-х таблиц раздат.м-л 256 карт/</t>
  </si>
  <si>
    <t xml:space="preserve">1.10109554                    </t>
  </si>
  <si>
    <t>Маты поролоновые / для прыжков в высоту /</t>
  </si>
  <si>
    <t xml:space="preserve">110109192                     </t>
  </si>
  <si>
    <t>Маты поролоновые /для прыжков в высоту /</t>
  </si>
  <si>
    <t xml:space="preserve">110109189                     </t>
  </si>
  <si>
    <t xml:space="preserve">110109191                     </t>
  </si>
  <si>
    <t xml:space="preserve">110109194                     </t>
  </si>
  <si>
    <t>Мыты поролоновые / для прыжков в высоту /</t>
  </si>
  <si>
    <t xml:space="preserve">110109193                     </t>
  </si>
  <si>
    <t>Природоведение 1-3 кл./Таб.Сигаро/</t>
  </si>
  <si>
    <t xml:space="preserve">1.10109555                    </t>
  </si>
  <si>
    <t xml:space="preserve">1.10109556                    </t>
  </si>
  <si>
    <t>Домкрат 5,10 для автодела</t>
  </si>
  <si>
    <t xml:space="preserve">110109038                     </t>
  </si>
  <si>
    <t>Домкрат 5,10 т для автодела</t>
  </si>
  <si>
    <t xml:space="preserve">110109037                     </t>
  </si>
  <si>
    <t>Аналого -цифровой преобразователь</t>
  </si>
  <si>
    <t xml:space="preserve">110109205                     </t>
  </si>
  <si>
    <t>Весы учебные с гирями</t>
  </si>
  <si>
    <t xml:space="preserve">1.101099980                   </t>
  </si>
  <si>
    <t xml:space="preserve">1.101099981                   </t>
  </si>
  <si>
    <t>Датчики физических величин</t>
  </si>
  <si>
    <t xml:space="preserve">110109204                     </t>
  </si>
  <si>
    <t>Демонстр.к-т по электрод.</t>
  </si>
  <si>
    <t xml:space="preserve">1.101099982                   </t>
  </si>
  <si>
    <t>Ком-т таблиц по физике</t>
  </si>
  <si>
    <t xml:space="preserve">1.101099984                   </t>
  </si>
  <si>
    <t>Машина электрофорная</t>
  </si>
  <si>
    <t xml:space="preserve">1.101099987                   </t>
  </si>
  <si>
    <t>Н-р учебный Оптика-классика</t>
  </si>
  <si>
    <t xml:space="preserve">1.101091010                   </t>
  </si>
  <si>
    <t>Нагл пособ для каб физики №78,93</t>
  </si>
  <si>
    <t xml:space="preserve">110109629                     </t>
  </si>
  <si>
    <t>Спектральный набор</t>
  </si>
  <si>
    <t xml:space="preserve">1.101091011                   </t>
  </si>
  <si>
    <t>Телескоп</t>
  </si>
  <si>
    <t xml:space="preserve">110109471                     </t>
  </si>
  <si>
    <t>Е-004 Скамейка парковая</t>
  </si>
  <si>
    <t xml:space="preserve">110106662                     </t>
  </si>
  <si>
    <t>"Стенд  "Национальн проект в действии"</t>
  </si>
  <si>
    <t xml:space="preserve">110109442                     </t>
  </si>
  <si>
    <t>Аквариум  100л</t>
  </si>
  <si>
    <t xml:space="preserve">110109514                     </t>
  </si>
  <si>
    <t>Аквариум  прямоугольн на 103 л</t>
  </si>
  <si>
    <t xml:space="preserve">110109196                     </t>
  </si>
  <si>
    <t>Аквариум 100л</t>
  </si>
  <si>
    <t xml:space="preserve">110109531                     </t>
  </si>
  <si>
    <t>Аквариум прямоугольный на 103, литра</t>
  </si>
  <si>
    <t xml:space="preserve">110109103                     </t>
  </si>
  <si>
    <t>Аквариум прямоугольн на 103 л</t>
  </si>
  <si>
    <t xml:space="preserve">110109195                     </t>
  </si>
  <si>
    <t>Аквариум с тумбой</t>
  </si>
  <si>
    <t xml:space="preserve">110109433                     </t>
  </si>
  <si>
    <t>Арлекин сложный</t>
  </si>
  <si>
    <t xml:space="preserve">110109206                     </t>
  </si>
  <si>
    <t>Бикс маленький</t>
  </si>
  <si>
    <t xml:space="preserve">110109049                     </t>
  </si>
  <si>
    <t xml:space="preserve">110109050                     </t>
  </si>
  <si>
    <t>Витрина для флагов</t>
  </si>
  <si>
    <t xml:space="preserve">1.1010910001                  </t>
  </si>
  <si>
    <t>Вывеска на вход в школу</t>
  </si>
  <si>
    <t xml:space="preserve">110109061                     </t>
  </si>
  <si>
    <t>Генеральный занавес 11,0х3,00 в складку</t>
  </si>
  <si>
    <t xml:space="preserve">110109208                     </t>
  </si>
  <si>
    <t>Герб Москвы  (каб.16)</t>
  </si>
  <si>
    <t xml:space="preserve">110109098                     </t>
  </si>
  <si>
    <t>Герб Московской области</t>
  </si>
  <si>
    <t xml:space="preserve">110109096                     </t>
  </si>
  <si>
    <t>Герб Серебряных Прудов</t>
  </si>
  <si>
    <t xml:space="preserve">110109097                     </t>
  </si>
  <si>
    <t>Герб Серебряных Прудов  (каб.16)</t>
  </si>
  <si>
    <t xml:space="preserve">110109099                     </t>
  </si>
  <si>
    <t>Гербы РФ</t>
  </si>
  <si>
    <t xml:space="preserve">110109095                     </t>
  </si>
  <si>
    <t>Динамометр ручной</t>
  </si>
  <si>
    <t xml:space="preserve">110109043                     </t>
  </si>
  <si>
    <t xml:space="preserve">110109044                     </t>
  </si>
  <si>
    <t xml:space="preserve">110109045                     </t>
  </si>
  <si>
    <t xml:space="preserve">110109046                     </t>
  </si>
  <si>
    <t>Дозиметры индивидуальные Мастер-1</t>
  </si>
  <si>
    <t xml:space="preserve">11010977                      </t>
  </si>
  <si>
    <t>Е -004 Скамейка парковая</t>
  </si>
  <si>
    <t xml:space="preserve">110109663                     </t>
  </si>
  <si>
    <t>Е-004 Скамейка  парковая</t>
  </si>
  <si>
    <t xml:space="preserve">110109678                     </t>
  </si>
  <si>
    <t xml:space="preserve">110109660                     </t>
  </si>
  <si>
    <t xml:space="preserve">110109661                     </t>
  </si>
  <si>
    <t xml:space="preserve">110109664                     </t>
  </si>
  <si>
    <t xml:space="preserve">110109665                     </t>
  </si>
  <si>
    <t xml:space="preserve">110109666                     </t>
  </si>
  <si>
    <t xml:space="preserve">110109667                     </t>
  </si>
  <si>
    <t xml:space="preserve">110109669                     </t>
  </si>
  <si>
    <t xml:space="preserve">110109671                     </t>
  </si>
  <si>
    <t xml:space="preserve">110109672                     </t>
  </si>
  <si>
    <t xml:space="preserve">110109673                     </t>
  </si>
  <si>
    <t xml:space="preserve">110109674                     </t>
  </si>
  <si>
    <t xml:space="preserve">110109675                     </t>
  </si>
  <si>
    <t xml:space="preserve">110109676                     </t>
  </si>
  <si>
    <t xml:space="preserve">110109677                     </t>
  </si>
  <si>
    <t xml:space="preserve">110109679                     </t>
  </si>
  <si>
    <t xml:space="preserve">110109680                     </t>
  </si>
  <si>
    <t xml:space="preserve">110109681                     </t>
  </si>
  <si>
    <t xml:space="preserve">110109682                     </t>
  </si>
  <si>
    <t xml:space="preserve">110109683                     </t>
  </si>
  <si>
    <t xml:space="preserve">110109686                     </t>
  </si>
  <si>
    <t xml:space="preserve">110109687                     </t>
  </si>
  <si>
    <t xml:space="preserve">110109688                     </t>
  </si>
  <si>
    <t xml:space="preserve">110109689                     </t>
  </si>
  <si>
    <t xml:space="preserve">110109692                     </t>
  </si>
  <si>
    <t>Елка  5м</t>
  </si>
  <si>
    <t xml:space="preserve">110109434                     </t>
  </si>
  <si>
    <t xml:space="preserve">110109435                     </t>
  </si>
  <si>
    <t>Задник "Горизонт "</t>
  </si>
  <si>
    <t xml:space="preserve">110109215                     </t>
  </si>
  <si>
    <t>Задник "Серебряный дождь"</t>
  </si>
  <si>
    <t xml:space="preserve">110109221                     </t>
  </si>
  <si>
    <t>Занавес интермедийный 8,00х3,50  двухсторонний</t>
  </si>
  <si>
    <t xml:space="preserve">110109212                     </t>
  </si>
  <si>
    <t>Зеркала большие настенные в вестибюль</t>
  </si>
  <si>
    <t xml:space="preserve">110109257                     </t>
  </si>
  <si>
    <t xml:space="preserve">110109258                     </t>
  </si>
  <si>
    <t xml:space="preserve">110109259                     </t>
  </si>
  <si>
    <t>Зеркала настенные</t>
  </si>
  <si>
    <t xml:space="preserve">110109003                     </t>
  </si>
  <si>
    <t>Зеркало на дерев основе ( Учительская )</t>
  </si>
  <si>
    <t xml:space="preserve">10109307                      </t>
  </si>
  <si>
    <t>Зеркало на дерев основе (разд.для учителей)</t>
  </si>
  <si>
    <t xml:space="preserve">110109308                     </t>
  </si>
  <si>
    <t>К-т лаборат. "Пчелка У" Опыты</t>
  </si>
  <si>
    <t xml:space="preserve">110109179                     </t>
  </si>
  <si>
    <t>К_т фолий ОБЖ</t>
  </si>
  <si>
    <t xml:space="preserve">10109182                      </t>
  </si>
  <si>
    <t>Кабина примерочная</t>
  </si>
  <si>
    <t xml:space="preserve">10109004                      </t>
  </si>
  <si>
    <t>Карниз моторизированный (акт.зал.)</t>
  </si>
  <si>
    <t xml:space="preserve">10109214                      </t>
  </si>
  <si>
    <t>Карусель платформа черного цвета</t>
  </si>
  <si>
    <t xml:space="preserve">110109658                     </t>
  </si>
  <si>
    <t>Качалка -шаравая 4х местн на пруж</t>
  </si>
  <si>
    <t xml:space="preserve">110109659                     </t>
  </si>
  <si>
    <t xml:space="preserve">110109197                     </t>
  </si>
  <si>
    <t xml:space="preserve">110109198                     </t>
  </si>
  <si>
    <t>Контейнер для мусора уличный</t>
  </si>
  <si>
    <t xml:space="preserve">110109059                     </t>
  </si>
  <si>
    <t xml:space="preserve">110109060                     </t>
  </si>
  <si>
    <t>Кулисы  двухсторонние  2,60х3,50</t>
  </si>
  <si>
    <t xml:space="preserve">110109209                     </t>
  </si>
  <si>
    <t xml:space="preserve">110109210                     </t>
  </si>
  <si>
    <t>Максим</t>
  </si>
  <si>
    <t xml:space="preserve">1101091003                    </t>
  </si>
  <si>
    <t>Манекен</t>
  </si>
  <si>
    <t xml:space="preserve">110109006                     </t>
  </si>
  <si>
    <t>Мольберт станковый стационарный</t>
  </si>
  <si>
    <t xml:space="preserve">11010994                      </t>
  </si>
  <si>
    <t xml:space="preserve">11010995                      </t>
  </si>
  <si>
    <t xml:space="preserve">11010996                      </t>
  </si>
  <si>
    <t>МОльберт станковый стационарный</t>
  </si>
  <si>
    <t xml:space="preserve">11010997                      </t>
  </si>
  <si>
    <t>Наборы для оказания первой помощи</t>
  </si>
  <si>
    <t xml:space="preserve">1.101090076                   </t>
  </si>
  <si>
    <t xml:space="preserve">1.10109076                    </t>
  </si>
  <si>
    <t xml:space="preserve">Наборы для оказания первой помощи   </t>
  </si>
  <si>
    <t xml:space="preserve">11010976                      </t>
  </si>
  <si>
    <t xml:space="preserve">Наборы для оказания первой помощи </t>
  </si>
  <si>
    <t xml:space="preserve">11010974                      </t>
  </si>
  <si>
    <t xml:space="preserve">Наборы для оказания первой помощи  </t>
  </si>
  <si>
    <t xml:space="preserve">11010975                      </t>
  </si>
  <si>
    <t xml:space="preserve">11010973                      </t>
  </si>
  <si>
    <t>Носилки продольно.складные санит</t>
  </si>
  <si>
    <t xml:space="preserve">110109051                     </t>
  </si>
  <si>
    <t>Оформление входных групп(актовый зал )</t>
  </si>
  <si>
    <t xml:space="preserve">110109216                     </t>
  </si>
  <si>
    <t>Оформление входных групп  актов.зал</t>
  </si>
  <si>
    <t xml:space="preserve">110109217                     </t>
  </si>
  <si>
    <t xml:space="preserve">110109218                     </t>
  </si>
  <si>
    <t>Оформление входных групп  акт.зал</t>
  </si>
  <si>
    <t xml:space="preserve">110109219                     </t>
  </si>
  <si>
    <t xml:space="preserve">110109220                     </t>
  </si>
  <si>
    <t>Падуга 9,00х0,60 в складку 1;2 двухсторонняя</t>
  </si>
  <si>
    <t xml:space="preserve">110109211                     </t>
  </si>
  <si>
    <t>Плантограф деревянный в комплекте</t>
  </si>
  <si>
    <t xml:space="preserve">110109052                     </t>
  </si>
  <si>
    <t>Пластмассовые контейнеры для замоч.инструм. (мед.каб.)</t>
  </si>
  <si>
    <t xml:space="preserve">110109056                     </t>
  </si>
  <si>
    <t>Подзорная труба в тир</t>
  </si>
  <si>
    <t xml:space="preserve">110109470                     </t>
  </si>
  <si>
    <t>Подставка напольная с одним древком каб.8</t>
  </si>
  <si>
    <t xml:space="preserve">110109113                     </t>
  </si>
  <si>
    <t>Подцветочница на ножке</t>
  </si>
  <si>
    <t xml:space="preserve">110109199                     </t>
  </si>
  <si>
    <t xml:space="preserve">Подцветочница на ножке </t>
  </si>
  <si>
    <t xml:space="preserve">10109362                      </t>
  </si>
  <si>
    <t xml:space="preserve">Подцветочницы  на ножке  </t>
  </si>
  <si>
    <t xml:space="preserve">110109316                     </t>
  </si>
  <si>
    <t xml:space="preserve">Подцветочницы  на ножке </t>
  </si>
  <si>
    <t xml:space="preserve">1.10109337                    </t>
  </si>
  <si>
    <t>Подцветочницы на ножке</t>
  </si>
  <si>
    <t xml:space="preserve">110109318                     </t>
  </si>
  <si>
    <t xml:space="preserve">110109322                     </t>
  </si>
  <si>
    <t xml:space="preserve">110109326                     </t>
  </si>
  <si>
    <t xml:space="preserve">110109327                     </t>
  </si>
  <si>
    <t xml:space="preserve">110109337                     </t>
  </si>
  <si>
    <t xml:space="preserve">110109340                     </t>
  </si>
  <si>
    <t xml:space="preserve">110109343                     </t>
  </si>
  <si>
    <t xml:space="preserve">110109347                     </t>
  </si>
  <si>
    <t xml:space="preserve">110109348                     </t>
  </si>
  <si>
    <t xml:space="preserve">110109353                     </t>
  </si>
  <si>
    <t xml:space="preserve">110109357                     </t>
  </si>
  <si>
    <t xml:space="preserve">110109359                     </t>
  </si>
  <si>
    <t xml:space="preserve">110109364                     </t>
  </si>
  <si>
    <t xml:space="preserve">Подцветочницы на ножке  </t>
  </si>
  <si>
    <t xml:space="preserve">110109328                     </t>
  </si>
  <si>
    <t xml:space="preserve">110109330                     </t>
  </si>
  <si>
    <t xml:space="preserve">110109345                     </t>
  </si>
  <si>
    <t xml:space="preserve">110109355                     </t>
  </si>
  <si>
    <t xml:space="preserve">Подцветочницы на ножке </t>
  </si>
  <si>
    <t xml:space="preserve">110109324                     </t>
  </si>
  <si>
    <t xml:space="preserve">110109319                     </t>
  </si>
  <si>
    <t xml:space="preserve">110109333                     </t>
  </si>
  <si>
    <t xml:space="preserve">110109335                     </t>
  </si>
  <si>
    <t xml:space="preserve">1.10109331                    </t>
  </si>
  <si>
    <t xml:space="preserve">110109341                     </t>
  </si>
  <si>
    <t xml:space="preserve">110109344                     </t>
  </si>
  <si>
    <t xml:space="preserve">110109349                     </t>
  </si>
  <si>
    <t xml:space="preserve">110109358                     </t>
  </si>
  <si>
    <t xml:space="preserve">110109360                     </t>
  </si>
  <si>
    <t>С-007 -4 Качалка четырехугольная</t>
  </si>
  <si>
    <t xml:space="preserve">110109650                     </t>
  </si>
  <si>
    <t>Система карнизов  компл</t>
  </si>
  <si>
    <t xml:space="preserve">110109213                     </t>
  </si>
  <si>
    <t>Скамейка  парковая Е -004</t>
  </si>
  <si>
    <t xml:space="preserve">1101091093                    </t>
  </si>
  <si>
    <t>Скамейка паркова Е-004</t>
  </si>
  <si>
    <t xml:space="preserve">1101090296                    </t>
  </si>
  <si>
    <t>Скамейка парковая  Е-004</t>
  </si>
  <si>
    <t xml:space="preserve">1101091770                    </t>
  </si>
  <si>
    <t>Скамейка парковая Е-004</t>
  </si>
  <si>
    <t xml:space="preserve">101090195                     </t>
  </si>
  <si>
    <t>Спирометр  (мед.каб.нач.шк.)</t>
  </si>
  <si>
    <t xml:space="preserve">110109042                     </t>
  </si>
  <si>
    <t>Стенд "Государствен итоговая аттест уч-ся  (нач.шк.)</t>
  </si>
  <si>
    <t xml:space="preserve">110109440                     </t>
  </si>
  <si>
    <t>Стенд "единый государств экзамен "</t>
  </si>
  <si>
    <t xml:space="preserve">110109441                     </t>
  </si>
  <si>
    <t>Стенд "Информация " нач.шк.</t>
  </si>
  <si>
    <t xml:space="preserve">110109450                     </t>
  </si>
  <si>
    <t>Стенд "Информация"</t>
  </si>
  <si>
    <t xml:space="preserve">110109449                     </t>
  </si>
  <si>
    <t>Стенд "Объявления  (нач.шк.)</t>
  </si>
  <si>
    <t xml:space="preserve">110109445                     </t>
  </si>
  <si>
    <t>Стенд "Объявления"</t>
  </si>
  <si>
    <t xml:space="preserve">110109446                     </t>
  </si>
  <si>
    <t xml:space="preserve">110109447                     </t>
  </si>
  <si>
    <t>Стенд "Рассписание уроков "</t>
  </si>
  <si>
    <t xml:space="preserve">110109443                     </t>
  </si>
  <si>
    <t>Стенд "Рассписание уроков"</t>
  </si>
  <si>
    <t xml:space="preserve">110109444                     </t>
  </si>
  <si>
    <t>Стенд "Скоро экзамены"</t>
  </si>
  <si>
    <t xml:space="preserve">110109462                     </t>
  </si>
  <si>
    <t xml:space="preserve">110109464                     </t>
  </si>
  <si>
    <t xml:space="preserve">110109465                     </t>
  </si>
  <si>
    <t xml:space="preserve">110109466                     </t>
  </si>
  <si>
    <t xml:space="preserve">110109467                     </t>
  </si>
  <si>
    <t xml:space="preserve">110109468                     </t>
  </si>
  <si>
    <t>Стенд "Уголок  класса"</t>
  </si>
  <si>
    <t xml:space="preserve">110109457                     </t>
  </si>
  <si>
    <t>Стенд "Уголок класса"</t>
  </si>
  <si>
    <t xml:space="preserve">110109454                     </t>
  </si>
  <si>
    <t xml:space="preserve">110109455                     </t>
  </si>
  <si>
    <t xml:space="preserve">110109456                     </t>
  </si>
  <si>
    <t xml:space="preserve">110109458                     </t>
  </si>
  <si>
    <t xml:space="preserve">110109459                     </t>
  </si>
  <si>
    <t xml:space="preserve">110109460                     </t>
  </si>
  <si>
    <t>Стенд  "Скоро  экзамены"</t>
  </si>
  <si>
    <t xml:space="preserve">110109461                     </t>
  </si>
  <si>
    <t>Стенд символика РФ</t>
  </si>
  <si>
    <t xml:space="preserve">110109439                     </t>
  </si>
  <si>
    <t>Стенд тематический</t>
  </si>
  <si>
    <t xml:space="preserve">110109260                     </t>
  </si>
  <si>
    <t>Стенд тематический антитер  безопасности</t>
  </si>
  <si>
    <t xml:space="preserve">110109438                     </t>
  </si>
  <si>
    <t>Стенд"Информация"</t>
  </si>
  <si>
    <t xml:space="preserve">110109448                     </t>
  </si>
  <si>
    <t>Стенды  информационные</t>
  </si>
  <si>
    <t xml:space="preserve">110109379                     </t>
  </si>
  <si>
    <t>Стенды инфориационные</t>
  </si>
  <si>
    <t xml:space="preserve">110109384                     </t>
  </si>
  <si>
    <t>Стенды информационные</t>
  </si>
  <si>
    <t xml:space="preserve">110109365                     </t>
  </si>
  <si>
    <t xml:space="preserve">110109366                     </t>
  </si>
  <si>
    <t xml:space="preserve">110109367                     </t>
  </si>
  <si>
    <t xml:space="preserve">110109368                     </t>
  </si>
  <si>
    <t xml:space="preserve">110109369                     </t>
  </si>
  <si>
    <t xml:space="preserve">110109370                     </t>
  </si>
  <si>
    <t xml:space="preserve">110109371                     </t>
  </si>
  <si>
    <t xml:space="preserve">110109372                     </t>
  </si>
  <si>
    <t xml:space="preserve">110109373                     </t>
  </si>
  <si>
    <t xml:space="preserve">110109374                     </t>
  </si>
  <si>
    <t xml:space="preserve">110109375                     </t>
  </si>
  <si>
    <t xml:space="preserve">110109376                     </t>
  </si>
  <si>
    <t xml:space="preserve">110109377                     </t>
  </si>
  <si>
    <t xml:space="preserve">110109378                     </t>
  </si>
  <si>
    <t xml:space="preserve">110109381                     </t>
  </si>
  <si>
    <t xml:space="preserve">110109382                     </t>
  </si>
  <si>
    <t xml:space="preserve">110109383                     </t>
  </si>
  <si>
    <t xml:space="preserve">110109385                     </t>
  </si>
  <si>
    <t xml:space="preserve">110109386                     </t>
  </si>
  <si>
    <t xml:space="preserve">110109387                     </t>
  </si>
  <si>
    <t xml:space="preserve">110109388                     </t>
  </si>
  <si>
    <t xml:space="preserve">110109389                     </t>
  </si>
  <si>
    <t xml:space="preserve">110109390                     </t>
  </si>
  <si>
    <t xml:space="preserve">110109391                     </t>
  </si>
  <si>
    <t xml:space="preserve">110109392                     </t>
  </si>
  <si>
    <t xml:space="preserve">110109393                     </t>
  </si>
  <si>
    <t xml:space="preserve">110109394                     </t>
  </si>
  <si>
    <t xml:space="preserve">110109395                     </t>
  </si>
  <si>
    <t xml:space="preserve">110109396                     </t>
  </si>
  <si>
    <t xml:space="preserve">110109397                     </t>
  </si>
  <si>
    <t>Стенды информационныы</t>
  </si>
  <si>
    <t xml:space="preserve">110109380                     </t>
  </si>
  <si>
    <t>Стойка для манекена</t>
  </si>
  <si>
    <t xml:space="preserve">110109400                     </t>
  </si>
  <si>
    <t>Стол парковый со скамейками</t>
  </si>
  <si>
    <t xml:space="preserve">110109651                     </t>
  </si>
  <si>
    <t xml:space="preserve">110109652                     </t>
  </si>
  <si>
    <t xml:space="preserve">110109653                     </t>
  </si>
  <si>
    <t>Стол парковый со скамейкой</t>
  </si>
  <si>
    <t xml:space="preserve">1101091769                    </t>
  </si>
  <si>
    <t>Столик для экспозиций</t>
  </si>
  <si>
    <t xml:space="preserve">11010999                      </t>
  </si>
  <si>
    <t>Столик скульптора</t>
  </si>
  <si>
    <t xml:space="preserve">110109600                     </t>
  </si>
  <si>
    <t>Табл.Морфологического разбора</t>
  </si>
  <si>
    <t xml:space="preserve">1.101091018                   </t>
  </si>
  <si>
    <t>Табл.по русскому яз.и литер.</t>
  </si>
  <si>
    <t xml:space="preserve">1.101091019                   </t>
  </si>
  <si>
    <t>Таблица для определения остроты зрения м,1</t>
  </si>
  <si>
    <t xml:space="preserve">110109047                     </t>
  </si>
  <si>
    <t>Тест_система "Нитрат_тест"</t>
  </si>
  <si>
    <t xml:space="preserve">110109180                     </t>
  </si>
  <si>
    <t>Тренажер для медицинской  сестры в костюме</t>
  </si>
  <si>
    <t xml:space="preserve">110109181                     </t>
  </si>
  <si>
    <t>Флаг ВМФ  РФ</t>
  </si>
  <si>
    <t xml:space="preserve">110109066                     </t>
  </si>
  <si>
    <t>Флаг ВС  РФ</t>
  </si>
  <si>
    <t xml:space="preserve">110109065                     </t>
  </si>
  <si>
    <t xml:space="preserve">110109093                     </t>
  </si>
  <si>
    <t>Флаг РФ</t>
  </si>
  <si>
    <t xml:space="preserve">110109092                     </t>
  </si>
  <si>
    <t>Флаг Серебряных Прудов</t>
  </si>
  <si>
    <t xml:space="preserve">1.101099995                   </t>
  </si>
  <si>
    <t xml:space="preserve">Флаги  для  флагштоков  </t>
  </si>
  <si>
    <t xml:space="preserve">1.10109255                    </t>
  </si>
  <si>
    <t xml:space="preserve">110109255                     </t>
  </si>
  <si>
    <t>Флаги для флагштоков</t>
  </si>
  <si>
    <t xml:space="preserve">110109256                     </t>
  </si>
  <si>
    <t>Цветочница  / М-30  /</t>
  </si>
  <si>
    <t xml:space="preserve">110109704                     </t>
  </si>
  <si>
    <t xml:space="preserve">110109705                     </t>
  </si>
  <si>
    <t xml:space="preserve">110109706                     </t>
  </si>
  <si>
    <t>Цветочница  / М-30 /</t>
  </si>
  <si>
    <t xml:space="preserve">110109703                     </t>
  </si>
  <si>
    <t>Цветочница  / М30  /</t>
  </si>
  <si>
    <t xml:space="preserve">110109707                     </t>
  </si>
  <si>
    <t>Цветочница  /М -41 /</t>
  </si>
  <si>
    <t xml:space="preserve">110109711                     </t>
  </si>
  <si>
    <t>Цветочница  /М-30  /</t>
  </si>
  <si>
    <t xml:space="preserve">110109694                     </t>
  </si>
  <si>
    <t>Цветочница  /м-30  /</t>
  </si>
  <si>
    <t xml:space="preserve">110109695                     </t>
  </si>
  <si>
    <t xml:space="preserve">110109696                     </t>
  </si>
  <si>
    <t xml:space="preserve">110109698                     </t>
  </si>
  <si>
    <t xml:space="preserve">110109699                     </t>
  </si>
  <si>
    <t xml:space="preserve">110109702                     </t>
  </si>
  <si>
    <t>Цветочница  /М-30 /</t>
  </si>
  <si>
    <t xml:space="preserve">110109701                     </t>
  </si>
  <si>
    <t>Цветочница  /М-41 /</t>
  </si>
  <si>
    <t xml:space="preserve">110109710                     </t>
  </si>
  <si>
    <t>Цветочница  /М30 /</t>
  </si>
  <si>
    <t xml:space="preserve">110109697                     </t>
  </si>
  <si>
    <t>Цветочница /М-30 /</t>
  </si>
  <si>
    <t xml:space="preserve">110109693                     </t>
  </si>
  <si>
    <t>Цветочница М-41</t>
  </si>
  <si>
    <t xml:space="preserve">1101091196                    </t>
  </si>
  <si>
    <t>Шведская стенка из металлич, труб</t>
  </si>
  <si>
    <t xml:space="preserve">110109657                     </t>
  </si>
  <si>
    <t>Ширма  1700х700</t>
  </si>
  <si>
    <t xml:space="preserve">110109041                     </t>
  </si>
  <si>
    <t>Ширма 3.х створчатая 1700х700</t>
  </si>
  <si>
    <t xml:space="preserve">110109053                     </t>
  </si>
  <si>
    <t>Ширма одна секционная</t>
  </si>
  <si>
    <t xml:space="preserve">110109005                     </t>
  </si>
  <si>
    <t>Экран на треноге (актовый зал )</t>
  </si>
  <si>
    <t xml:space="preserve">1.101091110                   </t>
  </si>
  <si>
    <t>Стенд грамм.русского языка (от Вечерней СОШ)</t>
  </si>
  <si>
    <t xml:space="preserve">1.101099996                   </t>
  </si>
  <si>
    <t xml:space="preserve">10109363                      </t>
  </si>
  <si>
    <t xml:space="preserve">110109317                     </t>
  </si>
  <si>
    <t xml:space="preserve">110109320                     </t>
  </si>
  <si>
    <t xml:space="preserve">Подцветочницы на ножке   </t>
  </si>
  <si>
    <t xml:space="preserve">110109325                     </t>
  </si>
  <si>
    <t xml:space="preserve">110109329                     </t>
  </si>
  <si>
    <t xml:space="preserve">110109334                     </t>
  </si>
  <si>
    <t xml:space="preserve">110109331                     </t>
  </si>
  <si>
    <t xml:space="preserve">110109336                     </t>
  </si>
  <si>
    <t xml:space="preserve">1.10109332                    </t>
  </si>
  <si>
    <t xml:space="preserve">1.10109338                    </t>
  </si>
  <si>
    <t xml:space="preserve">110109342                     </t>
  </si>
  <si>
    <t xml:space="preserve">1.10109344                    </t>
  </si>
  <si>
    <t xml:space="preserve">110109346                     </t>
  </si>
  <si>
    <t xml:space="preserve">110109350                     </t>
  </si>
  <si>
    <t xml:space="preserve">110109354                     </t>
  </si>
  <si>
    <t xml:space="preserve">110109356                     </t>
  </si>
  <si>
    <t xml:space="preserve">1.10109358                    </t>
  </si>
  <si>
    <t xml:space="preserve">110109361                     </t>
  </si>
  <si>
    <t xml:space="preserve">1.1010974                     </t>
  </si>
  <si>
    <t xml:space="preserve">110109074                     </t>
  </si>
  <si>
    <t xml:space="preserve">1.1010975                     </t>
  </si>
  <si>
    <t xml:space="preserve">110109075                     </t>
  </si>
  <si>
    <t xml:space="preserve">1.1010976                     </t>
  </si>
  <si>
    <t xml:space="preserve">110109700                     </t>
  </si>
  <si>
    <t xml:space="preserve">10109076                      </t>
  </si>
  <si>
    <t xml:space="preserve">1.1010973                     </t>
  </si>
  <si>
    <t xml:space="preserve">110109073                     </t>
  </si>
  <si>
    <t xml:space="preserve">Пластмассовые контейнеры для замо ч инст  </t>
  </si>
  <si>
    <t xml:space="preserve">110109057                     </t>
  </si>
  <si>
    <t>Стенд на ножках</t>
  </si>
  <si>
    <t>Гипс Блюдо Б Челлини</t>
  </si>
  <si>
    <t xml:space="preserve">110109150                     </t>
  </si>
  <si>
    <t>Гипс Нос</t>
  </si>
  <si>
    <t xml:space="preserve">110109149                     </t>
  </si>
  <si>
    <t>Гипс Торс Афродиты</t>
  </si>
  <si>
    <t xml:space="preserve">110109168                     </t>
  </si>
  <si>
    <t>Гипс Фигура Капитель дор.(круглая)</t>
  </si>
  <si>
    <t xml:space="preserve">110109161                     </t>
  </si>
  <si>
    <t>Голова Апполона /гипс/</t>
  </si>
  <si>
    <t xml:space="preserve">11010986                      </t>
  </si>
  <si>
    <t>Голова Калигулы /гипс/</t>
  </si>
  <si>
    <t xml:space="preserve">11010983                      </t>
  </si>
  <si>
    <t>Голова Сенеки /гипс /</t>
  </si>
  <si>
    <t xml:space="preserve">11010984                      </t>
  </si>
  <si>
    <t>Голова Сократа/гипс/</t>
  </si>
  <si>
    <t xml:space="preserve">11010987                      </t>
  </si>
  <si>
    <t>Голова Цезаря /гипс/</t>
  </si>
  <si>
    <t xml:space="preserve">11010985                      </t>
  </si>
  <si>
    <t>Кисть женская</t>
  </si>
  <si>
    <t xml:space="preserve">11010988                      </t>
  </si>
  <si>
    <t>Кисть мужская</t>
  </si>
  <si>
    <t xml:space="preserve">11010989                      </t>
  </si>
  <si>
    <t>Комплект гипсовых листов / 3листа/</t>
  </si>
  <si>
    <t xml:space="preserve">11010990                      </t>
  </si>
  <si>
    <t>Наглядные пособия для каб ИЗО</t>
  </si>
  <si>
    <t xml:space="preserve">11010978                      </t>
  </si>
  <si>
    <t>Подставка для натуры</t>
  </si>
  <si>
    <t xml:space="preserve">110109173                     </t>
  </si>
  <si>
    <t>Подставка для натуры /столик/</t>
  </si>
  <si>
    <t xml:space="preserve">11010998                      </t>
  </si>
  <si>
    <t>Стопа</t>
  </si>
  <si>
    <t xml:space="preserve">11010993                      </t>
  </si>
  <si>
    <t>Клетка для кролика</t>
  </si>
  <si>
    <t xml:space="preserve">110109517                     </t>
  </si>
  <si>
    <t xml:space="preserve">Клетки для грызунов </t>
  </si>
  <si>
    <t xml:space="preserve">110109518                     </t>
  </si>
  <si>
    <t xml:space="preserve">Клетки для кроликов   </t>
  </si>
  <si>
    <t xml:space="preserve">110109515                     </t>
  </si>
  <si>
    <t xml:space="preserve">Коллекция по зоологии "Раковины малюсков  </t>
  </si>
  <si>
    <t xml:space="preserve">110109524                     </t>
  </si>
  <si>
    <t>Комплект по курсу Экологии</t>
  </si>
  <si>
    <t xml:space="preserve">1.101099990                   </t>
  </si>
  <si>
    <t>Микроскоп  с микровинтом</t>
  </si>
  <si>
    <t xml:space="preserve">110109506                     </t>
  </si>
  <si>
    <t>Микроскоп с микровинтом</t>
  </si>
  <si>
    <t xml:space="preserve">110109492                     </t>
  </si>
  <si>
    <t xml:space="preserve">110109493                     </t>
  </si>
  <si>
    <t xml:space="preserve">110109494                     </t>
  </si>
  <si>
    <t xml:space="preserve">110109495                     </t>
  </si>
  <si>
    <t xml:space="preserve">110109496                     </t>
  </si>
  <si>
    <t xml:space="preserve">110109497                     </t>
  </si>
  <si>
    <t xml:space="preserve">110109498                     </t>
  </si>
  <si>
    <t xml:space="preserve">110109499                     </t>
  </si>
  <si>
    <t xml:space="preserve">110109500                     </t>
  </si>
  <si>
    <t xml:space="preserve">110109501                     </t>
  </si>
  <si>
    <t xml:space="preserve">110109502                     </t>
  </si>
  <si>
    <t xml:space="preserve">110109503                     </t>
  </si>
  <si>
    <t xml:space="preserve">110109504                     </t>
  </si>
  <si>
    <t xml:space="preserve">110109505                     </t>
  </si>
  <si>
    <t xml:space="preserve">110109507                     </t>
  </si>
  <si>
    <t xml:space="preserve">110109508                     </t>
  </si>
  <si>
    <t xml:space="preserve">110109509                     </t>
  </si>
  <si>
    <t>Модели по ботанике-Строение листа</t>
  </si>
  <si>
    <t xml:space="preserve">110109526                     </t>
  </si>
  <si>
    <t>Модели по зоологии- Скелет кролика</t>
  </si>
  <si>
    <t xml:space="preserve">110109527                     </t>
  </si>
  <si>
    <t>Модели по курсу "Сердце человека в разрезе"</t>
  </si>
  <si>
    <t xml:space="preserve">110109530                     </t>
  </si>
  <si>
    <t>Модели по курсук "Человек и здоровье"-Глазн яблоко</t>
  </si>
  <si>
    <t xml:space="preserve">110109528                     </t>
  </si>
  <si>
    <t>Модеми по курсу "Скелет человека"</t>
  </si>
  <si>
    <t xml:space="preserve">110109529                     </t>
  </si>
  <si>
    <t>Наглядные пособия для каб биологии №60</t>
  </si>
  <si>
    <t xml:space="preserve">110109620                     </t>
  </si>
  <si>
    <t>Таблицы по общей биологии "строение тела человека</t>
  </si>
  <si>
    <t xml:space="preserve">11010965                      </t>
  </si>
  <si>
    <t>Террариум переносной</t>
  </si>
  <si>
    <t xml:space="preserve">110109512                     </t>
  </si>
  <si>
    <t>Чучело "Голубь"</t>
  </si>
  <si>
    <t xml:space="preserve">110109522                     </t>
  </si>
  <si>
    <t>Чучело "Крыса"</t>
  </si>
  <si>
    <t xml:space="preserve">110109520                     </t>
  </si>
  <si>
    <t>Чучело "Рыба"</t>
  </si>
  <si>
    <t xml:space="preserve">110109521                     </t>
  </si>
  <si>
    <t xml:space="preserve">110109516                     </t>
  </si>
  <si>
    <t xml:space="preserve">110109519                     </t>
  </si>
  <si>
    <t xml:space="preserve">110109525                     </t>
  </si>
  <si>
    <t>Нагл пособ для каб русского языка и лит №82</t>
  </si>
  <si>
    <t xml:space="preserve">110109625                     </t>
  </si>
  <si>
    <t>Комплект таблиц по черчению 10шт лам.</t>
  </si>
  <si>
    <t xml:space="preserve">11010971                      </t>
  </si>
  <si>
    <t xml:space="preserve">Подтоварник ПТ -500   </t>
  </si>
  <si>
    <t xml:space="preserve">110109606                     </t>
  </si>
  <si>
    <t xml:space="preserve">Подтоварник ПТ-500   </t>
  </si>
  <si>
    <t xml:space="preserve">110109610                     </t>
  </si>
  <si>
    <t xml:space="preserve">1.10109605                    </t>
  </si>
  <si>
    <t xml:space="preserve">1101009605                    </t>
  </si>
  <si>
    <t xml:space="preserve">1.101009611                   </t>
  </si>
  <si>
    <t xml:space="preserve">1.10109609                    </t>
  </si>
  <si>
    <t>Золотой ключик</t>
  </si>
  <si>
    <t xml:space="preserve">110109253                     </t>
  </si>
  <si>
    <t>Канцелярский набор на стол руководителя кожан</t>
  </si>
  <si>
    <t xml:space="preserve">10109101                      </t>
  </si>
  <si>
    <t>Скульптурная группа</t>
  </si>
  <si>
    <t xml:space="preserve">110109001                     </t>
  </si>
  <si>
    <t>Термометр_барометр -вариометр на стену</t>
  </si>
  <si>
    <t xml:space="preserve">110109102                     </t>
  </si>
  <si>
    <t>"История России в ХХвеке" с/альбом</t>
  </si>
  <si>
    <t xml:space="preserve">110109127                     </t>
  </si>
  <si>
    <t>К_т фолий история России (90)</t>
  </si>
  <si>
    <t xml:space="preserve">10109123                      </t>
  </si>
  <si>
    <t xml:space="preserve">1.10109559                    </t>
  </si>
  <si>
    <t>Колесо в сборе на подставке категорий "С"</t>
  </si>
  <si>
    <t xml:space="preserve">110109545                     </t>
  </si>
  <si>
    <t>Мействующая модель " "Дизельный двигатель"</t>
  </si>
  <si>
    <t xml:space="preserve">110109552                     </t>
  </si>
  <si>
    <t>Нагляд пособ и инструменты для мастерских №17</t>
  </si>
  <si>
    <t xml:space="preserve">110109632                     </t>
  </si>
  <si>
    <t>Стенд "Контрольный осмотр автомобиля ЗИЛ 131 водителем</t>
  </si>
  <si>
    <t xml:space="preserve">110109554                     </t>
  </si>
  <si>
    <t>Стенд "Система  питания " /дизель /категорий "С"</t>
  </si>
  <si>
    <t xml:space="preserve">110109547                     </t>
  </si>
  <si>
    <t>Стенд "Система зажигания "категорий "С"</t>
  </si>
  <si>
    <t xml:space="preserve">110109548                     </t>
  </si>
  <si>
    <t>Стенд "Система охлаждения" категорий "С"</t>
  </si>
  <si>
    <t xml:space="preserve">110109546                     </t>
  </si>
  <si>
    <t>Стенд "Система электрооборудования " категорий "С"</t>
  </si>
  <si>
    <t xml:space="preserve">110109549                     </t>
  </si>
  <si>
    <t>Стенд "Тормозная система"/действующий макет/</t>
  </si>
  <si>
    <t xml:space="preserve">110109550                     </t>
  </si>
  <si>
    <t>Стенд"Система зажигания"</t>
  </si>
  <si>
    <t xml:space="preserve">110109551                     </t>
  </si>
  <si>
    <t>Стенды "Автомобильные шины "/2 стенда /</t>
  </si>
  <si>
    <t xml:space="preserve">110109553                     </t>
  </si>
  <si>
    <t>Таб-цы Морфологического разбора</t>
  </si>
  <si>
    <t xml:space="preserve">1010910007                    </t>
  </si>
  <si>
    <t>Наглядн пособ для кабин русского языка и лит №50</t>
  </si>
  <si>
    <t xml:space="preserve">110109623                     </t>
  </si>
  <si>
    <t>"тригонометрические уравнен. и неравенства таб 8ш</t>
  </si>
  <si>
    <t xml:space="preserve">110109141                     </t>
  </si>
  <si>
    <t>К-Т фолий по курсу математика ср. шк. 154ш</t>
  </si>
  <si>
    <t xml:space="preserve">110109142                     </t>
  </si>
  <si>
    <t>Портреты математиков компл, ч/б кул.</t>
  </si>
  <si>
    <t xml:space="preserve">110109135                     </t>
  </si>
  <si>
    <t>Табл. По математике 5_6кл. Из 2х альбом. Дж.</t>
  </si>
  <si>
    <t xml:space="preserve">110109138                     </t>
  </si>
  <si>
    <t>Таблицы  Геометрия ср. шк. (компл. ламинир)</t>
  </si>
  <si>
    <t xml:space="preserve">110109137                     </t>
  </si>
  <si>
    <t>Таблицы Алгебра ср. шк. (комплек. ламинир.)</t>
  </si>
  <si>
    <t xml:space="preserve">110109136                     </t>
  </si>
  <si>
    <t>Таблицы по математике из 17ш</t>
  </si>
  <si>
    <t xml:space="preserve">110109140                     </t>
  </si>
  <si>
    <t>Наглядные пособия для каб русского языка и лит №8</t>
  </si>
  <si>
    <t xml:space="preserve">110109621                     </t>
  </si>
  <si>
    <t>Таб-ца Морфологического разбора</t>
  </si>
  <si>
    <t xml:space="preserve">1.10109577                    </t>
  </si>
  <si>
    <t>Таблицы и диски к каб. русс. яз. инв 110104404</t>
  </si>
  <si>
    <t xml:space="preserve">1101091096                    </t>
  </si>
  <si>
    <t>74Нагляд пособ для каб русского языка и лит  №74</t>
  </si>
  <si>
    <t xml:space="preserve">110109624                     </t>
  </si>
  <si>
    <t>Словари к каб. рус./яз. инв № 1.101.04.404</t>
  </si>
  <si>
    <t xml:space="preserve">1.101091210                   </t>
  </si>
  <si>
    <t>Чендулаева Грамматика русского языка</t>
  </si>
  <si>
    <t xml:space="preserve">110109175                     </t>
  </si>
  <si>
    <t>Комплект инструментов классных</t>
  </si>
  <si>
    <t xml:space="preserve">110109130                     </t>
  </si>
  <si>
    <t>Портреты математиков компл</t>
  </si>
  <si>
    <t xml:space="preserve">110109601                     </t>
  </si>
  <si>
    <t>Табл,символика англоязычн,стран к_т Дж</t>
  </si>
  <si>
    <t xml:space="preserve">110109108                     </t>
  </si>
  <si>
    <t>Таблицы по английскому языку</t>
  </si>
  <si>
    <t xml:space="preserve">110109109                     </t>
  </si>
  <si>
    <t>Табл по бот "Вещества растений ,клеточн строение</t>
  </si>
  <si>
    <t xml:space="preserve">110109593                     </t>
  </si>
  <si>
    <t>Аппарат для дисцил.воды</t>
  </si>
  <si>
    <t xml:space="preserve">1101099995                    </t>
  </si>
  <si>
    <t>Гербарий "Основные группы растений"</t>
  </si>
  <si>
    <t xml:space="preserve">110109534                     </t>
  </si>
  <si>
    <t>Гербарий "Растительные сообщества"</t>
  </si>
  <si>
    <t xml:space="preserve">11010967                      </t>
  </si>
  <si>
    <t>Клетки для грызунов</t>
  </si>
  <si>
    <t xml:space="preserve">110109604                     </t>
  </si>
  <si>
    <t>Колекция по общей биологии "Палеонтологическая"</t>
  </si>
  <si>
    <t xml:space="preserve">110109555                     </t>
  </si>
  <si>
    <t xml:space="preserve">Коллекция по зоологии "Раковины малюсков </t>
  </si>
  <si>
    <t xml:space="preserve">110109543                     </t>
  </si>
  <si>
    <t xml:space="preserve">110109475                     </t>
  </si>
  <si>
    <t xml:space="preserve">110109476                     </t>
  </si>
  <si>
    <t xml:space="preserve">110109477                     </t>
  </si>
  <si>
    <t xml:space="preserve">110109478                     </t>
  </si>
  <si>
    <t xml:space="preserve">110109479                     </t>
  </si>
  <si>
    <t xml:space="preserve">110109480                     </t>
  </si>
  <si>
    <t xml:space="preserve">110109481                     </t>
  </si>
  <si>
    <t xml:space="preserve">110109482                     </t>
  </si>
  <si>
    <t xml:space="preserve">110109483                     </t>
  </si>
  <si>
    <t xml:space="preserve">110109484                     </t>
  </si>
  <si>
    <t xml:space="preserve">110109485                     </t>
  </si>
  <si>
    <t xml:space="preserve">110109486                     </t>
  </si>
  <si>
    <t xml:space="preserve">110109487                     </t>
  </si>
  <si>
    <t xml:space="preserve">110109488                     </t>
  </si>
  <si>
    <t xml:space="preserve">110109489                     </t>
  </si>
  <si>
    <t xml:space="preserve">110109490                     </t>
  </si>
  <si>
    <t xml:space="preserve">110109491                     </t>
  </si>
  <si>
    <t>Модели по ботанике -Цветок гороха</t>
  </si>
  <si>
    <t xml:space="preserve">110109560                     </t>
  </si>
  <si>
    <t>Модели по ботанике -Цветок капусты</t>
  </si>
  <si>
    <t xml:space="preserve">110109556                     </t>
  </si>
  <si>
    <t>Модели по ботанике -Цветок картофеля</t>
  </si>
  <si>
    <t xml:space="preserve">110109558                     </t>
  </si>
  <si>
    <t>Модели по ботанике -Цветок подсолнечника</t>
  </si>
  <si>
    <t xml:space="preserve">10109559                      </t>
  </si>
  <si>
    <t>Модели по ботанике -Цветок пшеницы</t>
  </si>
  <si>
    <t xml:space="preserve">110109557                     </t>
  </si>
  <si>
    <t>Модели по ботанике -Цветок тюльпана</t>
  </si>
  <si>
    <t xml:space="preserve">110109561                     </t>
  </si>
  <si>
    <t>Модели по ботанике -Цветок яблони</t>
  </si>
  <si>
    <t xml:space="preserve">110109562                     </t>
  </si>
  <si>
    <t>Модели по зоологии -"Скелет костистой рыбы "</t>
  </si>
  <si>
    <t xml:space="preserve">110109565                     </t>
  </si>
  <si>
    <t>Модели по зоологии -"Скелет лягушки"</t>
  </si>
  <si>
    <t xml:space="preserve">110109564                     </t>
  </si>
  <si>
    <t>Модели по курсу "Человек и здоровье" -ДНК</t>
  </si>
  <si>
    <t xml:space="preserve">110109567                     </t>
  </si>
  <si>
    <t>Модели по курсу "Человек и здоровье"-делен клетки</t>
  </si>
  <si>
    <t xml:space="preserve">110109566                     </t>
  </si>
  <si>
    <t>Набор  микропрепаратов по зоологии</t>
  </si>
  <si>
    <t xml:space="preserve">110109577                     </t>
  </si>
  <si>
    <t>Набор микроаппаратов по ботанике 6кл</t>
  </si>
  <si>
    <t xml:space="preserve">110109569                     </t>
  </si>
  <si>
    <t>Набор микропреапратов по ботанике 6кл</t>
  </si>
  <si>
    <t xml:space="preserve">110109571                     </t>
  </si>
  <si>
    <t>Набор микропрепаратов по анатом и физиол человека</t>
  </si>
  <si>
    <t xml:space="preserve">110109581                     </t>
  </si>
  <si>
    <t>Набор микропрепаратов по анатом и физиолог человека</t>
  </si>
  <si>
    <t xml:space="preserve">110109584                     </t>
  </si>
  <si>
    <t>Набор микропрепаратов по анатом и физиологии человека</t>
  </si>
  <si>
    <t xml:space="preserve">110109582                     </t>
  </si>
  <si>
    <t>Набор микропрепаратов по ботанике 7кл</t>
  </si>
  <si>
    <t xml:space="preserve">110109572                     </t>
  </si>
  <si>
    <t xml:space="preserve">110109573                     </t>
  </si>
  <si>
    <t xml:space="preserve">110109574                     </t>
  </si>
  <si>
    <t>Набор микропрепаратов по зоологии</t>
  </si>
  <si>
    <t xml:space="preserve">110109576                     </t>
  </si>
  <si>
    <t>Набор микропрепаратов по общей биологии</t>
  </si>
  <si>
    <t xml:space="preserve">110109578                     </t>
  </si>
  <si>
    <t xml:space="preserve">110109579                     </t>
  </si>
  <si>
    <t xml:space="preserve">110109580                     </t>
  </si>
  <si>
    <t>Набор микропрепоратов по ботанике 6кл</t>
  </si>
  <si>
    <t xml:space="preserve">110109570                     </t>
  </si>
  <si>
    <t>Набор палеонтологических находок "происх человека"</t>
  </si>
  <si>
    <t xml:space="preserve">110109568                     </t>
  </si>
  <si>
    <t>Набормикропрепаратов по зоологии</t>
  </si>
  <si>
    <t xml:space="preserve">110109575                     </t>
  </si>
  <si>
    <t>Нагл пособ для каб химии "№101</t>
  </si>
  <si>
    <t xml:space="preserve">110109627                     </t>
  </si>
  <si>
    <t>Нагляд пособ для каб химии №103</t>
  </si>
  <si>
    <t xml:space="preserve">110109628                     </t>
  </si>
  <si>
    <t>Слайд -альбом по зоологии -Торс человека модель</t>
  </si>
  <si>
    <t xml:space="preserve">110109585                     </t>
  </si>
  <si>
    <t>Таблица "Переодич система Менделеева "</t>
  </si>
  <si>
    <t xml:space="preserve">110109312                     </t>
  </si>
  <si>
    <t>Таблицы по  общей биологии "Строение тела человека"</t>
  </si>
  <si>
    <t xml:space="preserve">11010964                      </t>
  </si>
  <si>
    <t>Таблицы по ботанике "Растения и окружающ среда "</t>
  </si>
  <si>
    <t xml:space="preserve">110109596                     </t>
  </si>
  <si>
    <t>Таблицы по общ биолог "Биосфера глобальная экосистема</t>
  </si>
  <si>
    <t xml:space="preserve">11010960-61                   </t>
  </si>
  <si>
    <t xml:space="preserve">1.10109543                    </t>
  </si>
  <si>
    <t xml:space="preserve">1.10109551                    </t>
  </si>
  <si>
    <t>Таблица"ереодич система Менделеева "</t>
  </si>
  <si>
    <t xml:space="preserve">110109313                     </t>
  </si>
  <si>
    <t>Зеркало на дерев основе</t>
  </si>
  <si>
    <t xml:space="preserve">110109309                     </t>
  </si>
  <si>
    <t xml:space="preserve">110109311                     </t>
  </si>
  <si>
    <t>К-т приборов топогр.</t>
  </si>
  <si>
    <t xml:space="preserve">1101091009                    </t>
  </si>
  <si>
    <t>Метереологическая площадка</t>
  </si>
  <si>
    <t xml:space="preserve">110109314                     </t>
  </si>
  <si>
    <t>Нагляд пособ для каб географии №75</t>
  </si>
  <si>
    <t xml:space="preserve">110109626                     </t>
  </si>
  <si>
    <t>Наглядные  пособия для каб.географии</t>
  </si>
  <si>
    <t xml:space="preserve">11010910012                   </t>
  </si>
  <si>
    <t xml:space="preserve">110109603                     </t>
  </si>
  <si>
    <t>Наглядные псоб для каб русского языка и лит №47</t>
  </si>
  <si>
    <t xml:space="preserve">110109622                     </t>
  </si>
  <si>
    <t xml:space="preserve">1.10109600                    </t>
  </si>
  <si>
    <t>Таб-цы по русскому яз.и литер.</t>
  </si>
  <si>
    <t xml:space="preserve">1.10109963                    </t>
  </si>
  <si>
    <t xml:space="preserve">410123  002                   </t>
  </si>
  <si>
    <t>Доска интерактивная  IQBOARD PS SO50B 50</t>
  </si>
  <si>
    <t xml:space="preserve">210124633                     </t>
  </si>
  <si>
    <t>Каб-т русск. языка (Сист.блок, м-тор, ист.б/ пит-я, мн. к-кс "Дидактика")</t>
  </si>
  <si>
    <t xml:space="preserve">1.10104344                    </t>
  </si>
  <si>
    <t xml:space="preserve">1.10104338                    </t>
  </si>
  <si>
    <t>Каб-т биологии (комплект нагл. обор-я)</t>
  </si>
  <si>
    <t>Кабинет химии</t>
  </si>
  <si>
    <t xml:space="preserve">1,101041002                   </t>
  </si>
  <si>
    <t xml:space="preserve">1.10104340                    </t>
  </si>
  <si>
    <t xml:space="preserve">1.10104339                    </t>
  </si>
  <si>
    <t>Каб-т физики (уч.нагл.пособ.) - нац.проект</t>
  </si>
  <si>
    <t xml:space="preserve">1,101040042                   </t>
  </si>
  <si>
    <t>Посудом-я машина  проф-я ASKO D5434 SOF FS</t>
  </si>
  <si>
    <t xml:space="preserve">1.10124650                    </t>
  </si>
  <si>
    <t>Пароконвектомат  PIRON</t>
  </si>
  <si>
    <t xml:space="preserve">1.10124554                    </t>
  </si>
  <si>
    <t>Плита 6-конфор.  ITERMA-1</t>
  </si>
  <si>
    <t xml:space="preserve">1.10124595                    </t>
  </si>
  <si>
    <t>Плита 6-конфор.  ITERMA-2</t>
  </si>
  <si>
    <t xml:space="preserve">1.10124596                    </t>
  </si>
  <si>
    <t>Тестомес спиральный (тип 1)  SK-30</t>
  </si>
  <si>
    <t xml:space="preserve">1.10124581                    </t>
  </si>
  <si>
    <t>Шкаф  холодильный с глухой дверью-1</t>
  </si>
  <si>
    <t xml:space="preserve">1.10124588                    </t>
  </si>
  <si>
    <t>Шкаф  холодильный с глухой дверью-2</t>
  </si>
  <si>
    <t xml:space="preserve">1.10124589                    </t>
  </si>
  <si>
    <t>Шкаф  холодильный с глухой дверью-3</t>
  </si>
  <si>
    <t xml:space="preserve">1.10124590                    </t>
  </si>
  <si>
    <t>Шкаф морозильный с глухой дверью-1</t>
  </si>
  <si>
    <t xml:space="preserve">1.10124586                    </t>
  </si>
  <si>
    <t>Шкаф морозильный с глухой дверью-2</t>
  </si>
  <si>
    <t xml:space="preserve">1.10124587                    </t>
  </si>
  <si>
    <t>Оргтехника в п/компл-и для интернет</t>
  </si>
  <si>
    <t>Картофелесажатель</t>
  </si>
  <si>
    <t>Интеракт. аппаратно-прогр. комплекс</t>
  </si>
  <si>
    <t>Инт.-акт. програм. комплекс (м.проектор;сист.блок;монитор;инт.доска)</t>
  </si>
  <si>
    <t>Интеракт. доска DualBoard 1279М(Фед.б-т.1-й класс)</t>
  </si>
  <si>
    <t xml:space="preserve">1.10134533                    </t>
  </si>
  <si>
    <t>Программно-аппаратный  комплекс</t>
  </si>
  <si>
    <t>Система видеопротокол-я,видеотрансляции (видеокамера 7шт,коммутатор 2шт,винч-р 1</t>
  </si>
  <si>
    <t xml:space="preserve">410124634                     </t>
  </si>
  <si>
    <t xml:space="preserve">Система блокировки сотовой связи (блокиратор 7шт, индикатор 1шт) </t>
  </si>
  <si>
    <t xml:space="preserve">410124635                     </t>
  </si>
  <si>
    <t xml:space="preserve">Специал. интер-я проекц-я поверхность Interwrite DualBoard 1289 в комплекте </t>
  </si>
  <si>
    <t xml:space="preserve">410124602                     </t>
  </si>
  <si>
    <t>Специал. проекц-я установка Epson EH-TW5200 в к-те с зап.лампой,крепеж.и кабелем</t>
  </si>
  <si>
    <t xml:space="preserve">410124603                     </t>
  </si>
  <si>
    <t xml:space="preserve">410124604                     </t>
  </si>
  <si>
    <t>Специал.прогр.-метод.комплект созд. и редакт. трёхм.объектов СПО НИО-ВР 3Д</t>
  </si>
  <si>
    <t xml:space="preserve">410124605                     </t>
  </si>
  <si>
    <t xml:space="preserve">410124606                     </t>
  </si>
  <si>
    <t xml:space="preserve">410124607                     </t>
  </si>
  <si>
    <t xml:space="preserve">410124608                     </t>
  </si>
  <si>
    <t xml:space="preserve">410124609                     </t>
  </si>
  <si>
    <t xml:space="preserve">410124610                     </t>
  </si>
  <si>
    <t xml:space="preserve">410124611                     </t>
  </si>
  <si>
    <t xml:space="preserve">410124612                     </t>
  </si>
  <si>
    <t xml:space="preserve">410124613                     </t>
  </si>
  <si>
    <t xml:space="preserve">410124614                     </t>
  </si>
  <si>
    <t xml:space="preserve">410124615                     </t>
  </si>
  <si>
    <t xml:space="preserve">410124616                     </t>
  </si>
  <si>
    <t xml:space="preserve">410124619                     </t>
  </si>
  <si>
    <t xml:space="preserve">410124620                     </t>
  </si>
  <si>
    <t xml:space="preserve">410124621                     </t>
  </si>
  <si>
    <t xml:space="preserve">410124622                     </t>
  </si>
  <si>
    <t xml:space="preserve">410124623                     </t>
  </si>
  <si>
    <t xml:space="preserve">410124624                     </t>
  </si>
  <si>
    <t xml:space="preserve">410124625                     </t>
  </si>
  <si>
    <t xml:space="preserve">410124626                     </t>
  </si>
  <si>
    <t xml:space="preserve">410124627                     </t>
  </si>
  <si>
    <t xml:space="preserve">410124628                     </t>
  </si>
  <si>
    <t>К-т ср-в орган-и хр-я и дистрибуции электр.контента (тип 2)Дай 5! на 40 лицензий</t>
  </si>
  <si>
    <t xml:space="preserve">410124629                     </t>
  </si>
  <si>
    <t>Интер-я доска interwrite DualBoard 1279 (Прогр-е обесп-е interwrite Workspace)</t>
  </si>
  <si>
    <t xml:space="preserve">1.10124400                    </t>
  </si>
  <si>
    <t xml:space="preserve">1.10124401                    </t>
  </si>
  <si>
    <t>Проектор короткофокусный Vivitek D791STс креплением</t>
  </si>
  <si>
    <t xml:space="preserve">1.10124402                    </t>
  </si>
  <si>
    <t xml:space="preserve">1.10124403                    </t>
  </si>
  <si>
    <t>Интерактивная доска Interwrite 1279 c комплектом программного обеспечения и сист</t>
  </si>
  <si>
    <t>Каб-т русск. языка (Сист. блок, монитор, ист.б/пит., многоф. комп. "Дидактика")</t>
  </si>
  <si>
    <t xml:space="preserve">1.10104343                    </t>
  </si>
  <si>
    <t>Автомашина ГАЗ САЗ  350701 (Р.знак Е 271 КХ 90)</t>
  </si>
  <si>
    <t xml:space="preserve">1,10105019                    </t>
  </si>
  <si>
    <t>Автомашина ГАЗ - 3307 (Р.знак А 603 МК 90)</t>
  </si>
  <si>
    <t xml:space="preserve">1,10105008                    </t>
  </si>
  <si>
    <t>Зерноуборочный комбайн СК-5 "Нива" (Р.знак 50 МВ 8064)</t>
  </si>
  <si>
    <t xml:space="preserve">1,10105006                    </t>
  </si>
  <si>
    <t>Прицеп 2 ПТС</t>
  </si>
  <si>
    <t xml:space="preserve">1,10105011                    </t>
  </si>
  <si>
    <t>Трактор  "Беларус 82, 1, 57" (Р.знак 50 МХ 7146)</t>
  </si>
  <si>
    <t xml:space="preserve">1,10105017                    </t>
  </si>
  <si>
    <t>Трактор гусеничный ДТ-75 Н (Р.знак 50 МВ 8063)</t>
  </si>
  <si>
    <t xml:space="preserve">1,10105009                    </t>
  </si>
  <si>
    <t>Трактор колёсный МТЗ - 80 Л (Р.знак 50 МВ 8062)</t>
  </si>
  <si>
    <t xml:space="preserve">1,10105005                    </t>
  </si>
  <si>
    <t>Автомашина ВАЗ 2121 "Нива" (Р. знак А 605 МК 90)</t>
  </si>
  <si>
    <t xml:space="preserve">1,10105013                    </t>
  </si>
  <si>
    <t>Автобус 15 мест для маршрутных перевозок ГАЗ 3269-0000010-03 (Р.знак А 671 МК 90)</t>
  </si>
  <si>
    <t xml:space="preserve">1,10105016                    </t>
  </si>
  <si>
    <t>Автомашина ВАЗ-21140 "Жигули" (Р.знак Е 255 КХ 90)</t>
  </si>
  <si>
    <t xml:space="preserve">1,10105018                    </t>
  </si>
  <si>
    <t>Автобус (Для перевозки детей) Школьный (Р.знак - Н 934 УН  190)</t>
  </si>
  <si>
    <t xml:space="preserve">1,10125025                    </t>
  </si>
  <si>
    <t>Машина посудомоечная купольная</t>
  </si>
  <si>
    <t xml:space="preserve">1.10126605                    </t>
  </si>
  <si>
    <t>Вышка -тура ПСРВ -21,0 секц. Н=11,31м (леса)</t>
  </si>
  <si>
    <t>Уч.- нагл. оборуд. для кабин. географии (нац.проект)</t>
  </si>
  <si>
    <t xml:space="preserve">1,101060024                   </t>
  </si>
  <si>
    <t>Набор мебели для буфета</t>
  </si>
  <si>
    <t xml:space="preserve">1,101060008                   </t>
  </si>
  <si>
    <t>Тренажёр (проф. Кетлер)- силовой трен.</t>
  </si>
  <si>
    <t xml:space="preserve">1,10106274                    </t>
  </si>
  <si>
    <t>Кухня "Ася"</t>
  </si>
  <si>
    <t xml:space="preserve">1,10106768                    </t>
  </si>
  <si>
    <t>Стенка № 21 "Париж"</t>
  </si>
  <si>
    <t xml:space="preserve">1,10106767                    </t>
  </si>
  <si>
    <t>Учебное пособие для кабинета рус. яз.</t>
  </si>
  <si>
    <t xml:space="preserve">1,10107007                    </t>
  </si>
  <si>
    <t>Учебное пособие для кабинета ОБЖ</t>
  </si>
  <si>
    <t xml:space="preserve">1,10107008                    </t>
  </si>
  <si>
    <t>Учебники ( 18.06.2015)</t>
  </si>
  <si>
    <t>Учебники ( 21.04.2015)</t>
  </si>
  <si>
    <t>Учебники ( 16.06.2015 )</t>
  </si>
  <si>
    <t>Видио-диски к каб. рус./яз.= инв. 1.101.04.344</t>
  </si>
  <si>
    <t xml:space="preserve">1,10109028                    </t>
  </si>
  <si>
    <t>Кабинет ОБЖ (аптечки инд., противогазы,макет авт.Калаш.,Робот,DVD-lbcrb)</t>
  </si>
  <si>
    <t xml:space="preserve">1,10109106                    </t>
  </si>
  <si>
    <t>Тренажёр серд.-лёг. и мозг. реанимации "Максим-1"</t>
  </si>
  <si>
    <t xml:space="preserve">1,10109024                    </t>
  </si>
  <si>
    <t>Видио-диски к каб. рус./яз.= 1.101.04.343</t>
  </si>
  <si>
    <t xml:space="preserve">1,10109230                    </t>
  </si>
  <si>
    <t>Принтер НР лазер.1102</t>
  </si>
  <si>
    <t xml:space="preserve">210104029                     </t>
  </si>
  <si>
    <t>Проектор  Р5271</t>
  </si>
  <si>
    <t xml:space="preserve">210104027                     </t>
  </si>
  <si>
    <t>Проектор Р5271</t>
  </si>
  <si>
    <t xml:space="preserve">210104028                     </t>
  </si>
  <si>
    <t xml:space="preserve">210104021                     </t>
  </si>
  <si>
    <t>Факс на термобумаге "Панасоник"</t>
  </si>
  <si>
    <t xml:space="preserve">210104026                     </t>
  </si>
  <si>
    <t xml:space="preserve">Ноутбук 15,6 Fujitsu Lifebook AH502   </t>
  </si>
  <si>
    <t xml:space="preserve">210134634                     </t>
  </si>
  <si>
    <t xml:space="preserve">210134635                     </t>
  </si>
  <si>
    <t>МФУ HP  OfficeJet Pro 8600</t>
  </si>
  <si>
    <t xml:space="preserve">2.10134636                    </t>
  </si>
  <si>
    <t xml:space="preserve">2.10134154                    </t>
  </si>
  <si>
    <t>Магнит. "Панасоник"</t>
  </si>
  <si>
    <t xml:space="preserve">1,10104202                    </t>
  </si>
  <si>
    <t>Оргтехника (монитор,сист.блок,клавиат.,мышь)</t>
  </si>
  <si>
    <t>Компьютер (мон-р,сист.блок,клав,мышь,коврик) View Conic</t>
  </si>
  <si>
    <t xml:space="preserve">1,10104241                    </t>
  </si>
  <si>
    <t>Сканер HP Scan Get G</t>
  </si>
  <si>
    <t xml:space="preserve">1,10104406                    </t>
  </si>
  <si>
    <t>DVD+ VHS "Тошиба"</t>
  </si>
  <si>
    <t>Видеомагнитофон "Самсунг" (DVD)</t>
  </si>
  <si>
    <t xml:space="preserve">1,10104312                    </t>
  </si>
  <si>
    <t>Монитор ACER  AL</t>
  </si>
  <si>
    <t xml:space="preserve">1,101040029                   </t>
  </si>
  <si>
    <t>Системный блок  INTEL</t>
  </si>
  <si>
    <t xml:space="preserve">1.10104348                    </t>
  </si>
  <si>
    <t xml:space="preserve">1,101040303                   </t>
  </si>
  <si>
    <t xml:space="preserve">1,10104200                    </t>
  </si>
  <si>
    <t>Мультипроектор ACER</t>
  </si>
  <si>
    <t xml:space="preserve">1.10104351                    </t>
  </si>
  <si>
    <t>Телевизор  " JVC"</t>
  </si>
  <si>
    <t xml:space="preserve">1.10104337                    </t>
  </si>
  <si>
    <t>Компьютер в сборе "PROVIEW"</t>
  </si>
  <si>
    <t>Принтер  " HP - 1018"</t>
  </si>
  <si>
    <t xml:space="preserve">1,10104324                    </t>
  </si>
  <si>
    <t>Сканер "HP Scarlet G-4010"</t>
  </si>
  <si>
    <t xml:space="preserve">1,10104325                    </t>
  </si>
  <si>
    <t>Водонагреватель проточный</t>
  </si>
  <si>
    <t xml:space="preserve">1.10134594                    </t>
  </si>
  <si>
    <t>Картофелечистка (тип 2) МОК-150У</t>
  </si>
  <si>
    <t xml:space="preserve">1.10134599                    </t>
  </si>
  <si>
    <t xml:space="preserve">1,10104296                    </t>
  </si>
  <si>
    <t xml:space="preserve">1,101040288                   </t>
  </si>
  <si>
    <t>Подставка д/пароконвектомата  ITERMA</t>
  </si>
  <si>
    <t xml:space="preserve">1.10134555                    </t>
  </si>
  <si>
    <t>Подставка под электрокипятильник  ITERMA</t>
  </si>
  <si>
    <t xml:space="preserve">1.10134592                    </t>
  </si>
  <si>
    <t>Холодильник "Ока"</t>
  </si>
  <si>
    <t>Электрокипятильник  ITERMA</t>
  </si>
  <si>
    <t xml:space="preserve">1.10134591                    </t>
  </si>
  <si>
    <t>Мобильный кондиционер Hyundai</t>
  </si>
  <si>
    <t>Кабинет ОБЖ (телевизор,плеер,экран,проектор,акуст.)</t>
  </si>
  <si>
    <t xml:space="preserve">1,10104300                    </t>
  </si>
  <si>
    <t>Оргтехника в полн. комп-и  "Proview"</t>
  </si>
  <si>
    <t xml:space="preserve">1,101040011                   </t>
  </si>
  <si>
    <t>Телевизор "Фунай"</t>
  </si>
  <si>
    <t xml:space="preserve">1,10104271                    </t>
  </si>
  <si>
    <t xml:space="preserve">1.10104245                    </t>
  </si>
  <si>
    <t>Многофунк-е устройство Canon i-SENSYS</t>
  </si>
  <si>
    <t>Монитор ACER A</t>
  </si>
  <si>
    <t xml:space="preserve">1.10104345                    </t>
  </si>
  <si>
    <t>Монитор ACER AL</t>
  </si>
  <si>
    <t xml:space="preserve">1.10104346                    </t>
  </si>
  <si>
    <t xml:space="preserve">1.10104352                    </t>
  </si>
  <si>
    <t>Ноутбук  "Acer Aspire"</t>
  </si>
  <si>
    <t xml:space="preserve">1,101040273                   </t>
  </si>
  <si>
    <t>Ноутбук  "Асеr Aspire"</t>
  </si>
  <si>
    <t xml:space="preserve">1,101040272                   </t>
  </si>
  <si>
    <t>Оргтехника в полн. комп-и  "LG"</t>
  </si>
  <si>
    <t>Принтер  HP-1018-RUS</t>
  </si>
  <si>
    <t xml:space="preserve">1.101040338                   </t>
  </si>
  <si>
    <t xml:space="preserve">1.10104350                    </t>
  </si>
  <si>
    <t>Системный блок INTEL</t>
  </si>
  <si>
    <t xml:space="preserve">1.10104349                    </t>
  </si>
  <si>
    <t>Компьютер в сборе   " LG" (мон-р;сист.бл.)</t>
  </si>
  <si>
    <t xml:space="preserve">1.10104316                    </t>
  </si>
  <si>
    <t xml:space="preserve">1.10104315                    </t>
  </si>
  <si>
    <t xml:space="preserve">1 .10104317                   </t>
  </si>
  <si>
    <t xml:space="preserve">1.10104318                    </t>
  </si>
  <si>
    <t xml:space="preserve">1.10104319                    </t>
  </si>
  <si>
    <t xml:space="preserve">1.10104320                    </t>
  </si>
  <si>
    <t xml:space="preserve">1.10104321                    </t>
  </si>
  <si>
    <t xml:space="preserve">1.10104322                    </t>
  </si>
  <si>
    <t xml:space="preserve">1.10104323                    </t>
  </si>
  <si>
    <t xml:space="preserve">1.10104324                    </t>
  </si>
  <si>
    <t xml:space="preserve">1,10104243                    </t>
  </si>
  <si>
    <t>Пульт микшерный</t>
  </si>
  <si>
    <t xml:space="preserve">1,10104295                    </t>
  </si>
  <si>
    <t>Свет. прибор</t>
  </si>
  <si>
    <t xml:space="preserve">1,10104301                    </t>
  </si>
  <si>
    <t>Фотоаппарат цифр.</t>
  </si>
  <si>
    <t>Оргтехника в п/ комп-и "Proview"</t>
  </si>
  <si>
    <t xml:space="preserve">1.101 040017                  </t>
  </si>
  <si>
    <t xml:space="preserve">1,10104297                    </t>
  </si>
  <si>
    <t xml:space="preserve">1,10104298                    </t>
  </si>
  <si>
    <t>Акустическая  система</t>
  </si>
  <si>
    <t xml:space="preserve">1,101040267                   </t>
  </si>
  <si>
    <t>Компьютер в сборе "LG" (мон-р;сист.бл.)</t>
  </si>
  <si>
    <t xml:space="preserve">1,101040134                   </t>
  </si>
  <si>
    <t xml:space="preserve">1.10104328-1                  </t>
  </si>
  <si>
    <t>Компьютер в сборе  "LG" (мон-р; сист.бл.)</t>
  </si>
  <si>
    <t xml:space="preserve">1 .10104330                   </t>
  </si>
  <si>
    <t>Микроскоп цифровой Кепа Т-1050(Фед.б-т.1-й класс)</t>
  </si>
  <si>
    <t xml:space="preserve">1. 10134547                   </t>
  </si>
  <si>
    <t xml:space="preserve">4,10134659                    </t>
  </si>
  <si>
    <t>DVD  "JVC"</t>
  </si>
  <si>
    <t xml:space="preserve">1,10104308                    </t>
  </si>
  <si>
    <t>DVD " JVC"</t>
  </si>
  <si>
    <t xml:space="preserve">1,10104309                    </t>
  </si>
  <si>
    <t>DVD + VHS "Тошиба"</t>
  </si>
  <si>
    <t>DVD- плеер "Rolsen"</t>
  </si>
  <si>
    <t xml:space="preserve">1.10104330*                   </t>
  </si>
  <si>
    <t>Док.-камера Кеп-а-vision 7880 Auto Focus Vision Viewer с прогр.обесп-м(Фед.б-т.1-й класс)</t>
  </si>
  <si>
    <t xml:space="preserve">1.10134549                    </t>
  </si>
  <si>
    <t xml:space="preserve">1,10104240                    </t>
  </si>
  <si>
    <t>Компьютер в сборе Proview</t>
  </si>
  <si>
    <t xml:space="preserve">1.10134546                    </t>
  </si>
  <si>
    <t xml:space="preserve">1.10134548                    </t>
  </si>
  <si>
    <t>Модульн.сист.эксперим-в на базе цифр.технол-й Proloq (Фед.б-т.1-й класс)</t>
  </si>
  <si>
    <t xml:space="preserve">1.10134540                    </t>
  </si>
  <si>
    <t xml:space="preserve">1.10134541                    </t>
  </si>
  <si>
    <t xml:space="preserve">1.10134542                    </t>
  </si>
  <si>
    <t>Музык центр 1-кас. "Витек"</t>
  </si>
  <si>
    <t xml:space="preserve">1,101040332                   </t>
  </si>
  <si>
    <t>Музыкальный  центр</t>
  </si>
  <si>
    <t xml:space="preserve">1,10104294                    </t>
  </si>
  <si>
    <t>Мультимедиапроектор View Conic   800*600см, (Фед. б-т, 1-й класс)</t>
  </si>
  <si>
    <t xml:space="preserve">1.10134500                    </t>
  </si>
  <si>
    <t>Нетбук 10,1 "НП (Самсунг), встр. камера, (Фед. б-т,1-й класс)</t>
  </si>
  <si>
    <t xml:space="preserve">1.10134501                    </t>
  </si>
  <si>
    <t xml:space="preserve">1.10134502                    </t>
  </si>
  <si>
    <t xml:space="preserve">1.10134503                    </t>
  </si>
  <si>
    <t xml:space="preserve">1.10134504                    </t>
  </si>
  <si>
    <t xml:space="preserve">1.10134505                    </t>
  </si>
  <si>
    <t>Нетбук RoverBook NEO 570 10.1(Фед.б-т.1-й класс)</t>
  </si>
  <si>
    <t xml:space="preserve">1.10134521                    </t>
  </si>
  <si>
    <t xml:space="preserve">1.10134522                    </t>
  </si>
  <si>
    <t xml:space="preserve">1.10134523                    </t>
  </si>
  <si>
    <t xml:space="preserve">1.10134524                    </t>
  </si>
  <si>
    <t>Ноутбук Acer Travel  Mate (Фед.б-т.1-й класс)l</t>
  </si>
  <si>
    <t xml:space="preserve">1.10134520                    </t>
  </si>
  <si>
    <t>Оргтехника в полн. комп-и "Proview"</t>
  </si>
  <si>
    <t>Плеер DVD  пишущий   " LG"</t>
  </si>
  <si>
    <t xml:space="preserve">1,10104323                    </t>
  </si>
  <si>
    <t>Принтер НР  Лазер  1005</t>
  </si>
  <si>
    <t>Проектор мультимед-й Epson EB-X02 (Фед.б-т.1-й класс)</t>
  </si>
  <si>
    <t xml:space="preserve">1.10134534                    </t>
  </si>
  <si>
    <t>Сист. контроля и монитор.качества знаний (М-на 15 пультов)Фед. б-т.1-й клаасс</t>
  </si>
  <si>
    <t xml:space="preserve">1.10134539                    </t>
  </si>
  <si>
    <t>Телевизор   "LG"</t>
  </si>
  <si>
    <t xml:space="preserve">1,10104310                    </t>
  </si>
  <si>
    <t xml:space="preserve">1,10104302                    </t>
  </si>
  <si>
    <t xml:space="preserve">1,10104392                    </t>
  </si>
  <si>
    <t>Телевизор "Камерон"</t>
  </si>
  <si>
    <t xml:space="preserve">1,10104326                    </t>
  </si>
  <si>
    <t>Телевизор "Полар"</t>
  </si>
  <si>
    <t>Устройство беспров.орган-и сети (Фед.б-т.1-й класс)</t>
  </si>
  <si>
    <t xml:space="preserve">1.10134551                    </t>
  </si>
  <si>
    <t>Факс "Панасоник" (секр.)</t>
  </si>
  <si>
    <t>Холодильник "INDESIT- SD-125" (дир.)</t>
  </si>
  <si>
    <t xml:space="preserve">1,101041022                   </t>
  </si>
  <si>
    <t>Цифр.аппарат Phaser 3 100MFPV_S (Фед.б-т.1-й класс)</t>
  </si>
  <si>
    <t xml:space="preserve">1.10134535                    </t>
  </si>
  <si>
    <t>Экран \Projecta\ 153*200см (Фед. б-т,1-й класс)</t>
  </si>
  <si>
    <t xml:space="preserve">1.10134506                    </t>
  </si>
  <si>
    <t>Холодильник 2х-дверный NORD- мед.кабинет</t>
  </si>
  <si>
    <t xml:space="preserve">1010426                       </t>
  </si>
  <si>
    <t>Фотоаппарат OLYPUS SP-620 UZ</t>
  </si>
  <si>
    <t xml:space="preserve">1.10134236                    </t>
  </si>
  <si>
    <t>Принтер НР Laser Jet Pro P1 102W</t>
  </si>
  <si>
    <t xml:space="preserve">1,10134211                    </t>
  </si>
  <si>
    <t>Проектор ASER X 1111</t>
  </si>
  <si>
    <t xml:space="preserve">1.10134212                    </t>
  </si>
  <si>
    <t>Ноутбук ASUS X501A 15.6 (наказ. избират.)</t>
  </si>
  <si>
    <t xml:space="preserve">410136600                     </t>
  </si>
  <si>
    <t>Микшер ZED 60-10 FX (наказ. избират.)</t>
  </si>
  <si>
    <t xml:space="preserve">410134601                     </t>
  </si>
  <si>
    <t xml:space="preserve">1.101040337                   </t>
  </si>
  <si>
    <t xml:space="preserve">410134630                     </t>
  </si>
  <si>
    <t>Специал. индивид. устр-во преобраз. свет. потока Epson ELPGS03</t>
  </si>
  <si>
    <t xml:space="preserve">410134631                     </t>
  </si>
  <si>
    <t xml:space="preserve">410136632                     </t>
  </si>
  <si>
    <t xml:space="preserve">410134633                     </t>
  </si>
  <si>
    <t xml:space="preserve">410134634                     </t>
  </si>
  <si>
    <t xml:space="preserve">410134635                     </t>
  </si>
  <si>
    <t xml:space="preserve">410134636                     </t>
  </si>
  <si>
    <t xml:space="preserve">410134637                     </t>
  </si>
  <si>
    <t xml:space="preserve">410134638                     </t>
  </si>
  <si>
    <t xml:space="preserve">410134639                     </t>
  </si>
  <si>
    <t xml:space="preserve">410134640                     </t>
  </si>
  <si>
    <t xml:space="preserve">410134641                     </t>
  </si>
  <si>
    <t xml:space="preserve">410134642                     </t>
  </si>
  <si>
    <t xml:space="preserve">410134643                     </t>
  </si>
  <si>
    <t xml:space="preserve">410134644                     </t>
  </si>
  <si>
    <t xml:space="preserve">410134645                     </t>
  </si>
  <si>
    <t xml:space="preserve">410134646                     </t>
  </si>
  <si>
    <t xml:space="preserve">410134647                     </t>
  </si>
  <si>
    <t xml:space="preserve">410134648                     </t>
  </si>
  <si>
    <t xml:space="preserve">410134649                     </t>
  </si>
  <si>
    <t xml:space="preserve">410134650                     </t>
  </si>
  <si>
    <t xml:space="preserve">410134651                     </t>
  </si>
  <si>
    <t xml:space="preserve">410134652                     </t>
  </si>
  <si>
    <t xml:space="preserve">410134653                     </t>
  </si>
  <si>
    <t xml:space="preserve">410134654                     </t>
  </si>
  <si>
    <t xml:space="preserve">410134655                     </t>
  </si>
  <si>
    <t>Специализир.управляющая станция  с гибридным энергообеспечением</t>
  </si>
  <si>
    <t xml:space="preserve">410134656                     </t>
  </si>
  <si>
    <t xml:space="preserve">410134657                     </t>
  </si>
  <si>
    <t xml:space="preserve">410134658                     </t>
  </si>
  <si>
    <t xml:space="preserve">410134660                     </t>
  </si>
  <si>
    <t xml:space="preserve">410134661                     </t>
  </si>
  <si>
    <t xml:space="preserve">410134662                     </t>
  </si>
  <si>
    <t xml:space="preserve">410134663                     </t>
  </si>
  <si>
    <t xml:space="preserve">410134664                     </t>
  </si>
  <si>
    <t xml:space="preserve">410134665                     </t>
  </si>
  <si>
    <t xml:space="preserve">410134666                     </t>
  </si>
  <si>
    <t xml:space="preserve">410134667                     </t>
  </si>
  <si>
    <t xml:space="preserve">410134668                     </t>
  </si>
  <si>
    <t xml:space="preserve">410134669                     </t>
  </si>
  <si>
    <t xml:space="preserve">410134670                     </t>
  </si>
  <si>
    <t xml:space="preserve">410134671                     </t>
  </si>
  <si>
    <t xml:space="preserve">410134672                     </t>
  </si>
  <si>
    <t xml:space="preserve">410134673                     </t>
  </si>
  <si>
    <t xml:space="preserve">410134674                     </t>
  </si>
  <si>
    <t xml:space="preserve">410134675                     </t>
  </si>
  <si>
    <t xml:space="preserve">410134676                     </t>
  </si>
  <si>
    <t xml:space="preserve">410134677                     </t>
  </si>
  <si>
    <t xml:space="preserve">410134678                     </t>
  </si>
  <si>
    <t xml:space="preserve">410134679                     </t>
  </si>
  <si>
    <t xml:space="preserve">410134680                     </t>
  </si>
  <si>
    <t xml:space="preserve">410134681                     </t>
  </si>
  <si>
    <t xml:space="preserve">410134682                     </t>
  </si>
  <si>
    <t xml:space="preserve">410134683                     </t>
  </si>
  <si>
    <t xml:space="preserve">410134684                     </t>
  </si>
  <si>
    <t xml:space="preserve">410134685                     </t>
  </si>
  <si>
    <t xml:space="preserve">410134686                     </t>
  </si>
  <si>
    <t xml:space="preserve">410134687                     </t>
  </si>
  <si>
    <t xml:space="preserve">410134688                     </t>
  </si>
  <si>
    <t xml:space="preserve">410134690                     </t>
  </si>
  <si>
    <t xml:space="preserve">410134691                     </t>
  </si>
  <si>
    <t xml:space="preserve">410134692                     </t>
  </si>
  <si>
    <t xml:space="preserve">410134693                     </t>
  </si>
  <si>
    <t xml:space="preserve">410134694                     </t>
  </si>
  <si>
    <t>Планш-й компьютер RAYpad TM105S вкомплекте с прогр. пакетом</t>
  </si>
  <si>
    <t xml:space="preserve">410134695                     </t>
  </si>
  <si>
    <t xml:space="preserve">410134696                     </t>
  </si>
  <si>
    <t xml:space="preserve">410134697                     </t>
  </si>
  <si>
    <t xml:space="preserve">410134698                     </t>
  </si>
  <si>
    <t xml:space="preserve">410134699                     </t>
  </si>
  <si>
    <t xml:space="preserve">410134700                     </t>
  </si>
  <si>
    <t xml:space="preserve">410134701                     </t>
  </si>
  <si>
    <t xml:space="preserve">410134702                     </t>
  </si>
  <si>
    <t xml:space="preserve">410134703                     </t>
  </si>
  <si>
    <t xml:space="preserve">410134704                     </t>
  </si>
  <si>
    <t>Нетбук 10.1" ASUS Eee PC 1025C, intel Atom №2800.</t>
  </si>
  <si>
    <t xml:space="preserve">1.10134230                    </t>
  </si>
  <si>
    <t xml:space="preserve">1.10134231                    </t>
  </si>
  <si>
    <t xml:space="preserve">1.10134232                    </t>
  </si>
  <si>
    <t xml:space="preserve">1.10134233                    </t>
  </si>
  <si>
    <t xml:space="preserve">1.10134234                    </t>
  </si>
  <si>
    <t xml:space="preserve">1.10134235                    </t>
  </si>
  <si>
    <t xml:space="preserve">1. 10134236                   </t>
  </si>
  <si>
    <t>К-т лабар.обор-я для нач школы "Просвещение"</t>
  </si>
  <si>
    <t xml:space="preserve">1.10134406                    </t>
  </si>
  <si>
    <t xml:space="preserve">1.10134407                    </t>
  </si>
  <si>
    <t>К-т лабар.обор-я для нач школы "Пособие д/педагога"</t>
  </si>
  <si>
    <t xml:space="preserve">1.10134408                    </t>
  </si>
  <si>
    <t xml:space="preserve">1.10134409                    </t>
  </si>
  <si>
    <t xml:space="preserve">1.10134410                    </t>
  </si>
  <si>
    <t xml:space="preserve">1.10134411                    </t>
  </si>
  <si>
    <t xml:space="preserve">1.10134412                    </t>
  </si>
  <si>
    <t xml:space="preserve">1.10134413                    </t>
  </si>
  <si>
    <t xml:space="preserve">1.10134414                    </t>
  </si>
  <si>
    <t xml:space="preserve">1.10134415                    </t>
  </si>
  <si>
    <t>Ноутбук (ученика) Acer Travei Mate с опер.сист.прогр.обесп-я</t>
  </si>
  <si>
    <t xml:space="preserve">1.10134416                    </t>
  </si>
  <si>
    <t xml:space="preserve">1.10134417                    </t>
  </si>
  <si>
    <t xml:space="preserve">1.10134418                    </t>
  </si>
  <si>
    <t xml:space="preserve">1.10134419                    </t>
  </si>
  <si>
    <t xml:space="preserve">1.10134420                    </t>
  </si>
  <si>
    <t xml:space="preserve">1.10134421                    </t>
  </si>
  <si>
    <t xml:space="preserve">1.10134422                    </t>
  </si>
  <si>
    <t xml:space="preserve">1.10134423                    </t>
  </si>
  <si>
    <t xml:space="preserve">1.10134424                    </t>
  </si>
  <si>
    <t xml:space="preserve">1.10134425                    </t>
  </si>
  <si>
    <t xml:space="preserve">1.10134426                    </t>
  </si>
  <si>
    <t xml:space="preserve">1.10134427                    </t>
  </si>
  <si>
    <t xml:space="preserve">1.10134428                    </t>
  </si>
  <si>
    <t xml:space="preserve">1.10134429                    </t>
  </si>
  <si>
    <t xml:space="preserve">1.10134430                    </t>
  </si>
  <si>
    <t xml:space="preserve">1.10134431                    </t>
  </si>
  <si>
    <t xml:space="preserve">1.10134432                    </t>
  </si>
  <si>
    <t xml:space="preserve">1.10134433                    </t>
  </si>
  <si>
    <t xml:space="preserve">1.10134434                    </t>
  </si>
  <si>
    <t xml:space="preserve">1.10134435                    </t>
  </si>
  <si>
    <t xml:space="preserve">1.10134436                    </t>
  </si>
  <si>
    <t xml:space="preserve">1.10134437                    </t>
  </si>
  <si>
    <t xml:space="preserve">1.10134438                    </t>
  </si>
  <si>
    <t xml:space="preserve">1.10134439                    </t>
  </si>
  <si>
    <t xml:space="preserve">1.10134440                    </t>
  </si>
  <si>
    <t xml:space="preserve">1.10134441                    </t>
  </si>
  <si>
    <t>Ноутбук (педагога) Acer Travei Mate с опер.сист.прогр.обесп-я</t>
  </si>
  <si>
    <t xml:space="preserve">1.10134442                    </t>
  </si>
  <si>
    <t xml:space="preserve">1.10134443                    </t>
  </si>
  <si>
    <t>Конструктор по нач.констр-я.Н-р"Простые механизмы"</t>
  </si>
  <si>
    <t xml:space="preserve">1.10134444                    </t>
  </si>
  <si>
    <t xml:space="preserve">1.10134445                    </t>
  </si>
  <si>
    <t xml:space="preserve">1.10134446                    </t>
  </si>
  <si>
    <t xml:space="preserve">1.10134447                    </t>
  </si>
  <si>
    <t xml:space="preserve">1.10134448                    </t>
  </si>
  <si>
    <t xml:space="preserve">1.10134449                    </t>
  </si>
  <si>
    <t xml:space="preserve">1.10134450                    </t>
  </si>
  <si>
    <t xml:space="preserve">1.10134451                    </t>
  </si>
  <si>
    <t>Водонагреватель P100VP Polaris</t>
  </si>
  <si>
    <t xml:space="preserve">410134051                     </t>
  </si>
  <si>
    <t>Конструктор по началам констр-я и робототехники. LEGO.</t>
  </si>
  <si>
    <t xml:space="preserve">1.10134452                    </t>
  </si>
  <si>
    <t xml:space="preserve">1.10134453                    </t>
  </si>
  <si>
    <t xml:space="preserve">1.10134454                    </t>
  </si>
  <si>
    <t xml:space="preserve">1.10134455                    </t>
  </si>
  <si>
    <t>Микроскоп цифровой MicroLite ML-12-1.3 (Пособие д/педагога)</t>
  </si>
  <si>
    <t xml:space="preserve">1.10134456                    </t>
  </si>
  <si>
    <t xml:space="preserve">1.10134457                    </t>
  </si>
  <si>
    <t xml:space="preserve">1.10134458                    </t>
  </si>
  <si>
    <t xml:space="preserve">1.10134459                    </t>
  </si>
  <si>
    <t xml:space="preserve">1.10134460                    </t>
  </si>
  <si>
    <t xml:space="preserve">1.10134461                    </t>
  </si>
  <si>
    <t xml:space="preserve">1.10134462                    </t>
  </si>
  <si>
    <t xml:space="preserve">1.10134463                    </t>
  </si>
  <si>
    <t xml:space="preserve">Микроскоп цифровой MicroLite ML-12-1.3 </t>
  </si>
  <si>
    <t xml:space="preserve">1.10134464                    </t>
  </si>
  <si>
    <t xml:space="preserve">1.10134465                    </t>
  </si>
  <si>
    <t>Многофункцион.устройство с зап. катриджем</t>
  </si>
  <si>
    <t xml:space="preserve">1.10134466                    </t>
  </si>
  <si>
    <t xml:space="preserve">1.10134467                    </t>
  </si>
  <si>
    <t>Универс-я платформа д/перем-я,хранения и подзарядки ПК. INFORCE ШК.</t>
  </si>
  <si>
    <t xml:space="preserve">1.10134468                    </t>
  </si>
  <si>
    <t xml:space="preserve">1.10134469                    </t>
  </si>
  <si>
    <t>Фотоаппарат Canon Power Shot A3300 IS</t>
  </si>
  <si>
    <t xml:space="preserve">1.10134470                    </t>
  </si>
  <si>
    <t xml:space="preserve">1.10134471                    </t>
  </si>
  <si>
    <t>Документ-камера GAOKE  GK-9000A (пособие д/педагога)</t>
  </si>
  <si>
    <t xml:space="preserve">1.10134472                    </t>
  </si>
  <si>
    <t xml:space="preserve">1.10134473                    </t>
  </si>
  <si>
    <t>Комплект аппаратно-программных средств Lenovo G 5070 15.62/Intel Core i3 4030 U/</t>
  </si>
  <si>
    <t xml:space="preserve">4.101340052                   </t>
  </si>
  <si>
    <t>Мультимедийный проектор  Epson EB -X 20</t>
  </si>
  <si>
    <t>Проекционный экран Lumien Eco View 200x200 см Matte White</t>
  </si>
  <si>
    <t xml:space="preserve">410134689                     </t>
  </si>
  <si>
    <t xml:space="preserve">1,10104311                    </t>
  </si>
  <si>
    <t>Видеокамера IP  Hickvision HiWatch DS -N 241</t>
  </si>
  <si>
    <t xml:space="preserve">4.101340053                   </t>
  </si>
  <si>
    <t>Компьютер в полн.комп-и "Proview"</t>
  </si>
  <si>
    <t>Принтер  HP  1018- RUS</t>
  </si>
  <si>
    <t xml:space="preserve">1,10104339                    </t>
  </si>
  <si>
    <t>Оверлок "Самара"</t>
  </si>
  <si>
    <t xml:space="preserve">1,10104178                    </t>
  </si>
  <si>
    <t xml:space="preserve">1,10104179                    </t>
  </si>
  <si>
    <t>Компьютер в полн. комп-и "Proview"</t>
  </si>
  <si>
    <t xml:space="preserve">010104012                     </t>
  </si>
  <si>
    <t>Плита эл. быт. с дух.4-х комф."Норд Де Люкс"</t>
  </si>
  <si>
    <t>Оргтехника в полн комп-и "Proview"</t>
  </si>
  <si>
    <t xml:space="preserve">1,10104244                    </t>
  </si>
  <si>
    <t>Магнитофон  " VITEC"</t>
  </si>
  <si>
    <t xml:space="preserve">1,10104292                    </t>
  </si>
  <si>
    <t xml:space="preserve">1,10104242                    </t>
  </si>
  <si>
    <t xml:space="preserve">1,10104332                    </t>
  </si>
  <si>
    <t xml:space="preserve">1,10104226                    </t>
  </si>
  <si>
    <t>Станок винтов.</t>
  </si>
  <si>
    <t>Станок рейсмусный</t>
  </si>
  <si>
    <t xml:space="preserve">1,10104075                    </t>
  </si>
  <si>
    <t>Станок фрез. наст.</t>
  </si>
  <si>
    <t xml:space="preserve">1,10104110                    </t>
  </si>
  <si>
    <t>Станок фрезерный</t>
  </si>
  <si>
    <t xml:space="preserve">1,10104071                    </t>
  </si>
  <si>
    <t>Прицеп</t>
  </si>
  <si>
    <t xml:space="preserve">1,10105010                    </t>
  </si>
  <si>
    <t>Автомашина  № ММЗ  45-02 (Р. знак СО 17 Му 50)</t>
  </si>
  <si>
    <t xml:space="preserve">1,10105003                    </t>
  </si>
  <si>
    <t xml:space="preserve">2.10106792                    </t>
  </si>
  <si>
    <t>Кусторез  АХС  63-10</t>
  </si>
  <si>
    <t xml:space="preserve">2.10106793                    </t>
  </si>
  <si>
    <t>Мотокоса  СРМ  330ЕС</t>
  </si>
  <si>
    <t xml:space="preserve">2.10106791                    </t>
  </si>
  <si>
    <t>Доска 3-элем.зелён.магн.(340*101м)</t>
  </si>
  <si>
    <t xml:space="preserve">1,10106573                    </t>
  </si>
  <si>
    <t>Доска классная (без крыльев)</t>
  </si>
  <si>
    <t>Доска ученич. магнитная 3-х элементная зеленая</t>
  </si>
  <si>
    <t xml:space="preserve">1,10106729                    </t>
  </si>
  <si>
    <t>Устр. защиты окон</t>
  </si>
  <si>
    <t xml:space="preserve">1.101060011                   </t>
  </si>
  <si>
    <t>Полка  настольная  ITERMA</t>
  </si>
  <si>
    <t xml:space="preserve">1.10136564                    </t>
  </si>
  <si>
    <t>Ванна моечная (тип 2) ITERMA</t>
  </si>
  <si>
    <t xml:space="preserve">1.10136542                    </t>
  </si>
  <si>
    <t>Ванна моечная (тип 4)</t>
  </si>
  <si>
    <t xml:space="preserve">1.10136548                    </t>
  </si>
  <si>
    <t>Ванна моечная (тип 5)</t>
  </si>
  <si>
    <t xml:space="preserve">1.10136549                    </t>
  </si>
  <si>
    <t>Весы электронные  порционные</t>
  </si>
  <si>
    <t xml:space="preserve">1.10136593                    </t>
  </si>
  <si>
    <t>Весы электронные  товарные</t>
  </si>
  <si>
    <t xml:space="preserve">1.10136600                    </t>
  </si>
  <si>
    <t>Оборудование столовое</t>
  </si>
  <si>
    <t>Овощерезка - протирка</t>
  </si>
  <si>
    <t>Полка д/сушки посуды  ITERMA</t>
  </si>
  <si>
    <t xml:space="preserve">1.10136557                    </t>
  </si>
  <si>
    <t>Рукомойник  ITERMA</t>
  </si>
  <si>
    <t xml:space="preserve">1.10136582                    </t>
  </si>
  <si>
    <t>Специал. порт. устр-во д/пров. качества уборки</t>
  </si>
  <si>
    <t xml:space="preserve">1.10136615                    </t>
  </si>
  <si>
    <t>Стеллаж (тип 1)  ITERMA</t>
  </si>
  <si>
    <t xml:space="preserve">1.10136568                    </t>
  </si>
  <si>
    <t xml:space="preserve">1.10136569                    </t>
  </si>
  <si>
    <t>Стол д/грязной посуды  ITERMA</t>
  </si>
  <si>
    <t xml:space="preserve">1.10136597                    </t>
  </si>
  <si>
    <t>Стол д/чистой посуды  ITERMA</t>
  </si>
  <si>
    <t xml:space="preserve">1.10136598                    </t>
  </si>
  <si>
    <t>Стол пристенный (тип 1)  ITERMA</t>
  </si>
  <si>
    <t xml:space="preserve">1.10136570                    </t>
  </si>
  <si>
    <t>Стол пристенный (тип 3)  ITERMA</t>
  </si>
  <si>
    <t xml:space="preserve">1.10136575                    </t>
  </si>
  <si>
    <t>Столы кух. разд. нерж.</t>
  </si>
  <si>
    <t xml:space="preserve">1.10106056                    </t>
  </si>
  <si>
    <t>Устройство душирующее FRIULI 922000</t>
  </si>
  <si>
    <t xml:space="preserve">1.10136556                    </t>
  </si>
  <si>
    <t xml:space="preserve">1.10136543                    </t>
  </si>
  <si>
    <t xml:space="preserve">1.10136544                    </t>
  </si>
  <si>
    <t xml:space="preserve">1.10136545                    </t>
  </si>
  <si>
    <t xml:space="preserve">1.10136546                    </t>
  </si>
  <si>
    <t xml:space="preserve">1.10136547                    </t>
  </si>
  <si>
    <t xml:space="preserve">1.10136558                    </t>
  </si>
  <si>
    <t xml:space="preserve">1.10136559                    </t>
  </si>
  <si>
    <t xml:space="preserve">1.10136571                    </t>
  </si>
  <si>
    <t xml:space="preserve">1.10136572                    </t>
  </si>
  <si>
    <t xml:space="preserve">1.10136573                    </t>
  </si>
  <si>
    <t xml:space="preserve">1.10136574                    </t>
  </si>
  <si>
    <t xml:space="preserve">1.10136576                    </t>
  </si>
  <si>
    <t xml:space="preserve">1.10136577                    </t>
  </si>
  <si>
    <t xml:space="preserve">1.10136578                    </t>
  </si>
  <si>
    <t xml:space="preserve">1.10136579                    </t>
  </si>
  <si>
    <t xml:space="preserve">1.10136580                    </t>
  </si>
  <si>
    <t xml:space="preserve">1.10136583                    </t>
  </si>
  <si>
    <t xml:space="preserve">1.10136584                    </t>
  </si>
  <si>
    <t xml:space="preserve">1.10136585                    </t>
  </si>
  <si>
    <t>Полка д/раздел. досок ITERMA</t>
  </si>
  <si>
    <t xml:space="preserve">1. 10136561                   </t>
  </si>
  <si>
    <t xml:space="preserve">1 .10136560                   </t>
  </si>
  <si>
    <t xml:space="preserve">1.10106059                    </t>
  </si>
  <si>
    <t>Ёмкость "смягчитель воды -12л."</t>
  </si>
  <si>
    <t xml:space="preserve">1.10136312                    </t>
  </si>
  <si>
    <t>Столик подъёмно-повор. для обор. ОБЖ (каб-т ОБЖ)</t>
  </si>
  <si>
    <t xml:space="preserve">1,10106704                    </t>
  </si>
  <si>
    <t>К-м Д.Мороза и Снегурочки</t>
  </si>
  <si>
    <t>Портьеры штор.; занавес</t>
  </si>
  <si>
    <t xml:space="preserve">1,10106092                    </t>
  </si>
  <si>
    <t xml:space="preserve">1,101060306                   </t>
  </si>
  <si>
    <t xml:space="preserve">Шторы из гард. полотна  </t>
  </si>
  <si>
    <t xml:space="preserve">1.10106090                    </t>
  </si>
  <si>
    <t xml:space="preserve">1.10106091                    </t>
  </si>
  <si>
    <t>Доска  5-элем. комб. магн. (340*100м)</t>
  </si>
  <si>
    <t xml:space="preserve">1,10106571                    </t>
  </si>
  <si>
    <t>Доска 3-элем.зелён.магн. (340*101)</t>
  </si>
  <si>
    <t xml:space="preserve">1,10106575                    </t>
  </si>
  <si>
    <t xml:space="preserve">1,10106663                    </t>
  </si>
  <si>
    <t>Мат гимнастический  2 х1х0,06м.</t>
  </si>
  <si>
    <t>Бензо/триммер F-3055 (косилка)</t>
  </si>
  <si>
    <t xml:space="preserve">1,10106794                    </t>
  </si>
  <si>
    <t xml:space="preserve">1,10106609                    </t>
  </si>
  <si>
    <t>Доска наст.магн. 3-элемент. 300*100см, мел.-по нак.избир.</t>
  </si>
  <si>
    <t xml:space="preserve">1.10136796                    </t>
  </si>
  <si>
    <t>Доска передв. поворот. магн. 75*100 см,мел.(м/к коричневый)-по нак.избир.</t>
  </si>
  <si>
    <t xml:space="preserve">1,10136799                    </t>
  </si>
  <si>
    <t>Ель новогодняя 5 м</t>
  </si>
  <si>
    <t xml:space="preserve">1,10106791                    </t>
  </si>
  <si>
    <t>Ковровая дорожка  (3 * 6 м)</t>
  </si>
  <si>
    <t xml:space="preserve">1,10106611                    </t>
  </si>
  <si>
    <t>Лестница 3-х секционная</t>
  </si>
  <si>
    <t xml:space="preserve">1,101060007                   </t>
  </si>
  <si>
    <t xml:space="preserve">1,10106619                    </t>
  </si>
  <si>
    <t xml:space="preserve">1.10106705                    </t>
  </si>
  <si>
    <t xml:space="preserve">Стол "Гранд" </t>
  </si>
  <si>
    <t>Стол комбин.(директ.)</t>
  </si>
  <si>
    <t xml:space="preserve">1,10106027                    </t>
  </si>
  <si>
    <t>Столик  манипуляциооный</t>
  </si>
  <si>
    <t xml:space="preserve">1,10106792                    </t>
  </si>
  <si>
    <t>Столы демонстр.</t>
  </si>
  <si>
    <t>Тумба  т-09  ( т.ф.)</t>
  </si>
  <si>
    <t xml:space="preserve">1,10106615                    </t>
  </si>
  <si>
    <t>Тумба  т-09  (т. ф.)-каб. директ.</t>
  </si>
  <si>
    <t xml:space="preserve">1,10106616                    </t>
  </si>
  <si>
    <t>Тумба (телевизор+видео)</t>
  </si>
  <si>
    <t xml:space="preserve">1,10106608                    </t>
  </si>
  <si>
    <t>Шкаф  медицинский</t>
  </si>
  <si>
    <t xml:space="preserve">1,10106793                    </t>
  </si>
  <si>
    <t>Шкаф широкий п/открыт. (ольха)-по нак.избир.</t>
  </si>
  <si>
    <t xml:space="preserve">1.10136800                    </t>
  </si>
  <si>
    <t>Шторы - каб. секретаря</t>
  </si>
  <si>
    <t xml:space="preserve">1.10106046                    </t>
  </si>
  <si>
    <t>Эл.перфоратор  "Штурм"</t>
  </si>
  <si>
    <t xml:space="preserve">1,10106055                    </t>
  </si>
  <si>
    <t>Шкаф  для  одежды</t>
  </si>
  <si>
    <t>Доска настен. 3-х/элем. ДН-32М</t>
  </si>
  <si>
    <t xml:space="preserve">1.10136237                    </t>
  </si>
  <si>
    <t xml:space="preserve">1.10136238                    </t>
  </si>
  <si>
    <t xml:space="preserve">1.10136239                    </t>
  </si>
  <si>
    <t xml:space="preserve">1.10136240                    </t>
  </si>
  <si>
    <t xml:space="preserve">410136599                     </t>
  </si>
  <si>
    <t xml:space="preserve">1.10106018                    </t>
  </si>
  <si>
    <t>Стол 2-х/ тумбовый - учител.</t>
  </si>
  <si>
    <t>Стол 2-х/ тумбовый - секрет.</t>
  </si>
  <si>
    <t>Шторы - каб. медицин.</t>
  </si>
  <si>
    <t xml:space="preserve">1.10106047                    </t>
  </si>
  <si>
    <t xml:space="preserve">1. 10106026                   </t>
  </si>
  <si>
    <t xml:space="preserve">1.10106706                    </t>
  </si>
  <si>
    <t xml:space="preserve">1.10106707                    </t>
  </si>
  <si>
    <t xml:space="preserve">1.10106708                    </t>
  </si>
  <si>
    <t xml:space="preserve">1.10106709                    </t>
  </si>
  <si>
    <t xml:space="preserve">1.10106710                    </t>
  </si>
  <si>
    <t xml:space="preserve">1.10106711                    </t>
  </si>
  <si>
    <t xml:space="preserve">1.10106610                    </t>
  </si>
  <si>
    <t xml:space="preserve">1.10136797                    </t>
  </si>
  <si>
    <t xml:space="preserve">1.10136798                    </t>
  </si>
  <si>
    <t xml:space="preserve">1.10136801                    </t>
  </si>
  <si>
    <t xml:space="preserve">1.10136802                    </t>
  </si>
  <si>
    <t xml:space="preserve">1.10136803                    </t>
  </si>
  <si>
    <t xml:space="preserve">Кулер напольный с охлаждением </t>
  </si>
  <si>
    <t xml:space="preserve">110136305                     </t>
  </si>
  <si>
    <t>Доска 3-элем.зелён. магн. (340*101м)</t>
  </si>
  <si>
    <t xml:space="preserve">1,10106572                    </t>
  </si>
  <si>
    <t>Тумба  т-09  (т.ф.)</t>
  </si>
  <si>
    <t xml:space="preserve">1,10106617                    </t>
  </si>
  <si>
    <t xml:space="preserve">1.10106712                    </t>
  </si>
  <si>
    <t>Беговая дорожка элек. проф  Трео</t>
  </si>
  <si>
    <t xml:space="preserve">1.10106276                    </t>
  </si>
  <si>
    <t>Велотренажер  проф. Джонсон</t>
  </si>
  <si>
    <t xml:space="preserve">1.10106275                    </t>
  </si>
  <si>
    <t>Козёл спорт.</t>
  </si>
  <si>
    <t xml:space="preserve">1,10106103                    </t>
  </si>
  <si>
    <t>Тренажёрная станция</t>
  </si>
  <si>
    <t>Стол "Гранд" - Фролова</t>
  </si>
  <si>
    <t xml:space="preserve">Стол 4-х/ местный </t>
  </si>
  <si>
    <t xml:space="preserve">1.10106001                    </t>
  </si>
  <si>
    <t xml:space="preserve">1.10106003                    </t>
  </si>
  <si>
    <t xml:space="preserve">1.10106609                    </t>
  </si>
  <si>
    <t>Доска 5-элем.комб.магн. (340*100м)</t>
  </si>
  <si>
    <t xml:space="preserve">1,10106570                    </t>
  </si>
  <si>
    <t>Доска 3-х элем.зелён. магн. (340*101)</t>
  </si>
  <si>
    <t xml:space="preserve">1,10106574                    </t>
  </si>
  <si>
    <t>Навигационное оборудование (Глонасс )</t>
  </si>
  <si>
    <t>Весы учебные с гирями ( до 200 г)</t>
  </si>
  <si>
    <t xml:space="preserve">1,10109023                    </t>
  </si>
  <si>
    <t>Экран на треноге</t>
  </si>
  <si>
    <t xml:space="preserve">1.10109141                    </t>
  </si>
  <si>
    <t>Информационная табличка</t>
  </si>
  <si>
    <t xml:space="preserve">1,10109260                    </t>
  </si>
  <si>
    <t>Рециркулятор  бактерицидный</t>
  </si>
  <si>
    <t xml:space="preserve">1,10109240                    </t>
  </si>
  <si>
    <t>Спирометр  портативный</t>
  </si>
  <si>
    <t xml:space="preserve">1,10109250                    </t>
  </si>
  <si>
    <t xml:space="preserve">1.10109142                    </t>
  </si>
  <si>
    <t>Стенд "Комплексная мера противодействию злоупотребления ПАВ"</t>
  </si>
  <si>
    <t xml:space="preserve">410138001                     </t>
  </si>
  <si>
    <t>Стенд "Сигналы светофора"</t>
  </si>
  <si>
    <t xml:space="preserve">1,101090001                   </t>
  </si>
  <si>
    <t xml:space="preserve">1,101030002                   </t>
  </si>
  <si>
    <t>Видеопроектор мультимедийный</t>
  </si>
  <si>
    <t xml:space="preserve">1,10104249                    </t>
  </si>
  <si>
    <t xml:space="preserve">1,101041151                   </t>
  </si>
  <si>
    <t>Каб. русск. яз.(экран,мон,телев,с.блок,проект,инт.доска)</t>
  </si>
  <si>
    <t xml:space="preserve">1,10104235                    </t>
  </si>
  <si>
    <t>Каб. географии (монит; перс КП; экран; мульт. пр-р,погодная станция)</t>
  </si>
  <si>
    <t xml:space="preserve">4.10124309                    </t>
  </si>
  <si>
    <t xml:space="preserve">4.10124310                    </t>
  </si>
  <si>
    <t xml:space="preserve">4.10124311                    </t>
  </si>
  <si>
    <t xml:space="preserve">4.10124312                    </t>
  </si>
  <si>
    <t xml:space="preserve">4.10124313                    </t>
  </si>
  <si>
    <t xml:space="preserve">4.10124314                    </t>
  </si>
  <si>
    <t xml:space="preserve">4.10124315                    </t>
  </si>
  <si>
    <t xml:space="preserve">4.10124316                    </t>
  </si>
  <si>
    <t xml:space="preserve">4.10124325                    </t>
  </si>
  <si>
    <t xml:space="preserve">4.10124326                    </t>
  </si>
  <si>
    <t xml:space="preserve">4.10124327                    </t>
  </si>
  <si>
    <t xml:space="preserve">4.10124328                    </t>
  </si>
  <si>
    <t>Каб-т ОБЖ  (инт-я доска, мульт-н. проектор, комп-р, уч. пос.)</t>
  </si>
  <si>
    <t xml:space="preserve">1,10104264                    </t>
  </si>
  <si>
    <t>Система видеопроток-ия,видеотрансляции (видеокамера 4шт, коммутатор 1шт,винчестр</t>
  </si>
  <si>
    <t xml:space="preserve">410124281                     </t>
  </si>
  <si>
    <t>Система блокировки сотовой связи (блокиратор 4шт, индикатор 1шт</t>
  </si>
  <si>
    <t xml:space="preserve">410124282                     </t>
  </si>
  <si>
    <t>Мотоблок "Нева" 9 л.с. бензиновый (с фрезой)</t>
  </si>
  <si>
    <t>Тестомес спиральный (тип 1) ITRIZZA в спецкомплектации</t>
  </si>
  <si>
    <t xml:space="preserve">1.10124209                    </t>
  </si>
  <si>
    <t>Плита 6-ти/конф. (тип 1) ITERMA в спецкомплектации</t>
  </si>
  <si>
    <t xml:space="preserve">1.10124211                    </t>
  </si>
  <si>
    <t xml:space="preserve">1.10124212                    </t>
  </si>
  <si>
    <t>Пароконвектомат PIRON G910RXS D в спецкомплектации</t>
  </si>
  <si>
    <t xml:space="preserve">1.10124213                    </t>
  </si>
  <si>
    <t>Шкаф морозильный с гл. дверью POLAIR CB107-S в спецкомплектации</t>
  </si>
  <si>
    <t xml:space="preserve">1.10124219                    </t>
  </si>
  <si>
    <t>Шкаф холодильный с гл. дверью (тип 1) POLAIR CМ107-S в спецкомплектации</t>
  </si>
  <si>
    <t xml:space="preserve">1.10124220                    </t>
  </si>
  <si>
    <t xml:space="preserve">1.10124221                    </t>
  </si>
  <si>
    <t xml:space="preserve">1.10124222                    </t>
  </si>
  <si>
    <t xml:space="preserve">1.10104264                    </t>
  </si>
  <si>
    <t>Прогр. обесп. (диски к интерактив. доске)</t>
  </si>
  <si>
    <t xml:space="preserve">1.10104266                    </t>
  </si>
  <si>
    <t xml:space="preserve">1.10104265                    </t>
  </si>
  <si>
    <t>Лингоф-й кабинет (сист.блок-13 шт.,мон-р -13 шт, прогр. об.)</t>
  </si>
  <si>
    <t xml:space="preserve">1.10104269                    </t>
  </si>
  <si>
    <t>Автомашина ГАЗ-САЗ 3350701(Р.знак О 481 ММ 90)</t>
  </si>
  <si>
    <t>Автомашина ВАЗ 21053 (Р.знак В 620 МТ 50)</t>
  </si>
  <si>
    <t xml:space="preserve">1,10105004                    </t>
  </si>
  <si>
    <t>Автомашина ГАЗ - 4301 (Р.знак А 644 МК 90)</t>
  </si>
  <si>
    <t>Трактор ДТ-75 Н (Р.знак 50 МВ 8048</t>
  </si>
  <si>
    <t>Трактор МТЗ "Беларус  -  82 "1" (Р.знак 50 00 9792)</t>
  </si>
  <si>
    <t>Трактор МТЗ-80 (Р.знак 50 ОО 9755)</t>
  </si>
  <si>
    <t>Автобус ПАЗ 32053-70 (Р.знак О 487 ММ 90)</t>
  </si>
  <si>
    <t xml:space="preserve">Автобус ПАЗ-320538-70  (Р. знак  Т 084  АН  50) </t>
  </si>
  <si>
    <t xml:space="preserve">4.10125025                    </t>
  </si>
  <si>
    <t>Автобус  для перевозки детей ПАЗ 32053-70 (Р.знак М 060 МЕ 150)</t>
  </si>
  <si>
    <t xml:space="preserve">1,10105007                    </t>
  </si>
  <si>
    <t>Картофелекопатель (старый)</t>
  </si>
  <si>
    <t xml:space="preserve">1,10106100                    </t>
  </si>
  <si>
    <t>Картофелекопатель КТН2В</t>
  </si>
  <si>
    <t>Машина посудомоечная фронтального типа SILANOS E50</t>
  </si>
  <si>
    <t xml:space="preserve">1.10126218                    </t>
  </si>
  <si>
    <t xml:space="preserve">2.10134156                    </t>
  </si>
  <si>
    <t xml:space="preserve">2.10134384                    </t>
  </si>
  <si>
    <t>Принтер HP LaserJet</t>
  </si>
  <si>
    <t xml:space="preserve">1,10104270                    </t>
  </si>
  <si>
    <t>Сканер HP ScanJet 2710</t>
  </si>
  <si>
    <t xml:space="preserve">1,10104269                    </t>
  </si>
  <si>
    <t>Проектор мульт-й (Санкт-Пет. к-т по математике)</t>
  </si>
  <si>
    <t xml:space="preserve">1,10104259                    </t>
  </si>
  <si>
    <t>Бензопила "Партнёр"</t>
  </si>
  <si>
    <t xml:space="preserve">1,10104050                    </t>
  </si>
  <si>
    <t>Комплект автодел.</t>
  </si>
  <si>
    <t xml:space="preserve">1,10104047                    </t>
  </si>
  <si>
    <t>Пресс механ.</t>
  </si>
  <si>
    <t>Системный блок (подарок  в обл.конк.)</t>
  </si>
  <si>
    <t xml:space="preserve">1,10104255                    </t>
  </si>
  <si>
    <t>Станок зат.</t>
  </si>
  <si>
    <t>Станок наст.гор.(НГФ)</t>
  </si>
  <si>
    <t>Станок по дереву (СТД)</t>
  </si>
  <si>
    <t>Станок ток. винт. (ТВ-6)</t>
  </si>
  <si>
    <t>Станок ток. по дереву (СТД)</t>
  </si>
  <si>
    <t>Станок ток. по металлу (ТВ-7)</t>
  </si>
  <si>
    <t>Станок токарный (СТД)</t>
  </si>
  <si>
    <t>Станок фугов.</t>
  </si>
  <si>
    <t>Телевизор SANVO</t>
  </si>
  <si>
    <t xml:space="preserve">1,10104203                    </t>
  </si>
  <si>
    <t>Фотоаппарат "Практика"</t>
  </si>
  <si>
    <t xml:space="preserve">1,10104198                    </t>
  </si>
  <si>
    <t>Фотоаппарат "Самсунг"</t>
  </si>
  <si>
    <t xml:space="preserve">1,10104045                    </t>
  </si>
  <si>
    <t>Шлиф. машина</t>
  </si>
  <si>
    <t xml:space="preserve">1,10104029                    </t>
  </si>
  <si>
    <t>Эл. щит "Дорожн. знаки"</t>
  </si>
  <si>
    <t>Музык. центр " VITEK"</t>
  </si>
  <si>
    <t xml:space="preserve">1,10104257                    </t>
  </si>
  <si>
    <t>Телевизор  "Эленберг"</t>
  </si>
  <si>
    <t xml:space="preserve">1,10104191                    </t>
  </si>
  <si>
    <t>Факс "Панасоник КХ"</t>
  </si>
  <si>
    <t>Телевизор -21 JVC</t>
  </si>
  <si>
    <t xml:space="preserve">1,101040104                   </t>
  </si>
  <si>
    <t>Плуг ПМШЗ- 35</t>
  </si>
  <si>
    <t>Системный блок учен.</t>
  </si>
  <si>
    <t>Компьютер (мон-р,сист.блок,клав,мышь,коврик)</t>
  </si>
  <si>
    <t xml:space="preserve">1,10104232                    </t>
  </si>
  <si>
    <t>Компьютер (мон-р,сист.блок,клав., мышь,коврик)</t>
  </si>
  <si>
    <t xml:space="preserve">1,10104228                    </t>
  </si>
  <si>
    <t>Компьютер (мон-р,сист.блок,клав.,мышь,коврик)</t>
  </si>
  <si>
    <t xml:space="preserve">1,10104231                    </t>
  </si>
  <si>
    <t xml:space="preserve">1,10104233                    </t>
  </si>
  <si>
    <t xml:space="preserve">1,10104230                    </t>
  </si>
  <si>
    <t xml:space="preserve">1,10104225                    </t>
  </si>
  <si>
    <t xml:space="preserve">1,10104227                    </t>
  </si>
  <si>
    <t>Компьютер (мон-р,смст.блок,клав.,мышь,коврик)</t>
  </si>
  <si>
    <t xml:space="preserve">1,10104229                    </t>
  </si>
  <si>
    <t>Много /функц-е устройство Canon i-SENSYS</t>
  </si>
  <si>
    <t xml:space="preserve">1,10104266                    </t>
  </si>
  <si>
    <t xml:space="preserve">1,10104074                    </t>
  </si>
  <si>
    <t xml:space="preserve">1,10104076                    </t>
  </si>
  <si>
    <t xml:space="preserve">1,10104077                    </t>
  </si>
  <si>
    <t xml:space="preserve">1,10104078                    </t>
  </si>
  <si>
    <t>Монитор учит.</t>
  </si>
  <si>
    <t xml:space="preserve">1,10104087                    </t>
  </si>
  <si>
    <t>Принтер ч/б лазер.</t>
  </si>
  <si>
    <t>Проектор "Мультимед-й"</t>
  </si>
  <si>
    <t>Системный блок учит.(комп-р в сборе)</t>
  </si>
  <si>
    <t>Принтер HP L J- 1018 RUS</t>
  </si>
  <si>
    <t>Телевизор -21  JVC</t>
  </si>
  <si>
    <t xml:space="preserve">1,10104204                    </t>
  </si>
  <si>
    <t xml:space="preserve">Абонент. терминал Гранит-навигатор 2.08 (GPS \ ГЛОНАСС) с SIM-картой </t>
  </si>
  <si>
    <t xml:space="preserve">1,10134127                    </t>
  </si>
  <si>
    <t xml:space="preserve">1,10134128                    </t>
  </si>
  <si>
    <t>Принтер HP  LJP 1005</t>
  </si>
  <si>
    <t xml:space="preserve">1,10104254                    </t>
  </si>
  <si>
    <t xml:space="preserve">1,10104206                    </t>
  </si>
  <si>
    <t>МФУ PANASONIK A4 лазерный</t>
  </si>
  <si>
    <t xml:space="preserve">4101340947                    </t>
  </si>
  <si>
    <t>Карта предприятия (рус)  "Тахограф"</t>
  </si>
  <si>
    <t xml:space="preserve">4.10134233                    </t>
  </si>
  <si>
    <t xml:space="preserve">4.10134234                    </t>
  </si>
  <si>
    <t xml:space="preserve">4.10134235                    </t>
  </si>
  <si>
    <t>Лестница-стр.3-х секц.=10,45м</t>
  </si>
  <si>
    <t xml:space="preserve">1,101040088                   </t>
  </si>
  <si>
    <t>Шуруповерт  ИНТЕРСКОЛ 18 Вт</t>
  </si>
  <si>
    <t xml:space="preserve">4.10134345                    </t>
  </si>
  <si>
    <t xml:space="preserve">4.10134346                    </t>
  </si>
  <si>
    <t xml:space="preserve">4.10134347                    </t>
  </si>
  <si>
    <t xml:space="preserve">4.10134348                    </t>
  </si>
  <si>
    <t xml:space="preserve">4.10134259                    </t>
  </si>
  <si>
    <t xml:space="preserve">4 .10134266                   </t>
  </si>
  <si>
    <t xml:space="preserve">4.10134274                    </t>
  </si>
  <si>
    <t xml:space="preserve">4.10134275                    </t>
  </si>
  <si>
    <t xml:space="preserve">4.10134276                    </t>
  </si>
  <si>
    <t xml:space="preserve">4.10134277                    </t>
  </si>
  <si>
    <t xml:space="preserve">4.10134278                    </t>
  </si>
  <si>
    <t xml:space="preserve">4.10134279                    </t>
  </si>
  <si>
    <t xml:space="preserve">4.10134280                    </t>
  </si>
  <si>
    <t xml:space="preserve">4.10134281                    </t>
  </si>
  <si>
    <t xml:space="preserve">4.10134282                    </t>
  </si>
  <si>
    <t xml:space="preserve">4.10134283                    </t>
  </si>
  <si>
    <t xml:space="preserve">4.10134284                    </t>
  </si>
  <si>
    <t xml:space="preserve">4.10134285                    </t>
  </si>
  <si>
    <t xml:space="preserve">4.10134286                    </t>
  </si>
  <si>
    <t xml:space="preserve">4.10134287                    </t>
  </si>
  <si>
    <t xml:space="preserve">4.10134290                    </t>
  </si>
  <si>
    <t xml:space="preserve">4.10134291                    </t>
  </si>
  <si>
    <t xml:space="preserve">4.10134292                    </t>
  </si>
  <si>
    <t xml:space="preserve">4.10134293                    </t>
  </si>
  <si>
    <t xml:space="preserve">4.10134294                    </t>
  </si>
  <si>
    <t xml:space="preserve">4.10134295                    </t>
  </si>
  <si>
    <t xml:space="preserve">4.10134296                    </t>
  </si>
  <si>
    <t xml:space="preserve">4.10134297                    </t>
  </si>
  <si>
    <t xml:space="preserve">4.10134298                    </t>
  </si>
  <si>
    <t xml:space="preserve">4.10134299                    </t>
  </si>
  <si>
    <t xml:space="preserve">4.10134300                    </t>
  </si>
  <si>
    <t xml:space="preserve">4 .10134303                   </t>
  </si>
  <si>
    <t xml:space="preserve">4 .10134304                   </t>
  </si>
  <si>
    <t xml:space="preserve">4 .10134305                   </t>
  </si>
  <si>
    <t xml:space="preserve">4.10134306                    </t>
  </si>
  <si>
    <t xml:space="preserve">4.10134307                    </t>
  </si>
  <si>
    <t xml:space="preserve">4.10134317                    </t>
  </si>
  <si>
    <t xml:space="preserve">4.10134318                    </t>
  </si>
  <si>
    <t xml:space="preserve">4.10134319                    </t>
  </si>
  <si>
    <t xml:space="preserve">4.10134320                    </t>
  </si>
  <si>
    <t xml:space="preserve">4.10134321                    </t>
  </si>
  <si>
    <t xml:space="preserve">4.10134322                    </t>
  </si>
  <si>
    <t xml:space="preserve">4.10134323                    </t>
  </si>
  <si>
    <t xml:space="preserve">4.10134324                    </t>
  </si>
  <si>
    <t xml:space="preserve">4.10134329                    </t>
  </si>
  <si>
    <t xml:space="preserve">4.10134330                    </t>
  </si>
  <si>
    <t xml:space="preserve">4.10134331                    </t>
  </si>
  <si>
    <t xml:space="preserve">4.10134332                    </t>
  </si>
  <si>
    <t xml:space="preserve">4.10134333                    </t>
  </si>
  <si>
    <t xml:space="preserve">4.10134334                    </t>
  </si>
  <si>
    <t xml:space="preserve">4.10134335                    </t>
  </si>
  <si>
    <t xml:space="preserve">4.10134336                    </t>
  </si>
  <si>
    <t xml:space="preserve">4.10134337                    </t>
  </si>
  <si>
    <t xml:space="preserve">4.10134338                    </t>
  </si>
  <si>
    <t xml:space="preserve">4.10134339                    </t>
  </si>
  <si>
    <t xml:space="preserve">4.10134340                    </t>
  </si>
  <si>
    <t xml:space="preserve">4.10134341                    </t>
  </si>
  <si>
    <t xml:space="preserve">4.10134342                    </t>
  </si>
  <si>
    <t xml:space="preserve">4.10134343                    </t>
  </si>
  <si>
    <t xml:space="preserve">4.10134344                    </t>
  </si>
  <si>
    <t xml:space="preserve">410134945                     </t>
  </si>
  <si>
    <t xml:space="preserve">410134946                     </t>
  </si>
  <si>
    <t xml:space="preserve">410134947                     </t>
  </si>
  <si>
    <t xml:space="preserve">410134948                     </t>
  </si>
  <si>
    <t xml:space="preserve">4.10134349                    </t>
  </si>
  <si>
    <t xml:space="preserve">4.10134350                    </t>
  </si>
  <si>
    <t xml:space="preserve">4.10134351                    </t>
  </si>
  <si>
    <t xml:space="preserve">4.10134352                    </t>
  </si>
  <si>
    <t xml:space="preserve">4.10134353                    </t>
  </si>
  <si>
    <t xml:space="preserve">4.10134354                    </t>
  </si>
  <si>
    <t xml:space="preserve">4.10134355                    </t>
  </si>
  <si>
    <t xml:space="preserve">4.10134356                    </t>
  </si>
  <si>
    <t xml:space="preserve">4.10134357                    </t>
  </si>
  <si>
    <t xml:space="preserve">4.10134358                    </t>
  </si>
  <si>
    <t xml:space="preserve">4.10134359                    </t>
  </si>
  <si>
    <t xml:space="preserve">4.10134360                    </t>
  </si>
  <si>
    <t xml:space="preserve">4.10134361                    </t>
  </si>
  <si>
    <t xml:space="preserve">4.10134362                    </t>
  </si>
  <si>
    <t xml:space="preserve">4.10134363                    </t>
  </si>
  <si>
    <t xml:space="preserve">4.10134364                    </t>
  </si>
  <si>
    <t xml:space="preserve">4.10134365                    </t>
  </si>
  <si>
    <t xml:space="preserve">4.10134366                    </t>
  </si>
  <si>
    <t xml:space="preserve">4.10134367                    </t>
  </si>
  <si>
    <t xml:space="preserve">4.10134368                    </t>
  </si>
  <si>
    <t xml:space="preserve">4.10134369                    </t>
  </si>
  <si>
    <t xml:space="preserve">4.10134370                    </t>
  </si>
  <si>
    <t xml:space="preserve">4.10134371                    </t>
  </si>
  <si>
    <t xml:space="preserve">4.10134372                    </t>
  </si>
  <si>
    <t xml:space="preserve">4.10134373                    </t>
  </si>
  <si>
    <t xml:space="preserve">4.10134374                    </t>
  </si>
  <si>
    <t xml:space="preserve">4.10134375                    </t>
  </si>
  <si>
    <t xml:space="preserve">4.10134376                    </t>
  </si>
  <si>
    <t xml:space="preserve">4.10134377                    </t>
  </si>
  <si>
    <t xml:space="preserve">4.10134378                    </t>
  </si>
  <si>
    <t xml:space="preserve">4.10134379                    </t>
  </si>
  <si>
    <t xml:space="preserve">4.10134380                    </t>
  </si>
  <si>
    <t xml:space="preserve">4.10134381                    </t>
  </si>
  <si>
    <t xml:space="preserve">4.10134382                    </t>
  </si>
  <si>
    <t xml:space="preserve">4.10134383                    </t>
  </si>
  <si>
    <t xml:space="preserve">4.10134384                    </t>
  </si>
  <si>
    <t xml:space="preserve">4.10134308                    </t>
  </si>
  <si>
    <t>Принтер НР LaserJet Pro P1102(600*600) 266МГц</t>
  </si>
  <si>
    <t xml:space="preserve">4.10134303                    </t>
  </si>
  <si>
    <t xml:space="preserve">4.10134304                    </t>
  </si>
  <si>
    <t xml:space="preserve">4.10134305                    </t>
  </si>
  <si>
    <t>Газонокосилка (бензиновая )</t>
  </si>
  <si>
    <t xml:space="preserve">410134283                     </t>
  </si>
  <si>
    <t>Универ. резка BOSCH MAS 6200</t>
  </si>
  <si>
    <t xml:space="preserve">1.101034202                   </t>
  </si>
  <si>
    <t>Мотокоса Husqvarna 128 R</t>
  </si>
  <si>
    <t xml:space="preserve">1.10134381                    </t>
  </si>
  <si>
    <t>Видеоплеер+ караоке-26 CL</t>
  </si>
  <si>
    <t xml:space="preserve">1,10104199                    </t>
  </si>
  <si>
    <t>К-т колонок (Ресивер NC)</t>
  </si>
  <si>
    <t>Комплект колонок</t>
  </si>
  <si>
    <t>Картофелечистка- М-300</t>
  </si>
  <si>
    <t>Мороз. камера "Саратов" 104</t>
  </si>
  <si>
    <t xml:space="preserve">1,10104224                    </t>
  </si>
  <si>
    <t>Мясорубка   МИМ -300</t>
  </si>
  <si>
    <t xml:space="preserve">1,101041005                   </t>
  </si>
  <si>
    <t xml:space="preserve">1,101041011                   </t>
  </si>
  <si>
    <t>Холодильник "Лира"</t>
  </si>
  <si>
    <t xml:space="preserve">1,10104185                    </t>
  </si>
  <si>
    <t>Холодильник 2-х кам. Норд-244</t>
  </si>
  <si>
    <t xml:space="preserve">1,101040106                   </t>
  </si>
  <si>
    <t xml:space="preserve">1,10104253                    </t>
  </si>
  <si>
    <t>Эл.плита 6-ти конф.</t>
  </si>
  <si>
    <t>Мясорубка (тип1) МИМ-300М в спецкомплектации</t>
  </si>
  <si>
    <t xml:space="preserve">1,10134203                    </t>
  </si>
  <si>
    <t>Овощерезка-протирка МПР-350М в спецкомплектации</t>
  </si>
  <si>
    <t xml:space="preserve">1.10134210                    </t>
  </si>
  <si>
    <t>Подставка для пароконвектомата ITERMA 430 G</t>
  </si>
  <si>
    <t xml:space="preserve">1.10134215                    </t>
  </si>
  <si>
    <t>Операц. система (мон-р,сист.блок)</t>
  </si>
  <si>
    <t xml:space="preserve">1,101041103                   </t>
  </si>
  <si>
    <t>Телевизор LG ( 54 см.)</t>
  </si>
  <si>
    <t>Автомашина ГАЗ - 5204 (Р.знак Н 217 МВ 90)</t>
  </si>
  <si>
    <t xml:space="preserve">1,10105002                    </t>
  </si>
  <si>
    <t>Автомашина САЗ - 3502 (Р,знак А647 МК 90)</t>
  </si>
  <si>
    <t>Доска классная (1-й класс)</t>
  </si>
  <si>
    <t xml:space="preserve">1.10106055                    </t>
  </si>
  <si>
    <t xml:space="preserve">1.10106379                    </t>
  </si>
  <si>
    <t>Диван "Бриз" 2 / №5</t>
  </si>
  <si>
    <t>Креденция К-971 (тумба)</t>
  </si>
  <si>
    <t xml:space="preserve">1,10106356                    </t>
  </si>
  <si>
    <t xml:space="preserve">1,10106355                    </t>
  </si>
  <si>
    <t>Кресло чёрно-серое  (Арман МД)</t>
  </si>
  <si>
    <t xml:space="preserve">1,101063358                   </t>
  </si>
  <si>
    <t>Приставка  К-968 (к столу директора)</t>
  </si>
  <si>
    <t xml:space="preserve">1,10106353                    </t>
  </si>
  <si>
    <t>Приставка К-969 (к столу директора)</t>
  </si>
  <si>
    <t xml:space="preserve">1,10106354                    </t>
  </si>
  <si>
    <t>Стеллаж К-932 +дверь без стекла.</t>
  </si>
  <si>
    <t xml:space="preserve">1,10106085                    </t>
  </si>
  <si>
    <t>Стеллаж К-934 +дверь со стекл.</t>
  </si>
  <si>
    <t xml:space="preserve">1,10106551                    </t>
  </si>
  <si>
    <t>Стол К-960 (директор)</t>
  </si>
  <si>
    <t xml:space="preserve">1,10106086                    </t>
  </si>
  <si>
    <t>Стол КС-21 (орех) д/компьютера</t>
  </si>
  <si>
    <t xml:space="preserve">1,10106357                    </t>
  </si>
  <si>
    <t>Тумба Л-928</t>
  </si>
  <si>
    <t xml:space="preserve">1,101063520                   </t>
  </si>
  <si>
    <t xml:space="preserve">Шкаф для одежды К-988 </t>
  </si>
  <si>
    <t xml:space="preserve">1.10106351                    </t>
  </si>
  <si>
    <t xml:space="preserve">1.10106352                    </t>
  </si>
  <si>
    <t xml:space="preserve">1,10106552                    </t>
  </si>
  <si>
    <t xml:space="preserve">1,10106553                    </t>
  </si>
  <si>
    <t xml:space="preserve">1,10106554                    </t>
  </si>
  <si>
    <t>Доска классная (к-т физики)</t>
  </si>
  <si>
    <t xml:space="preserve">1.10106381                    </t>
  </si>
  <si>
    <t xml:space="preserve">1,10106293                    </t>
  </si>
  <si>
    <t xml:space="preserve">1,10106379                    </t>
  </si>
  <si>
    <t>Плита эл.быт.с духов.4-х конф.Норд Де Люкс</t>
  </si>
  <si>
    <t xml:space="preserve">1,10106359                    </t>
  </si>
  <si>
    <t xml:space="preserve">1,10106380                    </t>
  </si>
  <si>
    <t xml:space="preserve">1,10106381                    </t>
  </si>
  <si>
    <t xml:space="preserve">1.10106380                    </t>
  </si>
  <si>
    <t xml:space="preserve">1,10106182                    </t>
  </si>
  <si>
    <t>Козёл гимнастический</t>
  </si>
  <si>
    <t>Конь спортивный</t>
  </si>
  <si>
    <t xml:space="preserve">1,10106332                    </t>
  </si>
  <si>
    <t xml:space="preserve">1,10106372                    </t>
  </si>
  <si>
    <t>Палатка 6-ти местная</t>
  </si>
  <si>
    <t xml:space="preserve">1,10106333                    </t>
  </si>
  <si>
    <t>Сетка воллейб.</t>
  </si>
  <si>
    <t xml:space="preserve">1,10106183                    </t>
  </si>
  <si>
    <t>Сетка гандбольная с гасителем</t>
  </si>
  <si>
    <t xml:space="preserve">1,10106483                    </t>
  </si>
  <si>
    <t xml:space="preserve">1,10106222                    </t>
  </si>
  <si>
    <t>Доска классная (ОБЖ)</t>
  </si>
  <si>
    <t xml:space="preserve">1.10106377                    </t>
  </si>
  <si>
    <t>Ель "Сибирская" -4,5 м</t>
  </si>
  <si>
    <t xml:space="preserve">1,10106220                    </t>
  </si>
  <si>
    <t>К-т мебели (секретарь)</t>
  </si>
  <si>
    <t xml:space="preserve">1,10106076                    </t>
  </si>
  <si>
    <t>Тренажер</t>
  </si>
  <si>
    <t xml:space="preserve">1.10106598                    </t>
  </si>
  <si>
    <t>Шкаф вытяжной-по нак.избират.</t>
  </si>
  <si>
    <t xml:space="preserve">1.10136601                    </t>
  </si>
  <si>
    <t>Доска школьная  3-х элемн.(300*100)</t>
  </si>
  <si>
    <t xml:space="preserve">Стол письменный с тумбой </t>
  </si>
  <si>
    <t>Трибуна (мод.1) 65*60*130</t>
  </si>
  <si>
    <t>Бензопила HUSQVARNA 236 1.4 кВт</t>
  </si>
  <si>
    <t xml:space="preserve">4.10136267                    </t>
  </si>
  <si>
    <t>Весы медицинские ВМЭН- 150 (мед.каб-т)</t>
  </si>
  <si>
    <t xml:space="preserve">110136201                     </t>
  </si>
  <si>
    <t>Весы электронные ВХ-150</t>
  </si>
  <si>
    <t xml:space="preserve">1.10106597                    </t>
  </si>
  <si>
    <t xml:space="preserve">Столы кух. разд. нерж. </t>
  </si>
  <si>
    <t xml:space="preserve">1.10106333                    </t>
  </si>
  <si>
    <t xml:space="preserve">1.10106334                    </t>
  </si>
  <si>
    <t xml:space="preserve">1.10106335                    </t>
  </si>
  <si>
    <t xml:space="preserve">1.10106336                    </t>
  </si>
  <si>
    <t>Стол пристенный (тип 2) ITERMA CB-131 в спецкомплектации</t>
  </si>
  <si>
    <t xml:space="preserve">1.10136206                    </t>
  </si>
  <si>
    <t>Полка для раздел. досок ITERMA</t>
  </si>
  <si>
    <t xml:space="preserve">1.10136208                    </t>
  </si>
  <si>
    <t>Ёмкость "Смягчитель воды SILANOS 12LT"</t>
  </si>
  <si>
    <t xml:space="preserve">1.10136214                    </t>
  </si>
  <si>
    <t>Ванна моечная (тип 3) ITERMA BC</t>
  </si>
  <si>
    <t xml:space="preserve">1.10136216                    </t>
  </si>
  <si>
    <t xml:space="preserve">1.10136217                    </t>
  </si>
  <si>
    <t xml:space="preserve">1.10106378                    </t>
  </si>
  <si>
    <t>Стенд эл/свет "Сигналы светофора"</t>
  </si>
  <si>
    <t xml:space="preserve">1.10109029                    </t>
  </si>
  <si>
    <t>К-т фолий по литературе</t>
  </si>
  <si>
    <t xml:space="preserve">1,10109022                    </t>
  </si>
  <si>
    <t>Каб-т русск.языка (DVD, Аудиокнига)</t>
  </si>
  <si>
    <t xml:space="preserve">1,10109027                    </t>
  </si>
  <si>
    <t xml:space="preserve">1.10109015                    </t>
  </si>
  <si>
    <t xml:space="preserve">1.10109016                    </t>
  </si>
  <si>
    <t xml:space="preserve">1.10109017                    </t>
  </si>
  <si>
    <t xml:space="preserve">1.10109018                    </t>
  </si>
  <si>
    <t xml:space="preserve">1.10109019                    </t>
  </si>
  <si>
    <t>Хоккейная коробка</t>
  </si>
  <si>
    <t>Интерактивная доска Intehwrite 1279 (1)</t>
  </si>
  <si>
    <t>Интерактивная доска  Interwrite 1279  (2)</t>
  </si>
  <si>
    <t>Автобус ГАЗ-322121  " Для перевозки детей" (Р.знак  К 447  ММ 150)</t>
  </si>
  <si>
    <t>Мясорубка  электр.</t>
  </si>
  <si>
    <t xml:space="preserve">1.10106247                    </t>
  </si>
  <si>
    <t>Доска интерактивная IQBOARD PS S050B 50</t>
  </si>
  <si>
    <t xml:space="preserve">4.10126158                    </t>
  </si>
  <si>
    <t>Учебники (август, сентябрь 2013г.)</t>
  </si>
  <si>
    <t>Учебная литература 2014 года поступления</t>
  </si>
  <si>
    <t>Учебная литература (2015 год)</t>
  </si>
  <si>
    <t>Ограждение из жел. прутьев</t>
  </si>
  <si>
    <t xml:space="preserve">1.10103005                    </t>
  </si>
  <si>
    <t>Музык. центр LD RBD-154K (подарок от совхоза)</t>
  </si>
  <si>
    <t xml:space="preserve">2.10134112                    </t>
  </si>
  <si>
    <t>Фотоаппарат CONON PowerShot A3400 IS,карта памяти</t>
  </si>
  <si>
    <t xml:space="preserve">2.10134151                    </t>
  </si>
  <si>
    <t>Мороз. "Стинол"</t>
  </si>
  <si>
    <t xml:space="preserve">1.101040072                   </t>
  </si>
  <si>
    <t>Плита электрическая</t>
  </si>
  <si>
    <t xml:space="preserve">1.101040071                   </t>
  </si>
  <si>
    <t xml:space="preserve">1.101040026                   </t>
  </si>
  <si>
    <t>Электрокотёл</t>
  </si>
  <si>
    <t xml:space="preserve">1.1010405030                  </t>
  </si>
  <si>
    <t>Активная сист.с центр.процессором</t>
  </si>
  <si>
    <t xml:space="preserve">1.10104077                    </t>
  </si>
  <si>
    <t xml:space="preserve">1.10104072                    </t>
  </si>
  <si>
    <t>Магнитофон "Шарп РООО"</t>
  </si>
  <si>
    <t>Модем   ZUXCP</t>
  </si>
  <si>
    <t>Монитор ученик.</t>
  </si>
  <si>
    <t xml:space="preserve">1.101040127                   </t>
  </si>
  <si>
    <t xml:space="preserve">1.101040128                   </t>
  </si>
  <si>
    <t>Пианино "Заря "</t>
  </si>
  <si>
    <t xml:space="preserve">1.101040023                   </t>
  </si>
  <si>
    <t>Принтер ч/б лазерный</t>
  </si>
  <si>
    <t xml:space="preserve">1.101040078                   </t>
  </si>
  <si>
    <t xml:space="preserve">1.101040014                   </t>
  </si>
  <si>
    <t>Сканер  AST pav  max</t>
  </si>
  <si>
    <t>Средство дост. блок пит-я.</t>
  </si>
  <si>
    <t>Станок  ТВ- 4</t>
  </si>
  <si>
    <t>Станок заточ.</t>
  </si>
  <si>
    <t xml:space="preserve">1.10104082                    </t>
  </si>
  <si>
    <t>Телевизор "Вестол"</t>
  </si>
  <si>
    <t xml:space="preserve">1.101040070                   </t>
  </si>
  <si>
    <t>Телевизор GVS</t>
  </si>
  <si>
    <t xml:space="preserve">1.10104076                    </t>
  </si>
  <si>
    <t>Копир А 4 CANON FC-128</t>
  </si>
  <si>
    <t xml:space="preserve">1,10134235                    </t>
  </si>
  <si>
    <t xml:space="preserve">Монитор  </t>
  </si>
  <si>
    <t>Комплекс аппаратно-програмных средств Lenovo G5070 15.6</t>
  </si>
  <si>
    <t>Комплекс аппаратно-программных средств Lenovo G5070 15.6</t>
  </si>
  <si>
    <t>Мультимедийный проектор Epson TB-X20 (1)</t>
  </si>
  <si>
    <t>Мультимедийный проектор Epson (1)</t>
  </si>
  <si>
    <t>Комплект коммутации большой сборной (1)</t>
  </si>
  <si>
    <t>Комплект коммутации большой сборной (2)</t>
  </si>
  <si>
    <t>Стенд "Внутришкольный контроль" 0,8 x 0,9</t>
  </si>
  <si>
    <t>Проектор Асег Х113</t>
  </si>
  <si>
    <t xml:space="preserve">1,10134125                    </t>
  </si>
  <si>
    <t>Ванна  моечная</t>
  </si>
  <si>
    <t>Ванна моечная 2-секционная</t>
  </si>
  <si>
    <t>Стол  кух. разд.  нерж.</t>
  </si>
  <si>
    <t xml:space="preserve">1.10106119                    </t>
  </si>
  <si>
    <t>Конь гимнаст.</t>
  </si>
  <si>
    <t xml:space="preserve">1.10106101                    </t>
  </si>
  <si>
    <t>Конь спорт. (козёл)</t>
  </si>
  <si>
    <t xml:space="preserve">1.10106197                    </t>
  </si>
  <si>
    <t xml:space="preserve">1.10106124                    </t>
  </si>
  <si>
    <t>Сетка волейб.</t>
  </si>
  <si>
    <t>Стол н/теннисн.</t>
  </si>
  <si>
    <t xml:space="preserve">1.10106246                    </t>
  </si>
  <si>
    <t xml:space="preserve">1.10106198                    </t>
  </si>
  <si>
    <t>Костюм -Дед Мороз</t>
  </si>
  <si>
    <t xml:space="preserve">1.10106190                    </t>
  </si>
  <si>
    <t>Полка  настенная  №2</t>
  </si>
  <si>
    <t xml:space="preserve">1.10106277                    </t>
  </si>
  <si>
    <t>Полка настенная №1</t>
  </si>
  <si>
    <t>Полка настенная №3</t>
  </si>
  <si>
    <t xml:space="preserve">1.10106278                    </t>
  </si>
  <si>
    <t>Сварочный  аппарат Русич</t>
  </si>
  <si>
    <t>Сервант</t>
  </si>
  <si>
    <t>Стенка ученик.</t>
  </si>
  <si>
    <t xml:space="preserve">1.10136287                    </t>
  </si>
  <si>
    <t>Стол химич.</t>
  </si>
  <si>
    <t>Шкаф для докум. со стеклом</t>
  </si>
  <si>
    <t>Шкаф д/бумаг Р 4-х дв.</t>
  </si>
  <si>
    <t xml:space="preserve">1,10136230                    </t>
  </si>
  <si>
    <t xml:space="preserve">1,10136231                    </t>
  </si>
  <si>
    <t xml:space="preserve">1,10136232                    </t>
  </si>
  <si>
    <t>Скамья гимнаст. 3 м</t>
  </si>
  <si>
    <t xml:space="preserve">1,10136233                    </t>
  </si>
  <si>
    <t xml:space="preserve">1,10136234                    </t>
  </si>
  <si>
    <t>Доска односекц. магнитно-меловая</t>
  </si>
  <si>
    <t xml:space="preserve">4.101360004                   </t>
  </si>
  <si>
    <t>Ванна Моечная 2-х секционная</t>
  </si>
  <si>
    <t>Стеллаж 800х400х1850</t>
  </si>
  <si>
    <t>Шкаф д/одежды И(наказ. избират.)</t>
  </si>
  <si>
    <t xml:space="preserve">Стеллаж (нерж.) 700*400*1850  </t>
  </si>
  <si>
    <t>Доска односекционная магнито-меловая</t>
  </si>
  <si>
    <t xml:space="preserve">4.101360003                   </t>
  </si>
  <si>
    <t>Шкаф полуоткрыты 850*450*2100</t>
  </si>
  <si>
    <t xml:space="preserve">4.101360009                   </t>
  </si>
  <si>
    <t xml:space="preserve">Шкаф полуоткрыты 850*450*2100 </t>
  </si>
  <si>
    <t xml:space="preserve">4. 101360010                  </t>
  </si>
  <si>
    <t xml:space="preserve">1.10106199                    </t>
  </si>
  <si>
    <t xml:space="preserve">1.10106200                    </t>
  </si>
  <si>
    <t xml:space="preserve">1.10106201                    </t>
  </si>
  <si>
    <t>Шкаф широк. п/открытый (ольха)-по наказ.избират.</t>
  </si>
  <si>
    <t xml:space="preserve">1.10136285                    </t>
  </si>
  <si>
    <t xml:space="preserve">1.10136286                    </t>
  </si>
  <si>
    <t>Ель новогодняя- 2,7м</t>
  </si>
  <si>
    <t xml:space="preserve">1.10136203                    </t>
  </si>
  <si>
    <t>Бензиновый триммер Huter GGT-1500 S</t>
  </si>
  <si>
    <t>Стенд "Воспитательная работа" 1,2 x 0,9 м.</t>
  </si>
  <si>
    <t>Стенд "Уголок аттестации" 1,2 x 0,9 м.</t>
  </si>
  <si>
    <t>Шкаф стеллаж-широкий (наказ. избират.)</t>
  </si>
  <si>
    <t>Шкаф широкий полуоткрыт.И (наказ. избират.)</t>
  </si>
  <si>
    <t xml:space="preserve">4.10136153                    </t>
  </si>
  <si>
    <t xml:space="preserve">4.10136154                    </t>
  </si>
  <si>
    <t>Доска передв. ДП 12К 150*100 (наказы избират.)</t>
  </si>
  <si>
    <t xml:space="preserve">4.10136155                    </t>
  </si>
  <si>
    <t>Стенд "Информация" 1,2x0,9 м.</t>
  </si>
  <si>
    <t xml:space="preserve">1,10125724                    </t>
  </si>
  <si>
    <t>П/К  в полной комплектации (Системный блок, монитор, клавиатура, мышь, ИБП, интернет-центр)</t>
  </si>
  <si>
    <t xml:space="preserve">210106724                     </t>
  </si>
  <si>
    <t>Ноутбук  ROVI BOOK</t>
  </si>
  <si>
    <t>Принтер Самсунг</t>
  </si>
  <si>
    <t xml:space="preserve">1.101040006                   </t>
  </si>
  <si>
    <t>Ботинки лыжные комбиниров.</t>
  </si>
  <si>
    <t xml:space="preserve">210106698                     </t>
  </si>
  <si>
    <t xml:space="preserve">210106699                     </t>
  </si>
  <si>
    <t xml:space="preserve">210106700                     </t>
  </si>
  <si>
    <t>Кондуктор для беговых лыж</t>
  </si>
  <si>
    <t xml:space="preserve">210106723                     </t>
  </si>
  <si>
    <t>Лыжи красные</t>
  </si>
  <si>
    <t xml:space="preserve">210106712                     </t>
  </si>
  <si>
    <t>Бенч 73  (тренажер)</t>
  </si>
  <si>
    <t>Ботинки Timderjhe   BL  1261</t>
  </si>
  <si>
    <t xml:space="preserve">1.101060069                   </t>
  </si>
  <si>
    <t xml:space="preserve">1.10106002                    </t>
  </si>
  <si>
    <t>Весы электрон.медиц.ВЭМ 150</t>
  </si>
  <si>
    <t>Лыжи спортивные Фишер (по нак.избир.2011г.)</t>
  </si>
  <si>
    <t xml:space="preserve">1,10106698                    </t>
  </si>
  <si>
    <t>Мегафон MG25 PMS 25Вт. 12 В. плечевой с сиреной и вынос микрофон.</t>
  </si>
  <si>
    <t xml:space="preserve">1.10106269                    </t>
  </si>
  <si>
    <t xml:space="preserve">1.10106264                    </t>
  </si>
  <si>
    <t>Силов.тренажер 4700</t>
  </si>
  <si>
    <t xml:space="preserve">Татами  </t>
  </si>
  <si>
    <t xml:space="preserve">1.10106658                    </t>
  </si>
  <si>
    <t>Тренажер МОЗ -201</t>
  </si>
  <si>
    <t xml:space="preserve">1.10106656                    </t>
  </si>
  <si>
    <t>Борцовское покрытие</t>
  </si>
  <si>
    <t xml:space="preserve">1.10109001                    </t>
  </si>
  <si>
    <t>Пылесос " Thomas SUPER 30S "</t>
  </si>
  <si>
    <t xml:space="preserve">1.10106724                    </t>
  </si>
  <si>
    <t>Борцовское покрытие 8.3мx12.3м</t>
  </si>
  <si>
    <t xml:space="preserve">1.10106725                    </t>
  </si>
  <si>
    <t>Шкаф 1 секционный</t>
  </si>
  <si>
    <t xml:space="preserve">1.10136724                    </t>
  </si>
  <si>
    <t xml:space="preserve">110136725                     </t>
  </si>
  <si>
    <t xml:space="preserve">110136726                     </t>
  </si>
  <si>
    <t xml:space="preserve">1.10136727                    </t>
  </si>
  <si>
    <t xml:space="preserve">1.10136728                    </t>
  </si>
  <si>
    <t xml:space="preserve">1.10136729                    </t>
  </si>
  <si>
    <t xml:space="preserve">1.10136730                    </t>
  </si>
  <si>
    <t xml:space="preserve">1,10136731                    </t>
  </si>
  <si>
    <t xml:space="preserve">1.10136732                    </t>
  </si>
  <si>
    <t xml:space="preserve">1.10136733                    </t>
  </si>
  <si>
    <t>Скамья для раздевания с вешалкой ( деревянная )</t>
  </si>
  <si>
    <t xml:space="preserve">110136740                     </t>
  </si>
  <si>
    <t xml:space="preserve">110136741                     </t>
  </si>
  <si>
    <t>Водонагреватель с вентилем нерж. ( 17 л. )</t>
  </si>
  <si>
    <t xml:space="preserve">110136742                     </t>
  </si>
  <si>
    <t>Стол складной туристический 120х60х55-70см,+4стула</t>
  </si>
  <si>
    <t>Стол складной туристический 120х60х55-70см+4стула</t>
  </si>
  <si>
    <t xml:space="preserve">110106726,                    </t>
  </si>
  <si>
    <t>Стол складной туристический 120х60х55-70см.+4стула</t>
  </si>
  <si>
    <t xml:space="preserve">110106728,                    </t>
  </si>
  <si>
    <t xml:space="preserve">1,10106019                    </t>
  </si>
  <si>
    <t xml:space="preserve">1,10106025                    </t>
  </si>
  <si>
    <t xml:space="preserve">1,10106029                    </t>
  </si>
  <si>
    <t xml:space="preserve">1,10106031                    </t>
  </si>
  <si>
    <t xml:space="preserve">Маникен </t>
  </si>
  <si>
    <t xml:space="preserve">1,10106067                    </t>
  </si>
  <si>
    <t xml:space="preserve">1,10106700                    </t>
  </si>
  <si>
    <t xml:space="preserve">1,10106701                    </t>
  </si>
  <si>
    <t xml:space="preserve">1,10106702                    </t>
  </si>
  <si>
    <t xml:space="preserve">1,10106703                    </t>
  </si>
  <si>
    <t xml:space="preserve">1.10106657                    </t>
  </si>
  <si>
    <t xml:space="preserve">1.10106659                    </t>
  </si>
  <si>
    <t xml:space="preserve">1.10106660                    </t>
  </si>
  <si>
    <t xml:space="preserve">1.10106661                    </t>
  </si>
  <si>
    <t xml:space="preserve">1.10106662                    </t>
  </si>
  <si>
    <t xml:space="preserve">1.10106663                    </t>
  </si>
  <si>
    <t xml:space="preserve">1.10106664                    </t>
  </si>
  <si>
    <t xml:space="preserve">1.10106665                    </t>
  </si>
  <si>
    <t xml:space="preserve">1.10106667                    </t>
  </si>
  <si>
    <t xml:space="preserve">1.10106668                    </t>
  </si>
  <si>
    <t xml:space="preserve">1.10106669                    </t>
  </si>
  <si>
    <t xml:space="preserve">1.10106670                    </t>
  </si>
  <si>
    <t xml:space="preserve">1.10106671                    </t>
  </si>
  <si>
    <t xml:space="preserve">1.10106672                    </t>
  </si>
  <si>
    <t xml:space="preserve">1.10106673                    </t>
  </si>
  <si>
    <t xml:space="preserve">1.10106674                    </t>
  </si>
  <si>
    <t xml:space="preserve">1.10106678                    </t>
  </si>
  <si>
    <t xml:space="preserve">1.10106676                    </t>
  </si>
  <si>
    <t xml:space="preserve">1.10106666                    </t>
  </si>
  <si>
    <t xml:space="preserve">1.10106675                    </t>
  </si>
  <si>
    <t xml:space="preserve">1.10106679                    </t>
  </si>
  <si>
    <t xml:space="preserve">1.10106680                    </t>
  </si>
  <si>
    <t xml:space="preserve">1.10106681                    </t>
  </si>
  <si>
    <t xml:space="preserve">1.10106682                    </t>
  </si>
  <si>
    <t xml:space="preserve">1.10106683                    </t>
  </si>
  <si>
    <t xml:space="preserve">1.10106685                    </t>
  </si>
  <si>
    <t xml:space="preserve">1.10106684                    </t>
  </si>
  <si>
    <t xml:space="preserve">1.10106686                    </t>
  </si>
  <si>
    <t xml:space="preserve">1.10106687                    </t>
  </si>
  <si>
    <t xml:space="preserve">1.10106688                    </t>
  </si>
  <si>
    <t xml:space="preserve">1.10106689                    </t>
  </si>
  <si>
    <t xml:space="preserve">1.10106691                    </t>
  </si>
  <si>
    <t xml:space="preserve">1.10106690                    </t>
  </si>
  <si>
    <t xml:space="preserve">1.10106692                    </t>
  </si>
  <si>
    <t xml:space="preserve">1.10106693                    </t>
  </si>
  <si>
    <t xml:space="preserve">1.10106694                    </t>
  </si>
  <si>
    <t xml:space="preserve">1.10106695                    </t>
  </si>
  <si>
    <t xml:space="preserve">1.10106696                    </t>
  </si>
  <si>
    <t xml:space="preserve">1.10106677                    </t>
  </si>
  <si>
    <t xml:space="preserve">110136724                     </t>
  </si>
  <si>
    <t>Ноутбук  ROVER  BOOK</t>
  </si>
  <si>
    <t>ГАЗ - 32213</t>
  </si>
  <si>
    <t xml:space="preserve">1.101050009                   </t>
  </si>
  <si>
    <t xml:space="preserve">4101250010                    </t>
  </si>
  <si>
    <t>Принтер НР Laser Jet ProP 1102</t>
  </si>
  <si>
    <t>Автомобильный телевизор КАМЕРОН</t>
  </si>
  <si>
    <t>Видеомагнитофон  LG</t>
  </si>
  <si>
    <t>Компьютер,монитор,мышь,клавиатура</t>
  </si>
  <si>
    <t xml:space="preserve">1.10104031                    </t>
  </si>
  <si>
    <t>Копир Канон</t>
  </si>
  <si>
    <t>Магнитофон Сатурн</t>
  </si>
  <si>
    <t>Микрофон</t>
  </si>
  <si>
    <t>Монитор 17 Proview  S P 716 КР</t>
  </si>
  <si>
    <t>Системный блок  Celeron   D 346</t>
  </si>
  <si>
    <t>Тен</t>
  </si>
  <si>
    <t>Холодильник  Айсберг</t>
  </si>
  <si>
    <t>Электрическая машина Оливетти</t>
  </si>
  <si>
    <t>Электрическая плита Мечта</t>
  </si>
  <si>
    <t>Видеокамера "CANON Legria HF R 36"(штатив+сумка)</t>
  </si>
  <si>
    <t xml:space="preserve">1.10134005                    </t>
  </si>
  <si>
    <t>П/К ( в сборе )</t>
  </si>
  <si>
    <t xml:space="preserve">410134007                     </t>
  </si>
  <si>
    <t>Швейная машина COMFORT 30</t>
  </si>
  <si>
    <t xml:space="preserve">410134008                     </t>
  </si>
  <si>
    <t>Швейная машина BROTHER LX-1400</t>
  </si>
  <si>
    <t xml:space="preserve">410134009                     </t>
  </si>
  <si>
    <t>Фотоаппарат NIKON</t>
  </si>
  <si>
    <t>Компьютер в полной комплектации (IRU Corp 319, монитор, клавиатура, мышь)</t>
  </si>
  <si>
    <t>Ноутбук ACER 15.6", Intel Core i3 Windows 8</t>
  </si>
  <si>
    <t>МФУ Brother DCP-1512R</t>
  </si>
  <si>
    <t>Кондиционер GC-S07HRI</t>
  </si>
  <si>
    <t>Гитара классическая  полноразмерная Flight C 100</t>
  </si>
  <si>
    <t>Боян Тула -209</t>
  </si>
  <si>
    <t>Видеомагнитофон Акира</t>
  </si>
  <si>
    <t xml:space="preserve">Дорожка ковровая </t>
  </si>
  <si>
    <t xml:space="preserve">1,10106090                    </t>
  </si>
  <si>
    <t>Доска передвижная</t>
  </si>
  <si>
    <t>Ель Пушистая 2,7 м.</t>
  </si>
  <si>
    <t xml:space="preserve">1.10106116                    </t>
  </si>
  <si>
    <t xml:space="preserve">Жалюзи вертикальные </t>
  </si>
  <si>
    <t>Ковер 3х5</t>
  </si>
  <si>
    <t>Комплект ученический 2х мест.5 гр.26столов.52стула</t>
  </si>
  <si>
    <t>Набор из 4-ох шкафов</t>
  </si>
  <si>
    <t xml:space="preserve">1.10106125                    </t>
  </si>
  <si>
    <t>Набор из4-ох шкафов</t>
  </si>
  <si>
    <t>Набор мягкой мебели</t>
  </si>
  <si>
    <t xml:space="preserve">1.10106126                    </t>
  </si>
  <si>
    <t xml:space="preserve">1.10106127                    </t>
  </si>
  <si>
    <t>Пылесос импортный</t>
  </si>
  <si>
    <t>Сканер /слайд/</t>
  </si>
  <si>
    <t xml:space="preserve">Стеллаж АЗ 10 </t>
  </si>
  <si>
    <t xml:space="preserve">1,10106112                    </t>
  </si>
  <si>
    <t>Сцена /сатин 12м.тюль 15м.портьера16м.бархат 71/</t>
  </si>
  <si>
    <t xml:space="preserve">1.10106158                    </t>
  </si>
  <si>
    <t xml:space="preserve">Тепловентилятор </t>
  </si>
  <si>
    <t xml:space="preserve">1,10106159                    </t>
  </si>
  <si>
    <t>Ф-но Владимир</t>
  </si>
  <si>
    <t xml:space="preserve">1.10106184                    </t>
  </si>
  <si>
    <t>Швейная машинка Электр.</t>
  </si>
  <si>
    <t xml:space="preserve">1.10106171                    </t>
  </si>
  <si>
    <t>Эл.обогреватель масл.</t>
  </si>
  <si>
    <t xml:space="preserve">1,10106175                    </t>
  </si>
  <si>
    <t xml:space="preserve">1,10106176                    </t>
  </si>
  <si>
    <t xml:space="preserve">Эл.швейная машина Чайка </t>
  </si>
  <si>
    <t xml:space="preserve">1,10106177                    </t>
  </si>
  <si>
    <t>Электровоздухоочиститель</t>
  </si>
  <si>
    <t xml:space="preserve">1.10106182                    </t>
  </si>
  <si>
    <t>Электролобзик</t>
  </si>
  <si>
    <t xml:space="preserve">1.10106183                    </t>
  </si>
  <si>
    <t>Фотоаппарат" Canon EOS 600 D"</t>
  </si>
  <si>
    <t>Велосипед 20</t>
  </si>
  <si>
    <t xml:space="preserve">1,10106160                    </t>
  </si>
  <si>
    <t xml:space="preserve">1,10106091                    </t>
  </si>
  <si>
    <t xml:space="preserve">1,10106113                    </t>
  </si>
  <si>
    <t xml:space="preserve">1,10106114                    </t>
  </si>
  <si>
    <t xml:space="preserve">1,10106178                    </t>
  </si>
  <si>
    <t xml:space="preserve">1,10106179                    </t>
  </si>
  <si>
    <t xml:space="preserve">110106179                     </t>
  </si>
  <si>
    <t xml:space="preserve">1,10106181                    </t>
  </si>
  <si>
    <t>Шкаф №4 ГР - 01-Д ( для пособий (цвет орех )</t>
  </si>
  <si>
    <t xml:space="preserve">410136010                     </t>
  </si>
  <si>
    <t>Велосипед "Форвард 20 "</t>
  </si>
  <si>
    <t xml:space="preserve">1,101038001                   </t>
  </si>
  <si>
    <t xml:space="preserve">Копир  Сапоп  </t>
  </si>
  <si>
    <t>Копировальный аппарат (коридор)</t>
  </si>
  <si>
    <t xml:space="preserve">1.101040012                   </t>
  </si>
  <si>
    <t>Монитор (Буянова))</t>
  </si>
  <si>
    <t xml:space="preserve">1.1010416                     </t>
  </si>
  <si>
    <t>Монитор (свободный стол )</t>
  </si>
  <si>
    <t xml:space="preserve">1,1010477                     </t>
  </si>
  <si>
    <t xml:space="preserve">11010476                      </t>
  </si>
  <si>
    <t>Мультимедийный комплекс  /архив/</t>
  </si>
  <si>
    <t xml:space="preserve">1.1010486                     </t>
  </si>
  <si>
    <t>Принтер (Лоскутов)</t>
  </si>
  <si>
    <t xml:space="preserve">1101040046                    </t>
  </si>
  <si>
    <t>Принтер НР Лазер 1018 (Буянова)</t>
  </si>
  <si>
    <t>Системный блок  (свободный стол)</t>
  </si>
  <si>
    <t xml:space="preserve">11010469                      </t>
  </si>
  <si>
    <t>Системный блок (Буянова)</t>
  </si>
  <si>
    <t xml:space="preserve">11010467                      </t>
  </si>
  <si>
    <t>Сканер - копир  (Кашкина)</t>
  </si>
  <si>
    <t xml:space="preserve">1101040090                    </t>
  </si>
  <si>
    <t>Электрическая плита</t>
  </si>
  <si>
    <t xml:space="preserve">1010493                       </t>
  </si>
  <si>
    <t>Системный блок Intel  G3220/500Gb/4Gb/DVD-RW/</t>
  </si>
  <si>
    <t xml:space="preserve">1101340007                    </t>
  </si>
  <si>
    <t xml:space="preserve">1101340006                    </t>
  </si>
  <si>
    <t>USB 2,0 носитель HDD Seaqate 17d3.5 GoFlex Desk</t>
  </si>
  <si>
    <t xml:space="preserve">1101340001                    </t>
  </si>
  <si>
    <t xml:space="preserve">1101340008                    </t>
  </si>
  <si>
    <t>Системный блок i 3/500Gb/DVD-RW/ клавиатура/мышь (Московкина)</t>
  </si>
  <si>
    <t xml:space="preserve">1101340004                    </t>
  </si>
  <si>
    <t>Принтер HP Laser Jet 1102        (Крылова)</t>
  </si>
  <si>
    <t xml:space="preserve">1101340005                    </t>
  </si>
  <si>
    <t>Компьютер LCD  LG   (в сборе)</t>
  </si>
  <si>
    <t xml:space="preserve">1101340002                    </t>
  </si>
  <si>
    <t>Брифинг приставка 1400х700</t>
  </si>
  <si>
    <t xml:space="preserve">10106134                      </t>
  </si>
  <si>
    <t>Жалюзи на окна /метод.каб.</t>
  </si>
  <si>
    <t xml:space="preserve">10106193                      </t>
  </si>
  <si>
    <t>Жалюзи на окна /*метод.каб./</t>
  </si>
  <si>
    <t xml:space="preserve">10106129                      </t>
  </si>
  <si>
    <t>Жалюзи на окна ./Библиотека/</t>
  </si>
  <si>
    <t xml:space="preserve">10106056                      </t>
  </si>
  <si>
    <t>Стеллаж угловой 430х430х2030 /Библиотека/</t>
  </si>
  <si>
    <t xml:space="preserve">10106199                      </t>
  </si>
  <si>
    <t>Стол рабочий  правый</t>
  </si>
  <si>
    <t>Стол рабочий 1800х800х750 /коридор/</t>
  </si>
  <si>
    <t xml:space="preserve">10106156                      </t>
  </si>
  <si>
    <t>Стол рабочий 1800х940х750  /Гузеева/</t>
  </si>
  <si>
    <t xml:space="preserve">10106001                      </t>
  </si>
  <si>
    <t>Стол рабочий /библиотека/</t>
  </si>
  <si>
    <t>Стол рабочий/левый/метоб.каб./</t>
  </si>
  <si>
    <t>Тумба выкатная 420х700х680</t>
  </si>
  <si>
    <t xml:space="preserve">10106109                      </t>
  </si>
  <si>
    <t xml:space="preserve">Тумба под оргтехнику   </t>
  </si>
  <si>
    <t xml:space="preserve">1,101060084                   </t>
  </si>
  <si>
    <t>Тумба под оргтехнику 700х500х750</t>
  </si>
  <si>
    <t xml:space="preserve">10106149                      </t>
  </si>
  <si>
    <t>Тумба подкатная   /касса/</t>
  </si>
  <si>
    <t>Тумба приставная 450х700х750 5 шт. /122-Управление/</t>
  </si>
  <si>
    <t xml:space="preserve">110106118                     </t>
  </si>
  <si>
    <t>Шкаф высокий со стеклом 890х460х2030 /ОМТО/</t>
  </si>
  <si>
    <t xml:space="preserve">11060140-163                  </t>
  </si>
  <si>
    <t>Шкаф высокий со стеклом 890х460х2030 5 шт./Бухг./</t>
  </si>
  <si>
    <t xml:space="preserve">101060051                     </t>
  </si>
  <si>
    <t>Шкаф высокий со стеклом 890х460х2030 7 шт./метод./</t>
  </si>
  <si>
    <t xml:space="preserve">10106047                      </t>
  </si>
  <si>
    <t>Шкаф гардеробный 820х430х2030 /метод.каб./</t>
  </si>
  <si>
    <t xml:space="preserve">110106152                     </t>
  </si>
  <si>
    <t>Шкаф гардеробный 820х430х2030 /ОМТО/</t>
  </si>
  <si>
    <t xml:space="preserve">10106185                      </t>
  </si>
  <si>
    <t>Шкаф пенал 410х430х2030 3 шт./2-библ.1-бухг./</t>
  </si>
  <si>
    <t xml:space="preserve">10106188                      </t>
  </si>
  <si>
    <t xml:space="preserve">11060140                      </t>
  </si>
  <si>
    <t>Стол рабочий т./библиотека/</t>
  </si>
  <si>
    <t xml:space="preserve">1101360157                    </t>
  </si>
  <si>
    <t>Стол рабочий/левый /метоб.каб./</t>
  </si>
  <si>
    <t xml:space="preserve">1101360158                    </t>
  </si>
  <si>
    <t xml:space="preserve">1101360159                    </t>
  </si>
  <si>
    <t xml:space="preserve">11060161                      </t>
  </si>
  <si>
    <t xml:space="preserve">1101360162                    </t>
  </si>
  <si>
    <t>Шкаф гардеробный /ОМТО/</t>
  </si>
  <si>
    <t xml:space="preserve">1101360168                    </t>
  </si>
  <si>
    <t xml:space="preserve">1101360169                    </t>
  </si>
  <si>
    <t>Стол рабочий  /ОМТО-12,библиотека-4/</t>
  </si>
  <si>
    <t xml:space="preserve">11060174                      </t>
  </si>
  <si>
    <t xml:space="preserve">11060173                      </t>
  </si>
  <si>
    <t xml:space="preserve">11060166                      </t>
  </si>
  <si>
    <t xml:space="preserve">11060172                      </t>
  </si>
  <si>
    <t xml:space="preserve">11060171                      </t>
  </si>
  <si>
    <t xml:space="preserve">11060170                      </t>
  </si>
  <si>
    <t xml:space="preserve">11060169                      </t>
  </si>
  <si>
    <t xml:space="preserve">11060168                      </t>
  </si>
  <si>
    <t xml:space="preserve">11060167                      </t>
  </si>
  <si>
    <t xml:space="preserve">11060165                      </t>
  </si>
  <si>
    <t xml:space="preserve">11060163                      </t>
  </si>
  <si>
    <t xml:space="preserve">11060159                      </t>
  </si>
  <si>
    <t xml:space="preserve">11060160                      </t>
  </si>
  <si>
    <t xml:space="preserve">11060162                      </t>
  </si>
  <si>
    <t xml:space="preserve">10106189                      </t>
  </si>
  <si>
    <t xml:space="preserve">10106190                      </t>
  </si>
  <si>
    <t xml:space="preserve">110106119                     </t>
  </si>
  <si>
    <t xml:space="preserve">110106120                     </t>
  </si>
  <si>
    <t xml:space="preserve">110106121                     </t>
  </si>
  <si>
    <t xml:space="preserve">110106122                     </t>
  </si>
  <si>
    <t xml:space="preserve">Шкаф высокий со стеклом 890х460х2030 </t>
  </si>
  <si>
    <t xml:space="preserve">101060052                     </t>
  </si>
  <si>
    <t xml:space="preserve">101060053                     </t>
  </si>
  <si>
    <t xml:space="preserve">101060054                     </t>
  </si>
  <si>
    <t xml:space="preserve">101060055                     </t>
  </si>
  <si>
    <t xml:space="preserve">10106048                      </t>
  </si>
  <si>
    <t xml:space="preserve">10106058                      </t>
  </si>
  <si>
    <t xml:space="preserve">10106059                      </t>
  </si>
  <si>
    <t xml:space="preserve">10106060                      </t>
  </si>
  <si>
    <t xml:space="preserve">10106061                      </t>
  </si>
  <si>
    <t xml:space="preserve">10107006                      </t>
  </si>
  <si>
    <t>Библиотека (май 2011)</t>
  </si>
  <si>
    <t xml:space="preserve">10107009                      </t>
  </si>
  <si>
    <t>Монитор  LCD  Самсунг  17</t>
  </si>
  <si>
    <t xml:space="preserve">Компьютер  С 196589 Ц </t>
  </si>
  <si>
    <t xml:space="preserve">1.1010494                     </t>
  </si>
  <si>
    <t>Музыкальный центр Витек</t>
  </si>
  <si>
    <t xml:space="preserve">1101040054                    </t>
  </si>
  <si>
    <t xml:space="preserve">1101040055                    </t>
  </si>
  <si>
    <t xml:space="preserve">1101040056                    </t>
  </si>
  <si>
    <t>Телевизор  ЖК 20 со встроенным DVD плеером</t>
  </si>
  <si>
    <t>Автобус ПАЗ - 32053</t>
  </si>
  <si>
    <t xml:space="preserve">1101350002                    </t>
  </si>
  <si>
    <t>Минимойка  (  Керхер)   5.20 ММинимойка  (  Керхер)   5.20 М(всасывающий шланг с фильтром,пенописталет,щетка м</t>
  </si>
  <si>
    <t xml:space="preserve">11060149                      </t>
  </si>
  <si>
    <t>Аппарат сварочно-термический ФД 20/63</t>
  </si>
  <si>
    <t>Генератор   свар. бенз.</t>
  </si>
  <si>
    <t xml:space="preserve">1.1010667                     </t>
  </si>
  <si>
    <t>Дрел ь  эл.710 Вт.Makita</t>
  </si>
  <si>
    <t xml:space="preserve">1.1010669                     </t>
  </si>
  <si>
    <t>Лестница стремянка         3-х секционная</t>
  </si>
  <si>
    <t xml:space="preserve">1.1010676                     </t>
  </si>
  <si>
    <t>Ломтерезка  Сименс MS 70001</t>
  </si>
  <si>
    <t xml:space="preserve">10106299                      </t>
  </si>
  <si>
    <t xml:space="preserve">1,10106303                    </t>
  </si>
  <si>
    <t>Мойдодыр</t>
  </si>
  <si>
    <t xml:space="preserve">101060044                     </t>
  </si>
  <si>
    <t xml:space="preserve">11060147                      </t>
  </si>
  <si>
    <t>Перфоратор 1,1 квт Makita</t>
  </si>
  <si>
    <t xml:space="preserve">1.1010670                     </t>
  </si>
  <si>
    <t>Сейф металлический</t>
  </si>
  <si>
    <t xml:space="preserve">1101060054                    </t>
  </si>
  <si>
    <t>Сейф металлический от 35-40 кг.в шкаф/админ./</t>
  </si>
  <si>
    <t xml:space="preserve">101060035                     </t>
  </si>
  <si>
    <t>Станок сверл. Корвет -44 с тисками</t>
  </si>
  <si>
    <t xml:space="preserve">1.1010671                     </t>
  </si>
  <si>
    <t>Стелаж высокий В-46</t>
  </si>
  <si>
    <t xml:space="preserve">1.1010659                     </t>
  </si>
  <si>
    <t>Стол для переговоров круглый</t>
  </si>
  <si>
    <t xml:space="preserve">10106500                      </t>
  </si>
  <si>
    <t>Стол переговорный 2060х103х750/админист./</t>
  </si>
  <si>
    <t xml:space="preserve">1010601111                    </t>
  </si>
  <si>
    <t>Стол приставной 1200х840х700 /админист./</t>
  </si>
  <si>
    <t xml:space="preserve">10106002                      </t>
  </si>
  <si>
    <t>Стол рабочий  -левый /бухг/</t>
  </si>
  <si>
    <t xml:space="preserve">1101060142                    </t>
  </si>
  <si>
    <t>Стол рабочий -левый /бухгал./</t>
  </si>
  <si>
    <t>Стол рабочий 1400х700х750 левый /Солдатова</t>
  </si>
  <si>
    <t xml:space="preserve">11060132                      </t>
  </si>
  <si>
    <t>Стол рабочий /бухг./</t>
  </si>
  <si>
    <t xml:space="preserve">11060148                      </t>
  </si>
  <si>
    <t>Точило эл.. 400 Вт</t>
  </si>
  <si>
    <t xml:space="preserve">1.1010672                     </t>
  </si>
  <si>
    <t>Тумба под оргтехнику  700х500х750</t>
  </si>
  <si>
    <t xml:space="preserve">10106175                      </t>
  </si>
  <si>
    <t xml:space="preserve">Тумба подкатная 436х450х576 </t>
  </si>
  <si>
    <t>Брифинг приставка 1400х700 (расчетчики )</t>
  </si>
  <si>
    <t>Брифинг приставка 1400х700 ( расчетчики )</t>
  </si>
  <si>
    <t xml:space="preserve"> 110106069                    </t>
  </si>
  <si>
    <t xml:space="preserve">Брифинг приставка 1400х700 </t>
  </si>
  <si>
    <t>Шкаф гардеробный /бухг.</t>
  </si>
  <si>
    <t xml:space="preserve">110106186                     </t>
  </si>
  <si>
    <t xml:space="preserve">110106185                     </t>
  </si>
  <si>
    <t>Стенд  "Пожарная безопасность"</t>
  </si>
  <si>
    <t xml:space="preserve">1.101090045                   </t>
  </si>
  <si>
    <t>Табличка фасадная</t>
  </si>
  <si>
    <t xml:space="preserve">1.101090044                   </t>
  </si>
  <si>
    <t>Компьютер  / сед /     касса</t>
  </si>
  <si>
    <t xml:space="preserve">1.101040076                   </t>
  </si>
  <si>
    <t>Компьютер  (Мартынова )</t>
  </si>
  <si>
    <t xml:space="preserve">1.101040039                   </t>
  </si>
  <si>
    <t>Компьютер  (Чуева )</t>
  </si>
  <si>
    <t xml:space="preserve">1.10104040                    </t>
  </si>
  <si>
    <t>Компьютер ( Пряникова)</t>
  </si>
  <si>
    <t>Компьютер (Леонова)</t>
  </si>
  <si>
    <t>Компьютер (Подцепкина)</t>
  </si>
  <si>
    <t xml:space="preserve">1.10104037                    </t>
  </si>
  <si>
    <t xml:space="preserve">1101040094                    </t>
  </si>
  <si>
    <t xml:space="preserve">1101040095                    </t>
  </si>
  <si>
    <t>Лазерный принтер  НР / касса/</t>
  </si>
  <si>
    <t xml:space="preserve">1.101040074                   </t>
  </si>
  <si>
    <t>Монитор  19 LG (Филипова )</t>
  </si>
  <si>
    <t xml:space="preserve">1101040061                    </t>
  </si>
  <si>
    <t>Монитор 19   LG (Танина )</t>
  </si>
  <si>
    <t xml:space="preserve">1101040059                    </t>
  </si>
  <si>
    <t>Монитор 19  LG  (Ломова )</t>
  </si>
  <si>
    <t xml:space="preserve">1101040062                    </t>
  </si>
  <si>
    <t>Монитор 19 LG (Долгов)</t>
  </si>
  <si>
    <t xml:space="preserve">1101040060                    </t>
  </si>
  <si>
    <t>МФУ (Панасоник) лазерный (принтер,копир.сканер) питание</t>
  </si>
  <si>
    <t xml:space="preserve">1101040089                    </t>
  </si>
  <si>
    <t>МФУ( Панасоник) лазерный (принтер,копир,сканер)метод.</t>
  </si>
  <si>
    <t>Принтер - ( 6 шт.)005расч.</t>
  </si>
  <si>
    <t>Принтер Canon /касса/</t>
  </si>
  <si>
    <t xml:space="preserve">1101040058                    </t>
  </si>
  <si>
    <t>Принтер SAMSUNG  SCX 4824 F N лазер.копир.гл.бух.</t>
  </si>
  <si>
    <t xml:space="preserve">1101040077                    </t>
  </si>
  <si>
    <t>Принтер лазерный   НР /касса/</t>
  </si>
  <si>
    <t xml:space="preserve">1101040002                    </t>
  </si>
  <si>
    <t>Принтер лазерный  /сед /-касса</t>
  </si>
  <si>
    <t xml:space="preserve">1.101040079                   </t>
  </si>
  <si>
    <t>Принтер НР лазер 1018  расчетчики Павловская</t>
  </si>
  <si>
    <t>Системн.блок Сушкина</t>
  </si>
  <si>
    <t xml:space="preserve">1101040093                    </t>
  </si>
  <si>
    <t>Системн.блок Бесчетнова</t>
  </si>
  <si>
    <t xml:space="preserve">1101040091                    </t>
  </si>
  <si>
    <t>Системный блок  (Ястребова )</t>
  </si>
  <si>
    <t xml:space="preserve">1101040065                    </t>
  </si>
  <si>
    <t>Системный блок (Долгов )</t>
  </si>
  <si>
    <t xml:space="preserve">1101040063                    </t>
  </si>
  <si>
    <t>Сканер планшетный   (Видлого)</t>
  </si>
  <si>
    <t>Принтер HP LaserJet 1102 (Павлова)</t>
  </si>
  <si>
    <t xml:space="preserve">1101340181                    </t>
  </si>
  <si>
    <t>МФУ Хeroх Work Centre 3045 NI Лазерный 3045V NI   (Родионочев)</t>
  </si>
  <si>
    <t xml:space="preserve">11040180                      </t>
  </si>
  <si>
    <t xml:space="preserve">Кондиционер Panasonic C S -YW 9 MKD </t>
  </si>
  <si>
    <t xml:space="preserve">Кондиционер Panasonic C S -YW 12  MKD </t>
  </si>
  <si>
    <t>МФУ HP LaserJet Pro M1536dnf (кабинет директора)</t>
  </si>
  <si>
    <t>МФУ XEROX WC 5020</t>
  </si>
  <si>
    <t>Сканер HP Scanjet 5590</t>
  </si>
  <si>
    <t xml:space="preserve">1101340003                    </t>
  </si>
  <si>
    <t>Принтер HP LazerJet Pro P1102 (CE651A) RU (18стр/мин, 5К мес)</t>
  </si>
  <si>
    <t>Многофункциональное устройство HP LazerJet Pro 400 MFP M425dw (CF288A) 33стр.</t>
  </si>
  <si>
    <t>Телефон Gigaset A220А Duo</t>
  </si>
  <si>
    <t xml:space="preserve">1,10104028                    </t>
  </si>
  <si>
    <t>Сервер  /сборка 2010г./</t>
  </si>
  <si>
    <t xml:space="preserve">1101040086                    </t>
  </si>
  <si>
    <t>Сервер (блок питания, жесткий диск, модуль памяти)</t>
  </si>
  <si>
    <t>П/К  21,5 "BENQ  2200 H TFT</t>
  </si>
  <si>
    <t>МФУ HP LazerJet Pro M1132 принтер/сканер/копир, А4, 18 стр/мин, 8Мб, USB 2.0 (к/т Зарплата)</t>
  </si>
  <si>
    <t>Маршрутизатор Micro Tik RB2011</t>
  </si>
  <si>
    <t>Брифинг приставка 1400х700 -119 касса</t>
  </si>
  <si>
    <t>Брифинг приставка 1400х700 2 шт.касса</t>
  </si>
  <si>
    <t xml:space="preserve">110106103                     </t>
  </si>
  <si>
    <t>Брифинг приставка 1400х700 3 шт. /питание/</t>
  </si>
  <si>
    <t>Водонагреватель "Гермекс"   ( 50л.)</t>
  </si>
  <si>
    <t>Детектор ДОРС -1000 инфракрасный</t>
  </si>
  <si>
    <t>Жалюзи на окна   /питание/</t>
  </si>
  <si>
    <t xml:space="preserve">1,10106190                    </t>
  </si>
  <si>
    <t>Жалюзи на окна 2 шт. /питание /</t>
  </si>
  <si>
    <t xml:space="preserve">1,101060192                   </t>
  </si>
  <si>
    <t xml:space="preserve">1,101060191                   </t>
  </si>
  <si>
    <t>Жалюзи на окна 2 шт. касса</t>
  </si>
  <si>
    <t xml:space="preserve">110106002                     </t>
  </si>
  <si>
    <t>Жалюзи на окна 2 шт. /гл.бухг/</t>
  </si>
  <si>
    <t xml:space="preserve">,110106144                    </t>
  </si>
  <si>
    <t xml:space="preserve">1,10106146                    </t>
  </si>
  <si>
    <t>Жалюзи на окна 3 шт./  расчетчики/</t>
  </si>
  <si>
    <t>Сейф  /касса 1эт./</t>
  </si>
  <si>
    <t>Сетевой фильтр   (касса сед )</t>
  </si>
  <si>
    <t>Стеллаж угловой 430х430х2030  /питание/</t>
  </si>
  <si>
    <t xml:space="preserve">10106138                      </t>
  </si>
  <si>
    <t>Стеллаж угловой 430х430х2030  гл.бухг.</t>
  </si>
  <si>
    <t xml:space="preserve">10106286                      </t>
  </si>
  <si>
    <t>Стеллаж угловой 430х430х2030 /касса -расчетчики</t>
  </si>
  <si>
    <t xml:space="preserve">10106054,                     </t>
  </si>
  <si>
    <t xml:space="preserve">10106053                      </t>
  </si>
  <si>
    <t xml:space="preserve">10106055                      </t>
  </si>
  <si>
    <t>Стол  рабочий1500х700х680  расч.Берестовая</t>
  </si>
  <si>
    <t xml:space="preserve">101060107                     </t>
  </si>
  <si>
    <t>Стол компьюторный 800х700х750  Долгов</t>
  </si>
  <si>
    <t xml:space="preserve">10106157                      </t>
  </si>
  <si>
    <t>Стол рабочий /176-расчетчики</t>
  </si>
  <si>
    <t>Стол рабочий /левый/ директор</t>
  </si>
  <si>
    <t>Стол рабочий /левый/1400х700х/900х750 касса</t>
  </si>
  <si>
    <t xml:space="preserve">110106269                     </t>
  </si>
  <si>
    <t>.Стол рабочий /правый/  1400х700х750 2 шт.питание</t>
  </si>
  <si>
    <t xml:space="preserve">110106155                     </t>
  </si>
  <si>
    <t>Стол рабочий /правый/  гл.бухг</t>
  </si>
  <si>
    <t xml:space="preserve">1101060141                    </t>
  </si>
  <si>
    <t xml:space="preserve">1101060140                    </t>
  </si>
  <si>
    <t>Стол рабочий /правый/ Расч.Доронина</t>
  </si>
  <si>
    <t xml:space="preserve">10106267                      </t>
  </si>
  <si>
    <t xml:space="preserve">10106266                      </t>
  </si>
  <si>
    <t xml:space="preserve">10106265                      </t>
  </si>
  <si>
    <t>Стол рабочий /правый/1400х700/900х750  касса (Степушкина )</t>
  </si>
  <si>
    <t xml:space="preserve">10106272                      </t>
  </si>
  <si>
    <t>Стол рабочий 1200х700х750 114,116,расч.115,117касса</t>
  </si>
  <si>
    <t xml:space="preserve">110106115                     </t>
  </si>
  <si>
    <t>Стол рабочий 1600х700х750  /питание/Леонова</t>
  </si>
  <si>
    <t xml:space="preserve">10106050                      </t>
  </si>
  <si>
    <t>Стол рабочий 1800х700х750  расчетчики(Сметанина )</t>
  </si>
  <si>
    <t xml:space="preserve">101060126                     </t>
  </si>
  <si>
    <t>Стол правый питание (Самусенко )</t>
  </si>
  <si>
    <t xml:space="preserve">Стол рабочий правый  </t>
  </si>
  <si>
    <t xml:space="preserve">10106289                      </t>
  </si>
  <si>
    <t xml:space="preserve">10106270                      </t>
  </si>
  <si>
    <t>Стол рабочий.левый 1400х700х750  расчетч.(Краснова )</t>
  </si>
  <si>
    <t>Тумба  под  оргтехнику  касса</t>
  </si>
  <si>
    <t>Тумба под оргтехнику   питание</t>
  </si>
  <si>
    <t xml:space="preserve">10106197                      </t>
  </si>
  <si>
    <t>Тумба под оргтехнику 1200х520х670 расчетчики</t>
  </si>
  <si>
    <t xml:space="preserve">101060108                     </t>
  </si>
  <si>
    <t>Тумба под оргтехнику 700х500х2030  гл.бухг.</t>
  </si>
  <si>
    <t xml:space="preserve">10106139                      </t>
  </si>
  <si>
    <t>Тумба под оргтехнику 700х500х750  гл.бухг.</t>
  </si>
  <si>
    <t xml:space="preserve">10106135                      </t>
  </si>
  <si>
    <t>тумба под оргтехнику 700х500х750 2 шт./питание/</t>
  </si>
  <si>
    <t xml:space="preserve">1,10106081                    </t>
  </si>
  <si>
    <t>Тумба подкатная  /питание/</t>
  </si>
  <si>
    <t>Тумба подкатная /питание/</t>
  </si>
  <si>
    <t xml:space="preserve">110106147                     </t>
  </si>
  <si>
    <t>Тумба приставная  /гл.бухг./</t>
  </si>
  <si>
    <t xml:space="preserve">101060070                     </t>
  </si>
  <si>
    <t xml:space="preserve">101060071                     </t>
  </si>
  <si>
    <t xml:space="preserve">101060073                     </t>
  </si>
  <si>
    <t xml:space="preserve">101060072                     </t>
  </si>
  <si>
    <t xml:space="preserve">Тумба приставная 450х700х750  /расчетчики </t>
  </si>
  <si>
    <t xml:space="preserve">110106138                     </t>
  </si>
  <si>
    <t>Тумба приставная 450х700х750/касса/</t>
  </si>
  <si>
    <t xml:space="preserve">101060134                     </t>
  </si>
  <si>
    <t>Факс Панасоник   гл.бухг.</t>
  </si>
  <si>
    <t>Шкаф высокий со стеклом  /питание/</t>
  </si>
  <si>
    <t>Шкаф высокий со стеклом 6 шт. /гл.бухг./</t>
  </si>
  <si>
    <t xml:space="preserve">101060045                     </t>
  </si>
  <si>
    <t xml:space="preserve">101060044,                    </t>
  </si>
  <si>
    <t xml:space="preserve">101060042                     </t>
  </si>
  <si>
    <t xml:space="preserve">101060043                     </t>
  </si>
  <si>
    <t xml:space="preserve">101060041                     </t>
  </si>
  <si>
    <t>Шкаф высокий со стеклом 820х430х2030  касса</t>
  </si>
  <si>
    <t xml:space="preserve">101060058                     </t>
  </si>
  <si>
    <t xml:space="preserve">101060059                     </t>
  </si>
  <si>
    <t xml:space="preserve">101060057                     </t>
  </si>
  <si>
    <t xml:space="preserve">101060056                     </t>
  </si>
  <si>
    <t>Шкаф высокий со стеклом ( расчетчики )</t>
  </si>
  <si>
    <t xml:space="preserve">101060009,                    </t>
  </si>
  <si>
    <t xml:space="preserve">101060008,                    </t>
  </si>
  <si>
    <t xml:space="preserve">101060006,                    </t>
  </si>
  <si>
    <t xml:space="preserve">101060007,                    </t>
  </si>
  <si>
    <t>Шкаф высокий со стеклом 890х460х2030 4 штпитание</t>
  </si>
  <si>
    <t xml:space="preserve">101060047                     </t>
  </si>
  <si>
    <t xml:space="preserve">101060048                     </t>
  </si>
  <si>
    <t xml:space="preserve">101060049                     </t>
  </si>
  <si>
    <t>Шкаф гардеробный 820х430х2030  /гл.бухг./</t>
  </si>
  <si>
    <t>Шкаф гардеробный 820х430х2030  /питание/</t>
  </si>
  <si>
    <t xml:space="preserve">110106123                     </t>
  </si>
  <si>
    <t>Шкаф гардеробный 820х430х2030  2 шт расчетчики</t>
  </si>
  <si>
    <t>Шкаф гардеробный 820х430х2030  касса</t>
  </si>
  <si>
    <t xml:space="preserve">110106124                     </t>
  </si>
  <si>
    <t>Шкаф гардеробный 820х430х2030 питание/</t>
  </si>
  <si>
    <t>Брифинг приставка 1400х700 -120 гл. бух.</t>
  </si>
  <si>
    <t xml:space="preserve">110106104                     </t>
  </si>
  <si>
    <t>Ящик для ключей на 36 брелоков (Радионочев М.В.)</t>
  </si>
  <si>
    <t xml:space="preserve">1101360001                    </t>
  </si>
  <si>
    <t>Лоток для бумаг поперечный из 8 отд. (Ломова Л.В.)</t>
  </si>
  <si>
    <t xml:space="preserve">1101360002                    </t>
  </si>
  <si>
    <t>Компьютер "Samsunq 17"(монитор+системный блок)</t>
  </si>
  <si>
    <t xml:space="preserve">1.101060180                   </t>
  </si>
  <si>
    <t xml:space="preserve">Дырокол KW-trio 954 </t>
  </si>
  <si>
    <t xml:space="preserve">1.10136181                    </t>
  </si>
  <si>
    <t>Тумба приставная 450х700х750  /137касса,138-142расч.</t>
  </si>
  <si>
    <t xml:space="preserve">1,10106138                    </t>
  </si>
  <si>
    <t>Тумба приставная 450х700х750 /109-расч.,105гл.бух.104,106,107,108питание</t>
  </si>
  <si>
    <t xml:space="preserve">1,10106105                    </t>
  </si>
  <si>
    <t xml:space="preserve">1,10106104                    </t>
  </si>
  <si>
    <t xml:space="preserve">1,10106108                    </t>
  </si>
  <si>
    <t xml:space="preserve">110106135                     </t>
  </si>
  <si>
    <t xml:space="preserve">101060008                     </t>
  </si>
  <si>
    <t>Стол рабочий /176-питан.,177долгов,178касса/</t>
  </si>
  <si>
    <t>Стол рабочий.левый 1400х700х750 питание.(Чуйкова)</t>
  </si>
  <si>
    <t>Стол рабочий.левый 1400х700х750 питание.Бесчетнова</t>
  </si>
  <si>
    <t>Тумба приставная 450х700х750  /расчетчики</t>
  </si>
  <si>
    <t xml:space="preserve">10106137,                     </t>
  </si>
  <si>
    <t>Тумба приставная 450х700х750  /расч.Монахова</t>
  </si>
  <si>
    <t xml:space="preserve">11060179                      </t>
  </si>
  <si>
    <t>Шкаф высокий без стекла (питание )</t>
  </si>
  <si>
    <t xml:space="preserve">101060012                     </t>
  </si>
  <si>
    <t xml:space="preserve">101060050                     </t>
  </si>
  <si>
    <t xml:space="preserve">110106136                     </t>
  </si>
  <si>
    <t xml:space="preserve">101060046                     </t>
  </si>
  <si>
    <t>Шкаф архивный 2-х дверный</t>
  </si>
  <si>
    <t xml:space="preserve">1101360003                    </t>
  </si>
  <si>
    <t xml:space="preserve">1101360005                    </t>
  </si>
  <si>
    <t xml:space="preserve">1101360004                    </t>
  </si>
  <si>
    <t xml:space="preserve">1101360006                    </t>
  </si>
  <si>
    <t xml:space="preserve">1101360012                    </t>
  </si>
  <si>
    <t xml:space="preserve">1101360011                    </t>
  </si>
  <si>
    <t xml:space="preserve">1101360007                    </t>
  </si>
  <si>
    <t xml:space="preserve">1101360010                    </t>
  </si>
  <si>
    <t xml:space="preserve">1101360008                    </t>
  </si>
  <si>
    <t xml:space="preserve">1101360009                    </t>
  </si>
  <si>
    <t>Шкаф для бумаг на роликах (Костина Л.А.)</t>
  </si>
  <si>
    <t xml:space="preserve">1101360013                    </t>
  </si>
  <si>
    <t>Шкаф закрытый со стеклом (Егорова С.Н.)</t>
  </si>
  <si>
    <t xml:space="preserve">1101360014                    </t>
  </si>
  <si>
    <t>Тумба под ксерокс (кабинет зарплаты)</t>
  </si>
  <si>
    <t xml:space="preserve">1101360015                    </t>
  </si>
  <si>
    <t>Тумба выкатная (Леонова Г.Е.)</t>
  </si>
  <si>
    <t xml:space="preserve">1101360016                    </t>
  </si>
  <si>
    <t>Тумба выкатная (Кабинет зарплаты)</t>
  </si>
  <si>
    <t xml:space="preserve">1101360017                    </t>
  </si>
  <si>
    <t xml:space="preserve">1101360018                    </t>
  </si>
  <si>
    <t>Шкаф для бумаг (Кабинет секретаря)</t>
  </si>
  <si>
    <t xml:space="preserve">1101360019                    </t>
  </si>
  <si>
    <t>Тумба стационарная с замком (Танина Ю.А.)</t>
  </si>
  <si>
    <t xml:space="preserve">1101360020                    </t>
  </si>
  <si>
    <t>Тумба приставная (Кабинет секретаря)</t>
  </si>
  <si>
    <t xml:space="preserve">1101360021                    </t>
  </si>
  <si>
    <t>Тумба приставная (Вавилкина М.В.)</t>
  </si>
  <si>
    <t xml:space="preserve">1101360022                    </t>
  </si>
  <si>
    <t>Принтер Canon i-Sensys  LBP 6020 В  (Костина Света)</t>
  </si>
  <si>
    <t xml:space="preserve">11060180                      </t>
  </si>
  <si>
    <t>Принтер Canon  i -SENSYS LBP 6020B (Бесчетнова )</t>
  </si>
  <si>
    <t xml:space="preserve">110136181                     </t>
  </si>
  <si>
    <t xml:space="preserve">10107007                      </t>
  </si>
  <si>
    <t>Брошюровщик</t>
  </si>
  <si>
    <t xml:space="preserve">1101380001                    </t>
  </si>
  <si>
    <t>П/К  "Pentium",мон-р"Acer".опер.сис.клавиатура,мышь (Видлого)</t>
  </si>
  <si>
    <t xml:space="preserve">110104024                     </t>
  </si>
  <si>
    <t>Компьютер (Родионочев)</t>
  </si>
  <si>
    <t>Компьютер с монитором   LCD 17(Животнева Е.И.)</t>
  </si>
  <si>
    <t xml:space="preserve">1.101040045                   </t>
  </si>
  <si>
    <t xml:space="preserve">1.1010496                     </t>
  </si>
  <si>
    <t>Многофукциональное устройство НР 1005 М(Любущенко )</t>
  </si>
  <si>
    <t>Монитор  (*Егорова)</t>
  </si>
  <si>
    <t xml:space="preserve">1.1010478                     </t>
  </si>
  <si>
    <t>Монитор (Павлова)</t>
  </si>
  <si>
    <t xml:space="preserve">1.1010479                     </t>
  </si>
  <si>
    <t>Музыкальный центр *(Чуева)</t>
  </si>
  <si>
    <t xml:space="preserve">1.1010414                     </t>
  </si>
  <si>
    <t>Музыкальный центр с караоки (Гузеева)</t>
  </si>
  <si>
    <t xml:space="preserve">1.1010485                     </t>
  </si>
  <si>
    <t>Ноутбук Rrovep  book (Видлого)</t>
  </si>
  <si>
    <t>оргтехника в полн.комплектации (Видлого)</t>
  </si>
  <si>
    <t>Принтер НР  DJ 1280 С (Долгов)</t>
  </si>
  <si>
    <t>Принтер НР лазер 1018 (Егорова)</t>
  </si>
  <si>
    <t>Системный блок  (Павлова)</t>
  </si>
  <si>
    <t xml:space="preserve">1.1010471                     </t>
  </si>
  <si>
    <t>Системный блок (Егорова)</t>
  </si>
  <si>
    <t xml:space="preserve">1.1010470                     </t>
  </si>
  <si>
    <t>Телевизор  Фунай (Чуева)</t>
  </si>
  <si>
    <t>Телефакс  (Павлова)</t>
  </si>
  <si>
    <t>Фотоаппарат цифровой (Видлого)</t>
  </si>
  <si>
    <t>Холодильник  (секретарь)</t>
  </si>
  <si>
    <t>Холодильник однокамерный маленький (Гузеева)</t>
  </si>
  <si>
    <t xml:space="preserve">1.1010491                     </t>
  </si>
  <si>
    <t>Телефакс лазерный, Panasonic KX-FL423RU-W ,АОН, прием без бумаги</t>
  </si>
  <si>
    <t>Диктофон  Гузеева/</t>
  </si>
  <si>
    <t xml:space="preserve">1.1010674                     </t>
  </si>
  <si>
    <t>Жалюзи на окна   /Секретарь/</t>
  </si>
  <si>
    <t>Жалюзи на окна / Видлого/</t>
  </si>
  <si>
    <t xml:space="preserve">1.10106155                    </t>
  </si>
  <si>
    <t>Жалюзи на окна. /Гузеева/</t>
  </si>
  <si>
    <t>Жалюзи на окна /Егорова,.Животнева/</t>
  </si>
  <si>
    <t>Кофемашина</t>
  </si>
  <si>
    <t xml:space="preserve">1,10106147                    </t>
  </si>
  <si>
    <t>Кресла к брифингу и столу переговоров  /Гузеева/</t>
  </si>
  <si>
    <t xml:space="preserve">1101060115                    </t>
  </si>
  <si>
    <t>Кресло руководителя кожаное /Гузеева/</t>
  </si>
  <si>
    <t xml:space="preserve">1.101060033                   </t>
  </si>
  <si>
    <t>Сейф   /Секретарь.Видлого/</t>
  </si>
  <si>
    <t xml:space="preserve">1,101060040                   </t>
  </si>
  <si>
    <t>Сейф металлический от 35 до 40 кг. в шкаф/Гузеева/</t>
  </si>
  <si>
    <t xml:space="preserve">1.101060036                   </t>
  </si>
  <si>
    <t>Стеллаж угловой 430х430х2030  /Видлого/</t>
  </si>
  <si>
    <t xml:space="preserve">1.10106286                    </t>
  </si>
  <si>
    <t>Стеллаж угловой 430х430х2030  /Животнева/</t>
  </si>
  <si>
    <t xml:space="preserve">1.10106143                    </t>
  </si>
  <si>
    <t>Стеллаж угловой 430х430х2030 /Секретарь/</t>
  </si>
  <si>
    <t>Стол компьютерный 800х700х750  / Видлого/</t>
  </si>
  <si>
    <t xml:space="preserve">1.101060127                   </t>
  </si>
  <si>
    <t>Стол переговорный 2060х1030х750 /Гузеева/</t>
  </si>
  <si>
    <t>Стол приставной   166х700х750 /орех/ Гузеева</t>
  </si>
  <si>
    <t xml:space="preserve">1.10106196                    </t>
  </si>
  <si>
    <t>Стол приставной 100х450х650  /Егорова/</t>
  </si>
  <si>
    <t>Стол рабочий  1400х700х750 Животнева.Родионычев/</t>
  </si>
  <si>
    <t xml:space="preserve">110106287                     </t>
  </si>
  <si>
    <t>Стол рабочий 1600х700х750  /Егорова/</t>
  </si>
  <si>
    <t>Стол рабочий 1600х700х750  /Секретарь/</t>
  </si>
  <si>
    <t xml:space="preserve">1,10106126                    </t>
  </si>
  <si>
    <t>Сумка для ноутбука и документов SUMDEX CKN -004Видлого</t>
  </si>
  <si>
    <t>Тумба под оргтехнику /Секретарь/</t>
  </si>
  <si>
    <t xml:space="preserve">1.101060121                   </t>
  </si>
  <si>
    <t>Тумба под оргтехнику  / Видлого/</t>
  </si>
  <si>
    <t>Тумба под холодильник 550х550х750 /Гузеева/</t>
  </si>
  <si>
    <t>Тумба подкатная 436х450х576 /Видлого/</t>
  </si>
  <si>
    <t xml:space="preserve">110106129                     </t>
  </si>
  <si>
    <t xml:space="preserve">1.10106194                    </t>
  </si>
  <si>
    <t>Тумба подкатная 436х450х576 /орех/Гузеева</t>
  </si>
  <si>
    <t>Тумба подкатная 436х450х576 /Мартынова /</t>
  </si>
  <si>
    <t>Тумба приставная 450х700х750 /Животнева/</t>
  </si>
  <si>
    <t xml:space="preserve">110106169                     </t>
  </si>
  <si>
    <t>Шкаф высокий 133х460х2030 /орех/ Гузеева</t>
  </si>
  <si>
    <t>Шкаф высокий 175х460х2030 /орех/Гузеева</t>
  </si>
  <si>
    <t xml:space="preserve">1.10106115                    </t>
  </si>
  <si>
    <t>Шкаф высокий гардеробный 890х460х2030 библиотека</t>
  </si>
  <si>
    <t>Шкаф высокий гардеробный 890х460х2030Гузеева</t>
  </si>
  <si>
    <t xml:space="preserve">110106114                     </t>
  </si>
  <si>
    <t>Шкаф высокий со  стеклом .Видлого</t>
  </si>
  <si>
    <t xml:space="preserve">1101060070                    </t>
  </si>
  <si>
    <t>Шкаф высокий со стеклом 890х460х2030  Егорова</t>
  </si>
  <si>
    <t>Шкаф высокий со стеклом 890х460х2030 Животнева</t>
  </si>
  <si>
    <t>Шкаф высокий со стеклом 890х460х2030 .Секретарь</t>
  </si>
  <si>
    <t xml:space="preserve">1101060056                    </t>
  </si>
  <si>
    <t>Шкаф высокий со стеклом 890х460х2030 Библиотека</t>
  </si>
  <si>
    <t>Шкаф гардеробный 820х430х2030  Егорова</t>
  </si>
  <si>
    <t>Шкаф гардеробный 820х430х2030  секретарь</t>
  </si>
  <si>
    <t xml:space="preserve">1.10106176                    </t>
  </si>
  <si>
    <t>Шкаф гардеробный 820х430х2030 Животнева</t>
  </si>
  <si>
    <t>Тумба под оргтехнику / Видлого/</t>
  </si>
  <si>
    <t>Шкаф высокий со стеклом 890х460х2030 .Животнева</t>
  </si>
  <si>
    <t>Жалюзи на окна /Гузеева/</t>
  </si>
  <si>
    <t>Жалюзи на окна Егорова,.Животнева/</t>
  </si>
  <si>
    <t>Тумба подкатная 436х450х576 Родионычев</t>
  </si>
  <si>
    <t>Шкаф высокий со  стеклом Видлого</t>
  </si>
  <si>
    <t xml:space="preserve">1101060071                    </t>
  </si>
  <si>
    <t>Шкаф высокий со  стеклом /Видлого/</t>
  </si>
  <si>
    <t xml:space="preserve">1101060072                    </t>
  </si>
  <si>
    <t>Шкаф высокий со стеклом 890х460х2030 /Секретарь/</t>
  </si>
  <si>
    <t xml:space="preserve">1101060057                    </t>
  </si>
  <si>
    <t xml:space="preserve">1101060058                    </t>
  </si>
  <si>
    <t xml:space="preserve">1101060059                    </t>
  </si>
  <si>
    <t>Шкаф высокий со стеклом 890х460х2030 /Библиотека/</t>
  </si>
  <si>
    <t xml:space="preserve">110106050                     </t>
  </si>
  <si>
    <t>Шкаф высокий со стеклом 890х460х2030 /.Библиотека/</t>
  </si>
  <si>
    <t xml:space="preserve">1101060116                    </t>
  </si>
  <si>
    <t xml:space="preserve">1101060117                    </t>
  </si>
  <si>
    <t xml:space="preserve">1101060118                    </t>
  </si>
  <si>
    <t xml:space="preserve">1101060119                    </t>
  </si>
  <si>
    <t xml:space="preserve">1101060120                    </t>
  </si>
  <si>
    <t xml:space="preserve">1101060121                    </t>
  </si>
  <si>
    <t xml:space="preserve">1101060122                    </t>
  </si>
  <si>
    <t xml:space="preserve">1101060123                    </t>
  </si>
  <si>
    <t xml:space="preserve">1101060124                    </t>
  </si>
  <si>
    <t xml:space="preserve">1101060125                    </t>
  </si>
  <si>
    <t xml:space="preserve">1101060126                    </t>
  </si>
  <si>
    <t xml:space="preserve">1101060127                    </t>
  </si>
  <si>
    <t xml:space="preserve">1101060128                    </t>
  </si>
  <si>
    <t xml:space="preserve">1101060129                    </t>
  </si>
  <si>
    <t xml:space="preserve">1.10107004                    </t>
  </si>
  <si>
    <t>Св-во о гос.рег-ии 50-АБ №530020</t>
  </si>
  <si>
    <t>Св-во о гос.рег-ии НА №0835100</t>
  </si>
  <si>
    <t>Св-во о гос.рег-ии 50-НГ №249309</t>
  </si>
  <si>
    <t>Св-во о гос.рег-ии 50-АБ №532860</t>
  </si>
  <si>
    <t>3- комнатная квартира</t>
  </si>
  <si>
    <t>Св-во о гос.рег-ии 50-НГ №931570</t>
  </si>
  <si>
    <t>Распоряжение администрации Серебряно-Прудского муниципального района 278-р</t>
  </si>
  <si>
    <t>11.12.20013</t>
  </si>
  <si>
    <t>21.12.201</t>
  </si>
  <si>
    <t>125.01.2006</t>
  </si>
  <si>
    <t>15.122.2005</t>
  </si>
  <si>
    <t>п. Серебряные Пруды М.О. с. Узуново ул. Садовая д. 2 кв. 30</t>
  </si>
  <si>
    <t xml:space="preserve">Св-во о гос. рег-ии 50-НВ №164009 </t>
  </si>
  <si>
    <t>Св-во о гос.рег-ии 50-АА №345431</t>
  </si>
  <si>
    <t>Незавершённое строительство Газификация жилых домов с. Петрово</t>
  </si>
  <si>
    <t>14.03.2011г</t>
  </si>
  <si>
    <t>Постановление администрации Серебряно-Прудского муниципального района МО №181</t>
  </si>
  <si>
    <t>А/м КО503В ГАЗ 3307 Мочильский ЖКХ</t>
  </si>
  <si>
    <t>А/машина ГАЗ-52 "Техпомощь" Успенский ЖКХ</t>
  </si>
  <si>
    <t>Автокара</t>
  </si>
  <si>
    <t>Автокран МКТ-25,5</t>
  </si>
  <si>
    <t>Автомобиль УАЗ</t>
  </si>
  <si>
    <t>ГАЗ 3110</t>
  </si>
  <si>
    <t>ГАЗ 3307 844 МЗЛ</t>
  </si>
  <si>
    <t>ГАЗ 3307 Р537МР</t>
  </si>
  <si>
    <t>ГАЗ 3309 К 0503 В27У576</t>
  </si>
  <si>
    <t>ГАЗ-52 РМЖ В201МВ 50</t>
  </si>
  <si>
    <t>ЗИЛ-130 КО503 В Р 538 МР 50</t>
  </si>
  <si>
    <t>ЗИЛ 451412 КО502 17-34 МЗУ</t>
  </si>
  <si>
    <t>Камаз</t>
  </si>
  <si>
    <t>ОДАЗ-93571</t>
  </si>
  <si>
    <t>Трактор Т-130 75</t>
  </si>
  <si>
    <t>УАЗ 390944 белая ночь дв. 70301313</t>
  </si>
  <si>
    <t>УАЗ-315195-051</t>
  </si>
  <si>
    <t>УАЗ-39094</t>
  </si>
  <si>
    <t>УАЗ-39099/60473944/</t>
  </si>
  <si>
    <t>Шевроле-Нива 21230</t>
  </si>
  <si>
    <t>Экскаватор 80-49МВ ЭО 26-21 Дмитриевское ЖКХ</t>
  </si>
  <si>
    <t>Экскаватор ЕК-12</t>
  </si>
  <si>
    <t>Экскаватор ЭО 3323 80-23</t>
  </si>
  <si>
    <t>Распоряжение администрации Серебряно-Прудского муниципального района № 278-р</t>
  </si>
  <si>
    <t>Автомобиль Ssang Yong KYRON II VIN Z8US0A1KSC0021630</t>
  </si>
  <si>
    <t>Автомобиль CHEVROLET NIVA 212300-55 VIN X9L21230090283552</t>
  </si>
  <si>
    <t>Автомобиль RENAULT LOGAN VIN X7LLSRB1HCH562777</t>
  </si>
  <si>
    <t>Автомобиль ГАЗ-2217 Специализированное Пассажирское VIN X9622170090658449</t>
  </si>
  <si>
    <t>Автомобиль CHEVROLET NIVA 212300 VIN X9L21230080208819</t>
  </si>
  <si>
    <t>37.07.2008</t>
  </si>
  <si>
    <t>50:39:0000000:4195</t>
  </si>
  <si>
    <t>50:39:0000000:4095</t>
  </si>
  <si>
    <t>50:39:0000000:4196</t>
  </si>
  <si>
    <t>Теплосети, протяженность трассы 2569,00 м., трубопроводов 3869,00 м., инв. 17583, 17523</t>
  </si>
  <si>
    <t>Теплосети протяженность сети 3025 м., протяженность трубопроводов в 2-х трубном иссечении 5418 м., инв. 017541, инв. 017573, инв.17024</t>
  </si>
  <si>
    <t>Водопроводные сети д. Шеметово протяженность 3583 м. (в т.ч. до д. № 53 протяженность трубопроводов 49 м), инв. 17579 + п.57 имущ-во казны</t>
  </si>
  <si>
    <t>Сети теплоснабжения д. Шеметово протяженность сети 1832м, протяженность трубопроводов в 2-х трубном исчислении 3298м (в т.ч. До д. 53 протяженность: трубопроводов 576 м, трассы 114 м), инв. 014133, инв.017578+п.58 имущ-во казны</t>
  </si>
  <si>
    <t>Тепловые сети от котельной №2, протяженность сети 2550 м., протяженность трубопровода в 2-х трубном исчислении 5794. инв. 017599, 017594, 017589</t>
  </si>
  <si>
    <t>Тепловые сети от котельной №3, протяженность сети 353 м, протяженность трубопроводов в 2-х трубном исчислении 450м. , инв.017511, инв. 017518, инв. 017528</t>
  </si>
  <si>
    <t>50:39:0060115:199</t>
  </si>
  <si>
    <t xml:space="preserve">Св-во о гос. рег-ии 50-АЕ №811650 </t>
  </si>
  <si>
    <t>50:39:0050104:258</t>
  </si>
  <si>
    <t>п. Серебряные Пруды М.О. ул. И. Садофьева. д.15</t>
  </si>
  <si>
    <t>50:39:0050104:260</t>
  </si>
  <si>
    <t>50:39:0050104:264</t>
  </si>
  <si>
    <t>50:39:0080203:168</t>
  </si>
  <si>
    <t>50:39:0080203:167</t>
  </si>
  <si>
    <t>50:39:0060306:1012</t>
  </si>
  <si>
    <t>50:39:0060114:146</t>
  </si>
  <si>
    <t>50:39:0080101:271</t>
  </si>
  <si>
    <t>50:39:0080203:169</t>
  </si>
  <si>
    <t>Московская область, р.п. Серебряные Пруды, мкр. Северный</t>
  </si>
  <si>
    <t>50:39:0050201:835</t>
  </si>
  <si>
    <t>п. Серебряные Пруды М.О. ул. И.Садофьева, д.15</t>
  </si>
  <si>
    <t>50:3960050104:259</t>
  </si>
  <si>
    <t>50:39:0060501:159</t>
  </si>
  <si>
    <t>п. Серебряные Пруды М.О. Школьный пер.</t>
  </si>
  <si>
    <t>50:39:0050503:691</t>
  </si>
  <si>
    <t>50:39:0050503:692</t>
  </si>
  <si>
    <t>50:39:0050503:393</t>
  </si>
  <si>
    <t>Очистные сооружения Мочильское ЖКХ инв. 013079 (биоблок 1, биоблок 2, илловая карта, подсобное помещение)</t>
  </si>
  <si>
    <t>50:39:0050510:56</t>
  </si>
  <si>
    <t>50:39:0060104:697</t>
  </si>
  <si>
    <t>50:39:0060201:95</t>
  </si>
  <si>
    <t>50:39:0060306:808</t>
  </si>
  <si>
    <t>50:39:0060104:522</t>
  </si>
  <si>
    <t>п. Серебряные Пруды М.О., ул. Первомайская</t>
  </si>
  <si>
    <t>Артскважина, глубина 85</t>
  </si>
  <si>
    <t>ВЗУ (артскважина), глубина 80 м.</t>
  </si>
  <si>
    <t>ВЗУ (артскважина «Заря»), 1975г, глубина 62 м</t>
  </si>
  <si>
    <t>ВЗУ (артскважина) 2013 г, глубина 75,6 м</t>
  </si>
  <si>
    <t>50:39:0050102:206</t>
  </si>
  <si>
    <t>Здание КНС. Инв. 013053, стены кирпичные</t>
  </si>
  <si>
    <t>50:39:0050502:93</t>
  </si>
  <si>
    <t>п. Серебряные Пруды М.О. ул. Ремесленная - пл. Советская</t>
  </si>
  <si>
    <t>Здание КНС, 1-о этажное, стены кирпичные</t>
  </si>
  <si>
    <t>50:39:0060306:993</t>
  </si>
  <si>
    <t>50:39:0060501:158</t>
  </si>
  <si>
    <t>50:39:0050404:971</t>
  </si>
  <si>
    <t>ВЗУ (артскважина) Шеметовское ЖКХ, 1973г., инв. 014130</t>
  </si>
  <si>
    <t>50:39:0060104:702</t>
  </si>
  <si>
    <t>50:39:0080105:885</t>
  </si>
  <si>
    <t>Очистные сооружения Дмитриевское ЖКХ инв. 013080 (биоблок)</t>
  </si>
  <si>
    <t>50:39:0080105:887</t>
  </si>
  <si>
    <t>Очистные сооружения Дмитриевское ЖКХ инв. 013080 (илловая карта)</t>
  </si>
  <si>
    <t>50:39:0080105:886</t>
  </si>
  <si>
    <t>Очистные сооружения Дмитриевское ЖКХ инв. 013080 насос)</t>
  </si>
  <si>
    <t>50:39:0060307:34</t>
  </si>
  <si>
    <t>Очистные сооружения Мочильское ЖКХ инв. 013079 (биоблок 1)</t>
  </si>
  <si>
    <t>Очистные сооружения Мочильское ЖКХ инв. 013079 (биоблок 2, )</t>
  </si>
  <si>
    <t>50:39:0060307:36</t>
  </si>
  <si>
    <t>50:39:0060307:33</t>
  </si>
  <si>
    <t>Очистные сооружения Мочильское ЖКХ инв. 013079 (подсобное помещение, 1-о этажное, стены кирпичные)</t>
  </si>
  <si>
    <t>50:39:0060307:35</t>
  </si>
  <si>
    <t>Очистные сооружения Подхоженское ЖКХ инв. 13300 (биоблок 1)</t>
  </si>
  <si>
    <t>Очистные сооружения Подхоженское ЖКХ инв. 13300 (Илловая карта)</t>
  </si>
  <si>
    <t>50:39:0060201:112</t>
  </si>
  <si>
    <t>Очистные сооружения Подхоженское ЖКХ инв. 13300 (павильон 1, здание 1-о этажное, стены кирпичные)</t>
  </si>
  <si>
    <t>50:39:0060201:110</t>
  </si>
  <si>
    <t>Очистные сооружения Подхоженское ЖКХ инв. 13300 (биоблок 2)</t>
  </si>
  <si>
    <t>50:39:0060201:108</t>
  </si>
  <si>
    <t>Очистные сооружения Подхоженское ЖКХ инв. 13300 (павильон 2, здание 1-о этажное, кирпичное)</t>
  </si>
  <si>
    <t>50:39:0060201:109</t>
  </si>
  <si>
    <t>50:39:0060201:111</t>
  </si>
  <si>
    <t>п. Серебряные Пруды М.О. ул. Комсомольская, ул. Колхозная</t>
  </si>
  <si>
    <t>50:39:0050405:329</t>
  </si>
  <si>
    <t>50:39:0050405:327</t>
  </si>
  <si>
    <t>50:39:0050405:328</t>
  </si>
  <si>
    <t>50:39:0070101:120</t>
  </si>
  <si>
    <t>50:39:0070101:117</t>
  </si>
  <si>
    <t>50:39:0070101:126</t>
  </si>
  <si>
    <t>50:39:0070101:118</t>
  </si>
  <si>
    <t>50:39:0070101:119</t>
  </si>
  <si>
    <t>50:39:0050503:686</t>
  </si>
  <si>
    <t>Сооружение ЦТП, 1977г</t>
  </si>
  <si>
    <t>50:39:0060101:20</t>
  </si>
  <si>
    <t>50:39:0060101:22</t>
  </si>
  <si>
    <t>50:39:0060101:21</t>
  </si>
  <si>
    <t>50:39:0060101:19</t>
  </si>
  <si>
    <t>50:39:0060101:23</t>
  </si>
  <si>
    <t>п. Серебряные Пруды М.О. ул. 8 марта Привокзальная</t>
  </si>
  <si>
    <t>50:39:0050510:57</t>
  </si>
  <si>
    <t>Хлораторная КНС очистные сооружения инв. 013023, 1-о этажное, стены кирпичные</t>
  </si>
  <si>
    <t>п. Серебряные Пруды М.О. ул. 8 марта, Привокзальная</t>
  </si>
  <si>
    <t>50:39:0050510:60</t>
  </si>
  <si>
    <t>Здание административно-бытового комплекса очистных сооружений, 1-о этажное, стены кирпичные, 1971г, инв 013019</t>
  </si>
  <si>
    <t>50:39:0050510:55</t>
  </si>
  <si>
    <t xml:space="preserve">п. Серебряные Пруда М.О., ул. Первомайская, д.4 </t>
  </si>
  <si>
    <t>п. Серебряные Пруды М.О.мкр. Западный</t>
  </si>
  <si>
    <t>50:39:0050404:970</t>
  </si>
  <si>
    <t>п. Серебряные Пруды М.О.мкр. Центральный</t>
  </si>
  <si>
    <t>50:39:0050503:684</t>
  </si>
  <si>
    <t>50:39:0000000:4144</t>
  </si>
  <si>
    <t>50:39:0000000:4148</t>
  </si>
  <si>
    <t>50:39:0000000:4149</t>
  </si>
  <si>
    <t>п. Серебряные Пруды М.О. от ул. Школьной до КНС</t>
  </si>
  <si>
    <t>50:39:0000000:4154</t>
  </si>
  <si>
    <t>50:39:0000000:4153</t>
  </si>
  <si>
    <t>п. Серебряные Пруды М.О. мкр. Западный до КНС</t>
  </si>
  <si>
    <t>п. Серебряные Пруды М.О. Комсомольский переулок (через ул. Ленина на ул. Садовая)</t>
  </si>
  <si>
    <t>50:39:0000000:4152</t>
  </si>
  <si>
    <t>п. Серебряные Пруды М.О. ул. Первомайская д.9 до ул. Школьная</t>
  </si>
  <si>
    <t>50:39:0050503:688</t>
  </si>
  <si>
    <t>п. Серебряные Пруды М.О. мкр-н Юбилейный</t>
  </si>
  <si>
    <t>50:39:0000000:4124</t>
  </si>
  <si>
    <t>п. Серебряные Пруды М.О. от мол. Завода через ул. Привокзальную, по ул. Садовой до больницы</t>
  </si>
  <si>
    <t>50:39:0000000:4177</t>
  </si>
  <si>
    <t>п. Серебряные Пруды М.О.пл. Советская - КНС</t>
  </si>
  <si>
    <t>п. Серебряные Пруды М.О.ул. Первомайская (через церковь, стадион до ул. Школьная)</t>
  </si>
  <si>
    <t>п. Серебряные Пруды М.О.ул. Школьная (от д. №13 м-н Центральный до сливного колодца)</t>
  </si>
  <si>
    <t>Водопроводные сети, протяженность 1504 м, год ввода 1966, инв. 017595</t>
  </si>
  <si>
    <t>п. Серебряные Пруды М.О. ул. Свободная</t>
  </si>
  <si>
    <t>50:39:0000000:4131</t>
  </si>
  <si>
    <t>Водопроводные сети, протяженность 1223м, год ввода 1966г, инв. 017590</t>
  </si>
  <si>
    <t>50:39:0000000:4147</t>
  </si>
  <si>
    <t>Водопроводные сети, протяженность 1627м, год ввода 1965, инв. 017600</t>
  </si>
  <si>
    <t>п. Серебряные Пруды М.О. ул. Набережная</t>
  </si>
  <si>
    <t>50:39:0000000:4165</t>
  </si>
  <si>
    <t>п. Серебряные Пруды М.О. ул. Комсомольская</t>
  </si>
  <si>
    <t>50:39:0000000:4125</t>
  </si>
  <si>
    <t>п. Серебряные Пруды М.О. ул. Ленина</t>
  </si>
  <si>
    <t>50:39:0000000:4145</t>
  </si>
  <si>
    <t>50:39:0000000:4146</t>
  </si>
  <si>
    <t>п. Серебряные Пруды М.О. мкр-н Тополя</t>
  </si>
  <si>
    <t>50:39:0050301:646</t>
  </si>
  <si>
    <t>п. Серебряные Пруды М.О. мкр-н  Западный</t>
  </si>
  <si>
    <t>50:39:0000000:4167</t>
  </si>
  <si>
    <t>п. Серебряные Пруды М.О. мкр-н  Юбилейный</t>
  </si>
  <si>
    <t>50:39:0000000:4166</t>
  </si>
  <si>
    <t>50:39:0000000:4168</t>
  </si>
  <si>
    <t>п. Серебряные Пруды М.О. ул. Мичурина</t>
  </si>
  <si>
    <t>50:39:0000000:4161</t>
  </si>
  <si>
    <t>п. Серебряные Пруды М.О. ул. Заречная</t>
  </si>
  <si>
    <t>50:39:0000000:4156</t>
  </si>
  <si>
    <t>п. Серебряные Пруды М.О. ул. Ильи Садофьева</t>
  </si>
  <si>
    <t>50:39:0000000:4155</t>
  </si>
  <si>
    <t>п. Серебряные Пруды М.О. ул. М. Луговая</t>
  </si>
  <si>
    <t>50:39:0000000:4157</t>
  </si>
  <si>
    <t>п. Серебряные Пруды М.О. ул. Трудовая</t>
  </si>
  <si>
    <t>50:39:0000000:4159</t>
  </si>
  <si>
    <t>п. Серебряные Пруды М.О. ул. Почтовая</t>
  </si>
  <si>
    <t>50:39:0050602:498</t>
  </si>
  <si>
    <t>п. Серебряные Пруды М.О. ул. Петра Романова</t>
  </si>
  <si>
    <t>50:39:0000000:4134</t>
  </si>
  <si>
    <t>п. Серебряные Пруды М.О. ул. Колхозная</t>
  </si>
  <si>
    <t>50:39:0000000:4133</t>
  </si>
  <si>
    <t>п. Серебряные Пруды М.О. ул. Школьная</t>
  </si>
  <si>
    <t>50:39:0000000:4128</t>
  </si>
  <si>
    <t>п. Серебряные Пруды М.О. ул. Железнодорожная</t>
  </si>
  <si>
    <t>50:39:0000000:4160</t>
  </si>
  <si>
    <t>п. Серебряные Пруды М.О. ул. Коммунальная</t>
  </si>
  <si>
    <t>50:39:0000000:4158</t>
  </si>
  <si>
    <t>50:39:0000000:4129</t>
  </si>
  <si>
    <t>п. Серебряные Пруды М.О. ул. 8 Марта</t>
  </si>
  <si>
    <t>50:39:0000000:4132</t>
  </si>
  <si>
    <t>п. Серебряные Пруды М.О. ул. Красноармейская</t>
  </si>
  <si>
    <t>50:39:0000000:4140</t>
  </si>
  <si>
    <t>50:39:0000000:4150</t>
  </si>
  <si>
    <t>п. Серебряные Пруды М.О. пер. Заречный</t>
  </si>
  <si>
    <t>50:39:0050104:263</t>
  </si>
  <si>
    <t>50:39:0000000:4130</t>
  </si>
  <si>
    <t>п. Серебряные Пруды М.О. ул. Полевая</t>
  </si>
  <si>
    <t>50:39:0000000:4137</t>
  </si>
  <si>
    <t>п. Серебряные Пруды М.О. ул. Коровушкина</t>
  </si>
  <si>
    <t>50:39:0000000:4135</t>
  </si>
  <si>
    <t>п. Серебряные Пруды М.О. ул. Маршала Чуйкова</t>
  </si>
  <si>
    <t>50:39:0000000:4139</t>
  </si>
  <si>
    <t>50:39:0000000:4136</t>
  </si>
  <si>
    <t>п. Серебряные Пруды М.О. ул. Сергея Фирсова</t>
  </si>
  <si>
    <t>п. Серебряные Пруды М.О. ул. Привокзальная</t>
  </si>
  <si>
    <t>50:39:0000000:4122</t>
  </si>
  <si>
    <t>50:39:0000000:4126</t>
  </si>
  <si>
    <t>50:39:0000000:4127</t>
  </si>
  <si>
    <t>50:39:0000000:4123</t>
  </si>
  <si>
    <t>п. Серебряные Пруды М.О. ул. Восточная</t>
  </si>
  <si>
    <t>50:39:0000000:4116</t>
  </si>
  <si>
    <t>п. Серебряные Пруды М.О. мкр. Северный</t>
  </si>
  <si>
    <t>50:39:0050201:831</t>
  </si>
  <si>
    <t>п. Серебряные Пруды М.О. ул. Южная</t>
  </si>
  <si>
    <t>50:39:0050514:336</t>
  </si>
  <si>
    <t>Подземный и надземный газопровод низкого давления, протяженность 11 м, инв. 272:077-2244</t>
  </si>
  <si>
    <t>14.01.2013г</t>
  </si>
  <si>
    <t>Свидетельство о регистрации права 50-АД № 746278</t>
  </si>
  <si>
    <t>Газопровод высокого и низкого давления, протяженность 460,95м, инв. № 272:110-5550</t>
  </si>
  <si>
    <t>50:39:0050203:326</t>
  </si>
  <si>
    <t>50-50-39/014/2009-361</t>
  </si>
  <si>
    <t xml:space="preserve">2-х комнатная квартира </t>
  </si>
  <si>
    <t>1-а комнатная квартира</t>
  </si>
  <si>
    <t>50-50-39/014/2009-342</t>
  </si>
  <si>
    <t>50-50-39/014/2009-377</t>
  </si>
  <si>
    <t>50-50-39/014/2009-360</t>
  </si>
  <si>
    <t>50-50-39/014/2009-331</t>
  </si>
  <si>
    <t>50-50-39/014/2009-345</t>
  </si>
  <si>
    <t>50-50-39/014/2009-347</t>
  </si>
  <si>
    <t>50-50-39/014/2009-375</t>
  </si>
  <si>
    <t>50-50-39/014/2009-376</t>
  </si>
  <si>
    <t>50-50-39/014/2009-332</t>
  </si>
  <si>
    <t>50-50-39/014/2009-337</t>
  </si>
  <si>
    <t>50-50-39/014/2009-357</t>
  </si>
  <si>
    <t>50-50-39/014/2009-348</t>
  </si>
  <si>
    <t>50-50-39/014/2009-338</t>
  </si>
  <si>
    <t>50-50-39/014/2009-371</t>
  </si>
  <si>
    <t>50-50-39/014/2009-340</t>
  </si>
  <si>
    <t>50-50-39/014/2009-341</t>
  </si>
  <si>
    <t>50-50-39/014/2009-358</t>
  </si>
  <si>
    <t>50-50-39/014/2009-372</t>
  </si>
  <si>
    <t>50-50-39/014/2009-355</t>
  </si>
  <si>
    <t>50-50-39/014/2009-359</t>
  </si>
  <si>
    <t>50-50-39/014/2009-378</t>
  </si>
  <si>
    <t>50-50-39/014/2009-339</t>
  </si>
  <si>
    <t>50-50-39/014/2009-344</t>
  </si>
  <si>
    <t>50-50-39/014/2009-379</t>
  </si>
  <si>
    <t>50-50-39/014/2009-373</t>
  </si>
  <si>
    <t>50-50-39/014/2009-354</t>
  </si>
  <si>
    <t>50-50-39/014/2009-374</t>
  </si>
  <si>
    <t>50-50-39/014/2009-343</t>
  </si>
  <si>
    <t>50-50-39/014/2009-380</t>
  </si>
  <si>
    <t>50-50-39/014/2009-356</t>
  </si>
  <si>
    <t>Свидетельство о регистрации права 50-НГ №936842</t>
  </si>
  <si>
    <t>Свидетельство о регистрации права 50-НГ №936816</t>
  </si>
  <si>
    <t>Свидетельство о регистрации права 50-НГ №936852</t>
  </si>
  <si>
    <t>Свидетельство о регистрации права 50-НГ №936840</t>
  </si>
  <si>
    <t>Свидетельство о регистрации права 50-НГ №936802</t>
  </si>
  <si>
    <t>Свидетельство о регистрации права 50-НГ №936821</t>
  </si>
  <si>
    <t>Свидетельство о регистрации права 50-НГ №936823</t>
  </si>
  <si>
    <t>Свидетельство о регистрации права 50-НГ №936860</t>
  </si>
  <si>
    <t>Свидетельство о регистрации права 50-НГ №936862</t>
  </si>
  <si>
    <t>Свидетельство о регистрации права 50-НГ №936804</t>
  </si>
  <si>
    <t>Свидетельство о регистрации права 50-НГ №936806</t>
  </si>
  <si>
    <t>Свидетельство о регистрации права 50-НГ №936883</t>
  </si>
  <si>
    <t>Свидетельство о регистрации права 50-НГ №936825</t>
  </si>
  <si>
    <t>Свидетельство о регистрации права 50-НГ №936808</t>
  </si>
  <si>
    <t>Свидетельство о регистрации права 50-НГ №936843</t>
  </si>
  <si>
    <t>Свидетельство о регистрации права 50-НГ №936812</t>
  </si>
  <si>
    <t>Свидетельство о регистрации права 50-НГ №936813</t>
  </si>
  <si>
    <t>Свидетельство о регистрации права 50-НГ №936829</t>
  </si>
  <si>
    <t>Свидетельство о регистрации права 50-НГ №936846</t>
  </si>
  <si>
    <t>Свидетельство о регистрации права 50-НГ №936832</t>
  </si>
  <si>
    <t>Свидетельство о регистрации права 50-НГ №936884</t>
  </si>
  <si>
    <t>Свидетельство о регистрации права 50-НГ №936854</t>
  </si>
  <si>
    <t>Свидетельство о регистрации права 50-НГ №936810</t>
  </si>
  <si>
    <t>Свидетельство о регистрации права 50-НГ №936881</t>
  </si>
  <si>
    <t>Свидетельство о регистрации права 50-НГ №936856</t>
  </si>
  <si>
    <t>Свидетельство о регистрации права 50-НГ №936848</t>
  </si>
  <si>
    <t>Свидетельство о регистрации права 50-НГ №936831</t>
  </si>
  <si>
    <t>Свидетельство о регистрации права 50-НГ №936850</t>
  </si>
  <si>
    <t>Свидетельство о регистрации права 50-НГ №936818</t>
  </si>
  <si>
    <t>Свидетельство о регистрации права 50-НГ №936858</t>
  </si>
  <si>
    <t>Свидетельство о регистрации права 50-НГ №936836</t>
  </si>
  <si>
    <t>50-50-39/008/2007-146</t>
  </si>
  <si>
    <t>50:39:07:00008:001:0003</t>
  </si>
  <si>
    <t>50-50-39/017/2010-131</t>
  </si>
  <si>
    <t>50-50-39/002/2006-452</t>
  </si>
  <si>
    <t>Свидетельство о регистрации права НА №0835147</t>
  </si>
  <si>
    <t>50:39:02:00077:001:0004</t>
  </si>
  <si>
    <t>50:39:02:00024:001:0001</t>
  </si>
  <si>
    <t>50-50-39/003/2007-337</t>
  </si>
  <si>
    <t>Свидетельство о государственной регистрации 50 НБ №018298</t>
  </si>
  <si>
    <t>Свидетельство о государственной регистрации 50 НБ №020702</t>
  </si>
  <si>
    <t>18.08.2006г</t>
  </si>
  <si>
    <t>50-50-39/001/2006-220</t>
  </si>
  <si>
    <t>Свидетельство о регистрации НА №595210</t>
  </si>
  <si>
    <t>Свидетельство о регистрации права НА №0595056</t>
  </si>
  <si>
    <t>Здание Интерната , инв. 3476а</t>
  </si>
  <si>
    <t>Здание МУ «Районный Дом культуры», 2-этажное, инв. 272:077-1861</t>
  </si>
  <si>
    <t>Свидетельство о регистрации права 50-НГ № 249056</t>
  </si>
  <si>
    <t>Часть здания гостиницы, 3-этажная, инв. 1227</t>
  </si>
  <si>
    <t>50-50-39/002/2006-143</t>
  </si>
  <si>
    <t>Часть здания  Детская художественная школа им. Кившенко, 1-этажный, инв. 272:077-1529 лит.А</t>
  </si>
  <si>
    <t>50-50-39/0082007-132</t>
  </si>
  <si>
    <t>Свидетельство о регистрации права 50 НБ №370878</t>
  </si>
  <si>
    <t>Часть здания - центральная районная библиотека, 1-этажный, инв. 272:077-1529/2 лит. А-А4</t>
  </si>
  <si>
    <t>50-50-39/006/2009-199</t>
  </si>
  <si>
    <t>Свидетельство о регистрации права 50- НГ № 593063</t>
  </si>
  <si>
    <t>Здание музея, 1-этажный, инв. 272:077-296 лит А,А1,а1,а2,а3</t>
  </si>
  <si>
    <t>Свидетельство о регистрации права 50-НВ №177632</t>
  </si>
  <si>
    <t>Московская обл., Серебряно-Прудский р-он, р.п. Серебряные Пруды, ул. Первомайская, д.14</t>
  </si>
  <si>
    <t>Земельный участок, категория земли - земли поселений, ВРИ - для эксплуатации и обслуживания административного здания гражданского значения</t>
  </si>
  <si>
    <t>50-50-39/001/2006-343</t>
  </si>
  <si>
    <t>Здание поликлиники, 4-этажное, инв. №1576 лит А</t>
  </si>
  <si>
    <t>3822.90</t>
  </si>
  <si>
    <t>Свидетельство о регистрации права НА №0007227</t>
  </si>
  <si>
    <t>Здание роддома, 2-этажное, инв. № 735 лит. А8</t>
  </si>
  <si>
    <t>п. Серебряные Пруды М.О. ул. Школьная, д.4</t>
  </si>
  <si>
    <t>50-50-39/001/2006-344</t>
  </si>
  <si>
    <t>Свидетельство о регистрации права НА №007278</t>
  </si>
  <si>
    <t>Здание террапевтического корпуса, 5-этажное, инв. №272:077-735</t>
  </si>
  <si>
    <t>5320.40</t>
  </si>
  <si>
    <t>п. Серебряные Пруды М.О. ул. Школьная д.4 "а"</t>
  </si>
  <si>
    <t>50-50-39/005/2006- 088</t>
  </si>
  <si>
    <t>п. Серебряные Пруды М.О. ул. Школьная д.4 "б"</t>
  </si>
  <si>
    <t>50-50-39/005/2006- 089</t>
  </si>
  <si>
    <t>2456.3</t>
  </si>
  <si>
    <t>Свидетельство о регистрации права НА №0580091</t>
  </si>
  <si>
    <t>Здание террапевтического корпуса, 3-этажное, инв. №272:077-735</t>
  </si>
  <si>
    <t>Здание пищеблока, 1-этажное, инв. 272:077-733.лит. А2</t>
  </si>
  <si>
    <t>п. Серебряные Пруды М.О. ул. Школьная д.4 "г"</t>
  </si>
  <si>
    <t>50-50-39/005/2006- 090</t>
  </si>
  <si>
    <t>564.4</t>
  </si>
  <si>
    <t>Свидетельство о регистрации права НА №0580090</t>
  </si>
  <si>
    <t>п. Серебряные Пруды М.О. ул. Школьная д.4 "в"</t>
  </si>
  <si>
    <t>50-50-39/006/2009-329</t>
  </si>
  <si>
    <t>Здание инфекционного корпуса на 20 коек для Серебряно-Прудской ЦРБ, 2-этажный, инв. 272:077-735</t>
  </si>
  <si>
    <t>Сооружение 1-этажное для ФОК, инв. 1313. лит А, объект №1</t>
  </si>
  <si>
    <t>50:39:06:00107:001</t>
  </si>
  <si>
    <t>Свидетельство о регистрации 50 АГ №014805</t>
  </si>
  <si>
    <t>Мемориальный Дом-Музей Дважды Героя Советского Союза, Маршала Советского Союза Василия Ивановича Чуйкова, 2-этажное, инв. 272:077-459</t>
  </si>
  <si>
    <t>50:39:0050507:23</t>
  </si>
  <si>
    <t>50:39:0050504:23</t>
  </si>
  <si>
    <t>Московская обл., Серебряно-Прудский р-он, р.п. Серебряные Пруды, ул. Первомайская, д.11</t>
  </si>
  <si>
    <t>Свидетельство о регистрации права 50-БА 011856</t>
  </si>
  <si>
    <t>Здание нежилого назначения, 1-этажный, инв. 272:077-1725/2 лит.В</t>
  </si>
  <si>
    <t>Здание нежилого назначения, 1-этажный, инв. 272:077-1725/3лит.Г</t>
  </si>
  <si>
    <t>Здание нежилого назначения, 1-этажный, инв. 272:077-1725/4 лит.Д</t>
  </si>
  <si>
    <t>50-50-39/014/2010-382</t>
  </si>
  <si>
    <t>Свидетельство о регистрации права 50 АБ №328168</t>
  </si>
  <si>
    <t>Часть здания, инв. 272:077-1529 лит. А (УКС)</t>
  </si>
  <si>
    <t>Свидетельство о регистрации права НА №0014874</t>
  </si>
  <si>
    <t>Часть здания, 1-2 этажный, инв. 275:078-2788 лит. А (интернат Надежда"</t>
  </si>
  <si>
    <t>50-50-39/017/2010-383</t>
  </si>
  <si>
    <t>Свидетельство о регистрации права АБ №328181</t>
  </si>
  <si>
    <t>Постановление главы Серебряно-Прудского муниципального района Московской области 790</t>
  </si>
  <si>
    <t xml:space="preserve">Здание трансформаторной подстанции, 1-этажное, кирпичное, инв. 272:077-1965 лит.Г </t>
  </si>
  <si>
    <t>Индивидуальное газовое отопление жилых домов</t>
  </si>
  <si>
    <t>19.04.2010г</t>
  </si>
  <si>
    <t>Постановление главы Серебряно-Прудского муниципального района №422</t>
  </si>
  <si>
    <t>Здание, нежилое, 2-этажное, из прочих материалов, инв. №272:077-1700 (СЭС)</t>
  </si>
  <si>
    <t>п. Серебряные Пруды М.О. м-н Юбилейный д.15</t>
  </si>
  <si>
    <t>Распоряжение администрации Серебряно-Прудского муниципального района № 381-р</t>
  </si>
  <si>
    <t>05.04.20014</t>
  </si>
  <si>
    <t>08.12.20014</t>
  </si>
  <si>
    <t>Снегоход  " БУРАН АЕ "</t>
  </si>
  <si>
    <t>22.121.2011</t>
  </si>
  <si>
    <t>Автоматическая водоумягчительная установка</t>
  </si>
  <si>
    <t>Распоряжение администрации Серебряно-Прудского муниципального района № 278</t>
  </si>
  <si>
    <t>Агрегат электронасосный СМ 100-65-25024 О.С.</t>
  </si>
  <si>
    <t>Агрегат электронасосный СМ 80 О.С.</t>
  </si>
  <si>
    <t>АДД-400А агрегат сварочный двиг. Д144</t>
  </si>
  <si>
    <t>Алкотест 6510</t>
  </si>
  <si>
    <t>АТС Панасоник</t>
  </si>
  <si>
    <t>Бак аккумуляторный V=400 м3 - 2шт.</t>
  </si>
  <si>
    <t>17342, 017341</t>
  </si>
  <si>
    <t>Бак расширительный "КТТ-Д" V-2м3</t>
  </si>
  <si>
    <t>Бенз.эл. Станция БЭС-6500Е</t>
  </si>
  <si>
    <t>Бензокоса-Husqvarna-235 О.С.</t>
  </si>
  <si>
    <t>Вентилятор</t>
  </si>
  <si>
    <t>Вентилятор 13У Шеметовский ЖКХ</t>
  </si>
  <si>
    <t>Вентилятор крышной ВКРМ-8-02 с установкой</t>
  </si>
  <si>
    <t>вентиляция теплоснабжения и отопление</t>
  </si>
  <si>
    <t>Водомер холодной воды ВСХ25 - 2шт.</t>
  </si>
  <si>
    <t>17193, 017194</t>
  </si>
  <si>
    <t>Водомер холодной воды ВСХ80</t>
  </si>
  <si>
    <t>Водонагреватели пластинчатые 13МВт - 2шт.</t>
  </si>
  <si>
    <t>17188, 017189</t>
  </si>
  <si>
    <t xml:space="preserve">Воздухадувка 2А 53М2-МН50-10, 68-3-11 </t>
  </si>
  <si>
    <t>Воздухадувка /компр./Дмитриевское ЖКХ</t>
  </si>
  <si>
    <t>Газовое оборудование</t>
  </si>
  <si>
    <t>Газодувка   Подхоженское ЖКХ</t>
  </si>
  <si>
    <t>Горелка комбинированная - 3шт.</t>
  </si>
  <si>
    <t>17233, 017232, 017231</t>
  </si>
  <si>
    <t>Д200-36 5 А200м4 37квт Подхожее</t>
  </si>
  <si>
    <t>Двигатель</t>
  </si>
  <si>
    <t>Двигатель асинхронный 11 квт О.С.</t>
  </si>
  <si>
    <t>Двигатель асинхронный 4квт О.С.</t>
  </si>
  <si>
    <t>Двигатель 3М3 511</t>
  </si>
  <si>
    <t>Детектор газа СО марки СТГ-1-2Д10</t>
  </si>
  <si>
    <t>Дробилка канализационная Д36</t>
  </si>
  <si>
    <t>Дробилка канализационная Д-3в КНС</t>
  </si>
  <si>
    <t>Емкость мет. 75м3</t>
  </si>
  <si>
    <t>Задвижка М3В 250 О.С.</t>
  </si>
  <si>
    <t>Задвижка стальная</t>
  </si>
  <si>
    <t>Задвижка чуг. Д. 300 - 4шт.</t>
  </si>
  <si>
    <t>17648, 1764478, 17646, 17645</t>
  </si>
  <si>
    <t>Зарядное устройство Успенский ЖКХ</t>
  </si>
  <si>
    <t>Заслонка 497-Е200 - 4шт.</t>
  </si>
  <si>
    <t>017358, 017359, 017357, 017356</t>
  </si>
  <si>
    <t>ИК-термометр КМ 200 ЛЦ с проверкой</t>
  </si>
  <si>
    <t>Канальная система КВС ЛОТ300-74 с установкой</t>
  </si>
  <si>
    <t>КИП и А</t>
  </si>
  <si>
    <t>КИП и А ОВ</t>
  </si>
  <si>
    <t>Клапан 25ч95 п</t>
  </si>
  <si>
    <t>Клапан газовый</t>
  </si>
  <si>
    <t>Клапан газовый КГ20</t>
  </si>
  <si>
    <t>Клапан обратный Ко-150.000 КНС</t>
  </si>
  <si>
    <t xml:space="preserve">Клапан обратный Ко-150000 </t>
  </si>
  <si>
    <t>Клапан пневматический фланцевый</t>
  </si>
  <si>
    <t>Клапан прижимной</t>
  </si>
  <si>
    <t>Колокола с арнаментом</t>
  </si>
  <si>
    <t>Компенсатор фланцевый Prospero - 3 шт.</t>
  </si>
  <si>
    <t>17239, 017240, 017241</t>
  </si>
  <si>
    <t>Комплект порционного дозирования</t>
  </si>
  <si>
    <t>Компрес.агрегат Подхоженское ЖКХ</t>
  </si>
  <si>
    <t>Компрессор/очист.сооруж./Мочильское ЖКХ</t>
  </si>
  <si>
    <t>Компрессор 2АР 52м Шеметовский ЖКХ</t>
  </si>
  <si>
    <t>Компрессор 2АФ51Э52Ш КНС. Мочилы</t>
  </si>
  <si>
    <t>Компьютер АМД Athlon-64</t>
  </si>
  <si>
    <t>Компьютер Acer TFT-17</t>
  </si>
  <si>
    <t>Компьютер С-775/2.35/256/80ВМВ/ЕАЕ19/</t>
  </si>
  <si>
    <t>Компьютер-ноутбук</t>
  </si>
  <si>
    <t xml:space="preserve">Копировальный аппарат </t>
  </si>
  <si>
    <t>Котел КВА-2.5</t>
  </si>
  <si>
    <t>Котел ЭВЖК-2.5 - 2 шт.</t>
  </si>
  <si>
    <t>017503, 017502</t>
  </si>
  <si>
    <t>Котлы и котельное оборудование</t>
  </si>
  <si>
    <t>Котлы стальные жаротрубные КВ8/*МВт/ - 2 шт.</t>
  </si>
  <si>
    <t>017185а, 017187</t>
  </si>
  <si>
    <t>Котлы стальные жаротрубные СТГ-КВ8/8МВт/</t>
  </si>
  <si>
    <t>Кран шаровой газовый сварной Ду-150 мм - 3 шт.</t>
  </si>
  <si>
    <t>017199, 017198, 017197</t>
  </si>
  <si>
    <t>Кран шаровой сварной dу-200 мм - 20 шт.</t>
  </si>
  <si>
    <t>017207, 017206, 017205, 017204, 017203, 017202, 017208, 017209, 017219, 017220, 017221, 017210, 017211, 017212, 017213, 017214, 017215, 017216, 017217, 017218</t>
  </si>
  <si>
    <t>Кран шаровой сварной dу-300 мм - 2 шт.</t>
  </si>
  <si>
    <t>017201, 017200</t>
  </si>
  <si>
    <t>Кран шаровой сервисный dу-25 мм - 3 шт.</t>
  </si>
  <si>
    <t>017222, 017223, 017224</t>
  </si>
  <si>
    <t>Ксероес "Canon"-FC-298</t>
  </si>
  <si>
    <t>Лебедка ручная</t>
  </si>
  <si>
    <t>Лодка "Казанка"</t>
  </si>
  <si>
    <t>Молоток отбойный 65SB2</t>
  </si>
  <si>
    <t>Надпись "С Новым Годом !"</t>
  </si>
  <si>
    <t>Насос ЭЦВ 1Д 315-50</t>
  </si>
  <si>
    <t>Насос часть ЭЦВ</t>
  </si>
  <si>
    <t>Насос 50х 32х125</t>
  </si>
  <si>
    <t>Насос 6-10-80 Ламоново</t>
  </si>
  <si>
    <t>Насос 65-50-160</t>
  </si>
  <si>
    <t>Насос Gчundfos многоблочный - 3 шт.</t>
  </si>
  <si>
    <t>17254, 017253, 017255</t>
  </si>
  <si>
    <t>Насос KSB горизонтальный Etanoчn</t>
  </si>
  <si>
    <t>017256, 017257, 017258</t>
  </si>
  <si>
    <t>Насос ГВС 65/250-37/2-12 - 2 шт.</t>
  </si>
  <si>
    <t>017347, 017348</t>
  </si>
  <si>
    <t>Насос Д200-36 5А200М4 37квт.</t>
  </si>
  <si>
    <t>Насос для промывки систем BOY С30</t>
  </si>
  <si>
    <t>Насос КМ 65-50-125 2.2 квт.</t>
  </si>
  <si>
    <t>Насос КМ 80-50-200 15квт. Шеметовский ЖКХ</t>
  </si>
  <si>
    <t>Насос подпиточный теплосети 50/160-5.5/2 - 2 шт.</t>
  </si>
  <si>
    <t>017352, 017351</t>
  </si>
  <si>
    <t>Насос СМ 150125 Подхоженское ЖКХ</t>
  </si>
  <si>
    <t>Насос СМ 150-125-315-4 45квт. КНС</t>
  </si>
  <si>
    <t>Насос СМ 80-50-200-4 АИР100L 4квт. Дмитриевка</t>
  </si>
  <si>
    <t>Насос СМ 150-125-315-4 5А200М4 37квт.</t>
  </si>
  <si>
    <t>Насос фекальный ЦМФ 50-10/МНЗ/Мочилы</t>
  </si>
  <si>
    <t>Насос хол.воды 65/160-7/5/2 - 2шт.</t>
  </si>
  <si>
    <t>017349, 017350</t>
  </si>
  <si>
    <t>Насос центробежный 1Д315-50а 5А 225м2 55 квт.</t>
  </si>
  <si>
    <t>Насос ЦКМ 16/27</t>
  </si>
  <si>
    <t>Насос ЦМФ 50-10 О.С.</t>
  </si>
  <si>
    <t>Насос ЦМФ 50-104,4 КНС</t>
  </si>
  <si>
    <t>Насос ЦНСГ</t>
  </si>
  <si>
    <t>Насос ЭЦВ 6-16-110 Подхожее</t>
  </si>
  <si>
    <t>Насос ЭЦВ 10-65-110нрк Успенский ЖКХ</t>
  </si>
  <si>
    <t>Насос ЭЦВ 10-65-150 (погружной)45квт.</t>
  </si>
  <si>
    <t>Насос ЭЦВ 12-160-100</t>
  </si>
  <si>
    <t>Насос ЭЦВ 12-160-100 НРО</t>
  </si>
  <si>
    <t>Насос ЭЦВ 12-160-100 нро</t>
  </si>
  <si>
    <t>Насос ЭЦВ 6-16 110 Подхожее</t>
  </si>
  <si>
    <t>Насос ЭЦВ 6-16 110</t>
  </si>
  <si>
    <t>Насос ЭЦВ 6-16-140</t>
  </si>
  <si>
    <t>Насос ЭЦВ 6-16-140 Мочилы</t>
  </si>
  <si>
    <t>Насос ЭЦВ 6-25-100 (погружной) 11квт.</t>
  </si>
  <si>
    <t>Насос ЭЦВ 8-16-140 Подхожее</t>
  </si>
  <si>
    <t>Насос ЭЦВ 8-25-100/Подхоженский ЖКХ/</t>
  </si>
  <si>
    <t>Насос ЭЦВ 8-25-100 Дмитриевка</t>
  </si>
  <si>
    <t>Насос ЭЦВ 8-25-100 Подхожее</t>
  </si>
  <si>
    <t>Насос ЭЦВ 8-25-125 Подхожее</t>
  </si>
  <si>
    <t>Насос ЭЦВ 8-25-150 Успенское</t>
  </si>
  <si>
    <t>Насос ЭЦВ 8-40-120</t>
  </si>
  <si>
    <t>Насос ЭЦВ 8-40-120 (погружной) 22квт.</t>
  </si>
  <si>
    <t>Насос ЭЦВ 8-40-150 (погружной) 25квт.</t>
  </si>
  <si>
    <t>Насос ЭЦВ 8-65-110</t>
  </si>
  <si>
    <t>Насос ЭЦВ 10-65-110</t>
  </si>
  <si>
    <t xml:space="preserve">Насос ЭЦВ 10-65-110нрк </t>
  </si>
  <si>
    <t>Насос ЭЦВ 10-65-110нрк Успенское</t>
  </si>
  <si>
    <t>Насосная станция жидкого топлива</t>
  </si>
  <si>
    <t>Оборудование</t>
  </si>
  <si>
    <t>Передвижной сварочный агрегат Успенский ЖКХ</t>
  </si>
  <si>
    <t>Подогреватель</t>
  </si>
  <si>
    <t>Пожарная сигнализация</t>
  </si>
  <si>
    <t>Пожарная часть (оборудование)</t>
  </si>
  <si>
    <t>Предохран.клапан</t>
  </si>
  <si>
    <t>Преобразователь TFDO75F43A с стан.2СУН</t>
  </si>
  <si>
    <t>Преобразователь TFDO75F43A с стан.3СУН</t>
  </si>
  <si>
    <t>Преобразователь и постом управления</t>
  </si>
  <si>
    <t>Преобразователь частоты 122028 34000 Шеметово</t>
  </si>
  <si>
    <t>Преобразователь частоты Sjnus К 003 4Т ВА2К2</t>
  </si>
  <si>
    <t>Преобразователь частоты Sjnus К0017 Подхожее</t>
  </si>
  <si>
    <t>Преобразователь частоты Sjnus R 0040 4Т ВА2К2 Успенское</t>
  </si>
  <si>
    <t>Преобразователь частоты Sjnus К0017 4т ВА2К2</t>
  </si>
  <si>
    <t>Преобразователь частоты ZZ0097003_54000 Успенское</t>
  </si>
  <si>
    <t>Преобразователь частоты Подхожее</t>
  </si>
  <si>
    <t>Приборы КИП</t>
  </si>
  <si>
    <t>Привод газового клапана</t>
  </si>
  <si>
    <t>Принтер/водоканал/</t>
  </si>
  <si>
    <t>Принтер Laser Jet 10818</t>
  </si>
  <si>
    <t>Принтер МР РРМ</t>
  </si>
  <si>
    <t>Прицеп ЭПСО для АДД</t>
  </si>
  <si>
    <t>Расодомер нефтяной VZO 20 - 6 шт.</t>
  </si>
  <si>
    <t>017228, 017229, 017227, 017226, 017230, 017225</t>
  </si>
  <si>
    <t>Регулятор давления газа - 3 шт.</t>
  </si>
  <si>
    <t>017234, 017235, 017236</t>
  </si>
  <si>
    <t>Регулятор давления газа РДБК-150</t>
  </si>
  <si>
    <t>Ротор в сборе Котельная №2</t>
  </si>
  <si>
    <t>Сверлильный станок</t>
  </si>
  <si>
    <t>Секции забора</t>
  </si>
  <si>
    <t>Секеции ограждения со стойками</t>
  </si>
  <si>
    <t xml:space="preserve">Секеция ограждения </t>
  </si>
  <si>
    <t>Система регулирования в комплекте</t>
  </si>
  <si>
    <t>СМ 150-125-315/4 без эл.двигателя КНС</t>
  </si>
  <si>
    <t>Солерастворитель</t>
  </si>
  <si>
    <t>Станок токарный 16-К-40</t>
  </si>
  <si>
    <t>Станок фрезерный 6М12П</t>
  </si>
  <si>
    <t>Станок деревообрабатывающий WМ 1921</t>
  </si>
  <si>
    <t>Станок наждачный</t>
  </si>
  <si>
    <t>Станок токарный 1К62</t>
  </si>
  <si>
    <t>Счетчик газа Дуу-80 СГ 16М - 4 шт.</t>
  </si>
  <si>
    <t>017418, 017417, 017416, 017415</t>
  </si>
  <si>
    <t>Счетчик газа СГМ 16М400 Ду до 100 мм - 3 шт.</t>
  </si>
  <si>
    <t>017244, 017245, 017246</t>
  </si>
  <si>
    <t>Таль электрическая</t>
  </si>
  <si>
    <t>Таль электрическая CD-1, 0-12,0</t>
  </si>
  <si>
    <t>Теплообменник V120PHL\CDS-16\48</t>
  </si>
  <si>
    <t>Теплообменник V120PHL\CDS-16\49</t>
  </si>
  <si>
    <t>Теплообменник V120PHL\CDS-16\50</t>
  </si>
  <si>
    <t>Теплообменник V120PHL\CDS-16\51</t>
  </si>
  <si>
    <t>Техническое оборудование</t>
  </si>
  <si>
    <t>Трубопроводы</t>
  </si>
  <si>
    <t>Трубопроводы котельной d 15-273</t>
  </si>
  <si>
    <t>Трубокомпрессор О.С.</t>
  </si>
  <si>
    <t>Узел учета газа СГ16М1000 1:20 Ду-150</t>
  </si>
  <si>
    <t>Узел учета тепловой энергии</t>
  </si>
  <si>
    <t>017192а</t>
  </si>
  <si>
    <t>Установка обеззараживание воды УОВ-50ДМ Шеметово</t>
  </si>
  <si>
    <t>Установка умягчения воды 1000</t>
  </si>
  <si>
    <t>Фильтер</t>
  </si>
  <si>
    <t>фильтер центробежный 150</t>
  </si>
  <si>
    <t>Фильтр</t>
  </si>
  <si>
    <t>фильтр газовый</t>
  </si>
  <si>
    <t>Фильтр газовыфй Marchl</t>
  </si>
  <si>
    <t>фильтр сетчатый фланцевый Ду-300</t>
  </si>
  <si>
    <t>Фильтр-поглотитель О.С.</t>
  </si>
  <si>
    <t>Фильтры</t>
  </si>
  <si>
    <t>Хлораторная металлическая О.С.</t>
  </si>
  <si>
    <t>Хоз.быт.канализ. КНС</t>
  </si>
  <si>
    <t>Циркулярныцй насос - 3 шт.</t>
  </si>
  <si>
    <t>017249, 017250, 017248</t>
  </si>
  <si>
    <t>Шаровая задвижка ДУ-50 Шеметовский ЖКХ</t>
  </si>
  <si>
    <t>Шкаф телеметрии</t>
  </si>
  <si>
    <t>Щит ШЩ-ЗД</t>
  </si>
  <si>
    <t>Щит 1 ЩС</t>
  </si>
  <si>
    <t>Эл. Двигатель ЧАМН 280 2УЗ О.С. - 3 шт.</t>
  </si>
  <si>
    <t>017463, 017464, 017465</t>
  </si>
  <si>
    <t>Эл.двигатели</t>
  </si>
  <si>
    <t>Эл.двигатель</t>
  </si>
  <si>
    <t>Эл.двигатель 45квт.</t>
  </si>
  <si>
    <t>Эл.двигатель КНС</t>
  </si>
  <si>
    <t>Эл.двигатель О.С.</t>
  </si>
  <si>
    <t>Эл.двигатель с ремонта 37 квт х 1500 Подхоженское</t>
  </si>
  <si>
    <t>Эл.насос КМ 100-65-200 30 квт. - 2 шт.</t>
  </si>
  <si>
    <t>17134, 017135</t>
  </si>
  <si>
    <t>Эл.сил. оборудование</t>
  </si>
  <si>
    <t>Электродвигатель 4АМН280 О.С.</t>
  </si>
  <si>
    <t>Электросиловое оборудование</t>
  </si>
  <si>
    <t>Электорстанция АД-200 Т/400-1 РК</t>
  </si>
  <si>
    <t>ЭЦВ 8-16-140 Шеметово</t>
  </si>
  <si>
    <t>ЭЦВ 8-16-110</t>
  </si>
  <si>
    <t>Набор офисной мебели</t>
  </si>
  <si>
    <t>Сети водоснабжения 598,6 м.п., инв. 014127</t>
  </si>
  <si>
    <t>п. Серебряные Пруды М.О. ул. Школьная, д.3</t>
  </si>
  <si>
    <t>Постановление правительства Московской области 949/39</t>
  </si>
  <si>
    <t>Постановление правительства Московской области 949/40</t>
  </si>
  <si>
    <t>Часть здания интерната  МОУ ДПО «Информационно-методический центр» ;                                         Часть здания интерната  МУ «Отдел материально-технического обеспечения учреждений;                          Часть здания интерната  МУ «Централизованная бухгалтерия образовательных учреждений Серебряно-Прудского муниципального района Московской области»;                       часть здания Управление по образованию Администрации Серебряно-Прудского муниципального района Московской области</t>
  </si>
  <si>
    <t>69,0;        167,9;         264,0;              231,0</t>
  </si>
  <si>
    <t>Погреб МОУ "Клемовской СОШ"</t>
  </si>
  <si>
    <t>Здание Автогаража (боксы №18,19,20,21,22,23) (МУП «УК Серебряные Пруды»), инв. 0000039</t>
  </si>
  <si>
    <t>Распоряжение администрации Серебряно-Прудского района 100-р</t>
  </si>
  <si>
    <t>Клапан КПЭГ100П - 1шт.</t>
  </si>
  <si>
    <t>Водопроводные сети, протяженность 2174м, инв. 014125</t>
  </si>
  <si>
    <t>50:39:0020307:40</t>
  </si>
  <si>
    <t>50:39:0020307:41</t>
  </si>
  <si>
    <t>50:39:0060601:415</t>
  </si>
  <si>
    <t>06.10.2015г</t>
  </si>
  <si>
    <t>50:39:0020118:361</t>
  </si>
  <si>
    <t>Земельный участок Категория земель - земли сельскохозяйственного назначения ВРИ - для  садоводства</t>
  </si>
  <si>
    <t>50:39:0040103:195</t>
  </si>
  <si>
    <t>50:39:0060602:231</t>
  </si>
  <si>
    <t>Земельный участок Категория земель - земли населенных пунктов ВРИ - для ведения садоводства</t>
  </si>
  <si>
    <t>50:39:0010302:111</t>
  </si>
  <si>
    <t>22.08.2014г</t>
  </si>
  <si>
    <t>Свидетельсвто о регистрации права 50-АИ № 509206</t>
  </si>
  <si>
    <t>Земельный участок Категория земель - земли сельскохозяйственного назначения ВРИ - для  сельскохозяйственного использования</t>
  </si>
  <si>
    <t>50:39:0000000:3779</t>
  </si>
  <si>
    <t>50:39:0060201:41</t>
  </si>
  <si>
    <t>24.09.2015г</t>
  </si>
  <si>
    <t>Свидетельство о регистрации права 50-БА 533904</t>
  </si>
  <si>
    <t>13.08.2015г</t>
  </si>
  <si>
    <t>14.08.2015г</t>
  </si>
  <si>
    <t xml:space="preserve"> Московская область. Серебряно-Прудский рйон, рп Серебряные Пруды СНТ "Солоница" уч. 142</t>
  </si>
  <si>
    <t>14.09.2015г</t>
  </si>
  <si>
    <t>Свидетельство о регистрации права 50-БА 375732</t>
  </si>
  <si>
    <t>50:39:0070106:147</t>
  </si>
  <si>
    <t>06.05.2005г</t>
  </si>
  <si>
    <t>50:39:06:0041:01:005</t>
  </si>
  <si>
    <t>Свидетельсвто о регистрации права АБ 0366585</t>
  </si>
  <si>
    <t>50:39:0050501:139</t>
  </si>
  <si>
    <t>Свидетельство о регистрации права 50-АЕ № 811495</t>
  </si>
  <si>
    <t>2-х комнатная квартира, инв. 1468 лит. А, объект №1, часть №5, жилая площадь 29,1 кв.м.</t>
  </si>
  <si>
    <t xml:space="preserve">2-х комнатная квартира, , инв. 1415 лит. А, этаж 4, часть №8, жилая площадь 28,0 кв.м. </t>
  </si>
  <si>
    <t>50:39:06:00029:001:0008</t>
  </si>
  <si>
    <t>Свидетельство о регистрации права 50 АГ №014978</t>
  </si>
  <si>
    <t>16.03.2006г</t>
  </si>
  <si>
    <t>Бытовка мет. Благодать 1 подъем, инв.017328</t>
  </si>
  <si>
    <t>Здание котельной №1, 1-о этажное бетонное, перекрытия железобетонные, кровля мягкая, инв. 014140, 1988г</t>
  </si>
  <si>
    <t>Здание котельной №2, 2-х этажное, стены кирпичные, перекрытия железобетонные, кровля мягкая</t>
  </si>
  <si>
    <t>Здание пристройки к старой котельной, кирпичное, перекрытия ж/бетонные, кровля мягкая, 1984г, инв. 014030</t>
  </si>
  <si>
    <t>Здание ЦТП, 2-х этажное, кирпичное, железобетонные перекрытия, кровля мягкая, инв. 014037, 1988 г</t>
  </si>
  <si>
    <t>Здание КНС воздуходувной трансформаторной КНС очистные сооружения, 1-о этажное, металлическое, 1990г, инв. 013016</t>
  </si>
  <si>
    <t>Котельная, кирпичное, 1-о этажноре, кровля мягкая, 1970г, инв. 014121</t>
  </si>
  <si>
    <t>Ангар, здание 1-о этажное, стены кирпичные, 1972г, инв. 17007</t>
  </si>
  <si>
    <t>Артскважина Успенское ЖКХ, 1973г, глубина 82м, металлическая</t>
  </si>
  <si>
    <t>Артскважина Шеметовское ЖКХ, глубина 75м, инв. 14131</t>
  </si>
  <si>
    <t>Аэрируемые пруды очистные сооружения, инв. 013024, открытая емкость, ЖБ плиты. Система аэрации, 1990г.</t>
  </si>
  <si>
    <t>Водонапорная башня "Рожновская", металлическая, высота 55 м, инв. 14135, 1972г</t>
  </si>
  <si>
    <t>Водоводы I подъем, длина 14194 м, камеры и колодцы из ЖБ элементов, 1995г, инв. 13045</t>
  </si>
  <si>
    <t xml:space="preserve">Здание склада, 1-о этажное здание, стены кирпичные, 1972г, </t>
  </si>
  <si>
    <t>Здание КНС Подхоженское ЖКХ, 1-о этажное, стены кирпичные, шиферная кровля, инв. 13301</t>
  </si>
  <si>
    <t>Здание котельной, 2-этажное, инв. № 273:078-5175, инв. 14102</t>
  </si>
  <si>
    <t>Артскважина №2241 Дмитриевское ЖКХ, 1976г, глубина 130м, павильон блочный, перекрытия ж/бетон, инв. 017026</t>
  </si>
  <si>
    <t>Водопроводные сети Мочильское ЖКХ протяженность 2300 м, инв. 017021, инв. 017537, инв. 017565. в т.ч. Водопроводные колодцы диаметр 1,25м, глубина до 2м, кирпич, инв. 17568, 17540</t>
  </si>
  <si>
    <t>Водопроводные сети Подхоженское ЖКХ, протяженность 2000 м, инв. 017023, инв. 17542, инв. 17579, инв. 17574, в том числе водопроводные колодцы диаметр 1,25м, кирпич, глубина до 2 м, 1983г, инв. 17577</t>
  </si>
  <si>
    <t xml:space="preserve">Производственный корпус гаража, 1972г, 1-о этажное здание, кирпичное, кровля мягкая, инв. 012047 </t>
  </si>
  <si>
    <t>Артскважина №2910а Дмитроиевское ЖКХ, 1976г, глубина 130м, инв. 017025</t>
  </si>
  <si>
    <t>Здание котельной №2, 2-этажное, инв № 273:078-5176, инв. 014074</t>
  </si>
  <si>
    <t>Здание котельной, 2-этажное, инв. № 273:078-5174, стены кирпичные, перекрытия бетонные, кровля мягкая, пристройка метал., инв. 14129</t>
  </si>
  <si>
    <t>Иловые площадки очистные сооружения, 6 штук емкостей из ЖБ с дренажем,  объем 2850 куб.м., инв. 013015</t>
  </si>
  <si>
    <t>М.О., рп. Серебряные Пруды ул. 8 Марта, ул. Привокзальная</t>
  </si>
  <si>
    <t>п. Серебряные Пруды М.О. мкрн Западный</t>
  </si>
  <si>
    <t>Очистные сооружения Шеметовский ЖКХ (Биоблок), 1975г, инв. 14134</t>
  </si>
  <si>
    <t>Очистные сооружения Шеметовский ЖКХ (Илловая карта), 1975г, инв. 14134</t>
  </si>
  <si>
    <t>Очистные сооружения Шеметовский ЖКХ (Павильон 1), 1-о этажное, стены кирпичные, 1975г, инв. 14134</t>
  </si>
  <si>
    <t>Очистные сооружения Шеметовский ЖКХ (Павильон 2), 1-о этажное, стены кирпичные, 1975г, инв. 14134</t>
  </si>
  <si>
    <t>Очистные сооружения Шеметовский ЖКХ (Подсобное помещение ВЗУ), 1-о этажное, стены металлические, 1975г, инв. 14134</t>
  </si>
  <si>
    <t>Площадка базы, асфальтовое покрытие, инв. 13093</t>
  </si>
  <si>
    <t>Здание проходной ВЗУ, инв. 013039, 1-о этажное, кирпичное. 2-ой подъем</t>
  </si>
  <si>
    <t>Секции ограждения со стойками, металлические конструкции, котельная, инв. 17437</t>
  </si>
  <si>
    <t>Водопроводные сети протяженность 10742 м инв. 17560, инв. 017546. инв. 17555, инв. 014144, инв. 14139 (совхоз + БТЗ), в т.ч. Водопроводные колодцы кирпич, диаметр 1,25м, глубина до 2м, инв. 17563</t>
  </si>
  <si>
    <t>Складское помещение, здание ангар обложенные блоками, 1-о этажное, инв. 016011</t>
  </si>
  <si>
    <t>Водопроводные сети, протяженность 463м, год ввода 1966, инв. 13041, инв. 17001</t>
  </si>
  <si>
    <t>Водопроводные сети, протяженность 978м, год ввода 1966, инв. 13041, инв. 17001</t>
  </si>
  <si>
    <t>Водопроводные сети, протяженность 1128м, год ввода 1966, инв. 13041, инв. 17001</t>
  </si>
  <si>
    <t>Водопроводные сети, протяженность 787м, год ввода 1966, инв. 13041, инв. 17001</t>
  </si>
  <si>
    <t>Водопроводные сети, протяженность 1394м, год ввода 1966, инв. 13041, инв. 17001</t>
  </si>
  <si>
    <t>Водопроводные сети, протяженность 629м, год ввода 1966, инв. 13041, инв. 17001</t>
  </si>
  <si>
    <t>Водопроводные сети, протяженность 1557м, год ввода 1966, инв. 13041, инв. 17001</t>
  </si>
  <si>
    <t>Водопроводные сети, протяженность 2258м, год ввода 1965, инв. 13041, инв. 17001</t>
  </si>
  <si>
    <t>Водопроводные сети, протяженность 1273м, год ввода 1966, инв. 13041, инв. 17001</t>
  </si>
  <si>
    <t>Водопроводные сети, протяженность 408м, год ввода 1969, инв. 13041, инв. 17001</t>
  </si>
  <si>
    <t>Водопроводные сети, протяженность 986м, год ввода 1969, инв. 13041, инв. 17001</t>
  </si>
  <si>
    <t>Водопроводные сети, протяженность 2150м, год ввода 1965, инв. 13041, инв. 17001</t>
  </si>
  <si>
    <t>Водопроводные сети, протяженность 502м, год ввода 1966, инв. 13041, инв. 17001</t>
  </si>
  <si>
    <t>Водопроводные сети, протяженность 1242м, год ввода 1966, инв. 13041, инв. 17001</t>
  </si>
  <si>
    <t>Водопроводные сети, протяженность 1242м, год ввода 1969, инв. 13041, инв. 17001</t>
  </si>
  <si>
    <t>Водопроводные сети, протяженность 502м, год ввода 1965, инв. 13041, инв. 17001</t>
  </si>
  <si>
    <t>Водопроводные сети, протяженность 842м, год ввода 1966, инв. 13041, инв. 17001</t>
  </si>
  <si>
    <t>Водопроводные сети, протяженность 1081м, год ввода 1969, инв. 13041, инв. 17001</t>
  </si>
  <si>
    <t>Водопроводные сети, протяженность 658м, год ввода 1966, инв. 13041, инв. 17001</t>
  </si>
  <si>
    <t>Водопроводные сети, протяженность 684м, год ввода 1966, инв. 13041, инв. 17001</t>
  </si>
  <si>
    <t>Водопроводные сети, протяженность 606м, год ввода 1966, инв. 13041, инв. 17001</t>
  </si>
  <si>
    <t>Водопроводные сети, протяженность 1876м, год ввода 1969, инв. 13041, инв. 17001</t>
  </si>
  <si>
    <t>Водопроводные сети, протяженность 1584м, год ввода 1966, инв. 13041, инв. 17001</t>
  </si>
  <si>
    <t>Водопроводные сети, протяженность 1690м, год ввода 1969, инв. 13041, инв. 17001</t>
  </si>
  <si>
    <t>Водопроводные сети, протяженность 1803м, год ввода 1965, инв. 13041, инв. 17001</t>
  </si>
  <si>
    <t>Водопроводные сети, протяженность 1711м, год ввода 1969, инв. 13041, инв. 17001</t>
  </si>
  <si>
    <t>Водопроводные сети, протяженность 662м, год ввода 1969, инв. 13041, инв. 17001</t>
  </si>
  <si>
    <t>Водопроводные сети, протяженность 1356м, год ввода 1966, инв. 13041, инв. 17001</t>
  </si>
  <si>
    <t>Водопроводные сети, протяженность 1356м, год ввода 1965, инв. 13041, инв. 17001</t>
  </si>
  <si>
    <t>Водопроводные сети, протяженность 958м, год ввода 1965, инв. 13041, инв. 17001, инв. 17512</t>
  </si>
  <si>
    <t>Водопроводные сети, протяженность 481м, год ввода 1965, инв. 13041, инв. 17001</t>
  </si>
  <si>
    <t>Водопроводные сети, протяженность 1103м, год ввода 1966, инв. 13041, инв. 17001</t>
  </si>
  <si>
    <t>Водопроводные сети, протяженность 2726м, год ввода 1969, инв. 13041, инв. 17001, инв. 17529</t>
  </si>
  <si>
    <t>Канализационные сети Мочильское ЖКХ, протяженность 2835 м, инв. 017020, инв. 17538, инв. 017566, в т.ч. Канализационные колодцы диаметр 1,5м, глубина до 2 м, инв.17539, инв. 17567</t>
  </si>
  <si>
    <t>Канализационные сети д. Шеметово, протяженность 3175 (в.т. чиле до д. 53 протяженность 107 м) инв. 017580 + п.56 имущ-во казны, в том числе канализационные колодцы глубина до 2м. Диаметр 1,5м, кирпич. Инв. 17581</t>
  </si>
  <si>
    <t>Канализационные сети протяженность 6369 м., инв.17561, инв.17556, инв.14149, инв. 14150, инв. 17547,  инв. 14138 (совхоз + БТЗ), в т.ч. Канализационные колодцы, диаметр 1,5м, глубина до 2м, кирпич. Инв. 17562, инв. 17557, инв. 17548</t>
  </si>
  <si>
    <t>Канализационные сети, протяженность 3465 м, инв. 17525, инв. 17585. в т.ч. Канализационные колодцы диаметр 1,5м, глубина до 2м, кирпич, инв. 17586</t>
  </si>
  <si>
    <t>Канализационные сети протяженность 3099 м, инв. 017575, инв. 017543, в т.ч. Канализационные колодцы диаметр 1,5м. Глубина до 2 м, кирпич, инв. 17576, инв, 17544</t>
  </si>
  <si>
    <t>Водопроводные сети протяженность 3067 м инв. 017524, инв. 017584, инв. 17019, в том числе водопроводные колодцы диаметр 1,25м, глубина до 2м, кирпич. Инв. 17587, 17527</t>
  </si>
  <si>
    <t>Самотечный коллектор КНС, труба металлическая, диаметр 400мм, протяженность 1300м, 1990г, инв. 13025</t>
  </si>
  <si>
    <t>Подъездная дорога Ширина 4,5 м Длина 619 м, инв. 13046</t>
  </si>
  <si>
    <t>М.О., Серебряно-Прудский р-он, д. Благодать</t>
  </si>
  <si>
    <t>Водопроводные сети, протяженность 2535м, год ввода 1966, инв. 13041, инв. 17001, инв. 17519, в т.ч. Водопроводные колодцы диаметр 1,25м, глубина до 2м, кирпич, инв. 17522</t>
  </si>
  <si>
    <t>Административное здание ЖКХ, 2-х этажное, стены кирпичные, кровля металочерипица, 1972г, инв. 15305</t>
  </si>
  <si>
    <t>50:39:0050507:79</t>
  </si>
  <si>
    <t>10 614 343.77</t>
  </si>
  <si>
    <t>Здание ВЗУ, павильон 1, первый подъем, стены металлические, инв. 013043, инв 017102</t>
  </si>
  <si>
    <t>Здание ВЗУ, павильон 2, первый подъем, стены кирпичные, инв. 013043, инв 017102</t>
  </si>
  <si>
    <t>Здание ВЗУ, павильон 3, первый подъем, стены кирпичные, 1974г. инв. 013043, инв 017102</t>
  </si>
  <si>
    <t>Здание ВЗУ, павильон 4, первый подъем, стены кирпичные, инв. 013043, инв 017102</t>
  </si>
  <si>
    <t>Здание ВЗУ, павильон 5, первый подъем, стены кирпичные, инв. 013043, инв 017102</t>
  </si>
  <si>
    <t>Здание гаража, 1-о этажное, стены кирпичный, 1972, 12000</t>
  </si>
  <si>
    <t>п. Серебряные Пруды М.О.  Ул. 8 марта, Привокзальная ул.</t>
  </si>
  <si>
    <t>Здание воздуходувное очистные сооружения ЖБ, 1-о этажное, кровля мягкая, инв. 013017</t>
  </si>
  <si>
    <t>Канализационный сети, протяженность 2514 м, 1969г ввода, инв. 017513, в т.ч. канализационные колодцы диаметр 1,5м, глубина до 2м, кирпич инв. 17592, инв. 17598. в т.ч. Канализационные колодцы, диаметр 1,5м, глубина до 2м, кирпич. Инв. 17521</t>
  </si>
  <si>
    <t>Канализационный сети, протяженность 1093 м, 1969г ввода, инв. 017530, в т.ч. Канализационный коллектор №2, диаметр 150, 39 п.м., чугун, инв. 17597. в т.ч. Канализационные колодцы, диаметр 1,5м, глубина до 2м, кирпич. Инв. 17521</t>
  </si>
  <si>
    <t>Канализационный сети, протяженность 523 м, 1968г ввода, инв. 017601, в т.ч. Канализационные колодцы, диаметр 1,5м, глубина до 2м, кирпич. Инв. 17521</t>
  </si>
  <si>
    <t>Канализационный сети, протяженность 542 м, 1969г ввода, инв. 013060, в т.ч. Канализационные колодцы, диаметр 1,5м, глубина до 2м, кирпич. Инв. 17521</t>
  </si>
  <si>
    <t>Канализационный сети, протяженность 681 м, 1969г ввода. Инв. 017591, в т.ч. Канализационные колодцы, диаметр 1,5м, глубина до 2м, кирпич. Инв. 17521</t>
  </si>
  <si>
    <t>Канализационный сети, протяженность 1229 м, 1969г ввода, инв. 017003, в т.ч. Канализационные колодцы диаметр 1,5м, глубина до 2м, кирпич, инв. 17514, в т.ч. Канализационные колодцы, диаметр 1,5м, глубина до 2м, кирпич. Инв. 17521</t>
  </si>
  <si>
    <t>Канализационный сети, протяженность 269 м, 1969г ввода, инв. 017003, в т.ч. Канализационные колодцы, диаметр 1,5м, глубина до 2м, кирпич. Инв. 17521</t>
  </si>
  <si>
    <t>Канализационный сети, протяженность 1454 м, 1969г ввода, инв. 017003. в т.ч. Канализационные колодцы, диаметр 1,5м, глубина до 2м, кирпич. Инв. 17521</t>
  </si>
  <si>
    <t>Канализационный сети, протяженность 1496 м, 1969г ввода, инв. 017003, в.т. Канализационный коллектор №1, диаметр 100, 17 п.м., чугун, инв. 17596, в т.ч. Канализационные колодцы, диаметр 1,5м, глубина до 2м, кирпич. Инв. 17521</t>
  </si>
  <si>
    <t>Теплосети (Протяженность сети теплоснабжения 6290 м, протяженность трубопроводов в 2-х трубном исчислении 10579 м), инв. 14137, инв. 17554, инв. 17545, инв. 17559, инв. 14147, инв. 14148, инв.14146, инв. 14145(совхоз + БТЗ), в т.ч. Колодцы ГВС, 1,5*2,5, глубина до 2м, кирпич, инв. 17558</t>
  </si>
  <si>
    <t>Канализационный сети, протяженность 1031 м, 1969г ввода, инв.017520, в т.ч. Канализационные колодцы, диаметр 1,5м, глубина до 2м, кирпич. Инв. 17521, инв. 17531</t>
  </si>
  <si>
    <t>Здание КНС, 1-о этажное, стены кирпичны, 1975, инв. 13020</t>
  </si>
  <si>
    <t>Резервуар ЦТП 400 куб. м., 1977г, инв. 13040</t>
  </si>
  <si>
    <t>Резервуар воды ЦТП 400 куб. м., 1977г, инв. 13040</t>
  </si>
  <si>
    <t>Канализационные сети, инв. 14126</t>
  </si>
  <si>
    <t>Постоянное (бессрочное) пользование</t>
  </si>
  <si>
    <t>Здание котельной № 2 с оборудованием, 1-о этажное, инв. № 275:078-5177, 2009г. Инв. 17427</t>
  </si>
  <si>
    <t>Полное наименование и организационно-правовая форма юридического лица</t>
  </si>
  <si>
    <t>Адрес (местонахождение)</t>
  </si>
  <si>
    <t>Основной государственный номер и дата государственной регистрации</t>
  </si>
  <si>
    <t>Реквизиты документа - основания создания юридического лица (участия муниципального образования в создании (уставном капитале) юридического лица)</t>
  </si>
  <si>
    <t>Размер уставного фонда (для муниципальных унитарных предприятий)</t>
  </si>
  <si>
    <t>Размер доли, принадлежащей муниципальному образованию в уставном (складочном) капитале, в процентах (для хозяйственных обществ и товариществ)</t>
  </si>
  <si>
    <t>Данные о балансовой и остаточной стоимости основных средств (фондов) (для муниципальных учреждений и муниципальных унитарных предприятий)</t>
  </si>
  <si>
    <t>Московская обл., р.п. Серебряные Пруды, ул. Первомайская, д.3</t>
  </si>
  <si>
    <t>142970 Московская область, р.п. Серебряные Пруды, ул. Б. Луговая д. 8Б</t>
  </si>
  <si>
    <t>Муниципальное общеобразовательное учреждение "Серебряно-Прудская средняя общеобразовательная школа имени маршала В.И. Чуйкова"</t>
  </si>
  <si>
    <t>142970 Московская область, р.п. Серебряные Пруды, ул. Школьная, д1</t>
  </si>
  <si>
    <t>Муниципальное общеобразовательное учреждение "Узуновская средняя общеобразовательная школа"</t>
  </si>
  <si>
    <t>142960 Московская область, Серебряно-Прудский р-н, с Узуново, мкр-н. Северный, д 13</t>
  </si>
  <si>
    <t>Муниципальное общеобразовательное учреждение "Совхозная средняя общеобразовательная школа"</t>
  </si>
  <si>
    <t>142953 Московская область, Серебряно-Прудский р-н,п. Успенский, ул. 50 лет Октября, д11</t>
  </si>
  <si>
    <t>Муниципальное общеобразовательное учреждение "Подхоженская средняя общеобразовательная школа"</t>
  </si>
  <si>
    <t>142955 Московская область, Серебряно-Прудский р-н, с. Подхожее, мкр-н Юбилейный, д.12</t>
  </si>
  <si>
    <t>Муниципальное общеобразовательное учреждение "Мочильская средняя общеобразовательная школа"</t>
  </si>
  <si>
    <t>142954 Московская область, Серебряно-Прудский р-н, с. Мочилы, ул. Школьная, д 9</t>
  </si>
  <si>
    <t>Муниципальное общеобразовательное учреждение "Крутовская средняя общеобразовательная школа"</t>
  </si>
  <si>
    <t>142963 Московская область, Серебряно-Прудский р-н, с. Крутое, д.10</t>
  </si>
  <si>
    <t>Муниципальное общеобразовательное учреждение "Глубоковская основная общеобразовательная школа"</t>
  </si>
  <si>
    <t>142964 Московская область, Серебряно-Прудский р-н, с. Глубокое, д.36 А</t>
  </si>
  <si>
    <t>Муниципальное общеобразовательное учреждение "Петровская средняя общеобразовательная школа"</t>
  </si>
  <si>
    <t>142965 Московская область, Серебряно-Прудский р-н, с. Петрово, д. 42</t>
  </si>
  <si>
    <t>Муниципальное общеобразовательное учреждение "Шеметовская средняя общеобразовательная школа"</t>
  </si>
  <si>
    <t>142956 Московская область, Серебряно-Прудский р-н, с. Шеметово, д. 51</t>
  </si>
  <si>
    <t>Муниципальное общеобразовательное учреждение "Клёмовская средняя общеобразовательная школа"</t>
  </si>
  <si>
    <t>142958 Московская область, Серебряно-Прудский р-н, п. Новоклёмово, д 62</t>
  </si>
  <si>
    <t>Муниципальное общеобразовательное учреждение "Дмитриевская основная общеобразовательная школа"</t>
  </si>
  <si>
    <t>142951 Московская область, Серебряно-Прудский р-н, п. Дмитриевский, д. 5</t>
  </si>
  <si>
    <t xml:space="preserve">142970 Московская область, р.п. Серебряные Пруды, мкр-н Центральный, д. 1 </t>
  </si>
  <si>
    <t xml:space="preserve"> Муниципальное дошкольное образовательное учреждение "Центр развития ребенка - детский сад № 2 "Солнышко"</t>
  </si>
  <si>
    <t>142970 Московская область, р.п. Серебряные Пруды, мкр-н Юбилейный, д 12</t>
  </si>
  <si>
    <t xml:space="preserve"> Муниципальное дошкольное образовательное учреждение "Детский сад комбинированного вида № 5 "Журавушка"</t>
  </si>
  <si>
    <t>142970 Московская область, р.п. Серебряные Пруды, мкр-н Центральный, д 4</t>
  </si>
  <si>
    <t xml:space="preserve"> Муниципальное дошкольное образовательное учреждение "Центр развития ребенка - детский сад № 7 "Алёнушка"</t>
  </si>
  <si>
    <t>142970 Московская область, р.п. Серебряные Пруды, мкр-н Западный, д 28</t>
  </si>
  <si>
    <t xml:space="preserve"> Муниципальное дошкольное образовательное учреждение "Детский сад общеразвивающего вида "Малышок"</t>
  </si>
  <si>
    <t>142953 Московская область, Серебряно-Прудский р-н,п. Успенский, ул. 50 лет Октября, д10</t>
  </si>
  <si>
    <t xml:space="preserve"> Муниципальное дошкольное образовательное учреждение "Центр развития ребенка - детский сад "Тополёк"</t>
  </si>
  <si>
    <t>142953 Московская область, Серебряно-Прудский р-н,п. Успенский, ул. Запрудная, д17</t>
  </si>
  <si>
    <t xml:space="preserve"> Муниципальное дошкольное образовательное учреждение "Детский сад общеразвивающего вида "Светлячок"</t>
  </si>
  <si>
    <t>142954 Московская область, Серебряно-Прудский р-н, с. Мочилы, ул. Юбилейная, д 13</t>
  </si>
  <si>
    <t xml:space="preserve"> Муниципальное дошкольное образовательное учреждение "Детский сад общеразвивающего вида №13 "Звёздочка"</t>
  </si>
  <si>
    <t>142955 Московская область, Серебряно-Прудский р-н, с. Подхожее, мкр-н Юбилейный, д.11</t>
  </si>
  <si>
    <t xml:space="preserve"> Муниципальное дошкольное образовательное учреждение "Детский сад общеразвивающего вида №6 "Родничок"</t>
  </si>
  <si>
    <t>142951 Московская область, Серебряно-Прудский р-н, п. Дмитриевский, д. 5а</t>
  </si>
  <si>
    <t xml:space="preserve"> Муниципальное дошкольное образовательное учреждение "Детский сад общеразвивающего вида "Колосок"</t>
  </si>
  <si>
    <t>142960 Московская область, Серебряно-Прудский р-н, с Узуново, мкр-н. Южный, д 1а</t>
  </si>
  <si>
    <t xml:space="preserve"> Муниципальное дошкольное образовательное учреждение "Детский сад общеразвивающего вида "Росинка"</t>
  </si>
  <si>
    <t>142960 Московская область, Серебряно-Прудский р-н, с Узуново, мкр-н. Северный, д 10а</t>
  </si>
  <si>
    <t xml:space="preserve"> Муниципальное дошкольное образовательное учреждение "Детский сад общеразвивающего вида "Ягодка"</t>
  </si>
  <si>
    <t>142963 Московская область, Серебряно-Прудский р-н, с. Крутое, д.13</t>
  </si>
  <si>
    <t xml:space="preserve"> Муниципальное дошкольное образовательное учреждение "Детский сад общеразвивающего вида "Колокольчик"</t>
  </si>
  <si>
    <t>142964 Московская область, Серебряно-Прудский р-н, с. Глубокое, д.116</t>
  </si>
  <si>
    <t xml:space="preserve"> Муниципальное дошкольное образовательное учреждение "Детский сад д.Коровино"</t>
  </si>
  <si>
    <t>142960 Московская область, Серебряно-Прудский р-н, с. Коровино, д.15</t>
  </si>
  <si>
    <t xml:space="preserve"> Муниципальное дошкольное образовательное учреждение "Детский сад "Рябинка" с. Петрово</t>
  </si>
  <si>
    <t xml:space="preserve"> Муниципальное дошкольное образовательное учреждение "Детский сад №12 "Осетрёнок"</t>
  </si>
  <si>
    <t>142958 Московская область, Серебряно-Прудский р-н, п. Новоклёмово, д 67</t>
  </si>
  <si>
    <t xml:space="preserve"> Муниципальное дошкольное образовательное учреждение "Детский сад №10 "Берёзка"</t>
  </si>
  <si>
    <t xml:space="preserve">142970, Московская обл., Серебряно-Прудский р-н,рп.Серебряные Пруды, ул.Школьная,д.11 </t>
  </si>
  <si>
    <t xml:space="preserve">Положение, утвержденное Постановлением Главы Серебряно-Прудского муниципального района Московской обл. № 955 от 14.11.2007г. </t>
  </si>
  <si>
    <t xml:space="preserve">142970, Московская обл., Серебряно-Прудский р-н,рп.Серебряные Пруды, м-н Юбилейный, д.15 </t>
  </si>
  <si>
    <t xml:space="preserve">142970, Московская обл., Серебряно-Прудский р-н,рп.Серебряные Пруды, ул.Петра Романова, д.12/1 </t>
  </si>
  <si>
    <t xml:space="preserve">142970, Московская обл., Серебряно-Прудский р-н,рп.Серебряные Пруды, ул. Первомайская,  д.12 </t>
  </si>
  <si>
    <t xml:space="preserve">Положение, утвержденное Постановлением Главы Серебряно-Прудского муниципального района № 806 от 02.10.2007г. </t>
  </si>
  <si>
    <t xml:space="preserve">142970, Московская обл., Серебряно-Прудский р-н,рп.Серебряные Пруды, ул. Маршала Чуйкова, д.15 </t>
  </si>
  <si>
    <t xml:space="preserve">142970, Московская обл., Серебряно-Прудский р-н,рп.Серебряные Пруды, мкр.Центральный, д.1 </t>
  </si>
  <si>
    <t xml:space="preserve">142970, Московская обл., Серебряно-Прудский р-н,рп.Серебряные Пруды, мкр. Западный, д.10 </t>
  </si>
  <si>
    <t>142960, Московская обл., Серебряно-Прудский р-н, с.Узуново, ул.Садовая, д.62</t>
  </si>
  <si>
    <t xml:space="preserve"> Решение СД Сер.-Пруд. Муниц. р-на МО  № 106/24</t>
  </si>
  <si>
    <t xml:space="preserve"> Решение СД Сер.-Пруд. Муниц. р-на МО  № 570/54   Решение СД СП Успенское МО  № 75/8</t>
  </si>
  <si>
    <t xml:space="preserve"> Св-во о гос.рег-ии НА №0007111</t>
  </si>
  <si>
    <t xml:space="preserve"> Решение СД Сер.-Пруд. Муниц. р-на МО  № 570/54 Св-во о гос.рег-ии 50-БА 375754</t>
  </si>
  <si>
    <t xml:space="preserve"> Решение СД Сер.-Пруд. Муниц. р-на МО  № 106/24 Св-во о гос.рег-ии НА №0867912</t>
  </si>
  <si>
    <t xml:space="preserve"> Решение СД Сер.-Пруд. Муниц. р-на МО  № 106/24 Св-во о гос.рег-ии 50-АЗ №527210</t>
  </si>
  <si>
    <t xml:space="preserve"> Решение СД Сер.-Пруд. Муниц. р-на МО  № 106/24 Св-во о гос.рег-ии НА №0580092</t>
  </si>
  <si>
    <r>
      <t xml:space="preserve"> Решение СД Сер.-Пруд. Муниц. р-на МО  № 106/25</t>
    </r>
    <r>
      <rPr>
        <sz val="11"/>
        <color theme="1"/>
        <rFont val="Calibri"/>
        <family val="2"/>
        <charset val="204"/>
        <scheme val="minor"/>
      </rPr>
      <t/>
    </r>
  </si>
  <si>
    <r>
      <rPr>
        <b/>
        <sz val="9"/>
        <color theme="1"/>
        <rFont val="Times New Roman"/>
        <family val="1"/>
        <charset val="204"/>
      </rPr>
      <t>742</t>
    </r>
    <r>
      <rPr>
        <sz val="9"/>
        <color theme="1"/>
        <rFont val="Times New Roman"/>
        <family val="1"/>
        <charset val="204"/>
      </rPr>
      <t xml:space="preserve">-50:39:0050504:119                    </t>
    </r>
  </si>
  <si>
    <r>
      <t>п. Серебряные Пруды М.О.</t>
    </r>
    <r>
      <rPr>
        <sz val="9"/>
        <color rgb="FF000000"/>
        <rFont val="Times New Roman"/>
        <family val="1"/>
        <charset val="204"/>
      </rPr>
      <t xml:space="preserve"> м-н Центральный д.1</t>
    </r>
  </si>
  <si>
    <t xml:space="preserve"> Решение СД Сер.-Пруд. Муниц. р-на МО  № 106/24 Св-во о гос.рег-ии 50-АВ №323464</t>
  </si>
  <si>
    <t xml:space="preserve"> Решение СД Сер.-Пруд. Муниц. р-на МО  № 106/24 Постановление администрации Сер-Пруд муниц р-на №489</t>
  </si>
  <si>
    <t xml:space="preserve"> Решение СД Сер.-Пруд. Муниц. р-на МО  № 106/24 Св-во о гос.рег-ии 50-БА 228126</t>
  </si>
  <si>
    <t xml:space="preserve"> Решение СД Сер.-Пруд. Муниц. р-на МО  № 106/24 Св-во о гос.рег-ии 50 НБ №018299</t>
  </si>
  <si>
    <t xml:space="preserve"> Решение СД Сер.-Пруд. Муниц. р-на МО  № 106/24 Св-во о гос.рег-ии 50-АВ №323644</t>
  </si>
  <si>
    <t xml:space="preserve"> Решение СД Сер.-Пруд. Муниц. р-на МО  № 106/24 Св-во о гос.рег-ии 50-НГ №936329</t>
  </si>
  <si>
    <t>Решение СД Сер.-Пруд. Муниц. р-на МО  № 614/61 от 20.10.2015 Св-во о гос.рег-ии 50 АД №847666</t>
  </si>
  <si>
    <t>50:39:0060115:94</t>
  </si>
  <si>
    <t>50:39:0050104:262</t>
  </si>
  <si>
    <t>50:39:0010108:458</t>
  </si>
  <si>
    <t>Земельный участок, категория земли - земли населенных пунктов, ВРИ - общее пользование территорией</t>
  </si>
  <si>
    <t>50:39:0060502:621</t>
  </si>
  <si>
    <t>Распоряжение администрации Серебряно-Прудского района 121-р</t>
  </si>
  <si>
    <t>50:39:0060503:312</t>
  </si>
  <si>
    <t>50:39:0080207:569</t>
  </si>
  <si>
    <t>50:39:0000000:4231</t>
  </si>
  <si>
    <t>Земельный участок, категория земли - земли сельскохозяйственного назначения, ВРИ - автомобильный транспорт</t>
  </si>
  <si>
    <t>50:39:0000000:4229</t>
  </si>
  <si>
    <t>Собственность</t>
  </si>
  <si>
    <t>Здание котельной №1, 2-х этажное, бетонное, железобетонные перекрытия, кровля мягкая, инв. 014000, в т.ч. Труба дымовая, кирпичная, высота 44,13м, инв. 014001</t>
  </si>
  <si>
    <t>Здание котельной №3, 1-этажное, кирпичное. Перекрытия железобетонные, кровля мягкая, инв. № 272:077-2240, инв. 14031, в т.ч. Труба дымовая котельной №3, металлическая, высота 36,5 м, диаметр 0,6м, инв. 014033</t>
  </si>
  <si>
    <t>Распоряжение администрации Серебряно-Прудского района 384-р</t>
  </si>
  <si>
    <t>1.101.04.067</t>
  </si>
  <si>
    <t>1.101.04.014</t>
  </si>
  <si>
    <t>Постановление администрации Серебряно-Прудского муниципального района МО №1738</t>
  </si>
  <si>
    <t>FORD ФОРД "ФОКУС" Н 741 МО 150  легковой, VIN X9FHXXEEDH9P27860</t>
  </si>
  <si>
    <t>LADA PRIORA  легковой  О 546 КХ 190, VIN XTA217030B0269632</t>
  </si>
  <si>
    <t>PASSAT  Limousine  SKD легковой А 351 ММ 50, VIN XW8ZZZ3CZAG005228</t>
  </si>
  <si>
    <t>PASSAT  Limousine  SKD 6 легковой А 431 МО 50, VIN XW8ZZZ3CZA004367</t>
  </si>
  <si>
    <t>Посстановление администрации Серебряно-прудского муниципального района № 1738-р</t>
  </si>
  <si>
    <t>Автомобиль ГАЗ - 31105, легковой, категории В, 2008г, VIN X9631105081414463, гос номер С 423 АО 190</t>
  </si>
  <si>
    <t>Постановление администрации Серебряно-Прудского муниципального района №1738</t>
  </si>
  <si>
    <t>Распоряжение администрации Серебряно-Прудского района 409-р</t>
  </si>
  <si>
    <t>14.1.04.0017</t>
  </si>
  <si>
    <t>14.1.04.0037</t>
  </si>
  <si>
    <t>14.1.04.0036</t>
  </si>
  <si>
    <t>14.1.04.0012</t>
  </si>
  <si>
    <t>14.1.04.0014</t>
  </si>
  <si>
    <t>14.1.04.0015</t>
  </si>
  <si>
    <t>14.1.04.0034</t>
  </si>
  <si>
    <t>14.1.04.0013</t>
  </si>
  <si>
    <t>14.1.04.0035</t>
  </si>
  <si>
    <t>14.1.04.0039</t>
  </si>
  <si>
    <t>14.1.04.0029</t>
  </si>
  <si>
    <t>14.1.04.0041</t>
  </si>
  <si>
    <t>14.1.04.0025</t>
  </si>
  <si>
    <t>20.10.2015г</t>
  </si>
  <si>
    <t>Оборудование котельной, п. Дмитриевский</t>
  </si>
  <si>
    <t>Оборудование котельной №2, п. Успенский</t>
  </si>
  <si>
    <t xml:space="preserve"> Решение СД Сер.-Пруд. Муниц. р-на МО  № 570/54, Распоряжение администрации Серебряно-Прудского муниципального района №359-р</t>
  </si>
  <si>
    <t>Решение СД Сер.-Пруд. Муниц. р-на МО  № 570/54, Распоряжение администрации Серебряно-Прудского муниципального района №359-р</t>
  </si>
  <si>
    <t>Распоряжение администрации Серебряно-Прудского муниципального района № 325-р</t>
  </si>
  <si>
    <t>1.101.04.006</t>
  </si>
  <si>
    <t>1.101.04.120</t>
  </si>
  <si>
    <t>1.101.04.121</t>
  </si>
  <si>
    <t>1.101.04.124</t>
  </si>
  <si>
    <t>03.4.24.0041</t>
  </si>
  <si>
    <t>03.1.04.0011</t>
  </si>
  <si>
    <t>03.2.04.0007</t>
  </si>
  <si>
    <t>03.1.04.0017</t>
  </si>
  <si>
    <t>03.2.04.0006</t>
  </si>
  <si>
    <t>03.1.04.0022</t>
  </si>
  <si>
    <t>03.2.04.0036</t>
  </si>
  <si>
    <t>03.1.04.0023</t>
  </si>
  <si>
    <t>03.2.04.0025</t>
  </si>
  <si>
    <t>03.2.04.0033</t>
  </si>
  <si>
    <t>03.1.04.0036</t>
  </si>
  <si>
    <t>03.1.04.0009</t>
  </si>
  <si>
    <t>03.2.04.0017</t>
  </si>
  <si>
    <t>03.1.04.0034</t>
  </si>
  <si>
    <t>03.1.04.0033</t>
  </si>
  <si>
    <t>03.1.04.0020</t>
  </si>
  <si>
    <t>03.1.04.0038</t>
  </si>
  <si>
    <t>03.1.04.0003</t>
  </si>
  <si>
    <t>03.1.04.0016</t>
  </si>
  <si>
    <t>03.2.04.0032</t>
  </si>
  <si>
    <t>03.2.04.0029</t>
  </si>
  <si>
    <t>03.2.04.0031</t>
  </si>
  <si>
    <t>03.2.04.0037</t>
  </si>
  <si>
    <t>03.2.04.0026</t>
  </si>
  <si>
    <t>03.1.04.0023/2</t>
  </si>
  <si>
    <t>03.1.04.0029</t>
  </si>
  <si>
    <t>03.01.06.0011</t>
  </si>
  <si>
    <t>03.2.34.0043</t>
  </si>
  <si>
    <t>03.2.34.0041</t>
  </si>
  <si>
    <t>03.2.34.0048</t>
  </si>
  <si>
    <t>03.2.34.0049</t>
  </si>
  <si>
    <t>03.2.34.0040</t>
  </si>
  <si>
    <t>03.2.34.0045</t>
  </si>
  <si>
    <t>03.2.34.0042</t>
  </si>
  <si>
    <t>03.2.34.0047</t>
  </si>
  <si>
    <t>03.2.34.0046</t>
  </si>
  <si>
    <t>03.2.04.0038</t>
  </si>
  <si>
    <t>03.2.04.0039</t>
  </si>
  <si>
    <t>03.2.34.0044</t>
  </si>
  <si>
    <t>03.2.36.0009</t>
  </si>
  <si>
    <t>03.4.34.0040</t>
  </si>
  <si>
    <t>03.1.04.0013</t>
  </si>
  <si>
    <t>03.1.04.0014</t>
  </si>
  <si>
    <t>03.2.04.0022</t>
  </si>
  <si>
    <t>03.2.04.0019</t>
  </si>
  <si>
    <t>03.2.04.0020</t>
  </si>
  <si>
    <t>03.2.04.0023</t>
  </si>
  <si>
    <t>03.2.04.0009</t>
  </si>
  <si>
    <t>03.1.04.0001</t>
  </si>
  <si>
    <t>03.2.04.0008</t>
  </si>
  <si>
    <t>03.1.04.0015</t>
  </si>
  <si>
    <t>03.1.04.0005</t>
  </si>
  <si>
    <t>03.1.04.0004</t>
  </si>
  <si>
    <t>03.1.04.0007</t>
  </si>
  <si>
    <t>03.1.04.0008</t>
  </si>
  <si>
    <t>03.1.04.0006</t>
  </si>
  <si>
    <t>03.2.04.0012</t>
  </si>
  <si>
    <t>03.1.04.0028</t>
  </si>
  <si>
    <t>03.1.04.0027</t>
  </si>
  <si>
    <t>03.1.04.0026</t>
  </si>
  <si>
    <t>03.1.04.0025</t>
  </si>
  <si>
    <t>03.2.04.0014</t>
  </si>
  <si>
    <t>03.2.04.0015</t>
  </si>
  <si>
    <t>03.2.04.0024</t>
  </si>
  <si>
    <t>03.2.04.0005</t>
  </si>
  <si>
    <t>03.2.04.0004</t>
  </si>
  <si>
    <t>03.1.04.0018</t>
  </si>
  <si>
    <t>03.2.04.0002</t>
  </si>
  <si>
    <t>03.2.04.0003</t>
  </si>
  <si>
    <t>03.2.04.0001</t>
  </si>
  <si>
    <t>03.2.04.0016</t>
  </si>
  <si>
    <t>03.1.04.0002</t>
  </si>
  <si>
    <t>03.2.04.0035</t>
  </si>
  <si>
    <t>03.1.04.0032</t>
  </si>
  <si>
    <t>03.2.04.0028</t>
  </si>
  <si>
    <t>03.2.36.0010</t>
  </si>
  <si>
    <t>03.2.06.0004</t>
  </si>
  <si>
    <t>03.1.06.0004</t>
  </si>
  <si>
    <t>Распоряжение администрации Серебряно-Прудского района № 175-р, акт приема-передачи</t>
  </si>
  <si>
    <t>03.4.24.0042</t>
  </si>
  <si>
    <t>Распоряжение администрации Серебряно-Прудского района 173-р</t>
  </si>
  <si>
    <t>Канализационный сети, протяженность 406 м, 1969г ввода, инв. 017003, в т.ч. Канализационные колодцы, диаметр 1,5м, глубина до 2м, кирпич. Инв. 17521, самотечный коллектор, 781 п.м., инв. 013055</t>
  </si>
  <si>
    <t>Экскаватор ЭО 2623 80-20</t>
  </si>
  <si>
    <t>Свидетельство о регистрации права 50-НГ №936342</t>
  </si>
  <si>
    <t>50-50-39-005/2006-223</t>
  </si>
  <si>
    <t>1-комнатная квартира, 2-этаж</t>
  </si>
  <si>
    <t>06.11.2006г</t>
  </si>
  <si>
    <t>Свидетельвтво о регистрации права НА №0834920</t>
  </si>
  <si>
    <t>50:39:02:00077:001:0003</t>
  </si>
  <si>
    <t>Свидетельвтво о регистрации права НА №0834922</t>
  </si>
  <si>
    <t>Московская область, р. п. Серебряные Пруды, м-н Центральный, д. 1</t>
  </si>
  <si>
    <t>230,0 тыс.руб.</t>
  </si>
  <si>
    <t>Московская область, р. п. Серебряные Пруды, ул. И. Садофьева, д. 15</t>
  </si>
  <si>
    <t>Устав утвержденный Постановлением Главы Серебряно-Прудского муниципального района от 07.02.2008 № 100</t>
  </si>
  <si>
    <t>100 тыс.руб.</t>
  </si>
  <si>
    <t>Специализированный программно-технический комплекс ученика с ограниченными возможностями здоровья - Apple Mac mini Dual-Core i5 2.3GHz/2GB/500GB/HD Graphics. Концентратор Axiom: HUB 7-port. Клавиатура Apple Keyboard. Привод для записи двухслойных оптических дисков DVD Axiom AX-5960. Координатно-указательное устройство  ARCTIC  M111. Монитор AOC 919Vwa+.  Операционная система 1Apple : Mac OS X Lion (iChat - iTunes –QuickTime X). Операционная система 2 Microsoft  Windows 7 Professional. Программное обеспечение для синхронизации работы операционных систем Parallels Desktop 7 для Mac.  Программное обеспечение для дистанционного управления компьютерами. Клиентская часть Apple Remote Desktop 3 Client. Программное обеспечение для защиты от вредоносного интернет-контента и вирусов CRAWLER  Spyware Terminator 2012. Пакет программного обеспечения Apple iLife '11 (iPhoto –iMovie –GarageBand). Программное обеспечение создания и редактирования веб-сайтов KompoZer/Bluefish. Программное обеспечение создания DVD</t>
  </si>
  <si>
    <t xml:space="preserve"> Наушники GAL: SLR-650</t>
  </si>
  <si>
    <t xml:space="preserve"> Микрофон VRN-MIC3</t>
  </si>
  <si>
    <t>Колонки TopDevice TDS-501 Wood</t>
  </si>
  <si>
    <t>Веб-камера QUMO WCQ-107</t>
  </si>
  <si>
    <t xml:space="preserve"> Сканер: HP: Scanjet G3110</t>
  </si>
  <si>
    <t>Черно-белый лазерный принтер HP LaserJet Pro P1102w</t>
  </si>
  <si>
    <t xml:space="preserve"> Цифровое устройство для просмотра микропрепаратов MicroLife: ML-12-1.3</t>
  </si>
  <si>
    <t>Графический планшет Wacom. Bamboo Pen. Программное обеспечение для распознавания рукописного текста Bamboo Scribe. Программное обеспечение для рисования</t>
  </si>
  <si>
    <t>Комплект цифрового учебного оборудования, позволяющий осуществлять простейшие физические и физиологические наблюдения, а также наблюдения за природными явлениями (Датчик частоты сокращения сердца, датчик температуры, датчик дыхания, регистратор данных (в комплекте кабель DT011))</t>
  </si>
  <si>
    <t>Цифровая фотокамера Canon: A3300 IS. Карта памяти Transcend: SD 2GB</t>
  </si>
  <si>
    <t xml:space="preserve"> Конструктор по началам прикладной информатики и робототехники LEGO Technic: ПервоРобот NXT. Базовый набор (9797 v.95)</t>
  </si>
  <si>
    <t>Интегрированная творческая среда для образовательных учреждений начального общего образования, направленная на поддержку освоения и развития грамотности, развития речи,  освоения математических моделей, развития коммуникативных навыков и творческих способностей обучающихся ИНТ ПервоЛого 3.0. (Интегрированная творческая среда для начальной школы). Лицензия на 1 рабочее место</t>
  </si>
  <si>
    <t>Программное обеспечение  для  программирования роботов с функцией обучения конструированию и программированию   LEGO. ПервоРобот NXT. Программное обеспечение.  Лицензия на 1 рабочее место</t>
  </si>
  <si>
    <t>Сетевой фильтр-удлинитель Гарнизон  EHW-15-5.0M</t>
  </si>
  <si>
    <t>Специализированный программно-технический комплекс ученика с ограниченными возможностями здоровья - Apple Mac mini Dual-Core i5 2.3GHz/2GB/500GB/HD Graphics. Концентратор Axiom: HUB 7-port. Клавиатура Apple Keyboard. Привод для записи двухслойных оптических дисков DVD Axiom AX-5960. Координатно-указательное устройство  ARCTIC  M111. Монитор AOC 919Vwa+.  Операционная система 1 Apple : Mac OS X Lion (iChat - iTunes –QuickTime X). Операционная система 2 Microsoft  Windows 7 Professional. Программное обеспечение для синхронизации работы операционных систем Parallels Desktop 7 для Mac.  Программное обеспечение для дистанционного управления компьютерами. Клиентская часть Apple Remote Desktop 3 Client. Программное обеспечение для защиты от вредоносного интернет-контента и вирусов CRAWLER  Spyware Terminator 2012. Пакет программного обеспечения Apple iLife '11 (iPhoto –iMovie –GarageBand). Программное обеспечение создания и редактирования веб-сайтов KompoZer/Bluefish. Программное обеспечение создания DVD</t>
  </si>
  <si>
    <t>Наушники GAL: SLR-650</t>
  </si>
  <si>
    <t>Микрофон VRN-MIC3</t>
  </si>
  <si>
    <t xml:space="preserve"> Веб-камера QUMO WCQ-107</t>
  </si>
  <si>
    <t>Сканер: HP Scanjet G3110</t>
  </si>
  <si>
    <t>Программное обеспечение - виртуальная экранная клавиатура KeyStrokes</t>
  </si>
  <si>
    <t>Программное обеспечение для проведения самостоятельных практических занятий: интерактивного моделирования, исследования и анализа широкого круга задач при изучении геометрии, стереометрии, алгебры, тригонометрии, математического анализа, построения и исследования геометрических чертежей и проведения различных расчетов Живая Математика 4.3. (Виртуальный конструктор по математике). Лицензия на 1 рабочее место</t>
  </si>
  <si>
    <t>Программное обеспечение для проведения самостоятельных практических занятий: создания моделей физических явлений и проведения численных экспериментов Живая Физика 4.3. (Виртуальный конструктор по физике) Лицензия на 1 рабочее место</t>
  </si>
  <si>
    <t>Программное обеспечение для проведения самостоятельных практических занятий: интерактивной работы с пространственной информацией, цифровыми географическими картами мира и России Живая География. Школьная геоинформационная система. ГИС -оболочка. Живая География 2.0. Цифровые географические карты.  Живая География 2.0. Комплект цифровых исторических карт. Живая География 2.0. Коллекция космических снимков России. Лицензия на 1 рабочее место</t>
  </si>
  <si>
    <t>Интегрированная творческая среда для образовательных учреждений основного общего образования, направленная на развитие у обучающихся навыков работы с мультимедийными функциями, помогающая решать вопросы обучения детей программированию и навыкам алгоритмического мышления, а также вопросы компьютерного моделирования и последующего практикума с использованием этих моделей ЛогоМиры 3.0. (Интегрированная творческая среда). Лицензия на 1 рабочее место</t>
  </si>
  <si>
    <t>Цифровое устройство для просмотра микропрепаратов MicroLife: ML-12-1.3</t>
  </si>
  <si>
    <t>Комплект цифрового учебного оборудования для проведения физических испытаний и физиологических наблюдений в домашних условиях</t>
  </si>
  <si>
    <t>Компьютерный джостик Traxsys Roller Joystick II</t>
  </si>
  <si>
    <t>Специализированная клавиатура с минимальным усилием для позиционирования и ввода IntelliKeys USB</t>
  </si>
  <si>
    <t>Набор цветных выносных компьютерных кнопок малых Medium Joggle Switch (4 шт.)</t>
  </si>
  <si>
    <t>Специализированный программно-технический комплекс педагогического работника. Компьютер Apple  MacBook Pro 13” Dual-Core i5 2.5GHz/4GB/500GB/HD Graphics/SD. Пульт дистанционного управления: Apple Remote/USB-хаб. Axiom HUB 7-port. Операционная система 1 AppleMac OS X Lion (iChat - iTunes  QuickTime X). Операционная система 2 Microsoft: Windows 7 Professional. Программное обеспечение для синхронизации работы операционных систем  Parallels Desktop 7 для Mac. Программное обеспечение для дистанционного управления компьютерами Apple Remote Desktop 3 Client. Программное обеспечение для защиты от вредоносного интернет-контента и вирусов CRAWLER Spyware Terminator 2012. Пакет программного обеспечения Apple  iLife '11 (iPhoto –  iMovie –GarageBand). Программное обеспечение создания и редактирования веб-сайтов KompoZer/Bluefish. Программное обеспечение создания DVD-видеодисков Burn DVDStyler.  Программное обеспечение создания и редактирования для учебных материалов iWork '09/ QuickTime X /QuickTime  Broadca</t>
  </si>
  <si>
    <t>Программное обеспечение для дистанционного управления компьютерами учащихся Remote Desktop 3.3</t>
  </si>
  <si>
    <t>Специализированный программно-технический комплекс педагогического работника. Компьютер Apple  MacBook Pro 13” Dual-Core i5 2.5GHz/4GB/500GB/HD Graphics/SD. Пульт дистанционного управления. Apple Remote/USB-хаб Axiom HUB 7-port. Операционная система 1 AppleMac OS X Lion (iChat - iTunes  QuickTime X). Операционная система 2 Microsoft: Windows 7 Professional. Программное обеспечение для синхронизации работы операционных систем  Parallels Desktop 7 для Mac. Программное обеспечение для дистанционного управления компьютерами. Apple Remote Desktop 3 Client. Программное обеспечение для защиты от вредоносного интернет-контента и вирусов CRAWLER Spyware Terminator 2012. Пакет программного обеспечения Apple  iLife '11 (iPhoto –  iMovie –GarageBand). Программное обеспечение создания и редактирования веб-сайтов KompoZer/Bluefish. Программное обеспечение создания DVD-видеодисков Burn DVDStyler. Программное обеспечение создания и редактирования для учебных материалов iWork '09/ QuickTime X /QuickTime Broadca</t>
  </si>
  <si>
    <t>Программное обеспечение для проведения самостоятельных практических занятий: создания моделей физических явлений и проведения численных экспериментов Живая Физика 4.3. (Виртуальный конструктор по физике). Лицензия на 1 рабочее место</t>
  </si>
  <si>
    <t>Специализированный программно-технический комплекс педагогического работника. Компьютер Apple  MacBook Pro 13” Dual-Core i5 2.5GHz/4GB/500GB/HD Graphics/SD. Пульт дистанционного управления. Apple Remote/USB-хаб Axiom HUB 7-port. Операционная система 1 AppleMac OS X Lion (iChat - iTunes  QuickTime X). Операционная система 2 Microsoft: Windows 7 Professional. Программное обеспечение для синхронизации работы операционных систем  Parallels Desktop 7 для Mac. Программное обеспечение для дистанционного управления компьютерами. Apple Remote Desktop 3 Client. Программное обеспечение для защиты от вредоносного интернет-контента и вирусов CRAWLER Spyware Terminator 2012. Пакет программного обеспечения Apple  iLife '11 (iPhoto –  iMovie –GarageBand). Программное обеспечение создания и редактирования веб-сайтов KompoZer/Bluefish. Программное обеспечение создания DVD-видеодисков Burn DVD Styler. Программное обеспечение создания и редактирования для учебных материалов iWork '09/ QuickTime</t>
  </si>
  <si>
    <t>Специализированный программно-технический комплекс ученика с ограниченными возможностями здоровья - Apple Mac mini Dual-Core i5 2.3GHz/2GB/500GB/HD Graphics. Концентратор Axiom: HUB 7-port. Клавиатура Apple Keyboard. Привод для записи двухслойных оптических дисков DVD Axiom AX-5960. Координатно-указательное устройство  ARCTIC  M111. Монитор AOC 919Vwa+. Операционная система 1 Apple: Mac OS X Lion (iChat - iTunes –QuickTime X). Операционная система 2 Microsoft  Windows 7 Professional. Программное обеспечение для синхронизации работы операционных систем Parallels Desktop 7 для Mac. Программное обеспечение для дистанционного управления компьютерами. Клиентская часть Apple Remote Desktop 3 Client. Программное обеспечение для защиты от вредоносного интернет-контента и вирусов CRAWLER  Spyware Terminator 2012. Пакет программного обеспечения Apple iLife '11 (iPhoto –iMovie –GarageBand) Программное обеспечение создания и редактирования веб-сайтов KompoZer/Bluefish/. Программное обеспечение создания DVD-</t>
  </si>
  <si>
    <t>Графический планшет Wacom. Bamboo Pen.  Программное обеспечение для распознавания рукописного текста Bamboo Scribe. Программное обеспечение для рисования</t>
  </si>
  <si>
    <t>Конструктор по началам прикладной информатики и робототехники LEGO Technic: ПервоРобот NXT. Базовый набор (9797 v.95)</t>
  </si>
  <si>
    <t>13. Интегрированная творческая среда для образовательных учреждений начального общего образования, направленная на поддержку освоения и развития грамотности, развития речи,  освоения математических моделей, развития коммуникативных навыков и творческих способностей обучающихся ИНТ ПервоЛого 3.0. (Интегрированная творческая среда для начальной школы) Лицензия на 1 рабочее место</t>
  </si>
  <si>
    <t>Программное обеспечение для программирования роботов с функцией обучения конструированию и программированию   LEGO: ПервоРобот NXT. Программное обеспечение. Лицензия на 1 рабочее место</t>
  </si>
  <si>
    <t>2-комнатная квартира, 2-этаж</t>
  </si>
  <si>
    <t>50:39:0040202:67</t>
  </si>
  <si>
    <t>50:39:0060205:54</t>
  </si>
  <si>
    <t>22.12.2015г</t>
  </si>
  <si>
    <t>50:39:0060205:116</t>
  </si>
  <si>
    <t>31.12.2015г</t>
  </si>
  <si>
    <t>Земельный участок Категория земель - земли населенных пунктов, ВРИ - общее пользование территорией</t>
  </si>
  <si>
    <t>50:39:0060306:1027</t>
  </si>
  <si>
    <t>Земельный участок Категория земель - земли населённых пунктов ВРИ - среднеэтажная застройка</t>
  </si>
  <si>
    <t>50:39:0070303:233</t>
  </si>
  <si>
    <t>30.12.2015г</t>
  </si>
  <si>
    <t>Земельный участок Категория земель - земли населённых пунктов ВРИ - под кладбище</t>
  </si>
  <si>
    <t>50:39:0050102:75</t>
  </si>
  <si>
    <t xml:space="preserve">1-о комнатная квартира </t>
  </si>
  <si>
    <t>50:39:0000000:3067</t>
  </si>
  <si>
    <t>23.12.2015г</t>
  </si>
  <si>
    <t>Свидетельство о регистрации права 50-НГ №380563</t>
  </si>
  <si>
    <t>50:39:0060306:1026</t>
  </si>
  <si>
    <t>50:39:0050203:82</t>
  </si>
  <si>
    <t>50:39:0050102:66</t>
  </si>
  <si>
    <t>50:39:0050102:76</t>
  </si>
  <si>
    <t>50:39:0070104:177</t>
  </si>
  <si>
    <t>Земельный участок Категория земель - земли населённых пунктов ВРИ - для захоронения</t>
  </si>
  <si>
    <t>50:39:0050102:19</t>
  </si>
  <si>
    <t>Московская область, Серебряно-Прудский район, р. п. Серебряные Пруды, ул.Первомайская,11</t>
  </si>
  <si>
    <t>Распоряжение администрации Серебряно-Прудского муниципального района 278-р, Свидет-во о регистрации права 50-БА 635688</t>
  </si>
  <si>
    <t>Распоряжение администрации Серебряно-Прудского муниципального района 278-р, Свидет-во о регистрации права 50-БА 635408</t>
  </si>
  <si>
    <t>Распоряжение администрации Серебряно-Прудского муниципального района 278-р, Свидет-во о регистрации права 50-БА 635406</t>
  </si>
  <si>
    <t xml:space="preserve"> Решение СД Сер.-Пруд. Муниц. р-на МО  № 106/24, Свидет-во о регистрации права 50-БА 380557</t>
  </si>
  <si>
    <t>Распоряжение администрации Серебряно-Прудского муниципального района 278-р, Свидет-во о регистрации права 50-БА 635515</t>
  </si>
  <si>
    <t xml:space="preserve"> Решение СД Сер.-Пруд. Муниц. р-на МО  № 106/24, Свидет-во о регистрации права 50-БА 635407</t>
  </si>
  <si>
    <t>Распоряжение администрации Серебряно-Прудского муниципального района 278-р, свидет-во о регистрации права 50-БА 635402</t>
  </si>
  <si>
    <t>50:39:0000000:4194</t>
  </si>
  <si>
    <t>28.12.2015г</t>
  </si>
  <si>
    <t>Распоряжение администрации Серебряно-Прудского муниципального района 278-р, Свидет-во о регистрации права 50-БА 635325</t>
  </si>
  <si>
    <t>Распоряжение администрации Серебряно-Прудского муниципального района 278-р, Свидет-во о регистрации права 50-635511</t>
  </si>
  <si>
    <t>Распоряжение администрации Серебряно-Прудского муниципального района 278-р, свидет-во о регистрации права 50-БА 635517</t>
  </si>
  <si>
    <t>Распоряжение администрации Серебряно-Прудского муниципального района 278-р, свидет-во о регистрации права 50-БА 635690</t>
  </si>
  <si>
    <t>Распоряжение администрации Серебряно-Прудского муниципального района 278-р, свидет-во о регистрации права 50-БА 635403</t>
  </si>
  <si>
    <t>26.12.2015г</t>
  </si>
  <si>
    <t>Распоряжение администрации Серебряно-Прудского муниципального района 278-р, Свидет-во о регистрации права 50-БА 635405</t>
  </si>
  <si>
    <t>Распоряжение администрации Серебряно-Прудского муниципального района 278-р, Свидет-во о регистрации права 50-БА 635513</t>
  </si>
  <si>
    <t>Распоряжение администрации Серебряно-Прудского муниципального района 278-р, свидет-во о регистрации права 50-БА 635324</t>
  </si>
  <si>
    <t>Распоряжение администрации Серебряно-Прудского муниципального района 278-р, Свидет-во о регистрации права 50-БА 635539</t>
  </si>
  <si>
    <t>Распоряжение администрации Серебряно-Прудского муниципального района 278-р, свидет-во о регистрации права 50-БА 635532</t>
  </si>
  <si>
    <t xml:space="preserve"> Решение СД Сер.-Пруд. Муниц. р-на МО  № 106/24, свидет-во о регистрации права 50-БА 635404</t>
  </si>
  <si>
    <t>Распоряжение администрации Серебряно-Прудского муниципального района 278-р, свидет-во о регистрации права 50-БА 635409</t>
  </si>
  <si>
    <t>29.12.2015г</t>
  </si>
  <si>
    <t>Распоряжение администрации Серебряно-Прудского муниципального района 278-р, свидет-во о регистрации права 50-БА 380554</t>
  </si>
  <si>
    <t>Распоряжение администрации Серебряно-Прудского муниципального района 278-р, свидет-во о регистрации права 50-БА 635504</t>
  </si>
  <si>
    <t>Распоряжение администрации Серебряно-Прудского муниципального района 278-р, свидет-во о регистрации права 50-БА 380549</t>
  </si>
  <si>
    <t>Распоряжение администрации Серебряно-Прудского муниципального района 278-р, свидет-во о регистрации права 50-БА 635533</t>
  </si>
  <si>
    <t xml:space="preserve"> Решение СД Сер.-Пруд. Муниц. р-на МО  № 106/24, Свидет-во о регистрации права 50-БА 635411</t>
  </si>
  <si>
    <t>Распоряжение администрации Серебряно-Прудского муниципального района 278-р, свидет-во о регистрации права 50-БА 380552</t>
  </si>
  <si>
    <t>Распоряжение администрации Серебряно-Прудского муниципального района 278-р, свидет-во о регистрации права 50-БА 635692</t>
  </si>
  <si>
    <t>Распоряжение администрации Серебряно-Прудского муниципального района 278-р, свидет-во о регистрации права 50-БА 6355205</t>
  </si>
  <si>
    <t>50:39:0050104:261</t>
  </si>
  <si>
    <t xml:space="preserve"> Решение СД Сер.-Пруд. Муниц. р-на МО  № 106/24, свидет-во о регистрации права 50-БА 380550</t>
  </si>
  <si>
    <t>Распоряжение администрации Серебряно-Прудского муниципального района 278-р, свидет-во о регистрации права 50-БА 380555</t>
  </si>
  <si>
    <t>Распоряжение администрации Серебряно-Прудского муниципального района 278-р, свидет-во о регистрации права 50-БА 635519</t>
  </si>
  <si>
    <t>Распоряжение администрации Серебряно-Прудского муниципального района 278-р, свидет-во о регистрации права 50-БА 635687</t>
  </si>
  <si>
    <t>Распоряжение администрации Серебряно-Прудского муниципального района 278-р, свидет-во о регистрации права 50-БА 635508</t>
  </si>
  <si>
    <t>Распоряжение администрации Серебряно-Прудского муниципального района 278-р. Свидет-во о регистрации права 50-БА 635506</t>
  </si>
  <si>
    <t>Распоряжение администрации Серебряно-Прудского муниципального района 278-р, свидет-во о регистрации права 50-БА 635541</t>
  </si>
  <si>
    <t>Распоряжение администрации Серебряно-Прудского муниципального района 278-р, свидет-во о регистрации права 50-БА 380556</t>
  </si>
  <si>
    <t>50:39:0070104:741</t>
  </si>
  <si>
    <t>Распоряжение администрации Серебряно-Прудского муниципального района 278-р, свидет-во о регистрации права 50-БА 635516</t>
  </si>
  <si>
    <t>Распоряжение администрации Серебряно-Прудского муниципального района 278-р, свидет-во о регистрации права 50-БА 635689</t>
  </si>
  <si>
    <t>Распоряжение администрации Серебряно-Прудского муниципального района 278-р, свидет-во о регистрации права 50-БА 635691</t>
  </si>
  <si>
    <t>Распоряжение администрации Серебряно-Прудского муниципального района 278-р, свидет-во о регистрации права 50-БА 635401</t>
  </si>
  <si>
    <t xml:space="preserve"> Решение СД Сер.-Пруд. Муниц. р-на МО  № 106/24, свидет-во о регистрации права 50-БА 635514</t>
  </si>
  <si>
    <t>Распоряжение администрации Серебряно-Прудского муниципального района 278-р, свидет-во о регистрации права 50-БА 635326</t>
  </si>
  <si>
    <t>Распоряжение администрации Серебряно-Прудского муниципального района 278-р, свидет-во о регистрации права 50-БА 635414</t>
  </si>
  <si>
    <t xml:space="preserve"> Решение СД Сер.-Пруд. Муниц. р-на МО  № 106/24, свидет-во о регистрации права 50-БА 635507</t>
  </si>
  <si>
    <t>Распоряжение администрации Серебряно-Прудского муниципального района 278-р, свидет-во о регистрации права 50-БА 635512</t>
  </si>
  <si>
    <t>Распоряжение администрации Серебряно-Прудского муниципального района 278-р, свидет-во о регистрации права 50-БА 635536</t>
  </si>
  <si>
    <t>Распоряжение администрации Серебряно-Прудского муниципального района 278-р, свидет-во о регистрации права 50-БА 380551</t>
  </si>
  <si>
    <t>Распоряжение администрации Серебряно-Прудского муниципального района 278-р, свидет-во о регистрации права 50-БА 635529</t>
  </si>
  <si>
    <t>Распоряжение администрации Серебряно-Прудского муниципального района 278-р, свидет-во о регистрации права 50-БА 380553</t>
  </si>
  <si>
    <t>Распоряжение администрации Серебряно-Прудского муниципального района 278-р, свидет-во о регистрации права 50-БА 635593</t>
  </si>
  <si>
    <t>Распоряжение администрации Серебряно-Прудского муниципального района 278-р, свидет-во о регистрации права 50-БА 635599</t>
  </si>
  <si>
    <t>Распоряжение администрации Серебряно-Прудского муниципального района 278-р, свидет-во о регистрации права 50-БА 635412</t>
  </si>
  <si>
    <t>Распоряжение администрации Серебряно-Прудского муниципального района 278-р, свидет-во о регистрации права 50-БА 635410</t>
  </si>
  <si>
    <t>Распоряжение администрации Серебряно-Прудского муниципального района 278-р, свидет-во о регистрации права 50-БА 635598</t>
  </si>
  <si>
    <t>Распоряжение администрации Серебряно-Прудского муниципального района 278-р, свидет-во о регистрации права 50-БА 635600</t>
  </si>
  <si>
    <t>Распоряжение администрации Серебряно-Прудского муниципального района от 28.11.2010 №278-р, свидет-во о регистрации права 50-БА 635597</t>
  </si>
  <si>
    <t>Распоряжение администрации Серебряно-Прудского муниципального района 278-р, свидет-во о регистрации права 50-БА 635592</t>
  </si>
  <si>
    <t>Распоряжение администрации Серебряно-Прудского муниципального района 278-р, свидет-во о регистрации права 50-БА 635323</t>
  </si>
  <si>
    <t>Распоряжение администрации Серебряно-Прудского муниципального района 278-р, свидет-во о регистрации права 50-БА 635534</t>
  </si>
  <si>
    <t>Распоряжение администрации Серебряно-Прудского муниципального района 278-р, свидет-во о регистрации права 50-БА 635686</t>
  </si>
  <si>
    <t>Распоряжение администрации Серебряно-Прудского муниципального района 278-р. Свидет-во о регистрации права 50-БА 635520</t>
  </si>
  <si>
    <t>Распоряжение администрации Серебряно-Прудского муниципального района 278-р, свидет-во о регистрации права 50-БА 635509</t>
  </si>
  <si>
    <t>Распоряжение администрации Серебряно-Прудского муниципального района 278-р, свидет-во о регистрации права 50-БА 635535</t>
  </si>
  <si>
    <t>Распоряжение администрации Серебряно-Прудского муниципального района 278-р, свидет-во о регистрации права 50-БА 635413</t>
  </si>
  <si>
    <t>Распоряжение администрации Серебряно-Прудского муниципального района 278-р, свидет-во о регистрации права 50-БА 635510</t>
  </si>
  <si>
    <t>Распоряжение администрации Серебряно-Прудского муниципального района 278-р, свидет-во о регистрации права 50-БА 635518</t>
  </si>
  <si>
    <t xml:space="preserve"> Решение СД Сер.-Пруд. Муниц. р-на МО  № 106/24, Св-во о гос.рег-ии 50-БА 533926</t>
  </si>
  <si>
    <t xml:space="preserve"> Решение СД Сер.-Пруд. Муниц. р-на МО  № 106/24, Св-во о гос.рег-ии 50-БА 533924</t>
  </si>
  <si>
    <t xml:space="preserve"> Решение СД Сер.-Пруд. Муниц. р-на МО  № 106/24, Св-во о гос.рег-ии 50-АД №746163</t>
  </si>
  <si>
    <t>Часть здания, 1- 3-этажный, инв. 272:077-1258 лит.А</t>
  </si>
  <si>
    <t>Автовышка ПСС-131. 18Э ЗИЛ-433362, подъемник стреловой самоходный, 2007г выпуска, двигатель - 508.10 70287331, шасси 433362 7 3496204, цвет синий</t>
  </si>
  <si>
    <t>50:39:05:32535:001</t>
  </si>
  <si>
    <t>Административное здание нежилого назначения инв. 000001</t>
  </si>
  <si>
    <t>МО, рп. Серебряные Пруды. ул. И. Садофьева</t>
  </si>
  <si>
    <t>Автотест-4/газоанализатор универсальный/</t>
  </si>
  <si>
    <t>Бытовка мет., инв. 017491, металлический каркас, утепленный, обшито металлопрофилем, 2009г с. Мочилы</t>
  </si>
  <si>
    <t>Благоустройство многоквартирного жилого дома № 53. д. Шеметово</t>
  </si>
  <si>
    <t>Секции ограждения со стойками 420м2, металлические конструкции, ВЗУ, д. Шеметово, инв. 17607</t>
  </si>
  <si>
    <t>Емкости мет. 2 шт. по 50м3, рп Серебряные Пруды, ул. Механизаторов, котельная №1, инв. 014087</t>
  </si>
  <si>
    <t>Ограждение территории котельная №1, металлический забор с сеткой рабица, длина 443 пог.м., ул. Механизаторов, инв. 14006</t>
  </si>
  <si>
    <t>Ограждение котельной №1, из ЖБ элементов Высота 2,5м, 2-ой подъем ВЗУ, рп Серебряные Пруды, ул. Комсомольская, инв. 13047</t>
  </si>
  <si>
    <t>Вагон бытовой, д. Благодать, инв. 13048, металлический каркас, утепленный, обшито металлопрофилем. ВЗУ, инв. 13048</t>
  </si>
  <si>
    <t>Микрофон товарного знака "HUAWEI" модель М 100</t>
  </si>
  <si>
    <t xml:space="preserve">Постановление Правительства Московской области от 23.11.2015г № 1092/44. </t>
  </si>
  <si>
    <t>23.11.2015г</t>
  </si>
  <si>
    <t>Решение Совета депутатов Серебряно-Прудского района МО № 662/67</t>
  </si>
  <si>
    <t>50:39:0040104:70</t>
  </si>
  <si>
    <t>50:39:0070106:153</t>
  </si>
  <si>
    <t>50:39:0000000:4239</t>
  </si>
  <si>
    <t>50:39:0070107:112</t>
  </si>
  <si>
    <t>16.12.2015г</t>
  </si>
  <si>
    <t xml:space="preserve"> МО, Серебряно-Прудский р-он СТ "Мягковские камушки" уч. 41</t>
  </si>
  <si>
    <t>50:39:0040103:72</t>
  </si>
  <si>
    <t>50:39:0060601:43</t>
  </si>
  <si>
    <t xml:space="preserve">Муниципальное учреждение центр гражданского и патриотического воспитания детей и молодежи "Патриот". </t>
  </si>
  <si>
    <t>17.1.04.0034</t>
  </si>
  <si>
    <t>17.1.05.0001</t>
  </si>
  <si>
    <t>14.1.04.0046</t>
  </si>
  <si>
    <t>14.1.04.0047</t>
  </si>
  <si>
    <t>14.1.04.0048</t>
  </si>
  <si>
    <t>14.1.04.0049</t>
  </si>
  <si>
    <t>14.1.04.0050</t>
  </si>
  <si>
    <t>14.1.04.0051</t>
  </si>
  <si>
    <t>14.1.04.0052</t>
  </si>
  <si>
    <t>14.1.04.0053</t>
  </si>
  <si>
    <t>14.1.04.0054</t>
  </si>
  <si>
    <t>14.1.04.0055</t>
  </si>
  <si>
    <t>14.1.04.0056</t>
  </si>
  <si>
    <t>14.1.04.0057</t>
  </si>
  <si>
    <t>14.1.04.0058</t>
  </si>
  <si>
    <t>14.1.04.0059</t>
  </si>
  <si>
    <t>14.1.04.0060</t>
  </si>
  <si>
    <t>14.1.04.0061</t>
  </si>
  <si>
    <t>14.1.04.0062</t>
  </si>
  <si>
    <t>14.1.04.0063</t>
  </si>
  <si>
    <t>17.1.04.0013</t>
  </si>
  <si>
    <t>17.1.04.0002</t>
  </si>
  <si>
    <t>17.1.04.0003</t>
  </si>
  <si>
    <t>17.1.04.0004</t>
  </si>
  <si>
    <t>17.1.04.0005</t>
  </si>
  <si>
    <t>17.1.04.0006</t>
  </si>
  <si>
    <t>17.1.04.0007</t>
  </si>
  <si>
    <t>17.1.04.0008</t>
  </si>
  <si>
    <t>17.1.04.0001</t>
  </si>
  <si>
    <t>17.1.04.0022</t>
  </si>
  <si>
    <t>17.1.04.0023</t>
  </si>
  <si>
    <t>17.1.04.0024</t>
  </si>
  <si>
    <t>17.1.04.0018</t>
  </si>
  <si>
    <t>17.1.04.0019</t>
  </si>
  <si>
    <t>17.1.04.0016</t>
  </si>
  <si>
    <t>17.1.04.0017</t>
  </si>
  <si>
    <t>17.1.04.0025</t>
  </si>
  <si>
    <t>17.1.04.0026</t>
  </si>
  <si>
    <t>17.1.04.0027</t>
  </si>
  <si>
    <t>17.1.04.0028</t>
  </si>
  <si>
    <t>17.1.04.0012</t>
  </si>
  <si>
    <t>17.1.04.0011</t>
  </si>
  <si>
    <t>17.1.04.0009</t>
  </si>
  <si>
    <t>17.1.04.0010</t>
  </si>
  <si>
    <t>17.1.04.0029</t>
  </si>
  <si>
    <t>17.1.04.0020</t>
  </si>
  <si>
    <t>17.1.04.0030</t>
  </si>
  <si>
    <t>17.1.04.0031</t>
  </si>
  <si>
    <t>17.1.04.0035</t>
  </si>
  <si>
    <t>17.1.04.0037</t>
  </si>
  <si>
    <t>17.1.04.0015</t>
  </si>
  <si>
    <t>17.1.04.0038</t>
  </si>
  <si>
    <t>17.1.04.0039</t>
  </si>
  <si>
    <t>17.1.04.0040</t>
  </si>
  <si>
    <t>17.1.04.0041</t>
  </si>
  <si>
    <t>17.1.04.0042</t>
  </si>
  <si>
    <t>17.1.04.0043</t>
  </si>
  <si>
    <t>17.1.04.0044</t>
  </si>
  <si>
    <t>17.1.04.0045</t>
  </si>
  <si>
    <t>17.1.04.0046</t>
  </si>
  <si>
    <t>17.1.34.0047</t>
  </si>
  <si>
    <t>17.1.34.0048</t>
  </si>
  <si>
    <t>17.1.34.0049</t>
  </si>
  <si>
    <t>17.1.34.0050</t>
  </si>
  <si>
    <t>17.1.34.0051</t>
  </si>
  <si>
    <t>17.1.34.0052</t>
  </si>
  <si>
    <t>17.1.06.0007</t>
  </si>
  <si>
    <t>17.1.06.0002</t>
  </si>
  <si>
    <t>17.1.06.0011</t>
  </si>
  <si>
    <t>17.1.06.0005</t>
  </si>
  <si>
    <t>17.1.36.0014</t>
  </si>
  <si>
    <t>17.1.36.0015</t>
  </si>
  <si>
    <t>17.1.36.0016</t>
  </si>
  <si>
    <t>17.1.36.0017</t>
  </si>
  <si>
    <t>17.1.36.0018</t>
  </si>
  <si>
    <t>17.1.36.0019</t>
  </si>
  <si>
    <t>17.1.36.0020</t>
  </si>
  <si>
    <t>17.1.36.0021</t>
  </si>
  <si>
    <t>17.1.36.0022</t>
  </si>
  <si>
    <t>Стелаж с 4-мя полками металлический</t>
  </si>
  <si>
    <t>17.1.36.0023</t>
  </si>
  <si>
    <t>Товарная накладная № ОЕР/8113862</t>
  </si>
  <si>
    <t>Акт о списании №8</t>
  </si>
  <si>
    <t>17.1.04.0014</t>
  </si>
  <si>
    <t>15.02.2016г</t>
  </si>
  <si>
    <t>Распоряжение администрации Серебряно-Прудского муниципального района 278-р, Свидет-во о регистрации права 50-БА 636075</t>
  </si>
  <si>
    <t>Распоряжение администрации Серебряно-Прудского муниципального района 278-р. Свидет-во о регистрации права 50-БА 636074</t>
  </si>
  <si>
    <t>Распоряжение администрации Серебряно-Прудского муниципального района 278-р, Свидет-во о регистрации права 50-БА 636078</t>
  </si>
  <si>
    <t>Распоряжение администрации Серебряно-Прудского муниципального района 278-р, Свидет-во о регистрации права 50-БА-636079</t>
  </si>
  <si>
    <t>Распоряжение администрации Серебряно-Прудского муниципального района 278-р, Свидет-во о регистрации прва 50-БА 636080</t>
  </si>
  <si>
    <t>Распоряжение администрации Серебряно-Прудского муниципального района 278-р, Свидет-во о регистрации права 50-БА 636081</t>
  </si>
  <si>
    <t>Распоряжение администрации Серебряно-Прудского муниципального района 278-р, Свидет-во о регистрацмии права 50-БА 636082</t>
  </si>
  <si>
    <t>Распоряжение администрации Серебряно-Прудского муниципального района 278-р, Свидет-во о регистрации права 50-БА 636083</t>
  </si>
  <si>
    <t>Распоряжение администрации Серебряно-Прудского муниципального района 278-р, Свидет-во о регистрации права 50-БА 636084</t>
  </si>
  <si>
    <t>Распоряжение администрации Серебряно-Прудского муниципального района 278-р, Свидет-во о регистрации права 50-БА 636067</t>
  </si>
  <si>
    <t>Распоряжение администрации Серебряно-Прудского муниципального района 278-р, Свидет-во о регистрации права 50-БА 636066</t>
  </si>
  <si>
    <t>Распоряжение администрации Серебряно-Прудского муниципального района 278-р, Свидет-во о регистрации права 50-БА 636065</t>
  </si>
  <si>
    <t>Распоряжение администрации Серебряно-Прудского муниципального района 278-р, Свидет-во о регистрации права 50-БА 636064</t>
  </si>
  <si>
    <t>Распоряжение администрации Серебряно-Прудского муниципального района 278-р, Свидет-во о регистрации права 50-БА 636063</t>
  </si>
  <si>
    <t>Распоряжение администрации Серебряно-Прудского муниципального района 278-р, Свидет-во о регистрации права 50-БА 636068</t>
  </si>
  <si>
    <t xml:space="preserve">15.02.2016г </t>
  </si>
  <si>
    <t>Распоряжение администрации Серебряно-Прудского муниципального района 278-р, Свидет-во о регистрации права 50-БА 636073</t>
  </si>
  <si>
    <t>Распоряжение администрации Серебряно-Прудского муниципального района 278-р, Свидет-во о регистрации права 50-БА 636060</t>
  </si>
  <si>
    <t>Распоряжение администрации Серебряно-Прудского муниципального района 278-р, Свидет-во о регистрации права 50-БА 636062</t>
  </si>
  <si>
    <t>Распоряжение администрации Серебряно-Прудского муниципального района 278-р, Свидет-во о регистрации права 50-БА 636061</t>
  </si>
  <si>
    <t>Распоряжение администрации Серебряно-Прудского муниципального района 278-р, Свидет-во о регистрации права 50-БА 636069</t>
  </si>
  <si>
    <t>Распоряжение администрации Серебряно-Прудского муниципального района 278-р, Свидет-во о регистрации права 50-БА 636070</t>
  </si>
  <si>
    <t>Распоряжение администрации Серебряно-Прудского муниципального района 278-р, Свидет-во о регистрации права 50-БА 636071</t>
  </si>
  <si>
    <t>Распоряжение администрации Серебряно-Прудского муниципального района 278-р, Свидет-во о регистрации права 50-БА 636072</t>
  </si>
  <si>
    <t>Распоряжение администрации Серебряно-Прудского муниципального района 278-р, Свидетельство о регистрации права 50-БА 636077</t>
  </si>
  <si>
    <t>Распоряжение администрации Серебряно-Прудского муниципального района 278-р, Свидет-во о регистрации права 50-БА 636085</t>
  </si>
  <si>
    <t>Здание нежилого назначения (МФЦ), 3-этажный, инв.272:077-1720</t>
  </si>
  <si>
    <t>50:39:03:00126:001:0007</t>
  </si>
  <si>
    <t>Здание конторы (МУП "УК Серебряные Пруды)  инв. 000097</t>
  </si>
  <si>
    <t>Помещение нежилое, 1 этаж (Дом детского творчества)</t>
  </si>
  <si>
    <t>Московская область, рп Серебряные Пруды, мкр-н Центральный, д.1</t>
  </si>
  <si>
    <t>50:39:0050503:680</t>
  </si>
  <si>
    <t>22.06.2015г</t>
  </si>
  <si>
    <t>Свидет-во о регистрации права 50-БА 228486</t>
  </si>
  <si>
    <t>Часть жилого дома, назначение жилое, 1-этажный, инв. № 274:078-2241/3 лит. А</t>
  </si>
  <si>
    <t>50:39:0020314:479</t>
  </si>
  <si>
    <t>27.08.2008г</t>
  </si>
  <si>
    <t>Часть здания, назначение нежилое, 2-этажный, инв. № 274:078-3650. лит. А</t>
  </si>
  <si>
    <t>Земельный участок для огранизации дошкольного образовательного процесса, категория земель - земли поселений</t>
  </si>
  <si>
    <t>50:39:0070104:167</t>
  </si>
  <si>
    <t>15.10.2012г</t>
  </si>
  <si>
    <t>Свидет-во о регистрации права 50-АД №292526</t>
  </si>
  <si>
    <t>24.10.1997г</t>
  </si>
  <si>
    <t>Решение СД Сер-Пруд муниц. р-на МО №106/24</t>
  </si>
  <si>
    <t>Квартира 4-х комнатная</t>
  </si>
  <si>
    <t>Квартира 3-х комнатная</t>
  </si>
  <si>
    <t>Квартира 2-х комнатная</t>
  </si>
  <si>
    <t>142970 Московская область, Серебряно-Прудский р-он, г.п. Серебряные Пруды, м-н Западный, д.8, кв.7</t>
  </si>
  <si>
    <t xml:space="preserve">Квартира 1-о комнатная </t>
  </si>
  <si>
    <t>Квартира 1-о комнатная</t>
  </si>
  <si>
    <t xml:space="preserve">Квартира 2-х комнатная </t>
  </si>
  <si>
    <t>142970 Московская область, Серебряно-Прудский р-он, г.п. Серебряные Пруды, ул. Первомайская, д.1, кв.14</t>
  </si>
  <si>
    <t>142970 Московская область, Серебряно-Прудский р-он, г.п. Серебряные Пруды, ул. Ленина, д.53, кв.38</t>
  </si>
  <si>
    <t>Комната в квартире</t>
  </si>
  <si>
    <t>Квартиира 1-о комнатная</t>
  </si>
  <si>
    <t>1/2 часть квартиры</t>
  </si>
  <si>
    <t>Квартира</t>
  </si>
  <si>
    <t>Муниципальный жилой фонд</t>
  </si>
  <si>
    <t>квартира 2-х комнатная</t>
  </si>
  <si>
    <t>квартира 1-о комнатная</t>
  </si>
  <si>
    <t>квартира 3-х комнатная</t>
  </si>
  <si>
    <t>комната</t>
  </si>
  <si>
    <t>квартира 1комната</t>
  </si>
  <si>
    <t>Квартиры</t>
  </si>
  <si>
    <t xml:space="preserve">Квартира </t>
  </si>
  <si>
    <t>Квартира №1</t>
  </si>
  <si>
    <t>Квартира №13</t>
  </si>
  <si>
    <t>Квартиры №1,2</t>
  </si>
  <si>
    <t>3-х комнатная квартира</t>
  </si>
  <si>
    <t>2-х комнатная квартира</t>
  </si>
  <si>
    <t>1-на комнатная квартира</t>
  </si>
  <si>
    <t>2-х  комнатная квартира</t>
  </si>
  <si>
    <t>1-на  комнатная квартира</t>
  </si>
  <si>
    <t xml:space="preserve">2-х  квартирный жилой дом, 1956 г. </t>
  </si>
  <si>
    <t xml:space="preserve">4-х  квартирный жилой дом, 1960 г. </t>
  </si>
  <si>
    <t>50:39:0050403:88</t>
  </si>
  <si>
    <t>50:39:0050403:92</t>
  </si>
  <si>
    <t>50:39:0050403:71</t>
  </si>
  <si>
    <t>50:39:0050403:78</t>
  </si>
  <si>
    <t>50:39:0050403:75</t>
  </si>
  <si>
    <t>50:39:0050403:81</t>
  </si>
  <si>
    <t>50:39:0050403:82</t>
  </si>
  <si>
    <t>50:39:0050404:523</t>
  </si>
  <si>
    <t>50:39:0050404:528</t>
  </si>
  <si>
    <t>50:39:0050404:898</t>
  </si>
  <si>
    <t>50:39:0050404:679</t>
  </si>
  <si>
    <t>50:39:0050404:673</t>
  </si>
  <si>
    <t>50:39:0050504:343</t>
  </si>
  <si>
    <t>50:39:0050503:166</t>
  </si>
  <si>
    <t>50:39:0050503:252</t>
  </si>
  <si>
    <t>50:39:0050511:194</t>
  </si>
  <si>
    <t>50:39:0050503:122</t>
  </si>
  <si>
    <t>50:39:0050503:123</t>
  </si>
  <si>
    <t>50:39:0050503:124</t>
  </si>
  <si>
    <t>50:39:0050503:125</t>
  </si>
  <si>
    <t xml:space="preserve">Квартира 3-х комнатная </t>
  </si>
  <si>
    <t>50:39:0050503:126</t>
  </si>
  <si>
    <t>50:39:0050503:127</t>
  </si>
  <si>
    <t>50:39:0050503:276</t>
  </si>
  <si>
    <t>50:39:0050503:255</t>
  </si>
  <si>
    <t>50:39:0050503:355</t>
  </si>
  <si>
    <t>50:39:0050506:138</t>
  </si>
  <si>
    <t>50:39:0050506:93</t>
  </si>
  <si>
    <t xml:space="preserve">Муниципальный жилой фонд </t>
  </si>
  <si>
    <t>50:39:0050506:63</t>
  </si>
  <si>
    <t>50:39:0050506:141</t>
  </si>
  <si>
    <t xml:space="preserve">1/2 часть квартиры           </t>
  </si>
  <si>
    <t>50:39:0050506:74</t>
  </si>
  <si>
    <t>50:39:0050508:410</t>
  </si>
  <si>
    <t>50:39:0050508:400</t>
  </si>
  <si>
    <t xml:space="preserve">½ часть квартиры          </t>
  </si>
  <si>
    <t>50:39:0050508:784</t>
  </si>
  <si>
    <t>50:39:0050508:542</t>
  </si>
  <si>
    <t xml:space="preserve">Квартира           </t>
  </si>
  <si>
    <t>50:39:0050512:86</t>
  </si>
  <si>
    <t>50:39:0050101:513</t>
  </si>
  <si>
    <t>50:39:0050101:519</t>
  </si>
  <si>
    <t>50:39:0050101:542</t>
  </si>
  <si>
    <t>50:39:0050101:538</t>
  </si>
  <si>
    <t>50:39:0050101:535</t>
  </si>
  <si>
    <t>50:39:0050101:554</t>
  </si>
  <si>
    <t>50:39:0050101:644</t>
  </si>
  <si>
    <t>50:39:0050101:603</t>
  </si>
  <si>
    <t>03.02.2016г</t>
  </si>
  <si>
    <t>Решение Совета депутатов № 695/70</t>
  </si>
  <si>
    <t>Решение Совета депутатов № 698/70</t>
  </si>
  <si>
    <t>Решение Совета депутатов № 696/70</t>
  </si>
  <si>
    <t>Решение Совета депутатов № 697/70</t>
  </si>
  <si>
    <t>Муниципальное образование городской округ Серебряные Пруды Московской области (казна)</t>
  </si>
  <si>
    <t>городской округ Серебряные Пруды М.О. д. Шеметово д. 53, кв.6</t>
  </si>
  <si>
    <t>городской округ Серебряные Пруды М.О. д. Шеметово д. 53, кв.7</t>
  </si>
  <si>
    <t>городской округ Серебряные Пруды М.О. д. Шеметово д. 53, кв.11</t>
  </si>
  <si>
    <t>городской округ Серебряные Пруды М.О. д. Шеметово д. 53, кв.13</t>
  </si>
  <si>
    <t>городской округ Серебряные Пруды М.О. д. Шеметово д. 53, кв.16</t>
  </si>
  <si>
    <t>городской округ Серебряные Пруды М.О. д. Шеметово д. 53, кв.22</t>
  </si>
  <si>
    <t>городской округ Серебряные Пруды М.О. д. Шеметово д. 53, кв.23</t>
  </si>
  <si>
    <t>городской округ Серебряные Пруды М.О. д. Шеметово д. 53, кв.24</t>
  </si>
  <si>
    <t>городской округ Серебряные Пруды М.О. д. Шеметово д. 53, кв.26</t>
  </si>
  <si>
    <t>городской округ Серебряные Пруды М.О. д. Шеметово д. 53, кв.27</t>
  </si>
  <si>
    <t>городской округ Серебряные Пруды М.О. д. Шеметово д. 53, кв.37</t>
  </si>
  <si>
    <t>городской округ Серебряные Пруды М.О. д. Шеметово д. 53, кв.38</t>
  </si>
  <si>
    <t>городской округ Серебряные Пруды М.О. д. Шеметово д. 53, кв.39</t>
  </si>
  <si>
    <t>городской округ Серебряные Пруды М.О. д. Шеметово д. 53, кв.40</t>
  </si>
  <si>
    <t>городской округ Серебряные Пруды М.О. д. Шеметово д. 53, кв.41</t>
  </si>
  <si>
    <t>городской округ Серебряные Пруды М.О. д. Шеметово д. 53, кв.42</t>
  </si>
  <si>
    <t>городской округ Серебряные Пруды М.О. д. Шеметово д. 53, кв.44</t>
  </si>
  <si>
    <t>городской округ Серебряные Пруды М.О. д. Шеметово д. 53, кв.45</t>
  </si>
  <si>
    <t>городской округ Серебряные Пруды М.О. д. Шеметово д. 53, кв.46</t>
  </si>
  <si>
    <t>городской округ Серебряные Пруды М.О. д. Шеметово д. 53, кв.47</t>
  </si>
  <si>
    <t>городской округ Серебряные Пруды М.О. д. Шеметово д. 53, кв.48</t>
  </si>
  <si>
    <t>городской округ Серебряные Пруды М.О. д. Шеметово д. 53, кв.53</t>
  </si>
  <si>
    <t>городской округ Серебряные Пруды М.О. д. Шеметово д. 53, кв.54</t>
  </si>
  <si>
    <t>городской округ Серебряные Пруды М.О. д. Шеметово д. 53, кв.57</t>
  </si>
  <si>
    <t>городской округ Серебряные Пруды М.О. д. Шеметово д. 53, кв.58</t>
  </si>
  <si>
    <t>городской округ Серебряные Пруды М.О. д. Шеметово д. 53, кв.60</t>
  </si>
  <si>
    <t>городской округ Серебряные Пруды М.О. д. Шеметово д. 53, кв.64</t>
  </si>
  <si>
    <t>городской округ Серебряные Пруды М.О. с. Подхожее м-н Юбилейный д. 3 кв. 24</t>
  </si>
  <si>
    <t>городской округ Серебряные Пруды М.О. с. Глубокое д. 36 кв. 2</t>
  </si>
  <si>
    <t>городской округ Серебряные Пруды М.О. Д. Благодать</t>
  </si>
  <si>
    <t>городской округ Серебряные Пруды М.О. п. Успенский</t>
  </si>
  <si>
    <t>городской округ Серебряные Пруды М.О. с. Мочилы</t>
  </si>
  <si>
    <t>МО, городской округ Серебряные Пруды, с. Мочилы ул. Юбилейная д. 15</t>
  </si>
  <si>
    <t>городской округ Серебряные Пруды М.О. с. Подхожее</t>
  </si>
  <si>
    <t>городской округ Серебряные Пруды М.О. с. Подхожее, м-н Восточный</t>
  </si>
  <si>
    <t xml:space="preserve"> городской округ Серебряные Пруды М.О. пос.Дмитриевский</t>
  </si>
  <si>
    <t>городской округ Серебряные Пруды М.О. с. Шеметово</t>
  </si>
  <si>
    <t>городской округ Серебряные Пруды М.О. пос.Дмитриевский</t>
  </si>
  <si>
    <t>городской округ Серебряные Пруды М.О. д. Митякино</t>
  </si>
  <si>
    <t>городской округ Серебряные Пруды М.О. д. Нижняя Пурловка</t>
  </si>
  <si>
    <t>городской округ Серебряные Пруды М.О. д. Серково</t>
  </si>
  <si>
    <t>городской округ Серебряные Пруды М.О. д. Дудино</t>
  </si>
  <si>
    <t xml:space="preserve"> городской округ Серебряные Пруды М.О. д. Дудино</t>
  </si>
  <si>
    <t>городской округ Серебряные Пруды М.О. д. Шеметово д.10А</t>
  </si>
  <si>
    <t>Здание бани городской округ Серебряные Пруды М.О. д. Шеметово</t>
  </si>
  <si>
    <t>городской округ Серебряные Пруды М.О. д. Шеметово</t>
  </si>
  <si>
    <t>городской округ Серебряные Пруды М.О. д. Ламоново</t>
  </si>
  <si>
    <t>городской округ Серебряные Пруды М.О. с. Глубокое д. 36 А</t>
  </si>
  <si>
    <t>городской округ Серебряные Пруды М.О. с. Глубокое д. 36</t>
  </si>
  <si>
    <t>городской округ Серебряные Пруды М.О.  с. Глубокое д 116</t>
  </si>
  <si>
    <t>городской округ Серебряные Пруды М.О. с. Дудино д. 35</t>
  </si>
  <si>
    <t xml:space="preserve"> городской округ Серебряные Пруды М.О. д. Коровино, д.15</t>
  </si>
  <si>
    <t>городской округ Серебряные Пруды М.О. с. Узуново м-н Северный д. 13</t>
  </si>
  <si>
    <t>городской округ Серебряные Пруды М.О. с. Узуново м-н Южный д. 1а</t>
  </si>
  <si>
    <t>городской округ Серебряные Пруды М.О. с. Крутое д. 10</t>
  </si>
  <si>
    <t xml:space="preserve">городской округ Серебряные Пруды М.О. с. Мочилы </t>
  </si>
  <si>
    <t>городской округ Серебряные Пруды М.О. с. Мочилы ул. Юбилейная д. 13</t>
  </si>
  <si>
    <t>городской округ Серебряные Пруды М.О. пос.Дмитриевский, д.5а</t>
  </si>
  <si>
    <t>городской округ Серебряные Пруды М.О. п. Дмитриевский д.5</t>
  </si>
  <si>
    <t>городской округ Серебряные Пруды М.О.  п. Дмитриевский д.6</t>
  </si>
  <si>
    <t>городской округ Серебряные Пруды М.О. п. Новоклемово д. 62</t>
  </si>
  <si>
    <t>городской округ Серебряные Пруды М.О.  Совхоз Клемово</t>
  </si>
  <si>
    <t>городской округ Серебряные Пруды М.О. п.  Успенский ул. 50 лет Октября д. 11</t>
  </si>
  <si>
    <t>городской округ Серебряные Пруды М.О. п. Успенский ул. Запрудная д. 17</t>
  </si>
  <si>
    <t>городской округ Серебряные Пруды, д. Красновские Выселки, ул. Школьная д. 4</t>
  </si>
  <si>
    <t>городской округ Серебряные Пруды М.О. с. Петрово д. 42</t>
  </si>
  <si>
    <t>городской округ Серебряные Пруды М.О. с. Петрово д. 51</t>
  </si>
  <si>
    <t>городской округ Серебряные Пруды М.О.  Красновские Выселки</t>
  </si>
  <si>
    <t>городской округ Серебряные Пруды М.О. д. Лишняги</t>
  </si>
  <si>
    <t>городской округ Серебряные Пруды М.О. п. Дмитриевский</t>
  </si>
  <si>
    <t>городской округ Серебряные Пруды М.О. с. Узуново ул. Почтовая д. 6 кв. 14</t>
  </si>
  <si>
    <t>городской округ Серебряные Пруды М.О. с. Узуново м-н Южный д. 35 кв. 20</t>
  </si>
  <si>
    <t>городской округ Серебряные Пруды М.О. с. Узуново м-н Южный д. 21 кв. 20</t>
  </si>
  <si>
    <t>городской округ Серебряные Пруды М.О. д. Шеметово д. 6 кв. 5</t>
  </si>
  <si>
    <t>городской округ Серебряные Пруды М.О. с. Петрово д. 10 кв. 25</t>
  </si>
  <si>
    <t>городской округ Серебряные Пруды М.О. с. Петрово д. 5 кв. 26</t>
  </si>
  <si>
    <t>городской округ Серебряные Пруды М.О. д. Шеметово д. 10 кв. 25</t>
  </si>
  <si>
    <t>городской округ Серебряные Пруды М.О. д. Шеметово д. 11 кв. 23</t>
  </si>
  <si>
    <t>городской округ Серебряные Пруды М.О. пос. Успенский ул. 50 лет Октября д. 7 кв. 13</t>
  </si>
  <si>
    <t>городской округ Серебряные Пруды М.О. с. Узуново мкр-р Южный д. 22 кв. 16</t>
  </si>
  <si>
    <t>городской округ Серебряные Пруды М.О. с. Узуново м-н. Северный д. 12 кв. 1</t>
  </si>
  <si>
    <t>городской округ Серебряные Пруды М.О. с. Узуново м-н. Южный д. 22 кв. 25</t>
  </si>
  <si>
    <t xml:space="preserve"> городской округ Серебряные Пруды М.О. с/т "Беляево" уч. 192</t>
  </si>
  <si>
    <t>городской округ Серебряные Пруды М.О. СП Мочильское СТ "Кормовое" квартал 4 уч. 44</t>
  </si>
  <si>
    <t xml:space="preserve"> городской округ Серебряные Пруды М.О. Глубоковский с. о. СНТ "Пчелка" уч. 8</t>
  </si>
  <si>
    <t>городской округ Серебряные Пруды М.О. Подхоженский с. о. СТ "Вита" уч. 202</t>
  </si>
  <si>
    <t>городской округ Серебряные Пруды М.О. СП Мочильское СНТ "Русское поле" уч. 44</t>
  </si>
  <si>
    <t xml:space="preserve"> городской округ Серебряные Пруды М.О. Совхозный с. о. СНТ "Южный" уч. 61</t>
  </si>
  <si>
    <t xml:space="preserve"> городской округ Серебряные Пруды М.О. СТ "Мягковские камушки" уч. 36</t>
  </si>
  <si>
    <t xml:space="preserve"> городской округ Серебряные Пруды М.О. Шеметовский с. о. д. Ламоново</t>
  </si>
  <si>
    <t>городской округ Серебряные Пруды М.О. Дмитриевский с. о. СНТ "Прилучье-1" уч. 128</t>
  </si>
  <si>
    <t xml:space="preserve"> городской округ Серебряные Пруды М.О. </t>
  </si>
  <si>
    <t>городской округ Серебряные Пруды М.О. Дмитриевский с. о. "Прилучье-1" уч. 117</t>
  </si>
  <si>
    <t>городской округ Серебряные Пруды М.О. Узуновский д. Косяево</t>
  </si>
  <si>
    <t xml:space="preserve"> городской округ Серебряные Пруды М.О. с/т "Беляево" уч. 77</t>
  </si>
  <si>
    <t>городской округ Серебряные Пруды М.О. Дмитриевский с. о. "Прилучье-1" уч. 107</t>
  </si>
  <si>
    <t xml:space="preserve"> городской округ Серебряные Пруды М.О. Совхозный с. о. СНТ "Совхозный"</t>
  </si>
  <si>
    <t xml:space="preserve"> городской округ Серебряные Пруды М.О. д. Большое Рогатово</t>
  </si>
  <si>
    <t xml:space="preserve"> городской округ Серебряные Пруды М.О. СТ Автомобилист уч. 30</t>
  </si>
  <si>
    <t xml:space="preserve"> городской округ Серебряные Пруды М.О. садов. тов. Мягковские камушки уч. 81</t>
  </si>
  <si>
    <t xml:space="preserve"> городской округ Серебряные Пруды М.О. с/о Крутовской СНТ "Мечта" уч-к 22</t>
  </si>
  <si>
    <t xml:space="preserve"> городской округ Серебряные Пруды М.О. с/о Узуновский д. Васильевское</t>
  </si>
  <si>
    <t xml:space="preserve"> городской округ Серебряные Пруды М.О. с/о Пестровский СНТ "Титеево" уч-к 84</t>
  </si>
  <si>
    <t xml:space="preserve"> городской округ Серебряные Пруды М.О. с/о Глубоковский СНТ "Бирюса" уч-к 6</t>
  </si>
  <si>
    <t xml:space="preserve"> городской округ Серебряные Пруды М.О. с/о Мочильский СНТ "Куньи Выселки" уч-к 146</t>
  </si>
  <si>
    <t xml:space="preserve"> городской округ Серебряные Пруды М.О. СНТ "Строитель" уч-к 185</t>
  </si>
  <si>
    <t xml:space="preserve"> городской округ Серебряные Пруды М.О. садовое товарищество Мягковские камушки уч. 138</t>
  </si>
  <si>
    <t xml:space="preserve"> городской округ Серебряные Пруды М.О. с/о Глубоковский СНТ "Беляево" уч-к 57</t>
  </si>
  <si>
    <t xml:space="preserve"> городской округ Серебряные Пруды М.О. СТ "Вита" уч. 206</t>
  </si>
  <si>
    <t xml:space="preserve"> городской округ Серебряные Пруды М.О. с/пос. Узуновское СНТ "Запрудное" уч-к 80</t>
  </si>
  <si>
    <t>городской округ Серебряные Пруды М.О. п. Успенский ул. Трудовая д. 14</t>
  </si>
  <si>
    <t>городской округ Серебряные Пруды М.О. д. Дудино д. 37</t>
  </si>
  <si>
    <t xml:space="preserve"> городской округ Серебряные Пруды М.О, вблизи с. Мягкое, ст. Автомобилист, уч-к 83</t>
  </si>
  <si>
    <t>МО, городской округ Серебряные Пруды рп Серебряные Пруды, с. Красное</t>
  </si>
  <si>
    <t>142970 Московская область городской округ Серебряные Пруды, р.п. Серебряные Пруды, ул.Набережная  д.91, кв.3</t>
  </si>
  <si>
    <t>142970 Московская область, городской округ Серебряные Пруды, р.п. Серебряные Пруды, ул.Первомайская д.6 кв.64</t>
  </si>
  <si>
    <t>142970 Московская область, городской округ Серебряные Пруды, р.п. Серебряные Пруды, ул.Первомайская д.9 кв.89</t>
  </si>
  <si>
    <t>142970 Московская область, городской округ Серебряные Пруды, р.п. Серебряные Пруды, м-н Юбилейный д.5 пом.2</t>
  </si>
  <si>
    <t>142970 Московская область, городской округ Серебряные Пруды, р.п. Серебряные Пруды, м-н Юбилейный д.5 кв.69</t>
  </si>
  <si>
    <t>142970 Московская область городской округ Серебряные Пруды, р.п. Серебряные Пруды м-н Юбилейный д.8 кв.18</t>
  </si>
  <si>
    <t>142970 Московская область, городской округ Серебряные Пруды, р.п. Серебряные Пруды, м-н Юбилейный д.10 кв.68</t>
  </si>
  <si>
    <t>142970 Московская область, городской округ Серебряные Пруды, р.п. Серебряные Пруды, м-н Юбилейный д.14 кв.61</t>
  </si>
  <si>
    <t>142970 Московская область, городской округ Серебряные Пруды, р.п. Серебряные Пруды, ПТУ д.7 "б" кв.22</t>
  </si>
  <si>
    <t>142970 Московская область, городской округ Серебряные Пруды, р.п. Серебряные Пруды, ПТУ д.7 "б" кв.73</t>
  </si>
  <si>
    <t>142970 Московская область, городской округ Серебряные Пруды, р.п. Серебряные Пруды, ПТУ д.7 "В" кв.22</t>
  </si>
  <si>
    <t>142970 Московская область, городской округ Серебряные Пруды, р.п. Серебряные Пруды, ПТУ д.7 "В" кв.34</t>
  </si>
  <si>
    <t>142970 Московская область, городской округ Серебряные Пруды, р.п. Серебряные Пруды, ПТУ д.7 "В" кв.38</t>
  </si>
  <si>
    <t>142970 Московская область, городской округ Серебряные Пруды, р.п. Серебряные Пруды, ПТУ д.7 "В" кв.63</t>
  </si>
  <si>
    <t>142970 Московская область городской округ Серебряные Пруды, р.п. Серебряные Пруды, ул.Петра Романова, д.1"А", кв.3</t>
  </si>
  <si>
    <t>142970 Московская область городской округ Серебряные Пруды, р.п. Серебряные Пруды, ул.Петра Романова, д.1"А", кв.4</t>
  </si>
  <si>
    <t>142954 М.О. городской округ Серебряные Пруды, с.Мочилы, ул. Юбилейная, д.10 кв.13</t>
  </si>
  <si>
    <t>142954 М.О. городской округ Серебряные Пруды, с.Мочилы, ул. Юбилейная, д.10 кв.21</t>
  </si>
  <si>
    <t>142954 М.О. городской округ Серебряные Пруды, с.Мочилы, ул. Юбилейная, д.10 кв.24</t>
  </si>
  <si>
    <t>142954 М.О. городской округ Серебряные Пруды, с.Мочилы, ул. Юбилейная, д.10 кв.26</t>
  </si>
  <si>
    <t>142955 М.О. городской округ Серебряные Пруды, с. Подхожее мкр Юбилейный, д.1 кв.6</t>
  </si>
  <si>
    <t>142955 М.О. городской округ Серебряные Пруды, с. Подхожее мкр Юбилейный, д.1 кв.11</t>
  </si>
  <si>
    <t>142955 М.О. городской округ Серебряные Пруды, с. Подхожее мкр Юбилейный, д.1 кв.12</t>
  </si>
  <si>
    <t>142955 М.О. городской округ Серебряные Пруды, с. Подхожее мкр Юбилейный, д.1 кв.16</t>
  </si>
  <si>
    <t>142955 М.О. городской округ Серебряные Пруды, с. Подхожее мкр Юбилейный, д.1 кв.17</t>
  </si>
  <si>
    <t>142955 М.О. городской округ Серебряные Пруды, с. Подхожее мкр Юбилейный, д.1 кв.18</t>
  </si>
  <si>
    <t>142955 М.О. городской округ Серебряные Пруды, с. Подхожее мкр Юбилейный, д.1 кв.19</t>
  </si>
  <si>
    <t>142955 М.О. городской округ Серебряные Пруды, с. Подхожее мкр Юбилейный, д.2 кв.4</t>
  </si>
  <si>
    <t>142955 М.О. городской округ Серебряные Пруды, с. Подхожее мкр Юбилейный, д.2 кв.9</t>
  </si>
  <si>
    <t>142955 М.О. городской округ Серебряные Пруды, с. Подхожее мкр Юбилейный, д.2 кв.10</t>
  </si>
  <si>
    <t>142955 М.О. городской округ Серебряные Пруды, с. Подхожее мкр Юбилейный, д.2 кв.13</t>
  </si>
  <si>
    <t>142955 М.О. городской округ Серебряные Пруды, с. Подхожее мкр Юбилейный, д.2 кв.14</t>
  </si>
  <si>
    <t>142955 М.О. городской округ Серебряные Пруды, с. Подхожее мкр Юбилейный, д.2 кв.15</t>
  </si>
  <si>
    <t>142955 М.О. городской округ Серебряные Пруды, с. Подхожее мкр Юбилейный, д.2 кв.21</t>
  </si>
  <si>
    <t>142955 М.О. городской округ Серебряные Пруды, с. Подхожее мкр Юбилейный, д.2 кв.23</t>
  </si>
  <si>
    <t>142955 М.О. городской округ Серебряные Пруды, с.Подхожее мкр. Юбилейный д.3 кв.4</t>
  </si>
  <si>
    <t>142955 М.О. городской округ Серебряные Пруды, с.Подхожее мкр. Юбилейный д.3 кв.6</t>
  </si>
  <si>
    <t>142955 М.О. городской округ Серебряные Пруды, с.Подхожее мкр. Юбилейный д.3 кв.13</t>
  </si>
  <si>
    <t>142955 М.О. городской округ Серебряные Пруды, с.Подхожее мкр. Юбилейный д.3 кв.14</t>
  </si>
  <si>
    <t>142955 М.О. городской округ Серебряные Пруды, с.Подхожее мкр. Юбилейный д.3 кв.20</t>
  </si>
  <si>
    <t>142955 М.О. городской округ Серебряные Пруды, с.Подхожее Юбилейный д.4 кв.3</t>
  </si>
  <si>
    <t>142955 М.О. городской округ Серебряные Пруды, с.Подхожее Юбилейный д.4 кв.15</t>
  </si>
  <si>
    <t>142955 М.О. городской округ Серебряные Пруды, с.Подхожее Юбилейный д.4 кв.17</t>
  </si>
  <si>
    <t>142955 М.О. городской округ Серебряные Пруды, с.Подхожее Юбилейный д.5 кв.3</t>
  </si>
  <si>
    <t>142955 М.О. городской округ Серебряные Пруды, с.Подхожее Юбилейный д.5 кв.4</t>
  </si>
  <si>
    <t>142955 М.О. городской округ Серебряные Пруды, с.Подхожее Юбилейный д.5 кв.9</t>
  </si>
  <si>
    <t>142955 М.О. городской округ Серебряные Пруды, с.Подхожее Юбилейный д.5 кв.10</t>
  </si>
  <si>
    <t>142955 М.О. городской округ Серебряные Пруды, с.Подхожее Юбилейный д.5 кв.11</t>
  </si>
  <si>
    <t>142955 М.О. городской округ Серебряные Пруды, с.Подхожее мкр Юбилейный д.6 кв.3</t>
  </si>
  <si>
    <t>142955 М.О. городской округ Серебряные Пруды, с.Подхожее мкр Юбилейный д.6 кв.6</t>
  </si>
  <si>
    <t>142955 М.О. городской округ Серебряные Пруды, с.Подхожее мкр Юбилейный д.6 кв.12</t>
  </si>
  <si>
    <t>142955 М.О. городской округ Серебряные Пруды, с.Подхожее мкр Юбилейный д.6 кв.17</t>
  </si>
  <si>
    <t>142955 М.О. городской округ Серебряные Пруды, с.Подхожее мкр Юбилейный д.7 кв.9</t>
  </si>
  <si>
    <t>142955 М.О. городской округ Серебряные Пруды, с.Подхожее мкр Юбилейный д.7 кв.15</t>
  </si>
  <si>
    <t>142955 М.О. городской округ Серебряные Пруды, с.Подхожее мкр Юбилейный д.7 кв.21</t>
  </si>
  <si>
    <t>142955 М.О. городской округ Серебряные Пруды, с.Подхожее мкр Юбилейный д.7 кв.30</t>
  </si>
  <si>
    <t>142955 М.О. городской округ Серебряные Пруды, с.Подхожее мкр Юбилейный д.7 кв.31</t>
  </si>
  <si>
    <t>142955 М.О. городской округ Серебряные Пруды, с.Подхожее мкр Юбилейный д.7 кв.32</t>
  </si>
  <si>
    <t>142955 М.О. городской округ Серебряные Пруды, с.Подхожее мкр Юбилейный д.8 кв.2</t>
  </si>
  <si>
    <t>142955 М.О. городской округ Серебряные Пруды, с.Подхожее мкр Юбилейный д.8 кв.9</t>
  </si>
  <si>
    <t>142955 М.О. городской округ Серебряные Пруды, с.Подхожее мкр Юбилейный д.8 кв.11</t>
  </si>
  <si>
    <t>142955 М.О. городской округ Серебряные Пруды, с.Подхожее мкр Юбилейный д.8 кв.12</t>
  </si>
  <si>
    <t>142955 М.О. городской округ Серебряные Пруды, с.Подхожее мкр Юбилейный д.8 кв.13</t>
  </si>
  <si>
    <t>142955 М.О. городской округ Серебряные Пруды, с.Подхожее мкр Юбилейный д.8 кв.14</t>
  </si>
  <si>
    <t>142954 М.О. городской округ Серебряные Пруды, с.Мочилы, ул. Юбилейная, д.8 кв.№19</t>
  </si>
  <si>
    <t>142955 М.О. городской округ Серебряные Пруды, с.Подхожее мкр Юбилейный д.8 кв.20</t>
  </si>
  <si>
    <t>142955 М.О. городской округ Серебряные Пруды, с.Подхожее мкр Юбилейный д.8 кв.22</t>
  </si>
  <si>
    <t>142955 М.О. городской округ Серебряные Пруды, с.Подхожее мкр Юбилейный д.8 кв.26</t>
  </si>
  <si>
    <t>142955 М.О. городской округ Серебряные Пруды, с.Подхожее мкр Юбилейный д.9 кв.1</t>
  </si>
  <si>
    <t>142955 М.О. городской округ Серебряные Пруды, с.Подхожее мкр Юбилейный д.9 кв.2</t>
  </si>
  <si>
    <t>142955 М.О. городской округ Серебряные Пруды, с.Подхожее мкр Юбилейный д.9 кв.5</t>
  </si>
  <si>
    <t>142955 М.О. городской округ Серебряные Пруды, с.Подхожее мкр Юбилейный д.9 кв.6</t>
  </si>
  <si>
    <t>142955 М.О. городской округ Серебряные Пруды, с.Подхожее мкр Юбилейный д.9 кв.17</t>
  </si>
  <si>
    <t>142955 М.О. городской округ Серебряные Пруды, с.Подхожее мкр Юбилейный д.9 кв.19</t>
  </si>
  <si>
    <t>142955 М.О. городской округ Серебряные Пруды, с.Подхожее мкр Юбилейный д.9 кв.24</t>
  </si>
  <si>
    <t>142955 М.О. городской округ Серебряные Пруды, с.Подхожее мкр Юбилейный д.9 кв.25</t>
  </si>
  <si>
    <t>142956 М.О. городской округ Серебряные Пруды, д.Шеметово, д.1 кв.6</t>
  </si>
  <si>
    <t>142956 М.О. городской округ Серебряные Пруды, д.Шеметово, д.1 кв.7</t>
  </si>
  <si>
    <t>142956 М.О. городской округ Серебряные Пруды, д.Шеметово, д.1 кв.14</t>
  </si>
  <si>
    <t>142956 М.О. городской округ Серебряные Пруды, д.Шеметово, д.1 кв.16</t>
  </si>
  <si>
    <t>142956 М.О. городской округ Серебряные Пруды, д.Шеметово, д.1 кв.17</t>
  </si>
  <si>
    <t>142956 М.О. городской округ Серебряные Пруды, д.Шеметово, д.1 кв.19</t>
  </si>
  <si>
    <t>142956 М.О. городской округ Серебряные Пруды, д.Шеметово, д.1 кв.23</t>
  </si>
  <si>
    <t>142956 М.О. городской округ Серебряные Пруды, д.Шеметово, д.1 кв.24</t>
  </si>
  <si>
    <t>142956 М.О. городской округ Серебряные Пруды, д.Шеметово, д.2 кв.2</t>
  </si>
  <si>
    <t>142956 М.О. городской округ Серебряные Пруды, д.Шеметово, д.2 кв.3</t>
  </si>
  <si>
    <t>142956 М.О. городской округ Серебряные Пруды, д.Шеметово, д.2 кв.7</t>
  </si>
  <si>
    <t>142956 М.О. городской округ Серебряные Пруды, д.Шеметово, д.2 кв.8</t>
  </si>
  <si>
    <t>142956 М.О. городской округ Серебряные Пруды, д.Шеметово, д.2 кв.10</t>
  </si>
  <si>
    <t>142956 М.О. городской округ Серебряные Пруды, д.Шеметово, д.2 кв.14</t>
  </si>
  <si>
    <t>142956 М.О. городской округ Серебряные Пруды, д.Шеметово, д.2 кв.17</t>
  </si>
  <si>
    <t>142956 М.О. городской округ Серебряные Пруды, д.Шеметово, д.2 кв.18</t>
  </si>
  <si>
    <t>142956 М.О. городской округ Серебряные Пруды, д.Шеметово, д.2 кв.21</t>
  </si>
  <si>
    <t>142956 М.О. городской округ Серебряные Пруды, д.Шеметово, д.2 кв.22</t>
  </si>
  <si>
    <t>142956 М.О. городской округ Серебряные Пруды, д.Шеметово, д.3 кв 1</t>
  </si>
  <si>
    <t>142956 М.О. городской округ Серебряные Пруды, д.Шеметово, д.3 кв 2</t>
  </si>
  <si>
    <t>142956 М.О. городской округ Серебряные Пруды, д.Шеметово, д.3 кв 3</t>
  </si>
  <si>
    <t>142956 М.О. городской округ Серебряные Пруды, д.Шеметово, д.3 кв 4</t>
  </si>
  <si>
    <t>142956 М.О. городской округ Серебряные Пруды, д.Шеметово, д.3 кв 7</t>
  </si>
  <si>
    <t>142956 М.О. городской округ Серебряные Пруды, д.Шеметово, д.3 кв 8</t>
  </si>
  <si>
    <t>142956 М.О. городской округ Серебряные Пруды, д.Шеметово, д.3 кв 10</t>
  </si>
  <si>
    <t>142956 М.О. городской округ Серебряные Пруды, д.Шеметово, д.3 кв 11</t>
  </si>
  <si>
    <t>142956 М.О. городской округ Серебряные Пруды, д.Шеметово, д.3 кв 12</t>
  </si>
  <si>
    <t>142956 М.О. городской округ Серебряные Пруды, д.Шеметово, д.3 кв 14</t>
  </si>
  <si>
    <t>142956 М.О. городской округ Серебряные Пруды, д.Шеметово, д.3 кв 16</t>
  </si>
  <si>
    <t>142956 М.О. городской округ Серебряные Пруды, д.Шеметово, д.3 кв 18</t>
  </si>
  <si>
    <t>142956 М.О. городской округ Серебряные Пруды, д.Шеметово, д.3 кв 22</t>
  </si>
  <si>
    <t>142956 М.О. городской округ Серебряные Пруды, д.Шеметово, д.4 кв.1</t>
  </si>
  <si>
    <t>142956 М.О. городской округ Серебряные Пруды, д.Шеметово, д.4 кв.2</t>
  </si>
  <si>
    <t>142956 М.О. городской округ Серебряные Пруды, д.Шеметово, д.4 кв.4</t>
  </si>
  <si>
    <t>142956 М.О. городской округ Серебряные Пруды, д.Шеметово, д.4 кв.7</t>
  </si>
  <si>
    <t>142956 М.О. городской округ Серебряные Пруды, д.Шеметово, д.4 кв.8</t>
  </si>
  <si>
    <t>142956 М.О. городской округ Серебряные Пруды, д.Шеметово, д.4 кв.9</t>
  </si>
  <si>
    <t>142956 М.О. городской округ Серебряные Пруды, д.Шеметово, д.4 кв.12</t>
  </si>
  <si>
    <t>142956 М.О. городской округ Серебряные Пруды, д.Шеметово, д.4 кв.15</t>
  </si>
  <si>
    <t>142956 М.О. городской округ Серебряные Пруды, д.Шеметово, д.4 кв.17</t>
  </si>
  <si>
    <t>142956 М.О. городской округ Серебряные Пруды, д.Шеметово, д.5 (дом учителя), кв.1</t>
  </si>
  <si>
    <t>142956 М.О. городской округ Серебряные Пруды, д.Шеметово, д.5 (дом учителя), кв.2</t>
  </si>
  <si>
    <t>142956 М.О. городской округ Серебряные Пруды, д.Шеметово, д.5 (дом учителя), кв.6</t>
  </si>
  <si>
    <t>142956 М.О. городской округ Серебряные Пруды, д.Шеметово, д.5 (дом учителя), кв.12</t>
  </si>
  <si>
    <t>142956 М.О. городской округ Серебряные Пруды, д.Шеметово, д.5 (дом учителя), кв.15</t>
  </si>
  <si>
    <t>142956 М.О. городской округ Серебряные Пруды, д.Шеметово, д.6 кв.3</t>
  </si>
  <si>
    <t>142956 М.О. городской округ Серебряные Пруды, д.Шеметово, д.6 кв.5</t>
  </si>
  <si>
    <t>142956 М.О. городской округ Серебряные Пруды, д.Шеметово, д.6 кв.11</t>
  </si>
  <si>
    <t>142956 М.О. городской округ Серебряные Пруды, д.Шеметово, д.6 кв.12</t>
  </si>
  <si>
    <t>142956 М.О. городской округ Серебряные Пруды, д.Шеметово, д.6 кв.13</t>
  </si>
  <si>
    <t>142956 М.О. городской округ Серебряные Пруды, д.Шеметово, д.6 кв.16</t>
  </si>
  <si>
    <t>142956 М.О. городской округ Серебряные Пруды, д.Шеметово, д.7 кв.№26</t>
  </si>
  <si>
    <t>142956 М.О. городской округ Серебряные Пруды, д.Шеметово, д.8 кв.5</t>
  </si>
  <si>
    <t>142956 М.О. городской округ Серебряные Пруды, д.Шеметово, д.8 кв.16</t>
  </si>
  <si>
    <t>142956 М.О. городской округ Серебряные Пруды, д.Шеметово, д.8 кв.17</t>
  </si>
  <si>
    <t>142956 М.О. городской округ Серебряные Пруды, д.Шеметово, д.9 кв.№10</t>
  </si>
  <si>
    <t>142956 М.О. городской округ Серебряные Пруды, д.Шеметово, д.10 кв.№25</t>
  </si>
  <si>
    <t>142956 М.О. городской округ Серебряные Пруды, д.Шеметово, д.11 кв.7</t>
  </si>
  <si>
    <t>142956 М.О. городской округ Серебряные Пруды, д.Шеметово, д.11 кв.13</t>
  </si>
  <si>
    <t>142956 М.О. городской округ Серебряные Пруды, д.Шеметово, д.11 кв.15</t>
  </si>
  <si>
    <t>142956 М.О. городской округ Серебряные Пруды, д.Шеметово, д.11 кв.№23</t>
  </si>
  <si>
    <t>142956 М.О. городской округ Серебряные Пруды, д.Шеметово, д.11 кв.27</t>
  </si>
  <si>
    <t>142956 М.О. городской округ Серебряные Пруды, д.Шеметово, д.12 кв.1</t>
  </si>
  <si>
    <t>142956 М.О. городской округ Серебряные Пруды, д.Шеметово, д.12 кв.4</t>
  </si>
  <si>
    <t>142956 М.О. городской округ Серебряные Пруды, д.Шеметово, д.12 кв.17</t>
  </si>
  <si>
    <t>142956 М.О. городской округ Серебряные Пруды, д.Шеметово, д.13 кв.3</t>
  </si>
  <si>
    <t>142956 М.О. городской округ Серебряные Пруды, д.Шеметово, д.13 кв.4</t>
  </si>
  <si>
    <t>142956 М.О. городской округ Серебряные Пруды, д.Шеметово, д.13 кв.10</t>
  </si>
  <si>
    <t>142956 М.О. городской округ Серебряные Пруды, д.Шеметово, д.13 кв.15</t>
  </si>
  <si>
    <t>142956 М.О. городской округ Серебряные Пруды, д.Шеметово, д.13 кв.19</t>
  </si>
  <si>
    <t>142956 М.О. городской округ Серебряные Пруды, д.Шеметово, д.13 кв.25</t>
  </si>
  <si>
    <t>142956 М.О. городской округ Серебряные Пруды, д.Шеметово, д.13 кв.26</t>
  </si>
  <si>
    <t>142956 М.О. городской округ Серебряные Пруды, д.Ламоново, д.7 кв.2</t>
  </si>
  <si>
    <t>142956 М.О. городской округ Серебряные Пруды, д.Ламоново, д.7 кв.3</t>
  </si>
  <si>
    <t>142956 М.О. городской округ Серебряные Пруды, д.Ламоново, д.7 кв.4</t>
  </si>
  <si>
    <t>142956 М.О. городской округ Серебряные Пруды, д.Ламоново, д.7 кв.5</t>
  </si>
  <si>
    <t>142956 М.О. городской округ Серебряные Пруды, д.Ламоново, д.7 кв.6</t>
  </si>
  <si>
    <t>142956 М.О. городской округ Серебряные Пруды, д.Ламоново, д.7 кв.8</t>
  </si>
  <si>
    <t>142956 М.О. городской округ Серебряные Пруды, д.Ламоново, д.7 кв.9</t>
  </si>
  <si>
    <t>142956 М.О. городской округ Серебряные Пруды, д.Ламоново, д.7 кв.11</t>
  </si>
  <si>
    <t>142956 М.О. городской округ Серебряные Пруды, д.Ламоново, д.7 кв.12</t>
  </si>
  <si>
    <t>142956 М.О. городской округ Серебряные Пруды, д.Ламоново, д.7 кв.13</t>
  </si>
  <si>
    <t>142956 М.О. городской округ Серебряные Пруды, д.Ламоново, д.7 кв.15</t>
  </si>
  <si>
    <t>142956 М.О. городской округ Серебряные Пруды, д.Ламоново, д.7 кв.16</t>
  </si>
  <si>
    <t>Московская область, городской округ Серебряные Пруды. , д. Лошатово, д. Барыково</t>
  </si>
  <si>
    <t>Московская область, городской округ Серебряные Пруды, р.п. Серебряные Пруды, ул. Коровушкина</t>
  </si>
  <si>
    <t>М.О. городской округ Серебряные Пруды, р.п. Серебряны Пруды, ул. Б. Луговая, д.3</t>
  </si>
  <si>
    <t>Московская область, городской округ Серебряные Пруды, р.п. Серебряные Пруды, ул. М. Чуйкова д.15</t>
  </si>
  <si>
    <t>Московская область, городской округ Серебряные Пруды, р.п. Серебряные Пруды, ул. мкр-н "Северный"</t>
  </si>
  <si>
    <t>Московская область, городской округ Серебряные Пруды, п. Успенский</t>
  </si>
  <si>
    <t>Московская область, городской округ Серебряные Пруды, г.п. Серебряные Пруды, ул. Школьная, д.1</t>
  </si>
  <si>
    <t>Московская область, городской округ Серебряные Пруды, ул. И. Садофьева</t>
  </si>
  <si>
    <t>Московская область, городской округ Серебряные Пруды, р.п. Серебряные Пруды, м-н Западный</t>
  </si>
  <si>
    <t>Московская область, городской округ Серебряные Пруды, р.п. Серебряные Пруды, ул. Октябрьская (Осетровский)</t>
  </si>
  <si>
    <t>Московская область, городской округ Серебряные Пруды, р.п. Серебряные Пруды</t>
  </si>
  <si>
    <t xml:space="preserve"> Московская область, городской округ Серебряные Пруды, рп. Серебряные Пруды М.О. пл. Советская д.3</t>
  </si>
  <si>
    <t>МО, городской округ Серебряные Пруды, р.п. Серебряные Пруды, ул. И. Садофьева, д.15</t>
  </si>
  <si>
    <t>Московская область, городской округ Серебряные Пруды, вблизи с. Глубокое</t>
  </si>
  <si>
    <t>Московская область, городской округ Серебряные Пруды, сельское поселение Мочильское, СТ "Кормовое", квартал 2, уч.16</t>
  </si>
  <si>
    <t>Московская область, городской округ Серебряные Пруды, сельское поселение Узуновское, снт Измайлово, уч-к 7-14</t>
  </si>
  <si>
    <t>Московская область, городской округ Серебряные Пруды. р.п. Серебряные Пруды, снт Мягковские камушки, уч-к 171</t>
  </si>
  <si>
    <t>Московская область, городской округ Серебряные Пруды. сельское поселение Мочильское, СТ "Кормовое", квартал 15, уч. 16</t>
  </si>
  <si>
    <t>Московская область, городской округ Серебряные Пруды. сельское поселение Узуновское, д.Боршово</t>
  </si>
  <si>
    <t>Московская область, городской округ Серебряные Пруды, вблизи рп Серебряные Пруды</t>
  </si>
  <si>
    <t>Московская область, городской округ Серебряные Пруды, СНТ Кормовое, уч-к 4-14</t>
  </si>
  <si>
    <t>Московская область, городской округ Серебряные Пруды,рп. Серебряные Пруды, ул. Механизаторов, д.13 А, кв.11</t>
  </si>
  <si>
    <t>Московская область, городской округ Серебряные Пруды,рп. Серебряные Пруды, ул. Механизаторов, д.19 кв.15</t>
  </si>
  <si>
    <t>Московская область, городской округ Серебряные Пруды, рп. Серебряные Пруды, пл. Советская</t>
  </si>
  <si>
    <t>Московская область, городской округ Серебряные Пруды, с.Подхожее, ул. Прудская</t>
  </si>
  <si>
    <t>Московская область, городской округ Серебряные Пруды, с.Подхожее, ул. Большая Слобода</t>
  </si>
  <si>
    <t>Московская область, городской округ Серебряные Пруды, поселок Дмитриевский</t>
  </si>
  <si>
    <t>Московская область, городской округ Серебряные Пруды, д. Митякино</t>
  </si>
  <si>
    <t>Московская область, городской округ Серебряные Пруды, д. Савинка</t>
  </si>
  <si>
    <t>Московская область, городской округ Серебряные Пруды, с. Узуново, мкр-н Южный. Д.27, кв.5</t>
  </si>
  <si>
    <t>Московская область, городской округ Серебряные Пруды, с. Узуново, мкр-н Южный, д. 22, кв.23</t>
  </si>
  <si>
    <t>МО, городской округ Серебряные Пруды, р.п. Серебряные Пруды, пл. Советская д. 3</t>
  </si>
  <si>
    <t>Московская область, городской округ Серебряные Пруды, с. Дудино, д.35</t>
  </si>
  <si>
    <t>Московская область, городской округ Серебряные Пруды</t>
  </si>
  <si>
    <t>142970 Московская область городской округ Серебряные Пруды, р.п. Серебряные Пруды ул.Набережная д.85, кв.4</t>
  </si>
  <si>
    <t>142970 Московская область городской округ Серебряные Пруды, р.п. Серебряные Пруды ул.Набережная д.87, кв.3</t>
  </si>
  <si>
    <t>142970 Московская область городской округ Серебряные Пруды, р.п. Серебряные Пруды ул.Набережная 89, кв.5</t>
  </si>
  <si>
    <t>142970 Московская область городской округ Серебряные Пруды, р.п. Серебряные Пруды ул.Набережная д.91 кв.№2</t>
  </si>
  <si>
    <t>142970 Московская область городской округ Серебряные Пруды, р.п. Серебряные Пруды ул.Набережная д.91 кв.№4</t>
  </si>
  <si>
    <t>142970 Московская область городской округ Серебряные Пруды, р.п. Серебряные Пруды ул.Набережная д.91 кв.№11</t>
  </si>
  <si>
    <t>142970 Московская область городской округ Серебряные Пруды, р.п. Серебряные Пруды ул.Набережная д.91 кв.№15</t>
  </si>
  <si>
    <t>142970 Московская область городской округ Серебряные Пруды, р.п. Серебряные Пруды ул.Набережная д.91 кв.№21</t>
  </si>
  <si>
    <t>142970 Московская область городской округ Серебряные Пруды, р.п. Серебряные Пруды ул.Набережная д.91 кв.№22</t>
  </si>
  <si>
    <t>142970 Московская область городской округ Серебряные Пруды, р.п. Серебряные Пруды ул.Механизаторов 13 а , кв.12</t>
  </si>
  <si>
    <t>142970 Московская область городской округ Серебряные Пруды, р.п. Серебряные Пруды ул.Механизаторов 13 а , кв.13</t>
  </si>
  <si>
    <t>142970 Московская область городской округ Серебряные Пруды, р.п. Серебряные Пруды ул.Механизаторов 13 а , кв.53</t>
  </si>
  <si>
    <t>142970 Московская область городской округ Серебряные Пруды, р.п. Серебряные Пруды ул. Механизаторов 16, кв.1</t>
  </si>
  <si>
    <t>142970 Московская область городской округ Серебряные Пруды, р.п. Серебряные Пруды ул. Механизаторов 16, кв.3</t>
  </si>
  <si>
    <t>142970 Московская область городской округ Серебряные Пруды, р.п. Серебряные Пруды ул. Механизаторов д.18 кв.3</t>
  </si>
  <si>
    <t>142970 Московская область городской округ Серебряные Пруды, р.п. Серебряные Пруды ул.Механизаторов 19, кв.3</t>
  </si>
  <si>
    <t>142970 Московская область городской округ Серебряные Пруды, р.п. Серебряные Пруды ул.Механизаторов 19, кв.26</t>
  </si>
  <si>
    <t>142970 Московская область городской округ Серебряные Пруды, р.п. Серебряные Пруды ул.Механизаторов 19, кв.33</t>
  </si>
  <si>
    <t>142970 Московская область городской округ Серебряные Пруды, р.п. Серебряные Пруды мкр. Западный, д.7, кв.13</t>
  </si>
  <si>
    <t>142970 Московская область городской округ Серебряные Пруды, р.п. Серебряные Пруды ул.Западный 7, кв.21,</t>
  </si>
  <si>
    <t>142970 Московская область городской округ Серебряные Пруды, р.п. Серебряные Пруды ул.Западный 8, кв.12</t>
  </si>
  <si>
    <t>142970 Московская область городской округ Серебряные Пруды, р.п. Серебряные Пруды мкр. Западный, д.8, кв.14</t>
  </si>
  <si>
    <t>142970 Московская область городской округ Серебряные Пруды, р.п. Серебряные Пруды ул.Западный 8, кв.19</t>
  </si>
  <si>
    <t>142970 Московская область городской округ Серебряные Пруды, р.п. Серебряные Пруды ул. Западный 9  кв.2</t>
  </si>
  <si>
    <t>142970 Московская область городской округ Серебряные Пруды, р.п. Серебряные Пруды ул. Западный 11, кв.1</t>
  </si>
  <si>
    <t>142970 Московская область городской округ Серебряные Пруды, р.п. Серебряные Пруды ул. Западный 11, кв.2</t>
  </si>
  <si>
    <t>142970 Московская область городской округ Серебряные Пруды, р.п. Серебряные Пруды ул. Западный 11, кв.9</t>
  </si>
  <si>
    <t>142970 Московская область городской округ Серебряные Пруды, р.п. Серебряные Пруды ул. Западный 11, кв.13</t>
  </si>
  <si>
    <t>142970 Московская область городской округ Серебряные Пруды, р.п. Серебряные Пруды ул. Западный 11, кв.14</t>
  </si>
  <si>
    <t>142970 Московская область городской округ Серебряные Пруды, р.п. Серебряные Пруды ул. Западный 11, кв.17</t>
  </si>
  <si>
    <t>142970 Московская область городской округ Серебряные Пруды, р.п. Серебряные Пруды ул. Западный 11, кв.19</t>
  </si>
  <si>
    <t>142970 Московская область городской округ Серебряные Пруды, р.п. Серебряные Пруды мкр. Западный, д.12, кв.5</t>
  </si>
  <si>
    <t>142970 Московская область городской округ Серебряные Пруды, р.п. Серебряные Пруды мкр. Западный, д.12, кв.18</t>
  </si>
  <si>
    <t>142970 Московская область городской округ Серебряные Пруды, р.п. Серебряные Пруды мкр. Западный, д.12, кв.21</t>
  </si>
  <si>
    <t>142970 Московская область городской округ Серебряные Пруды, р.п. Серебряные Пруды мкр. Западный, д.12, кв.22</t>
  </si>
  <si>
    <t>142970 Московская область городской округ Серебряные Пруды, р.п. Серебряные Пруды мкр. Западный, д.12, кв.24</t>
  </si>
  <si>
    <t>142970 Московская область городской округ Серебряные Пруды, р.п. Серебряные Пруды ул.Западный 17, кв.2</t>
  </si>
  <si>
    <t>142970 Московская область городской округ Серебряные Пруды, р.п. Серебряные Пруды ул.Западный 29, кв.7</t>
  </si>
  <si>
    <t>142970 Московская область городской округ Серебряные Пруды, р.п. Серебряные Пруды ул.Западный 29, кв.17</t>
  </si>
  <si>
    <t>142970 Московская область городской округ Серебряные Пруды, р.п. Серебряные Пруды ул.Западный д.31, кв.3</t>
  </si>
  <si>
    <t>142970 Московская область городской округ Серебряные Пруды, р.п. Серебряные Пруды ул.Западный д.31, кв.5</t>
  </si>
  <si>
    <t>142970 Московская область городской округ Серебряные Пруды, р.п. Серебряные Пруды ул.Западный д.31, кв.7</t>
  </si>
  <si>
    <t>142970 Московская область городской округ Серебряные Пруды, р.п. Серебряные Пруды ул.Западный д.31, кв.15</t>
  </si>
  <si>
    <t>142970 Московская область городской округ Серебряные Пруды, р.п. Серебряные Пруды ул.Западный д.31, кв.17</t>
  </si>
  <si>
    <t>142970 Московская область городской округ Серебряные Пруды, р.п. Серебряные Пруды ул.Западный д.31, кв.18</t>
  </si>
  <si>
    <t>142970 Московская область городской округ Серебряные Пруды, р.п. Серебряные Пруды ул.Западный д.32, кв.9</t>
  </si>
  <si>
    <t>142970 Московская область городской округ Серебряные Пруды, р.п. Серебряные Пруды ул.Западный д.32, кв.13</t>
  </si>
  <si>
    <t>142970 Московская область городской округ Серебряные Пруды, р.п. Серебряные Пруды ул. Западный д.33, кв.6</t>
  </si>
  <si>
    <t>142970 Московская область городской округ Серебряные Пруды, р.п. Серебряные Пруды ул. Западный д.33, кв.9</t>
  </si>
  <si>
    <t>142970 Московская область городской округ Серебряные Пруды, р.п. Серебряные Пруды ул. Западный д.33, кв.13</t>
  </si>
  <si>
    <t>142970 Московская область городской округ Серебряные Пруды, р.п. Серебряные Пруды ул. Западный д.33, кв.16</t>
  </si>
  <si>
    <t>142970 Московская область городской округ Серебряные Пруды, р.п. Серебряные Пруды ул.Западный 34  кв.1</t>
  </si>
  <si>
    <t>142970 Московская область городской округ Серебряные Пруды, р.п. Серебряные Пруды ул.Западный 34  кв.5</t>
  </si>
  <si>
    <t>142970 Московская область городской округ Серебряные Пруды, р.п. Серебряные Пруды ул.Западный 34  кв.6</t>
  </si>
  <si>
    <t>142970 Московская область городской округ Серебряные Пруды, р.п. Серебряные Пруды ул.Западный 34  кв.8</t>
  </si>
  <si>
    <t>142970 Московская область городской округ Серебряные Пруды, р.п. Серебряные Пруды ул.Западный 34  кв.10</t>
  </si>
  <si>
    <t>142970 Московская область городской округ Серебряные Пруды, р.п. Серебряные Пруды ул.Западный 34  кв.14</t>
  </si>
  <si>
    <t>142970 Московская область городской округ Серебряные Пруды, р.п. Серебряные Пруды ул.Западный д.35  кв.2</t>
  </si>
  <si>
    <t>142970 Московская область городской округ Серебряные Пруды, р.п. Серебряные Пруды ул.Западный д.35  кв.4</t>
  </si>
  <si>
    <t>142970 Московская область городской округ Серебряные Пруды, р.п. Серебряные Пруды ул.Западный д.35  кв.14</t>
  </si>
  <si>
    <t>142970 Московская область городской округ Серебряные Пруды, р.п. Серебряные Пруды ул.Западный д.35  кв.17</t>
  </si>
  <si>
    <t>142970 Московская область городской округ Серебряные Пруды, р.п. Серебряные Пруды ул. Западный д.36, кв.8</t>
  </si>
  <si>
    <t>142970 Московская область городской округ Серебряные Пруды, р.п. Серебряные Пруды ул. Западный д.36, кв.9</t>
  </si>
  <si>
    <t>142970 Московская область городской округ Серебряные Пруды, р.п. Серебряные Пруды ул.Западный д.37 кв.7</t>
  </si>
  <si>
    <t>142970 Московская область городской округ Серебряные Пруды, р.п. Серебряные Пруды ул.Западный д.37 кв.9</t>
  </si>
  <si>
    <t>142970 Московская область городской округ Серебряные Пруды, р.п. Серебряные Пруды ул. Западный д.38, кв.3</t>
  </si>
  <si>
    <t>142970 Московская область городской округ Серебряные Пруды, р.п. Серебряные Пруды ул. Западный д.38, кв.7</t>
  </si>
  <si>
    <t>142970 Московская область городской округ Серебряные Пруды, р.п. Серебряные Пруды ул. Западный д.38, кв.10</t>
  </si>
  <si>
    <t>142970 Московская область городской округ Серебряные Пруды, р.п. Серебряные Пруды ул. Западный д.38, кв.18</t>
  </si>
  <si>
    <t>142970 Московская область городской округ Серебряные Пруды, р.п. Серебряные Пруды ул. Западный д.38, кв.22</t>
  </si>
  <si>
    <t>142970 Московская область городской округ Серебряные Пруды, р.п. Серебряные Пруды ул.Первомайская д. 1, кв.6</t>
  </si>
  <si>
    <t>142970 Московская область городской округ Серебряные Пруды, р.п. Серебряные Пруды ул.Первомайская д. 1, кв.13</t>
  </si>
  <si>
    <t>142970 Московская область городской округ Серебряные Пруды, р.п. Серебряные Пруды ул.Первомайская д. 1, кв.16</t>
  </si>
  <si>
    <t>142970 Московская область городской округ Серебряные Пруды, р.п. Серебряные Пруды ул.Первомайская д. 1, кв.44</t>
  </si>
  <si>
    <t>142970 Московская область городской округ Серебряные Пруды, р.п. Серебряные Пруды ул.Первомайская д. 1, кв.46</t>
  </si>
  <si>
    <t>142970 Московская область городской округ Серебряные Пруды, р.п. Серебряные Пруды ул.Первомайская д. 1, кв.55</t>
  </si>
  <si>
    <t>142970 Московская область городской округ Серебряные Пруды, р.п. Серебряные Пруды ул.Первомайская д. 1, кв.74</t>
  </si>
  <si>
    <t>142970 Московская область городской округ Серебряные Пруды, р.п. Серебряные Пруды ул. Первомайская д. 2, кв.3</t>
  </si>
  <si>
    <t>142970 Московская область городской округ Серебряные Пруды, р.п. Серебряные Пруды ул. Первомайская д. 2, кв.30</t>
  </si>
  <si>
    <t>142970 Московская область городской округ Серебряные Пруды, р.п. Серебряные Пруды ул. Первомайская д. 2, кв.31</t>
  </si>
  <si>
    <t>142970 Московская область городской округ Серебряные Пруды, р.п. Серебряные Пруды ул. Первомайская д. 2, кв.52</t>
  </si>
  <si>
    <t>142970 Московская область городской округ Серебряные Пруды, р.п. Серебряные Пруды ул. Первомайская д. 2, кв.64</t>
  </si>
  <si>
    <t>142970 Московская область городской округ Серебряные Пруды, р.п. Серебряные Пруды ул. Первомайская д. 2, кв.76</t>
  </si>
  <si>
    <t>142970 Московская область городской округ Серебряные Пруды, р.п. Серебряные Пруды ул. Первомайская д. 2, кв.80</t>
  </si>
  <si>
    <t>142970 Московская область городской округ Серебряные Пруды, р.п. Серебряные Пруды ул.Первомайская д. 6, кв. 2</t>
  </si>
  <si>
    <t>142970 Московская область городской округ Серебряные Пруды, р.п. Серебряные Пруды ул.Первомайская д. 6, кв. 19</t>
  </si>
  <si>
    <t>142970 Московская область городской округ Серебряные Пруды, р.п. Серебряные Пруды ул.Первомайская д. 6, кв. 28</t>
  </si>
  <si>
    <t>142970 Московская область городской округ Серебряные Пруды, р.п. Серебряные Пруды ул.Первомайская д. 6, кв. 30</t>
  </si>
  <si>
    <t>142970 Московская область городской округ Серебряные Пруды, р.п. Серебряные Пруды ул.Первомайская д. 6, кв. 42</t>
  </si>
  <si>
    <t>142970 Московская область городской округ Серебряные Пруды, р.п. Серебряные Пруды ул.Первомайская д. 6, кв. 50</t>
  </si>
  <si>
    <t>142970 Московская область городской округ Серебряные Пруды, р.п. Серебряные Пруды ул.Первомайская д. 6, кв. 52</t>
  </si>
  <si>
    <t>142970 Московская область городской округ Серебряные Пруды, р.п. Серебряные Пруды ул.Первомайская д. 6, кв. 59</t>
  </si>
  <si>
    <t>142970 Московская область городской округ Серебряные Пруды, р.п. Серебряные Пруды ул.Первомайская д. 6, кв. 65</t>
  </si>
  <si>
    <t>142970 Московская область городской округ Серебряные Пруды, р.п. Серебряные Пруды ул.Первомайская д. 6, кв. 79</t>
  </si>
  <si>
    <t>142970 Московская область городской округ Серебряные Пруды, р.п. Серебряные Пруды ул.Первомайская д. 6, кв. 80</t>
  </si>
  <si>
    <t>142970 Московская область городской округ Серебряные Пруды, р.п. Серебряные Пруды ул. Первомайская д. 8, кв.3</t>
  </si>
  <si>
    <t>142970 Московская область городской округ Серебряные Пруды, р.п. Серебряные Пруды ул. Первомайская д. 8, кв.6</t>
  </si>
  <si>
    <t>142970 Московская область городской округ Серебряные Пруды, р.п. Серебряные Пруды ул. Первомайская д. 8, кв.9</t>
  </si>
  <si>
    <t>142970 Московская область городской округ Серебряные Пруды, р.п. Серебряные Пруды ул. Первомайская д. 8, кв.10</t>
  </si>
  <si>
    <t>142970 Московская область городской округ Серебряные Пруды, р.п. Серебряные Пруды ул. Первомайская д. 8, кв.11</t>
  </si>
  <si>
    <t>142970 Московская область городской округ Серебряные Пруды, р.п. Серебряные Пруды ул. Первомайская д. 8, кв.15</t>
  </si>
  <si>
    <t>142970 Московская область городской округ Серебряные Пруды, р.п. Серебряные Пруды ул. Первомайская д. 9, кв.8</t>
  </si>
  <si>
    <t>142970 Московская область городской округ Серебряные Пруды, р.п. Серебряные Пруды ул. Первомайская д. 9, кв.31</t>
  </si>
  <si>
    <t>142970 Московская область городской округ Серебряные Пруды, р.п. Серебряные Пруды ул. Первомайская д. 9, кв.55</t>
  </si>
  <si>
    <t>142970 Московская область городской округ Серебряные Пруды, р.п. Серебряные Пруды ул. Первомайская д. 9, кв.71</t>
  </si>
  <si>
    <t>142970 Московская область городской округ Серебряные Пруды, р.п. Серебряные Пруды ул. Первомайская д. 9, кв.76</t>
  </si>
  <si>
    <t>142970 Московская область городской округ Серебряные Пруды, р.п. Серебряные Пруды ул.Ленина 53, кв. 2</t>
  </si>
  <si>
    <t>142970 Московская область городской округ Серебряные Пруды, р.п. Серебряные Пруды ул.Ленина 53, кв. 8</t>
  </si>
  <si>
    <t>142970 Московская область городской округ Серебряные Пруды, р.п. Серебряные Пруды ул.Ленина 53, кв. 14</t>
  </si>
  <si>
    <t>142970 Московская область городской округ Серебряные Пруды, р.п. Серебряные Пруды ул.Ленина 53, кв. 17</t>
  </si>
  <si>
    <t>142970 Московская область городской округ Серебряные Пруды, р.п. Серебряные Пруды ул.Ленина 53, кв. 20</t>
  </si>
  <si>
    <t>142970 Московская область городской округ Серебряные Пруды, р.п. Серебряные Пруды ул.Ленина 53, кв. 22</t>
  </si>
  <si>
    <t>142970 Московская область городской округ Серебряные Пруды, р.п. Серебряные Пруды ул.Ленина 53, кв. 26</t>
  </si>
  <si>
    <t>142970 Московская область городской округ Серебряные Пруды, р.п. Серебряные Пруды ул.Ленина 53, кв. 27</t>
  </si>
  <si>
    <t>142970 Московская область городской округ Серебряные Пруды, р.п. Серебряные Пруды ул.Ленина 53, кв. 44</t>
  </si>
  <si>
    <t>142970 Московская область городской округ Серебряные Пруды, р.п. Серебряные Пруды ул.Ленина 53, кв. 50</t>
  </si>
  <si>
    <t>142970 Московская область городской округ Серебряные Пруды, р.п. Серебряные Пруды ул.Ленина 53, кв. 51</t>
  </si>
  <si>
    <t>142970 Московская область городской округ Серебряные Пруды, р.п. Серебряные Пруды ул.Ленина 53, кв. 54</t>
  </si>
  <si>
    <t>142970 Московская область городской округ Серебряные Пруды, р.п. Серебряные Пруды ул.Ленина 53, кв. 56</t>
  </si>
  <si>
    <t>142970 Московская область городской округ Серебряные Пруды, р.п. Серебряные Пруды ул. Центральный д.1 кв.3</t>
  </si>
  <si>
    <t>142970 Московская область городской округ Серебряные Пруды, р.п. Серебряные Пруды ул.  Центральный д.5, кв.6</t>
  </si>
  <si>
    <t>142970 Московская область городской округ Серебряные Пруды, р.п. Серебряные Пруды ул.  Центральный д.5, кв.10</t>
  </si>
  <si>
    <t>142970 Московская область городской округ Серебряные Пруды, р.п. Серебряные Пруды ул.  Центральный д.5, кв.36</t>
  </si>
  <si>
    <t>142970 Московская область городской округ Серебряные Пруды, р.п. Серебряные Пруды ул.  Центральный д.5, кв.37</t>
  </si>
  <si>
    <t>142970 Московская область городской округ Серебряные Пруды, р.п. Серебряные Пруды ул.  Центральный д.5, кв.44</t>
  </si>
  <si>
    <t>142970 Московская область городской округ Серебряные Пруды, р.п. Серебряные Пруды ул.  Центральный д.5, кв.45</t>
  </si>
  <si>
    <t>142970 Московская область городской округ Серебряные Пруды, р.п. Серебряные Пруды ул.  Центральный д.5, кв.55</t>
  </si>
  <si>
    <t>142970 Московская область городской округ Серебряные Пруды, р.п. Серебряные Пруды ул.  Центральный д.5, кв.58</t>
  </si>
  <si>
    <t>142970 Московская область городской округ Серебряные Пруды, р.п. Серебряные Пруды ул. Центральный д.6, кв.4</t>
  </si>
  <si>
    <t>142970 Московская область городской округ Серебряные Пруды, р.п. Серебряные Пруды ул. Центральный д.6, кв.8</t>
  </si>
  <si>
    <t>142970 Московская область городской округ Серебряные Пруды, р.п. Серебряные Пруды ул.Центральный д.6 кв.10</t>
  </si>
  <si>
    <t>142970 Московская область городской округ Серебряные Пруды, р.п. Серебряные Пруды ул. Центральный д.6, кв.13</t>
  </si>
  <si>
    <t>142970 Московская область городской округ Серебряные Пруды, р.п. Серебряные Пруды ул. Центральный д.6, кв.36</t>
  </si>
  <si>
    <t>142970 Московская область городской округ Серебряные Пруды, р.п. Серебряные Пруды ул. Центральный д.6, кв.44</t>
  </si>
  <si>
    <t>142970 Московская область городской округ Серебряные Пруды, р.п. Серебряные Пруды ул. Центральный д.8, кв.12</t>
  </si>
  <si>
    <t>142970 Московская область городской округ Серебряные Пруды, р.п. Серебряные Пруды ул. Центральный д.8, кв.16</t>
  </si>
  <si>
    <t>142970 Московская область городской округ Серебряные Пруды, р.п. Серебряные Пруды ул. Центральный д.8, кв.32</t>
  </si>
  <si>
    <t>142970 Московская область городской округ Серебряные Пруды, р.п. Серебряные Пруды ул. Центральный д.8, кв.46</t>
  </si>
  <si>
    <t>142970 Московская область городской округ Серебряные Пруды, р.п. Серебряные Пруды ул.  Центральный д.9, кв.4</t>
  </si>
  <si>
    <t>142970 Московская область городской округ Серебряные Пруды, р.п. Серебряные Пруды ул. Центральный д.9, кв.9</t>
  </si>
  <si>
    <t>142970 Московская область городской округ Серебряные Пруды, р.п. Серебряные Пруды ул.  Центральный д.9, кв.33</t>
  </si>
  <si>
    <t>142970 Московская область городской округ Серебряные Пруды, р.п. Серебряные Пруды ул.  Центральный д.9, кв.62</t>
  </si>
  <si>
    <t>142970 Московская область городской округ Серебряные Пруды, р.п. Серебряные Пруды ул.  Центральный д.9, кв.68</t>
  </si>
  <si>
    <t>142970 Московская область городской округ Серебряные Пруды, р.п. Серебряные Пруды ул.  Центральный д.9, кв.71</t>
  </si>
  <si>
    <t>142970 Московская область городской округ Серебряные Пруды, р.п. Серебряные Пруды ул.  Центральный д.9, кв.74</t>
  </si>
  <si>
    <t>142970 Московская область городской округ Серебряные Пруды, р.п. Серебряные Пруды ул.  Центральный д.9, кв.82</t>
  </si>
  <si>
    <t>142970 Московская область городской округ Серебряные Пруды, р.п. Серебряные Пруды ул.  Центральный д.9, кв.89</t>
  </si>
  <si>
    <t>142970 Московская область городской округ Серебряные Пруды, р.п. Серебряные Пруды ул. Центральный д.11, кв.1</t>
  </si>
  <si>
    <t>142970 Московская область городской округ Серебряные Пруды, р.п. Серебряные Пруды ул. Центральный д.11, кв.3</t>
  </si>
  <si>
    <t>142970 Московская область городской округ Серебряные Пруды, р.п. Серебряные Пруды ул. Центральный д.11, кв.22</t>
  </si>
  <si>
    <t>142970 Московская область городской округ Серебряные Пруды, р.п. Серебряные Пруды ул. Центральный д.11, кв.26</t>
  </si>
  <si>
    <t>142970 Московская область городской округ Серебряные Пруды, р.п. Серебряные Пруды ул.Центральный д.13, кв.16</t>
  </si>
  <si>
    <t>142970 Московская область городской округ Серебряные Пруды, р.п. Серебряные Пруды ул.Центральный д.13, кв.21</t>
  </si>
  <si>
    <t>142970 Московская область городской округ Серебряные Пруды, р.п. Серебряные Пруды ул.Центральный д.13  кв.37</t>
  </si>
  <si>
    <t>142970 Московская область городской округ Серебряные Пруды, р.п. Серебряные Пруды ул.Центральный д.13  кв.40</t>
  </si>
  <si>
    <t>142970 Московская область городской округ Серебряные Пруды, р.п. Серебряные Пруды ул.Центральный д.13, кв.51</t>
  </si>
  <si>
    <t>142970 Московская область городской округ Серебряные Пруды, р.п. Серебряные Пруды ул.Центральный д.13, кв.55</t>
  </si>
  <si>
    <t>142970 Московская область городской округ Серебряные Пруды, р.п. Серебряные Пруды ул.Центральный д.13, кв.59</t>
  </si>
  <si>
    <t>142970 Московская область городской округ Серебряные Пруды, р.п. Серебряные Пруды ул.Центральный д. 14, кв.9</t>
  </si>
  <si>
    <t>142970 Московская область городской округ Серебряные Пруды, р.п. Серебряные Пруды ул.Центральный д. 14, кв.10</t>
  </si>
  <si>
    <t>142970 Московская область городской округ Серебряные Пруды, р.п. Серебряные Пруды ул.Центральный д. 14, кв.20</t>
  </si>
  <si>
    <t>142970 Московская область городской округ Серебряные Пруды, р.п. Серебряные Пруды ул.Центральный д. 14, кв.21</t>
  </si>
  <si>
    <t>142970 Московская область городской округ Серебряные Пруды, р.п. Серебряные Пруды ул.Центральный д. 14, кв.36</t>
  </si>
  <si>
    <t>142970 Московская область городской округ Серебряные Пруды, р.п. Серебряные Пруды ул. Центральный д.15, кв.10</t>
  </si>
  <si>
    <t>142970 Московская область городской округ Серебряные Пруды, р.п. Серебряные Пруды ул. Центральный д.15 кв.  17</t>
  </si>
  <si>
    <t>142970 Московская область городской округ Серебряные Пруды, р.п. Серебряные Пруды ул. Центральный д.15 кв. 22</t>
  </si>
  <si>
    <t>142970 Московская область городской округ Серебряные Пруды, р.п. Серебряные Пруды ул. Центральный д.15, кв.32</t>
  </si>
  <si>
    <t>142970 Московская область городской округ Серебряные Пруды, р.п. Серебряные Пруды ул. Центральный д.15 кв. 36</t>
  </si>
  <si>
    <t>142970 Московская область городской округ Серебряные Пруды, р.п. Серебряные Пруды ул. Центральный д.15 кв. 45</t>
  </si>
  <si>
    <t>142970 Московская область городской округ Серебряные Пруды, р.п. Серебряные Пруды ул. Центральный д.15 кв. 48</t>
  </si>
  <si>
    <t>142970 Московская область городской округ Серебряные Пруды, р.п. Серебряные Пруды ул. Центральный д.15 кв. 49</t>
  </si>
  <si>
    <t>142970 Московская область городской округ Серебряные Пруды, р.п. Серебряные Пруды ул. Центральный д.15 кв. 53</t>
  </si>
  <si>
    <t>142970 Московская область городской округ Серебряные Пруды, р.п. Серебряные Пруды ул. Центральный д.15, пом. 60 (комната)</t>
  </si>
  <si>
    <t>142970 Московская область городской округ Серебряные Пруды, р.п. Серебряные Пруды микрорайон Юбилейный д.1, кв. 23</t>
  </si>
  <si>
    <t>142970 Московская область городской округ Серебряные Пруды, р.п. Серебряные Пруды микрорайон Юбилейный д.1, кв. 24</t>
  </si>
  <si>
    <t>142970 Московская область городской округ Серебряные Пруды, р.п. Серебряные Пруды микрорайон Юбилейный д.1, кв. 33</t>
  </si>
  <si>
    <t>142970 Московская область городской округ Серебряные Пруды, р.п. Серебряные Пруды микрорайон Юбилейный д.1, кв. 64</t>
  </si>
  <si>
    <t>142970 Московская область городской округ Серебряные Пруды, р.п. Серебряные Пруды микрорайон Юбилейный д. 3, кв.3</t>
  </si>
  <si>
    <t>142970 Московская область городской округ Серебряные Пруды, р.п. Серебряные Пруды микрорайон Юбилейный д. 3, кв.7</t>
  </si>
  <si>
    <t>142970 Московская область городской округ Серебряные Пруды, р.п. Серебряные Пруды микрорайон Юбилейный д. 3, кв.9</t>
  </si>
  <si>
    <t>142970 Московская область городской округ Серебряные Пруды, р.п. Серебряные Пруды микрорайон Юбилейный д. 3, кв.59</t>
  </si>
  <si>
    <t>142970 Московская область городской округ Серебряные Пруды, р.п. Серебряные Пруды микрорайон Юбилейный д. 3, кв.62</t>
  </si>
  <si>
    <t>142970 Московская область городской округ Серебряные Пруды, р.п. Серебряные Пруды микрорайон Юбилейный д. 3, кв.75</t>
  </si>
  <si>
    <t>142970 Московская область городской округ Серебряные Пруды, р.п. Серебряные Пруды микрорайон Юбилейный д. 3, кв.76</t>
  </si>
  <si>
    <t>142970 Московская область городской округ Серебряные Пруды, р.п. Серебряные Пруды микрорайон Юбилейный д. 3, кв.81</t>
  </si>
  <si>
    <t>142970 Московская область городской округ Серебряные Пруды, р.п. Серебряные Пруды микрорайон Юбилейный д.5   кв.28</t>
  </si>
  <si>
    <t>142970 Московская область городской округ Серебряные Пруды, р.п. Серебряные Пруды микрорайон Юбилейный д.5   кв.30</t>
  </si>
  <si>
    <t>142970 Московская область городской округ Серебряные Пруды, р.п. Серебряные Пруды микрорайон Юбилейный д.5   кв.32</t>
  </si>
  <si>
    <t>142970 Московская область городской округ Серебряные Пруды, р.п. Серебряные Пруды микрорайон Юбилейный д.5   кв.47</t>
  </si>
  <si>
    <t>142970 Московская область городской округ Серебряные Пруды, р.п. Серебряные Пруды микрорайон Юбилейный д.5   кв.59</t>
  </si>
  <si>
    <t>142970 Московская область городской округ Серебряные Пруды, р.п. Серебряные Пруды  микрорайон Юбилейный д. 6  кв.21</t>
  </si>
  <si>
    <t>142970 Московская область городской округ Серебряные Пруды, р.п. Серебряные Пруды  микрорайон Юбилейный д. 6  кв.23</t>
  </si>
  <si>
    <t>142970 Московская область городской округ Серебряные Пруды, р.п. Серебряные Пруды  микрорайон Юбилейный д. 6  кв.24</t>
  </si>
  <si>
    <t>142970 Московская область городской округ Серебряные Пруды, р.п. Серебряные Пруды  микрорайон Юбилейный д. 6  кв.30</t>
  </si>
  <si>
    <t>142970 Московская область городской округ Серебряные Пруды, р.п. Серебряные Пруды  микрорайон Юбилейный д. 6  кв.33</t>
  </si>
  <si>
    <t>142970 Московская область городской округ Серебряные Пруды, р.п. Серебряные Пруды  микрорайон Юбилейный д. 6  кв.55</t>
  </si>
  <si>
    <t>142970 Московская область городской округ Серебряные Пруды, р.п. Серебряные Пруды  микрорайон Юбилейный д. 6  кв.59</t>
  </si>
  <si>
    <t>142970 Московская область городской округ Серебряные Пруды, р.п. Серебряные Пруды  микрорайон Юбилейный д. 6  кв.70</t>
  </si>
  <si>
    <t>142970 Московская область городской округ Серебряные Пруды, р.п. Серебряные Пруды  микрорайон Юбилейный д. 6  кв.71</t>
  </si>
  <si>
    <t>142970 Московская область городской округ Серебряные Пруды, р.п. Серебряные Пруды  микрорайон Юбилейный д. 6  кв.72</t>
  </si>
  <si>
    <t>142970 Московская область городской округ Серебряные Пруды, р.п. Серебряные Пруды  микрорайон Юбилейный д. 6  кв.80</t>
  </si>
  <si>
    <t>142970 Московская область городской округ Серебряные Пруды, р.п. Серебряные Пруды микрорайон Юбилейный д.7 кв. 13</t>
  </si>
  <si>
    <t>142970 Московская область городской округ Серебряные Пруды, р.п. Серебряные Пруды микрорайон Юбилейный д.7 кв. 14</t>
  </si>
  <si>
    <t>142970 Московская область городской округ Серебряные Пруды, р.п. Серебряные Пруды микрорайон Юбилейный д.7 кв. 36</t>
  </si>
  <si>
    <t>142970 Московская область городской округ Серебряные Пруды, р.п. Серебряные Пруды микрорайон Юбилейный д.7 кв. 45</t>
  </si>
  <si>
    <t>142970 Московская область городской округ Серебряные Пруды, р.п. Серебряные Пруды микрорайон Юбилейный д.7 кв. 46</t>
  </si>
  <si>
    <t>142970 Московская область городской округ Серебряные Пруды, р.п. Серебряные Пруды микрорайон Юбилейный д.7 кв. 59</t>
  </si>
  <si>
    <t>142970 Московская область городской округ Серебряные Пруды, р.п. Серебряные Пруды микрорайон Юбилейный д.8 кв.1</t>
  </si>
  <si>
    <t>142970 Московская область городской округ Серебряные Пруды, р.п. Серебряные Пруды микрорайон Юбилейный д.8 кв.2</t>
  </si>
  <si>
    <t>142970 Московская область городской округ Серебряные Пруды, р.п. Серебряные Пруды микрорайон Юбилейный д.8 кв.9</t>
  </si>
  <si>
    <t>142970 Московская область городской округ Серебряные Пруды, р.п. Серебряные Пруды микрорайон Юбилейный д.8 кв.15</t>
  </si>
  <si>
    <t>142970 Московская область городской округ Серебряные Пруды, р.п. Серебряные Пруды микрорайон Юбилейный д.8 кв.20</t>
  </si>
  <si>
    <t>142970 Московская область городской округ Серебряные Пруды, р.п. Серебряные Пруды микрорайон Юбилейный д.8 кв.28</t>
  </si>
  <si>
    <t>142970 Московская область городской округ Серебряные Пруды, р.п. Серебряные Пруды микрорайон Юбилейный д.8 кв.36</t>
  </si>
  <si>
    <t>142970 Московская область городской округ Серебряные Пруды, р.п. Серебряные Пруды микрорайон Юбилейный д.8 кв.38</t>
  </si>
  <si>
    <t>142970 Московская область городской округ Серебряные Пруды, р.п. Серебряные Пруды  микрорайон Юбилейный д.9 кв.1</t>
  </si>
  <si>
    <t>142970 Московская область городской округ Серебряные Пруды, р.п. Серебряные Пруды  микрорайон Юбилейный д.9 кв.2</t>
  </si>
  <si>
    <t>142970 Московская область городской округ Серебряные Пруды, р.п. Серебряные Пруды  микрорайон Юбилейный д.9 кв.11</t>
  </si>
  <si>
    <t>142970 Московская область городской округ Серебряные Пруды, р.п. Серебряные Пруды  микрорайон Юбилейный д.9 кв.14</t>
  </si>
  <si>
    <t>142970 Московская область городской округ Серебряные Пруды, р.п. Серебряные Пруды  микрорайон Юбилейный д.9 кв.30</t>
  </si>
  <si>
    <t>142970 Московская область городской округ Серебряные Пруды, р.п. Серебряные Пруды  микрорайон Юбилейный д.9 кв.48</t>
  </si>
  <si>
    <t>142970 Московская область городской округ Серебряные Пруды, р.п. Серебряные Пруды  микрорайон Юбилейный д.9 кв.53</t>
  </si>
  <si>
    <t>142970 Московская область городской округ Серебряные Пруды, р.п. Серебряные Пруды  микрорайон Юбилейный д.9 кв.54</t>
  </si>
  <si>
    <t>142970 Московская область городской округ Серебряные Пруды, р.п. Серебряные Пруды  микрорайон Юбилейный д.9 кв.55</t>
  </si>
  <si>
    <t>142970 Московская область городской округ Серебряные Пруды, р.п. Серебряные Пруды  микрорайон Юбилейный д.9 кв.57</t>
  </si>
  <si>
    <t>142970 Московская область городской округ Серебряные Пруды, р.п. Серебряные Пруды  микрорайон Юбилейный д.9 кв.64</t>
  </si>
  <si>
    <t>142970 Московская область городской округ Серебряные Пруды, р.п. Серебряные Пруды микрорайон Юбилейный д.10  кв.6</t>
  </si>
  <si>
    <t>142970 Московская область городской округ Серебряные Пруды, р.п. Серебряные Пруды микрорайон Юбилейный д.10  кв.8</t>
  </si>
  <si>
    <t>142970 Московская область городской округ Серебряные Пруды, р.п. Серебряные Пруды микрорайон Юбилейный д.10  кв.14</t>
  </si>
  <si>
    <t>142970 Московская область городской округ Серебряные Пруды, р.п. Серебряные Пруды микрорайон Юбилейный д.10  кв.16</t>
  </si>
  <si>
    <t>142970 Московская область городской округ Серебряные Пруды, р.п. Серебряные Пруды микрорайон Юбилейный д.10  кв.17</t>
  </si>
  <si>
    <t>142970 Московская область городской округ Серебряные Пруды, р.п. Серебряные Пруды микрорайон Юбилейный д.10  кв.32</t>
  </si>
  <si>
    <t>142970 Московская область городской округ Серебряные Пруды, р.п. Серебряные Пруды микрорайон Юбилейный д.10  кв.37</t>
  </si>
  <si>
    <t>142970 Московская область городской округ Серебряные Пруды, р.п. Серебряные Пруды микрорайон Юбилейный д.10  кв.40</t>
  </si>
  <si>
    <t>142970 Московская область городской округ Серебряные Пруды, р.п. Серебряные Пруды микрорайон Юбилейный д.10  кв.46</t>
  </si>
  <si>
    <t>142970 Московская область городской округ Серебряные Пруды, р.п. Серебряные Пруды микрорайон Юбилейный д.10  кв.47</t>
  </si>
  <si>
    <t>142970 Московская область городской округ Серебряные Пруды, р.п. Серебряные Пруды микрорайон Юбилейный д.11 кв.9</t>
  </si>
  <si>
    <t>142970 Московская область городской округ Серебряные Пруды, р.п. Серебряные Пруды микрорайон Юбилейный д.11 кв.18</t>
  </si>
  <si>
    <t>142970 Московская область городской округ Серебряные Пруды, р.п. Серебряные Пруды микрорайон Юбилейный д.11 кв.30</t>
  </si>
  <si>
    <t>142970 Московская область городской округ Серебряные Пруды, р.п. Серебряные Пруды микрорайон Юбилейный д.11 кв.31</t>
  </si>
  <si>
    <t>142970 Московская область городской округ Серебряные Пруды, р.п. Серебряные Пруды микрорайон Юбилейный д.11 кв.36</t>
  </si>
  <si>
    <t>142970 Московская область городской округ Серебряные Пруды, р.п. Серебряные Пруды микрорайон Юбилейный д.11 кв.38</t>
  </si>
  <si>
    <t>142970 Московская область городской округ Серебряные Пруды, р.п. Серебряные Пруды микрорайон Юбилейный д.11 кв.60</t>
  </si>
  <si>
    <t>142970 Московская область городской округ Серебряные Пруды, р.п. Серебряные Пруды микрорайон Юбилейный д.11 кв.68</t>
  </si>
  <si>
    <t>142970 Московская область городской округ Серебряные Пруды, р.п. Серебряные Пруды микрорайон Юбилейный д.11 кв. 85</t>
  </si>
  <si>
    <t>142970 Московская область городской округ Серебряные Пруды, р.п. Серебряные Пруды микрорайон Юбилейный д.11 кв. 86</t>
  </si>
  <si>
    <t>142970 Московская область городской округ Серебряные Пруды, р.п. Серебряные Пруды микрорайон Юбилейный д.11 кв. 90</t>
  </si>
  <si>
    <t>142970 Московская область городской округ Серебряные Пруды, р.п. Серебряные Пруды микрорайон Юбилейный д.13 кв.2</t>
  </si>
  <si>
    <t>142970 Московская область городской округ Серебряные Пруды, р.п. Серебряные Пруды микрорайон Юбилейный д.13 кв.3</t>
  </si>
  <si>
    <t>142970 Московская область городской округ Серебряные Пруды, р.п. Серебряные Пруды микрорайон Юбилейный д.13 кв.11</t>
  </si>
  <si>
    <t>142970 Московская область городской округ Серебряные Пруды, р.п. Серебряные Пруды микрорайон Юбилейный д.13 кв.14</t>
  </si>
  <si>
    <t>142970 Московская область городской округ Серебряные Пруды, р.п. Серебряные Пруды микрорайон Юбилейный д.13 кв.16</t>
  </si>
  <si>
    <t>142970 Московская область городской округ Серебряные Пруды, р.п. Серебряные Пруды микрорайон Юбилейный д.13 кв.17</t>
  </si>
  <si>
    <t>142970 Московская область городской округ Серебряные Пруды, р.п. Серебряные Пруды микрорайон Юбилейный д.13 кв.21</t>
  </si>
  <si>
    <t>142970 Московская область городской округ Серебряные Пруды, р.п. Серебряные Пруды микрорайон Юбилейный д.13 кв.27</t>
  </si>
  <si>
    <t>142970 Московская область городской округ Серебряные Пруды, р.п. Серебряные Пруды микрорайон Юбилейный д.13 кв.29</t>
  </si>
  <si>
    <t>142970 Московская область городской округ Серебряные Пруды, р.п. Серебряные Пруды микрорайон Юбилейный д.13 кв.30</t>
  </si>
  <si>
    <t>142970 Московская область городской округ Серебряные Пруды, р.п. Серебряные Пруды микрорайон Юбилейный д.13 кв.34</t>
  </si>
  <si>
    <t>142970 Московская область городской округ Серебряные Пруды, р.п. Серебряные Пруды микрорайон Юбилейный д.13 кв.38</t>
  </si>
  <si>
    <t>142970 Московская область городской округ Серебряные Пруды, р.п. Серебряные Пруды микрорайон Юбилейный д.13 кв.43</t>
  </si>
  <si>
    <t>142970 Московская область городской округ Серебряные Пруды, р.п. Серебряные Пруды микрорайон Юбилейный д.13 кв.51</t>
  </si>
  <si>
    <t>142970 Московская область городской округ Серебряные Пруды, р.п. Серебряные Пруды микрорайон Юбилейный д. 14 кв.2</t>
  </si>
  <si>
    <t>142970 Московская область городской округ Серебряные Пруды, р.п. Серебряные Пруды микрорайон Юбилейный д. 14 кв.7</t>
  </si>
  <si>
    <t>142970 Московская область городской округ Серебряные Пруды, р.п. Серебряные Пруды микрорайон Юбилейный д. 14 кв.17</t>
  </si>
  <si>
    <t>142970 Московская область городской округ Серебряные Пруды, р.п. Серебряные Пруды микрорайон Юбилейный д. 14 кв.31</t>
  </si>
  <si>
    <t>142970 Московская область городской округ Серебряные Пруды, р.п. Серебряные Пруды микрорайон Юбилейный д. 14 кв.49</t>
  </si>
  <si>
    <t>142970 Московская область городской округ Серебряные Пруды, р.п. Серебряные Пруды микрорайон Юбилейный д. 14 кв.50</t>
  </si>
  <si>
    <t>142970 Московская область городской округ Серебряные Пруды, р.п. Серебряные Пруды микрорайон Юбилейный д. 14 кв.58</t>
  </si>
  <si>
    <t>142970 Московская область городской округ Серебряные Пруды, р.п. Серебряные Пруды ул.Большая Луговая д.1  кв.1</t>
  </si>
  <si>
    <t>142970 Московская область городской округ Серебряные Пруды, р.п. Серебряные Пруды ул.Большая Луговая д.1  кв.5</t>
  </si>
  <si>
    <t>142970 Московская область городской округ Серебряные Пруды, р.п. Серебряные Пруды ул.Большая Луговая д.1  кв.6</t>
  </si>
  <si>
    <t>142970 Московская область городской округ Серебряные Пруды, р.п. Серебряные Пруды ул.Большая Луговая д.1  кв.31</t>
  </si>
  <si>
    <t>142970 Московская область городской округ Серебряные Пруды, р.п. Серебряные Пруды ул.Большая Луговая д.1  кв.32</t>
  </si>
  <si>
    <t>142970 Московская область городской округ Серебряные Пруды, р.п. Серебряные Пруды ул.Большая Луговая д.1  кв.40</t>
  </si>
  <si>
    <t>142970 Московская область городской округ Серебряные Пруды, р.п. Серебряные Пруды ул.Большая Луговая д.1  кв.41</t>
  </si>
  <si>
    <t>142970 Московская область городской округ Серебряные Пруды, р.п. Серебряные Пруды ул.Большая Луговая д.1  кв.43</t>
  </si>
  <si>
    <t>142970 Московская область городской округ Серебряные Пруды, р.п. Серебряные Пруды ул.Большая Луговая д.1  кв.55</t>
  </si>
  <si>
    <t>142970 Московская область городской округ Серебряные Пруды, р.п. Серебряные Пруды ул.Большая Луговая д.2  кв.6</t>
  </si>
  <si>
    <t>142970 Московская область городской округ Серебряные Пруды, р.п. Серебряные Пруды ул.Большая Луговая д.2  кв.13</t>
  </si>
  <si>
    <t>142970 Московская область городской округ Серебряные Пруды, р.п. Серебряные Пруды ул.Большая Луговая д.2  кв.16</t>
  </si>
  <si>
    <t>142970 Московская область городской округ Серебряные Пруды, р.п. Серебряные Пруды ул.Большая Луговая д.2  кв.28</t>
  </si>
  <si>
    <t>142970 Московская область городской округ Серебряные Пруды, р.п. Серебряные Пруды ул.Большая Луговая д.2  кв.32</t>
  </si>
  <si>
    <t>142970 Московская область городской округ Серебряные Пруды, р.п. Серебряные Пруды ул.Большая Луговая д.2  кв.35</t>
  </si>
  <si>
    <t>142970 Московская область городской округ Серебряные Пруды, р.п. Серебряные Пруды ул.Большая Луговая д.2  кв.39</t>
  </si>
  <si>
    <t>142970 Московская область городской округ Серебряные Пруды, р.п. Серебряные Пруды ул.Большая Луговая д.2  кв.41</t>
  </si>
  <si>
    <t>142970 Московская область городской округ Серебряные Пруды, р.п. Серебряные Пруды ул.Большая Луговая д.2  кв.42</t>
  </si>
  <si>
    <t>142970 Московская область городской округ Серебряные Пруды, р.п. Серебряные Пруды ул.Большая Луговая д.2  кв.54</t>
  </si>
  <si>
    <t>142970 Московская область городской округ Серебряные Пруды, р.п. Серебряные Пруды ул. Садовая д.7 кв.7</t>
  </si>
  <si>
    <t>142970 Московская область городской округ Серебряные Пруды, р.п. Серебряные Пруды ул. Садовая д.7 кв.8</t>
  </si>
  <si>
    <t>142970 Московская область городской округ Серебряные Пруды, р.п. Серебряные Пруды ул. Садовая д.7 кв.13</t>
  </si>
  <si>
    <t>142970 Московская область городской округ Серебряные Пруды, р.п. Серебряные Пруды ул. Садовая д.7 кв.16</t>
  </si>
  <si>
    <t>142970 Московская область городской округ Серебряные Пруды, р.п. Серебряные Пруды ул. Садовая д.7 кв.21</t>
  </si>
  <si>
    <t>142970 Московская область городской округ Серебряные Пруды, р.п. Серебряные Пруды ул. Садовая д.7 кв.24</t>
  </si>
  <si>
    <t>142970 Московская область городской округ Серебряные Пруды, р.п. Серебряные Пруды ул. Садовая д.7 кв.33</t>
  </si>
  <si>
    <t>142970 Московская область городской округ Серебряные Пруды, р.п. Серебряные Пруды ул. Садовая д.7 кв.43</t>
  </si>
  <si>
    <t>142970 Московская область городской округ Серебряные Пруды, р.п. Серебряные Пруды ул. Садовая д.7 кв.45</t>
  </si>
  <si>
    <t>142970 Московская область городской округ Серебряные Пруды, р.п. Серебряные Пруды ул. Садовая д.7 кв.51</t>
  </si>
  <si>
    <t>142970 Московская область городской округ Серебряные Пруды, р.п. Серебряные Пруды ул. Садовая д.7 кв.53</t>
  </si>
  <si>
    <t>142970 Московская область городской округ Серебряные Пруды, р.п. Серебряные Пруды ул. Садовая д.7 кв.57</t>
  </si>
  <si>
    <t>142970 Московская область городской округ Серебряные Пруды, р.п. Серебряные Пруды ул. Садовая д.29 кв.2</t>
  </si>
  <si>
    <t>142970 Московская область городской округ Серебряные Пруды, р.п. Серебряные Пруды ул.Школьная д.5  кв.3</t>
  </si>
  <si>
    <t xml:space="preserve">142970 Московская область городской округ Серебряные Пруды, р.п. Серебряные Пруды ул.Школьная д. 7кв.2 </t>
  </si>
  <si>
    <t>142970 Московская область городской округ Серебряные Пруды, р.п. Серебряные Пруды ул.Школьная д.10 кв.2</t>
  </si>
  <si>
    <t>142970 Московская область городской округ Серебряные Пруды, р.п. Серебряные Пруды ул.Школьная д.10 кв.3</t>
  </si>
  <si>
    <t>142970 Московская область городской округ Серебряные Пруды, р.п. Серебряные Пруды ул.Школьная д.10 кв.4</t>
  </si>
  <si>
    <t>142970 Московская область городской округ Серебряные Пруды, р.п. Серебряные Пруды ул.Ремесленная д.9 кв.1, 2</t>
  </si>
  <si>
    <t>142970 Московская область городской округ Серебряные Пруды, р.п. Серебряные Пруды ул. Октябрьская д.98 кв.2</t>
  </si>
  <si>
    <t>142970 Московская область городской округ Серебряные Пруды, р.п. Серебряные Пруды ул. Октябрьская д.98 кв.7</t>
  </si>
  <si>
    <t>142970 Московская область городской округ Серебряные Пруды, р.п. Серебряные Пруды ул. Октябрьская д.98 кв.12</t>
  </si>
  <si>
    <t>142970 Московская область городской округ Серебряные Пруды, р.п. Серебряные Пруды ул. Октябрьская д.98 кв. 14</t>
  </si>
  <si>
    <t>142970 Московская область городской округ Серебряные Пруды, р.п. Серебряные Пруды ул. Октябрьская д.98 кв.19</t>
  </si>
  <si>
    <t>142970 Московская область городской округ Серебряные Пруды, р.п. Серебряные Пруды ул.Октябрьская д.100 кв.3</t>
  </si>
  <si>
    <t>142970 Московская область городской округ Серебряные Пруды, р.п. Серебряные Пруды ул.Октябрьская д.100 кв.8</t>
  </si>
  <si>
    <t>142970 Московская область городской округ Серебряные Пруды, р.п. Серебряные Пруды ул.Октябрьская д.100 кв.10</t>
  </si>
  <si>
    <t>142970 Московская область городской округ Серебряные Пруды, р.п. Серебряные Пруды ул.Октябрьская д.101 кв.3</t>
  </si>
  <si>
    <t>142970 Московская область городской округ Серебряные Пруды, р.п. Серебряные Пруды ул.Октябрьская д.101 кв.4</t>
  </si>
  <si>
    <t>142970 Московская область городской округ Серебряные Пруды, р.п. Серебряные Пруды ул.Октябрьская д.101 кв.6</t>
  </si>
  <si>
    <t>142970 Московская область городской округ Серебряные Пруды, р.п. Серебряные Пруды ул.Октябрьская д.103 кв.1</t>
  </si>
  <si>
    <t>142970 Московская область городской округ Серебряные Пруды, р.п. Серебряные Пруды ул.Октябрьская д.103 кв.3</t>
  </si>
  <si>
    <t>142970 Московская область городской округ Серебряные Пруды, р.п. Серебряные Пруды ул.Октябрьская д.103 кв.4</t>
  </si>
  <si>
    <t>142970 Московская область городской округ Серебряные Пруды, р.п. Серебряные Пруды ул.Октябрьская д.103 кв.8</t>
  </si>
  <si>
    <t>142970 Московская область городской округ Серебряные Пруды, р.п. Серебряные Пруды ул.Октябрьская д.104 кв.3</t>
  </si>
  <si>
    <t>142970 Московская область городской округ Серебряные Пруды, р.п. Серебряные Пруды ул.Октябрьская д.104 кв.7</t>
  </si>
  <si>
    <t>142970 Московская область городской округ Серебряные Пруды, р.п. Серебряные Пруды ул. ПТУ д.7б  кв.9</t>
  </si>
  <si>
    <t>142970 Московская область городской округ Серебряные Пруды, р.п. Серебряные Пруды ул. ПТУ д.7б  кв. 13</t>
  </si>
  <si>
    <t>142970 Московская область городской округ Серебряные Пруды, р.п. Серебряные Пруды ул. ПТУ д.7б  кв.17</t>
  </si>
  <si>
    <t>142970 Московская область городской округ Серебряные Пруды, р.п. Серебряные Пруды ул. ПТУ д.7б  кв.18</t>
  </si>
  <si>
    <t>142970 Московская область городской округ Серебряные Пруды, р.п. Серебряные Пруды ул. ПТУ д.7б  кв.24</t>
  </si>
  <si>
    <t>142970 Московская область городской округ Серебряные Пруды, р.п. Серебряные Пруды ул. ПТУ д.7б  кв.27</t>
  </si>
  <si>
    <t>142970 Московская область городской округ Серебряные Пруды, р.п. Серебряные Пруды ул. ПТУ д.7б  кв.29</t>
  </si>
  <si>
    <t>142970 Московская область городской округ Серебряные Пруды, р.п. Серебряные Пруды ул. ПТУ д.7б  кв.32</t>
  </si>
  <si>
    <t>142970 Московская область городской округ Серебряные Пруды, р.п. Серебряные Пруды ул. ПТУ д.7б  кв.62</t>
  </si>
  <si>
    <t>142970 Московская область городской округ Серебряные Пруды, р.п. Серебряные Пруды ул. ПТУ д.7б  кв.64</t>
  </si>
  <si>
    <t>142970 Московская область городской округ Серебряные Пруды, р.п. Серебряные Пруды ул. ПТУ д.7б  кв.80</t>
  </si>
  <si>
    <t>142970 Московская область городской округ Серебряные Пруды, р.п. Серебряные Пруды ул. ПТУ д.7в  кв. 2</t>
  </si>
  <si>
    <t>142970 Московская область городской округ Серебряные Пруды, р.п. Серебряные Пруды ул. ПТУ д.7в  кв. 4</t>
  </si>
  <si>
    <t>142970 Московская область городской округ Серебряные Пруды, р.п. Серебряные Пруды ул. ПТУ д.7в  кв. 5</t>
  </si>
  <si>
    <t>142970 Московская область городской округ Серебряные Пруды, р.п. Серебряные Пруды ул. ПТУ д.7в  кв. 20</t>
  </si>
  <si>
    <t>142970 Московская область городской округ Серебряные Пруды, р.п. Серебряные Пруды ул. ПТУ д.7в  кв. 23</t>
  </si>
  <si>
    <t>142970 Московская область городской округ Серебряные Пруды, р.п. Серебряные Пруды ул. ПТУ д.7в  кв. 24</t>
  </si>
  <si>
    <t>142970 Московская область городской округ Серебряные Пруды, р.п. Серебряные Пруды ул. ПТУ д.7в  кв. 26</t>
  </si>
  <si>
    <t>142970 Московская область городской округ Серебряные Пруды, р.п. Серебряные Пруды ул. ПТУ д.7в  кв. 32</t>
  </si>
  <si>
    <t>142970 Московская область городской округ Серебряные Пруды, р.п. Серебряные Пруды ул. ПТУ д.7в  кв. 37</t>
  </si>
  <si>
    <t>142970 Московская область городской округ Серебряные Пруды, р.п. Серебряные Пруды ул. ПТУ д.7в  кв. 41</t>
  </si>
  <si>
    <t>142970 Московская область городской округ Серебряные Пруды, р.п. Серебряные Пруды ул. ПТУ д.7в  кв. 42</t>
  </si>
  <si>
    <t>142970 Московская область городской округ Серебряные Пруды, р.п. Серебряные Пруды ул. ПТУ д.7в  кв.46</t>
  </si>
  <si>
    <t>142970 Московская область городской округ Серебряные Пруды, р.п. Серебряные Пруды ул. ПТУ д.7в  кв. 57</t>
  </si>
  <si>
    <t>142970 Московская область городской округ Серебряные Пруды, р.п. Серебряные Пруды ул. ПТУ д.7в  кв. 58</t>
  </si>
  <si>
    <t>142970 Московская область городской округ Серебряные Пруды, р.п. Серебряные Пруды ул. ПТУ д.7в  кв. 60</t>
  </si>
  <si>
    <t>142970 Московская область городской округ Серебряные Пруды, р.п. Серебряные Пруды ул.Ленина (168км)  кв.1</t>
  </si>
  <si>
    <t>142970 Московская область городской округ Серебряные Пруды, р.п. Серебряные Пруды ул.Привокзальная,казарма (170 км железной дороги) кв.1,2</t>
  </si>
  <si>
    <t>142970 Московская область городской округ Серебряные Пруды, с. Дудино д.36  кв.5</t>
  </si>
  <si>
    <t>142970 Московская область городской округ Серебряные Пруды, с. Дудино д.36  кв.8</t>
  </si>
  <si>
    <t>142970 Московская область городской округ Серебряные Пруды, с. Дудино д.16 кв. 3</t>
  </si>
  <si>
    <t>142970 Московская область городской округ Серебряные Пруды, с. Дудино д.16 кв. 4</t>
  </si>
  <si>
    <t>142970 Московская область городской округ Серебряные Пруды, с. Дудино д.38  кв.1</t>
  </si>
  <si>
    <t>142970 Московская область городской округ Серебряные Пруды, с. Дудино д.38  кв.2</t>
  </si>
  <si>
    <t>142970 Московская область городской округ Серебряные Пруды, с. Дудино д.38  кв.3</t>
  </si>
  <si>
    <t>142970 Московская область городской округ Серебряные Пруды, с. Дудино д.38  кв.4</t>
  </si>
  <si>
    <t>142970 Московская область городской округ Серебряные Пруды, с. Дудино д.38  кв.5</t>
  </si>
  <si>
    <t>142970 Московская область городской округ Серебряные Пруды, с. Дудино д.38  кв.6</t>
  </si>
  <si>
    <t>142970 Московская область городской округ Серебряные Пруды, с. Дудино д.38  кв.7</t>
  </si>
  <si>
    <t>142970 Московская область городской округ Серебряные Пруды, с. Дудино д.38  кв.8</t>
  </si>
  <si>
    <t>142970 Московская область городской округ Серебряные Пруды, с. Дудино д.30  кв.2</t>
  </si>
  <si>
    <t>142970 Московская область городской округ Серебряные Пруды, с. Дудино д.26</t>
  </si>
  <si>
    <t>142970 Московская область городской округ Серебряные Пруды, с. Дудино д.24  кв.1,2</t>
  </si>
  <si>
    <t>142970 Московская область городской округ Серебряные Пруды, с. Дудино д.20 кв.3</t>
  </si>
  <si>
    <t>142954 М.О. городской округ Серебряные Пруды, с. Мочилы, ул. Юбилейная, д.9, кв.1</t>
  </si>
  <si>
    <t>142954 М.О. городской округ Серебряные Пруды, с. Мочилы, ул. Юбилейная, д.9, кв.7</t>
  </si>
  <si>
    <t>142954 М.О. городской округ Серебряные Пруды, с. Мочилы, ул. Юбилейная, д.9, кв.10</t>
  </si>
  <si>
    <t>142954 М.О. городской округ Серебряные Пруды, с. Мочилы, ул. Юбилейная, д.9, кв.14</t>
  </si>
  <si>
    <t>142954 М.О. городской округ Серебряные Пруды, с. Мочилы, ул. Юбилейная, д.9, кв.18</t>
  </si>
  <si>
    <t>142954 М.О. городской округ Серебряные Пруды, с. Мочилы, ул. Юбилейная, д.9, кв.21</t>
  </si>
  <si>
    <t>142954 М.О. городской округ Серебряные Пруды, с. Мочилы, ул. Юбилейная, д.9, кв.26</t>
  </si>
  <si>
    <t>142954 М.О. городской округ Серебряные Пруды, с. Мочилы, ул. Юбилейная, д.8 кв.1</t>
  </si>
  <si>
    <t>142954 М.О. городской округ Серебряные Пруды, с. Мочилы, ул. Юбилейная, д.8 кв.2</t>
  </si>
  <si>
    <t>142954 М.О. городской округ Серебряные Пруды, с. Мочилы, ул. Юбилейная, д.8 кв.9</t>
  </si>
  <si>
    <t>142954 М.О. городской округ Серебряные Пруды, с. Мочилы, ул. Юбилейная, д.7 кв.2</t>
  </si>
  <si>
    <t>142954 М.О. городской округ Серебряные Пруды, с. Мочилы, ул. Юбилейная, д.7 кв.5</t>
  </si>
  <si>
    <t>142954 М.О. городской округ Серебряные Пруды, с. Мочилы, ул. Юбилейная, д.7 кв.6</t>
  </si>
  <si>
    <t>142954 М.О. городской округ Серебряные Пруды, с. Мочилы, ул. Юбилейная, д.7 кв.11</t>
  </si>
  <si>
    <t>142954 М.О. городской округ Серебряные Пруды, с. Мочилы, ул. Юбилейная, д.7 кв.9</t>
  </si>
  <si>
    <t>142954 М.О. городской округ Серебряные Пруды, с. Мочилы, ул. Юбилейная, д.7 кв.10</t>
  </si>
  <si>
    <t>142954 М.О. городской округ Серебряные Пруды, с. Мочилы, ул. Юбилейная, д.5 кв.№17</t>
  </si>
  <si>
    <t>142954 М.О. городской округ Серебряные Пруды, с. Мочилы, ул. Юбилейная, д.4 кв.9</t>
  </si>
  <si>
    <t>142954 М.О. городской округ Серебряные Пруды, с. Мочилы, ул. Юбилейная, д.4 кв.10</t>
  </si>
  <si>
    <t>142954 М.О. городской округ Серебряные Пруды, с. Мочилы, ул. Юбилейная, д.4 кв.24</t>
  </si>
  <si>
    <t>142954 М.О. городской округ Серебряные Пруды, с. Мочилы, ул. Юбилейная, д.3 кв.3</t>
  </si>
  <si>
    <t>142954 М.О. городской округ Серебряные Пруды, с. Мочилы, ул. Юбилейная, д.3 кв.11</t>
  </si>
  <si>
    <t>142954 М.О. городской округ Серебряные Пруды, с. Мочилы, ул. Юбилейная, д.3 кв.22</t>
  </si>
  <si>
    <t>142954 М.О. городской округ Серебряные Пруды, с. Мочилы, ул. Юбилейная, д.2 кв.2</t>
  </si>
  <si>
    <t>142954 М.О. городской округ Серебряные Пруды, с. Мочилы, ул. Юбилейная, д.2 кв.3</t>
  </si>
  <si>
    <t>142954 М.О. городской округ Серебряные Пруды, с. Мочилы, ул. Юбилейная, д.2 кв.19</t>
  </si>
  <si>
    <t>142954 М.О. городской округ Серебряные Пруды, с. Мочилы, ул. Юбилейная, д.2 кв.20</t>
  </si>
  <si>
    <t>142954 М.О. городской округ Серебряные Пруды, с. Мочилы, ул. Юбилейная, д.2 кв.24</t>
  </si>
  <si>
    <t>142954 М.О. городской округ Серебряные Пруды, с. Мочилы, ул. Юбилейная, д.1 кв.2</t>
  </si>
  <si>
    <t>142954 М.О. городской округ Серебряные Пруды, с. Мочилы, ул. Юбилейная, д.1 кв.6</t>
  </si>
  <si>
    <t>142954 М.О. городской округ Серебряные Пруды, с. Мочилы, ул. Юбилейная, д.1 кв.10</t>
  </si>
  <si>
    <t>142954 М.О. городской округ Серебряные Пруды, с. Мочилы, ул. Юбилейная, д.1 кв.17</t>
  </si>
  <si>
    <t>Московская область, городской округ Серебряные Пруды, с. Узуново,мкр. Северный, д.1 , квартиры № 9</t>
  </si>
  <si>
    <t>Московская область, городской округ Серебряные Пруды, с. Узуново,мкр. Северный, д.2 кв.1</t>
  </si>
  <si>
    <t>Московская область, городской округ Серебряные Пруды, с. Узуново,мкр. Северный, д.2 кв.3</t>
  </si>
  <si>
    <t>Московская область, городской округ Серебряные Пруды, с. Узуново,мкр. Северный, д.2 кв.8</t>
  </si>
  <si>
    <t>Московская область, городской округ Серебряные Пруды, с. Узуново,мкр. Северный, д.3 кв.10</t>
  </si>
  <si>
    <t>Московская область, городской округ Серебряные Пруды, с. Узуново,мкр. Северный, д.3 кв.11</t>
  </si>
  <si>
    <t>Московская область, городской округ Серебряные Пруды, с. Узуново,мкр. Северный, д.3 кв.14</t>
  </si>
  <si>
    <t>Московская область, городской округ Серебряные Пруды, с. Узуново,мкр. Северный, д.3 кв.21</t>
  </si>
  <si>
    <t>Московская область, городской округ Серебряные Пруды, с. Узуново,мкр. Северный, д.3 кв.23</t>
  </si>
  <si>
    <t>Московская область, городской округ Серебряные Пруды, с. Узуново,мкр. Северный, д.5 кв.1</t>
  </si>
  <si>
    <t>Московская область, городской округ Серебряные Пруды, с. Узуново,мкр. Северный, д.5 кв.4</t>
  </si>
  <si>
    <t>Московская область, городской округ Серебряные Пруды, с. Узуново,мкр. Северный, д.5 кв.16</t>
  </si>
  <si>
    <t>Московская область, городской округ Серебряные Пруды, с. Узуново,мкр. Северный, д.6 кв.1</t>
  </si>
  <si>
    <t>Московская область, городской округ Серебряные Пруды, с. Узуново,мкр. Северный, д.6 кв. 11</t>
  </si>
  <si>
    <t>Московская область, городской округ Серебряные Пруды, с. Узуново,мкр. Северный, д.6 кв. 14</t>
  </si>
  <si>
    <t>Московская область, городской округ Серебряные Пруды, с. Узуново,мкр. Северный, д.7 кв.№16</t>
  </si>
  <si>
    <t>Московская область, городской округ Серебряные Пруды, с. Узуново,мкр. Северный, д.9 кв.1</t>
  </si>
  <si>
    <t>Московская область, городской округ Серебряные Пруды, с. Узуново,мкр. Северный, д.9 кв.6</t>
  </si>
  <si>
    <t>Московская область, городской округ Серебряные Пруды, с. Узуново,мкр. Северный, д.9 кв.10</t>
  </si>
  <si>
    <t>Московская область, городской округ Серебряные Пруды, с. Узуново,мкр. Северный, д.9 кв.17</t>
  </si>
  <si>
    <t>142960, Московская область, городской округ Серебряные Пруды с. Узуново,мкр-н Северный, д.9, кв.20</t>
  </si>
  <si>
    <t>Московская область, городской округ Серебряные Пруды, с. Узуново,мкр. Северный, д.10 кв.1</t>
  </si>
  <si>
    <t>Московская область, городской округ Серебряные Пруды, с. Узуново,мкр. Северный, д.10 кв.3</t>
  </si>
  <si>
    <t>Московская область, городской округ Серебряные Пруды, с. Узуново,мкр. Северный, д.10 кв7</t>
  </si>
  <si>
    <t>Московская область, городской округ Серебряные Пруды, с. Узуново,мкр. Северный, д.10 кв.13</t>
  </si>
  <si>
    <t>Московская область, городской округ Серебряные Пруды, с. Узуново,мкр. Северный, д.10 кв.15</t>
  </si>
  <si>
    <t>Московская область, городской округ Серебряные Пруды, с. Узуново,мкр. Северный, д.10 кв.18</t>
  </si>
  <si>
    <t>Московская область, городской округ Серебряные Пруды, с. Узуново,мкр. Северный, д.10 кв.24</t>
  </si>
  <si>
    <t>Московская область, городской округ Серебряные Пруды, с. Узуново,мкр. Северный, д.11 кв.№3</t>
  </si>
  <si>
    <t>Московская область, городской округ Серебряные Пруды, с. Узуново,мкр. Северный, д.1а, кв.1</t>
  </si>
  <si>
    <t>Московская область, городской округ Серебряные Пруды, с. Узуново,мкр. Северный, д.1а кв.2</t>
  </si>
  <si>
    <t>Московская область, городской округ Серебряные Пруды, с. Узуново,мкр. Северный, д.1а кв.3</t>
  </si>
  <si>
    <t>Московская область, городской округ Серебряные Пруды, с. Узуново,мкр. Северный, д.1а, кв.5</t>
  </si>
  <si>
    <t>Московская область, городской округ Серебряные Пруды, с. Узуново,мкр. Северный, д.1а, кв.8</t>
  </si>
  <si>
    <t>Московская область, городской округ Серебряные Пруды, с. Узуново,мкр. Северный, д.1а, кв.9</t>
  </si>
  <si>
    <t>Московская область, городской округ Серебряные Пруды, с. Узуново,мкр. Северный, д.1а, кв.10</t>
  </si>
  <si>
    <t>Московская область, городской округ Серебряные Пруды, с. Узуново,мкр. Северный, д.1а, кв.11</t>
  </si>
  <si>
    <t>Московская область, городской округ Серебряные Пруды, с. Узуново,мкр. Северный, д.5а, кв.1</t>
  </si>
  <si>
    <t>Московская область, городской округ Серебряные Пруды, с. Узуново,мкр. Северный, д.5а кв.2</t>
  </si>
  <si>
    <t>Московская область, городской округ Серебряные Пруды, с. Узуново,мкр. Северный, д.5а кв.5</t>
  </si>
  <si>
    <t>Московская область, городской округ Серебряные Пруды, с. Узуново,мкр. Северный, д.5а кв.6</t>
  </si>
  <si>
    <t>Московская область, городской округ Серебряные Пруды, с. Узуново,мкр. Северный, д.5а кв.7</t>
  </si>
  <si>
    <t>Московская область, городской округ Серебряные Пруды, с. Узуново,мкр. Северный, д.5а кв.10</t>
  </si>
  <si>
    <t>Московская область, городской округ Серебряные Пруды, с. Узуново,мкр. Северный, д.7а кв.6</t>
  </si>
  <si>
    <t>Московская область, городской округ Серебряные Пруды, с. Узуново,мкр. Северный, д.7а кв.8</t>
  </si>
  <si>
    <t>Московская область, городской округ Серебряные Пруды, с. Узуново,мкр. Северный, д.7а кв.9</t>
  </si>
  <si>
    <t>Московская область, городской округ Серебряные Пруды, с. Узуново,мкр. Северный, д.7а кв.11</t>
  </si>
  <si>
    <t>Московская область, городской округ Серебряные Пруды, с. Узуново,мкр. Северный, д.7а кв.12</t>
  </si>
  <si>
    <t>Московская область, городской округ Серебряные Пруды, с. Узуново,мкр. Северный, д.7а кв.14</t>
  </si>
  <si>
    <t>Московская область, городской округ Серебряные Пруды, с. Узуново,мкр. Северный, д.7а кв.17</t>
  </si>
  <si>
    <t>Московская область, городской округ Серебряные Пруды, с. Узуново,мкр. Северный, д.7а кв.18</t>
  </si>
  <si>
    <t>Московская область, городской округ Серебряные Пруды, с. Узуново,мкр. Южный, д.1 кв.8</t>
  </si>
  <si>
    <t>Московская область, городской округ Серебряные Пруды, с. Узуново,мкр. Южный, д.1 кв.19</t>
  </si>
  <si>
    <t>Московская область, городской округ Серебряные Пруды, с. Узуново,мкр. Южный, д.2 кв.7</t>
  </si>
  <si>
    <t>Московская область, городской округ Серебряные Пруды, с. Узуново,мкр. Южный, д.2 кв.10</t>
  </si>
  <si>
    <t>Московская область, городской округ Серебряные Пруды, с. Узуново,мкр. Южный, д.2 кв.11</t>
  </si>
  <si>
    <t>Московская область, городской округ Серебряные Пруды, с. Узуново,мкр. Южный, д.2 кв.12</t>
  </si>
  <si>
    <t>Московская область, городской округ Серебряные Пруды, с. Узуново,мкр. Южный, д.3 кв.2</t>
  </si>
  <si>
    <t>Московская область, городской округ Серебряные Пруды, с. Узуново,мкр. Южный, д.3 кв.4</t>
  </si>
  <si>
    <t>Московская область, городской округ Серебряные Пруды, с. Узуново,мкр. Южный, д.3 кв.9</t>
  </si>
  <si>
    <t>Московская область, городской округ Серебряные Пруды, с. Узуново,мкр. Южный, д.3 кв.14</t>
  </si>
  <si>
    <t>Московская область, городской округ Серебряные Пруды, с. Узуново,мкр. Южный, д.4 кв.10</t>
  </si>
  <si>
    <t>Московская область, городской округ Серебряные Пруды, с. Узуново,мкр. Южный, д.4 кв.14</t>
  </si>
  <si>
    <t>Московская область, городской округ Серебряные Пруды, с. Узуново,мкр. Южный, д.4 кв.16</t>
  </si>
  <si>
    <t>Московская область, городской округ Серебряные Пруды, с. Узуново,мкр. Южный, д.4 ка.19</t>
  </si>
  <si>
    <t>Московская область, городской округ Серебряные Пруды, с. Узуново,мкр. Южный, д.4 кв.21</t>
  </si>
  <si>
    <t>Московская область, городской округ Серебряные Пруды, с. Узуново,мкр. Южный, д.5 кв.2</t>
  </si>
  <si>
    <t>Московская область, городской округ Серебряные Пруды, с. Узуново,мкр. Южный, д.5 кв.8</t>
  </si>
  <si>
    <t>Московская область, городской округ Серебряные Пруды, с. Узуново,мкр. Южный, д.5 кв.10</t>
  </si>
  <si>
    <t>Московская область, городской округ Серебряные Пруды, с. Узуново,мкр. Южный, д.5 кв.11</t>
  </si>
  <si>
    <t>Московская область, городской округ Серебряные Пруды, с. Узуново,мкр. Южный, д.5 кв.12</t>
  </si>
  <si>
    <t>Московская область, городской округ Серебряные Пруды, с. Узуново,мкр. Южный, д.5 кв.13</t>
  </si>
  <si>
    <t>Московская область, городской округ Серебряные Пруды, с. Узуново,мкр. Южный, д.5 кв.16</t>
  </si>
  <si>
    <t>Московская область, городской округ Серебряные Пруды, с. Узуново,мкр. Южный, д.5 кв.17</t>
  </si>
  <si>
    <t>Московская область, городской округ Серебряные Пруды, с. Узуново,мкр. Южный, д.5 кв.18</t>
  </si>
  <si>
    <t>Московская область, городской округ Серебряные Пруды, с. Узуново,мкр. Южный, д.5 кв.23</t>
  </si>
  <si>
    <t>Московская область, городской округ Серебряные Пруды, с. Узуново,мкр. Южный, д.6 кв.№10</t>
  </si>
  <si>
    <t>Московская область, городской округ Серебряные Пруды, с. Узуново,мкр. Южный, д.7 кв.2</t>
  </si>
  <si>
    <t>Московская область, городской округ Серебряные Пруды, с. Узуново,мкр. Южный, д.7 кв.3</t>
  </si>
  <si>
    <t>Московская область, городской округ Серебряные Пруды, с. Узуново,мкр. Южный, д.7 кв.4</t>
  </si>
  <si>
    <t>Московская область, городской округ Серебряные Пруды, с. Узуново,мкр. Южный, д.7 кв.10</t>
  </si>
  <si>
    <t>Московская область, городской округ Серебряные Пруды, с. Узуново,мкр. Южный, д.7 кв.18</t>
  </si>
  <si>
    <t>Московская область, городской округ Серебряные Пруды, с. Узуново,мкр. Южный, д.8 кв.14</t>
  </si>
  <si>
    <t>Московская область, городской округ Серебряные Пруды, с. Узуново,мкр. Южный, д.8 кв.19</t>
  </si>
  <si>
    <t>Московская область, городской округ Серебряные Пруды, с. Узуново,мкр. Южный, д.9 кв.1</t>
  </si>
  <si>
    <t>Московская область, городской округ Серебряные Пруды, с. Узуново,мкр. Южный, д.9 кв.2</t>
  </si>
  <si>
    <t>Московская область, городской округ Серебряные Пруды, с. Узуново,мкр. Южный, д.9 кв.3</t>
  </si>
  <si>
    <t>Московская область, городской округ Серебряные Пруды, с. Узуново,мкр. Южный, д.13 кв.3</t>
  </si>
  <si>
    <t>Московская область, городской округ Серебряные Пруды, с. Узуново,мкр. Южный, д.13 кв.4</t>
  </si>
  <si>
    <t>Московская область, городской округ Серебряные Пруды, с. Узуново,мкр. Южный, д.13 кв.8</t>
  </si>
  <si>
    <t>Московская область, городской округ Серебряные Пруды, с. Узуново,мкр. Южный, д.14 кв.5</t>
  </si>
  <si>
    <t>Московская область, городской округ Серебряные Пруды, с. Узуново,мкр. Южный, д.14 кв.14</t>
  </si>
  <si>
    <t>Московская область, городской округ Серебряные Пруды, с. Узуново,мкр. Южный, д.14 кв.18</t>
  </si>
  <si>
    <t>Московская область, городской округ Серебряные Пруды, с. Узуново,мкр. Южный, д.14 кв.20</t>
  </si>
  <si>
    <t>Московская область, городской округ Серебряные Пруды, с. Узуново,мкр. Южный, д.15 кв.1</t>
  </si>
  <si>
    <t>Московская область, городской округ Серебряные Пруды, с. Узуново,мкр. Южный, д.15 кв.11</t>
  </si>
  <si>
    <t>Московская область, городской округ Серебряные Пруды, с. Узуново,мкр. Южный, д.16 кв.7</t>
  </si>
  <si>
    <t>Московская область, городской округ Серебряные Пруды, с. Узуново,мкр. Южный, д.16 кв.9</t>
  </si>
  <si>
    <t>Московская область, городской округ Серебряные Пруды, с. Узуново,мкр. Южный, д.16 кв.22</t>
  </si>
  <si>
    <t>Московская область, городской округ Серебряные Пруды, с. Узуново,мкр. Южный, д.17 кв.8</t>
  </si>
  <si>
    <t>Московская область, городской округ Серебряные Пруды, с. Узуново,мкр. Южный, д.17 кв.13</t>
  </si>
  <si>
    <t>Московская область, городской округ Серебряные Пруды, с. Узуново,мкр. Южный, д.18 кв.№5</t>
  </si>
  <si>
    <t>Московская область, городской округ Серебряные Пруды, с. Узуново,мкр. Южный, д.19 кв.2</t>
  </si>
  <si>
    <t>Московская область, городской округ Серебряные Пруды, с. Узуново,мкр. Южный, д.19 кв. 5</t>
  </si>
  <si>
    <t>Московская область, городской округ Серебряные Пруды, с. Узуново,мкр. Южный, д.19 кв.10</t>
  </si>
  <si>
    <t>Московская область, городской округ Серебряные Пруды, с. Узуново,мкр. Южный, д.19 кв.12</t>
  </si>
  <si>
    <t>Московская область, городской округ Серебряные Пруды, с. Узуново,мкр. Южный, д.20 кв.1</t>
  </si>
  <si>
    <t>Московская область, городской округ Серебряные Пруды, с. Узуново,мкр. Южный, д.21 кв.14</t>
  </si>
  <si>
    <t>Московская область, городской округ Серебряные Пруды, с. Узуново,мкр. Южный, д.21 кв.18</t>
  </si>
  <si>
    <t>Московская область, городской округ Серебряные Пруды, с. Узуново,мкр. Южный, д.21 кв.20</t>
  </si>
  <si>
    <t>Московская область, городской округ Серебряные Пруды, с. Узуново,мкр. Южный, д.21 кв.22</t>
  </si>
  <si>
    <t>Московская область, городской округ Серебряные Пруды, с. Узуново,мкр. Южный, д.22 кв.7</t>
  </si>
  <si>
    <t>Московская область, городской округ Серебряные Пруды, с. Узуново,мкр. Южный, д.22 кв.8</t>
  </si>
  <si>
    <t>Московская область, городской округ Серебряные Пруды, с. Узуново,мкр. Южный, д.24 кв.3</t>
  </si>
  <si>
    <t>Московская область, городской округ Серебряные Пруды, с. Узуново,мкр. Южный, д.24 кв.10</t>
  </si>
  <si>
    <t>Московская область, городской округ Серебряные Пруды, с. Узуново,мкр. Южный, д.24 кв.12</t>
  </si>
  <si>
    <t>Московская область, городской округ Серебряные Пруды, с. Узуново,мкр. Южный, д.24 кв.13</t>
  </si>
  <si>
    <t>Московская область, городской округ Серебряные Пруды, с. Узуново,мкр. Южный, д.25 кв.1</t>
  </si>
  <si>
    <t>Московская область, городской округ Серебряные Пруды, с. Узуново,мкр. Южный, д.25 кв.6</t>
  </si>
  <si>
    <t>Московская область, городской округ Серебряные Пруды, с. Узуново,мкр. Южный, д.26 кв.1</t>
  </si>
  <si>
    <t>Московская область, городской округ Серебряные Пруды, с. Узуново,мкр. Южный, д.26 кв.21</t>
  </si>
  <si>
    <t>Московская область, городской округ Серебряные Пруды, с. Узуново,мкр. Южный, д.26 кв.23</t>
  </si>
  <si>
    <t>Московская область, городской округ Серебряные Пруды, с. Узуново,мкр. Южный, д.29 кв.6</t>
  </si>
  <si>
    <t>Московская область, городской округ Серебряные Пруды, с. Узуново,мкр. Южный, д.29 кв.20</t>
  </si>
  <si>
    <t>Московская область, городской округ Серебряные Пруды, с. Узуново,мкр. Южный, д.30 кв.6</t>
  </si>
  <si>
    <t>Московская область, городской округ Серебряные Пруды, с. Узуново,мкр. Южный, д.30 кв.13</t>
  </si>
  <si>
    <t>Московская область, городской округ Серебряные Пруды, с. Узуново,мкр. Южный, д.32 кв.2</t>
  </si>
  <si>
    <t>Московская область, городской округ Серебряные Пруды, с. Узуново,мкр. Южный, д.32 кв.9</t>
  </si>
  <si>
    <t>Московская область, городской округ Серебряные Пруды, с. Узуново,мкр. Южный, д.32 кв.10</t>
  </si>
  <si>
    <t>Московская область, городской округ Серебряные Пруды, с. Узуново,мкр. Южный, д.32 кв.11</t>
  </si>
  <si>
    <t>Московская область, городской округ Серебряные Пруды, с. Узуново,мкр. Южный, д.32 кв.19</t>
  </si>
  <si>
    <t>Московская область, городской округ Серебряные Пруды, с. Узуново,мкр. Южный, д.33, кв.1</t>
  </si>
  <si>
    <t>Московская область, городской округ Серебряные Пруды, с. Узуново,мкр. Южный, д.33, кв.27</t>
  </si>
  <si>
    <t>Московская область, городской округ Серебряные Пруды, с. Узуново,мкр. Южный, д.34, кв.10</t>
  </si>
  <si>
    <t>Московская область, городской округ Серебряные Пруды, с. Узуново,мкр. Южный, д.34, кв.18</t>
  </si>
  <si>
    <t>Московская область, городской округ Серебряные Пруды, с. Узуново,мкр. Южный, д.34, кв.19</t>
  </si>
  <si>
    <t>Московская область, городской округ Серебряные Пруды, с. Узуново,мкр. Южный, д.34, кв.21</t>
  </si>
  <si>
    <t>Московская область, городской округ Серебряные Пруды, с. Узуново,мкр. Южный, д.34, кв.24</t>
  </si>
  <si>
    <t>Московская область, городской округ Серебряные Пруды, с. Узуново,мкр. Южный, д.34, кв.26</t>
  </si>
  <si>
    <t>Московская область, городской округ Серебряные Пруды, с. Узуново,мкр. Южный, д.34, кв.27</t>
  </si>
  <si>
    <t>Московская область, городской округ Серебряные Пруды, с. Узуново,мкр. Южный, д.35, кв.2</t>
  </si>
  <si>
    <t>Московская область, городской округ Серебряные Пруды, с. Узуново,мкр. Южный, д.35, кв.3</t>
  </si>
  <si>
    <t>Московская область, городской округ Серебряные Пруды, с. Узуново, коттедж № 4, квартира №2</t>
  </si>
  <si>
    <t>Московская область, городской округ Серебряные Пруды, с. Узуново, коттедж № 5, квартиры № 1, 2</t>
  </si>
  <si>
    <t>Московская область, городской округ Серебряные Пруды, с. Узуново,ул. Почтовая, д.4, кв.6</t>
  </si>
  <si>
    <t>Московская область, городской округ Серебряные Пруды, с. Узуново,ул. Почтовая, д.4,кв.9</t>
  </si>
  <si>
    <t>Московская область, городской округ Серебряные Пруды, с. Узуново,ул. Почтовая, д.4,кв.11</t>
  </si>
  <si>
    <t>Московская область, городской округ Серебряные Пруды, с. Узуново,ул. Почтовая, д.4,кв.12</t>
  </si>
  <si>
    <t>Московская область, городской округ Серебряные Пруды, с. Узуново,ул. Почтовая, д.4,кв.14</t>
  </si>
  <si>
    <t>Московская область, городской округ Серебряные Пруды, с. Узуново,ул. Почтовая, д.4,кв.16</t>
  </si>
  <si>
    <t>Московская область, городской округ Серебряные Пруды, с. Узуново,ул. Почтовая, д.4,кв.17</t>
  </si>
  <si>
    <t>Московская область, городской округ Серебряные Пруды, с. Узуново,ул. Почтовая, д.4,кв.18</t>
  </si>
  <si>
    <t>Московская область, городской округ Серебряные Пруды, с. Узуново,ул. Почтовая, д.4,кв.19</t>
  </si>
  <si>
    <t>Московская область, городской округ Серебряные Пруды, с. Узуново,ул. Почтовая, д.4,кв.20</t>
  </si>
  <si>
    <t>Московская область, городской округ Серебряные Пруды, с. Узуново,ул. Почтовая, д.4,кв.22</t>
  </si>
  <si>
    <t>Московская область, городской округ Серебряные Пруды, с. Узуново,ул. Почтовая, д.4,кв.26</t>
  </si>
  <si>
    <t>Московская область, городской округ Серебряные Пруды, с. Узуново,ул. Почтовая, д.5, кв.8</t>
  </si>
  <si>
    <t>Московская область, городской округ Серебряные Пруды, с. Узуново,ул. Почтовая, д.5,кв.9</t>
  </si>
  <si>
    <t>Московская область, городской округ Серебряные Пруды, с. Узуново,ул. Почтовая, д.5,кв.10</t>
  </si>
  <si>
    <t>Московская область, городской округ Серебряные Пруды, с. Узуново,ул. Почтовая, д.5,кв.12</t>
  </si>
  <si>
    <t>Московская область, городской округ Серебряные Пруды, с. Узуново,ул. Почтовая, д.5,кв.13</t>
  </si>
  <si>
    <t>Московская область, городской округ Серебряные Пруды, с. Узуново,ул. Почтовая, д.5,кв.20</t>
  </si>
  <si>
    <t>Московская область, городской округ Серебряные Пруды, с. Узуново,ул. Почтовая, д.6,кв.5</t>
  </si>
  <si>
    <t>Московская область, городской округ Серебряные Пруды, с. Узуново,ул. Почтовая, д.6,кв.6</t>
  </si>
  <si>
    <t>Московская область, городской округ Серебряные Пруды, с. Узуново,ул. Почтовая, д.6,кв.13</t>
  </si>
  <si>
    <t>Московская область, городской округ Серебряные Пруды, с. Узуново,ул. Почтовая, д.6,кв.15</t>
  </si>
  <si>
    <t>Московская область, городской округ Серебряные Пруды, с. Узуново,ул. Почтовая, д.6,кв.18</t>
  </si>
  <si>
    <t>Московская область, городской округ Серебряные Пруды, с. Узуново,ул. Почтовая, д.6,кв.19</t>
  </si>
  <si>
    <t>Московская область, городской округ Серебряные Пруды, с. Узуново,ул. Почтовая, д.6,кв.27</t>
  </si>
  <si>
    <t>Московская область, городской округ Серебряные Пруды, с. Узуново,ул. Почтовая, д.9а, кв.1</t>
  </si>
  <si>
    <t>Московская область, городской округ Серебряные Пруды, с. Узуново,ул. Почтовая, д.9а, кв.3</t>
  </si>
  <si>
    <t>Московская область, городской округ Серебряные Пруды, с. Узуново,ул. Почтовая, д.9а, кв.4</t>
  </si>
  <si>
    <t>Московская область, городской округ Серебряные Пруды, с. Узуново,ул. Почтовая, д.9а, кв.16</t>
  </si>
  <si>
    <t>Московская область, городской округ Серебряные Пруды, с. Узуново,ул. Почтовая, д.11а, кв. 3 (комната), 18</t>
  </si>
  <si>
    <t>Московская область, городской округ Серебряные Пруды,  с. Узуново, ул. Советская, д. № 50</t>
  </si>
  <si>
    <t>Московская область, городской округ Серебряные Пруды, с.  Тютьково д.23 кв.3</t>
  </si>
  <si>
    <t>Московская область, городской округ Серебряные Пруды, с.  Тютьково д.23 кв.4</t>
  </si>
  <si>
    <t>Московская область, городской округ Серебряные Пруды, с.  Тютьково д.23 кв.5</t>
  </si>
  <si>
    <t>Московская область, городской округ Серебряные Пруды, с.  Тютьково д.23 кв.6</t>
  </si>
  <si>
    <t>Московская область, городской округ Серебряные Пруды, с.  Тютьково д.23 кв.7</t>
  </si>
  <si>
    <t>Московская область, городской округ Серебряные Пруды, с.  Тютьково д.23 кв.8</t>
  </si>
  <si>
    <t>Московская область, городской округ Серебряные Пруды, с.  Тютьково д.23 кв.9</t>
  </si>
  <si>
    <t>Московская область, городской округ Серебряные Пруды, с.  Тютьково д.23 кв.10</t>
  </si>
  <si>
    <t>Московская область, городской округ Серебряные Пруды, с.  Тютьково д.23 кв.11</t>
  </si>
  <si>
    <t>Московская область, городской округ Серебряные Пруды, с.  Тютьково д.23 кв.12</t>
  </si>
  <si>
    <t>Московская область, городской округ Серебряные Пруды, д.   Коровино,  д.2, кв. №1</t>
  </si>
  <si>
    <t>Московская область, городской округ Серебряные Пруды, д.   Коровино,  д.3, кв. № 1</t>
  </si>
  <si>
    <t>Московская область, городской округ Серебряные Пруды, д.   Коровино,  д.5. кв. №3</t>
  </si>
  <si>
    <t>Московская область, городской округ Серебряные Пруды, д.   Коровино,  д.6, кв. №1</t>
  </si>
  <si>
    <t>Московская область, городской округ Серебряные Пруды, д.   Коровино,  д.7 , кв. № 1, 2</t>
  </si>
  <si>
    <t>Московская область, городской округ Серебряные Пруды, д.   Коровино,  д.10, кв. №1</t>
  </si>
  <si>
    <t>Московская область, городской округ Серебряные Пруды, д.   Коровино,  д.12, кв. №1</t>
  </si>
  <si>
    <t>Московская область, городской округ Серебряные Пруды, д.   Коровино,  д.13. кв. №1</t>
  </si>
  <si>
    <t>Московская область, городской округ Серебряные Пруды, д.   Коровино,  д.16, кв. №1</t>
  </si>
  <si>
    <t>Московская область, городской округ Серебряные Пруды, д.   Коровино,  д.19, кв. №1</t>
  </si>
  <si>
    <t>Московская область, городской округ Серебряные Пруды, д. Коровино,  д.21 кв.2</t>
  </si>
  <si>
    <t>Московская область, городской округ Серебряные Пруды, д. Коровино,  д.21 кв.3</t>
  </si>
  <si>
    <t>Московская область, городской округ Серебряные Пруды, д. Коровино,  д.21 кв.4</t>
  </si>
  <si>
    <t>Московская область, городской округ Серебряные Пруды, д. Коровино,  д.21 кв.5</t>
  </si>
  <si>
    <t>Московская область, городской округ Серебряные Пруды, д. Коровино,  д.21 кв.6</t>
  </si>
  <si>
    <t>Московская область, городской округ Серебряные Пруды, д. Коровино,  д.21 кв.7</t>
  </si>
  <si>
    <t>Московская область, городской округ Серебряные Пруды, д. Коровино,  д.21 кв.9</t>
  </si>
  <si>
    <t>Московская область, городской округ Серебряные Пруды, д. Коровино,  д.21 кв.10</t>
  </si>
  <si>
    <t>Московская область, городской округ Серебряные Пруды, д. Коровино,  д.21 кв.12</t>
  </si>
  <si>
    <t>Московская область, городской округ Серебряные Пруды, д.   Косяево,  д.5, кв. №1</t>
  </si>
  <si>
    <t>Московская область, городской округ Серебряные Пруды, д.   Косяево,  д.7, кв.№ 1</t>
  </si>
  <si>
    <t>Московская область, городской округ Серебряные Пруды, д.   Косяево,  д.10, кв. №1</t>
  </si>
  <si>
    <t>Московская область, городской округ Серебряные Пруды, с. Мягкое,  д.3, кв. №1</t>
  </si>
  <si>
    <t>Московская область, городской округ Серебряные Пруды, с. Мягкое,  д.10, кв.№1</t>
  </si>
  <si>
    <t>Московская область, городской округ Серебряные Пруды, с. Мягкое,  д.11 кв.4</t>
  </si>
  <si>
    <t>Московская область, городской округ Серебряные Пруды, с. Мягкое,  д.11 кв.9</t>
  </si>
  <si>
    <t>Московская область, городской округ Серебряные Пруды, с. Мягкое,  д.11 кв.11</t>
  </si>
  <si>
    <t>Московская область, городской округ Серебряные Пруды, с. Мягкое,  д.11 кв.12</t>
  </si>
  <si>
    <t>Московская область, городской округ Серебряные Пруды, с. Мягкое,  д.11 кв.13</t>
  </si>
  <si>
    <t>Московская область, городской округ Серебряные Пруды, с. Мягкое,  д.11 кв.17</t>
  </si>
  <si>
    <t>Московская область, городской округ Серебряные Пруды, с. Мягкое,  д.12  кв.1</t>
  </si>
  <si>
    <t>Московская область, городской округ Серебряные Пруды, с. Мягкое,  д.12  кв.11</t>
  </si>
  <si>
    <t>Московская область, городской округ Серебряные Пруды, с. Мягкое,  д.12  кв. 15</t>
  </si>
  <si>
    <t>Московская область, городской округ Серебряные Пруды, с. Мягкое,  д.12  кв.16</t>
  </si>
  <si>
    <t>Московская область, городской округ Серебряные Пруды, с. Мягкое,  д.13, кв. №1</t>
  </si>
  <si>
    <t>Московская область, городской округ Серебряные Пруды, с. Мягкое,  д.14, кв. №1</t>
  </si>
  <si>
    <t>Московская область, городской округ Серебряные Пруды, с. Мягкое,  д.22, кв. №13</t>
  </si>
  <si>
    <t>Московская область, городской округ Серебряные Пруды, с. Мягкое,  д.23 кв.2</t>
  </si>
  <si>
    <t>Московская область, городской округ Серебряные Пруды, с. Мягкое,  д.23 кв.4</t>
  </si>
  <si>
    <t>Московская область, городской округ Серебряные Пруды, с. Мягкое,  д.23 кв.5</t>
  </si>
  <si>
    <t>Московская область, городской округ Серебряные Пруды, с. Мягкое,  д.23 кв.7</t>
  </si>
  <si>
    <t>Московская область, городской округ Серебряные Пруды, с. Мягкое,  д.23 кв.8</t>
  </si>
  <si>
    <t>Московская область, городской округ Серебряные Пруды, с. Мягкое,  д.24, кв.1</t>
  </si>
  <si>
    <t>Московская область, городской округ Серебряные Пруды, с. Мягкое,  д.24, кв.4</t>
  </si>
  <si>
    <t>Московская область, городской округ Серебряные Пруды, с. Мягкое,  д.24, кв.6</t>
  </si>
  <si>
    <t>Московская область, городской округ Серебряные Пруды, с. Мягкое,  д.24, кв.11</t>
  </si>
  <si>
    <t>Московская область, городской округ Серебряные Пруды, с. Мягкое,  д.24, кв.19</t>
  </si>
  <si>
    <t>Московская область, городской округ Серебряные Пруды, с. Мягкое,  д.24, кв.22</t>
  </si>
  <si>
    <t>Московская область, городской округ Серебряные Пруды, с. Мягкое,  д.24, кв.23</t>
  </si>
  <si>
    <t>Московская область, городской округ Серебряные Пруды, с. Мягкое,  д.24, кв.25</t>
  </si>
  <si>
    <t>Московская область, городской округ Серебряные Пруды, с. Мягкое,  д.29, кв. №2</t>
  </si>
  <si>
    <t>Московская область, городской округ Серебряные Пруды, с. Мягкое,  д.30, кв. №1</t>
  </si>
  <si>
    <t>Московская область, городской округ Серебряные Пруды, с. Мягкое,  д.31, кв. № 1, 2</t>
  </si>
  <si>
    <t xml:space="preserve">Московская область, городской округ Серебряные Пруды, с. Узуново, казарма № 2( 157 км. ж.д.), кв.1 </t>
  </si>
  <si>
    <t>Московская область, городской округ Серебряные Пруды, с. Узуново, казарма № 2( 157 км. ж.д.), кв.2</t>
  </si>
  <si>
    <t>Московская область, городской округ Серебряные Пруды, с. Глубокое,  д.10, кв. № 1, 2</t>
  </si>
  <si>
    <t>Московская область, городской округ Серебряные Пруды, с. Глубокое,  д.12, кв. №15</t>
  </si>
  <si>
    <t>Московская область, городской округ Серебряные Пруды, с. Глубокое,  д.13 кв.1</t>
  </si>
  <si>
    <t>Московская область, городской округ Серебряные Пруды, с. Глубокое,  д.13 кв.17</t>
  </si>
  <si>
    <t>Московская область, городской округ Серебряные Пруды, с. Глубокое,  д.14, кв.1</t>
  </si>
  <si>
    <t>Московская область, городской округ Серебряные Пруды, с. Глубокое,  д.14, кв.4</t>
  </si>
  <si>
    <t>Московская область, городской округ Серебряные Пруды, с. Глубокое,  д.14, кв.7</t>
  </si>
  <si>
    <t>Московская область, городской округ Серебряные Пруды, с. Глубокое,  д.14, кв.27</t>
  </si>
  <si>
    <t>Московская область, городской округ Серебряные Пруды, с. Глубокое,  д.20, кв.1</t>
  </si>
  <si>
    <t>Московская область, городской округ Серебряные Пруды, с. Глубокое,  д.20, кв.2</t>
  </si>
  <si>
    <t>Московская область, городской округ Серебряные Пруды, с. Глубокое,  д.20, кв.6</t>
  </si>
  <si>
    <t>Московская область, городской округ Серебряные Пруды, с. Глубокое,  д.20, кв.10</t>
  </si>
  <si>
    <t>Московская область, городской округ Серебряные Пруды, с. Глубокое,  д.20, кв.22</t>
  </si>
  <si>
    <t>Московская область, городской округ Серебряные Пруды, с. Глубокое,  д.36, кв.1</t>
  </si>
  <si>
    <t>Московская область, городской округ Серебряные Пруды, с. Глубокое,  д.36, кв.10</t>
  </si>
  <si>
    <t>Московская область, городской округ Серебряные Пруды, с. Глубокое,  д.36, кв.16</t>
  </si>
  <si>
    <t>Московская область, городской округ Серебряные Пруды, с. Глубокое,  д.36, кв.19</t>
  </si>
  <si>
    <t>Московская область, городской округ Серебряные Пруды, с. Глубокое,  д.37, кв.1</t>
  </si>
  <si>
    <t>Московская область, городской округ Серебряные Пруды, с. Глубокое,  д.37, кв.5</t>
  </si>
  <si>
    <t>Московская область, городской округ Серебряные Пруды,  д. Беляево,  д.18. кв. № 1</t>
  </si>
  <si>
    <t>Московская область, городской округ Серебряные Пруды,  д. Есипово,  д.22, кв. № 1, 2, 3, 4</t>
  </si>
  <si>
    <t>Московская область, городской округ Серебряные Пруды,  д. Есипово,  д.23, кв. №4</t>
  </si>
  <si>
    <t>Московская область, городской округ Серебряные Пруды,   п. Новоклемово,  д.12, кв. № 1, 2</t>
  </si>
  <si>
    <t>Московская область, городской округ Серебряные Пруды,   п. Новоклемово,  д.17, кв.7</t>
  </si>
  <si>
    <t>Московская область, городской округ Серебряные Пруды,   п. Новоклемово,  д.17, кв.10</t>
  </si>
  <si>
    <t>Московская область, городской округ Серебряные Пруды,   п. Новоклемово,  д.17, кв.13</t>
  </si>
  <si>
    <t>Московская область, городской округ Серебряные Пруды,   п. Новоклемово,  д.17, кв.19</t>
  </si>
  <si>
    <t>Московская область, городской округ Серебряные Пруды,   п. Новоклемово,  д.17, кв.28</t>
  </si>
  <si>
    <t>Московская область, городской округ Серебряные Пруды,   п. Новоклемово,  д.17, кв.30</t>
  </si>
  <si>
    <t>Московская область, городской округ Серебряные Пруды,   п. Новоклемово,  д.17, кв.31</t>
  </si>
  <si>
    <t>Московская область, городской округ Серебряные Пруды,   п. Новоклемово,  д.17, кв.37</t>
  </si>
  <si>
    <t>Московская область, городской округ Серебряные Пруды,   п. Новоклемово,  д.17, кв.42</t>
  </si>
  <si>
    <t>Московская область, городской округ Серебряные Пруды, пос. Новоклемово, д.18, кв.14</t>
  </si>
  <si>
    <t>Московская область, городской округ Серебряные Пруды,   п. Новоклемово,  д.19,  кв.11</t>
  </si>
  <si>
    <t>Московская область, городской округ Серебряные Пруды,   п. Новоклемово,  д.19,  кв.12</t>
  </si>
  <si>
    <t>Московская область, городской округ Серебряные Пруды,   п. Новоклемово,  д.19,  кв.20</t>
  </si>
  <si>
    <t>Московская область, городской округ Серебряные Пруды,   п. Новоклемово,  д.20, кв.4</t>
  </si>
  <si>
    <t>Московская область, городской округ Серебряные Пруды,   п. Новоклемово,  д.20, кв.6</t>
  </si>
  <si>
    <t>Московская область, городской округ Серебряные Пруды,   п. Новоклемово,  д.20, кв.11</t>
  </si>
  <si>
    <t>Московская область, городской округ Серебряные Пруды,   п. Новоклемово,  д.20, кв.12</t>
  </si>
  <si>
    <t>Московская область, городской округ Серебряные Пруды,   п. Новоклемово,  д.22,  кв.4</t>
  </si>
  <si>
    <t>Московская область, городской округ Серебряные Пруды,   п. Новоклемово,  д.22,  кв.27</t>
  </si>
  <si>
    <t>Московская область, городской округ Серебряные Пруды,   п. Новоклемово,  д.22,  кв.40</t>
  </si>
  <si>
    <t>Московская область, городской округ Серебряные Пруды,   п. Новоклемово,  д.22,  кв.46</t>
  </si>
  <si>
    <t>Московская область, городской округ Серебряные Пруды,   п. Новоклемово,  д.23, кв.7</t>
  </si>
  <si>
    <t>Московская область, городской округ Серебряные Пруды,   п. Новоклемово,  д.23, кв.16</t>
  </si>
  <si>
    <t>Московская область, городской округ Серебряные Пруды,   п. Новоклемово,  д.24, кв.9</t>
  </si>
  <si>
    <t>Московская область, городской округ Серебряные Пруды,   п. Новоклемово,  д.24, кв.13</t>
  </si>
  <si>
    <t>142958, Московская область, городской округ Серебряные Пруды п. Новоклемово, д.26, кв. 15</t>
  </si>
  <si>
    <t>Московская область, городской округ Серебряные Пруды,   п. Новоклемово,  д.27, кв.11</t>
  </si>
  <si>
    <t>Московская область, городской округ Серебряные Пруды,   п. Новоклемово,  д.27, кв.17</t>
  </si>
  <si>
    <t>Московская область, городской округ Серебряные Пруды,   п. Новоклемово,  д.63,  кв.2</t>
  </si>
  <si>
    <t>Московская область, городской округ Серебряные Пруды,   п. Новоклемово,  д.63,  кв.4</t>
  </si>
  <si>
    <t>Московская область, городской округ Серебряные Пруды,  с. Клемово,  д.55, кв.4</t>
  </si>
  <si>
    <t>Московская область, городской округ Серебряные Пруды,  с. Клемово,  д.55, кв.5</t>
  </si>
  <si>
    <t xml:space="preserve">Московская область, городской округ Серебряные Пруды,  с. Клемово,  д.61, кв. №8 </t>
  </si>
  <si>
    <t>142958, Московская область, городской округ Серебряные Пруды д. Лошатово, д.10, кв.№1</t>
  </si>
  <si>
    <t>Московская область, городской округ Серебряные Пруды,  д. Лошатово,  д.13, №3</t>
  </si>
  <si>
    <t>Московская область, городской округ Серебряные Пруды,  д. Лошатово,  д.26, кв. № 1, 3</t>
  </si>
  <si>
    <t>Московская область, городской округ Серебряные Пруды,  с. Петрово,  д.1, кв.3</t>
  </si>
  <si>
    <t>Московская область, городской округ Серебряные Пруды,  с. Петрово,  д.1, кв.8</t>
  </si>
  <si>
    <t>Московская область, городской округ Серебряные Пруды,  с. Петрово,  д.1, кв.12</t>
  </si>
  <si>
    <t>Московская область, городской округ Серебряные Пруды,  с. Петрово,  д.2 , кв.11</t>
  </si>
  <si>
    <t>Московская область, городской округ Серебряные Пруды,  с. Петрово,  д.2 , кв.12</t>
  </si>
  <si>
    <t>Московская область, городской округ Серебряные Пруды,  с. Петрово,  д.3, кв.3</t>
  </si>
  <si>
    <t>Московская область, городской округ Серебряные Пруды,  с. Петрово,  д.3, кв.4</t>
  </si>
  <si>
    <t>Московская область, городской округ Серебряные Пруды,  с. Петрово,  д.3, кв.10</t>
  </si>
  <si>
    <t>Московская область, городской округ Серебряные Пруды,  с. Петрово,  д.4, кв.1</t>
  </si>
  <si>
    <t>Московская область, городской округ Серебряные Пруды,  с. Петрово,  д.4, кв.6</t>
  </si>
  <si>
    <t>Московская область, городской округ Серебряные Пруды,  с. Петрово,  д.4, кв.7</t>
  </si>
  <si>
    <t>Московская область, городской округ Серебряные Пруды,  с. Петрово,  д.4, кв.9</t>
  </si>
  <si>
    <t>Московская область, городской округ Серебряные Пруды,  с. Петрово,  д.4, кв.10</t>
  </si>
  <si>
    <t>Московская область, городской округ Серебряные Пруды,  с. Петрово,  д.4, кв.12</t>
  </si>
  <si>
    <t>Московская область, городской округ Серебряные Пруды,  с. Петрово,  д.4, кв.13</t>
  </si>
  <si>
    <t>Московская область, городской округ Серебряные Пруды,  с. Петрово,  д.4, кв.16</t>
  </si>
  <si>
    <t>Московская область, городской округ Серебряные Пруды,  с. Петрово,  д.5, кв.1</t>
  </si>
  <si>
    <t>Московская область, городской округ Серебряные Пруды,  с. Петрово,  д.5, кв.9</t>
  </si>
  <si>
    <t>Московская область, городской округ Серебряные Пруды,  с. Петрово,  д.5, кв.15</t>
  </si>
  <si>
    <t>Московская область, городской округ Серебряные Пруды,  с. Петрово,  д.5, кв.16</t>
  </si>
  <si>
    <t>Московская область, городской округ Серебряные Пруды,  с. Петрово,  д.5, кв.24</t>
  </si>
  <si>
    <t>Московская область, городской округ Серебряные Пруды,  с. Петрово,  д.6, кв.1</t>
  </si>
  <si>
    <t>Московская область, городской округ Серебряные Пруды,  с. Петрово,  д.6, кв.4</t>
  </si>
  <si>
    <t>Московская область, городской округ Серебряные Пруды,  с. Петрово,  д.6, кв.10</t>
  </si>
  <si>
    <t>Московская область, городской округ Серебряные Пруды,  с. Петрово,  д.6, кв.11</t>
  </si>
  <si>
    <t>Московская область, городской округ Серебряные Пруды,  с. Петрово,  д.7, кв. №5</t>
  </si>
  <si>
    <t>Московская область, городской округ Серебряные Пруды,  с. Петрово,  д.8, кв.1</t>
  </si>
  <si>
    <t>Московская область, городской округ Серебряные Пруды,  с. Петрово,  д.8, кв.5</t>
  </si>
  <si>
    <t>Московская область, городской округ Серебряные Пруды,  с. Петрово,  д.8, кв.6</t>
  </si>
  <si>
    <t>Московская область, городской округ Серебряные Пруды,  с. Петрово,  д.8, кв.11</t>
  </si>
  <si>
    <t>Московская область, городской округ Серебряные Пруды,  с. Петрово,  д.8, кв.25</t>
  </si>
  <si>
    <t>Московская область, городской округ Серебряные Пруды,  с. Петрово,  д.8, кв.27</t>
  </si>
  <si>
    <t>Московская область, городской округ Серебряные Пруды,  с. Петрово,  д.9, кв.2</t>
  </si>
  <si>
    <t>Московская область, городской округ Серебряные Пруды,  с. Петрово,  д.9, кв.4</t>
  </si>
  <si>
    <t>Московская область, городской округ Серебряные Пруды,  с. Петрово,  д.9, кв.5</t>
  </si>
  <si>
    <t>Московская область, городской округ Серебряные Пруды,  с. Петрово,  д.9, кв.16</t>
  </si>
  <si>
    <t>Московская область, городской округ Серебряные Пруды,  с. Петрово,  д.9, кв.20</t>
  </si>
  <si>
    <t>Московская область, городской округ Серебряные Пруды,  с. Петрово,  д.9, кв.21</t>
  </si>
  <si>
    <t>Московская область, городской округ Серебряные Пруды,  с. Петрово,  д.9, кв.24</t>
  </si>
  <si>
    <t>Московская область, городской округ Серебряные Пруды,  с. Петрово,  д.10, кв.1</t>
  </si>
  <si>
    <t>Московская область, городской округ Серебряные Пруды,  с. Петрово,  д.10, кв.4</t>
  </si>
  <si>
    <t>Московская область, городской округ Серебряные Пруды,  с. Петрово,  д.10, кв.7</t>
  </si>
  <si>
    <t>Московская область, городской округ Серебряные Пруды,  с. Петрово,  д.10, кв.19</t>
  </si>
  <si>
    <t>Московская область, городской округ Серебряные Пруды,  с. Петрово,  д.10, кв.20</t>
  </si>
  <si>
    <t>Московская область, городской округ Серебряные Пруды,  с. Петрово,  д.10, кв.23</t>
  </si>
  <si>
    <t>142965, Московская область, городской округ Серебряные Пруды с. Петрово, д.10, кв. 26</t>
  </si>
  <si>
    <t>Московская область, городской округ Серебряные Пруды,  с. Петрово,  д.11, кв.5</t>
  </si>
  <si>
    <t>Московская область, городской округ Серебряные Пруды,  с. Петрово,  д.11, кв.6</t>
  </si>
  <si>
    <t>Московская область, городской округ Серебряные Пруды,  с. Петрово,  д.11, кв.7</t>
  </si>
  <si>
    <t>Московская область, городской округ Серебряные Пруды,  с. Петрово,  д.11, кв.16</t>
  </si>
  <si>
    <t>Московская область, городской округ Серебряные Пруды,  с. Петрово,  д.12, кв.2</t>
  </si>
  <si>
    <t>Московская область, городской округ Серебряные Пруды,  с. Петрово,  д.14, кв.2</t>
  </si>
  <si>
    <t>Московская область, городской округ Серебряные Пруды,  с. Петрово,  д.15, кв. № 1, 2</t>
  </si>
  <si>
    <t>Московская область, городской округ Серебряные Пруды,  с. Петрово,  д.17, кв. № 1, 2</t>
  </si>
  <si>
    <t>Московская область, городской округ Серебряные Пруды,  с. Петрово,  д.19, кв. №1</t>
  </si>
  <si>
    <t xml:space="preserve">Московская область, городской округ Серебряные Пруды,  с. Петрово,  д.52, кв. № 1, 2 </t>
  </si>
  <si>
    <t>Московская область, городской округ Серебряные Пруды,  с. Петрово,  д.54, кв. №1</t>
  </si>
  <si>
    <t>Московская область, городской округ Серебряные Пруды,  с. Петрово,  д.60, № 1</t>
  </si>
  <si>
    <t>Московская область, городской округ Серебряные Пруды,  с. Петрово,  д.61, кв. № 2</t>
  </si>
  <si>
    <t>Московская область, городской округ Серебряные Пруды,  д. Новомойгоры,  д.2. кв. № 1</t>
  </si>
  <si>
    <t>Московская область, городской округ Серебряные Пруды,  д. Новомойгоры,  д.21, кв. №2</t>
  </si>
  <si>
    <t>Московская область, городской округ Серебряные Пруды,  д. Новомойгоры,  д.22. кв. №1</t>
  </si>
  <si>
    <t>Московская область, городской округ Серебряные Пруды,  д. Новомойгоры,  д.23, кв. №1, 2</t>
  </si>
  <si>
    <t>Московская область, городской округ Серебряные Пруды,  д. Новомойгоры,  д.25, кв. № 1, 2</t>
  </si>
  <si>
    <t>Московская область, городской округ Серебряные Пруды,  д. Новомойгоры,  д.32. кв. №1</t>
  </si>
  <si>
    <t>Московская область, городской округ Серебряные Пруды,  д. Боршово,  д.32, кв. № 2</t>
  </si>
  <si>
    <t>Московская область, городской округ Серебряные Пруды,  д. Боршово,  д.33, кв. № 1, 2</t>
  </si>
  <si>
    <t>Московская область, городской округ Серебряные Пруды,  д. Боршово,  д.39, кв. №1</t>
  </si>
  <si>
    <t>Московская область, городской округ Серебряные Пруды,  д. Скородня,  д.17, кв. № 1, 2</t>
  </si>
  <si>
    <t>Московская область, городской округ Серебряные Пруды,  д.Кузьминка,  д.1, кв.8</t>
  </si>
  <si>
    <t>Московская область, городской округ Серебряные Пруды,  д.Кузьминка,  д.1, кв.12</t>
  </si>
  <si>
    <t>142965, Московская область, городской округ Серебряные Пруды  д. Кузьминка, д.1, кв. 14</t>
  </si>
  <si>
    <t>Московская область, городской округ Серебряные Пруды,  д.Кузьминка,  д.1, кв.31</t>
  </si>
  <si>
    <t>Московская область, городской округ Серебряные Пруды,  д.Кузьминка,  д.1, кв.32</t>
  </si>
  <si>
    <t>Московская область, городской округ Серебряные Пруды,  д.Кузьминка,  д.1, кв.33</t>
  </si>
  <si>
    <t>Московская область, городской округ Серебряные Пруды,  д.Кузьминка,  д.1, кв.34</t>
  </si>
  <si>
    <t>Московская область, городской округ Серебряные Пруды,  д.Кузьминка,  д.1, кв.40</t>
  </si>
  <si>
    <t>Московская область, городской округ Серебряные Пруды,  д.Кузьминка,  д.1, кв.45</t>
  </si>
  <si>
    <t>Московская область, городской округ Серебряные Пруды,  д.Кузьминка,  д.1, кв.56</t>
  </si>
  <si>
    <t>Московская область, городской округ Серебряные Пруды,  д.Кузьминка,  д.1, кв.59</t>
  </si>
  <si>
    <t>Московская область, городской округ Серебряные Пруды,  с. Крутое,  д.2, кв.1</t>
  </si>
  <si>
    <t>Московская область, городской округ Серебряные Пруды,  с. Крутое,  д.2, кв.4</t>
  </si>
  <si>
    <t>Московская область, городской округ Серебряные Пруды,  с. Крутое,  д.2, кв.7</t>
  </si>
  <si>
    <t>Московская область, городской округ Серебряные Пруды,  с. Крутое,  д.2, кв.8</t>
  </si>
  <si>
    <t>Московская область, городской округ Серебряные Пруды,  с. Крутое,  д.2, кв.9</t>
  </si>
  <si>
    <t>Московская область, городской округ Серебряные Пруды,  с. Крутое,  д.2, кв.11</t>
  </si>
  <si>
    <t>Московская область, городской округ Серебряные Пруды,  с. Крутое,  д.2, кв.16</t>
  </si>
  <si>
    <t>Московская область, городской округ Серебряные Пруды,  с. Крутое,  д.4, кв.2</t>
  </si>
  <si>
    <t>Московская область, городской округ Серебряные Пруды,  с. Крутое,  д.4, кв.17</t>
  </si>
  <si>
    <t>Московская область, городской округ Серебряные Пруды,  с. Крутое,  д.6, кв.5</t>
  </si>
  <si>
    <t>Московская область, городской округ Серебряные Пруды,  с. Крутое,  д.6, кв.15</t>
  </si>
  <si>
    <t>Московская область, городской округ Серебряные Пруды,  с. Крутое,  д.8, кв.13</t>
  </si>
  <si>
    <t>Московская область, городской округ Серебряные Пруды,  с. Крутое,  д.8, кв.14</t>
  </si>
  <si>
    <t>Московская область, городской округ Серебряные Пруды,  с. Крутое,  д.12, кв.1</t>
  </si>
  <si>
    <t>Московская область, городской округ Серебряные Пруды,  с. Крутое,  д.12, кв.2</t>
  </si>
  <si>
    <t>Московская область, городской округ Серебряные Пруды,  с. Крутое,  д.12, кв.3</t>
  </si>
  <si>
    <t>Московская область, городской округ Серебряные Пруды,  с. Крутое,  д.12, кв.4</t>
  </si>
  <si>
    <t>Московская область, городской округ Серебряные Пруды,  с. Крутое,  д.12, кв.5</t>
  </si>
  <si>
    <t>Московская область, городской округ Серебряные Пруды,  с. Крутое,  д.12, кв.6</t>
  </si>
  <si>
    <t>Московская область, городской округ Серебряные Пруды,  с. Крутое,  д.12, кв.7</t>
  </si>
  <si>
    <t>Московская область, городской округ Серебряные Пруды,  с. Крутое,  д.12, кв.8</t>
  </si>
  <si>
    <t>Московская область, городской округ Серебряные Пруды,  с. Крутое,  д.12, кв.9</t>
  </si>
  <si>
    <t>Московская область, городской округ Серебряные Пруды,  с. Крутое,  д.12, кв.10</t>
  </si>
  <si>
    <t>Московская область, городской округ Серебряные Пруды,  с. Крутое,  д.12, кв.11</t>
  </si>
  <si>
    <t>Московская область, городской округ Серебряные Пруды,  с. Крутое,  д.12, кв.12</t>
  </si>
  <si>
    <t>Московская область, городской округ Серебряные Пруды,  с. Крутое,  д.15, кв.1</t>
  </si>
  <si>
    <t>Московская область, городской округ Серебряные Пруды,  с. Крутое,  д.15, кв.5</t>
  </si>
  <si>
    <t>Московская область, городской округ Серебряные Пруды,  с. Крутое,  д.15, кв.8</t>
  </si>
  <si>
    <t>Московская область, городской округ Серебряные Пруды,  с. Крутое,  д.15, кв.9</t>
  </si>
  <si>
    <t>Московская область, городской округ Серебряные Пруды,  с. Крутое,  д.15, кв.15</t>
  </si>
  <si>
    <t>Московская область, городской округ Серебряные Пруды,  с. Крутое,  д.15, кв.16</t>
  </si>
  <si>
    <t>Московская область, городской округ Серебряные Пруды,  с. Крутое,  д.19, кв.1</t>
  </si>
  <si>
    <t>Московская область, городской округ Серебряные Пруды,  с. Крутое,  д.19, кв.2</t>
  </si>
  <si>
    <t>Московская область, городской округ Серебряные Пруды,  с. Крутое,  д.19, кв.4</t>
  </si>
  <si>
    <t>Московская область, городской округ Серебряные Пруды,  с. Крутое,  д.19, кв.5</t>
  </si>
  <si>
    <t>Московская область, городской округ Серебряные Пруды,  с. Крутое,  д.19, кв.12</t>
  </si>
  <si>
    <t>Московская область, городской округ Серебряные Пруды,  с. Крутое,  д.22, кв.7</t>
  </si>
  <si>
    <t>Московская область, городской округ Серебряные Пруды,  с. Крутое,  д.25, кв. 4</t>
  </si>
  <si>
    <t>Московская область, городской округ Серебряные Пруды,  с. Крутое,  д.42, кв.5</t>
  </si>
  <si>
    <t>Московская область, городской округ Серебряные Пруды,  с. Крутое,  д.42, кв.7</t>
  </si>
  <si>
    <t>Московская область, городской округ Серебряные Пруды,  с. Крутое,  д.42, кв.10</t>
  </si>
  <si>
    <t>Московская область, городской округ Серебряные Пруды,  с. Крутое,  д.42, кв.13</t>
  </si>
  <si>
    <t>Московская область, городской округ Серебряные Пруды,  с. Крутое,  д.42, кв.16</t>
  </si>
  <si>
    <t xml:space="preserve"> Московская область, городской округ Серебряные Пруды, п. Успенский дом  №2,ул.Заводская, кв.5</t>
  </si>
  <si>
    <t xml:space="preserve"> Московская область, городской округ Серебряные Пруды, п. Успенский дом  №5,ул.Заводская, кв.8</t>
  </si>
  <si>
    <t xml:space="preserve"> Московская область, городской округ Серебряные Пруды, п. Успенский дом  №6,ул.Заводская, кв.1</t>
  </si>
  <si>
    <t xml:space="preserve"> Московская область, городской округ Серебряные Пруды, п. Успенский дом  №1,ул.Заводская, кв.3</t>
  </si>
  <si>
    <t xml:space="preserve"> Московская область, городской округ Серебряные Пруды, п. Успенский дом  №2,ул.Заводская, кв.9</t>
  </si>
  <si>
    <t xml:space="preserve"> Московская область, городской округ Серебряные Пруды, п. Успенский дом  №6,ул.Заводская, кв.5</t>
  </si>
  <si>
    <t xml:space="preserve"> Московская область, городской округ Серебряные Пруды, п. Успенский дом  №6,ул.Заводская, кв.6</t>
  </si>
  <si>
    <t xml:space="preserve"> Московская область, городской округ Серебряные Пруды, п. Успенский дом  №7, ул.Запрудная, кв.9</t>
  </si>
  <si>
    <t xml:space="preserve"> Московская область, городской округ Серебряные Пруды, п. Успенский дом  №11, ул.Запрудная, кв.4</t>
  </si>
  <si>
    <t xml:space="preserve"> Московская область, городской округ Серебряные Пруды, п. Успенский дом  №12, ул.Запрудная, кв.24</t>
  </si>
  <si>
    <t xml:space="preserve"> Московская область, городской округ Серебряные Пруды, п. Успенский дом  №9, ул.Запрудная, кв.11</t>
  </si>
  <si>
    <t xml:space="preserve"> Московская область, городской округ Серебряные Пруды, п. Успенский дом  №5, ул.Запрудная, кв.3</t>
  </si>
  <si>
    <t xml:space="preserve"> Московская область, городской округ Серебряные Пруды, п. Успенский дом  №7, ул.Запрудная, кв.16</t>
  </si>
  <si>
    <t xml:space="preserve"> Московская область, городской округ Серебряные Пруды, п. Успенский дом  №7, ул.Запрудная, кв.17</t>
  </si>
  <si>
    <t xml:space="preserve"> Московская область, городской округ Серебряные Пруды, п. Успенский дом  №9, ул.Запрудная, кв.17</t>
  </si>
  <si>
    <t xml:space="preserve"> Московская область, городской округ Серебряные Пруды, п. Успенский дом  №9, ул.Запрудная, кв.18</t>
  </si>
  <si>
    <t xml:space="preserve"> Московская область, городской округ Серебряные Пруды, п. Успенский дом  №11, ул.Запрудная, кв.17</t>
  </si>
  <si>
    <t xml:space="preserve"> Московская область, городской округ Серебряные Пруды, п. Успенский дом  №12, ул.Запрудная, кв.26</t>
  </si>
  <si>
    <t xml:space="preserve"> Московская область, городской округ Серебряные Пруды, п. Успенский дом  №12, ул.Запрудная, кв.27</t>
  </si>
  <si>
    <t xml:space="preserve"> Московская область, городской округ Серебряные Пруды, п. Успенский дом  №7 ул. Запрудная, кв.22</t>
  </si>
  <si>
    <t xml:space="preserve"> Московская область, городской округ Серебряные Пруды, п. Успенский дом  №2 ул.Советская, кв.1</t>
  </si>
  <si>
    <t xml:space="preserve"> Московская область, городской округ Серебряные Пруды, п. Успенский дом  №3 ул.Советская, кв.2</t>
  </si>
  <si>
    <t xml:space="preserve"> Московская область, городской округ Серебряные Пруды, п. Успенский дом  №4 ул.Советская, кв.1</t>
  </si>
  <si>
    <t xml:space="preserve"> Московская область, городской округ Серебряные Пруды, п. Успенский дом  №10 ул.Советская, кв.14</t>
  </si>
  <si>
    <t xml:space="preserve"> Московская область, городской округ Серебряные Пруды, п. Успенский дом  №11 ул.Советская, кв.10</t>
  </si>
  <si>
    <t xml:space="preserve"> Московская область, городской округ Серебряные Пруды, п. Успенский дом  №12 ул.Советская, кв.4</t>
  </si>
  <si>
    <t xml:space="preserve"> Московская область, городской округ Серебряные Пруды, п. Успенский дом  №13 ул.Советская, кв.1</t>
  </si>
  <si>
    <t xml:space="preserve"> Московская область, городской округ Серебряные Пруды, п. Успенский дом  №1 ул.Советская, кв.8</t>
  </si>
  <si>
    <t xml:space="preserve"> Московская область, городской округ Серебряные Пруды, п. Успенский дом  №1 ул.Советская, кв.10</t>
  </si>
  <si>
    <t xml:space="preserve"> Московская область, городской округ Серебряные Пруды, п. Успенский дом  №1 ул.Советская, кв.15</t>
  </si>
  <si>
    <t xml:space="preserve"> Московская область, городской округ Серебряные Пруды, п. Успенский дом  №2 ул.Советская, кв.4</t>
  </si>
  <si>
    <t xml:space="preserve"> Московская область, городской округ Серебряные Пруды, п. Успенский дом  №2 ул.Советская, кв.5</t>
  </si>
  <si>
    <t xml:space="preserve"> Московская область, городской округ Серебряные Пруды, п. Успенский дом  №2 ул.Советская, кв.6</t>
  </si>
  <si>
    <t xml:space="preserve"> Московская область, городской округ Серебряные Пруды, п. Успенский дом  №2 ул.Советская, кв.7.</t>
  </si>
  <si>
    <t xml:space="preserve"> Московская область, городской округ Серебряные Пруды, п. Успенский дом  №3 ул.Советская, кв.4</t>
  </si>
  <si>
    <t xml:space="preserve"> Московская область, городской округ Серебряные Пруды, п. Успенский дом  №3 ул.Советская, кв.6</t>
  </si>
  <si>
    <t xml:space="preserve"> Московская область, городской округ Серебряные Пруды, п. Успенский дом  №4 ул.Советская, кв.3</t>
  </si>
  <si>
    <t xml:space="preserve"> Московская область, городской округ Серебряные Пруды, п. Успенский дом  №10 ул.Советская, кв.19</t>
  </si>
  <si>
    <t xml:space="preserve"> Московская область, городской округ Серебряные Пруды, п. Успенский дом  №10 ул.Советская, кв.39</t>
  </si>
  <si>
    <t xml:space="preserve"> Московская область, городской округ Серебряные Пруды, п. Успенский дом  №11 ул.Советская, кв.13</t>
  </si>
  <si>
    <t xml:space="preserve"> Московская область, городской округ Серебряные Пруды, п. Успенский дом  №11 ул.Советская, кв.27</t>
  </si>
  <si>
    <t xml:space="preserve"> Московская область, городской округ Серебряные Пруды, п. Успенский дом  №11 ул.Советская, кв.30</t>
  </si>
  <si>
    <t xml:space="preserve"> Московская область, городской округ Серебряные Пруды, п. Успенский дом  №11 ул.Советская, кв.42</t>
  </si>
  <si>
    <t xml:space="preserve"> Московская область, городской округ Серебряные Пруды, п. Успенский дом  №11 ул.Советская, кв.46</t>
  </si>
  <si>
    <t xml:space="preserve"> Московская область, городской округ Серебряные Пруды, п. Успенский дом  №11 ул.Советская, кв.54</t>
  </si>
  <si>
    <t xml:space="preserve"> Московская область, городской округ Серебряные Пруды, п. Успенский дом  №11 ул.Советская, кв.57</t>
  </si>
  <si>
    <t xml:space="preserve"> Московская область, городской округ Серебряные Пруды, п. Успенский дом  №11 ул.Советская, кв.59</t>
  </si>
  <si>
    <t xml:space="preserve"> Московская область, городской округ Серебряные Пруды, п. Успенский дом  №12 ул.Советская, кв.30</t>
  </si>
  <si>
    <t xml:space="preserve"> Московская область, городской округ Серебряные Пруды, п. Успенский дом  №12 ул.Советская, кв.32</t>
  </si>
  <si>
    <t xml:space="preserve"> Московская область, городской округ Серебряные Пруды, п. Успенский дом  №12 ул.Советская, кв.33</t>
  </si>
  <si>
    <t xml:space="preserve"> Московская область, городской округ Серебряные Пруды, п. Успенский дом  №12 ул.Советская, кв.36</t>
  </si>
  <si>
    <t xml:space="preserve"> Московская область, городской округ Серебряные Пруды, п. Успенский дом  №12 ул.Советская, кв.40</t>
  </si>
  <si>
    <t xml:space="preserve"> Московская область, городской округ Серебряные Пруды, п. Успенский дом  №12 ул.Советская, кв.46</t>
  </si>
  <si>
    <t xml:space="preserve"> Московская область, городской округ Серебряные Пруды, п. Успенский дом  №12 ул.Советская, кв.51</t>
  </si>
  <si>
    <t xml:space="preserve"> Московская область, городской округ Серебряные Пруды, п. Успенский дом  №12 ул.Советская, кв.60</t>
  </si>
  <si>
    <t xml:space="preserve"> Московская область, городской округ Серебряные Пруды, п. Успенский дом  №13 ул.Советская, кв.4</t>
  </si>
  <si>
    <t xml:space="preserve"> Московская область, городской округ Серебряные Пруды, п. Успенский дом  №13 ул.Советская, кв.13</t>
  </si>
  <si>
    <t xml:space="preserve"> Московская область, городской округ Серебряные Пруды, п. Успенский дом  №13 ул.Советская, кв.17</t>
  </si>
  <si>
    <t xml:space="preserve"> Московская область, городской округ Серебряные Пруды, п. Успенский дом  №13 ул.Советская, кв.21</t>
  </si>
  <si>
    <t xml:space="preserve"> Московская область, городской округ Серебряные Пруды, п. Успенский дом  №13 ул.Советская, кв.57</t>
  </si>
  <si>
    <t xml:space="preserve"> Московская область, городской округ Серебряные Пруды, п. Успенский дом  №13 ул.Советская, кв.59</t>
  </si>
  <si>
    <t xml:space="preserve"> Московская область, городской округ Серебряные Пруды, п. Успенский дом  №2 ул.Луговая, кв.7</t>
  </si>
  <si>
    <t xml:space="preserve"> Московская область, городской округ Серебряные Пруды, п. Успенский дом  №6 ул.Луговая, кв.7</t>
  </si>
  <si>
    <t xml:space="preserve"> Московская область, городской округ Серебряные Пруды, п. Успенский дом  №8 ул.Луговая, кв.4</t>
  </si>
  <si>
    <t xml:space="preserve"> Московская область, городской округ Серебряные Пруды, п. Успенский дом  №6 ул.Луговая, кв.15</t>
  </si>
  <si>
    <t xml:space="preserve"> Московская область, городской округ Серебряные Пруды, п. Успенский дом  №6 ул.Луговая, кв.24</t>
  </si>
  <si>
    <t xml:space="preserve"> Московская область, городской округ Серебряные Пруды, п. Успенский дом  №6 ул.Луговая, кв.32</t>
  </si>
  <si>
    <t xml:space="preserve"> Московская область, городской округ Серебряные Пруды, п. Успенский дом  №6 ул.Луговая, кв.48</t>
  </si>
  <si>
    <t xml:space="preserve"> Московская область, городской округ Серебряные Пруды, п. Успенский дом  №8 ул.Луговая, кв.18</t>
  </si>
  <si>
    <t xml:space="preserve"> Московская область, городской округ Серебряные Пруды, п. Успенский дом  №8 ул.Луговая, кв.24</t>
  </si>
  <si>
    <t xml:space="preserve"> Московская область, городской округ Серебряные Пруды, п. Успенский дом  №8 ул.Луговая, кв.30</t>
  </si>
  <si>
    <t xml:space="preserve"> Московская область, городской округ Серебряные Пруды, п. Успенский дом  №8 ул.Луговая, кв.36</t>
  </si>
  <si>
    <t xml:space="preserve"> Московская область, городской округ Серебряные Пруды, п. Успенский дом  №8 ул.Луговая, кв.40</t>
  </si>
  <si>
    <t xml:space="preserve"> Московская область, городской округ Серебряные Пруды, п. Успенский дом  №8 ул.Луговая, кв.56</t>
  </si>
  <si>
    <t xml:space="preserve"> Московская область, городской округ Серебряные Пруды, п. Успенский дом  №8 ул.Луговая, кв.58</t>
  </si>
  <si>
    <t xml:space="preserve"> Московская область, городской округ Серебряные Пруды, п. Успенский дом  №8 ул.Луговая, кв.60</t>
  </si>
  <si>
    <t xml:space="preserve"> Московская область, городской округ Серебряные Пруды, п. Успенский дом  №2 ул.50 Лет Октября, кв.8</t>
  </si>
  <si>
    <t xml:space="preserve"> Московская область, городской округ Серебряные Пруды, п. Успенский дом  №3 ул.50 Лет Октября, кв.2</t>
  </si>
  <si>
    <t xml:space="preserve"> Московская область, городской округ Серебряные Пруды, п. Успенский дом  №4 ул.50 Лет Октября, кв.8</t>
  </si>
  <si>
    <t xml:space="preserve"> Московская область, городской округ Серебряные Пруды, п. Успенский дом  №5 ул.50 Лет Октября, кв.2</t>
  </si>
  <si>
    <t xml:space="preserve"> Московская область, городской округ Серебряные Пруды, п. Успенский дом  №6 ул.50 Лет Октября, кв.1</t>
  </si>
  <si>
    <t xml:space="preserve"> Московская область, городской округ Серебряные Пруды, п. Успенский дом  №7 ул.50 Лет Октября, кв.2</t>
  </si>
  <si>
    <t xml:space="preserve"> Московская область, городской округ Серебряные Пруды, п. Успенский дом  №8 ул.50 Лет Октября, кв. 1</t>
  </si>
  <si>
    <t xml:space="preserve"> Московская область, городской округ Серебряные Пруды, п. Успенский дом  №9 ул.50 Лет Октября, кв.4</t>
  </si>
  <si>
    <t xml:space="preserve"> Московская область, городской округ Серебряные Пруды, п. Успенский дом  №6 ул.50 Лет Октября, кв.20</t>
  </si>
  <si>
    <t xml:space="preserve"> Московская область, городской округ Серебряные Пруды, п. Успенский дом  №2 ул.50 Лет Октября, кв.10</t>
  </si>
  <si>
    <t xml:space="preserve"> Московская область, городской округ Серебряные Пруды, п. Успенский дом  №2 ул.50 Лет Октября, кв.11</t>
  </si>
  <si>
    <t xml:space="preserve"> Московская область, городской округ Серебряные Пруды, п. Успенский дом  №3 ул.50 Лет Октября, кв.5</t>
  </si>
  <si>
    <t xml:space="preserve"> Московская область, городской округ Серебряные Пруды, п. Успенский дом  №3 ул.50 Лет Октября, кв.9</t>
  </si>
  <si>
    <t xml:space="preserve"> Московская область, городской округ Серебряные Пруды, п. Успенский дом  №3 ул.50 Лет Октября, кв.10</t>
  </si>
  <si>
    <t xml:space="preserve"> Московская область, городской округ Серебряные Пруды, п. Успенский дом  №5 ул.50 Лет Октября, кв.19</t>
  </si>
  <si>
    <t xml:space="preserve"> Московская область, городской округ Серебряные Пруды, п. Успенский дом  №6 ул.50 Лет Октября, кв.14</t>
  </si>
  <si>
    <t xml:space="preserve"> Московская область, городской округ Серебряные Пруды, п. Успенский дом  №7 ул.50 Лет Октября, кв.3</t>
  </si>
  <si>
    <t xml:space="preserve"> Московская область, городской округ Серебряные Пруды, п. Успенский дом  №7 ул.50 Лет Октября, кв.16</t>
  </si>
  <si>
    <t xml:space="preserve"> Московская область, городской округ Серебряные Пруды, п. Успенский дом  №8 ул.50 Лет Октября, кв. 11</t>
  </si>
  <si>
    <t xml:space="preserve"> Московская область, городской округ Серебряные Пруды, п. Успенский дом  №8 ул.50 Лет Октября, кв. 13</t>
  </si>
  <si>
    <t xml:space="preserve"> Московская область, городской округ Серебряные Пруды, п. Успенский дом  №8 ул.50 Лет Октября, кв. 17</t>
  </si>
  <si>
    <t xml:space="preserve"> Московская область, городской округ Серебряные Пруды, п. Успенский дом  №9 ул.50 Лет Октября, кв.17</t>
  </si>
  <si>
    <t xml:space="preserve"> Московская область, городской округ Серебряные Пруды, п. Успенский дом  №9 ул.50 Лет Октября, кв.18</t>
  </si>
  <si>
    <t xml:space="preserve"> Московская область, городской округ Серебряные Пруды, п. Успенский дом  №9 ул.50 Лет Октября, кв.19</t>
  </si>
  <si>
    <t xml:space="preserve"> Московская область, городской округ Серебряные Пруды, п. Успенский дом  №1 А ул.Садовая  кв.10</t>
  </si>
  <si>
    <t xml:space="preserve"> Московская область, городской округ Серебряные Пруды, п. Успенский дом  №2 ул.Садовая  кв.1</t>
  </si>
  <si>
    <t xml:space="preserve"> Московская область, городской округ Серебряные Пруды, п. Успенский дом  №4 ул.Садовая  кв.2</t>
  </si>
  <si>
    <t xml:space="preserve"> Московская область, городской округ Серебряные Пруды, п. Успенский дом  №2 ул.Садовая, кв.30</t>
  </si>
  <si>
    <t xml:space="preserve"> Московская область, городской округ Серебряные Пруды, п. Успенский дом  №1 А ул.Садовая  кв.,11</t>
  </si>
  <si>
    <t xml:space="preserve"> Московская область, городской округ Серебряные Пруды, п. Успенский дом  №2 ул.Садовая  кв.23</t>
  </si>
  <si>
    <t xml:space="preserve"> Московская область, городской округ Серебряные Пруды, п. Успенский дом  №2 ул.Садовая  кв.29</t>
  </si>
  <si>
    <t xml:space="preserve"> Московская область, городской округ Серебряные Пруды, п. Успенский дом  №2 ул.Садовая  кв.32</t>
  </si>
  <si>
    <t xml:space="preserve"> Московская область, городской округ Серебряные Пруды, п. Успенский дом  №2 ул.Садовая  кв.35</t>
  </si>
  <si>
    <t xml:space="preserve"> Московская область, городской округ Серебряные Пруды, п. Успенский дом  №4 ул.Садовая  кв.10</t>
  </si>
  <si>
    <t xml:space="preserve"> Московская область, городской округ Серебряные Пруды, п. Успенский дом  №4 ул.Садовая  кв.11</t>
  </si>
  <si>
    <t xml:space="preserve"> Московская область, городской округ Серебряные Пруды, п. Успенский дом  №4 ул.Садовая  кв.12</t>
  </si>
  <si>
    <t xml:space="preserve"> Московская область, городской округ Серебряные Пруды, п. Успенский дом  №4 ул.Садовая  кв.27</t>
  </si>
  <si>
    <t xml:space="preserve"> Московская область, городской округ Серебряные Пруды, п. Успенский дом  №4 ул.Садовая  кв.36</t>
  </si>
  <si>
    <t xml:space="preserve"> Московская область, городской округ Серебряные Пруды, п. Успенский дом  №4 ул.Садовая  кв.39</t>
  </si>
  <si>
    <t xml:space="preserve"> Московская область, городской округ Серебряные Пруды, п. Успенский дом  №4 ул.Садовая  кв.42</t>
  </si>
  <si>
    <t xml:space="preserve"> Московская область, городской округ Серебряные Пруды, п. Успенский дом  №4 ул.Садовая  кв.46</t>
  </si>
  <si>
    <t xml:space="preserve"> Московская область, городской округ Серебряные Пруды, д.Красновские Выселки,  дом №5,ул.Центральная, кв.1</t>
  </si>
  <si>
    <t xml:space="preserve"> Московская область, городской округ Серебряные Пруды, д.Красновские Выселки,  дом №15 , ул.Центральная, кв.1</t>
  </si>
  <si>
    <t xml:space="preserve"> Московская область, городской округ Серебряные Пруды, д.Красновские Выселки,  дом №19, ул.Центральная, кв.1</t>
  </si>
  <si>
    <t xml:space="preserve"> Московская область, городской округ Серебряные Пруды, д.Красновские Выселки,  дом №3, ул.Школьная, кв.1</t>
  </si>
  <si>
    <t xml:space="preserve"> Московская область, городской округ Серебряные Пруды, д.Красновские Выселки,  дом №5, ул.Школьная, кв.7</t>
  </si>
  <si>
    <t xml:space="preserve"> Московская область, городской округ Серебряные Пруды, д.Красновские Выселки,  дом №8, ул.Школьная, кв.2</t>
  </si>
  <si>
    <t xml:space="preserve"> Московская область, городской округ Серебряные Пруды, д.Красновские Выселки,  дом №10, ул.Школьная, кв.1</t>
  </si>
  <si>
    <t xml:space="preserve"> Московская область, городской округ Серебряные Пруды, д.Красновские Выселки,  дом №11, ул.Школьная, кв.1</t>
  </si>
  <si>
    <t xml:space="preserve"> Московская область, городской округ Серебряные Пруды, д.Красновские Выселки,  дом №13, ул.Школьная, кв.1</t>
  </si>
  <si>
    <t xml:space="preserve"> Московская область, городской округ Серебряные Пруды, д.Красновские Выселки,  дом №5, ул.Школьная, кв.11</t>
  </si>
  <si>
    <t xml:space="preserve"> Московская область, городской округ Серебряные Пруды, д.Красновские Выселки,  дом №5, ул.Школьная, кв.14</t>
  </si>
  <si>
    <t xml:space="preserve"> Московская область, городской округ Серебряные Пруды, д.Красновские Выселки,  дом №10, ул.Школьная, кв.2</t>
  </si>
  <si>
    <t xml:space="preserve"> Московская область, городской округ Серебряные Пруды, д.Красновские Выселки,  дом №10, ул.Школьная, кв.3</t>
  </si>
  <si>
    <t xml:space="preserve"> Московская область, городской округ Серебряные Пруды, д.Красновские Выселки,  дом №10, ул.Школьная, кв.4</t>
  </si>
  <si>
    <t xml:space="preserve"> Московская область, городской округ Серебряные Пруды, д.Красновские Выселки,  дом №10, ул.Школьная, кв.5</t>
  </si>
  <si>
    <t xml:space="preserve"> Московская область, городской округ Серебряные Пруды, д.Красновские Выселки,  дом №11, ул.Школьная, кв.2</t>
  </si>
  <si>
    <t xml:space="preserve"> Московская область, городской округ Серебряные Пруды, д.Красновские Выселки,  дом №11, ул.Школьная, кв.3</t>
  </si>
  <si>
    <t xml:space="preserve"> Московская область, городской округ Серебряные Пруды, д.Красновские Выселки,  дом №11, ул.Школьная, кв.4</t>
  </si>
  <si>
    <t xml:space="preserve"> Московская область, городской округ Серебряные Пруды, д.Красновские Выселки,  дом №11, ул.Школьная, кв.5</t>
  </si>
  <si>
    <t xml:space="preserve"> Московская область, городской округ Серебряные Пруды, д.Красновские Выселки,  дом №11, ул.Школьная, кв.6</t>
  </si>
  <si>
    <t xml:space="preserve"> Московская область, городской округ Серебряные Пруды, д.Красновские Выселки,  дом №11, ул.Школьная, кв.8</t>
  </si>
  <si>
    <t xml:space="preserve"> Московская область, городской округ Серебряные Пруды, д.Красновские Выселки,  дом №13, ул.Школьная, кв.2</t>
  </si>
  <si>
    <t>Московская область, городской округ Серебряные Пруды, п.Дмитриевский, дом.№1, кв. 1</t>
  </si>
  <si>
    <t>Московская область, городской округ Серебряные Пруды, п.Дмитриевский, дом.№2, кв. 1</t>
  </si>
  <si>
    <t>Московская область, городской округ Серебряные Пруды, п.Дмитриевский, дом.№3, кв. 12</t>
  </si>
  <si>
    <t>Московская область, городской округ Серебряные Пруды, п.Дмитриевский, дом.№4, кв. 1</t>
  </si>
  <si>
    <t>Московская область, городской округ Серебряные Пруды, п.Дмитриевский, дом.№7, кв. 1</t>
  </si>
  <si>
    <t>Московская область, городской округ Серебряные Пруды, п.Дмитриевский, дом.№8, кв. 1</t>
  </si>
  <si>
    <t>Московская область, городской округ Серебряные Пруды, п.Дмитриевский, дом.№10, кв. 1</t>
  </si>
  <si>
    <t>Московская область, городской округ Серебряные Пруды, п.Дмитриевский, дом.№11, кв.6</t>
  </si>
  <si>
    <t>Московская область, городской округ Серебряные Пруды, п.Дмитриевский, дом.№12, кв.1</t>
  </si>
  <si>
    <t>Московская область, городской округ Серебряные Пруды, п.Дмитриевский, дом.№13, кв.1</t>
  </si>
  <si>
    <t xml:space="preserve"> Московская область, городской округ Серебряные Пруды, п.Дмитриевский  дом  №1,  кв.2</t>
  </si>
  <si>
    <t xml:space="preserve"> Московская область, городской округ Серебряные Пруды, п.Дмитриевский  дом  №7,  кв.23</t>
  </si>
  <si>
    <t>Московская область, городской округ Серебряные Пруды, п.Дмитриевский, дом.№1, кв. 4</t>
  </si>
  <si>
    <t>Московская область, городской округ Серебряные Пруды, п.Дмитриевский, дом.№1, кв. 6</t>
  </si>
  <si>
    <t>Московская область, городской округ Серебряные Пруды, п.Дмитриевский, дом.№1, кв. 9</t>
  </si>
  <si>
    <t>Московская область, городской округ Серебряные Пруды, п.Дмитриевский, дом.№1, кв. 12</t>
  </si>
  <si>
    <t>Московская область, городской округ Серебряные Пруды, п.Дмитриевский, дом.№1, кв. 15</t>
  </si>
  <si>
    <t>Московская область, городской округ Серебряные Пруды, п.Дмитриевский, дом.№1, кв. 21</t>
  </si>
  <si>
    <t>Московская область, городской округ Серебряные Пруды, п.Дмитриевский, дом.№1, кв. 22</t>
  </si>
  <si>
    <t>Московская область, городской округ Серебряные Пруды, п.Дмитриевский, дом.№1, кв. 25</t>
  </si>
  <si>
    <t>Московская область, городской округ Серебряные Пруды, п.Дмитриевский, дом.№2, кв. 9</t>
  </si>
  <si>
    <t>Московская область, городской округ Серебряные Пруды, п.Дмитриевский, дом.№2, кв. 11</t>
  </si>
  <si>
    <t>Московская область, городской округ Серебряные Пруды, п.Дмитриевский, дом.№2, кв. 12</t>
  </si>
  <si>
    <t>Московская область, городской округ Серебряные Пруды, п.Дмитриевский, дом.№2, кв. 19</t>
  </si>
  <si>
    <t>Московская область, городской округ Серебряные Пруды, п.Дмитриевский, дом.№3, кв. 14</t>
  </si>
  <si>
    <t>Московская область, городской округ Серебряные Пруды, п.Дмитриевский, дом.№3, кв. 21</t>
  </si>
  <si>
    <t>Московская область, городской округ Серебряные Пруды, п.Дмитриевский, дом.№3, кв. 24</t>
  </si>
  <si>
    <t>Московская область, городской округ Серебряные Пруды, п.Дмитриевский, дом.№4, кв. 2</t>
  </si>
  <si>
    <t>Московская область, городской округ Серебряные Пруды, п.Дмитриевский, дом.№4, кв. 5</t>
  </si>
  <si>
    <t>Московская область, городской округ Серебряные Пруды, п.Дмитриевский, дом.№4, кв. 6</t>
  </si>
  <si>
    <t>Московская область, городской округ Серебряные Пруды, п.Дмитриевский, дом.№4, кв. 7</t>
  </si>
  <si>
    <t>Московская область, городской округ Серебряные Пруды, п.Дмитриевский, дом.№4, кв. 8</t>
  </si>
  <si>
    <t>Московская область, городской округ Серебряные Пруды, п.Дмитриевский, дом.№4, кв. 9</t>
  </si>
  <si>
    <t>Московская область, городской округ Серебряные Пруды, п.Дмитриевский, дом.№4, кв. 10</t>
  </si>
  <si>
    <t>Московская область, городской округ Серебряные Пруды, п.Дмитриевский, дом.№4, кв. 14</t>
  </si>
  <si>
    <t>Московская область, городской округ Серебряные Пруды, п.Дмитриевский, дом.№7, кв. 4</t>
  </si>
  <si>
    <t>Московская область, городской округ Серебряные Пруды, п.Дмитриевский, дом.№7, кв. 14</t>
  </si>
  <si>
    <t>Московская область, городской округ Серебряные Пруды, п.Дмитриевский, дом.№7, кв. 15</t>
  </si>
  <si>
    <t>Московская область, городской округ Серебряные Пруды, п.Дмитриевский, дом.№7, кв. 21</t>
  </si>
  <si>
    <t>Московская область, городской округ Серебряные Пруды, п.Дмитриевский, дом.№7, кв. 22</t>
  </si>
  <si>
    <t>Московская область, городской округ Серебряные Пруды, п.Дмитриевский, дом.№7, кв. 24</t>
  </si>
  <si>
    <t>Московская область, городской округ Серебряные Пруды, п.Дмитриевский, дом.№7, кв. 27</t>
  </si>
  <si>
    <t>Московская область, городской округ Серебряные Пруды, п.Дмитриевский, дом.№8, кв. 6</t>
  </si>
  <si>
    <t>Московская область, городской округ Серебряные Пруды, п.Дмитриевский, дом.№8, кв. 11</t>
  </si>
  <si>
    <t>Московская область, городской округ Серебряные Пруды, п.Дмитриевский, дом.№8, кв. 15</t>
  </si>
  <si>
    <t>Московская область, городской округ Серебряные Пруды, п.Дмитриевский, дом.№8, кв. 17</t>
  </si>
  <si>
    <t>Московская область, городской округ Серебряные Пруды, п.Дмитриевский, дом.№8, кв. 23</t>
  </si>
  <si>
    <t>Московская область, городской округ Серебряные Пруды, п.Дмитриевский, дом.№8, кв. 24</t>
  </si>
  <si>
    <t>Московская область, городской округ Серебряные Пруды, п.Дмитриевский, дом.№8, кв. 25</t>
  </si>
  <si>
    <t>Московская область, городской округ Серебряные Пруды, п.Дмитриевский, дом.№8, кв. 27</t>
  </si>
  <si>
    <t>Московская область, городской округ Серебряные Пруды, п.Дмитриевский, дом.№9, кв. 4</t>
  </si>
  <si>
    <t>Московская область, городской округ Серебряные Пруды, п.Дмитриевский, дом.№9, кв. 5</t>
  </si>
  <si>
    <t>Московская область, городской округ Серебряные Пруды, п.Дмитриевский, дом.№9, кв. 6</t>
  </si>
  <si>
    <t>Московская область, городской округ Серебряные Пруды, п.Дмитриевский, дом.№9, кв. 14</t>
  </si>
  <si>
    <t>Московская область, городской округ Серебряные Пруды, п.Дмитриевский, дом.№9, кв. 20</t>
  </si>
  <si>
    <t>Московская область, городской округ Серебряные Пруды, п.Дмитриевский, дом.№10, кв. 2</t>
  </si>
  <si>
    <t>Московская область, городской округ Серебряные Пруды, п.Дмитриевский, дом.№10, кв. 3</t>
  </si>
  <si>
    <t>Московская область, городской округ Серебряные Пруды, п.Дмитриевский, дом.№10, кв. 4</t>
  </si>
  <si>
    <t>Московская область, городской округ Серебряные Пруды, п.Дмитриевский, дом.№10, кв. 7</t>
  </si>
  <si>
    <t>Московская область, городской округ Серебряные Пруды, п.Дмитриевский, дом.№10, кв. 8</t>
  </si>
  <si>
    <t>Московская область, городской округ Серебряные Пруды, п.Дмитриевский, дом.№12, кв.4</t>
  </si>
  <si>
    <t>Московская область, городской округ Серебряные Пруды, п.Дмитриевский, дом.№13, кв.2</t>
  </si>
  <si>
    <t>Московская область, городской округ Серебряные Пруды, д.Митякино, дом.№1, кв.1</t>
  </si>
  <si>
    <t>Московская область, городской округ Серебряные Пруды, д.Митякино, дом.№10, кв.2</t>
  </si>
  <si>
    <t>Московская область, городской округ Серебряные Пруды, д.Митякино, дом.№20, кв.3</t>
  </si>
  <si>
    <t>Московская область, городской округ Серебряные Пруды, д.Митякино, дом.№21, кв. 2</t>
  </si>
  <si>
    <t>Московская область, городской округ Серебряные Пруды, д.Митякино, дом.№22, кв.1</t>
  </si>
  <si>
    <t>Московская область, городской округ Серебряные Пруды, д.Митякино, дом.№1, кв.2</t>
  </si>
  <si>
    <t>Московская область, городской округ Серебряные Пруды, д.Митякино, дом.№1, кв.3</t>
  </si>
  <si>
    <t>Московская область, городской округ Серебряные Пруды, д.Митякино, дом.№1, кв.4</t>
  </si>
  <si>
    <t>Московская область, городской округ Серебряные Пруды, д.Митякино, дом.№1, кв.5</t>
  </si>
  <si>
    <t>Московская область, городской округ Серебряные Пруды, д.Митякино, дом.№1, кв.6</t>
  </si>
  <si>
    <t>Московская область, городской округ Серебряные Пруды, д.Митякино, дом.№1, кв.7</t>
  </si>
  <si>
    <t>Московская область, городской округ Серебряные Пруды, д.Митякино, дом.№1, кв.8</t>
  </si>
  <si>
    <t>Московская область, городской округ Серебряные Пруды, д.Митякино, дом.№1, кв.9</t>
  </si>
  <si>
    <t>Московская область, городской округ Серебряные Пруды, д.Митякино, дом.№10, кв.4</t>
  </si>
  <si>
    <t>Московская область, городской округ Серебряные Пруды, д.Митякино, дом.№10, кв.6</t>
  </si>
  <si>
    <t>Московская область, городской округ Серебряные Пруды, д.Митякино, дом.№10, кв.8</t>
  </si>
  <si>
    <t>Московская область, городской округ Серебряные Пруды, д.Митякино, дом.№20, кв.5</t>
  </si>
  <si>
    <t>Московская область, городской округ Серебряные Пруды, д.Митякино, дом.№20, кв.6</t>
  </si>
  <si>
    <t>Московская область, городской округ Серебряные Пруды, д.Митякино, дом.№20, кв.7</t>
  </si>
  <si>
    <t>Московская область, городской округ Серебряные Пруды, д.Митякино, дом.№20, кв.8</t>
  </si>
  <si>
    <t>Московская область, городской округ Серебряные Пруды, д.Митякино, дом.№21, кв. 5</t>
  </si>
  <si>
    <t>Московская область, городской округ Серебряные Пруды, д.Митякино, дом.№22, кв.2</t>
  </si>
  <si>
    <t>14.12.2005г</t>
  </si>
  <si>
    <t xml:space="preserve">Муниципальное образование городской округ Серебряные Пруды Московской области </t>
  </si>
  <si>
    <t>50:39:0060306:690</t>
  </si>
  <si>
    <t>50:39:0070207:176</t>
  </si>
  <si>
    <t>50:39:0070207:178</t>
  </si>
  <si>
    <t>50:39:0070207:179</t>
  </si>
  <si>
    <t>50:39:0070207:188</t>
  </si>
  <si>
    <t>50:39:0070207:195</t>
  </si>
  <si>
    <t>50:39:0070207:190</t>
  </si>
  <si>
    <t>50:39:0070207:265</t>
  </si>
  <si>
    <t>50:39:0070207:269</t>
  </si>
  <si>
    <t>50:39:0070207:270</t>
  </si>
  <si>
    <t>50:39:0070207:276</t>
  </si>
  <si>
    <t>50:39:0000000:3077</t>
  </si>
  <si>
    <t>50:39:00000000:3078</t>
  </si>
  <si>
    <t>50:39:0000000:3082</t>
  </si>
  <si>
    <t>50:39:0000000:3086</t>
  </si>
  <si>
    <t>50:39:0000000:3087</t>
  </si>
  <si>
    <t>50:39:0000000:3089</t>
  </si>
  <si>
    <t>50:39:0000000:3090</t>
  </si>
  <si>
    <t>50:39:0000000:3088</t>
  </si>
  <si>
    <t>50:39:0000000:3096</t>
  </si>
  <si>
    <t>50:39:0000000:3097</t>
  </si>
  <si>
    <t>50:39:0000000:3091</t>
  </si>
  <si>
    <t>50:39:0000000:3101</t>
  </si>
  <si>
    <t>50:39:0070206:161</t>
  </si>
  <si>
    <t>50:39:0070206:139</t>
  </si>
  <si>
    <t>50:39:0070206:126</t>
  </si>
  <si>
    <t>50:39:0000000:3141</t>
  </si>
  <si>
    <t>50:39:0000000:3154</t>
  </si>
  <si>
    <t>50:39:0000000:3145</t>
  </si>
  <si>
    <t>50:39:0000000:3156</t>
  </si>
  <si>
    <t>50:39:0000000:3148</t>
  </si>
  <si>
    <t>50:39:0000000:3123</t>
  </si>
  <si>
    <t>50:39:0000000:3140</t>
  </si>
  <si>
    <t>50:39:0000000:3150</t>
  </si>
  <si>
    <t>50:39:0000000:3151</t>
  </si>
  <si>
    <t>50:39:0000000:3191</t>
  </si>
  <si>
    <t>50:39:0000000:3194</t>
  </si>
  <si>
    <t>50:39:0000000:3199</t>
  </si>
  <si>
    <t>50:39:0000000:3200</t>
  </si>
  <si>
    <t>50:39:0000000:3202</t>
  </si>
  <si>
    <t>50:39:0000000:3205</t>
  </si>
  <si>
    <t>50:39:0000000:3209</t>
  </si>
  <si>
    <t>50:39:0000000:3212</t>
  </si>
  <si>
    <t>50:39:0000000:3220</t>
  </si>
  <si>
    <t>50:39:0000000:3258</t>
  </si>
  <si>
    <t>50:39:0000000:3265</t>
  </si>
  <si>
    <t>50:39:0000000:3266</t>
  </si>
  <si>
    <t>50:39:0000000:3268</t>
  </si>
  <si>
    <t>50:39:0000000:3259</t>
  </si>
  <si>
    <t>50:39:0000000:3287</t>
  </si>
  <si>
    <t>50:39:0000000:3294</t>
  </si>
  <si>
    <t>50:39:0000000:2683</t>
  </si>
  <si>
    <t>50:39:0000000:2722</t>
  </si>
  <si>
    <t>50:39:0000000:2698</t>
  </si>
  <si>
    <t>50:39:0000000:2706</t>
  </si>
  <si>
    <t>50:39:0000000:2741</t>
  </si>
  <si>
    <t>50:39:0000000:2710</t>
  </si>
  <si>
    <t>50:39:0000000:2748</t>
  </si>
  <si>
    <t>50:39:0000000:2793</t>
  </si>
  <si>
    <t>50:39:0000000:2752</t>
  </si>
  <si>
    <t>50:39:0000000:2774</t>
  </si>
  <si>
    <t>50:39:0000000:2787</t>
  </si>
  <si>
    <t>50:39:0000000:2799</t>
  </si>
  <si>
    <t>50:39:0000000:2791</t>
  </si>
  <si>
    <t>50:39:0000000:2801</t>
  </si>
  <si>
    <t>50:39:0000000:2803</t>
  </si>
  <si>
    <t>50:39:0000000:2976</t>
  </si>
  <si>
    <t>50:39:0000000:2977</t>
  </si>
  <si>
    <t>50:39:0000000:2821</t>
  </si>
  <si>
    <t>50:39:0000000:2838</t>
  </si>
  <si>
    <t>50:39:0000000:2843</t>
  </si>
  <si>
    <t>50:39:0000000:2805</t>
  </si>
  <si>
    <t>50:39:0000000:2844</t>
  </si>
  <si>
    <t>50:39:0000000:2846</t>
  </si>
  <si>
    <t>50:39:0000000:2873</t>
  </si>
  <si>
    <t>50:39:0000000:2869</t>
  </si>
  <si>
    <t>50:39:0000000:2898</t>
  </si>
  <si>
    <t>50:39:0000000:2899</t>
  </si>
  <si>
    <t>50:39:0000000:2876</t>
  </si>
  <si>
    <t>50:39:0000000:2877</t>
  </si>
  <si>
    <t>50:39:0000000:2888</t>
  </si>
  <si>
    <t>50:39:0000000:2890</t>
  </si>
  <si>
    <t>50:39:0000000:3019</t>
  </si>
  <si>
    <t>50:39:0000000:3044</t>
  </si>
  <si>
    <t>50:39:0000000:3052</t>
  </si>
  <si>
    <t>50:39:0070303:104</t>
  </si>
  <si>
    <t>50:39:0070303:69</t>
  </si>
  <si>
    <t>50:39:0000000:3007</t>
  </si>
  <si>
    <t>50:39:0070303:176</t>
  </si>
  <si>
    <t>50:39:0080106:156</t>
  </si>
  <si>
    <t>50:39:0080106:157</t>
  </si>
  <si>
    <t>50:39:0080106:158</t>
  </si>
  <si>
    <t>50:39:0080106:159</t>
  </si>
  <si>
    <t>50:39:0080106:160</t>
  </si>
  <si>
    <t>50:39:0080106:161</t>
  </si>
  <si>
    <t>50:39:0080106:162</t>
  </si>
  <si>
    <t>50:39:0080106:163</t>
  </si>
  <si>
    <t>50:39:0080106:164</t>
  </si>
  <si>
    <t>50:39:0080106:188</t>
  </si>
  <si>
    <t>50:39:0080106:190</t>
  </si>
  <si>
    <t>50:39:0080106:191</t>
  </si>
  <si>
    <t>50:39:0080106:192</t>
  </si>
  <si>
    <t>50:39:0080106:193</t>
  </si>
  <si>
    <t>50:39:0080106:199</t>
  </si>
  <si>
    <t>50:39:0060115:157</t>
  </si>
  <si>
    <t>50:39:0060115:158</t>
  </si>
  <si>
    <t>50:39:0060115:159</t>
  </si>
  <si>
    <t>50:39:0060115:160</t>
  </si>
  <si>
    <t>50:39:0060115:156</t>
  </si>
  <si>
    <t>50:39:0060115:161</t>
  </si>
  <si>
    <t>50:39:0060115:162</t>
  </si>
  <si>
    <t>50:39:0060115:163</t>
  </si>
  <si>
    <t>50:39:0060115:164</t>
  </si>
  <si>
    <t>50:39:0060115:165</t>
  </si>
  <si>
    <t>50:39:0060115:166</t>
  </si>
  <si>
    <t>50:39:0060115:168</t>
  </si>
  <si>
    <t>50:39:0060115:173</t>
  </si>
  <si>
    <t>50:39:0060115:115</t>
  </si>
  <si>
    <t>50:39:0060115:181</t>
  </si>
  <si>
    <t>50:39:0060115:110</t>
  </si>
  <si>
    <t>50:39:0080207:321</t>
  </si>
  <si>
    <t>50:39:0080207:324</t>
  </si>
  <si>
    <t>50:39:0080207:347</t>
  </si>
  <si>
    <t>50:39:0080207:356</t>
  </si>
  <si>
    <t>50:39:0080207:352</t>
  </si>
  <si>
    <t>50:39:0080207:368</t>
  </si>
  <si>
    <t>50:39:0080207:366</t>
  </si>
  <si>
    <t>50:39:0080207:382</t>
  </si>
  <si>
    <t>50:39:0080207:383</t>
  </si>
  <si>
    <t>50:39:0080207:384</t>
  </si>
  <si>
    <t>50:39:0080207:385</t>
  </si>
  <si>
    <t>50:39:0080207:388</t>
  </si>
  <si>
    <t>50:39:0080207:389</t>
  </si>
  <si>
    <t>50:39:0080207:394</t>
  </si>
  <si>
    <t>50:39:0080207:400</t>
  </si>
  <si>
    <t>50:39:0080207:403</t>
  </si>
  <si>
    <t>50:39:0080207:260</t>
  </si>
  <si>
    <t>Распоряжение администрации Серебряно-Прудского муниципального района 278-р, свидет-во о регистрации права 50-БА 636188</t>
  </si>
  <si>
    <t>17.02.2016г</t>
  </si>
  <si>
    <t>Распоряжение администрации Серебряно-Прудского муниципального района 278-р, свидет-во о регистрации права 50-БА 636178</t>
  </si>
  <si>
    <t>Распоряжение администрации Серебряно-Прудского муниципального района 278-р, свидет-во о регистрации права 50-БА 636170</t>
  </si>
  <si>
    <t>Распоряжение администрации Серебряно-Прудского муниципального района 278-р, свидет-во о регистрации права 50-БА 636185</t>
  </si>
  <si>
    <t>Распоряжение администрации Серебряно-Прудского муниципального района 278-р, свидет-во о регистрации права 50-БА 636168</t>
  </si>
  <si>
    <t>Распоряжение администрации Серебряно-Прудского муниципального района 278-р, свидет-во о регистрации права 50-БА 636173</t>
  </si>
  <si>
    <t>Распоряжение администрации Серебряно-Прудского муниципального района 278-р, свидет-во о регистрации права 50-БА 636172</t>
  </si>
  <si>
    <t>Распоряжение администрации Серебряно-Прудского муниципального района 278-р, свидет-во о регистрации права 50-БА 636174</t>
  </si>
  <si>
    <t>Распоряжение администрации Серебряно-Прудского муниципального района 278-р, свидет-во о регистрации права 50-БА 636189</t>
  </si>
  <si>
    <t>Распоряжение администрации Серебряно-Прудского муниципального района 278-р, Свидет-во о регистрации права 50-БА 636181</t>
  </si>
  <si>
    <t>Распоряжение администрации Серебряно-Прудского муниципального района 278-р, свидет-во о регистрации права 50-БА 636183</t>
  </si>
  <si>
    <t>Распоряжение администрации Серебряно-Прудского муниципального района 278-р, свидет-во о регистрации права 50-БА 636166</t>
  </si>
  <si>
    <t>Распоряжение администрации Серебряно-Прудского муниципального района 278-р, свидет-во о регистрации права 50-БА 636175</t>
  </si>
  <si>
    <t>Распоряжение администрации Серебряно-Прудского муниципального района 278-р, свидет-во о регистрации права 50-БА 636187</t>
  </si>
  <si>
    <t>Распоряжение администрации Серебряно-Прудского муниципального района 278-р, 50-БА 636171</t>
  </si>
  <si>
    <t>Распоряжение администрации Серебряно-Прудского муниципального района 278-р, свидет-во о регистрации права 50-БА 636164</t>
  </si>
  <si>
    <t>Распоряжение администрации Серебряно-Прудского муниципального района 278-р, свидет-во о регистрации права 50-БА 636179</t>
  </si>
  <si>
    <t>Распоряжение администрации Серебряно-Прудского муниципального района 278-р, свидет-во о регистрации права 50-БА 636182</t>
  </si>
  <si>
    <t>Распоряжение администрации Серебряно-Прудского муниципального района 278-р, свидет-во о регистрации права 50-БА 636184</t>
  </si>
  <si>
    <t>Распоряжение администрации Серебряно-Прудского муниципального района 278-р, свидет-во о регистрации права 50-БА 636177</t>
  </si>
  <si>
    <t>Распоряжение администрации Серебряно-Прудского муниципального района 278-р, свидет-во о регистрации права 50-БА 636176</t>
  </si>
  <si>
    <t>Распоряжение администрации Серебряно-Прудского муниципального района 278-р, свидет-во о регистрации права 50-БА 636169</t>
  </si>
  <si>
    <t>Распоряжение администрации Серебряно-Прудского муниципального района 278-р, свидет-во о регистрации права 50-БА 636180</t>
  </si>
  <si>
    <t>Распоряжение администрации Серебряно-Прудского муниципального района 278-р, свидет-во о регистрации права 50-БА 636186</t>
  </si>
  <si>
    <t>Распоряжение администрации Серебряно-Прудского муниципального района 278-р, свидет-во о регистрации права 50-БА 636165</t>
  </si>
  <si>
    <t>Распоряжение администрации Серебряно-Прудского муниципального района 278-р, свидет-во о регистрации права 50-БА 636167</t>
  </si>
  <si>
    <t>Гараж</t>
  </si>
  <si>
    <t>Московская область, городской округ Серебряные Пруды, п. Дмитриевский</t>
  </si>
  <si>
    <t>50:39:0080105:898</t>
  </si>
  <si>
    <t>Московская область, городской округ Серебряные Пруды,            с. Узуново, ул. Юбилейная, д.10а (мкр-н Южный)</t>
  </si>
  <si>
    <t>Московская область, городской округ Серебряные Пруды,            д. Дудино</t>
  </si>
  <si>
    <t>Московская область, городской округ Серебряные Пруды, пос. Успенский, ул. Советская, д.5, кв. 3</t>
  </si>
  <si>
    <t>50:39:0000000:3109</t>
  </si>
  <si>
    <t>11.03.2016г</t>
  </si>
  <si>
    <t>Свидетельство о регистрации права 50-БА 517588</t>
  </si>
  <si>
    <t>1-о комнатная квартира</t>
  </si>
  <si>
    <t>Московская область, городской округ Серебряные Пруды,рп Серебряные Пруды, ПТУ, д.7 В, кв.7</t>
  </si>
  <si>
    <t>50:39:0050101:626</t>
  </si>
  <si>
    <t>Свидетельство о регистрации права 50-БА 517589</t>
  </si>
  <si>
    <t xml:space="preserve"> 1 046 843.1</t>
  </si>
  <si>
    <t>Московская область, городской округ Серебряные Пруды,рп Серебряные Пруды, ПТУ, д.7 Б, кв.66</t>
  </si>
  <si>
    <t>50:39:0050101:605</t>
  </si>
  <si>
    <t>Московская область, городской округ Серебряные Прудыс. Узуново, мкр-н "Южный", д.8, кв.20</t>
  </si>
  <si>
    <t>50:39:0030305:407</t>
  </si>
  <si>
    <t>50:39:0070207:274</t>
  </si>
  <si>
    <t xml:space="preserve"> 1 255 624.3</t>
  </si>
  <si>
    <t>Свидетельство о регистрации права 50-БА 517587</t>
  </si>
  <si>
    <t>Свидетельство о регистрации права 50-БА 517590</t>
  </si>
  <si>
    <t>Муниципальное образование городской округ Серебряные Пруды Московской области</t>
  </si>
  <si>
    <t>17459, 17457, 17458</t>
  </si>
  <si>
    <t>Складские помещения инв. 17615</t>
  </si>
  <si>
    <t>Акт</t>
  </si>
  <si>
    <t>Комплект оборудования электронной очереди Q-matic</t>
  </si>
  <si>
    <t>Распоряжение администрации Серебряно-Прудского муниципального района</t>
  </si>
  <si>
    <t xml:space="preserve">Товарная накладная </t>
  </si>
  <si>
    <t>Кондиционер RAV-SM564UT/563AT-E</t>
  </si>
  <si>
    <t>Межсетевой экран ССПТ-2</t>
  </si>
  <si>
    <t>Многофункциональное устройство Kyocera А3 монохромный</t>
  </si>
  <si>
    <t>Многофункциональное устройство Kyocera А3 цветной</t>
  </si>
  <si>
    <t>Ноутбут НР</t>
  </si>
  <si>
    <t>Офисные перегородки</t>
  </si>
  <si>
    <t>Товарная накладная</t>
  </si>
  <si>
    <t>Програмно-аппаратный комплекс "Застава"</t>
  </si>
  <si>
    <t>Програмно-аппаратный комплекс VipNet Cordinator HW 1000</t>
  </si>
  <si>
    <t>Сервер Quad-Core Intel Xeon</t>
  </si>
  <si>
    <t>Сервер Xeon 5520 4U</t>
  </si>
  <si>
    <t>Устройство сетевого хранения данных Thexus 2Lan 8Tb</t>
  </si>
  <si>
    <t>Накладная</t>
  </si>
  <si>
    <t>Фасадная вывеска</t>
  </si>
  <si>
    <t>Автомобиль Форд Фокус</t>
  </si>
  <si>
    <t>Серверный шкаф 19" 42 U</t>
  </si>
  <si>
    <t>Бытовое помещение саночистки</t>
  </si>
  <si>
    <t>Дымосос-3 шт.</t>
  </si>
  <si>
    <t>17456, 17455, 17454</t>
  </si>
  <si>
    <t>Емкость мет. 50м3</t>
  </si>
  <si>
    <t>Котел ДКВР-4/13-3 шт.</t>
  </si>
  <si>
    <t>17504, 17505, 17506</t>
  </si>
  <si>
    <t>Насос сетевой-2 шт.</t>
  </si>
  <si>
    <t>17448, 17449</t>
  </si>
  <si>
    <t>Насос гор. воды-2 шт.</t>
  </si>
  <si>
    <t>17451, 17450</t>
  </si>
  <si>
    <t>Насос подпиточный-2 шт.</t>
  </si>
  <si>
    <t>17452, 17453</t>
  </si>
  <si>
    <t>Насос сет. воды</t>
  </si>
  <si>
    <t>Секции ограждения со стойками 70м2</t>
  </si>
  <si>
    <t>Токарный станок</t>
  </si>
  <si>
    <t>Вентилятор 4 шт.</t>
  </si>
  <si>
    <t>Водонагреватель ВВП 10-168х400 РГ-2 шт.</t>
  </si>
  <si>
    <t>17313, 17314</t>
  </si>
  <si>
    <t>Горелка ГСБ-3.5 Мочильский ЖКХ</t>
  </si>
  <si>
    <t>Дымосос Д-3,5</t>
  </si>
  <si>
    <t>КИП оборудование</t>
  </si>
  <si>
    <t>Клапан КПГ 100П Мочильский ЖКХ</t>
  </si>
  <si>
    <t>Котел КСВА-2,5 - 4шт</t>
  </si>
  <si>
    <t>17508, 17510. 17507, 17509</t>
  </si>
  <si>
    <t>Котел мазутный</t>
  </si>
  <si>
    <t>Секция 168*4-1.0 Мочильский ЖКХ</t>
  </si>
  <si>
    <t>Вентилятор 3 шт. с. Подхожее</t>
  </si>
  <si>
    <t>Газовое оборудование с. Подхожее</t>
  </si>
  <si>
    <t>Датчик с. Подхожее</t>
  </si>
  <si>
    <t>Дымосос 3 шт, с. Подхожее</t>
  </si>
  <si>
    <t>Клапан КПЗ-100 Н с. Подхожее</t>
  </si>
  <si>
    <t>Клапан КПЭГ 100П с. Подхожее</t>
  </si>
  <si>
    <t>Котел КВА-2.5 3 шт с. Подхожее</t>
  </si>
  <si>
    <t>17500, 17499, 17498</t>
  </si>
  <si>
    <t>Кран шаровой с. Подхожее</t>
  </si>
  <si>
    <t>Насос К 150-125-315  с. Подхожее</t>
  </si>
  <si>
    <t>Насосы сетевые 3 шт с. Подхожее</t>
  </si>
  <si>
    <t>Приборы расходом с. Подхожее</t>
  </si>
  <si>
    <t>Сварочный агрегат с. Подхожее</t>
  </si>
  <si>
    <t>14076а</t>
  </si>
  <si>
    <t>Секции ограждения с. Пожхожее</t>
  </si>
  <si>
    <t>Автоматическая установка котельная п. Успенский</t>
  </si>
  <si>
    <t>Газоснабжение внутреннее котельная п. Успенский</t>
  </si>
  <si>
    <t>Емкость мет. 50м3 п. Успенский</t>
  </si>
  <si>
    <t>Задвижка 250 п. Успенский</t>
  </si>
  <si>
    <t>КИПиА п. Успенский</t>
  </si>
  <si>
    <t>Клапан пневматический фланцевый Ду=150 п. Успенский</t>
  </si>
  <si>
    <t>Клапан регулирующий 3-х ходовой Ду-150,  п. Успенский</t>
  </si>
  <si>
    <t>Клапан регулирующий 3-х ходовой Ду-80,  п. Успенский</t>
  </si>
  <si>
    <t>Корректор объема газа ЕК-260 п. Успенский</t>
  </si>
  <si>
    <t>Котлы стальные КВ-3 п. Успенский 4 шт</t>
  </si>
  <si>
    <t>17375, 17374, 17373, 17372</t>
  </si>
  <si>
    <t>Кран шаровой Ду-200мм п. Успенский 4шт</t>
  </si>
  <si>
    <t>17380, 17381, 17382, 17383</t>
  </si>
  <si>
    <t>Кран шаровой Ду-250мм п. Успенский 2шт</t>
  </si>
  <si>
    <t>17379, 17378</t>
  </si>
  <si>
    <t>Мазутное оборудование Успенский ЖКХ</t>
  </si>
  <si>
    <t>Модем Аксон XL п. Успенский</t>
  </si>
  <si>
    <t>Насос КМ 80-50-200-15 Квт 3000 об/м п. Успенский</t>
  </si>
  <si>
    <t>Насос повышенного давления CR 10-05 п. Успенский,  2шт</t>
  </si>
  <si>
    <t>17398, 17399</t>
  </si>
  <si>
    <t>Насос повышенного давления NB2-160/163  п. Успенский 2шт</t>
  </si>
  <si>
    <t>17397, 17396</t>
  </si>
  <si>
    <t>Насос циркуляционный (сетевой-отоплен) п. Успенский, 2 шт</t>
  </si>
  <si>
    <t>17395, 17394</t>
  </si>
  <si>
    <t>Насос циркуляционный для котла п. Успенский, 4 шт</t>
  </si>
  <si>
    <t>17388, 17387, 17386, 17385</t>
  </si>
  <si>
    <t>Насос циркуляционный летний NB 40-125/120 п. Успенский</t>
  </si>
  <si>
    <t>Насос циркуляционныйтепловой Q=208 м3/с п. Успенский 2 шт</t>
  </si>
  <si>
    <t>17391, 17392</t>
  </si>
  <si>
    <t>Насосная станция жидкого топлива п. Успенский</t>
  </si>
  <si>
    <t>Охранно-пожарная сигнализация п. Успенский</t>
  </si>
  <si>
    <t>Преобразователь расходный электромагнитный Д=150мм п.Успенский 2шт.</t>
  </si>
  <si>
    <t>17401, 17402</t>
  </si>
  <si>
    <t>Преобразователь частоты двигателя п. Успенский 2шт</t>
  </si>
  <si>
    <t>17411, 17410</t>
  </si>
  <si>
    <t>Преобразователь частоты 122028 34000 Успенский</t>
  </si>
  <si>
    <t>Расширительный бак п. Успенский</t>
  </si>
  <si>
    <t>Регулятор давления газа с встроенным ПСКиПЗК п. Успенский 4шт</t>
  </si>
  <si>
    <t>17422, 17419, 17421, 17420</t>
  </si>
  <si>
    <t>Секции забора с воротами и стойками п. Успенский</t>
  </si>
  <si>
    <t>17161, 17275</t>
  </si>
  <si>
    <t>Счетчик газа Ду-100 п. Успенский</t>
  </si>
  <si>
    <t>Теплообменник пластинчатый НН №41 п. Успенский 2шт</t>
  </si>
  <si>
    <t>17406, 17405</t>
  </si>
  <si>
    <t>Теплообменник пластинчатый НН №7 п. Успенский 2шт</t>
  </si>
  <si>
    <t>17404, 17403</t>
  </si>
  <si>
    <t>Теплозапорный клапан Ду=150 Ру=16 п. Успенский</t>
  </si>
  <si>
    <t>Фильтр газовый Ду=150мм п. Успенский</t>
  </si>
  <si>
    <t>Фильтр сетчатый фланцевый ф250 п. Успенский</t>
  </si>
  <si>
    <t>Химводоочистка,  с. Мочилы</t>
  </si>
  <si>
    <t>Химическая лаборатория п. Успенский</t>
  </si>
  <si>
    <t>Электроснабжение и электросиловое оборудование п. Успенский</t>
  </si>
  <si>
    <t>Автоматика КСУ-ЭВМ, приборы КИП</t>
  </si>
  <si>
    <t>Водонагреватель водяной Шеметовский ЖКХ</t>
  </si>
  <si>
    <t>Горелка ГГС-Б-3,5</t>
  </si>
  <si>
    <t>17642, 17641</t>
  </si>
  <si>
    <t>Горелка-3,5</t>
  </si>
  <si>
    <t>Емкость для воды 3шт</t>
  </si>
  <si>
    <t>17488, 17489, 17487</t>
  </si>
  <si>
    <t xml:space="preserve">Емкость для воды </t>
  </si>
  <si>
    <t xml:space="preserve">Комплекс для измерения учета газа </t>
  </si>
  <si>
    <t>Котел водонагрейный КСВа-2,5 (ВК-32)</t>
  </si>
  <si>
    <t>Котел КСВЛ-2,5</t>
  </si>
  <si>
    <t>Кран шарнира сталь</t>
  </si>
  <si>
    <t>Насос горизонтальный К-100</t>
  </si>
  <si>
    <t>Насос КМ-80-50-200/2-5 15квт</t>
  </si>
  <si>
    <t>Насос конт. К-200</t>
  </si>
  <si>
    <t>Насос СМ100-65-200 с дым. АНР 5,5*1,5</t>
  </si>
  <si>
    <t>Рабочее колесо с вент.</t>
  </si>
  <si>
    <t>Секции ограждения со стойками 10м2</t>
  </si>
  <si>
    <t xml:space="preserve">Секции ограждения со стойками </t>
  </si>
  <si>
    <t>17275а</t>
  </si>
  <si>
    <t>Термометр э/к ТРП</t>
  </si>
  <si>
    <t>Трансформатор</t>
  </si>
  <si>
    <t>Фотодатчик част. 72,5</t>
  </si>
  <si>
    <t xml:space="preserve">Фотодатчик част. </t>
  </si>
  <si>
    <t>01.12.2014г</t>
  </si>
  <si>
    <t>Здание Котельной с оборудованием, 2-х этажное из прочих материалов, инв. 14067</t>
  </si>
  <si>
    <t>Клапан КПЭГ 100П Дмитриевское ЖКХ</t>
  </si>
  <si>
    <t>Секции ограждения со стойками</t>
  </si>
  <si>
    <t>Химводоподготовка, с. Подхожее</t>
  </si>
  <si>
    <t xml:space="preserve">Внутренние трубопроводы и фасонные части </t>
  </si>
  <si>
    <t>18.11.2010г</t>
  </si>
  <si>
    <t>Секции забора с воротами и стойками  п. Успенский</t>
  </si>
  <si>
    <t>Счетчик газа Ду-100 п. Успенский 1шт</t>
  </si>
  <si>
    <t>Насос маоблочный гор. КМ-80-60-200</t>
  </si>
  <si>
    <t>31.03.2016г</t>
  </si>
  <si>
    <t>Решение Совета депутатов № 695/70 , Свидетельство о регистрации права 50-БА 517769</t>
  </si>
  <si>
    <t>50:39:0000000:671</t>
  </si>
  <si>
    <t xml:space="preserve">Баня, 1-о этажное из прочих материалов, инв. 11010001  </t>
  </si>
  <si>
    <t>Земельный участок, категория земель: земли населенных пунктов, ВРИ : для эксплуатации и обслуживания бани</t>
  </si>
  <si>
    <t>50:39:0050509:172</t>
  </si>
  <si>
    <t>Решение Совета депутатов № 695/70 , Свидетельство о регистрации права 50-БА 517770</t>
  </si>
  <si>
    <t xml:space="preserve"> городской округ Серебряные Пруды М.О. с/о Крутовской СНТ "Мечта" уч-к 24</t>
  </si>
  <si>
    <t>50:39:0020101:24</t>
  </si>
  <si>
    <t>Свидетельство о регистрации права 50-БА 636125</t>
  </si>
  <si>
    <t>50:39:0040106:63</t>
  </si>
  <si>
    <t>Свидетельство о регистрации права 50-БА 517768</t>
  </si>
  <si>
    <t>50:39:0060306:723</t>
  </si>
  <si>
    <t>Решение Совета депутатов № 698/70, Свидет-во о регистрации права 50-БА 533560</t>
  </si>
  <si>
    <t>1.10136046</t>
  </si>
  <si>
    <t>1.10104032</t>
  </si>
  <si>
    <t>1.10104026</t>
  </si>
  <si>
    <t>Водопроводная башня Подхоженская ЖКХ (Артскважина "Центральная", глубина 25м, 13074</t>
  </si>
  <si>
    <t>Здание Красновской котельной 2-х этажное, кирпичное</t>
  </si>
  <si>
    <t>Московская область, городской округ Серебряные Пруды, д. Красноские Выселки, ул. Центральная, стр.1</t>
  </si>
  <si>
    <t>50:39:0000000:3496</t>
  </si>
  <si>
    <t>Решение Совета депутатов № 697/70, Свидетельство о регистрации права 50-БА 517724</t>
  </si>
  <si>
    <t>Парк (деревья)</t>
  </si>
  <si>
    <t>Фруктовый сад (деревья)</t>
  </si>
  <si>
    <t>Сквер (деревья)</t>
  </si>
  <si>
    <t>Стоянка</t>
  </si>
  <si>
    <t>Стоянка №1</t>
  </si>
  <si>
    <t>Стоянка №2</t>
  </si>
  <si>
    <t xml:space="preserve">Стоянка </t>
  </si>
  <si>
    <t>Стоянка №3</t>
  </si>
  <si>
    <t>Стоянка №4</t>
  </si>
  <si>
    <t xml:space="preserve">Тротуары </t>
  </si>
  <si>
    <t xml:space="preserve">Плотина </t>
  </si>
  <si>
    <t xml:space="preserve">д.Красновские Выселки </t>
  </si>
  <si>
    <t>д.Красновские Выселки (около молочной фермы)</t>
  </si>
  <si>
    <t>д.Красновские Выселки ( на юго-востоке от деревни)</t>
  </si>
  <si>
    <t xml:space="preserve">Мост </t>
  </si>
  <si>
    <t>Детская площадка (игровой комплекс "Аляска, песочница, лавка)</t>
  </si>
  <si>
    <t>Детская площадка (горка, карусели,качели-балансир,игровой комплекс "Енот" , лавочки-3 шт., песочница)</t>
  </si>
  <si>
    <t>Детская площадка (игровой комплекс "Див", качели, качели-балансир, карусели, лавочки-3 шт )</t>
  </si>
  <si>
    <t>Детская площадка (игровой комплекс "Британь")</t>
  </si>
  <si>
    <t>Детская площадка (лавочки-2 шт., качели, карусели, качели-балансир,песочница, игровой комплекс "Диф")</t>
  </si>
  <si>
    <t>Детская площадка (лавочки-2 шт., качели, карусели, качели-балансир, горка, игровой комплекс "Мадагаскар")</t>
  </si>
  <si>
    <t>Детская площадка (игровой комплекс "Енот", качели-балансир)</t>
  </si>
  <si>
    <t>Детская площадка (качели-2 шт., карусели, горка, качели-балансир, беседка, песочница, лавка, игровой комплекс "Британь")</t>
  </si>
  <si>
    <t>Детская площадка (шведская лесница, горка, качели, качели-балансир, карусели, шведская стенка с кольцом, лавка, игровой комплекс "Мадагаскар")</t>
  </si>
  <si>
    <t>Детская площадка (качели, качели-балансир, карусели,песочница, урна, лавка- 3 шт.)</t>
  </si>
  <si>
    <t>Детская площадка (игровой комплекс "Енот", песочница, турник, горка, карусели, качели, качели-балансир, лавочки-2 шт., беседка)</t>
  </si>
  <si>
    <t>Детская площадка ( игровой комплекс "Аляска", качели, карусели, качели-балансир, песочница, горка, шведская стенка)</t>
  </si>
  <si>
    <t>Детская площадка (качели,  горка, гусеница пластмассовая, лавочки-3 шт.,песочница, карусели, качели-балансир, игровой комплекс-пластмассовый)</t>
  </si>
  <si>
    <t>Детская площадка (качели-балансир, шведская стенка с кольцами, шведская лестница, качели, беседка,лавки-2 шт., игровой комплекс "Енот")</t>
  </si>
  <si>
    <t>Детская площадка (песочница, качели)</t>
  </si>
  <si>
    <t>Детская площадка (лавки-4 шт., урна, качели, горка, качели-балансир,шведская лестница-2 шт., песочница, радуга (рукоход), карусели, игровой комплекс "Див", гимнастический комплекс-2 шт.)</t>
  </si>
  <si>
    <t>Детская площадка (лавка, песочница,шведская стенка, качели)</t>
  </si>
  <si>
    <t>Детская площадка (качели, карусели-2шт., горка, песочница, лавки-2 шт., качели- балансир, урна-1 шт., игровой комплекс "Бретань")</t>
  </si>
  <si>
    <t>Детская площадка ( лавки-2 шт., шведская лесница, качели)</t>
  </si>
  <si>
    <t>Детская площадка ( лавки-2 шт., игровой комплекс "Аляска")</t>
  </si>
  <si>
    <t>Детская игровая площадка ГИБДД  (игровой комплекс "Русские народные сказки" -1шт., качели - 2шт., качели на пружине - 2 шт.,карусель 5 фигур - 1шт., скамейка-диван - 4шт., урна с ведром - 4шт., балансир - 2шт., элемент машинка - 2шт., элемент светофор - 2шт., дорожные знаки - 4шт.)</t>
  </si>
  <si>
    <t>Детский игровой комплекс (Остров детсва) (игровой коплекс - 1шт., урна - 5шт., секции ограждения - 26 шт., скамья "Солнышко" - 8шт.)</t>
  </si>
  <si>
    <t>Спортивная площадка (лавки-5 шт., урны-2 шт., рукоход, турник тройной, шведская лесница-3 шт, ограждение металлическое -26 шт.)</t>
  </si>
  <si>
    <t>Спортивная площадка - волейбольная  ( лавки-4шт., сетка)</t>
  </si>
  <si>
    <t>Спортивная площадка - баскетбольная ( лавки-4шт., баскетбольное кольцо-2 шт.)</t>
  </si>
  <si>
    <t>Спортивная площадка - тренажёрная  ( тренажёрный комплекс)</t>
  </si>
  <si>
    <t>Спортивная площадка (гимнастический комплекс, шведская лестница, луноход, лавки-3 шт.)</t>
  </si>
  <si>
    <t xml:space="preserve">Спортивная площадка - футбольное поле </t>
  </si>
  <si>
    <t>Спортивная площадка  (ворота с боскетбольным кольцом-2 шт.)</t>
  </si>
  <si>
    <t>Спортивная площадка           1.Футбольное поле (ворота футбольные-2 шт. урна-1шт., лавки-2 шт.), 2.Волейбольная площадка (сетка волейбольная -1шт., лавочки-2 шт., урна-1шт.), 3.Гимнастическая площадка (турник-2шт,, баскетбольное кольцо, лавки 2-шт.)</t>
  </si>
  <si>
    <t xml:space="preserve">Обелиск </t>
  </si>
  <si>
    <t>Обелиск (с элементами бронзовой статуи "Скорбящая мать")</t>
  </si>
  <si>
    <t xml:space="preserve">Подсобное помещение </t>
  </si>
  <si>
    <t xml:space="preserve">Сарай-гараж </t>
  </si>
  <si>
    <t xml:space="preserve">50:39:0070206:184 </t>
  </si>
  <si>
    <t xml:space="preserve">50:39:0070206:183 </t>
  </si>
  <si>
    <t>Здание СДК п.Дмитревский</t>
  </si>
  <si>
    <t>Здание СДК П.Успенский</t>
  </si>
  <si>
    <t>Помещение нежилого назначения (ФАП),  здание 1-о этажное. Год постройки 1989.</t>
  </si>
  <si>
    <t>Автомобильная дорога общего пользования с грунтовым покрытием, кадасровый номер земельного участка 50:39:0080207:569, протяженность1480м</t>
  </si>
  <si>
    <t>Автомобильная дорога общего пользования с грунтовым покрытием, кадасровый номер земельного участка 50:39:0080207:569, протяженность1010м</t>
  </si>
  <si>
    <t>Автомобильная дорога общего пользования с грунтовым покрытием, кадасровый номер земельного участка 50:39:0080204:353; 50:39:0000000:4228, протяженность 810м</t>
  </si>
  <si>
    <t>Автомобильная дорога общего пользования с грунтовым покрытием, кадасровый номер земельного участка 50:39:0080201:550, протяженность 1000м</t>
  </si>
  <si>
    <t>Автомобильная дорога общего пользования с грунтовым покрытием, кадасровый номер земельного участка 50:39:0080106:230, протяженность 1000м</t>
  </si>
  <si>
    <t>Автомобильная дорога общего пользования с грунтовым покрытием, кадасровый номер земельного участка 50:39:0000000:4237, протяженность 2800м</t>
  </si>
  <si>
    <t>Автомобильная дорога общего пользования с грунтовым покрытием, кадасровый номер земельного участка 50:39:0000000:4246, протяженность 7000м</t>
  </si>
  <si>
    <t>Автомобильная дорога общего пользования с грунтовым покрытием, кадасровый номер земельного участка 50:39:0080102:20, протяженность 2400м</t>
  </si>
  <si>
    <t>Автомобильная дорога общего пользования с грунтовым покрытием, кадасровый номер земельного участка 50:39:0000000:4240, протяженность 130м</t>
  </si>
  <si>
    <t>Автомобильная дорога общего пользования с грунтовым покрытием, кадасровый номер земельного участка 50:39:0000000:4240, протяженность 570м</t>
  </si>
  <si>
    <t>Автомобильная дорога общего пользования с грунтовым покрытием, кадасровый номер земельного участка 50:39:0000000:4102, протяженность 300м</t>
  </si>
  <si>
    <t>Автомобильная дорога общего пользования с грунтовым покрытием, кадасровый номер земельного участка 50:39:0070202:104, протяженность 342м</t>
  </si>
  <si>
    <t>Автомобильная дорога общего пользования с грунтовым покрытием, кадасровый номер земельного участка 50:39:0070303:232, протяженность 770м</t>
  </si>
  <si>
    <t>Автомобильная дорога общего пользования с твёрдым покрытием, кадастровый номер земельного участка 50:39:0080204:353, протяженность 320 м</t>
  </si>
  <si>
    <t>Автомобильная дорога общего пользования с твёрдым покрытием, кадастровый номер земельного участка 50:39:000000:4229, протяженность 4000 м</t>
  </si>
  <si>
    <t>Автомобильная дорога общего пользования с твёрдым покрытием, кадастровый номер земельного участка 50:39:0080201:549, протяженность 2250 м</t>
  </si>
  <si>
    <t>50:39:0000000:1432</t>
  </si>
  <si>
    <t>50:39:0000000:1421</t>
  </si>
  <si>
    <t>50:39:0080207:218</t>
  </si>
  <si>
    <t>50:39:0070207:37</t>
  </si>
  <si>
    <t>50:39:000000:1330</t>
  </si>
  <si>
    <t>Внутриквартальная автомобильная дорога с грунтовым покрытием, протяженнгостью 1000м</t>
  </si>
  <si>
    <t>Внутриквартальная автомобильная дорога с грунтовым покрытием, протяженностью 5140м</t>
  </si>
  <si>
    <t>Внутриквартальная автомобильная дорога с грунтовым покрытием, протяженностью 1000м</t>
  </si>
  <si>
    <t>Внутриквартальная автомобильная дорога с твёрдым покрытием, кадастровый номер земельного участка 50:39:0080101:73, протяженностью 1080м</t>
  </si>
  <si>
    <t>Внутриквартальная автомобильная дорога с твёрдым покрытием, кадастровый номер земельного участка 50:39:0070303:63, протяженностью 482м</t>
  </si>
  <si>
    <t>Внутриквартальная автомобильная дорога с твёрдым покрытием, кадастровый номер земельного участка 50:39:0000000:3744; 50:39:000000:4234, протяженностью 950м</t>
  </si>
  <si>
    <t>Внутриквартальная автомобильная дорога с твёрдым покрытием, кадастровый номер земельного участка 50:39:0080207:149, протяженностью 960м</t>
  </si>
  <si>
    <t>Внутриквартальная автомобильная дорога с твёрдым покрытием, кадастровый номер земельного участка 50:39:0070205:20, протяженностью 670м</t>
  </si>
  <si>
    <t>Внутриквартальная автомобильная дорога с твёрдым покрытием, кадастровый номер земельного участка 50:39:0080207:577, протяженностью 920м</t>
  </si>
  <si>
    <t>50:39:0000000:4191</t>
  </si>
  <si>
    <t>50:39:0080207:555</t>
  </si>
  <si>
    <t>Плотина. Высота 5,5м, ширина 3,5м, протяженность 76м</t>
  </si>
  <si>
    <t>50:39:0070111:487</t>
  </si>
  <si>
    <t>Нежилое помещение (Здание администрации)</t>
  </si>
  <si>
    <t>142956 М.О. Серебряно-Прудский р-н, д. Шеметово,  дом 10а</t>
  </si>
  <si>
    <t>142955 М.О. Серебряно-Прудский р-н, с.Мочилы ул.Школьная, д.8</t>
  </si>
  <si>
    <t>Муниципальное унитарное предприятие "Ресурсоснабжающая организация городского округа Серебряные Пруды"</t>
  </si>
  <si>
    <t>Московская область, гп. Серебряные Пруды, ул. И. Садофья, д.15</t>
  </si>
  <si>
    <t>Устав Утвержденный постановлением администрации городского округа Серебряные Пруды МО от 17.03.2016г №407</t>
  </si>
  <si>
    <t>5000 тыс. руб.</t>
  </si>
  <si>
    <t>Футбольное поле (мини)</t>
  </si>
  <si>
    <t>142954 М.О. Серебряно-Прудский р-н, с.Мочилы, ул. Юбилейная</t>
  </si>
  <si>
    <t>1200 кв.м.</t>
  </si>
  <si>
    <t>Футбольное поле</t>
  </si>
  <si>
    <t>142955 М.О. Серебряно-Прудский р-н, с.Подхожее</t>
  </si>
  <si>
    <t>6000 кв.м.</t>
  </si>
  <si>
    <t>142956 М.О. Серебряно-Прудский р-н, д.Шеметово</t>
  </si>
  <si>
    <t>1500 кв.м.</t>
  </si>
  <si>
    <t>Волейбольная площадка</t>
  </si>
  <si>
    <t>142954 М.О. Серебряно-Прудский р-н, с.Мочилы ул.Юбилейная</t>
  </si>
  <si>
    <t>162 кв.м.</t>
  </si>
  <si>
    <t>100 кв.м.</t>
  </si>
  <si>
    <t>Детская площадка</t>
  </si>
  <si>
    <t>142954 М.О. Серебряно-Прудский р-н, с.Мочилы ул.Юбилейная д.10</t>
  </si>
  <si>
    <t>280 кв.м.</t>
  </si>
  <si>
    <t>142954 М.О. Серебряно- Прудский р-н, с.Мочилы, ул.Юбилейная</t>
  </si>
  <si>
    <t>400 кв.м.</t>
  </si>
  <si>
    <t>142954 М.О. Серебряно-Прудский р-н, с.Мочилы, ул.Юбилейная, д.7</t>
  </si>
  <si>
    <t>150 кв.м.</t>
  </si>
  <si>
    <t>142954 М.О. Серебряно-Прудский р-н, с.Мочилы, ул.Юбилейная, д.3</t>
  </si>
  <si>
    <t>142954 М.О. Серебряно-Прудский р-н, с.Мочилы, ул. Юбилейная, д.2</t>
  </si>
  <si>
    <t>142956 М.О. Серебряно- Прудский р-н, д. Шеметово, д.9</t>
  </si>
  <si>
    <t>600 кв.м.</t>
  </si>
  <si>
    <t>142956 М.О. Серебряно-Прудский р-н, д.Шеметово, д.8</t>
  </si>
  <si>
    <t>142956 М.О. Серебряно-Прудский р-н, д. Шеметово д.13</t>
  </si>
  <si>
    <t>142955 М.О. Серебряно-Прудский р-н, с.Подхожее, м-н Юбилейный, д.5</t>
  </si>
  <si>
    <t>142955 М.О. Серебряно-Прудский р-н, с.Подхожее, м-н Юбилейный, д.3, 9</t>
  </si>
  <si>
    <t>142955 М.О. Серебряно-Прудский р-н, с.Подхожее, м-н Юбилейный, д.6, 7</t>
  </si>
  <si>
    <t>Колодец шахтный</t>
  </si>
  <si>
    <t>142954 М.О. Серебряно-Прудский р-н д. Яблонево, д.2</t>
  </si>
  <si>
    <t>142954 М.О. Серебряно-Прудский р-н д. Яблонево, д.9</t>
  </si>
  <si>
    <t>142954 М.О. Серебряно-Прудский р-н д. Озерки, д.2</t>
  </si>
  <si>
    <t>142954 М.О. Серебряно-Прудский р-н д. Озерки, д.8</t>
  </si>
  <si>
    <t>142954 М.О. Серебряно-Прудский р-н д. Озерки, д.15</t>
  </si>
  <si>
    <t>142954 М.О. Серебряно-Прудский р-н д. Озерки, д.22</t>
  </si>
  <si>
    <t>142954 М.О. Серебряно-Прудский р-н д. Куни-Выселки, д.8</t>
  </si>
  <si>
    <t>142954 М.О. Серебряно-Прудский р-н д. Куни-Выселки, д.11</t>
  </si>
  <si>
    <t>142954 М.О. Серебряно-Прудский р-н д. Куни-Выселки, д.16</t>
  </si>
  <si>
    <t>142954 М.О. Серебряно-Прудский р-н, с. Кормовое, д.4</t>
  </si>
  <si>
    <t>142954 М.О. Серебряно-Прудский р-н, с. Кормовое, д.9</t>
  </si>
  <si>
    <t>142954 М.О. Серебряно-Прудский р-н, с. Мочилы, ул. Садовая, д.2</t>
  </si>
  <si>
    <t>142954 М.О. Серебряно-Прудский р-н, с. Мочилы, ул. Садовая, д.6</t>
  </si>
  <si>
    <t>142954 М.О. Серебряно-Прудский р-н, с. Мочилы, ул. Садовая, д.19</t>
  </si>
  <si>
    <t>142954 М.О. Серебряно-Прудский р-н, с. Мочилы, ул. Садовая, д.12</t>
  </si>
  <si>
    <t>142954 М.О. Серебряно-Прудский р-н, с. Мочилы, ул. Садовая, д.26</t>
  </si>
  <si>
    <t>142954 М.О. Серебряно-Прудский р-н, с. Мочилы, ул. Садовая, д.34</t>
  </si>
  <si>
    <t>142954 М.О. Серебряно-Прудский р-н, с. Мочилы, ул. Садовая, д.35</t>
  </si>
  <si>
    <t>142954 М.О. Серебряно-Прудский р-н, с. Мочилы, ул. Школьная д.3</t>
  </si>
  <si>
    <t>142954 М.О. Серебряно-Прудский р-н, с. Анино, д.16</t>
  </si>
  <si>
    <t>142955 М.О. Серебряно-Прудский р-н, с. Подхожее, ул. Прудская, д.9</t>
  </si>
  <si>
    <t>142955 М.О. Серебряно-Прудский р-н, с. Подхожее, ул. Прудская, д.29</t>
  </si>
  <si>
    <t>142955 М.О. Серебряно-Прудский р-н, с. Подхожее, ул. Прудская, д.36</t>
  </si>
  <si>
    <t>142955 М.О. Серебряно-Прудский р-н, с. Подхожее, ул. Мира, д.3</t>
  </si>
  <si>
    <t>142955 М.О. Серебряно-Прудский р-н, с. Подхожее, ул. Мира, д.8</t>
  </si>
  <si>
    <t>142955 М.О. Серебряно-Прудский р-н, с. Подхожее, ул. Мира, д.11</t>
  </si>
  <si>
    <t>142955 М.О. Серебряно-Прудский р-н, с. Подхожее, ул. Большая Слобода, д.19</t>
  </si>
  <si>
    <t>142955 М.О. Серебряно-Прудский р-н, с. Подхожее, ул. Большая Слобода, д.49</t>
  </si>
  <si>
    <t>142955 М.О. Серебряно-Прудский р-н, с. Подхожее, ул. Советская, д.24</t>
  </si>
  <si>
    <t>142956 М.О. Серебряно-Прудский р-н, д. Рогатово, д.6</t>
  </si>
  <si>
    <t>142956 М.О. Серебряно-Прудский р-н, д. Рогатово, д.7</t>
  </si>
  <si>
    <t>142956 М.О. Серебряно-Прудский р-н, д. Рогатово, д.9</t>
  </si>
  <si>
    <t>142956 М.О. Серебряно-Прудский р-н, д. Рогатово, д.39</t>
  </si>
  <si>
    <t>142954 М.О. Серебряно-Прудский р-н, д.Якимовка, д.15</t>
  </si>
  <si>
    <t>142954 М.О. Серебряно-Прудский р-н, д.Якимовка, д.18</t>
  </si>
  <si>
    <t>142954 М.О. Серебряно-Прудский р-н, д.Якимовка, д.24</t>
  </si>
  <si>
    <t>142954 М.О. Серебряно-Прудский р-н, с. Клинское, д.6</t>
  </si>
  <si>
    <t>142954 М.О. Серебряно-Прудский р-н, с. Мочилы</t>
  </si>
  <si>
    <t>142954 М.О. Серебряно-Прудский р-н, с.Аннино</t>
  </si>
  <si>
    <t>142954 М.О. Серебряно-Прудский р-н, д.Николаевка</t>
  </si>
  <si>
    <t>142954 М.О. Серебряно-Прудский р-н, д.Озерки</t>
  </si>
  <si>
    <t>50:39:0060403:261</t>
  </si>
  <si>
    <t>142954 М.О. Серебряно-Прудский р-н, с.Кормовое</t>
  </si>
  <si>
    <t>142954 М.О. Серебряно-Прудский р-н,         д. Яблонево</t>
  </si>
  <si>
    <t>142954 М.О. Серебряно-Прудский р-н, д.Якимовка</t>
  </si>
  <si>
    <t>142954 М.О. Серебряно-Прудский р-н, с.Клинское</t>
  </si>
  <si>
    <t>50:39:0060306:839</t>
  </si>
  <si>
    <t>142954 М.О. Серебряно-Прудский р-н, с.Мочилы</t>
  </si>
  <si>
    <t>50:39:0060306:1013</t>
  </si>
  <si>
    <t>50:39:0060306:1014</t>
  </si>
  <si>
    <t>50:39:0060504:196</t>
  </si>
  <si>
    <t>50:39:0000000:3725</t>
  </si>
  <si>
    <t>142956 М.О. Серебряно-Прудский р-н,         с. Куребино</t>
  </si>
  <si>
    <t>50:39:0060112:388</t>
  </si>
  <si>
    <t>Мост</t>
  </si>
  <si>
    <t>Земельный участок категория земель: земли сельскохозяйственного назначения, ВРИ - для сельскохозяйственного использования</t>
  </si>
  <si>
    <t>Московская область, Серебряно-Прудскиий район</t>
  </si>
  <si>
    <t>Московская область, Серебряно-Прудскиий район, вблизи р.п. Серебряные Пруды</t>
  </si>
  <si>
    <t>50:39:0000000:16</t>
  </si>
  <si>
    <t>Земельный участок, категория земель: земли населённых пунктов, ВРИ: для обслуживания здания</t>
  </si>
  <si>
    <t>МО, Серебряно-Прудский р-он, п. Дмитриевский (ДК Дмитриевский)</t>
  </si>
  <si>
    <t xml:space="preserve"> МО, Серебряно-Прудский р-он, п. Успенский (ДК Успенский)</t>
  </si>
  <si>
    <t>50:39:0080207:91</t>
  </si>
  <si>
    <t>50:39:0070207:9</t>
  </si>
  <si>
    <t>Земельный участок, категория земель: земли населённых пунктов, ВРИ: для ведения личного подсобного хозяйства</t>
  </si>
  <si>
    <t>50:39:0080207:140</t>
  </si>
  <si>
    <t>50:39:0000000:107</t>
  </si>
  <si>
    <t>Московская область, городской округ Серебряные Пруды М.О. с. Петрово</t>
  </si>
  <si>
    <t>Московская область, городской округ Серебряные Пруды М.О. пос. Дмитриевский, д.7, кв.23</t>
  </si>
  <si>
    <t>Московская область, городской округ Серебряные Пруды М.О. пос. Дмитриевский, д.1, кв.2</t>
  </si>
  <si>
    <t>Московская область, городской округ Серебряные Пруды М.О. д. Шеметово д. 53, кв.1</t>
  </si>
  <si>
    <t>Московская область, городской округ Серебряные Пруды М.О. д. Шеметово д. 53, кв.2</t>
  </si>
  <si>
    <t>Московская область, городской округ Серебряные Пруды М.О. д. Шеметово д. 53, кв.4</t>
  </si>
  <si>
    <t>Московская область, городской округ Серебряные Пруды М.О. д. Шеметово д. 53, кв.5</t>
  </si>
  <si>
    <t>Московская область,  городской округ Серебряные Пруды М.О. с/о Совхозный, снт Южный, уч-к 88</t>
  </si>
  <si>
    <t>Московская область,  городской округ Серебряные Пруды М.О. с/о Совхозный, снт Южный, уч-к 96</t>
  </si>
  <si>
    <t>Московская область,  городской округ Серебряные Пруды М.О, с. Мочилы, ул. Школьная</t>
  </si>
  <si>
    <t>Московская область,  городской округ Серебряные Пруды М.О, п. Успенский, ул. Запрудная</t>
  </si>
  <si>
    <t>Московская область,  городской округ Серебряные Пруды М.О, рп Серебряные Пруды, северная часть квартала 50:39:0050102</t>
  </si>
  <si>
    <t>Московская область,  городской округ Серебряные Пруды М.О, с. Мочилы, ул. Лесная</t>
  </si>
  <si>
    <t>Московская область,  городской округ Серебряные Пруды М.О, рп Серебряные Пруды, западная часть квартала 50:39:0050203</t>
  </si>
  <si>
    <t>Московская область,  городской округ Серебряные Пруды М.О, с. Дудино, южная часть квартала 50:39:0070104</t>
  </si>
  <si>
    <t>Московская область,  городской округ Серебряные Пруды М.О, рп Серебряные Пруды, ул. Малая Луговая</t>
  </si>
  <si>
    <t>Московская область, р. п. Серебряные Пруды М.О. СНТ "Солоница" уч. 154</t>
  </si>
  <si>
    <t>Московская область, городской округ Серебряные Пруды, п.Успенский</t>
  </si>
  <si>
    <t xml:space="preserve">Московская область, городской округ Серебряные Пруды, п.Успенский    ул.Советская </t>
  </si>
  <si>
    <t xml:space="preserve">Московская область, городской округ Серебряные Пруды, п.Успенский   ул.Трудовая </t>
  </si>
  <si>
    <t>Московская область, городской округ Серебряные Пруды, п.Успенский, ул.Советская д.3</t>
  </si>
  <si>
    <t>Московская область, городской округ Серебряные Пруды, п.Успенский, ул.Советская д.11</t>
  </si>
  <si>
    <t>Московская область, городской округ Серебряные Пруды, п.Успенский, ул.50 Лет Октября, д.5</t>
  </si>
  <si>
    <t>Московская область, городской округ Серебряные Пруды, п.Успенский, ул.50 Лет Октября, д.7</t>
  </si>
  <si>
    <t>Московская область, городской округ Серебряные Пруды, п.Успенский, ул.50 Лет Октября, д.8</t>
  </si>
  <si>
    <t>Московская область, городской округ Серебряные Пруды, п.Успенский, ул.Советская, д.12</t>
  </si>
  <si>
    <t>Московская область, городской округ Серебряные Пруды, п.Успенский, ул.Советская, д.13</t>
  </si>
  <si>
    <t>Московская область, городской округ Серебряные Пруды, п.Успенский, ул.Советская, д.10</t>
  </si>
  <si>
    <t>Московская область, городской округ Серебряные Пруды, п.Успенский, возле дома №13, №12 по ул.Советской</t>
  </si>
  <si>
    <t>Московская область, городской округ Серебряные Пруды, п.Успенский, ул.50Лет Октября, д.3</t>
  </si>
  <si>
    <t>Московская область, городской округ Серебряные Пруды, п.Успенский, ул.Луговая,д.8</t>
  </si>
  <si>
    <t>Московская область, городской округ Серебряные Пруды, п.Успенский, ул.Луговая,д.6</t>
  </si>
  <si>
    <t>Московская область, городской округ Серебряные Пруды, п.Успенский, ул.Луговая,д.4</t>
  </si>
  <si>
    <t>Московская область, городской округ Серебряные Пруды, п.Успенский, ул.Садовая, д.4</t>
  </si>
  <si>
    <t>Московская область, городской округ Серебряные Пруды, п.Успенский, ул.Садовая, д.2</t>
  </si>
  <si>
    <t>Московская область, городской округ Серебряные Пруды, п.Успенский, ул.Трудовая, д.14</t>
  </si>
  <si>
    <t>Московская область, городской округ Серебряные Пруды, п.Успенский, ул.Трудовая, д.4,д.13, д.11</t>
  </si>
  <si>
    <t>Московская область, городской округ Серебряные Пруды, п.Успенский, ул.Запрудная, д.11</t>
  </si>
  <si>
    <t>Московская область, городской округ Серебряные Пруды, п.Успенский, ул.Запрудная, д.9</t>
  </si>
  <si>
    <t>Московская область, городской округ Серебряные Пруды, п.Успенский, ул.Запрудная, д.12</t>
  </si>
  <si>
    <t>Московская область, городской округ Серебряные Пруды, п.Успенский, ул.Запрудная, д.7</t>
  </si>
  <si>
    <t>Московская область, городской округ Серебряные Пруды, п.Успенский, ул.Заводская, д.5</t>
  </si>
  <si>
    <t>Московская область, городской округ Серебряные Пруды, п.Дмитриевский, д.1</t>
  </si>
  <si>
    <t>Московская область, городской округ Серебряные Пруды, п.Дмитриевский, д.2</t>
  </si>
  <si>
    <t>Московская область, городской округ Серебряные Пруды, п.Дмитриевский, д.4</t>
  </si>
  <si>
    <t>Московская область, городской округ Серебряные Пруды, п.Дмитриевский, д.7</t>
  </si>
  <si>
    <t>Московская область, городской округ Серебряные Пруды, п.Дмитриевский, д.9</t>
  </si>
  <si>
    <t>Московская область, городской округ Серебряные Пруды, п.Дмитриевский, д.3</t>
  </si>
  <si>
    <t>Московская область, городской округ Серебряные Пруды, п.Дмитриевский, д.10</t>
  </si>
  <si>
    <t>Московская область, городской округ Серебряные Пруды, п.Дмитриевский, д.8</t>
  </si>
  <si>
    <t>Московская область, городской округ Серебряные Пруды, п.Успенский, ул.Садовая  д.1А</t>
  </si>
  <si>
    <t>Московская область, городской округ Серебряные Пруды, п.Успенский, ул.Садовая  д.4</t>
  </si>
  <si>
    <t>Московская область, городской округ Серебряные Пруды, п.Успенский, ул.Советская   д.12</t>
  </si>
  <si>
    <t>Московская область, городской округ Серебряные Пруды, п.Успенский, ул.Заводская    д.2</t>
  </si>
  <si>
    <t>Московская область, городской округ Серебряные Пруды, п.Успенский, ул.Советская    д.5</t>
  </si>
  <si>
    <t>Московская область, городской округ Серебряные Пруды, п.Успенский, ул.Советская    д.2,4</t>
  </si>
  <si>
    <t>Московская область, городской округ Серебряные Пруды, п.Успенский, ул.50 лет Октября    д.2</t>
  </si>
  <si>
    <t>Московская область, городской округ Серебряные Пруды, п.Дмитриевский, д.11</t>
  </si>
  <si>
    <t>Московская область, городской округ Серебряные Пруды, п.Дмитриевский, д.12</t>
  </si>
  <si>
    <t>Московская область, городской округ Серебряные Пруды, п.Успенский, ул.Луговая     д.2</t>
  </si>
  <si>
    <t xml:space="preserve">Московская область, городской округ Серебряные Пруды, п.Дмитриевский </t>
  </si>
  <si>
    <t>Московская область, городской округ Серебряные Пруды, п.Успенский     (БТЗ)</t>
  </si>
  <si>
    <t>Московская область, городской округ Серебряные Пруды, п.Успенский   ул.Советская</t>
  </si>
  <si>
    <t xml:space="preserve">Московская область, городской округ Серебряные Пруды, п.Успенский   ул.Луговая </t>
  </si>
  <si>
    <t xml:space="preserve">Московская область, городской округ Серебряные Пруды, п.Успенский  ул.Садовая </t>
  </si>
  <si>
    <t>Московская область, городской округ Серебряные Пруды, п.Успенский  ул.50 Лет Октября</t>
  </si>
  <si>
    <t xml:space="preserve">Московская область, городской округ Серебряные Пруды, п.Успенский </t>
  </si>
  <si>
    <t>Московская область, городской округ Серебряные Пруды, д.Митякино</t>
  </si>
  <si>
    <t>Московская область, городской округ Серебряные Пруды, д.Митякино (у кладбища)</t>
  </si>
  <si>
    <t>Московская область, городской округ Серебряные Пруды, д.Верхняя Пурловка</t>
  </si>
  <si>
    <t>Московская область, городской округ Серебряные Пруды, д.Красновские Выселки</t>
  </si>
  <si>
    <t>Московская область, городской округ Серебряные Пруды, д.Савинка</t>
  </si>
  <si>
    <t>Московская область, городской округ Серебряные Пруды, д.Кораблёвка</t>
  </si>
  <si>
    <t>Московская область, городской округ Серебряные Пруды, п.Успенский ул.50 Лет Октября д.9, д.7</t>
  </si>
  <si>
    <t>Московская область, городской округ Серебряные Пруды, п.Успенский ул.50 Лет Октября д.5, д.3</t>
  </si>
  <si>
    <t>Московская область, городской округ Серебряные Пруды, п.Успенский ул.Садовая д.1"А"</t>
  </si>
  <si>
    <t>Московская область, городской округ Серебряные Пруды, п.Успенский ул.50 Лет Октября д.4</t>
  </si>
  <si>
    <t>Московская область, городской округ Серебряные Пруды, п.Успеский ул.Садовая д.2</t>
  </si>
  <si>
    <t>Московская область, городской округ Серебряные Пруды, п.Успенскиц ул.Садовая д.4</t>
  </si>
  <si>
    <t>Московская область, городской округ Серебряные Пруды, п.Успенский ул.Советская д.4</t>
  </si>
  <si>
    <t>Московская область, городской округ Серебряные Пруды, п.Успенский ул.Луговая д.2</t>
  </si>
  <si>
    <t>Московская область, городской округ Серебряные Пруды, п.Успенский у.Луговая д.6</t>
  </si>
  <si>
    <t>Московская область, городской округ Серебряные Пруды, п.Успенский ул.Луговая д.8, ул.Советская д.13, ул.Советская д.11</t>
  </si>
  <si>
    <t>Московская область, городской округ Серебряные Пруды, п.Успенский ул.Советская д.10</t>
  </si>
  <si>
    <t>Московская область, городской округ Серебряные Пруды, п.Успенский ул.Советская д.12</t>
  </si>
  <si>
    <t>Московская область, городской округ Серебряные Пруды, п.Успенский ул.Запрудная  д.7</t>
  </si>
  <si>
    <t>Московская область, городской округ Серебряные Пруды, п.Успенский ул.Зпрудная д.11</t>
  </si>
  <si>
    <t>Московская область, городской округ Серебряные Пруды, п.Успенский ул.Заводская д.5</t>
  </si>
  <si>
    <t>Московская область, городской округ Серебряные Пруды, п.Дмитриевский д.2, д.4</t>
  </si>
  <si>
    <t>Московская область, городской округ Серебряные Пруды, п.Дмитриевский д.9</t>
  </si>
  <si>
    <t>Московская область, городской округ Серебряные Пруды, п.Дмитриевский д.1</t>
  </si>
  <si>
    <t>Московская область, городской округ Серебряные Пруды, д.Красновские Выселки ул.Школьная д.5</t>
  </si>
  <si>
    <t>Московская область, городской округ Серебряные Пруды, п.Дмитриевский д.11, д. 12</t>
  </si>
  <si>
    <t>Московская область, городской округ Серебряные Пруды, п. Успенский, ул. Луговая 8, ул. Советская д.13</t>
  </si>
  <si>
    <t>Московская область, городской округ Серебряные Пруды, п. Успенский, ул. 50 лет Октября</t>
  </si>
  <si>
    <t>Московская область, городской округ Серебряные Пруды, п.Успенский ул.Советская д.5</t>
  </si>
  <si>
    <t>Московская область, городской округ Серебряные Пруды,п.Успенский ул.Луговая д.8, ул.Советская д.13, ул.Советская д.11</t>
  </si>
  <si>
    <t>Московская область, городской округ Серебряные Пруды, п. Успенский, ул.Запрудная д.12</t>
  </si>
  <si>
    <t>Московская область, городской округ Серебряные Пруды, п.Успенский ул.Трудовая</t>
  </si>
  <si>
    <t>Московская область, городской округ Серебряные Пруды, п.Успенский ул.Луговая д.6, ул.Луговая д.2</t>
  </si>
  <si>
    <t>Московская область, городской округ Серебряные Пруды, п.Дмитриевский (возле дома интерната "Надежда")</t>
  </si>
  <si>
    <t>Московская область, городской округ Серебряные Пруды п.Дмитриевский, д. 5А</t>
  </si>
  <si>
    <t>Московская область, городской округ Серебряные Пруды, посёлок Успенский , ул. 50 лет Октября</t>
  </si>
  <si>
    <t>Московская область, городской округ Серебряные Пруды, п.Дмитриевский, вблизи д.2</t>
  </si>
  <si>
    <t>Часть здания нежилого назначения (здание администрации)</t>
  </si>
  <si>
    <t>Московская область, городской округ Серебряные Пруды, п.Успенский , ул.Трудовая ,д.14</t>
  </si>
  <si>
    <t>Московская область, городской округ Серебряные Пруды, п.Успенский, ул. Трудовая</t>
  </si>
  <si>
    <t>Московская область, городской округ Серебряные Пруды, п. Успенский, ул. Садовая</t>
  </si>
  <si>
    <t>Московская область, городской округ Серебряные Пруды, п.Дмитриевский</t>
  </si>
  <si>
    <t>Московская область, городской округ Серебряные Пруды, д. Дмитриевка</t>
  </si>
  <si>
    <t>Московская область, городской округ Серебряные Пруды, д. Серково</t>
  </si>
  <si>
    <t>Московская область, городской округ Серебряные Пруды, д. Верхняя Пурловка</t>
  </si>
  <si>
    <t>Московская область, городской округ Серебряные Пруды, д. Кораблевка</t>
  </si>
  <si>
    <t>Московская область, городской округ Серебряные Пруды, д. Елисеевка</t>
  </si>
  <si>
    <t>Московская область, городской округ Серебряные Пруды, д. Красновские Выселки, ул. Школьная</t>
  </si>
  <si>
    <t>Московская область, городской округ Серебряные Пруды, д. Красновские Выселки, ул. Центральная</t>
  </si>
  <si>
    <t>Московская область, городской округ Серебряные Пруды, д. Красновские Выселки, ул. Берёзовая</t>
  </si>
  <si>
    <t>Московская область, городской округ Серебряные Пруды, п. Успенский, ул. Советская</t>
  </si>
  <si>
    <t>Московская область, городской округ Серебряные Пруды, п. Успенский, ул. Луговая</t>
  </si>
  <si>
    <t>Московская область, городской округ Серебряные Пруды, п. Успенский, ул. Заводская</t>
  </si>
  <si>
    <t>Московская область, городской округ Серебряные Пруды, п. Успенский, ул. Трудовая</t>
  </si>
  <si>
    <t>Московская область, городской округ Серебряные Пруды, д. Нижняя Пурловка</t>
  </si>
  <si>
    <t>Московская область, городской округ Серебряные Пруды, п. Успенский, ул. Запрудная</t>
  </si>
  <si>
    <t xml:space="preserve">Московская область, городской округ Серебряные Пруды, п.Дмитриевский, </t>
  </si>
  <si>
    <t>Земельный участок, категория земель: земли населённых пунктов, ВРИ - для эксплуатации контейнерных ящиков</t>
  </si>
  <si>
    <t>Московская область, городской округ Серебряные Пруды, с. Подхожее, мкр-н Юбилейный, д. 10</t>
  </si>
  <si>
    <t>Нежилое помещение (ДК Подхожее) здание 2-х этажное, общей площадью 1954,6 кв.м.. Инв. № 273:078-3025, лит. А</t>
  </si>
  <si>
    <t>50:39:0060301:25</t>
  </si>
  <si>
    <t>50:39:0060201:113</t>
  </si>
  <si>
    <t>50:39:0060305:273</t>
  </si>
  <si>
    <t xml:space="preserve"> 50:390060303:48</t>
  </si>
  <si>
    <t>50:39:0060304:180</t>
  </si>
  <si>
    <t>50:39:0060311:185</t>
  </si>
  <si>
    <t>50:39:0060403:269</t>
  </si>
  <si>
    <t>50:39:0070304:44</t>
  </si>
  <si>
    <t>50:39:0070304:45</t>
  </si>
  <si>
    <t>Плотина №1 (проезд транспорта), инв. № 237:078-5364, высота 4м, ширина, 7,7м, протяженность 60,0 м</t>
  </si>
  <si>
    <t>Плотина№2 (проезд транспорта), , инв. № 273:078-5350,  объем 181 тыс. куб.м., высрта 6,5м, длина, 224м, ширина 7,8м</t>
  </si>
  <si>
    <t>Плотина (проезд транспорта), высота 3,0м. Ширина 8,4м, протяженность 82,0м</t>
  </si>
  <si>
    <t>Плотина (проезд транспорта), инв. № 273:078-5354, объем 15 тыс. куб.м, высота 3,0м, длина 60м, ширина 6,0м</t>
  </si>
  <si>
    <t>Плотина (проезд транспорта), инв № 273:078-5355, высота 3,0м, ширина 6,0м, протяженность 71,0м</t>
  </si>
  <si>
    <t>Плотина (проезд транспорта), инв № 273:078-5357, объем 328 тыс. куб.м. высота 1,5м, длина 67,0м, ширина 5,7м</t>
  </si>
  <si>
    <t>Плотина №1 (проезд транспорта)инв. № 273:078-5358, объем 35 тыс. куб.м., высота 2,0м, длина 100м, ширина 6,6м</t>
  </si>
  <si>
    <t>Плотина №2 (проезд транспорта), инв. № 273:078-5359, объем 41 тыс. куб.м., высота 54,0м. Длина 75м. Ширина 6,5м</t>
  </si>
  <si>
    <t>Плотина №1 (проезд транспорта), высота 5,6м, ширина 6,5м, протяженность 106,0м</t>
  </si>
  <si>
    <t>Плотина №2 (проезд транспорта), высота 3,5м, ширина 10,1м. Протяженность 60,0м</t>
  </si>
  <si>
    <t>Плотина (проезд транспорта), высота 3,5м, ширина 8,5м, протяженность 156,0м</t>
  </si>
  <si>
    <t>Плотина (проезд транспорта), объем 30 тыс.куб.м, высота 6,0м, длина 75м, ширина 6,3м</t>
  </si>
  <si>
    <t>Московская об. Городской округ Серебряные Пруды   д. Якимовка</t>
  </si>
  <si>
    <t>Московская об. Городской округ Серебряные Пруды   д. Озерки</t>
  </si>
  <si>
    <t>Московская об. Городской округ Серебряные Пруды   д. Курбатово</t>
  </si>
  <si>
    <t>Московская об. Городской округ Серебряные Пруды   с.Клинское</t>
  </si>
  <si>
    <t>50:39:0060303:52</t>
  </si>
  <si>
    <t>Московская об. Городской округ Серебряные Пруды   д. Николаевка</t>
  </si>
  <si>
    <t>50:39:0070306:81</t>
  </si>
  <si>
    <t>Московская об. Городской округ Серебряные Пруды   д. Крутовец</t>
  </si>
  <si>
    <t>50:39:0000000:4188</t>
  </si>
  <si>
    <t>Московская об. Городской округ Серебряные Пруды   с. Аннино</t>
  </si>
  <si>
    <t>50:39:0060302:280</t>
  </si>
  <si>
    <t>Московская об. Городской округ Серебряные Пруды   с. Куребино</t>
  </si>
  <si>
    <t>50:39:0000000:4206</t>
  </si>
  <si>
    <t>Московская об. Городской округ Серебряные Пруды   д. Шеметово</t>
  </si>
  <si>
    <t>50:39:0060104:709</t>
  </si>
  <si>
    <t>Московская об. Городской округ Серебряные Пруды   с. Кормовое</t>
  </si>
  <si>
    <t>50:39:0000000:4189</t>
  </si>
  <si>
    <t>Московская об. Городской округ Серебряные Пруды   д. Большое Рогатово</t>
  </si>
  <si>
    <t>50:39:0060102:301</t>
  </si>
  <si>
    <t>Московская об. Городской округ Серебряные Пруды   д. Яблонево</t>
  </si>
  <si>
    <t>50:39:0060304:188</t>
  </si>
  <si>
    <t>Московская об. Городской округ Серебряные Пруды   с. Мочилы, ул. Лесная</t>
  </si>
  <si>
    <t>50:39:0060306:1021</t>
  </si>
  <si>
    <t>Московская об. Городской округ Серебряные Пруды   с. Подхожее, м-н Юбилейный</t>
  </si>
  <si>
    <t>50:39:0060501:160</t>
  </si>
  <si>
    <t>50:39:0060306:1025</t>
  </si>
  <si>
    <t>Московская об. Городской округ Серебряные Пруды   д. Ламоново</t>
  </si>
  <si>
    <t>50:39:0060107:407</t>
  </si>
  <si>
    <t>50:39:0060306:845</t>
  </si>
  <si>
    <t>50:39:0060302:281</t>
  </si>
  <si>
    <t>Московская об. Городской округ Серебряные Пруды   с. Мочилы, ул. Юбилейная</t>
  </si>
  <si>
    <t xml:space="preserve">Московская об. Городской округ Серебряные Пруды, д. Яблонево  </t>
  </si>
  <si>
    <t>50:39:0060304:189</t>
  </si>
  <si>
    <t>Московская об. Городской округ Серебряные Пруды, д. Куньи Выселки</t>
  </si>
  <si>
    <t>Московская об. Городской округ Серебряные Пруды, с. Подхожее, ул. Советская</t>
  </si>
  <si>
    <t>Московская об. Городской округ Серебряные Пруды, д. Александровка</t>
  </si>
  <si>
    <t>Московская об. Городской округ Серебряные Пруды, д.Клинское</t>
  </si>
  <si>
    <t>Московская об. Городской округ Серебряные Пруды, д.Лишняги</t>
  </si>
  <si>
    <t>Московская об. Городской округ Серебряные Пруды, д. Шеметово</t>
  </si>
  <si>
    <t>Московская об. Городской округ Серебряные Пруды, с. Куребино</t>
  </si>
  <si>
    <t>Московская об. Городской округ Серебряные Пруды, д. Озерки</t>
  </si>
  <si>
    <t>Московская об. Городской округ Серебряные Пруды, с. Подхожее</t>
  </si>
  <si>
    <t>50:39:0060104:556</t>
  </si>
  <si>
    <t>Московская об. Городской округ Серебряные Пруды, с. Мочилы, ул. Южная</t>
  </si>
  <si>
    <t>Московская об. Городской округ Серебряные Пруды, с. Кормовое</t>
  </si>
  <si>
    <t>Московская об. Городской округ Серебряные Пруды, д. Курбатово</t>
  </si>
  <si>
    <t>Московская об. Городской округ Серебряные Пруды, с. Подхожее, ул. Прудская</t>
  </si>
  <si>
    <t>Московская об. Городской округ Серебряные Пруды, д. Якимовка</t>
  </si>
  <si>
    <t>Московская об. Городской округ Серебряные Пруды, с. Мочилы,              ул. Школьная</t>
  </si>
  <si>
    <t>Московская об. Городской округ Серебряные Пруды, с. Подхожее, ул. Б.Слабода</t>
  </si>
  <si>
    <t>Московская об. Городской округ Серебряные Пруды,  с. Мочилы, ул. Юбилейная</t>
  </si>
  <si>
    <t>Московская об. Городской округ Серебряные Пруды,  с. Мочилы, ул. Школьная</t>
  </si>
  <si>
    <t>Московская об. Городской округ Серебряные Пруды,  с. Мочилы, ул. Лесная</t>
  </si>
  <si>
    <t>Московская об. Городской округ Серебряные Пруды,  с. Подхожее ул. Прудская</t>
  </si>
  <si>
    <t>Московская об. Городской округ Серебряные Пруды,  с. Мочилы ул. Юбилейная</t>
  </si>
  <si>
    <t>Московская об. Городской округ Серебряные Пруды,  с. Подхожее, м-н Юбилейный</t>
  </si>
  <si>
    <t>Московская об. Городской округ Серебряные Пруды,  с.Мочилы, ул. Школьная</t>
  </si>
  <si>
    <t>Московская об. Городской округ Серебряные Пруды,  с. Куребино</t>
  </si>
  <si>
    <t>Московская об. Городской округ Серебряные Пруды,   с. Мочилы, ул. Школьная</t>
  </si>
  <si>
    <t>Автомобильная дорога с грунтовым покрытием, кадастровый номер земельного участка 50:39:0060303:37, Протяженность 2150м</t>
  </si>
  <si>
    <t>Автомобильная дорога с  переходным покрытием, кадастровый номер земельного участка 50:39:0070101:109, Протяженность 223м</t>
  </si>
  <si>
    <t>Автомобильная дорога с  твердым покрытием, кадастровый номер земельного участка 50:39:0060403:111, Протяженность1434м</t>
  </si>
  <si>
    <t>Автомобильная дорога с грунтовым покрытием, кадастровый номер земельного участка 50:39:0070306:69, Протяженность 360м</t>
  </si>
  <si>
    <t>Автомобильная дорога с   переходным покрытием, кадастровый номер земельного участка 50:39:000000:195, Протяженность 410м</t>
  </si>
  <si>
    <t>Автомобильная дорога с   переходным покрытием, кадастровый номер земельного участка 50:39:0060302:141, Протяженность 805м</t>
  </si>
  <si>
    <t>Автомобильная дорога с грунтовым покрытием, кадастровый номер земельного участка 50:39:0000000:196, Протяженность 1835м</t>
  </si>
  <si>
    <t>Автомобильная дорога с  твердым покрытием, кадастровый номер земельного участка 50:39:0060104:170, Протяженность 116м</t>
  </si>
  <si>
    <t>Автомобильная дорога с грунтовым покрытием, кадастровый номер земельного участка 50:39:0000000:193, Протяженность 1780м</t>
  </si>
  <si>
    <t>Автомобильная дорога с   переходным покрытием, кадастровый номер земельного участка 50:39:0060102:125, Протяженность 1450м</t>
  </si>
  <si>
    <t>Автомобильная дорога с грунтовым покрытием, кадастровый номер земельного участка 50:39:0060304:80, Протяженность 438м</t>
  </si>
  <si>
    <t>Автомобильная дорога с  твердым покрытием, кадастровый номер земельного участка 50:39:0060306:292, Протяженность 920м</t>
  </si>
  <si>
    <t>Автомобильная дорога с  твердым покрытием, кадастровый номер земельного участка 50:39:0060501:64, Протяженность 460м</t>
  </si>
  <si>
    <t>Автомобильная дорога с грунтовым покрытием, кадастровый номер земельного участка 50:39:0060306:992, Протяженность 230м</t>
  </si>
  <si>
    <t>Автомобильная дорога с  твердым покрытием, кадастровый номер земельного участка 50:39:0060107:406, Протяженность 850м</t>
  </si>
  <si>
    <t>Автомобильная дорога с   переходным покрытием, кадастровый номер земельного участка 50:39:0060302:278, Протяженность 800м</t>
  </si>
  <si>
    <t>Автомобильная дорога с  твердым покрытием, кадастровый номер земельного участка 50:39:0060306:1003, Протяженность 1265м</t>
  </si>
  <si>
    <t>Автомобильная дорога с грунтовым покрытием, кадастровый номер земельного участка 50:39:0060304:183, Протяженность 1120м</t>
  </si>
  <si>
    <t>Автомобильная дорога с грунтовым покрытием, кадастровый номер земельного участка 50:39:0000000:4099, Протяженность 3000м</t>
  </si>
  <si>
    <t>Автомобильная дорога с грунтовым покрытием, кадастровый номер земельного участка 50:39:0060502:616, Протяженность 2300м</t>
  </si>
  <si>
    <t>Автомобильная дорога с грунтовым покрытием, кадастровый номер земельного участка 50:39:0060105:247, Протяженность 150м</t>
  </si>
  <si>
    <t>Автомобильная дорога с   переходным покрытием, кадастровый номер земельного участка 50:39:0060303:47, Протяженность 300м</t>
  </si>
  <si>
    <t>Автомобильная дорога с грунтовым покрытием, кадастровый номер земельного участка 50:39:0060110:299, Протяженность 1100м</t>
  </si>
  <si>
    <t>Автомобильная дорога с грунтовым покрытием, кадастровый номер земельного участка 50:39:0060311:187, Протяженность 350м</t>
  </si>
  <si>
    <t>Автомобильная дорога с грунтовым покрытием, кадастровый номер земельного участка 50:39:0000000:4268, Протяженность 200м</t>
  </si>
  <si>
    <t>Автомобильная дорога с грунтовым покрытием, кадастровый номер земельного участка 50:39:0060503:311, Протяженность 1570м</t>
  </si>
  <si>
    <t>Автомобильная дорога с грунтовым покрытием,  Протяженность 800м</t>
  </si>
  <si>
    <t>Автомобильная дорога с грунтовым покрытием,  Протяженность 1100м</t>
  </si>
  <si>
    <t>Автомобильная дорога с   переходным покрытием, кадастровый номер земельного участка 50:39:0060112:389, Протяженность 609м</t>
  </si>
  <si>
    <t>Автомобильная дорога с  твердым покрытием, кадастровый номер земельного участка 50:39:0060110:296, Протяженность 550м</t>
  </si>
  <si>
    <t>Автомобильная дорога с  твердым покрытием, кадастровый номер земельного участка 50:39:0060104:698, Протяженность 810м</t>
  </si>
  <si>
    <t>Автомобильная дорога с  твердым покрытием, кадастровый номер земельного участка 50:39:0060403:270, Протяженность 430м</t>
  </si>
  <si>
    <t>Автомобильная дорога с  твердым покрытием, кадастровый номер земельного участка 50:39:0000000:4190, Протяженность 1318м</t>
  </si>
  <si>
    <t>Автомобильная дорога с  твердым покрытием. Протяженность 335м</t>
  </si>
  <si>
    <t>Автомобильная дорога с  твердым покрытием. Протяженность 940м</t>
  </si>
  <si>
    <t>Автомобильная дорога с  твердым покрытием. Протяженность 670м</t>
  </si>
  <si>
    <t>Автомобильная дорога с  твердым покрытием. Протяженность300м</t>
  </si>
  <si>
    <t>Автомобильная дорога, кадастровый номер земельного участка 50:39:0060306:1026</t>
  </si>
  <si>
    <t>Автомобильная дорога, кадастровый номер земельного участка 50:39:0060502:621</t>
  </si>
  <si>
    <t>Московская об. Городской округ Серебряные Пруды, с. Подхожее, ул. Мира. Ул. Большая Луговая</t>
  </si>
  <si>
    <t>50:39:0000000:4207</t>
  </si>
  <si>
    <t>225 540.00</t>
  </si>
  <si>
    <t>92 406.90</t>
  </si>
  <si>
    <t>14 330.10</t>
  </si>
  <si>
    <t>138 546.00</t>
  </si>
  <si>
    <t xml:space="preserve">23 133.60 </t>
  </si>
  <si>
    <t>26 346.60</t>
  </si>
  <si>
    <t>51 874.20</t>
  </si>
  <si>
    <t>118 247.40</t>
  </si>
  <si>
    <t>114 703.2</t>
  </si>
  <si>
    <t>93 438.0</t>
  </si>
  <si>
    <t>28 146.00</t>
  </si>
  <si>
    <t>59 284.80</t>
  </si>
  <si>
    <t>29 559.60</t>
  </si>
  <si>
    <t>253 893.60</t>
  </si>
  <si>
    <t>356 610.80</t>
  </si>
  <si>
    <t>168 145.5</t>
  </si>
  <si>
    <t>519 042.60</t>
  </si>
  <si>
    <t>Обелиск односельчанам, погибшим в годы ВОВ</t>
  </si>
  <si>
    <t>142954 М.О. Серебряно- Прудский р-н с. Мочилы</t>
  </si>
  <si>
    <t>Памятник жителю д.Лишняги Иванову И.О., погибшему в годы ВОВ</t>
  </si>
  <si>
    <t>142955 М.О. Серебряно-Прудский р-он, с. Подхожее, ул. Мира</t>
  </si>
  <si>
    <t>Обелиск солдатам погибшим в годы ВОВ</t>
  </si>
  <si>
    <t>142956 М.О. Серебряно-Прудский р-он, д. Шеметово</t>
  </si>
  <si>
    <t>Бюст Карла Маркса</t>
  </si>
  <si>
    <t>Скульптура воинов погибших в годы ВОВ</t>
  </si>
  <si>
    <t>142956 М.О. Серебряно-Прудский р-н, с.Куребино</t>
  </si>
  <si>
    <t>Здание бани</t>
  </si>
  <si>
    <t>МО, городской округ Серебряные Пруды, с. Узуново м-н Северный</t>
  </si>
  <si>
    <t>Здание материально-технического склада</t>
  </si>
  <si>
    <t>МО, городской округ Серебряные Пруды. с. Узуново м-н Южный</t>
  </si>
  <si>
    <t>МО, городской округ Серебряные Пруды, с.Узуново</t>
  </si>
  <si>
    <t>МО, городской округ Серебряные Пруды, с. Петрово</t>
  </si>
  <si>
    <t>МО, городской округ Серебряные Пруды, с.Глубокое</t>
  </si>
  <si>
    <t>МО, городской округ Серебряные Пруды, с.Новоклемово</t>
  </si>
  <si>
    <t>Оперативное управление УК Узуново</t>
  </si>
  <si>
    <t>Здание бани, инв. 1010003</t>
  </si>
  <si>
    <t>Здание материально-технического склада, инв. 1010012</t>
  </si>
  <si>
    <t>Здание молокозавода, инв. 1010013</t>
  </si>
  <si>
    <t>Здание электроцеха, инв. 1000163</t>
  </si>
  <si>
    <t>Часть здания нежилого назначения (здание УК Узуновское), инв. 1010002</t>
  </si>
  <si>
    <t>Здание бани, инв. 1010051</t>
  </si>
  <si>
    <t>Здание газового склада, инв. 1520220</t>
  </si>
  <si>
    <t>МО, городской округ Серебряные Пруды, п. Новоклемово</t>
  </si>
  <si>
    <t>МО, городской округ Серебряные Пруды, с.Мягкое</t>
  </si>
  <si>
    <t>МО, городской округ Серебряные Пруды,  с. Узуново мкр-н Южный</t>
  </si>
  <si>
    <t>Станция обезжилезования пос.Новоклемово, инв. 0000000559</t>
  </si>
  <si>
    <t>Станция обезжилезования с.Мягкое, инв 000000558</t>
  </si>
  <si>
    <t>Павильон с. Петрово</t>
  </si>
  <si>
    <t>Песколовка с. Петрово</t>
  </si>
  <si>
    <t>Аэротенки  с. Петрово</t>
  </si>
  <si>
    <t>Иловые площадки с. Петрово</t>
  </si>
  <si>
    <t>Био пруды с. Петрово</t>
  </si>
  <si>
    <t>МО, городской округ Серебряные Пруды,  с. Петрово</t>
  </si>
  <si>
    <t>МО, городской округ Серебряные Пруды,  с. Глубокое</t>
  </si>
  <si>
    <t>Очистные сооружения с.Глубокое, в. том числе Павильон 1шт, Иловые площадки 2шт, инв. 1520111, биопруды 2шт, аэротенки 2шт, инв. 1520112</t>
  </si>
  <si>
    <t xml:space="preserve">МО, городской округ Серебряные Пруды,  с. Крутое </t>
  </si>
  <si>
    <t>Очистные сооружения с. Крутое, инв. 1520163, в том числе Павильон 1шт, Аэротенки 2шт, Биопруды 2шт, Иловые площадкди 3шт</t>
  </si>
  <si>
    <t>МО, городской округ Серебряные Пруды,  п. Новоклемово</t>
  </si>
  <si>
    <t>МО, городской округ Серебряные Пруды, с. Узуново м-н Южный</t>
  </si>
  <si>
    <t>Очистные сооружения инв. 1100014, в том числе песколовка 1шт, аэротенки 2шт, иловые площадки 3шт, биопруды 2шт</t>
  </si>
  <si>
    <t>МО, городской округ Серебряные Пруды, с. Мягкое</t>
  </si>
  <si>
    <t>КНС с.Петрово</t>
  </si>
  <si>
    <t>КНС с.Глубокое</t>
  </si>
  <si>
    <t>МО, городской округ Серебряные Пруды, с. Крутое</t>
  </si>
  <si>
    <t>МО, городской округ Серебряные Пруды, с. Глубокое</t>
  </si>
  <si>
    <t>КНС, объем 400 куб.м., п. Новоклемово</t>
  </si>
  <si>
    <t>Каниз.нас.станция №1, инв. 1100006</t>
  </si>
  <si>
    <t>Кан.нас.станция №2, инв. 1100007</t>
  </si>
  <si>
    <t>МО, городской округ Серебряные Пруды,  с. Узуново ул. Советская</t>
  </si>
  <si>
    <t>МО, городской округ Серебряные Пруды, с. Узуново (у локомотивного депо)</t>
  </si>
  <si>
    <t>МО, городской округ Серебряные Пруды, с. Клемово</t>
  </si>
  <si>
    <t>МО, городской округ Серебряные Пруды, с.Узуново ул. Почтовая</t>
  </si>
  <si>
    <t>МО, городской округ Серебряные Пруды, д.Коровино</t>
  </si>
  <si>
    <t>Ливневая канализация, инв. 1000176</t>
  </si>
  <si>
    <t>Очистные сооружения, инв. 1520124, в.т.ч.</t>
  </si>
  <si>
    <t>1999.1</t>
  </si>
  <si>
    <t>1999.2</t>
  </si>
  <si>
    <t>1999.3</t>
  </si>
  <si>
    <t>1999.4</t>
  </si>
  <si>
    <t>1999.5</t>
  </si>
  <si>
    <t xml:space="preserve">Теплотрасса, инв. 1200013, протяженность 1478м </t>
  </si>
  <si>
    <t>Трасса ГВС инв. 1000177, протяженность 1370м</t>
  </si>
  <si>
    <t xml:space="preserve">Теплотрасса инв. 12001, протяженность 1856 </t>
  </si>
  <si>
    <t xml:space="preserve">Теплотрасса инв. 1200023, протяженность 3857м </t>
  </si>
  <si>
    <t xml:space="preserve">Трасса ГВС, инв. 1200025, протяженность 2822м </t>
  </si>
  <si>
    <t>Теплотрасса и сеть ГВС инв. 1200016. Протяженность в двухтрубном исчислении 2536 м</t>
  </si>
  <si>
    <t xml:space="preserve">Теплотрасса и сеть ГВС, инв. 1520142. Протяженность в двухтрубном исчислении 5672м </t>
  </si>
  <si>
    <t xml:space="preserve">Теплотрасса и сеть ГВС, инв. 1520192, инв. 1520195, протяженность 5846 </t>
  </si>
  <si>
    <t>Здание ЦТП, нв. 1010007</t>
  </si>
  <si>
    <t xml:space="preserve">МО, городской округ Серебряные Пруды, с. Узуново ул.Почтовая </t>
  </si>
  <si>
    <t xml:space="preserve"> МО, городской округ Серебряные Пруды, с. Узуново ул.Почтовая </t>
  </si>
  <si>
    <t xml:space="preserve">МО, городской округ Серебряные Пруды, с. Узуново м-н Северный </t>
  </si>
  <si>
    <t xml:space="preserve">МО, городской округ Серебряные Пруды, с. Узуново м-н Южный (в т.ч.ул.Юбилейная) </t>
  </si>
  <si>
    <t>МО, городской округ Серебряные Пруды,  с.Мягкое</t>
  </si>
  <si>
    <t xml:space="preserve">МО, городской округ Серебряные Пруды, с.Петрово </t>
  </si>
  <si>
    <t>МО, городской округ Серебряные Пруды, с.Крутое</t>
  </si>
  <si>
    <t>МО, городской округ Серебряные Пруды,  с. Узуново ул. Почтовая</t>
  </si>
  <si>
    <t>газопровод низкого давления, инв. 1520217,  протяженность 63м сталь, 524,1м полиэтилен</t>
  </si>
  <si>
    <t xml:space="preserve">газопровод низкого давления. Инв. 1520221, протяженность 255,65м, сталь </t>
  </si>
  <si>
    <t xml:space="preserve">газопровод низкого давления, инв. 1520215, протяженность 50м, полиэтилен </t>
  </si>
  <si>
    <t>Газопровод низкого давленияПротяженность 10,9 м, сталь</t>
  </si>
  <si>
    <t>Газопровод низкого давления  к жилым домам № 90,92,94,96,98,100,102,104</t>
  </si>
  <si>
    <t>МО, городской округ Серебряные Пруды, с.Коровино</t>
  </si>
  <si>
    <t>МО, городской округ Серебряные Пруды,  с.Петрово</t>
  </si>
  <si>
    <t>МО, городской округ Серебряные Пруды,  с. Узуново. М-н Южный</t>
  </si>
  <si>
    <t>МО, городской округ Серебряные Пруды,  с. Узуново. м-н Северный</t>
  </si>
  <si>
    <t>МО, городской округ Серебряные Пруды,  с. Коровино</t>
  </si>
  <si>
    <t>МО, городской округ Серебряные Пруды,  с. Мягкое</t>
  </si>
  <si>
    <t>Котельная газовая инв. 1010004</t>
  </si>
  <si>
    <t>Здание старой котельной инв. 01010001</t>
  </si>
  <si>
    <t>Котельная инв. 01010047</t>
  </si>
  <si>
    <t>Котельная блочно-модульная школа инв. 1520218</t>
  </si>
  <si>
    <t>Котельная  дет/сад инв. 1520213</t>
  </si>
  <si>
    <t>Котельная блочно-модульная ЦДК инв. 1520219</t>
  </si>
  <si>
    <t>Здание старой котельной МТМ инв. 0101001</t>
  </si>
  <si>
    <t>Котельная на территории дет.сад инв. 1010006</t>
  </si>
  <si>
    <t>Котельная инв. 1010008</t>
  </si>
  <si>
    <t>Артскважина, инв. 000000534. скважина глубина 102м. Павильон 15 кв.м.</t>
  </si>
  <si>
    <t xml:space="preserve">Артскважина, инв. 00000535  № 46 211808, глубина 80м, насос ЭЦВ-6-16-110. год бурения 1964, </t>
  </si>
  <si>
    <t>Артскважина инв. 1520109  № 46 210079. глубина 140м, насос ЭЦВ-8-25-125, дата бурения 1980г</t>
  </si>
  <si>
    <t>Артскважина №1инв. 1520189№ 46 211820, Глубина 70м, насос ЭЦВ-6-16-110, год бурения 1961, павильон 28 кв.м.</t>
  </si>
  <si>
    <t xml:space="preserve">Артскважина, инв. 00000530 Глубина 110м </t>
  </si>
  <si>
    <t>Артскважина, инв. 1520314. Глубина 110м, насос ЭЦВ-8-25-125, год бурения 1973  № 46 211825 (дублер)</t>
  </si>
  <si>
    <t>Артскважина, инв. 1520313, Глубина 178м, год бурения 1957 , павильон (башня)</t>
  </si>
  <si>
    <t xml:space="preserve">Артскважина, инв. 1520318, глубина 120м, год бурения 1961г </t>
  </si>
  <si>
    <t>Артскважина, инв. 1100022, Глубина 75м, насос ЭЦВ-8-25-110, год бурения 1987, без павильона подземная № 46 213187</t>
  </si>
  <si>
    <t>Артскважина, Глубина 135м, насос ЭЦВ-8-16-110, год бурения 1973.  № 46 210064</t>
  </si>
  <si>
    <t>Водозаборный узел с 3-мя артскважинами. Инв. 1100002, в т.ч.:</t>
  </si>
  <si>
    <t>Артскважина Глубина 172м, насос компрессор 3иф-55, дата бурения 1963 № 204284</t>
  </si>
  <si>
    <t>ВЗУ с артскважиной. Инв. 1100003, глубина 80м, насос ЭЦВ-6-16-140. год бурения 1971. №46 240292</t>
  </si>
  <si>
    <t>ВЗУ</t>
  </si>
  <si>
    <t>Водопроводные сети, инв. 1520144, Протяженность 1100м. Диаметр трубы 100мм</t>
  </si>
  <si>
    <t xml:space="preserve">Водопроводные сети, инв. 1000155, Протяженность 500м. Диаметр трубы 100мм </t>
  </si>
  <si>
    <t xml:space="preserve">Водопроводные сети, инв. 1520141, Протяженность 2300м. Диаметр трубы 50-100мм </t>
  </si>
  <si>
    <t>Водопроводные сети, инв. 1520141, Протяженность 200м. Диаметр трубы 100мм</t>
  </si>
  <si>
    <t xml:space="preserve">МО, городской округ Серебряные Пруды, с. Петрово </t>
  </si>
  <si>
    <t>МО, городской округ Серебряные Пруды, с.Боршово</t>
  </si>
  <si>
    <t>МО, городской округ Серебряные Пруды, с. Новомойгоры</t>
  </si>
  <si>
    <t>МО, городской округ Серебряные Пруды, с.Есипово</t>
  </si>
  <si>
    <t xml:space="preserve">МО, городской округ Серебряные Пруды, с.Крутое </t>
  </si>
  <si>
    <t>МО, городской округ Серебряные Пруды, п.Новоклемово</t>
  </si>
  <si>
    <t>МО, городской округ Серебряные Пруды, с.Клемово</t>
  </si>
  <si>
    <t>МО, городской округ Серебряные Пруды, с.Колеймино</t>
  </si>
  <si>
    <t>МО, городской округ Серебряные Пруды, с. Лошатово</t>
  </si>
  <si>
    <t>МО, городской округ Серебряные Пруды, д. Барыково</t>
  </si>
  <si>
    <t>МО, городской округ Серебряные Пруды, с. Узуново ул.Почтовая</t>
  </si>
  <si>
    <t>МО, городской округ Серебряные Пруды, ул.Почтовая</t>
  </si>
  <si>
    <t xml:space="preserve"> МО, городской округ Серебряные Пруды, с. Узуново м-н Южный </t>
  </si>
  <si>
    <t xml:space="preserve">МО, городской округ Серебряные Пруды, с. Узуново м-н Южный </t>
  </si>
  <si>
    <t>МО, городской округ Серебряные Пруды, д.Тютьково</t>
  </si>
  <si>
    <t>МО, городской округ Серебряные Пруды, с.Есипово, д. Новоселки</t>
  </si>
  <si>
    <t xml:space="preserve"> МО, городской округ Серебряные Пруды, д. Беляево</t>
  </si>
  <si>
    <t>МО, городской округ Серебряные Пруды, с. Узуново ул.Садовая</t>
  </si>
  <si>
    <t>МО, городской округ Серебряные Пруды, с. Узуново ул.Советская</t>
  </si>
  <si>
    <t>МО, городской округ Серебряные Пруды, д.Коровино-д. Тютьково</t>
  </si>
  <si>
    <t xml:space="preserve">МО, городской округ Серебряные Пруды, с.Крутое от д.50 до д.75 </t>
  </si>
  <si>
    <t>МО, городской округ Серебряные Пруды, д.Боршово</t>
  </si>
  <si>
    <t>МО, городской округ Серебряные Пруды, д. Новомойгры- д.Скородня</t>
  </si>
  <si>
    <t>МО, городской округ Серебряные Пруды, с.Барыково</t>
  </si>
  <si>
    <t>МО, городской округ Серебряные Пруды, с.Лошатово</t>
  </si>
  <si>
    <t>МО, городской округ Серебряные Пруды, с.Косяево</t>
  </si>
  <si>
    <t>МО, городской округ Серебряные Пруды, с.Петрово</t>
  </si>
  <si>
    <t>МО, городской округ Серебряные Пруды, д.Беляево</t>
  </si>
  <si>
    <t>50:39:0020316:57</t>
  </si>
  <si>
    <t>50:39:0030305:998</t>
  </si>
  <si>
    <t xml:space="preserve">Зал настольных, инв. 1101050705 </t>
  </si>
  <si>
    <t xml:space="preserve">Часть здания -Зал настольных игр, нежилое, 1-о этажное, инв. 274:078-3650/1, лит.А. Инв. 1101050079 </t>
  </si>
  <si>
    <t>Универсальная спортивная площадка, инв.1101050085 ,нежилое, общественное, инв. № 274:078-4441, лит. 1-1</t>
  </si>
  <si>
    <t>Волейбольная площадка инв. 1101050084, нежилое, общественное, инв. № 274:078-4443, лит. 1-1</t>
  </si>
  <si>
    <t>50:39:0030108:110</t>
  </si>
  <si>
    <t xml:space="preserve">Здание СДК, инв. 1101020029, нежилое. 1-о этажный, инв. 274:078-4645, лит. Б </t>
  </si>
  <si>
    <t>Здание сельского клуба, инв. 1101020021, нежилое, инв №274:078-4652, лит Б,б</t>
  </si>
  <si>
    <t>Здание клуба. Инв. 1101020028 . Нежтлое, 1-этажный, инв. 274:078-3936, лит. А,а,а1</t>
  </si>
  <si>
    <t>50:39:0030303:497</t>
  </si>
  <si>
    <t>Здание СДК, инв. 1101020018 , нежилое, 1-о этажное, 1964г постройки, стены кирпичные.</t>
  </si>
  <si>
    <t xml:space="preserve"> Московская область, Серебряно-Прудский район, д. Косяево, д.10</t>
  </si>
  <si>
    <t xml:space="preserve"> Московская область, Серебряно-Прудский район, с. Глубокое,     </t>
  </si>
  <si>
    <t xml:space="preserve">Московская область, Серебряно_Прудский район, с. Глубокое,   </t>
  </si>
  <si>
    <t xml:space="preserve">Московская область, Серебряно-Прудский район, д. Есипово, д.22 </t>
  </si>
  <si>
    <t xml:space="preserve"> Нежилое помещение  </t>
  </si>
  <si>
    <t xml:space="preserve">Здание гаража  </t>
  </si>
  <si>
    <t xml:space="preserve">Нежилое помещение </t>
  </si>
  <si>
    <t>Гараж автомобильный, инв. 1101040411</t>
  </si>
  <si>
    <t>Гараж автомобильный, инв. 1101020024</t>
  </si>
  <si>
    <t xml:space="preserve">Здание библиотеки, инв. 1101020030 </t>
  </si>
  <si>
    <t>Часть здания детского сада, инв.  1101020023</t>
  </si>
  <si>
    <t xml:space="preserve">Часть здания интерната инв. 1101020022 </t>
  </si>
  <si>
    <t>МО, городской округ Серебряные Пруды, с.Новоклемово, д.61</t>
  </si>
  <si>
    <t>МО, городской округ Серебряные Пруды, с.Глубокое , д.116</t>
  </si>
  <si>
    <t>МО, городской округ Серебряные Пруды, с.Узуново, ул. Советская д.25А</t>
  </si>
  <si>
    <t>МО, городской округ Серебряные Пруды, с.Узуново, ул. Советская (м-н Южный)</t>
  </si>
  <si>
    <t>МО, городской округ Серебряные Пруды, д.Тютьково д.14-б</t>
  </si>
  <si>
    <t>МО, городской округ Серебряные Пруды, с.Клемово, д.69</t>
  </si>
  <si>
    <t>МО, городской округ Серебряные Пруды, д.Лошатово д.31</t>
  </si>
  <si>
    <t>МО, городской округ Серебряные Пруды, с.Крутое д.1</t>
  </si>
  <si>
    <t>МО, городской округ Серебряные Пруды,  с. Узуново. м-н Северный, д. 12А</t>
  </si>
  <si>
    <t>МО, городской округ Серебряные Пруды,  с.Новоклемово д.61</t>
  </si>
  <si>
    <t>МО, городской округ Серебряные Пруды, д.Колеймино д.62</t>
  </si>
  <si>
    <t>МО, городской округ Серебряные Пруды, д.Петрово, д.99</t>
  </si>
  <si>
    <t>МО, городской округ Серебряные Пруды,  с.Мягкое, д.1А</t>
  </si>
  <si>
    <t>МО, городской округ Серебряные Пруды, с.Есипово д.21</t>
  </si>
  <si>
    <t>МО, городской округ Серебряные Пруды, с.Глубокое д.116</t>
  </si>
  <si>
    <t>МО, городской округ Серебряные Пруды, с.Глубокое д.40</t>
  </si>
  <si>
    <t>50:39:0050513:170</t>
  </si>
  <si>
    <t>50:39:0050513:117</t>
  </si>
  <si>
    <t>50:39:0050513:113</t>
  </si>
  <si>
    <t xml:space="preserve"> 90 005.74</t>
  </si>
  <si>
    <t xml:space="preserve"> 466 859.05</t>
  </si>
  <si>
    <t xml:space="preserve"> 1 048 993.46</t>
  </si>
  <si>
    <t>Автомобиль УАЗ 396201, гос. номер              Е 256 КХ 90, год выпуска 1988</t>
  </si>
  <si>
    <t>Решение Совета депутатов Серебряно-Прудского района МО         № 696/70</t>
  </si>
  <si>
    <t>Трансформатор сварочный</t>
  </si>
  <si>
    <t>Автомобиль УАЗ 315195, гос. номер              О 462 ММ 90, год выпуска 2006</t>
  </si>
  <si>
    <t>Автомобиль ГАЗ 3309 КО 503 В2,              гос. номер  О 842 КХ 190, год выпуска 2010</t>
  </si>
  <si>
    <t>Кран автомашина КАМАЗ 53605-62 КС-45726-4, гос. номер К 599 НМ 190, год выпуска 2011г.</t>
  </si>
  <si>
    <t>Автомобиль Нива-шевроле, гос. номер          О 463 ММ 90, год выпуска 2010</t>
  </si>
  <si>
    <t>Автомобиль УАЗ 31512,                               гос. номер  Е 269 КХ 90, год выпуска 1997</t>
  </si>
  <si>
    <t>1000175а</t>
  </si>
  <si>
    <t>Автомобиль УАЗ 39629,                               гос. номер  С 762 МЕ 150, год выпуска 2003</t>
  </si>
  <si>
    <t>Автомобиль ГАЗ-САЗ 35071, гос. номер              Т 784 МА 190, год выпуска 2010</t>
  </si>
  <si>
    <t>Музоровоз КО 440-2 на шасси ГАЗ 3309,   гос. номер О 841 КХ 190, год выпуска 2010</t>
  </si>
  <si>
    <t>Автомобиль УАЗ 31519, гос. номер                О 452 МН 90, год выпуска 2004</t>
  </si>
  <si>
    <t>Автомобиль ГАЗ-САЗ 35071, гос. номер              Е 327 КХ 90, год выпуска 1997</t>
  </si>
  <si>
    <t>Устройство пускозарядное ТД-10-10</t>
  </si>
  <si>
    <t>Автомобиль УАЗ-3962,                                    гос. номер С 761 МЕ 150, год выпуска 2001</t>
  </si>
  <si>
    <t>Автомобиль УАЗ-3303  АПВУ-01,                                    гос. номер Е 329 КХ 90, год выпуска 1994</t>
  </si>
  <si>
    <t>Автомобиль ГАЗ-3307 КО 503 В,                                    гос. номер Е 257 КХ 90, год выпуска 2005</t>
  </si>
  <si>
    <t>Автомобиль УАЗ-22069,                                    гос. номер О 473 ММ 90, год выпуска 2000</t>
  </si>
  <si>
    <t>ККМ Эльвес-Микро К</t>
  </si>
  <si>
    <t xml:space="preserve">Насос ЭЦВ 6-10-140 (6.3 кВт) </t>
  </si>
  <si>
    <t xml:space="preserve">Насос  8-25-125 фл (13 кВт) </t>
  </si>
  <si>
    <t xml:space="preserve">Насос ЭЦВ 6-16-140 </t>
  </si>
  <si>
    <t xml:space="preserve">Насос ЭЦВ 8-25-125 (13кВт) </t>
  </si>
  <si>
    <t>Преобразователь частоты ES025-04-0750F</t>
  </si>
  <si>
    <t xml:space="preserve">Насос ЭЦВ 8-25-125 фл (13кВт) </t>
  </si>
  <si>
    <t xml:space="preserve">Насос ЭЦВ 6-16-140  </t>
  </si>
  <si>
    <t>Насос ЭЦВ 6-16-110</t>
  </si>
  <si>
    <t>Преобразователь частоты</t>
  </si>
  <si>
    <t>Компрессор АФ49Э52Ш</t>
  </si>
  <si>
    <t>Компьютер с принтером</t>
  </si>
  <si>
    <t>Компьютер Ноутбук</t>
  </si>
  <si>
    <t>Ноутбук</t>
  </si>
  <si>
    <t>ККМ АМС-100К</t>
  </si>
  <si>
    <t>Множительная техника</t>
  </si>
  <si>
    <t>Видеокамера RVI-165CNEW</t>
  </si>
  <si>
    <t>Бензогенератор (сварочный)</t>
  </si>
  <si>
    <t>Котел-22 АОГВ</t>
  </si>
  <si>
    <t>Пушка тепловая</t>
  </si>
  <si>
    <t>1000165б</t>
  </si>
  <si>
    <t>Шкаф телеметрии "Аксон-Х"</t>
  </si>
  <si>
    <t>Шкаф телеметрии "Аксон-Х L"</t>
  </si>
  <si>
    <t>ЖК монитор Samsung S19C200BR</t>
  </si>
  <si>
    <t>Трассоискатель "Успех ТПТ-212"</t>
  </si>
  <si>
    <t>Видеорегистратор RVI-RO4LB-PRO</t>
  </si>
  <si>
    <t>Активатор питьевой воды с блоком очистки</t>
  </si>
  <si>
    <t>Котел-21 АОГВ</t>
  </si>
  <si>
    <t>Котел газовый настенный</t>
  </si>
  <si>
    <t>Котел-7 АОГВ</t>
  </si>
  <si>
    <t>1000165а</t>
  </si>
  <si>
    <t>Электроагрегат АД-200 Т/400-1РК</t>
  </si>
  <si>
    <t>Комп. Трасформ. Подст. КТУ</t>
  </si>
  <si>
    <t>Земельный участок категория земель: земли сельскохозяйственного назначения, ВРИ - для садоводства</t>
  </si>
  <si>
    <t>Московская область, Серебряно-Прудскиий район, Петровский с.о., снт Грушевое, уч. 54</t>
  </si>
  <si>
    <t>50:39:0010103:46</t>
  </si>
  <si>
    <t>Земельный участок Категория земель - земли населённых пунктов   ВРИ - для ведения личного подсобного хозяйства (приусадебные участки)</t>
  </si>
  <si>
    <t>МО, городской округ Серебряные Пруды, рп Серебряные Пруды, мкр-н "Северный"</t>
  </si>
  <si>
    <t>50:39:0050101:581</t>
  </si>
  <si>
    <t>16.02.2016г</t>
  </si>
  <si>
    <t>Свидетельство о регистрации права 50-БА №636054</t>
  </si>
  <si>
    <t>МО, городской округ Серебряные Пруды, Петровский с/о, снт Солоница, уч.95</t>
  </si>
  <si>
    <t>50:39:0070106:86</t>
  </si>
  <si>
    <t>02.02.2016г</t>
  </si>
  <si>
    <t>Свидетельство о регистрации права 50-БА №635839</t>
  </si>
  <si>
    <t>МО, городской округ Серебряные Пруды, вблизи рп Серебряные Пруды</t>
  </si>
  <si>
    <t>50:39:0000000:5</t>
  </si>
  <si>
    <t>МО, городской округ Серебряные Пруды, вблизи рп Серебряные Пруды, ул. 50 лет ВЛКСМ</t>
  </si>
  <si>
    <t>50:39:0050509:47</t>
  </si>
  <si>
    <t>Московская область, городской округ Серебряные Пруды,  д.Кузьминка,  д.1, кв.9</t>
  </si>
  <si>
    <t>Компьютерный блок Apple (MC813)iMac</t>
  </si>
  <si>
    <t>Система видеонаблюдения с. Узуново</t>
  </si>
  <si>
    <t>Музыкальный инструмент Б-19 Баян 2-х голосный 107/64х120-11</t>
  </si>
  <si>
    <t>Музыкальная аппаратура</t>
  </si>
  <si>
    <t>Контрольное устройство (тахограф)</t>
  </si>
  <si>
    <t>Газонокосилка бензиновая самоходная с сиденьем</t>
  </si>
  <si>
    <t>Синтезатор "Ямаха" (п)</t>
  </si>
  <si>
    <t>Система видеонаблюдения п.Новоклемово</t>
  </si>
  <si>
    <t>Портьер на сцену</t>
  </si>
  <si>
    <t>Занавес к сцене</t>
  </si>
  <si>
    <t>Автомобиль ГАЗ 2217-5404</t>
  </si>
  <si>
    <t>Автомобиль ГАЗ 32213-511</t>
  </si>
  <si>
    <t>Автобус ПАЗ-31050R</t>
  </si>
  <si>
    <t>Автомобиль ГАЗ-САЗ-350710-0377</t>
  </si>
  <si>
    <t>Автомобиль ЛАДА ЛАРГУС</t>
  </si>
  <si>
    <t>Снегоуборщик "Партнер PSB 240"</t>
  </si>
  <si>
    <t>Трактор Cub Cadet CC 1224 КНР</t>
  </si>
  <si>
    <t>Снегоуборщик Husgyarna</t>
  </si>
  <si>
    <t>Трактор Husqvama GTH 260</t>
  </si>
  <si>
    <t>Система оповещения</t>
  </si>
  <si>
    <t>Тахограф</t>
  </si>
  <si>
    <t>Станок точильный</t>
  </si>
  <si>
    <t>Система видеонаблюдения с. Новоклемово</t>
  </si>
  <si>
    <t>Блок контейнер</t>
  </si>
  <si>
    <t>Бытовка 6*2.4*2.5</t>
  </si>
  <si>
    <t>Бытовка</t>
  </si>
  <si>
    <t>Ель "Уральская" 6м</t>
  </si>
  <si>
    <t>Велоэргометр вертикальный профессиональный</t>
  </si>
  <si>
    <t>Хоккейный корт</t>
  </si>
  <si>
    <t>Электрическая проф. Беговая дорожка</t>
  </si>
  <si>
    <t>Эллиптический эргометр Vision X20 Classic</t>
  </si>
  <si>
    <t>Системный блок сервер 2012г.</t>
  </si>
  <si>
    <t>Компьютер сервер Pentium</t>
  </si>
  <si>
    <t>Система для телеинспекции канализационного стояка и ограничения водоотведения "КИТ"</t>
  </si>
  <si>
    <t>Электропрессовщик</t>
  </si>
  <si>
    <t>Автономная система прочистки</t>
  </si>
  <si>
    <t>Станок рейсмусовый СР8-32М 145/12</t>
  </si>
  <si>
    <t>Машина убор. Погруз. "Беларус" МУП 351</t>
  </si>
  <si>
    <t>Железобетонный забор вокруг МУК Дудинский ДК</t>
  </si>
  <si>
    <t>Металлический забор вокруг хоккейной площадки</t>
  </si>
  <si>
    <t>Трибуны разборные с тентовым навесом</t>
  </si>
  <si>
    <t>Блок-контейнер 6*2.4м (БК-03)</t>
  </si>
  <si>
    <t>Диван книжка</t>
  </si>
  <si>
    <t>Котел КВ-300</t>
  </si>
  <si>
    <t>Кресло "Вележ"</t>
  </si>
  <si>
    <t>Ограждение территории бани</t>
  </si>
  <si>
    <t>Стол письменный с тумбочкой</t>
  </si>
  <si>
    <t>Тумба под ТВ</t>
  </si>
  <si>
    <t>Электронагреватель "Термекх"</t>
  </si>
  <si>
    <t>Контернер для люминисцентных лапм</t>
  </si>
  <si>
    <t>Навесной измельчитель</t>
  </si>
  <si>
    <t>Ель ствольная</t>
  </si>
  <si>
    <t>Новогодняя искусственная ель</t>
  </si>
  <si>
    <t>Динамические световые элементы</t>
  </si>
  <si>
    <t>Комплект освещения на ель</t>
  </si>
  <si>
    <t>Спец. Жил. Фонд. Договор найма от 23.12.2015г № 3 Бекетов Сергей Олегович</t>
  </si>
  <si>
    <t>Спец. Жил. Фонд. Договор найма от 05.06.2015г № 1 Плотникова Светлана Алексеевна</t>
  </si>
  <si>
    <t>Спец. жил. Фонд. Договор найма от 23.11.2015г №23Куленко Михаил Леонидович</t>
  </si>
  <si>
    <t>Спец. Жил. Фонд. Договор найма от 15.12.2014г № 3 Корчуганова Кристина Игоревна</t>
  </si>
  <si>
    <t>Спец. Жил. Фонд. Договор найма от 15.12.2014г № 1 Лободедова Светлана Викторовна</t>
  </si>
  <si>
    <t>Теплосети, протяженность трассы 2868,00 м., трубопроводов 5390,00 м., инв. 17536, 17564, инв. 017022</t>
  </si>
  <si>
    <t>50-50-39/005/2006-129</t>
  </si>
  <si>
    <t>Свидетельство о регистрации права НА №0580381</t>
  </si>
  <si>
    <t>Московская область, городской округ Серебряные Пруды,п.Успенский, ул. Трудовая</t>
  </si>
  <si>
    <t>50:39:0030303:499</t>
  </si>
  <si>
    <t>50:39:0040202:975</t>
  </si>
  <si>
    <t>50:39:0020316:62</t>
  </si>
  <si>
    <t>50:39:0020208:1285</t>
  </si>
  <si>
    <t>Администрация городского округа Серебряные Пруды Московской области</t>
  </si>
  <si>
    <t>МФУ Xerox WorkCtntre 5022D А3 формат</t>
  </si>
  <si>
    <t>1.101.04.1302</t>
  </si>
  <si>
    <t>Товарная накладная №24</t>
  </si>
  <si>
    <t>Здание многоквартирный дом, 2-этажное, жилое, инв. 3274</t>
  </si>
  <si>
    <t>Спец. Жил. Фонд Договор найма от 15.03.2016г № 3 Ямангулова Юлия Рустамовна</t>
  </si>
  <si>
    <t>05.04.2016г</t>
  </si>
  <si>
    <t>01.04.2016г</t>
  </si>
  <si>
    <t>Договор № 15/2016 передачи жилого помещения муниципального жилищного фонда в собственность граждан от 10.03.2016г</t>
  </si>
  <si>
    <t>Договор№ 327 на передачу квартиры в собственность граждан от 20.04.2015г</t>
  </si>
  <si>
    <t>Договор № 10/2016 передачи жилого помещения муниципального жилищного фонда в собственность граждан от 17.02.2016г</t>
  </si>
  <si>
    <t>Договор № 17/2016 передачи жилого помещения муниципального жилищного фонда в собственность граждан от 11.03.2016г</t>
  </si>
  <si>
    <t>Договор №1/2016 передачи жилого помещения муниципального жилищного фонда в собственность граждан</t>
  </si>
  <si>
    <t>30.03.2016г</t>
  </si>
  <si>
    <t>Договор № 343 на передачу квартир в собственность граждан от 05.11.2015г</t>
  </si>
  <si>
    <t>25.03.2016г</t>
  </si>
  <si>
    <t>Договор № 16/2016 передачи жилого помещения муниципального жилищного фонда в собственность граждан от 11.03.2016г</t>
  </si>
  <si>
    <t>Договор № 13/2016 передачи жилого помещения муниципального жилищного фонда в собственность граждан от 20.02.2016г</t>
  </si>
  <si>
    <t>17.03.2016г</t>
  </si>
  <si>
    <t>Договор № 7/2016 передачи жилого помещения муниципального жилищного фонда в собственность граждан от 05.02.2016г</t>
  </si>
  <si>
    <t>Договор № 3/2016 передачи жилого помещения муниципального жилищного фонда в собственность граждан от 05.02.2016г</t>
  </si>
  <si>
    <t>12.03.2016г</t>
  </si>
  <si>
    <t>Договор № 344 на передачу квартиры в собственность граждан от 05.11.2015г</t>
  </si>
  <si>
    <t>24.03.2016г</t>
  </si>
  <si>
    <t>Договор № 340 на передачу картир в собственность граждан от 23.10.2015г</t>
  </si>
  <si>
    <t>Договор № 332 на передачу квартиры в собственность граждан от 25.09.2015г</t>
  </si>
  <si>
    <t>Договор № 337 на передачу квартиры в собственность граждан от 15.09.2015г</t>
  </si>
  <si>
    <t>29.03.2016г</t>
  </si>
  <si>
    <t>Договор № 328 на передачу квартиры в собственность граждан от 07.05.2015г</t>
  </si>
  <si>
    <t>16.03.2016г</t>
  </si>
  <si>
    <t>Договор №321 на передачу квартиры в собственность граждан от 06.04.2015г</t>
  </si>
  <si>
    <t>догвор № 315 на передачу квартиры в собственность граждан от 27.02.2015г</t>
  </si>
  <si>
    <t>Примечание</t>
  </si>
  <si>
    <t>50:39:0060112:395</t>
  </si>
  <si>
    <t>50:39:0060104:720</t>
  </si>
  <si>
    <t>50:39:0060403:279</t>
  </si>
  <si>
    <t>50:39:0060311:190</t>
  </si>
  <si>
    <t>50:39:0000000:4276</t>
  </si>
  <si>
    <t>50:39:0060306:844</t>
  </si>
  <si>
    <t>50:39:0060309:163</t>
  </si>
  <si>
    <t>50:39:0060502:630</t>
  </si>
  <si>
    <t>50:39:0060105:249</t>
  </si>
  <si>
    <t>50:39:0060303:55</t>
  </si>
  <si>
    <t>50:39:0060110:308</t>
  </si>
  <si>
    <t>50:39:0060110:307</t>
  </si>
  <si>
    <t>Автомобильная дорога с грунтовым покрытием. Протяженность210м</t>
  </si>
  <si>
    <t>50:39:0010102:95</t>
  </si>
  <si>
    <t>50:39:0060502:629</t>
  </si>
  <si>
    <t>50:39:0060303:54</t>
  </si>
  <si>
    <t>50:39:0060311:189</t>
  </si>
  <si>
    <t>50:39:0060501:96</t>
  </si>
  <si>
    <t>50:39:0070102:235</t>
  </si>
  <si>
    <t>Очистные сооружения с.Узуново инв. 1100005 в том числе: здание лаборатории 1шт, аэротенки 3шт, иловые площадки 3шт</t>
  </si>
  <si>
    <t>Очистные сооружения (КНС) п.Новоклемово инв. 1520150, в том числе павильон 1шт, аэротенки 2шт, иловые площадки 2шт.</t>
  </si>
  <si>
    <t>МО, городской округ Серебряные Пруды,  с. Узуново, мкр-н Южный  (у стадиона)</t>
  </si>
  <si>
    <t>Автомобильная дорога с грунтовым покрытием,  Протяженность 8612</t>
  </si>
  <si>
    <t>Московская область, городской округ Серебряные Пруды. Ливадия ( от автобусной остановки п. Новоклемово до моста через р. Осетр в д. Ливадия)</t>
  </si>
  <si>
    <t>Московская область, городской округ Серебряные Пруды с. Узуново (  проезд по мкр-ну "Северный"  к домам № 11,№ 5, № 6, №7, № 10, до д/с " Росинка")</t>
  </si>
  <si>
    <t>Московская область, городской округ Серебряные Пруды с. Петрово  (проезд от д. № 9 до д. № 26, от д. № 62 до сельской церкви)</t>
  </si>
  <si>
    <t>Московская область, городской округ Серебряные Пруды с. Глубокое ( проезд от торгового центра  к д. № 37,№36,№14  до перекрестка здания детского сада)</t>
  </si>
  <si>
    <t xml:space="preserve">Московская область, городской округ Серебряные Пруды с. Петрово ( проезд  от здания бани до сельского кладбища) </t>
  </si>
  <si>
    <t>Московская область, городской округ Серебряные Пруды  д. Скородня  (от  шоссе до начала села)</t>
  </si>
  <si>
    <t>Московская область, городской округ Серебряные Пруды   с. Мягкое ( проезд по с. Мягкое от котельной до моста через реку Березня, к д. № 12)</t>
  </si>
  <si>
    <t xml:space="preserve">Московская область, городской округ Серебряные Пруды   с. Узуново ( ул. Садовая . Проезд от д. № 5  до д. №57) </t>
  </si>
  <si>
    <t>Московская область, городской округ Серебряные Пруды   с. Узуново ( ул. Заречная . Проезд от д. № 16 до д. №1)</t>
  </si>
  <si>
    <t>Московская область, городской округ Серебряные Пруды   д. Лошатово ( проезд по д. Лошатово. От д.№ 9 до д. № 35 )</t>
  </si>
  <si>
    <t>Московская область, городской округ Серебряные Пруды   д. Барыково ( проезд по д. Барыково. От д.№ 1 до д. № 44  )</t>
  </si>
  <si>
    <t>Московская область, городской округ Серебряные Пруды   с. Узуново (  проезд по мкр-ну "Южный" от аптеки к домам № 1,№ 6,№7,№8,№15,№14,№17,№18,№19,№20,№21,№22,№23,№24,№26,№28,№29 до объездной дороги)</t>
  </si>
  <si>
    <t xml:space="preserve">Московская область, городской округ Серебряные Пруды,   с. Узуново (  проезд по мкр-ну "Северный" от конторы " Нива" до ДК " Нива")  , автомобильная дорога </t>
  </si>
  <si>
    <t>Московская область, городской округ Серебряные Пруды,  с. Узуново (  проезд по мкр-ну "Южный"к домам № 27,№30,№ 31,№ 32,№33,№34,№35</t>
  </si>
  <si>
    <t xml:space="preserve">Московская область, городской округ Серебряные Пруды,  д. Бокша (от д. № 7 до  д. № 37) </t>
  </si>
  <si>
    <t xml:space="preserve">Московская область, городской округ Серебряные Пруды,с. Колеймино  ( по селу от въезда по прямой мимо Дома культуры) </t>
  </si>
  <si>
    <t>Московская область, городской округ Серебряные Пруды,д. Толстые  (от д. № 1 до  д. № 58)</t>
  </si>
  <si>
    <t>Московская область, городской округ Серебряные Пруды,д. д. Боршово  (от д. № 1 до кладбища)</t>
  </si>
  <si>
    <t>Московская область, городской округ Серебряные Пруды,д. д. Коровино ( от шоссе до конца деревни )</t>
  </si>
  <si>
    <t>Московская область, городской округ Серебряные Пруды,с. Узуново (  проезд по мкр-ну "Южный" Объездная дорога от д.33 по ул. Советская до ССК " Вятич")</t>
  </si>
  <si>
    <t>Московская область, городской округ Серебряные Пруды   с.   Крутое ( от. д. № 1 до молочно-товарной фермы)</t>
  </si>
  <si>
    <t xml:space="preserve">Московская область, городской округ Серебряные Пруды, д. Есипово ( по деревне от д. № 30 через мост) </t>
  </si>
  <si>
    <t>Московская область, городской округ Серебряные Пруды, д. Новомойгоры</t>
  </si>
  <si>
    <t>Московская область, городской округ Серебряные Пруды, д. Крытово-с. Малынь</t>
  </si>
  <si>
    <t>Московская область, городской округ Серебряные Пруды, с.Узуново</t>
  </si>
  <si>
    <t>Московская область, городской округ Серебряные Пруды, с.Узуново, ул. Почтовая</t>
  </si>
  <si>
    <t>Московская область, городской округ Серебряные Пруды, д. Крытово</t>
  </si>
  <si>
    <t>Московская область, городской округ Серебряные Пруды, д. Есипово</t>
  </si>
  <si>
    <t>Московская область, городской округ Серебряные Пруды, с.Узуново, мкр-н Школьный</t>
  </si>
  <si>
    <t>Московская область, городской округ Серебряные Пруды, с. Мягкое</t>
  </si>
  <si>
    <t>Московская область, городской округ Серебряные Пруды, с. Петрово</t>
  </si>
  <si>
    <t>Московская область, городской округ Серебряные Пруды, д. Боршово</t>
  </si>
  <si>
    <t>Московская область, городской округ Серебряные Пруды, с. Узуново</t>
  </si>
  <si>
    <t>Московская область, городской округ Серебряные Пруды, с. Крутое</t>
  </si>
  <si>
    <t>Московская область, городской округ Серебряные Пруды, д. Столбовка (  от д. № 1 до д. № 27)</t>
  </si>
  <si>
    <t>Московская область, городской округ Серебряные Пруды, д. Новоселки (  от  водозаборной скважины до молочно-товарной фермы)</t>
  </si>
  <si>
    <t>Московская область, городской округ Серебряные Пруды,   с.Колеймино</t>
  </si>
  <si>
    <t>Московская область, городской округ Серебряные Пруды,   с. Клемово(   по селу)</t>
  </si>
  <si>
    <t>Московская область, городской округ Серебряные Пруды,    д. Петровские Выселки,   ( от д. № 1 до д. № 43),</t>
  </si>
  <si>
    <t>50-50-39/006/2011-395</t>
  </si>
  <si>
    <t>50:39:0020106:766</t>
  </si>
  <si>
    <t>50:39:0020106:765</t>
  </si>
  <si>
    <t>Автомобильная дорога (с твердым покрытием), расположенная на земельном участке с кадастровым номером 50:39:0030303:26, протяженностью 400 м</t>
  </si>
  <si>
    <t xml:space="preserve">Автомобильная дорога (с  грунтовым покрытием), расположенная на земельном участке с кадастровым номером 50:39:0010108:381, протяженностью 2990м    </t>
  </si>
  <si>
    <t xml:space="preserve">Автомобильная дорога  (с  твердым покрытием), расположенная на земельном участке с кадастровым номером 50:39:0020316:10, протяженностью 966 м   </t>
  </si>
  <si>
    <t xml:space="preserve">Автомобильная дорога (с  грунтовым покрытием), расположенная на земельном участке с кадастровым номером 50:39:0030302:303, протяженностью 896 м    </t>
  </si>
  <si>
    <t xml:space="preserve">Автомобильная дорога(с  твердым покрытием), расположенная на земельном участке с кадастровым номером 50:39:0030404:97, протяженностью 660 м    </t>
  </si>
  <si>
    <t xml:space="preserve">Автомобильная дорога (с  твердым покрытием), расположенная на земельном участке с кадастровым номером 50:39:0030405:138, протяженностью 1440 м   </t>
  </si>
  <si>
    <t xml:space="preserve">Автомобильная дорога (с  твердым покрытием), расположенная на земельном участке с кадастровым номером 50:39:0030303:25, протяженностью 300 м    </t>
  </si>
  <si>
    <t xml:space="preserve">Автомобильная дорога(с  твердым покрытием), расположенная на земельном участке с кадастровым номером 50:39:0030305:113, протяженностью 1000 м    </t>
  </si>
  <si>
    <t xml:space="preserve">Автомобильная дорога (с  грунтовым покрытием), расположенная на земельном участке с кадастровым номером 50:39:0020318:90, 50:39:0020318:91, протяженностью 831 м    </t>
  </si>
  <si>
    <t xml:space="preserve">Автомобильная дорога (с  грунтовым покрытием), расположенная на земельном участке с кадастровым номером 50:39:0030118:82, протяженностью 530 м </t>
  </si>
  <si>
    <t xml:space="preserve">Автомобильная дорога (с  грунтовым покрытием), расположенная на земельном участке с кадастровым номером 50:39:0020321:180, протяженностью 816 м </t>
  </si>
  <si>
    <t>Автомобильная дорога  (с  грунтовым покрытием), расположенная на земельном участке с кадастровым номером 50:39:0010302:274, протяженностью 988м</t>
  </si>
  <si>
    <t xml:space="preserve">Автомобильная дорога (с  твердым покрытием), расположенная на земельном участке с кадастровым номером 50:39:0030305:112, протяженностью 1600 м </t>
  </si>
  <si>
    <t xml:space="preserve">Автомобильная дорога (с  твердым покрытием), расположенная на земельном участке с кадастровым номером 50:39:0020106:267, протяженностью 770 м </t>
  </si>
  <si>
    <t xml:space="preserve">Автомобильная дорога (с  твердым покрытием), расположенная на земельном участке с кадастровым номером 50:39:0020106:268, протяженностью 476 м </t>
  </si>
  <si>
    <t>Автомобильная дорога (с  грунтовым покрытием), расположенная на земельном участке с кадастровым номером 50:39:0020314:290, протяженностью 592 м</t>
  </si>
  <si>
    <t>Автомобильная дорога, расположенная на земельном участке с кадастровым номером 50:39:0010305:200, протяженностью 300 м</t>
  </si>
  <si>
    <t>Автомобильная дорога, расположенная на земельном участке с кадастровым номером 50:39:0030302:860, протяженностью 300 м</t>
  </si>
  <si>
    <t>Автомобильная дорога, расположенная на земельном участке с кадастровым номером 50:39:0000000:4078, протяженностью 2495 м</t>
  </si>
  <si>
    <t>Автомобильная дорога, расположенная на земельном участке с кадастровым номером 50:39:0000000:4081, протяженностью 1720 м</t>
  </si>
  <si>
    <t>Автомобильная дорога, расположенная на земельном участке с кадастровым номером 50:39:0020317:212, протяженностью 960 м</t>
  </si>
  <si>
    <t>Автомобильная дорога, расположенная на земельном участке с кадастровым номером 50:39:0010302:661, протяженностью 1400 м</t>
  </si>
  <si>
    <t>Автомобильная дорога, расположенная на земельном участке с кадастровым номером 50:39:0000000:4053, протяженностью 1800 м</t>
  </si>
  <si>
    <t>Автомобильная дорога, расположенная на земельном участке с кадастровым номером 50:39:0010110:29, протяженностью 2200 м</t>
  </si>
  <si>
    <t>Автомобильная дорога, расположенная на земельном участке с кадастровым номером 50:39:0020111:42, протяженностью 2600 м</t>
  </si>
  <si>
    <t>Автомобильная дорога, расположенная на земельном участке с кадастровым номером 50:39:0020106:647, протяженностью 600 м</t>
  </si>
  <si>
    <t xml:space="preserve">Автомобильная дорога (с  грунтовым покрытием), расположенная на земельном участке с кадастровым номером 50:39:0010101:168, протяженностью 1000 м    </t>
  </si>
  <si>
    <t xml:space="preserve">Автомобильная дорога (с  твердым покрытием), расположенная на земельном участке с кадастровым номером 50:39:0000000:4250, протяженностью 600 м    </t>
  </si>
  <si>
    <t xml:space="preserve">Автомобильная дорога  (с  твердым покрытием), расположенная на земельном участке с кадастровым номером 50:39:0000000:4251, протяженностью 900 м    </t>
  </si>
  <si>
    <t xml:space="preserve">Автомобильная дорога  (с  грунтовым покрытием), расположенная на земельном участке с кадастровым номером 50:39:0030124:379, протяженностью 1354м    </t>
  </si>
  <si>
    <t xml:space="preserve">Автомобильная дорога (с  грунтовым покрытием), расположенная на земельном участке с кадастровым номером 50:39:0010105:51, протяженностью 1000 м    </t>
  </si>
  <si>
    <t xml:space="preserve">Автомобильная дорога (с  грунтовым покрытием), расположенная на земельном участке с кадастровым номером 50:39:0020202:142, протяженностью 1000 м    </t>
  </si>
  <si>
    <t>Московская область, городской округ Серебряные Пруды,       с. Узуново (  мкр-н Северный к домам № 2, № 3,№ 4,№ 8,№9)</t>
  </si>
  <si>
    <t>Московская область, городской округ Серебряные Пруды,       п. Новоклемово  ( по поселку к д. № 22,№ 17,№18,№19,№63,№23,№ 20,№21,№61),</t>
  </si>
  <si>
    <t>Московская область, городской округ Серебряные Пруды,       д. Песочное ( от шоссе до д. №39)</t>
  </si>
  <si>
    <t>Московская область, городской округ Серебряные Пруды,       д. Яковлевское  (от д. №60 до д. №64),</t>
  </si>
  <si>
    <t>Московская область, городской округ Серебряные Пруды,       д. Васильевское  (от д. №6 до д. №56)</t>
  </si>
  <si>
    <t>Московская область, городской округ Серебряные Пруды,       д. Косяево-д. Должиково  (от д. Косяево до  д. Должиково, по д. Должиково до д. № 32)</t>
  </si>
  <si>
    <t>Московская область, городской округ Серебряные Пруды,        д. Накаплово  (от  моста  до  д.№67)</t>
  </si>
  <si>
    <t>Московская область, городской округ Серебряные Пруды,        с. Малынь  (от трассы  Р 114 до  с. Малынь),</t>
  </si>
  <si>
    <t>Московская область, городской округ Серебряные Пруды,        с. Тютьково (от  шоссе  до д. №20, от д. №27 до шоссе)</t>
  </si>
  <si>
    <t xml:space="preserve">Московская область, городской округ Серебряные Пруды,        д. Беляево ( от д. №24 до д. №33) </t>
  </si>
  <si>
    <t>Московская область, городской округ Серебряные Пруды,        д. Новоселки  (от д. № 1 по деревне)</t>
  </si>
  <si>
    <t xml:space="preserve">Московская область, городской округ Серебряные Пруды,        д. Ларино  (от въезда  по деревне) </t>
  </si>
  <si>
    <t>Московская область, городской округ Серебряные Пруды,        д. Мозалово                      (  по деревне)</t>
  </si>
  <si>
    <t>Московская область, городской округ Серебряные Пруды,        д. Красный Пахарь         (по деревне)</t>
  </si>
  <si>
    <t>Московская область, городской округ Серебряные Пруды,        д. Старомойгоры  (от  шоссе до д. Старомойгоры, по д. Старомойгоры)</t>
  </si>
  <si>
    <t>Московская область, городской округ Серебряные Пруды,        д. Большое Орехово ( от перекрестка дороги на святой источник до д. Большое Орехово, по деревне от д.№2 до д. №15а)</t>
  </si>
  <si>
    <t>Московская область, городской округ Серебряные Пруды,  Клемово  (от   кладбища до магазина)</t>
  </si>
  <si>
    <t>Московская область, городской округ Серебряные Пруды,        д. Филино  (по деревне)</t>
  </si>
  <si>
    <t>Московская область, городской округ Серебряные Пруды,        с. Узуново  (ул. Почтовая от д. №5  до  д. №11а)</t>
  </si>
  <si>
    <t>Московская область, городской округ Серебряные Пруды,с. Крутое м-н Молодежный</t>
  </si>
  <si>
    <t>Московская область, городской округ Серебряные Пруды,с. Узуново</t>
  </si>
  <si>
    <t>Московская область, городской округ Серебряные Пруды,        д. Скородня</t>
  </si>
  <si>
    <t>Московская область, городской округ Серебряные Пруды,        д. Беззубово</t>
  </si>
  <si>
    <t>Московская область, городской округ Серебряные Пруды,        с. Глубокое д.20</t>
  </si>
  <si>
    <t>Московская область, городской округ Серебряные Пруды,        с. Петрово</t>
  </si>
  <si>
    <t>Московская область, городской округ Серебряные Пруды,        с. Глубокое м-н Новый</t>
  </si>
  <si>
    <t>Московская область, городской округ Серебряные Пруды,        с. Малынь</t>
  </si>
  <si>
    <t>Московская область, городской округ Серебряные Пруды,        д. Косяево</t>
  </si>
  <si>
    <t>Московская область, городской округ Серебряные Пруды,        с. Узуново мкр-н Северный</t>
  </si>
  <si>
    <t>Московская область, городской округ Серебряные Пруды,        с. Узуново ул. Заречная</t>
  </si>
  <si>
    <t>Московская область, городской округ Серебряные Пруды,        д. Крытово</t>
  </si>
  <si>
    <t>Московская область, городской округ Серебряные Пруды,        п. Новоклемово</t>
  </si>
  <si>
    <t>Московская область, городской округ Серебряные Пруды,        д. Кузьминка</t>
  </si>
  <si>
    <t>Московская область, городской округ Серебряные Пруды,        с. Узуново м-н Школьный</t>
  </si>
  <si>
    <t>Московская область, городской округ Серебряные Пруды,        д. Новомойгоры</t>
  </si>
  <si>
    <t xml:space="preserve">Автомобильная дорога (с  твердым покрытием), расположенная на земельном участке с кадастровым номером 50:39:0030303:24, протяженностью 570 м   </t>
  </si>
  <si>
    <t xml:space="preserve">Автомобильная дорога (с  твердым покрытием), расположенная на земельном участке с кадастровым номером 50:39:0040202:364, протяженностью 2189 м   </t>
  </si>
  <si>
    <t xml:space="preserve">Автомобильная дорога (с  твердым покрытием), расположенная на земельном участке с кадастровым номером 50:39:0020107:84, протяженностью 971 м   </t>
  </si>
  <si>
    <t xml:space="preserve">Автомобильная дорога  (с  грунтовым покрытием), расположенная на земельном участке с кадастровым номером 50:39:0000000:176, протяженностью 844 м     </t>
  </si>
  <si>
    <t xml:space="preserve">Автомобильная дорога (с  грунтовым покрытием), расположенная на земельном участке с кадастровым номером 50:39:0000000:177, протяженностью 1555 м     </t>
  </si>
  <si>
    <t xml:space="preserve">Автомобильная дорога (с  грунтовым покрытием), расположенная на земельном участке с кадастровым номером 50:39:0030105:185, протяженностью 433 м     </t>
  </si>
  <si>
    <t xml:space="preserve">Автомобильная дорога (с  грунтовым покрытием), расположенная на земельном участке с кадастровым номером 50:39:0030108:103, протяженностью 1778 м     </t>
  </si>
  <si>
    <t xml:space="preserve">Автомобильная дорога (с  грунтовым покрытием), расположенная на земельном участке с кадастровым номером 50:39:0020206:255, протяженностью 514 м     </t>
  </si>
  <si>
    <t xml:space="preserve">Автомобильная дорога (с  грунтовым покрытием), расположенная на земельном участке с кадастровым номером 50:39:0020112:254, протяженностью 855 м     </t>
  </si>
  <si>
    <t xml:space="preserve">Автомобильная дорога (с  грунтовым покрытием), расположенная на земельном участке с кадастровым номером 50:39:0020108:69, протяженностью 1361 м     </t>
  </si>
  <si>
    <t xml:space="preserve">Автомобильная дорога (с  грунтовым покрытием), расположенная на земельном участке с кадастровым номером 50:39:0020109:116, протяженностью 1569 м     </t>
  </si>
  <si>
    <t xml:space="preserve">Автомобильная дорога (с  грунтовым покрытием), расположенная на земельном участке с кадастровым номером 50:39:0010106:25, протяженностью 904 м     </t>
  </si>
  <si>
    <t xml:space="preserve">Автомобильная дорога (с  грунтовым покрытием), расположенная на земельном участке с кадастровым номером 50:39:0000000:183, протяженностью 2497 м     </t>
  </si>
  <si>
    <t xml:space="preserve">Автомобильная дорога (с  грунтовым покрытием), расположенная на земельном участке с кадастровым номером 50:39:0000000:203, протяженностью 1299 м     </t>
  </si>
  <si>
    <t xml:space="preserve">Автомобильная дорога  (с  грунтовым покрытием), расположенная на земельном участке с кадастровым номером 50:39:0030124:162, протяженностью 246 м     </t>
  </si>
  <si>
    <t xml:space="preserve">Автомобильная дорога (с  грунтовым покрытием), расположенная на земельном участке с кадастровым номером 50:39:0000000:180, протяженностью 2299 м     </t>
  </si>
  <si>
    <t xml:space="preserve">Автомобильная дорога, расположенная на земельном участке с кадастровым номером 50:39:0030302:334, протяженностью 369 м                </t>
  </si>
  <si>
    <t xml:space="preserve">Автомобильная дорога, расположенная на земельном участке с кадастровым номером 50:39:0020106:785, протяженностью 2300 м </t>
  </si>
  <si>
    <t xml:space="preserve">Автомобильная дорога, расположенная на земельном участке с кадастровым номером 50:39:0030302:894, протяженностью 200 м  </t>
  </si>
  <si>
    <t xml:space="preserve">Автомобильная дорога, расположенная на земельном участке с кадастровым номером 50:39:0010206:107, протяженностью 390 м  </t>
  </si>
  <si>
    <t xml:space="preserve">Автомобильная дорога, расположенная на земельном участке с кадастровым номером 50:39:0020208:1267, протяженностью 200 м  </t>
  </si>
  <si>
    <t xml:space="preserve">Автомобильная дорога, расположенная на земельном участке с кадастровым номером 50:39:0020208:1268, протяженностью 4000 м  </t>
  </si>
  <si>
    <t xml:space="preserve">Автомобильная дорога, расположенная на земельном участке с кадастровым номером 50:39:0030111:297, протяженностью 3222 м  </t>
  </si>
  <si>
    <t xml:space="preserve">Автомобильная дорога, расположенная на земельном участке с кадастровым номером 50:39:0030120:339, протяженностью 1000 м  </t>
  </si>
  <si>
    <t xml:space="preserve">Автомобильная дорога, расположенная на земельном участке с кадастровым номером 50:39:0000000:4249, протяженностью 250 м  </t>
  </si>
  <si>
    <t xml:space="preserve">Автомобильная дорога, расположенная на земельном участке с кадастровым номером 50:39:0030301:146, протяженностью 750 м  </t>
  </si>
  <si>
    <t xml:space="preserve">Автомобильная дорога, расположенная на земельном участке с кадастровым номером 50:39:0030106:117, протяженностью 600 м  </t>
  </si>
  <si>
    <t xml:space="preserve">Автомобильная дорога, расположенная на земельном участке с кадастровым номером 50:39:0000000:4248, протяженностью 1500 м </t>
  </si>
  <si>
    <t xml:space="preserve">Автомобильная дорога, расположенная на земельном участке с кадастровым номером 50:39:0010109:144, протяженностью 300 м  </t>
  </si>
  <si>
    <t xml:space="preserve">Автомобильная дорога, расположенная на земельном участке с кадастровым номером 50:39:0030304:252, протяженностью 6300 м  </t>
  </si>
  <si>
    <t xml:space="preserve">Автомобильная дорога, расположенная на земельном участке с кадастровым номером 50:39:0010305:247, протяженностью 1000 м  </t>
  </si>
  <si>
    <t>Свидетельство от 11.10.2011г 50-АБ 658478</t>
  </si>
  <si>
    <t xml:space="preserve">Свидетельство от 27.09.2011г 50-АБ 658176 </t>
  </si>
  <si>
    <t xml:space="preserve">Свидетельство от 11.10.2011г 50-АБ 658468 </t>
  </si>
  <si>
    <t>Свидетельство от 11.10.2011г 50-АБ 658467</t>
  </si>
  <si>
    <t xml:space="preserve">Свидетельство от 11.10.2011г 50-АБ 658466 </t>
  </si>
  <si>
    <t>Свидетельство от 11.10.2011г 50-АБ 658484</t>
  </si>
  <si>
    <t>Свидетельство от 27.09.2011г 50-АБ 658171</t>
  </si>
  <si>
    <t xml:space="preserve">Свидетельство от 27.09.2011г 50-АБ №658172 </t>
  </si>
  <si>
    <t>Московская область, городской округ Серебряные Пруды сельское поселение Узуновское, с. Глубокое ( по селу)</t>
  </si>
  <si>
    <t>Московская область, городской округ Серебряные Пруды,п. Новоклемово           (по поселку)</t>
  </si>
  <si>
    <t>Московская область, городской округ Серебряные Пруды,п. с. Глубокое</t>
  </si>
  <si>
    <t>Московская область, городской округ Серебряные Пруды,п. с.Петрово</t>
  </si>
  <si>
    <t>Московская область, городской округ Серебряные Пруды,п. с. Крутое ( по селу)</t>
  </si>
  <si>
    <t>Московская область, городской округ Серебряные Пруды,п. п. Новоклемово       (по поселку)</t>
  </si>
  <si>
    <t xml:space="preserve">Внутриквартальная автомобильная дорога  ( твердое покрытие),  расположенная на земельном участке с кадастровым номером 50:39:0020208:360, протяженностью 589 м </t>
  </si>
  <si>
    <t xml:space="preserve">Внутриквартальная автомобильная дорога автомобильная дорога (с  твердым покрытием),  расположенная на земельном участке с кадастровым номером 50:39:0000000:247, протяженностью 2800 м  </t>
  </si>
  <si>
    <t>Внутриквартальная автомобильная дорога автомобильная дорога (с  твердым покрытием), протяженностью 911 м</t>
  </si>
  <si>
    <t>Внутриквартальная автомобильная дорога автомобильная дорога  (с  твердым покрытием), протяженностью 4500м</t>
  </si>
  <si>
    <t>Внутриквартальная автомобильная дорога автомобильная дорога (с  твердым покрытием), протяженностью 3161 м</t>
  </si>
  <si>
    <t>Внутриквартальная автомобильная дорога автомобильная дорога (с  твердым покрытием),  протяженностью 2800м</t>
  </si>
  <si>
    <t xml:space="preserve">Московская об. Городской округ Серебряные Пруды, р.п. Серебряные Пруды,       мкр-н Центральный </t>
  </si>
  <si>
    <t>Московская об. Городской округ Серебряные Пруды, р.п. Серебряные Пруды,       мкр-н Центральный (проезд к ж/д №9 от ул. Школьная)</t>
  </si>
  <si>
    <t>Московская об. Городской округ Серебряные Пруды, р.п. Серебряные Пруды,       мкр-н Центральный (проезд к ж/д №5 и №7 от ул. Школьная)</t>
  </si>
  <si>
    <t>Московская об. Городской округ Серебряные Пруды, р.п. Серебряные Пруды,       мкр-н Центральный (проезд к ж/д №8 от ул. Советская)</t>
  </si>
  <si>
    <t>Московская об. Городской округ Серебряные Пруды, р.п. Серебряные Пруды,       мкр-н Центральный (проезд к ж/д №5 от ул. Советская)</t>
  </si>
  <si>
    <t>Московская об. Городской округ Серебряные Пруды, р.п. Серебряные Пруды,       мкр-н Центральный (проезд к д.13 от ул. Первомайская)</t>
  </si>
  <si>
    <t>Московская об. Городской округ Серебряные Пруды, р.п. Серебряные Пруды,       мкр-н Центральный (проезд к ж/д №6 и №9 от улицы Первомайская)</t>
  </si>
  <si>
    <t>Московская об. Городской округ Серебряные Пруды, р.п. Серебряные Пруды,       мкр-н Центральный</t>
  </si>
  <si>
    <t>Московская об. Городской округ Серебряные Пруды, р.п. Серебряные Пруды,       ул. Привокзальная</t>
  </si>
  <si>
    <t>Московская об. Городской округ Серебряные Пруды, р.п. Серебряные Пруды,       ул.Коровушкина</t>
  </si>
  <si>
    <t>Московская об. Городской округ Серебряные Пруды, р.п. Серебряные Пруды,       ул.Почтовая</t>
  </si>
  <si>
    <t xml:space="preserve">Московская об. Городской округ Серебряные Пруды, р.п. Серебряные Пруды     </t>
  </si>
  <si>
    <t xml:space="preserve">Московская об. Городской округ Серебряные Пруды,     с. Красное     </t>
  </si>
  <si>
    <t xml:space="preserve">Московская об. Городской округ Серебряные Пруды,     с. Красное (проезд №4 до д. №12)  </t>
  </si>
  <si>
    <t>Московская об. Городской округ Серебряные Пруды,     с. Красное (проезд №1 до д.№28)</t>
  </si>
  <si>
    <t>Московская об. Городской округ Серебряные Пруды,     с. Красное (проезд №2 до д.№23 №25)</t>
  </si>
  <si>
    <t xml:space="preserve">Московская об. Городской округ Серебряные Пруды,   р.п. Серебряные Пруды     мкр-н Центральный </t>
  </si>
  <si>
    <t>Московская об. Городской округ Серебряные Пруды,     д. Растрехаевка</t>
  </si>
  <si>
    <t xml:space="preserve">Московская об. Городской округ Серебряные Пруды, р.п. Серебряные Пруды </t>
  </si>
  <si>
    <t>Московская об. Городской округ Серебряные Пруды, р.п. Серебряные Пруды (проезд по ул. Почтовая к ж/д №2-15)</t>
  </si>
  <si>
    <t>Московская об. Городской округ Серебряные Пруды, р.п. Серебряные Пруды (комсомольский переулок)</t>
  </si>
  <si>
    <t>Московская об. Городской округ Серебряные Пруды, р.п. Серебряные Пруды (проезд по ул. Набережная)</t>
  </si>
  <si>
    <t>Московская об. Городской округ Серебряные Пруды, р.п. Серебряные Пруды       ул. Механизаторов</t>
  </si>
  <si>
    <t>Московская об. Городской округ Серебряные Пруды, р.п. Серебряные Пруды       ул. Механизаторов (проезд к ж/д №13А по улице Механизаторов)</t>
  </si>
  <si>
    <t>Московская об. Городской округ Серебряные Пруды, р.п. Серебряные Пруды       ул. Механизаторов (проезд к ж/д №19 по улице Механизаторов)</t>
  </si>
  <si>
    <t>Московская об. Городской округ Серебряные Пруды,     пл. Советская</t>
  </si>
  <si>
    <t>Московская об. Городской округ Серебряные Пруды,     пл. Советская (проезд от пл. Советская до ул. 8 марта №2)</t>
  </si>
  <si>
    <t>Московская об. Городской округ Серебряные Пруды,     пл. Советская (проезд от пл. Советская до ул. 8 марта)</t>
  </si>
  <si>
    <t>Московская об. Городской округ Серебряные Пруды,     ул. Советская</t>
  </si>
  <si>
    <t>Московская об. Городской округ Серебряные Пруды, р.п. Серебряные Пруды    мкр-н Западный</t>
  </si>
  <si>
    <t>Московская об. Городской округ Серебряные Пруды, р.п. Серебряные Пруды    мкр-н Западный (проезд к ж/д №38 уч.1)</t>
  </si>
  <si>
    <t>Московская об. Городской округ Серебряные Пруды,     д. Благодать</t>
  </si>
  <si>
    <t>Московская об. Городской округ Серебряные Пруды,     д. Благодать (проезд к ВЗУ)</t>
  </si>
  <si>
    <t>Московская об. Городской округ Серебряные Пруды,     д. Благодать (проезд №5)</t>
  </si>
  <si>
    <t>Московская об. Городской округ Серебряные Пруды,     д. Благодать (проезд №3)</t>
  </si>
  <si>
    <t>Московская об. Городской округ Серебряные Пруды,     д. Благодать (проезд №1)</t>
  </si>
  <si>
    <t>Московская об. Городской округ Серебряные Пруды,     д. Благодать (проезд №2)</t>
  </si>
  <si>
    <t>Московская об. Городской округ Серебряные Пруды,     д. Благодать (от а/д "Венев")</t>
  </si>
  <si>
    <t xml:space="preserve">Московская об. Городской округ Серебряные Пруды, р.п. Серебряные Пруды      </t>
  </si>
  <si>
    <t xml:space="preserve">Московская об. Городской округ Серебряные Пруды, р.п. Серебряные Пруды       ул. Первомайская </t>
  </si>
  <si>
    <t xml:space="preserve">Московская об. Городской округ Серебряные Пруды, р.п. Серебряные Пруды       ул. Первомайская (проезд к ДК с ул. Б. Луговая) </t>
  </si>
  <si>
    <t>Московская об. Городской округ Серебряные Пруды, р.п. Серебряные Пруды       ул. Первомайская (проезд к ж/д №8 )</t>
  </si>
  <si>
    <t xml:space="preserve">Московская об. Городской округ Серебряные Пруды, р.п. Серебряные Пруды       ул. Первомайская (проезд к ж/д 1 по ул. Первомайская и к зданию Госстраха) </t>
  </si>
  <si>
    <t xml:space="preserve">Московская об. Городской округ Серебряные Пруды, р.п. Серебряные Пруды       ул. Первомайская     </t>
  </si>
  <si>
    <t xml:space="preserve">Московская об. Городской округ Серебряные Пруды, р.п. Серебряные Пруды       мкр-н Северный   </t>
  </si>
  <si>
    <t>Московская об. Городской округ Серебряные Пруды, р.п. Серебряные Пруды       мкр-н Западный</t>
  </si>
  <si>
    <t xml:space="preserve">Московская об. Городской округ Серебряные Пруды, р.п. Серебряные Пруды       ул. Ремесленная </t>
  </si>
  <si>
    <t xml:space="preserve">Московская об. Городской округ Серебряные Пруды, р.п. Серебряные Пруды       ул.Октябрьская </t>
  </si>
  <si>
    <t xml:space="preserve">Московская об. Городской округ Серебряные Пруды, р.п. Серебряные Пруды       ул.Октябрьская (уч.4) </t>
  </si>
  <si>
    <t>Московская об. Городской округ Серебряные Пруды, р.п. Серебряные Пруды       ул.Октябрьская (уч. №3)</t>
  </si>
  <si>
    <t>Московская об. Городской округ Серебряные Пруды, р.п. Серебряные Пруды       ул.Октябрьская (проезд к ж/д "106 уч.5)</t>
  </si>
  <si>
    <t>Московская об. Городской округ Серебряные Пруды, р.п. Серебряные Пруды       ул.Октябрьская (переулок Октябрьский)</t>
  </si>
  <si>
    <t>Московская об. Городской округ Серебряные Пруды, р.п. Серебряные Пруды       ул.Октябрьская</t>
  </si>
  <si>
    <t>Московская об. Городской округ Серебряные Пруды,         с. Дудино</t>
  </si>
  <si>
    <t>Московская об. Городской округ Серебряные Пруды,         с. Дудино (проезд к ж/д №36)</t>
  </si>
  <si>
    <t>Московская об. Городской округ Серебряные Пруды, р.п. Серебряные Пруды          ул. Коровушкина</t>
  </si>
  <si>
    <t>Московская об. Городской округ Серебряные Пруды,          с. Дудино</t>
  </si>
  <si>
    <t>Московская об. Городской округ Серебряные Пруды, р.п. Серебряные Пруды          мкр-н Западный</t>
  </si>
  <si>
    <t>Московская об. Городской округ Серебряные Пруды, р.п. Серебряные Пруды          ПТУ</t>
  </si>
  <si>
    <t>Московская об. Городской округ Серебряные Пруды, р.п. Серебряные Пруды          ПТУ (переулок П. Романова уч.2)</t>
  </si>
  <si>
    <t>Московская об. Городской округ Серебряные Пруды, р.п. Серебряные Пруды          ПТУ (проезд от ж/д 7б до ж/д №17)</t>
  </si>
  <si>
    <t>Московская об. Городской округ Серебряные Пруды, р.п. Серебряные Пруды          пл. Советская</t>
  </si>
  <si>
    <t>Московская об. Городской округ Серебряные Пруды, р.п. Серебряные Пруды          ул. Школьная</t>
  </si>
  <si>
    <t>Московская об. Городской округ Серебряные Пруды, р.п. Серебряные Пруды        д. Семенково (проезд №1)</t>
  </si>
  <si>
    <t>Московская об. Городской округ Серебряные Пруды, р.п. Серебряные Пруды        д. Семенково (проезд №2)</t>
  </si>
  <si>
    <t>Московская об. Городской округ Серебряные Пруды, р.п. Серебряные Пруды        д. Семенково (проезд №3)</t>
  </si>
  <si>
    <t>Московская об. Городской округ Серебряные Пруды, р.п. Серебряные Пруды    ул. Ленина</t>
  </si>
  <si>
    <t>Московская об. Городской округ Серебряные Пруды, р.п. Серебряные Пруды          ул. И. Садофьева (переулок И.Садофьева уч.2)</t>
  </si>
  <si>
    <t>Московская об. Городской округ Серебряные Пруды, р.п. Серебряные Пруды мкр. Юбилейный (уч.1)</t>
  </si>
  <si>
    <t>Московская об. Городской округ Серебряные Пруды, р.п. Серебряные Пруды мкр. Юбилейный (уч.2)</t>
  </si>
  <si>
    <t xml:space="preserve">Московская об. Городской округ Серебряные Пруды, р.п. Серебряные Пруды мкр. Восточный </t>
  </si>
  <si>
    <t>Московская об. Городской округ Серебряные Пруды, р.п. Серебряные Пруды мкр. Восточный (уч.1)</t>
  </si>
  <si>
    <t>Московская об. Городской округ Серебряные Пруды, р.п. Серебряные Пруды мкр. Восточный (уч.2)</t>
  </si>
  <si>
    <t>Московская об. Городской округ Серебряные Пруды, р.п. Серебряные Пруды мкр. Тополя (уч.1)</t>
  </si>
  <si>
    <t>Московская об. Городской округ Серебряные Пруды, р.п. Серебряные Пруды мкр. Восточный (уч.8)</t>
  </si>
  <si>
    <t>Московская об. Городской округ Серебряные Пруды, р.п. Серебряные Пруды мкр. Восточный (уч.6)</t>
  </si>
  <si>
    <t>Московская об. Городской округ Серебряные Пруды, р.п. Серебряные Пруды ул. Свободная</t>
  </si>
  <si>
    <t>Московская об. Городской округ Серебряные Пруды, р.п. Серебряные Пруды ул. Свободная (уч.1)</t>
  </si>
  <si>
    <t>Московская об. Городской округ Серебряные Пруды, р.п. Серебряные Пруды мкр. Северный</t>
  </si>
  <si>
    <t>Московская об. Городской округ Серебряные Пруды, р.п. Серебряные Пруды ул. Героя Сергея Фирсова</t>
  </si>
  <si>
    <t>Московская об. Городской округ Серебряные Пруды, р.п. Серебряные Пруды ул. Героя Сергея Фирсова (уч.4 от ул. Петра Романова)</t>
  </si>
  <si>
    <t>Московская об. Городской округ Серебряные Пруды, р.п. Серебряные Пруды ул. Героя Сергея Фирсова (уч.2 от ул. Петра Романова)</t>
  </si>
  <si>
    <t>Московская об. Городской округ Серебряные Пруды, р.п. Серебряные Пруды ул. Героя Сергея Фирсова (уч.2 от пер. Петра Романова)</t>
  </si>
  <si>
    <t>6675          3292</t>
  </si>
  <si>
    <t>Решение Совета Депутатов № 696/70</t>
  </si>
  <si>
    <t>Решение Совета Депутатов № 695/70</t>
  </si>
  <si>
    <t>МО, Сенребряно-Прудский район, рп. Серебряные Пруды, пер. Школьный</t>
  </si>
  <si>
    <t>Московская область, Серебярно-Прудский район, рп. Серебряные Пруды, пер. Школьный</t>
  </si>
  <si>
    <t>142970 Московская область Серебряно-Прудский р-н, р.п. Серебряные Пруды, ул.Ленина д.53, пом.22а</t>
  </si>
  <si>
    <t>142970 Московская область Серебряно-Прудский р-н, р.п. Серебряные Пруды, ул.Ленина д.53, кв.2а</t>
  </si>
  <si>
    <t>142970, Московская область,Серебряно-Прудский район, р.п.Серебряные Пруды, (река Осетр)</t>
  </si>
  <si>
    <t>Подсобное помещение смотрителя</t>
  </si>
  <si>
    <t>142970 Московская область Серебряно-Прудский район ул.Малая Луговая</t>
  </si>
  <si>
    <t>50:39:0050102:201</t>
  </si>
  <si>
    <t>142970 Московская область, Серебряно-Прудский р-он,  р.п. Серебряные Пруды, мкр. Северный</t>
  </si>
  <si>
    <t>142970 Московская область, Серебряно-Прудский р-он,  р.п. Серебряные Пруды, пер. Комсомольский</t>
  </si>
  <si>
    <t>142970 Московская область, Серебряно-Прудский р-он,  р.п. Серебряные Пруды, ул. Восточная</t>
  </si>
  <si>
    <t>142970 Московская область, Серебряно-Прудский р-он,  р.п. Серебряные Пруды, ул. Ремесленная</t>
  </si>
  <si>
    <t>142970 Московская область, Серебряно-Прудский р-он,  р.п. Серебряные Пруды, ул. Октябрьская</t>
  </si>
  <si>
    <t>142970 Московская область, Серебряно-Прудский р-он,  с. Красное</t>
  </si>
  <si>
    <t>142970 Московская область, Серебряно-Прудский р-он,  р.п. Серебряные Пруды, ул. Малая Луговая</t>
  </si>
  <si>
    <t>Здание рынка</t>
  </si>
  <si>
    <t>142970 Московская область Серебряно-Прудский р-н, р.п. Серебряные Пруды</t>
  </si>
  <si>
    <t>50:39:0000000:3877</t>
  </si>
  <si>
    <t>50:39:0000000:3493</t>
  </si>
  <si>
    <t>50:39:0050301:633</t>
  </si>
  <si>
    <t>142970 Московская область, Серебряно-Прудский р-он, вблизи р.п. Серебряные Пруды</t>
  </si>
  <si>
    <t>Нежилое  помещение</t>
  </si>
  <si>
    <t>142970 Московская область Серебряно-Прудский район, р.п. Серебряные Пруды  ул. Первомайская д.3</t>
  </si>
  <si>
    <t>50:39:0050504:190</t>
  </si>
  <si>
    <t>Тротуары</t>
  </si>
  <si>
    <t>142970 Московская область Серебряно-Прудский район, р.п. Серебряные Пруды</t>
  </si>
  <si>
    <t>142970 Московская область Серебряно-Прудский район, р.п. Серебряные Пруды ул. Коровушкина д.7</t>
  </si>
  <si>
    <t>142970 Московская область Серебряно-Прудский район, р.п. Серебряные Пруды ул.Октябрьская д.54</t>
  </si>
  <si>
    <t>Ливневая канализация 26000 п.м.</t>
  </si>
  <si>
    <t>Колодец питьевой воды, 1 шт</t>
  </si>
  <si>
    <t>Участок ливневой канализации по ул. Ремесленная. 165 п.м.</t>
  </si>
  <si>
    <t>Контейнерная площадка мкр. Северный, 1 шт</t>
  </si>
  <si>
    <t>Контейнерная площадка пер. Комсомольский. 1 шт</t>
  </si>
  <si>
    <t>Контейнерная площадка ул.Восточная. 1 шт</t>
  </si>
  <si>
    <t>Контейнерная площадка ул. Октябрьская. 1 шт</t>
  </si>
  <si>
    <t>Контейнерная площадка с. Красное. 1 шт</t>
  </si>
  <si>
    <t>Контейнерная площадка ул. Малая Луговая 1 шт</t>
  </si>
  <si>
    <t>Атомобильная дорога общего пользования (асфальтобетон), протяженностью 172,7 м. Расположена на земельном участке 50:39:0050503:72</t>
  </si>
  <si>
    <t>Атомобильная дорога общего пользования (асфальтобетон), протяженностью 213,7 м. Расположена на земельном участке 50:39:0050503:72</t>
  </si>
  <si>
    <t>Московская об. Городской округ Серебряные Пруды, р.п. Серебряные Пруды (объездная ул. Почтовая)</t>
  </si>
  <si>
    <t>50:39:0050507:104</t>
  </si>
  <si>
    <t>50:39:0050504:387</t>
  </si>
  <si>
    <t>50:39:0050301:649</t>
  </si>
  <si>
    <t>50:39:0070104:747</t>
  </si>
  <si>
    <t>50:39:0000000:4204</t>
  </si>
  <si>
    <t>50:39:0070104:744</t>
  </si>
  <si>
    <t>50:39:0050404:986</t>
  </si>
  <si>
    <t>50:39:0050101:666</t>
  </si>
  <si>
    <t>50:39:0050501:294</t>
  </si>
  <si>
    <t>50:39:0050507:102</t>
  </si>
  <si>
    <t>Автомобильная дорога общего пользования , протяженностью 534,0м. Расположена на земельном участке 50:39:0070104:738</t>
  </si>
  <si>
    <t>Автомобильная дорога общего пользования , протяженностью 278,0м. Расположена на земельном участке 50:39:0000000:4138</t>
  </si>
  <si>
    <t>Автомобильная дорога общего пользования , протяженностью 642м. Расположена на земельном участке 50:39:0070104:740</t>
  </si>
  <si>
    <t>Автомобильная дорога общего пользования , протяженностью 166м. Расположена на земельном участке 50:39:0050404:972</t>
  </si>
  <si>
    <t xml:space="preserve">Автомобильная дорога общего пользования , протяженностью 702,50м. </t>
  </si>
  <si>
    <t>Автомобильная дорога общего пользования , протяженностью 205м. Расположена на земельном участке 50:39:0050101:576</t>
  </si>
  <si>
    <t>Автомобильная дорога общего пользования , протяженностью 422м. Расположена на земельном участке 50:39:0050101:660</t>
  </si>
  <si>
    <t>Автомобильная дорога общего пользования , протяженностью 106м. Расположена на земельном участке 50:39:0050501:292</t>
  </si>
  <si>
    <t>Автомобильная дорога общего пользования , протяженностью 41м. Расположена на земельном участке 50:39:0050507:100</t>
  </si>
  <si>
    <t>Автомобильная дорога общего пользования , протяженностью 652,20м. Расположена на земельном участке 50:39:0000000:3701</t>
  </si>
  <si>
    <t>Автомобильная дорога общего пользования , протяженностью 1241м. Расположена на земельном участке 50:39:0000000:3684</t>
  </si>
  <si>
    <t>Автомобильная дорога общего пользования , протяженностью 265,40м. Расположена на земельном участке 50:39:0040206:240</t>
  </si>
  <si>
    <t xml:space="preserve">Автомобильная дорога общего пользования , протяженностью 234,60м. </t>
  </si>
  <si>
    <t>Автомобильная дорога общего пользования , протяженностью 247,10м. Расположена на земельном участке 50:39:0050205:493</t>
  </si>
  <si>
    <t xml:space="preserve">Автомобильная дорога общего пользования , протяженностью 870м. </t>
  </si>
  <si>
    <t>Автомобильная дорога общего пользования , протяженностью 933м. Расположена на земельном участке 50:39:0000000:3677</t>
  </si>
  <si>
    <t xml:space="preserve">Автомобильная дорога общего пользования , протяженностью 2156м. </t>
  </si>
  <si>
    <t>Автомобильная дорога общего пользования , протяженностью 663,60м. Расположена на земельном участке 50:39:0050301:592</t>
  </si>
  <si>
    <t>Автомобильная дорога общего пользования , протяженностью 339,20м. Расположена на земельном участке 50:39:0050301:592</t>
  </si>
  <si>
    <t>Автомобильная дорога общего пользования , протяженностью 570м. Расположена на земельном участке 50:39:0050301:591</t>
  </si>
  <si>
    <t xml:space="preserve">Автомобильная дорога общего пользования , протяженностью 6939,70м. </t>
  </si>
  <si>
    <t>Автомобильная дорога общего пользования , протяженностью 409,50м. Расположена на земельном участке 50:39:0050101:573</t>
  </si>
  <si>
    <t>Автомобильная дорога общего пользования , протяженностью 241,50м. Расположена на земельном участке 50:39:0050201:792</t>
  </si>
  <si>
    <t xml:space="preserve">Автомобильная дорога общего пользования , протяженностью 27048м. </t>
  </si>
  <si>
    <t>Асфальтовое покрытие подъезд к кладбищу гп Серебряные Пруды</t>
  </si>
  <si>
    <t>142970 Московская область Серебряно-П-рудский район,  р.п. Серебряные Пруды, ул. Малая Луговая (центральное кладбище)</t>
  </si>
  <si>
    <t>142970 Московская область Серебряно-П-рудский район,  р.п. Серебряные Пруды, ул. Советская, ул. Первомайская</t>
  </si>
  <si>
    <t>Фонтан с сетями (1 шт)</t>
  </si>
  <si>
    <t>Контейнерная площадка ул. Ремесленая, 1 шт</t>
  </si>
  <si>
    <t>142970 Московская область, Серебряно-Прудский р-он,  р.п. Серебряные Пруды, ул. Ремесленая</t>
  </si>
  <si>
    <t>142970 Московская область, Серебряно-Прудский р-он,  р.п. Серебряные Пруды, мкр. Западный</t>
  </si>
  <si>
    <t>Контейнерная площадка мкрн. Западный, 1 шт</t>
  </si>
  <si>
    <t>Сквер им. Ленина (Ограждение металл.-143п.м, скамейка -8шт, тротуарная плитка 787 кв.м, фонарь-16 шт., зеленые насаждения, зеленые насаждения -39кв.м, деревья -143 шт.)</t>
  </si>
  <si>
    <t>142970 Московская область Серебряно-Прудский район, р.п. Серебряные Пруды, пл. Советская</t>
  </si>
  <si>
    <t xml:space="preserve">142970, Московская область,Серебряно-Прудский район, р.п.Серебряные Пруды, ул. Первомайская  </t>
  </si>
  <si>
    <t>142955 М.О. Серебряно-Прудский р-он, с. Подхожее</t>
  </si>
  <si>
    <t>142956 М.О. Серебряно-Прудский р-он, д.Шеметово</t>
  </si>
  <si>
    <t>Тротуары, протяженность 1520 м</t>
  </si>
  <si>
    <t>Тротуары, протяженность 900 м</t>
  </si>
  <si>
    <t>Тротуары, протяженность 250м</t>
  </si>
  <si>
    <t>Решение Совета Депутатов № 698/70</t>
  </si>
  <si>
    <t xml:space="preserve">Асфальтовое покрытие </t>
  </si>
  <si>
    <t>Московская область,Серебряно-Прудский район, с. Крутое</t>
  </si>
  <si>
    <t xml:space="preserve">Московская область, Серебряно-Прудский район, с. Петрово, ( от д. №1 до д. № 8),   </t>
  </si>
  <si>
    <t xml:space="preserve">Московская область, Серебряно-Прудский район, с. Петрово ( от д. № 27 до д. № 48), </t>
  </si>
  <si>
    <t>Асфальтовое покрытие</t>
  </si>
  <si>
    <t>Московская область Серебряно-Прудский район, с. Узуново мкр-н  Южный от д. № 1 до д. № 8, от д. № 14 до д. № 35) мкр-н Северный ( от д. № 1 до д. № 14)</t>
  </si>
  <si>
    <t>Московская область, Серебряно-Прудский район,   с. Мягкое ( около  д. № 10,11, от д. № 22 до д. №24, коттеджи от д. №1 до д. №19</t>
  </si>
  <si>
    <t>Московская область, Серебряно-Прудский район,   с. Глубокое ( от д. № 11 до д. № 14, около д.№ 36,37),</t>
  </si>
  <si>
    <t>Московская область, Серебряно-Прудский район,   с. Петрово ( по селу),</t>
  </si>
  <si>
    <t>Московская область, Серебряно-Прудский район,   с. Крутое  (  от д. №2  до д. №4, от д. №6 до д. 8, д.№ 12,15,19,22,25,42)</t>
  </si>
  <si>
    <t>Московская область, Серебряно-Прудский район,   п. Новоклемово</t>
  </si>
  <si>
    <t>Московская область, Серебряно-Прудский район,   с. Узуново , мкр-н Южный, д.18</t>
  </si>
  <si>
    <t>Пешеходная дорожка к детской площадке</t>
  </si>
  <si>
    <t>Московская область, Серебряно-Прудский район,   с.Узуново</t>
  </si>
  <si>
    <t xml:space="preserve">Площадка для размещения нестационарных торговых объектов </t>
  </si>
  <si>
    <t>Московская область, Серебряно-Прудский район,   д. Лошатово (  Лошатовское сельское кладбище)</t>
  </si>
  <si>
    <t>Тротуар</t>
  </si>
  <si>
    <t xml:space="preserve">Стоянка( парковка) для автокатафалков и автотранспорта </t>
  </si>
  <si>
    <t xml:space="preserve">  Свидетельство о гос. рег-ии НА №595055, свидет-во о регистрации права  50-БА 635339 от 22.12.2015. свидет-во о регистрации права 50-ББ 287381 от 25.05.2016г</t>
  </si>
  <si>
    <t>муниципальный жил. Фонд</t>
  </si>
  <si>
    <t>Автомобильная дорога с грунтовым покрытием, кадастровый номер земельного участка 50:39:0000000:4271 Протяженность 650м</t>
  </si>
  <si>
    <t>МО, городской округ Серебряные Пруды, с.Глубокое, д.73</t>
  </si>
  <si>
    <t>Регистрация права 50-50-39/003/2011-129</t>
  </si>
  <si>
    <t>Московская область, Серебряно-Прудский район,  с. Узуново</t>
  </si>
  <si>
    <t>Московская область, Серебряно-Прудский район,  с.. Мягкое</t>
  </si>
  <si>
    <t>Московская область, Серебряно-Прудский район, д. Степановка</t>
  </si>
  <si>
    <t>Московская область, Серебряно-Прудский район, д. Косяево</t>
  </si>
  <si>
    <t>Московская область, Серебряно-Прудский район,  д. Беззубово</t>
  </si>
  <si>
    <t>Московская область, Серебряно-Прудский район,  д. Коровино</t>
  </si>
  <si>
    <t>Московская область, Серебряно-Прудский район, д. Есипово</t>
  </si>
  <si>
    <t>Московская область, Серебряно-Прудский район,  с.Петрово</t>
  </si>
  <si>
    <t>Московская область, Серебряно-Прудский район,  д. Петровские Выселки</t>
  </si>
  <si>
    <t>Московская область, Серебряно-Прудский район, д. Никольское</t>
  </si>
  <si>
    <t>Пешеходные  мостики, 8 шт.</t>
  </si>
  <si>
    <t xml:space="preserve">Пешеходный мостик </t>
  </si>
  <si>
    <t>Московская область, Серебряно-Прудский район,  д. Красный Пахарь</t>
  </si>
  <si>
    <t>Московская область, Серебряно-Прудский район,  д. Ливадия</t>
  </si>
  <si>
    <t>Московская область, Серебряно-Прудский район,  д. Никольское</t>
  </si>
  <si>
    <t>Московская область, Серебряно-Прудский район,  д. Есипово</t>
  </si>
  <si>
    <t>Московская область, Серебряно-Прудский район, с. Глубокое</t>
  </si>
  <si>
    <t>Московская область, Серебряно-Прудский район,  д. Накаплово</t>
  </si>
  <si>
    <t xml:space="preserve">Московская область, Серебряно-Прудский район, с. Узуново    </t>
  </si>
  <si>
    <t xml:space="preserve">Автомобильная дорога (с  грунтовым покрытием) протяженностью 600 м </t>
  </si>
  <si>
    <t>Московская область, городской округ Серебряные Пруды, с. Мягкое (от железнодорожного моста до церкви)</t>
  </si>
  <si>
    <t>Московская область, городской округ Серебряные Пруды,д. Ливадия (по деревне)</t>
  </si>
  <si>
    <t>Автомобильная дорога (с грунтовым покрытием), расположенная на земельном участке с кадастровым номером 50:39:0040204:64, протяженностью 488 м</t>
  </si>
  <si>
    <t xml:space="preserve">Автомобильная дорога (с  грунтовым покрытием), расположенная на земельном участке с кадастровым номером 50:39:0030208:168, протяженностью 179 м     </t>
  </si>
  <si>
    <t>Московская область, Серебряно-Прудский район,  д. Беляево</t>
  </si>
  <si>
    <t>Плотина (проезд автотранспорта)  площадь 11000,0 кв.м.</t>
  </si>
  <si>
    <t>Московская область, Серебряно-Прудский район,  с. Колеймино</t>
  </si>
  <si>
    <t xml:space="preserve">Московская область, Серебряно-Прудский район, с. Узуново </t>
  </si>
  <si>
    <t xml:space="preserve">Московская область, Серебряно-Прудский район, с. Крутое </t>
  </si>
  <si>
    <t>Московская область, Серебряно-Прудский район,  д.Большое Орехово</t>
  </si>
  <si>
    <t>Плотина (проезд автотранспорта)  объем 320 тыс.куб.м., площадь 80  тыс. кв.м., высота 8,0 м.,длина 200 м., ширина 7,0  м.</t>
  </si>
  <si>
    <t>Плотина (проезд автотранспорта)  объем 10 тыс.куб.м., площадь 10  тыс. кв.м., высота 2,0 м.,длина 50 м., ширина 3,0  м.</t>
  </si>
  <si>
    <t>Московская область, Серебряно-Прудский район,  д.Васильевское</t>
  </si>
  <si>
    <t>Московская область, Серебряно-Прудский район,  д.Боршово</t>
  </si>
  <si>
    <t>Плотина (проезд автотранспорта)  объем 125 тыс.куб.м., площадь 50  тыс. кв.м., высота 5,0 м.,длина 120 м., ширина 4,5  м.</t>
  </si>
  <si>
    <t>Плотина (проезд автотранспорта)  объем 48 тыс.куб.м., площадь160  тыс. кв.м., высота 4,0 м.,длина 30 м., ширина 4,0  м.</t>
  </si>
  <si>
    <t xml:space="preserve">Московская область, Серебряно-Прудский район,  д.Крытово, </t>
  </si>
  <si>
    <t>Московская область, Серебряно-Прудский район,  с. Тютьково</t>
  </si>
  <si>
    <t>Московская область, Серебряно-Прудский район,  д.Петровские Выселки</t>
  </si>
  <si>
    <t>Московская область, Серебряно-Прудский район,  д.Столбовка</t>
  </si>
  <si>
    <t xml:space="preserve">  Плотина (пешеходный переход)  объем 1402 тыс.куб.м.,площадь 210  тыс. кв.м., высота 7,2 м.,длина 80 м., ширина 2,0 м.</t>
  </si>
  <si>
    <t xml:space="preserve"> Плотина (проезд автотранспорта)  объем 120 тыс.куб.м.,площадь 40  тыс. кв.м., высота 6,0 м.,длина 100 м., ширина 3,0 м.</t>
  </si>
  <si>
    <t>Плотина (проезд автотранспорта)  объем 100 тыс.куб.м., площадь 56  тыс. кв.м., высота 3,4 м.,длина 80 м., ширина 3,7 м.</t>
  </si>
  <si>
    <t>Плотина (проезд автотранспорта)  объем 80 тыс.куб.м., площадь 40  тыс. кв.м., высота 5,0 м.,длина 100 м., ширина 4,0  м.</t>
  </si>
  <si>
    <t>Московская область, Серебряно-Прудский район,  с. Крутое</t>
  </si>
  <si>
    <t>Памятник погибшим  воинам в 1941-1945 гг ( площадь  земельного участка 768 кв.м.)</t>
  </si>
  <si>
    <t>Московская область, Серебряно-Прудский район,  с. Петрово</t>
  </si>
  <si>
    <t>Памятник погибшим  воинам в 1941-1945 гг ( площадь  земельного участка 258 кв.м.)</t>
  </si>
  <si>
    <t xml:space="preserve">     Братская могила погибшим  воинам в 1941-1945 гг ( площадь  земельного участка 157 кв.м.)</t>
  </si>
  <si>
    <t>Памятник погибшим  воинам в 1941-1945 гг ( площадь  земельного участка 260 кв.м.)</t>
  </si>
  <si>
    <t xml:space="preserve">МО, городской округ Серебряные Пруды, с.Глубокое </t>
  </si>
  <si>
    <t xml:space="preserve">Газопровод низкого давления к 116-ти  жилым  домам, инв. 1520216, протяженность 620,6 м, сталь </t>
  </si>
  <si>
    <t>50:39:0050511:127</t>
  </si>
  <si>
    <t>50:39:0050511:126</t>
  </si>
  <si>
    <t>Московская область, Серебряно-Прудский район,   с.  Узуново, ул. Советская, д.29/2</t>
  </si>
  <si>
    <t>Московская область, Серебряно-Прудский район,   с.  Узуново, ул. Заречная, д.13</t>
  </si>
  <si>
    <t>Московская область, Серебряно-Прудский район,   с.  Узуново, ул. Заречная, д.8</t>
  </si>
  <si>
    <t>Московская область, Серебряно-Прудский район,   д. Яковлевское, д.23</t>
  </si>
  <si>
    <t>Московская область, Серебряно-Прудский район,   д.   Васильевское, д.33</t>
  </si>
  <si>
    <t>Московская область, Серебряно-Прудский район,   д.   Васильевское ( у родника)</t>
  </si>
  <si>
    <t>Московская область, Серебряно-Прудский район,   д.      Должиково, д.20</t>
  </si>
  <si>
    <t>Московская область, Серебряно-Прудский район,   д.      Должиково, д.14</t>
  </si>
  <si>
    <t>Московская область, Серебряно-Прудский район,   д.     Беззубово, д.27</t>
  </si>
  <si>
    <t>Московская область, Серебряно-Прудский район,   д. Яковлевское, д.54</t>
  </si>
  <si>
    <t>Московская область, Серебряно-Прудский район,   д.    Косяево, д.52</t>
  </si>
  <si>
    <t>Московская область, Серебряно-Прудский район,   д.      Коровино, д.66</t>
  </si>
  <si>
    <t>Московская область, Серебряно-Прудский район,   с. Тютьково , д.9</t>
  </si>
  <si>
    <t>Московская область, Серебряно-Прудский район,   с. Тютьково , д.1а</t>
  </si>
  <si>
    <t>Московская область, Серебряно-Прудский район,   с. Тютьково , д.12</t>
  </si>
  <si>
    <t>Московская область, Серебряно-Прудский район,   с. Тютьково</t>
  </si>
  <si>
    <t>Московская область, Серебряно-Прудский район,   с.  Малынь , д.3</t>
  </si>
  <si>
    <t>Московская область, Серебряно-Прудский район,   с.  Малынь, д.10а</t>
  </si>
  <si>
    <t>Московская область, Серебряно-Прудский район,    д. Крытово , д.24</t>
  </si>
  <si>
    <t>Московская область, Серебряно-Прудский район,    д.  Накаплово, д.42</t>
  </si>
  <si>
    <t>Московская область, Серебряно-Прудский район,    д.  Накаплово</t>
  </si>
  <si>
    <t>Московская область, Серебряно-Прудский район,   с.   Глубокое , д.6а,</t>
  </si>
  <si>
    <t>Московская область, Серебряно-Прудский район,   с.   Глубокое , д.12б</t>
  </si>
  <si>
    <t>Московская область, Серебряно-Прудский район,   с.   Глубокое , д.40</t>
  </si>
  <si>
    <t>Московская область, Серебряно-Прудский район,   с.   Глубокое , д.121</t>
  </si>
  <si>
    <t>Московская область, Серебряно-Прудский район,   с.   Глубокое , д.97</t>
  </si>
  <si>
    <t>Московская область, Серебряно-Прудский район,   с.   Глубокое , д.56,</t>
  </si>
  <si>
    <t>Московская область, Серебряно-Прудский район,   с.   Глубокое  ( роща лоск)</t>
  </si>
  <si>
    <t>Московская область, Серебряно-Прудский район,    д. Есипово</t>
  </si>
  <si>
    <t>Московская область, Серебряно-Прудский район,    д. Есипово, д.33</t>
  </si>
  <si>
    <t>Московская область, Серебряно-Прудский район,    д. Есипово, д.22</t>
  </si>
  <si>
    <t>Московская область, Серебряно-Прудский район,    д. Есипово, д.68</t>
  </si>
  <si>
    <t>Московская область, Серебряно-Прудский район,    д. Есипово, д.38</t>
  </si>
  <si>
    <t>Московская область, Серебряно-Прудский район,    д.  Беляево, д.6</t>
  </si>
  <si>
    <t>Московская область, Серебряно-Прудский район,    д.  Беляево, д.2</t>
  </si>
  <si>
    <t>Московская область, Серебряно-Прудский район,    д.  Никольское, д.28</t>
  </si>
  <si>
    <t>Московская область, Серебряно-Прудский район,    д.  Беляево, д.15</t>
  </si>
  <si>
    <t>Московская область, Серебряно-Прудский район,    д.  Беляево, д.8</t>
  </si>
  <si>
    <t>Московская область, Серебряно-Прудский район,    д.   Петровские  Выселки ( овраг)</t>
  </si>
  <si>
    <t>Московская область, Серебряно-Прудский район,    д.   Бокша, д.34</t>
  </si>
  <si>
    <t>Московская область, Серебряно-Прудский район,   с.  Петрово , д.101 ( около церкви),</t>
  </si>
  <si>
    <t>Московская область, Серебряно-Прудский район,    д.     Столбовка, д.20</t>
  </si>
  <si>
    <t>Московская область, Серебряно-Прудский район,    д.     Столбовка, д.22</t>
  </si>
  <si>
    <t>Московская область, Серебряно-Прудский район,    д.      Новомойгоры, д.14</t>
  </si>
  <si>
    <t>Московская область, Серебряно-Прудский район,    д.      Новомойгоры, д.6</t>
  </si>
  <si>
    <t>Московская область, Серебряно-Прудский район,    д.      Старомойгоры, д.2</t>
  </si>
  <si>
    <t>Московская область, Серебряно-Прудский район,   с. Клемово ( овраг)</t>
  </si>
  <si>
    <t>Московская область, Серебряно-Прудский район,   с. Колеймино ( д. № 52)</t>
  </si>
  <si>
    <t>Московская область, Серебряно-Прудский район,   с. Петрово ( святой источник)</t>
  </si>
  <si>
    <t>Московская область, Серебряно-Прудский район,с. Крутое (  вблизи сельского Дома культуры)</t>
  </si>
  <si>
    <t>Московская область, Серебряно-Прудский район,с. Крутое</t>
  </si>
  <si>
    <t>Пожарный водопровод в мкр-не " Молодежный" , протяженность 250м.</t>
  </si>
  <si>
    <t>Московская область, Серебряно-Прудский район,   д.    Косяево, д.16</t>
  </si>
  <si>
    <t>Колодец питьевой воды (  инв.№11013129604)</t>
  </si>
  <si>
    <t>Колодец питьевой воды (инв.№11013129630)</t>
  </si>
  <si>
    <t>Колодец питьевой воды (инв.№11013129638)</t>
  </si>
  <si>
    <t>Колодец питьевой воды (инв.№11013129639)</t>
  </si>
  <si>
    <t>Колодец питьевой воды (инв.№11013129640)</t>
  </si>
  <si>
    <t>Колодец питьевой воды (инв.№11013129642)</t>
  </si>
  <si>
    <t>Колодец питьевой воды (инв.№11013129643)</t>
  </si>
  <si>
    <t>Колодец питьевой воды (инв.№11013129644)</t>
  </si>
  <si>
    <t>Колодец питьевой воды (инв.№11013129646)</t>
  </si>
  <si>
    <t>Колодец питьевой воды (инв.№11013129647)</t>
  </si>
  <si>
    <t>Колодец питьевой воды (инв.№11013129648)</t>
  </si>
  <si>
    <t>Колодец питьевой воды (инв.№11013129650)</t>
  </si>
  <si>
    <t>Колодец питьевой воды (инв.№11013129652)</t>
  </si>
  <si>
    <t>Колодец питьевой воды (инв.№11013129654)</t>
  </si>
  <si>
    <t>Колодец питьевой воды (инв.№11013129657)</t>
  </si>
  <si>
    <t>Колодец питьевой воды (инв.№11013129673)</t>
  </si>
  <si>
    <t xml:space="preserve">Колодец питьевой воды </t>
  </si>
  <si>
    <t xml:space="preserve">Московская область, Серебряно-Прудский район,с. Крутое ( д. № 26) </t>
  </si>
  <si>
    <t>Колодец питьевой воды (инв.№11013129601)</t>
  </si>
  <si>
    <t>Колодец питьевой воды (  инв.№11013129618)</t>
  </si>
  <si>
    <t>Колодец питьевой воды (  инв.№11013129619)</t>
  </si>
  <si>
    <t>Колодец питьевой воды (инв.№11013129620)</t>
  </si>
  <si>
    <t>Колодец питьевой воды (инв.№11013129621)</t>
  </si>
  <si>
    <t>Колодец питьевой воды (инв.№11013129622)</t>
  </si>
  <si>
    <t>Колодец питьевой воды (инв.№11013129623)</t>
  </si>
  <si>
    <t>Колодец питьевой воды (инв.№11013129625)</t>
  </si>
  <si>
    <t>Колодец питьевой воды (инв.№11013129626)</t>
  </si>
  <si>
    <t>Колодец питьевой воды (инв.№11013129627)</t>
  </si>
  <si>
    <t xml:space="preserve"> Колодец питьевой воды (инв.№11013129628)</t>
  </si>
  <si>
    <t>Колодец питьевой воды (инв.№11013129629)</t>
  </si>
  <si>
    <t>Колодец питьевой воды (инв.№11013129633)</t>
  </si>
  <si>
    <t>Колодец питьевой воды (инв.№11013129636)</t>
  </si>
  <si>
    <t>Колодец питьевой воды (инв.№11013129637)</t>
  </si>
  <si>
    <t>Колодец питьевой воды (инв.№11013129651)</t>
  </si>
  <si>
    <t>Колодец питьевой воды (инв.№11013129653)</t>
  </si>
  <si>
    <t xml:space="preserve"> Колодец питьевой воды (инв.№11013129655)</t>
  </si>
  <si>
    <t>Колодец питьевой воды (инв.№11013129660)</t>
  </si>
  <si>
    <t>Колодец питьевой воды (инв.№11013129661)</t>
  </si>
  <si>
    <t>Колодец питьевой воды (инв.№11013129662)</t>
  </si>
  <si>
    <t>Колодец питьевой воды (инв.№11013129665)</t>
  </si>
  <si>
    <t>Колодец питьевой воды (инв.№11013129666)</t>
  </si>
  <si>
    <t>Колодец питьевой воды (инв.№11013129667)</t>
  </si>
  <si>
    <t>Колодец питьевой воды (инв.№11013129668)</t>
  </si>
  <si>
    <t>Колодец питьевой воды (инв.№11013129669)</t>
  </si>
  <si>
    <t xml:space="preserve"> Колодец питьевой воды (инв.№11013129670)</t>
  </si>
  <si>
    <t>Колодец питьевой воды (инв.№11013129672)</t>
  </si>
  <si>
    <t xml:space="preserve"> Московская область, Серебряно-Прудский район,   с.Узуново, мкр-н Северный, д. № 16 ( к-ра "Нива")</t>
  </si>
  <si>
    <t xml:space="preserve"> Московская область, Серебряно-Прудский район,   с.Узуново, мкр-н Северный, д. № 12 (  учительский дом)</t>
  </si>
  <si>
    <t xml:space="preserve"> Московская область, Серебряно-Прудский район,   с.Узуново, мкр-н Северный, д. № 1а (  общежитие)</t>
  </si>
  <si>
    <t xml:space="preserve"> Московская область, Серебряно-Прудский район,   с.Узуново, мкр-н Северный, д. № 12а (  СДК)</t>
  </si>
  <si>
    <t xml:space="preserve"> Московская область, Серебряно-Прудский район,   с.Узуново, мкр-н  Южный, д. № 2</t>
  </si>
  <si>
    <t xml:space="preserve"> Московская область, Серебряно-Прудский район,   с.Узуново, мкр-н  Южный, д. № 5</t>
  </si>
  <si>
    <t xml:space="preserve"> Московская область, Серебряно-Прудский район,   с.Узуново, мкр-н  Южный ( здание молзавода)</t>
  </si>
  <si>
    <t xml:space="preserve"> Московская область, Серебряно-Прудский район,   с.Узуново, ул. Почтовая,  д. № 62 ( Подросток)</t>
  </si>
  <si>
    <t>Московская область, Серебряно-Прудский район,   с.Узуново, ул. Почтовая,  д.  ЭЧК-69</t>
  </si>
  <si>
    <t>Московская область, Серебряно-Прудский район,   с.Узуново, ул. Почтовая ( ЖД вокзал)</t>
  </si>
  <si>
    <t>Московская область, Серебряно-Прудский район,   с.Узуново, мкр-н Северный, д. казарма № 2(   переезд)</t>
  </si>
  <si>
    <t xml:space="preserve"> Московская область, Серебряно-Прудский район,   с. Петрово,д. № 97 ( здание бани)</t>
  </si>
  <si>
    <t xml:space="preserve"> Московская область, Серебряно-Прудский район,   с. Петрово,д. № 10</t>
  </si>
  <si>
    <t xml:space="preserve"> Московская область, Серебряно-Прудский район,   с. Петрово,д. № 56</t>
  </si>
  <si>
    <t>Московская область, Серебряно-Прудский район,   с. Петрово,д. № 20 ( здание  столовой)</t>
  </si>
  <si>
    <t xml:space="preserve"> Московская область, Серебряно-Прудский район,   с. Петрово,д. № 52</t>
  </si>
  <si>
    <t xml:space="preserve"> Московская область, Серебряно-Прудский район,   п. Новоклемово, д.№ 61 ( ЦДК)</t>
  </si>
  <si>
    <t xml:space="preserve"> Московская область, Серебряно-Прудский район,   п. Новоклемово, д.№ 68 ( здание мастерской ЖКХ)</t>
  </si>
  <si>
    <t xml:space="preserve"> Московская область, Серебряно-Прудский район,   п. Новоклемово, д.№ 31</t>
  </si>
  <si>
    <t xml:space="preserve"> Московская область, Серебряно-Прудский район,   п. Новоклемово, д.№ 62( школа)</t>
  </si>
  <si>
    <t xml:space="preserve"> Московская область, Серебряно-Прудский район,   с. Крутое</t>
  </si>
  <si>
    <t xml:space="preserve"> Московская область, Серебряно-Прудский район,   д. Коровино</t>
  </si>
  <si>
    <t xml:space="preserve"> Московская область, Серебряно-Прудский район,   с. Глубокое,д. № 57</t>
  </si>
  <si>
    <t xml:space="preserve"> Московская область, Серебряно-Прудский район,   с. Глубокое,д. № 11</t>
  </si>
  <si>
    <t xml:space="preserve"> Московская область, Серебряно-Прудский район,   с. Глубокое,д. № 29( коттедж)</t>
  </si>
  <si>
    <t>Московская область, Серебряно-Прудский район,   с. Глубокое, д. № 127</t>
  </si>
  <si>
    <t>Московская область, Серебряно-Прудский район,   с. Глубокое,д. № 3    ( коттедж)</t>
  </si>
  <si>
    <t xml:space="preserve"> Московская область, Серебряно-Прудский район,   с. Глубокое, д. № 33а</t>
  </si>
  <si>
    <t>Московская область, Серебряно-Прудский район,   с.  Узуново( Узуновское кладбище)</t>
  </si>
  <si>
    <t xml:space="preserve"> Московская область, Серебряно-Прудский район,   с.   Глубокое (  Глубоковское кладбище)</t>
  </si>
  <si>
    <t>Московская область, Серебряно-Прудский район,   с.    Крутое (  Крутовское  кладбище)</t>
  </si>
  <si>
    <t xml:space="preserve"> Московская область, Серебряно-Прудский район,   с.     Петрово (  Петровское  кладбище)</t>
  </si>
  <si>
    <t>Московская область, Серебряно-Прудский район,   д. Лошатово (  Лошатовское  кладбище)</t>
  </si>
  <si>
    <t>Московская область, Серебряно-Прудский район,   с.Узуново, мкр-н  Южный, д. № 35</t>
  </si>
  <si>
    <t xml:space="preserve"> Московская область, Серебряно-Прудский район,   д. Лошатово </t>
  </si>
  <si>
    <t xml:space="preserve"> Московская область, Серебряно-Прудский район,  с. Клемово</t>
  </si>
  <si>
    <t>Площадка под прием мусора</t>
  </si>
  <si>
    <t>142970, Московская область,Серебряно-Прудский район, р.п.Серебряные Пруды, микрорайон Юбилейный</t>
  </si>
  <si>
    <t>Бюст маршала  В.И Чуйкова</t>
  </si>
  <si>
    <t>142970, Московская область,Серебряно-Прудский район, р.п.Серебряные Пруды, ул.Первомайская</t>
  </si>
  <si>
    <t>Памятник В.И. Ленину</t>
  </si>
  <si>
    <t>Московская область, Серебряно-Прудский район, с. Дудино</t>
  </si>
  <si>
    <t>Здание Дома Культуры</t>
  </si>
  <si>
    <t>Автомобильная дорога с твердым покрытием, кадастровый номер земельного участка 50:39:0060503:312 (ул. Б.Слобода). Протяженность ул. Мира 3153м. Ул. Б.Слобода 1570м, м-н Восточный 1318м</t>
  </si>
  <si>
    <t>Автомобильная дорога с  твердым покрытием. Кадастровый номер участка 50:39:00603066:845. Протяженность 3765 м</t>
  </si>
  <si>
    <t>Здание назначение нежилое инв. 1010011 (старое здание котельной), 1-о этажное, материал стен смешанный, год пострйки 1988</t>
  </si>
  <si>
    <t>городской округ Серебряные Пруды М.О., рп Серебряные Пруды, ул. Механизаторов</t>
  </si>
  <si>
    <t>городской округ Серебряные Пруды М.О., рп Серебряные Пруды, ул. 8 Марта</t>
  </si>
  <si>
    <t>городской округ Серебряные Пруды М.О., рп Серебряные Пруды, ул. Ремесленная</t>
  </si>
  <si>
    <t>Земельный участок Категория земель - земли населённых пунктов. ВРИ - для для размещения садово-паркового комплекса</t>
  </si>
  <si>
    <t>50:39:0050510:30</t>
  </si>
  <si>
    <t>Решение Совета депутатов № 697/70, Свидетельство о регистрации права 50-ББ 287151 от 16.05.2016г</t>
  </si>
  <si>
    <t>Решение Совета депутатов № 697/70, Свидет-во о регистрации права 50-ББ 287150 от 16.05.2016г</t>
  </si>
  <si>
    <t>Решение Совета депутатов № 697/70, Свидет-во о регистрации права 50-ББ 287156 от 16.05.2016г</t>
  </si>
  <si>
    <t>50:39:0070207:86</t>
  </si>
  <si>
    <t>Решение Совета депутатов № 697/70, Свидет-во о регистрации права 50-ББ 287149 от 16.05.2016г</t>
  </si>
  <si>
    <t>Нежилое помещение  (здание СДК), п. Дмитриевский, д.13-а</t>
  </si>
  <si>
    <t>50:39:0080207:253</t>
  </si>
  <si>
    <t>Решение Совета депутатов № 697/70, Свидет-во о регистрации права 50-ББ 287146 от 16.05.2016г</t>
  </si>
  <si>
    <t>50:39:0000000:3870</t>
  </si>
  <si>
    <t>Решение Совета депутатов № 697/70, Свидет-во о регистрации права 520-ББ 287154 от 16.05.2016г</t>
  </si>
  <si>
    <t>50:39:0080207:466</t>
  </si>
  <si>
    <t>Решение Совета депутатов № 697/70, Свидет-во о регистрации права 50-ББ 287153</t>
  </si>
  <si>
    <t>Решение Совета депутатов № 697/70, Свидет-во о регистрации права 50-ББ 287152 от 16.05.2016г</t>
  </si>
  <si>
    <t>50:39:0000000:3497</t>
  </si>
  <si>
    <t>Мемориал воинам , погибшим в  Великой Отечественной войне при освобождении п.Серебряные Пруды</t>
  </si>
  <si>
    <t>50:39:0050504:397</t>
  </si>
  <si>
    <t>Плотина, площадь 72000 кв.м.</t>
  </si>
  <si>
    <t>Плотина №1(проезд транспорта), высота 2,5м. Ширина 6,1м. Протяженность 175,00м</t>
  </si>
  <si>
    <t>Плотина №1 (проезд транспорта), инв. № 273:078-5353, объем 50 тыс. куб.м, высота 5,0м, длина 86м, ширина 6,3 м</t>
  </si>
  <si>
    <t>Плотина (проезд транспорта), инв. № 273:078-5351, объем 340 тыс. куб.м., высота 2,0м, длина 313м, ширина 11м</t>
  </si>
  <si>
    <t>Плотина №2(проезд автотранспорта)  объем 50 тыс.куб.м., площадь 20  тыс. кв.м., высота 5,0 м.,длина 70 м., ширина 3,0  м.</t>
  </si>
  <si>
    <t>Плотина №2(проезд автотранспорта)  объем  50 тыс.куб.м., площадь 20  тыс. кв.м., высота 5,0 м., длина 70 м., ширина 3,0  м.</t>
  </si>
  <si>
    <t>Московская область, Серебряно-Прудский район,  с. Клемово-2</t>
  </si>
  <si>
    <t>Плотина №3 (проезд транспорта), объем 22 тыс. куб.м, высота 3м. Длина 67м, ширина 7,1м</t>
  </si>
  <si>
    <t>Плотина№2 (проезд транспорта), объем 11 тыс.куб.м, высота 1,5м, длина 67м, ширина 5,7м</t>
  </si>
  <si>
    <t>Распоряжение администрации Серебряно-Прудского муниципального района 278-р, Свидет-во о регистрации права от 20.06.2016г 50-ББ №287684</t>
  </si>
  <si>
    <t>Здание нежилое (Старой Котельной), кирпичное, перекрытия ж/бетонные, кровля мягкая, 1985г, инв. 014068, в т.ч. Труба дымовая металлическая, высота 44м, диаметр 0,6м, инв. 014060</t>
  </si>
  <si>
    <t>собственность</t>
  </si>
  <si>
    <t>50:39:0060306:210</t>
  </si>
  <si>
    <t>142954 М.О. Серебряно-Прудский р-н, с. Аннино</t>
  </si>
  <si>
    <t>50:39:0060301:12</t>
  </si>
  <si>
    <t>142954 М.О. Серебряно-Прудский р-н, с. Клинское</t>
  </si>
  <si>
    <t>50:39:0060303:29</t>
  </si>
  <si>
    <t>50:39:0060301:17</t>
  </si>
  <si>
    <t>142956 М.О. Серебряно-Прудский р-н, с. Куребино</t>
  </si>
  <si>
    <t>50:39:0060108:14</t>
  </si>
  <si>
    <t>142955 М.О. Серебряно-Прудский р-н, с. Подхожее</t>
  </si>
  <si>
    <t>50:39:0060504:68</t>
  </si>
  <si>
    <t>142955 М.О. Серебряно-Прудский р-н, с. Кормовое</t>
  </si>
  <si>
    <t>50:39:0060311:106</t>
  </si>
  <si>
    <t>Земельный участок. Категория земель - земли населённых пунктов. ВРИ- для размещение кладбища</t>
  </si>
  <si>
    <t>Земельный участок. Категория земель - земли промышленности, энергетики, транспорта, связи, радиовещания, телевидения, информатики, земли для обеспечения космичесой деятельности, земли обороны, безопасности и земли иного специального назначенияю.. ВРИ - размещение кладбища</t>
  </si>
  <si>
    <t>Решение Совета депутатов № 698/70. Свидетельство о регистрации права от 24.06.2016г 50-ББ №287644</t>
  </si>
  <si>
    <t>Решение Совета депутатов № 698/70. Свидетельство о регистрации права от 24.06.2016г 50-ББ №287643</t>
  </si>
  <si>
    <t>Решение Совета депутатов № 698/70. Свидетельство о регистрации права от 24.06.2016г 50-ББ №287642</t>
  </si>
  <si>
    <t>Решение Совета депутатов № 698/70. Свидетельство о регистрации права от 24.06.2016г 50-ББ №287641</t>
  </si>
  <si>
    <t>Земельный участок. Категория земель - земли населённых пунктов. ВРИ- размещение кладбища</t>
  </si>
  <si>
    <t>Решение Совета депутатов № 698/70. Свидет-во о регистрации права от 24.06.2016г 50-ББ №287645</t>
  </si>
  <si>
    <t>Решение Совета депутатов № 698/70. Свидет-во о регистрации права от 24.06.2016г 50-ББ №287646</t>
  </si>
  <si>
    <t>Решение Совета депутатов № 698/70. Свидет-во о регистрации права от 24.06.2016г 50-ББ № 287647</t>
  </si>
  <si>
    <t>Земельный участок Категория земель -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безопастности и земли иного специального назначения, ВРИ - для размещения кладбища</t>
  </si>
  <si>
    <t>Свидетельство о регистрации права 50-БА 380818, Свидет-во о регистрации права от 24.06.2016г 50-ББ №287676</t>
  </si>
  <si>
    <t>Свидетельство о регистрации права 50-БА 635648. Свидетельство о регистрации права от 24.06.2016г 50-ББ № 287638</t>
  </si>
  <si>
    <t>Свидетельство о регистрации права 50-БА 635647. Свидет-во о регистрации права от 24.06.2016г 50-ББ № 287637</t>
  </si>
  <si>
    <t xml:space="preserve">Администрация городского округа Серебряные Пруды Московской области </t>
  </si>
  <si>
    <t>Свидетельство о регистрации права 50-БА 635645. Свидет-во о регистрации права от 24.06.2016г 50-ББ №287636</t>
  </si>
  <si>
    <t>Земельный участок Категория земель - земли населённых пунктов ВРИ - для размещения кладбища</t>
  </si>
  <si>
    <t>Свидетельство о регистрации права 50-БА 635646. Свидет-во о регистрации права от 24.06.2016г 50-ББ №287635</t>
  </si>
  <si>
    <t>Свидетельство о регистрации права 50-БА 635576, Свидет-во о регистрации права от 24.06.2016г 50-ББ № 287634</t>
  </si>
  <si>
    <t>Свидетельство о регистрации права 50-БА 635577. Свидет-во о регистрации права от 24.06.2016г 50-ББ №287633</t>
  </si>
  <si>
    <t>Московская область. Серебряно-Прудский район, с. Глубокое</t>
  </si>
  <si>
    <t>50:39:0020208:326</t>
  </si>
  <si>
    <t>Московская область. Серебряно-Прудский район, д. Есипово</t>
  </si>
  <si>
    <t>50:39:0020314:262</t>
  </si>
  <si>
    <t>Решение Совета депутатов № 696/70. Свидет-во о регистрации права от 24.06.2016г 50-ББ №287658</t>
  </si>
  <si>
    <t>Решение Совета депутатов № 696/70. Свидет-во о регистрации права от 24.06.2016г 50-ББ №287659</t>
  </si>
  <si>
    <t>Московская область. Серебряно-Прудский район, д. Толстые</t>
  </si>
  <si>
    <t>50:39:0020321:170</t>
  </si>
  <si>
    <t>Решение Совета депутатов № 696/70. Свидет-во о регистрации права от 24.06.2016г 50-ББ №287660</t>
  </si>
  <si>
    <t>Московская область. Серебряно-Прудский район, с. Петрово</t>
  </si>
  <si>
    <t>50:39:0010108:296</t>
  </si>
  <si>
    <t>Решение Совета депутатов № 696/70. Свидет-во о регистрации права от 24.06.2016г 50-ББ №287661</t>
  </si>
  <si>
    <t>Решение Совета депутатов № 696/70. Свидет-во о регистрации права от 24.06.2016г 50-ББ №287656</t>
  </si>
  <si>
    <t>Московская область. Серебряно-Прудский район, д. Боршово</t>
  </si>
  <si>
    <t>50:39:0010302:232</t>
  </si>
  <si>
    <t>Решение Совета депутатов № 696/70. Свидет-во о регистрации права от 24.06.2016г 50-ББ №287657</t>
  </si>
  <si>
    <t>Решение Совета депутатов № 696/70. Свидет-во о регистрации права от 24.06.2016г 50-ББ №287663</t>
  </si>
  <si>
    <t>Земельный участок. Категория земель - земли населённых пунктов. ВРИ- под кладбище</t>
  </si>
  <si>
    <t>Решение Совета депутатов № 696/70. Свидет-во о регистрации права от 24.06.2016г 50-ББ №287664</t>
  </si>
  <si>
    <t>Московская область. Серебряно-Прудский район, северная часть квартала 50:39:0040201 (вблизи д. Лошатово)</t>
  </si>
  <si>
    <t>50:39:0040201:1</t>
  </si>
  <si>
    <t>Решение Совета депутатов № 696/70. Свидет-во о регистрации права от 24.06.2016г 50-ББ №287669</t>
  </si>
  <si>
    <t>Решение Совета депутатов № 696/70. Свидет-во о регистрации права от 24.06.2016г 50-ББ №287655</t>
  </si>
  <si>
    <t>Московская область. Серебряно-Прудский район, с. Колеймино</t>
  </si>
  <si>
    <t>50:39:0030116:67</t>
  </si>
  <si>
    <t>Московская область. Серебряно-Прудский район, северная часть квартала 50:39:0040201 (вблизи с. Узуново)</t>
  </si>
  <si>
    <t>50:39:0030207:3</t>
  </si>
  <si>
    <t>Решение Совета депутатов № 696/70. Свидет-во о регистрации права от 24.06.2016г 50-ББ №287665</t>
  </si>
  <si>
    <t>50:39:0020317:130</t>
  </si>
  <si>
    <t>Решение Совета депутатов № 696/70. Свидет-во о регистрации права от 24.06.2016г 50-ББ №287653</t>
  </si>
  <si>
    <t>Московская область. Серебряно-Прудский район, с. Мягкое</t>
  </si>
  <si>
    <t>Московская область. Серебряно-Прудский район, д. Накаплово</t>
  </si>
  <si>
    <t>50:39:0030105:151</t>
  </si>
  <si>
    <t>Решение Совета депутатов № 696/70. Свидет-во о регистрации права от 24.06.2016г 50-ББ №287654</t>
  </si>
  <si>
    <t>Решение Совета депутатов № 696/70. Свидет-во о регистрации права от 24.06.2016г 50-ББ №287666</t>
  </si>
  <si>
    <t>Московская область. Серебряно-Прудский район, с. Малынь</t>
  </si>
  <si>
    <t>50:39:0030111:108</t>
  </si>
  <si>
    <t>Решение Совета депутатов № 696/70. Свидет-во о регистрации права от 24.06.2016г 50-ББ №287667</t>
  </si>
  <si>
    <t>Московская область. Серебряно-Прудский район, д Беззубово</t>
  </si>
  <si>
    <t>50:39:0030121:100</t>
  </si>
  <si>
    <t>Московская область. Серебряно-Прудский район, д Должиково</t>
  </si>
  <si>
    <t>50:39:0030119:52</t>
  </si>
  <si>
    <t>Московская область. Серебряно-Прудский район, с. Тютьково</t>
  </si>
  <si>
    <t>50:39:0030108:93</t>
  </si>
  <si>
    <t>Земельный участок. Категория земель - земли населённых пунктов. ВРИ- под размещение кладбища</t>
  </si>
  <si>
    <t>Московская область. Серебряно-Прудский район, дер. Скородня</t>
  </si>
  <si>
    <t>50:39:0010307:15</t>
  </si>
  <si>
    <t>Решение Совета депутатов № 696/70. Свидет-во о регистрации права от 24.06.2016г 50-ББ №287670</t>
  </si>
  <si>
    <t>Решение Совета депутатов № 696/70. Свидет-во о регистрации права от 24.06.2016г 50-ББ №287671</t>
  </si>
  <si>
    <t>Московская область. Серебряно-Прудский район, с. Узуново</t>
  </si>
  <si>
    <t>50:39:0030207:15</t>
  </si>
  <si>
    <t>Решение Совета депутатов № 696/70. Свидет-во о регистрации права от 24.06.2016г 50-ББ №287672</t>
  </si>
  <si>
    <t>Московская область. Серебряно-Прудский район, д. Свиное</t>
  </si>
  <si>
    <t>50:39:0020102:6</t>
  </si>
  <si>
    <t>Московская область. Серебряно-Прудский район, с. Крутое</t>
  </si>
  <si>
    <t>50:39:0020102:5</t>
  </si>
  <si>
    <t>Земельный участок. Категория земель: земли населённых пунктов, ВРИ - под размещение кладбища</t>
  </si>
  <si>
    <t>Московская область. Серебряно-Прудский район, п. Успенский</t>
  </si>
  <si>
    <t>50:39:0070304:28</t>
  </si>
  <si>
    <t>Решение Совета депутатов № 697/70, Свидет-во о регистрации права от 24.06.2016г 50-ББ 287652</t>
  </si>
  <si>
    <t>50:39:0070206:185</t>
  </si>
  <si>
    <t>Решение Совета депутатов № 697/70, Свидет-во о регистрации права от 24.06.2016г 50-ББ 287639</t>
  </si>
  <si>
    <t>Земельный участок. Категория земель: земли населённых пунктов, ВРИ - рынки</t>
  </si>
  <si>
    <t>Московская область. Серебряно-Прудский район, п.Дмитриевский</t>
  </si>
  <si>
    <t>Земельный участок. Категория земель: земли населённых пунктов, ВРИ - для строительства обелиска-памятника</t>
  </si>
  <si>
    <t>Решение Совета депутатов № 697/70, Свидет-во о регистрации права от 24.06.2016г 50-ББ 287640</t>
  </si>
  <si>
    <t>50:39:0070304:43</t>
  </si>
  <si>
    <t>Земельный участок. Категория земель: земли населённых пунктов, ВРИ - для размещения кладбища</t>
  </si>
  <si>
    <t>Земельный участок. Категория земель: земли населённых пунктов, ВРИ - для размещения сельского кладбища</t>
  </si>
  <si>
    <t>Московская область. Серебряно-Прудский район, д. Митякино</t>
  </si>
  <si>
    <t>50:39:0080105:294</t>
  </si>
  <si>
    <t>Решение Совета депутатов № 697/70, Свидет-во о регистрации права от 24.06.2016г 50-ББ 287648</t>
  </si>
  <si>
    <t>Решение Совета депутатов № 697/70, Свидет-во о регистрации права от 24.06.2016г 50-ББ 287649</t>
  </si>
  <si>
    <t>50:39:0080102:1</t>
  </si>
  <si>
    <t>Решение Совета депутатов № 697/70, Свидет-во о регистрации права от 24.06.2016г 50-ББ 287650</t>
  </si>
  <si>
    <t>Московская область, Серебряно-Прудский район, западная часто квартала 50:39:0080102 (вблизи д. Елисеевка)</t>
  </si>
  <si>
    <t>50:39:0080106:72</t>
  </si>
  <si>
    <t>Московская область. Серебряно-Прудский район, д. Митякино, южная часть квартала</t>
  </si>
  <si>
    <t>Земельный участок. Категория земель: земли населённых пунктов, ВРИ - размещение кладбища</t>
  </si>
  <si>
    <t>Решение Совета депутатов № 697/70, Свидет-во о регистрации права от 24.06.2016г 50-ББ 287651</t>
  </si>
  <si>
    <t>50:39:0080207:435</t>
  </si>
  <si>
    <t>50:39:0020106:277</t>
  </si>
  <si>
    <t>Земельный участок. Категория земель: земли населённых пунктов, ВРИ - для обслуживания и эксплуатации здания пожарного депо</t>
  </si>
  <si>
    <t>50:39:0020306:3</t>
  </si>
  <si>
    <t>23.06.2016г</t>
  </si>
  <si>
    <t>Свидетельсьтво о регистрации 50-ББ №287779</t>
  </si>
  <si>
    <t>Московская область, Серебряно-Прудский район, примыкает по направлению на восток к д. Есипово</t>
  </si>
  <si>
    <t>50:39:0020307:22</t>
  </si>
  <si>
    <t>Свидетельсьтво о регистрации 50-ББ №287777</t>
  </si>
  <si>
    <t>50:39:0020307:23</t>
  </si>
  <si>
    <t>Свидетельсьтво о регистрации 50-ББ №287778</t>
  </si>
  <si>
    <t>Свидетельсьтво о регистрации 50-ББ №287776</t>
  </si>
  <si>
    <t>50:39:0020307:18</t>
  </si>
  <si>
    <t>Московская область, Серебряно-Прудский район, примерно в 750 м по направлению  на северо-восток от д. Есипово</t>
  </si>
  <si>
    <t>Московская область, Серебряно-Прудский район, пос. Новоклемово</t>
  </si>
  <si>
    <t>Земельный участок. Категория земель: земли населённых пунктов. ВРИ - коммунальное обслуживание (под очистными)</t>
  </si>
  <si>
    <t>Земельный участок. Категория земель: земли населённых пунктов. ВРИ - коммунальное обслуживание (под КНС)</t>
  </si>
  <si>
    <t>Свидет-во о регистрации права 50-ББ № 287719</t>
  </si>
  <si>
    <t>Земельный участок. Категория земель: земли населённых пунктов. ВРИ - коммунальное обслуживание (под котельной)</t>
  </si>
  <si>
    <t>Свидет-во о регистрации права 50-ББ № 287720</t>
  </si>
  <si>
    <t>Свидет-во о регистрации права 50-ББ № 287732</t>
  </si>
  <si>
    <t>Московская область, Серебряно-Прудский район, с. Клемово</t>
  </si>
  <si>
    <t>50:39:0030116:286</t>
  </si>
  <si>
    <t>Свидет-во о регистрации права 50-ББ № 287733</t>
  </si>
  <si>
    <t>Свидет-во о регистрации права 50-ББ № 287727</t>
  </si>
  <si>
    <t>Земельный участок. Категория земель: земли населённых пунктов. ВРИ - коммунальное обслуживание (под ВЗУ)</t>
  </si>
  <si>
    <t>Московская область, Серебряно-Прудский район, дер. Барыково</t>
  </si>
  <si>
    <t>50:39:0030406:62</t>
  </si>
  <si>
    <t>Свидет-во о регистрации права 50-ББ № 287728</t>
  </si>
  <si>
    <t>Московская область, Серебряно-Прудский район, с. Тютьково</t>
  </si>
  <si>
    <t>50:39:0030108:222</t>
  </si>
  <si>
    <t>Свидет-во о регистрации права 50-ББ № 287731</t>
  </si>
  <si>
    <t>50:39:0020106:778</t>
  </si>
  <si>
    <t>Свидет-во о регистрации права 50-ББ № 287723</t>
  </si>
  <si>
    <t>50:39:0020106:777</t>
  </si>
  <si>
    <t>Свидет-во о регистрации права 50-ББ № 287724</t>
  </si>
  <si>
    <t>50:39:0020106:776</t>
  </si>
  <si>
    <t>Свидет-во о регистрации права 50-ББ № 287721</t>
  </si>
  <si>
    <t>Свидет-во о регистрации права 50-ББ № 287729</t>
  </si>
  <si>
    <t>Московская область, Серебряно-Прудский район, д. Новоселки</t>
  </si>
  <si>
    <t>50:39:0020113:142</t>
  </si>
  <si>
    <t>Свидет-во о регистрации права 50-ББ № 287730</t>
  </si>
  <si>
    <t>Свидет-во о регистрации права 50-ББ № 287722</t>
  </si>
  <si>
    <t>Московская область, Серебряно-Прудский район, с. Колеймино</t>
  </si>
  <si>
    <t>50:39:0030118:191</t>
  </si>
  <si>
    <t>Московская область, Серебряно-Прудский район, д. Новомойгры</t>
  </si>
  <si>
    <t>50:39:0000000:4224</t>
  </si>
  <si>
    <t>Свидет-во о регистрации права 50-ББ № 287726</t>
  </si>
  <si>
    <t>Московская область, Серебряно-Прудский район, д. Боршово</t>
  </si>
  <si>
    <t>50:39:0010307:24</t>
  </si>
  <si>
    <t>Московская область, Серебряно-Прудский район, село Петрово</t>
  </si>
  <si>
    <t>50:39:0010110:30</t>
  </si>
  <si>
    <t>50:39:0010110:31</t>
  </si>
  <si>
    <t>50:39:0010108:1042</t>
  </si>
  <si>
    <t>Свидет-во о регистрации права 50-ББ № 287725</t>
  </si>
  <si>
    <t>Земельный участок. Категория земель: земли населённых пунктов. ВРИ - коммунальное обслуживание (под баней)</t>
  </si>
  <si>
    <t>50:39:0010108:1040</t>
  </si>
  <si>
    <t>Свидет-во о регистрации права 50-ББ № 287718</t>
  </si>
  <si>
    <t>Московская область, Серебряно-Прудский район, д. Беляево</t>
  </si>
  <si>
    <t>50:39:0020201:273</t>
  </si>
  <si>
    <t>Свидет-во о регистрации права 50-ББ № 287898</t>
  </si>
  <si>
    <t>50:39:0020208:1258</t>
  </si>
  <si>
    <t>Свидет-во о регистрации права 50-ББ № 287899</t>
  </si>
  <si>
    <t>Свидет-во о регистрации права 50-ББ № 287608</t>
  </si>
  <si>
    <t>50:39:0020208:1259</t>
  </si>
  <si>
    <t>Свидет-во о регистрации права 50-ББ № 287894</t>
  </si>
  <si>
    <t>Московская область, Серебряно-Прудский район, с. Мягкое</t>
  </si>
  <si>
    <t>50:39:0020316:58</t>
  </si>
  <si>
    <t>Свидет-во о регистрации права 50-ББ № 287895</t>
  </si>
  <si>
    <t>Свидет-во о регистрации права 50-ББ № 287611</t>
  </si>
  <si>
    <t>50:39:0020316:59</t>
  </si>
  <si>
    <t>Свидет-во о регистрации права 50-ББ № 287612</t>
  </si>
  <si>
    <t>Свидет-во о регистрации права 50-ББ № 287614</t>
  </si>
  <si>
    <t>50:39:0020317:218</t>
  </si>
  <si>
    <t>Свидет-во о регистрации права 50-ББ № 287602</t>
  </si>
  <si>
    <t>Московская область, Серебряно-Прудский район, с. Узуново</t>
  </si>
  <si>
    <t>50:39:0030302:879</t>
  </si>
  <si>
    <t>Свидет-во о регистрации права 50-ББ № 287603</t>
  </si>
  <si>
    <t>Московская область, Серебряно-Прудский район, с. Узуново, м-н Южный</t>
  </si>
  <si>
    <t>50:39:0030305:1000</t>
  </si>
  <si>
    <t>50:39:0030302:878</t>
  </si>
  <si>
    <t>Свидет-во о регистрации права 50-ББ № 287604</t>
  </si>
  <si>
    <t>Свидет-во о регистрации права 50-ББ № 287613</t>
  </si>
  <si>
    <t>50:39:0030305:1001</t>
  </si>
  <si>
    <t>50:39:0030305:1002</t>
  </si>
  <si>
    <t>50:39:0030303:495</t>
  </si>
  <si>
    <t>Свидет-во о регистрации права 50-ББ № 287601</t>
  </si>
  <si>
    <t>Московская область, Серебряно-Прудский район, с. Узуново, м-н Северный</t>
  </si>
  <si>
    <t>50:39:0030303:492</t>
  </si>
  <si>
    <t>Свидет-во о регистрации права 50-ББ № 287606</t>
  </si>
  <si>
    <t>50:39:0030303:493</t>
  </si>
  <si>
    <t>50:39:0030303:494</t>
  </si>
  <si>
    <t>50:39:0030303:491</t>
  </si>
  <si>
    <t>50:39:0030302:884</t>
  </si>
  <si>
    <t>Свидет-во о регистрации права 50-ББ № 287607</t>
  </si>
  <si>
    <t>Земельный участок. Категория земель: земли населённых пунктов. ВРИ - коммунальное обслуживание (под мастерской)</t>
  </si>
  <si>
    <t>Земельный участок. Категория земель: земли населённых пунктов. ВРИ - коммунальное обслуживание (под складом)</t>
  </si>
  <si>
    <t>Решение Совета депутатов № 697/70, Свидет-во о регистрации права от 01.07.2016г 50-ББ №287914</t>
  </si>
  <si>
    <t>Московская область, Серебряно-Прудский район, с. Узуново, мкр-н Южный</t>
  </si>
  <si>
    <t>Артезианская скважина, глубина 80 м.</t>
  </si>
  <si>
    <t>Земельный участок. Категория земель: земли сельскохозяйственного назначения. ВРИ - для сельскохозяйственного использования</t>
  </si>
  <si>
    <t>городской округ Серебряные Пруды М.О. д. Благодать</t>
  </si>
  <si>
    <t>Московская область, Серебряно-Прудский район, вблизи с. Глубокое</t>
  </si>
  <si>
    <t>05.07.2016г</t>
  </si>
  <si>
    <t>Свидет-во о регистрации права 50-ББ № 274087</t>
  </si>
  <si>
    <t>Земельный участок. Категория земель: земли населённых пунктов, ВРИ -  размещение кладбища</t>
  </si>
  <si>
    <t>50:39:0020106:171</t>
  </si>
  <si>
    <t>Земельный участок. Категория земель: земли населённых пунктов, ВРИ -  под кладбище</t>
  </si>
  <si>
    <t>Московская область. Серебряно-Прудский район, с. Клемово, южная часть квартала 50:39:0030124</t>
  </si>
  <si>
    <t>Решение Совета депутатов № 697/70, Свидет-во о регистрации права от 13.07.2016г 50-ББ 287865</t>
  </si>
  <si>
    <t>Решение Совета депутатов № 697/70, Свидет-во о регистрации права от 30.06.2016г 50-ББ 287801</t>
  </si>
  <si>
    <t xml:space="preserve"> п. Серебряные Пруды М.О. СНТ  Савинка уч.40</t>
  </si>
  <si>
    <t>50:39:0080205:39</t>
  </si>
  <si>
    <t>06.07.2016г</t>
  </si>
  <si>
    <t>Св-во о гос.рег-ии 50-ББ №274071</t>
  </si>
  <si>
    <t>Договор № 341 на передачу квартиры в собственность граждан от 23.10..2015г</t>
  </si>
  <si>
    <t>Договор № 24/2016 передачи жилого помещения муниципального жилищного фонда в собственность граждан от 27.06.2016г</t>
  </si>
  <si>
    <t>Земельный участок. Категория земель: земли населённых пунктов, ВРИ -  для общего пользования территории (тротуар)</t>
  </si>
  <si>
    <t>Московская область. Серебряно-Прудский район, рп Серебряные Пруды, мкр-н Центральный</t>
  </si>
  <si>
    <t>50:39:0050503:687</t>
  </si>
  <si>
    <t>Решение Совета Депутатов № 695/70, Выписка из ЕГРП, регистрация от 01.08.2016г № 50-50/039-50/039/008/2016-3434/2</t>
  </si>
  <si>
    <t>50:39:0050511:249</t>
  </si>
  <si>
    <t>Решение Совета Депутатов № 695/70, Выписка из ЕГРП, регистрация от 01.08.2016г № 50-50/039-50/039/008/2016-3433/2</t>
  </si>
  <si>
    <t>Московская область. Серебряно-Прудский район, рп Серебряные Пруды, ул. Привокзальная</t>
  </si>
  <si>
    <t>50:39:0050102:207</t>
  </si>
  <si>
    <t>Московская область. Серебряно-Прудский район, рп Серебряные Пруды, ул. Коровушкина</t>
  </si>
  <si>
    <t>Решение Совета Депутатов № 695/70, Выписка из ЕГРП, регистрация от 01.08.2016г № 50-50/039-50/039/008/2016-3432/2</t>
  </si>
  <si>
    <t>Земельный участок. Категория земель: земли населённых пунктов, ВРИ -  для общего пользования территории (дорога)</t>
  </si>
  <si>
    <t>Московская область. Серебряно-Прудский район, рп Серебряные Пруды, ул. Почтовая</t>
  </si>
  <si>
    <t>50:39:0050602:499</t>
  </si>
  <si>
    <t>Решение Совета Депутатов № 695/70, Выписка из ЕГРП, регистрация от 01.08.2016г № 50-50/039-50/039/008/2016-3431/2</t>
  </si>
  <si>
    <t>50:39:0000000:4142</t>
  </si>
  <si>
    <t>Московская область. Серебряно-Прудский район, рп Серебряные Пруды</t>
  </si>
  <si>
    <t>50:39:0070108:226</t>
  </si>
  <si>
    <t>Московская область. Серебряно-Прудский район, с, Красное</t>
  </si>
  <si>
    <t>Решение Совета Депутатов № 695/70, Выписка из ЕГРП, регистрация от 01.08.2016г № 50-50/039-50/039/008/2016-3429/2</t>
  </si>
  <si>
    <t>Решение Совета Депутатов № 695/70, Выписка из ЕГРП, регистрация от 01.08.2016г № 50-50/039-50/039/008/2016-3428/2</t>
  </si>
  <si>
    <t>Московская область. Серебряно-Прудский район, рп Серкебряные Пруды, мкр-н Центральный</t>
  </si>
  <si>
    <t>50:39:0050503:685</t>
  </si>
  <si>
    <t>Решение Совета Депутатов № 695/70, Выписка из ЕГРП, регистрация от 01.08.2016г № 50-50/039-50/039/008/2016-3427/2</t>
  </si>
  <si>
    <t>Московская область. Серебряно-Прудский район, д. Растряхаевка</t>
  </si>
  <si>
    <t>50:39:0000000:4162</t>
  </si>
  <si>
    <t>Решение Совета Депутатов № 695/70, Выписка из ЕГРП, регистрация от 01.08.2016г № 50-50/039-50/039/008/2016-3426/2</t>
  </si>
  <si>
    <t>50:39:0050513:216</t>
  </si>
  <si>
    <t>Московская область. Серебряно-Прудский район, рп Серкебряные Пруды,  ул. Механизаторов</t>
  </si>
  <si>
    <t>Решение Совета Депутатов № 695/70, Выписка из ЕГРП, регистрация от 01.08.2016г № 50-50/039-50/039/008/2016-3425/2</t>
  </si>
  <si>
    <t>Земельный участок. Категория земель: земли населённых пунктов, ВРИ -  для общего пользования территории (стоянка)</t>
  </si>
  <si>
    <t>Московская область. Серебряно-Прудский район, рп Серкебряные Пруды,  ул. Советская</t>
  </si>
  <si>
    <t>50:39:0050501:291</t>
  </si>
  <si>
    <t>Решение Совета Депутатов № 695/70, Выписка из ЕГРП, регистрация от 01.08.2016г № 50-50/039-50/039/008/2016-3424/2</t>
  </si>
  <si>
    <t>Московская область. Серебряно-Прудский район, рп Серкебряные Пруды, пл. Советская</t>
  </si>
  <si>
    <t>50:39:0050502:95</t>
  </si>
  <si>
    <t>Решение Совета Депутатов № 695/70, Выписка из ЕГРП, регистрация от 01.08.2016г № 50-50/039-50/039/008/2016-3423/2</t>
  </si>
  <si>
    <t>Московская область. Серебряно-Прудский район, рп Серкебряные Пруды,   мкр-н Западный</t>
  </si>
  <si>
    <t>50:39:0050404:975</t>
  </si>
  <si>
    <t>Решение Совета Депутатов № 695/70, Выписка из ЕГРП, регистрация от 01.08.2016г № 50-50/039-50/039/008/2016-3422/2</t>
  </si>
  <si>
    <t>Московская область. Серебряно-Прудский район, д. Благодать</t>
  </si>
  <si>
    <t>50:39:0070103:516</t>
  </si>
  <si>
    <t>Решение Совета Депутатов № 695/70, Выписка из ЕГРП, регистрация от 01.08.2016г № 50-50/039-50/039/008/2016-3421/2</t>
  </si>
  <si>
    <t>Московская область. Серебряно-Прудский район, с. Красное</t>
  </si>
  <si>
    <t>50:39:0000000:4143</t>
  </si>
  <si>
    <t>Решение Совета Депутатов № 695/70, Выписка из ЕГРП, регистрация от 01.08.2016г № 50-50/039-50/039/008/2016-3420/2</t>
  </si>
  <si>
    <t>50:39:0050510:59</t>
  </si>
  <si>
    <t>Решение Совета Депутатов № 695/70, Выписка из ЕГРП, регистрация от 01.08.2016г № 50-50/039-50/039/008/2016-3419/2</t>
  </si>
  <si>
    <t>50:39:0050503:689</t>
  </si>
  <si>
    <t>Решение Совета Депутатов № 695/70, Выписка из ЕГРП, регистрация от 01.08.2016г № 50-50/039-50/039/008/2016-3418/2</t>
  </si>
  <si>
    <t>Московская область. Серебряно-Прудский район, рп Серкебряные Пруды, ул. Первомайская</t>
  </si>
  <si>
    <t>Московская область. Серебряно-Прудский район, рп Серкебряные Пруды, мкр-н Северный</t>
  </si>
  <si>
    <t>50:39:0050201:832</t>
  </si>
  <si>
    <t>Решение Совета Депутатов № 695/70, Выписка из ЕГРП, регистрация от 01.08.2016г № 50-50/039-50/039/008/2016-3417/2</t>
  </si>
  <si>
    <t>Московская область. Серебряно-Прудский район, рп Серкебряные Пруды, мкр-н Западный</t>
  </si>
  <si>
    <t>50:39:0050404:976</t>
  </si>
  <si>
    <t>Решение Совета Депутатов № 695/70, Выписка из ЕГРП, регистрация от 01.08.2016г № 50-50/039-50/039/008/2016-3396/2</t>
  </si>
  <si>
    <t>Московская область. Серебряно-Прудский район, рп Серкебряные Пруды,  ул. Первомайская</t>
  </si>
  <si>
    <t>50:39:0050507:99</t>
  </si>
  <si>
    <t>Решение Совета Депутатов № 695/70, Выписка из ЕГРП, регистрация от 01.08.2016г № 50-50/039-50/039/008/2016-3390/2</t>
  </si>
  <si>
    <t>Московская область. Серебряно-Прудский район, рп Серкебряные Пруды,  ул. Ремесленная</t>
  </si>
  <si>
    <t>50:39:0050504:360</t>
  </si>
  <si>
    <t>Решение Совета Депутатов № 695/70, Выписка из ЕГРП, регистрация от 01.08.2016г № 50-50/039-50/039/008/2016-3388/2</t>
  </si>
  <si>
    <t>Московская область. Серебряно-Прудский район, рп Серкебряные Пруды,  ул. Октябрьская</t>
  </si>
  <si>
    <t>50:39:0050301:644</t>
  </si>
  <si>
    <t>Решение Совета Депутатов № 695/70, Выписка из ЕГРП, регистрация от 01.08.2016г № 50-50/039-50/039/008/2016-3411/2</t>
  </si>
  <si>
    <t>Московская область. Серебряно-Прудский район, с. Дудино</t>
  </si>
  <si>
    <t>50:39:0070104:738</t>
  </si>
  <si>
    <t>Решение Совета Депутатов № 695/70, Выписка из ЕГРП, регистрация от 01.08.2016г № 50-50/039-50/039/008/2016-3410/2</t>
  </si>
  <si>
    <t>50:39:0000000:4138</t>
  </si>
  <si>
    <t>Решение Совета Депутатов № 695/70, Выписка из ЕГРП, регистрация от 01.08.2016г № 50-50/039-50/039/008/2016-3409/2</t>
  </si>
  <si>
    <t>50:39:0070104:740</t>
  </si>
  <si>
    <t>Решение Совета Депутатов № 695/70, Выписка из ЕГРП, регистрация от 01.08.2016г № 50-50/039-50/039/008/2016-3408/2</t>
  </si>
  <si>
    <t>50:39:0050404:972</t>
  </si>
  <si>
    <t>Московская область. Серебряно-Прудский район, рп Серебряные Пруды, мкр-н Западный</t>
  </si>
  <si>
    <t>Московская область. Серебряно-Прудский район, рп Серебряные Пруды,  ПТУ</t>
  </si>
  <si>
    <t>50:39:0050101:660</t>
  </si>
  <si>
    <t>Решение Совета Депутатов № 695/70, Выписка из ЕГРП, регистрация от 01.08.2016г № 50-50/039-50/039/008/2016-3406/2</t>
  </si>
  <si>
    <t>Московская область. Серебряно-Прудский район, рп Серебряные Пруды, пл. Советская</t>
  </si>
  <si>
    <t>50:39:0050501:292</t>
  </si>
  <si>
    <t>Решение Совета Депутатов № 695/70, Выписка из ЕГРП, регистрация от 01.08.2016г № 50-50/039-50/039/008/2016-3404/2</t>
  </si>
  <si>
    <t>Московская область. Серебряно-Прудский район, рп Серебряные Пруды,  ул. Школьная</t>
  </si>
  <si>
    <t>50:39:0050507:100</t>
  </si>
  <si>
    <t>Решение Совета Депутатов № 695/70, Выписка из ЕГРП, регистрация от 01.08.2016г № 50-50/039-50/039/008/2016-3402/2</t>
  </si>
  <si>
    <t>50:39:0050507:69</t>
  </si>
  <si>
    <t>Решение Совета Депутатов № 695/70, Выписка из ЕГРП, регистрация от 01.08.2016г № 50-50/039-50/039/008/2016-3389/2</t>
  </si>
  <si>
    <t>Московская область. Серебряно-Прудский район, рп Серебряные Пруды,  ул. Б. Луговая</t>
  </si>
  <si>
    <t>50:39:0050511:64</t>
  </si>
  <si>
    <t>Земельный участок. Категория земель: земли населённых пунктов, ВРИ -  для эксплуатации улично-дорожной сети (дорога общего пользования)</t>
  </si>
  <si>
    <t>Московская область. Серебряно-Прудский район, рп Серебряные Пруды,  ул.Октябрьская</t>
  </si>
  <si>
    <t>50:39:0050302:33</t>
  </si>
  <si>
    <t>Решение Совета Депутатов № 695/70, Выписка из ЕГРП, регистрация от 01.08.2016г № 50-50/039-50/039/008/2016-3394/2</t>
  </si>
  <si>
    <t>Решение Совета Депутатов № 695/70, Выписка из ЕГРП, регистрация от 01.08.2016г № 50-50/039-50/039/008/2016-3393/2</t>
  </si>
  <si>
    <t>Московская область. Серебряно-Прудский район, рп Серебряные Пруды,  ул. Первомайская</t>
  </si>
  <si>
    <t>50:39:0050504:83</t>
  </si>
  <si>
    <t>Решение Совета Депутатов № 695/70, Выписка из ЕГРП, регистрация от 01.08.2016г № 50-50/039-50/039/008/2016-3399/2</t>
  </si>
  <si>
    <t>50:39:0050503:70</t>
  </si>
  <si>
    <t>Решение Совета Депутатов № 695/70, Выписка из ЕГРП, регистрация от 01.08.2016г № 50-50/039-50/039/008/2016-3398/2</t>
  </si>
  <si>
    <t>Земельный участок. Категория земель: земли населённых пунктов, ВРИ -  под размещение стоянки</t>
  </si>
  <si>
    <t>Московская область. Серебряно-Прудский район, рп Серебряные Пруды,   мкр-н Юбилейный</t>
  </si>
  <si>
    <t>50:39:0050509:74</t>
  </si>
  <si>
    <t>Решение Совета Депутатов № 695/70, Выписка из ЕГРП, регистрация от 01.08.2016г № 50-50/039-50/039/008/2016-3401/2</t>
  </si>
  <si>
    <t>Земельный участок. Категория земель: земли населённых пунктов, ВРИ -  для эксплуатации улично-дорожной сети (стоянка)</t>
  </si>
  <si>
    <t>Московская область. Серебряно-Прудский район, рп Серебряные Пруды,    ул. Пролетарская</t>
  </si>
  <si>
    <t>50:39:0050502:60</t>
  </si>
  <si>
    <t>Решение Совета Депутатов № 695/70, Выписка из ЕГРП, регистрация от 01.08.2016г № 50-50/039-50/039/008/2016-3392/2</t>
  </si>
  <si>
    <t>Земельный участок. Категория земель: земли населённых пунктов, ВРИ -  под размещение объекта коммунального хозяйства (площадка ТБО)</t>
  </si>
  <si>
    <t>Московская область. Серебряно-Прудский район, рп Серебряные Пруды,    ул. 50 лет ВЛКСМ</t>
  </si>
  <si>
    <t>50:39:0050509:73</t>
  </si>
  <si>
    <t>Решение Совета Депутатов № 695/70, Выписка из ЕГРП, регистрация от 01.08.2016г № 50-50/039-50/039/008/2016-3400/2</t>
  </si>
  <si>
    <t>Московская область. Серебряно-Прудский район, рп Серебряные Пруды, пер. Школьный</t>
  </si>
  <si>
    <t>50:39:0050503:64</t>
  </si>
  <si>
    <t>Московская область. Серебряно-Прудский район, рп Серебряные Пруды, ул. Первомайская</t>
  </si>
  <si>
    <t>50:39:0050504:82</t>
  </si>
  <si>
    <t>Решение Совета Депутатов № 695/70, Выписка из ЕГРП, регистрация от 01.08.2016г № 50-50/039-50/039/008/2016-3395/2</t>
  </si>
  <si>
    <t>Московская область. Серебряно-Прудский район, рп Серебряные Пруды, ул. 50 лет ВЛКСМ</t>
  </si>
  <si>
    <t>50:39:0050508:37</t>
  </si>
  <si>
    <t>Решение Совета Депутатов № 695/70, Выписка из ЕГРП, регистрация от 01.08.2016г № 50-50/039-50/039/008/2016-3391/2</t>
  </si>
  <si>
    <t>Московская область. Серебряно-Прудский район, рп Серебряные Пруды, мкр-н Юбилейный</t>
  </si>
  <si>
    <t>50:39:0050508:36</t>
  </si>
  <si>
    <t>Решение Совета Депутатов № 695/70, Выписка из ЕГРП, регистрация от 01.08.2016г № 50-50/039-50/039/008/2016-3387/2</t>
  </si>
  <si>
    <t>Выписка ЕГРП, регистрация права №50-50/39-50/039/008/2016-3386/1</t>
  </si>
  <si>
    <t>Земельный участок. Категория земель: земли населённых пунктов, ВРИ -  под спортивные площадки и физкультурно-оздоровительные сооружения</t>
  </si>
  <si>
    <t>50:39:0050404:842</t>
  </si>
  <si>
    <t>Решение Совета Депутатов № 695/70, Выписка из ЕГРП, регистрация от 12.08.2016г № 50-50/039-50/039/008/2016-3655/2</t>
  </si>
  <si>
    <t>19.04.2016г</t>
  </si>
  <si>
    <t>Договор передачи жилого помещения муниципального жилищного фонда в собственность граждан от 24.03.2016г № 18/2016</t>
  </si>
  <si>
    <t>договор на передачу квартиры в собственность граждан от 14.04.2015г № 331</t>
  </si>
  <si>
    <t>Договор передачи жилого помещения муниципального жилищного фонда в собственность граждан от 12.07.2016г № 28/2016</t>
  </si>
  <si>
    <t>Договор на передачу квартиры в собственность граждан от 27.11.2014г № 303</t>
  </si>
  <si>
    <t>Договор передачи жилого помещения муниципального жилищного фонда в собственность граждан от 12.07.2016г № 27/2016</t>
  </si>
  <si>
    <t>Земельный участок Категория земель - не установлена,. ВРИ - под строительство магазина</t>
  </si>
  <si>
    <t>Московская область,  городской округ Серебряные Пруды, рп Серебряные Пруды, мкр-н Западный, в районе музыкальной школы</t>
  </si>
  <si>
    <t>50:39:0000000:174</t>
  </si>
  <si>
    <t>Выписка ЕГРП, регистрация права №50-50/39-50/039/008/2016-3259/2</t>
  </si>
  <si>
    <t>Решение Совета депутатов № 697/70, выписка ЕГРП, регистрация права от 02.08.2016г № 50-50/039-50/039/0082016-3458/2</t>
  </si>
  <si>
    <t>Решение Совета депутатов № 697/70, выписка ЕГРП, регистрация права от 02.08.2016г № 50-50/039-50/039/008/2016-3455/2</t>
  </si>
  <si>
    <t>Решение Совета депутатов № 697/70, Выписка ЕГРП, регистрация права от 02.08.2016г № 50-50/039-50/039/008/2016-3456/2</t>
  </si>
  <si>
    <t>Решение Совета депутатов № 697/70, Регистрация права от 02.08.2016г № 50-50/039-50/039/008/2016-3451/2</t>
  </si>
  <si>
    <t>Решение Совета депутатов № 697/70, Регистрация права от 02.08.2016г № 50-50/039-50/039/008/2016-3464/2</t>
  </si>
  <si>
    <t>Решение Совета депутатов № 697/70, Регистрация права от 02.08.2016г  № 50-50/039-50/039/008/2016-3468/2</t>
  </si>
  <si>
    <t>Решение Совета депутатов № 697/70, Регистрация права от 02.08.2016г № 50-50/039-50/039/008/2016-3466/2</t>
  </si>
  <si>
    <t>50:39:0030302:883</t>
  </si>
  <si>
    <t>Решение Совета депутатов № 696/70, Выписка ЕГРП, регистрация права от 02.08.2016г № 50-50/039-50/039/008/2016-3463/2</t>
  </si>
  <si>
    <t>50:39:0030302:876</t>
  </si>
  <si>
    <t>Решение Совета депутатов № 696/70, Выписка ЕГРП, регистрация права от 02.08.2016г № 50-50/039-50/039/008/2016-3453/2</t>
  </si>
  <si>
    <t>50:39:0000000:4184</t>
  </si>
  <si>
    <t>Решение Совета депутатов № 696/70, Выписка ЕГРП, регистрация права от 02.08.2016г №50-50/039-50/039/008/2016-3450/2</t>
  </si>
  <si>
    <t>50:39:0000000:4173</t>
  </si>
  <si>
    <t>Решение Совета депутатов № 696/70, Выписка ЕГРП, регистрация права от 02.08.2016г №50-50/039-50/039/008/2016-3465/2</t>
  </si>
  <si>
    <t>Решение Совета депутатов № 696/70, Выписка ЕГРП, регистрация права от 02.08.2016г № 50-50/039-50/039/008/2016-3469/2</t>
  </si>
  <si>
    <t>50:39:0000000:727</t>
  </si>
  <si>
    <t>Решение Совета депутатов № 698/70, Выписка ЕГРП, регистрация права от 02.08.2016г № 50-50/039-50/039/008/2016-3460/2</t>
  </si>
  <si>
    <t>50:39:0060306:683</t>
  </si>
  <si>
    <t>Решение Совета депутатов № 698/70, выписка ЕГРП, регистрация права от 02.08.2016г № 50-50/039-50/039/008/2016-3467/2</t>
  </si>
  <si>
    <t>50:39:0060104:515</t>
  </si>
  <si>
    <t>Решение Совета депутатов № 698/70, Выписка ЕГРП, регистрация права от 02.08.2016г № 50-50/039-50/039/008/2016-3470/2</t>
  </si>
  <si>
    <t>50:39:0060306:490</t>
  </si>
  <si>
    <t>Московская область, городской округ Серебряные Пруды, с. Мочилы, ул, Школьная, д.10А</t>
  </si>
  <si>
    <t>Решение Совета депутатов № 698/70, Выписка ЕГРП, регистрация права от 02.08.2016г № 50-50/039-50/039/008/2016-3452/2</t>
  </si>
  <si>
    <t>Металическая конструкция ограждение, рп Серебряные Пруды, ул. Юбилейная, вблизи д.17</t>
  </si>
  <si>
    <t>1.101.05.005</t>
  </si>
  <si>
    <t>Автомобиль ГАЗ-331063, VIN - X9633106380996701</t>
  </si>
  <si>
    <t>Решение Совета депутатов Серебряно-Прудского района МО         № 697/70</t>
  </si>
  <si>
    <t>Водозаборный узел (Артскважина с пав.водозабора), инв. 1520214, глубина 110м</t>
  </si>
  <si>
    <t>МО, городской округ Серебряные Пруды,  с. Петрово, д. 97А</t>
  </si>
  <si>
    <t>50:39:0010108:578</t>
  </si>
  <si>
    <t>Здание блочно-модульной котельной инв. 1520300</t>
  </si>
  <si>
    <t>Здание блочно-модульной котельной инв. 1520336</t>
  </si>
  <si>
    <t>50:39:0030305:194</t>
  </si>
  <si>
    <t>МО, городской округ Серебряные Пруды,  с. Узуново. Ул. Почтовая, д. 6А</t>
  </si>
  <si>
    <t>50:39:0030302:520</t>
  </si>
  <si>
    <t>50:39:0020106:368</t>
  </si>
  <si>
    <t>Автомобильная дорога с  твердым покрытием протяженностью 770м, кадастровый номер земельного участка 50:39:0060306:1017</t>
  </si>
  <si>
    <t>50:39:0060306:1046</t>
  </si>
  <si>
    <t>50:39:0060503:318</t>
  </si>
  <si>
    <t>50:39:0000000:4347</t>
  </si>
  <si>
    <t>50:39:0000000:4348</t>
  </si>
  <si>
    <t>50:39:0000000:4354</t>
  </si>
  <si>
    <t>50:39:0000000:4346</t>
  </si>
  <si>
    <t>50:39:0020208:1295</t>
  </si>
  <si>
    <t>50:39:0020208:1298</t>
  </si>
  <si>
    <t>Артскважина Успенское ЖКХ, глубина 65м, 1991г, павильон кирпичный, инв. 014141</t>
  </si>
  <si>
    <t>Артскважина Успенское ЖКХ,  глубина 65м, 1991г, инв. 014142</t>
  </si>
  <si>
    <t>50:39:0070301:15</t>
  </si>
  <si>
    <t>50:39:0070301:14</t>
  </si>
  <si>
    <t>50:39:0020316:64</t>
  </si>
  <si>
    <t>50:39:0010108:1071</t>
  </si>
  <si>
    <t>50:39:0030303:501</t>
  </si>
  <si>
    <t>50:39:0020106:788</t>
  </si>
  <si>
    <t>50:39:0030305:1018</t>
  </si>
  <si>
    <t>50:39:0080105:912</t>
  </si>
  <si>
    <t>50:39:0080105:911</t>
  </si>
  <si>
    <t>Артскважина Дмитриевское ЖКХ б/н, глубина 80м, павильон кирпичный, перекрытия ЖБ, башня кирпичная, инв. 017028</t>
  </si>
  <si>
    <t>50:39:0050507:110</t>
  </si>
  <si>
    <t>Памятный камень погипшим в локальных войнах и военных конфликтах, 1989 год ввода</t>
  </si>
  <si>
    <t>50:39:0050508:884</t>
  </si>
  <si>
    <t>50:39:0050508:885</t>
  </si>
  <si>
    <t>50:39:0000000:4350</t>
  </si>
  <si>
    <t>50:39:0000000:4349</t>
  </si>
  <si>
    <t>50:39:0000000:4355</t>
  </si>
  <si>
    <t>50:39:0080207:616</t>
  </si>
  <si>
    <t>Плотина, 1965г</t>
  </si>
  <si>
    <t>50:39:0080106:234</t>
  </si>
  <si>
    <t>50:39:0020208:1299</t>
  </si>
  <si>
    <t>50:39:0050513:192</t>
  </si>
  <si>
    <t>Бункер-накопитель для ТБО С, 13010050</t>
  </si>
  <si>
    <t>Бункер-накопитель для ТБО С, 13010045</t>
  </si>
  <si>
    <t>Мусорный контейнер, 000000187</t>
  </si>
  <si>
    <t>Бункер-накопитель для ТБО , 13010040</t>
  </si>
  <si>
    <t>Бункер для ТБО, 000000242</t>
  </si>
  <si>
    <t>Бункер-накопитель для ТБО , 13010039</t>
  </si>
  <si>
    <t>Бункер для ТБО, 000000192</t>
  </si>
  <si>
    <t>Бункер-накопитель для ТБО , 13010038</t>
  </si>
  <si>
    <t>Бункер-накопитель для ТБО , 13010037</t>
  </si>
  <si>
    <t>Мусорный контейнер, 000000188</t>
  </si>
  <si>
    <t>Бункер для ТБО, 000000193</t>
  </si>
  <si>
    <t>Бункер-накопитель для ТБО , 13010036</t>
  </si>
  <si>
    <t>Бункер-накопитель для ТБО , 13010031</t>
  </si>
  <si>
    <t>Бункер-накопитель для ТБО , 13010032</t>
  </si>
  <si>
    <t>Договор на передачу квартир в собственность граждан № 333 от 26.10.2015г.</t>
  </si>
  <si>
    <t>2082.1</t>
  </si>
  <si>
    <t>2082.2</t>
  </si>
  <si>
    <t>2082.3</t>
  </si>
  <si>
    <t>Московская область,  городской округ Серебряные Пруды, рп Серебряные Пруды</t>
  </si>
  <si>
    <t>17.08.2016г</t>
  </si>
  <si>
    <t>Распоряжение администрации городского округа Серебряные Пруды Московской области №433-р</t>
  </si>
  <si>
    <t>Распоряжение администрации городского округа Серебряные Пруды № 433-р</t>
  </si>
  <si>
    <t>Спортивная площадка для скейтборда парка культуры и отдыха "Серебряный"</t>
  </si>
  <si>
    <t>Забор металлический с распашными воротами парка культуры и отдыха "Серебряный"</t>
  </si>
  <si>
    <t>Информационный стенд парка культуры и отдыха "Серебряный"</t>
  </si>
  <si>
    <t>1.101.06.2304</t>
  </si>
  <si>
    <t>Хоккейная площадка (ворота хоккейные - 2 шт), расположенная на земельном участке 50:39:0070303:233</t>
  </si>
  <si>
    <t>Отчет об оценке размера рыночной стоимости хокеейной площадки №080816-01</t>
  </si>
  <si>
    <t>50:39:0020316:63</t>
  </si>
  <si>
    <t>50:39:0030302:921</t>
  </si>
  <si>
    <t>Земельный участок. Категория земель: земли населённых пунктов. ВРИ - для коммунального обслуживания (под зданием бывшей котельной)</t>
  </si>
  <si>
    <t>50:39:0030305:997</t>
  </si>
  <si>
    <t>Выписка ЕГРП, № регистрации 50-50/039-50/008/2016-4006/2 от 05.09.2016г</t>
  </si>
  <si>
    <t>Договор купли-продажи квартиры № 25/2016 от 24.08.2016г</t>
  </si>
  <si>
    <t>Договор купли-продажи квартиры № 26/2016 от 24.08.2016г</t>
  </si>
  <si>
    <t>Здание блочно-модульной котельной инв. 1520301</t>
  </si>
  <si>
    <t>Здание котельной инв. 11100006</t>
  </si>
  <si>
    <t>50:39:0070304:52</t>
  </si>
  <si>
    <t>50:39:0040202:980</t>
  </si>
  <si>
    <t>Канал-насосная станция (КНС)</t>
  </si>
  <si>
    <t>Канал-насосная станция (КНС), 1-о этажное, из прочих материалов</t>
  </si>
  <si>
    <t>КНС с.Мягкое, 1-о этажное, из прочих материалов</t>
  </si>
  <si>
    <t>Канализационно-насосная станция №3 (КНС), инв. 1100008</t>
  </si>
  <si>
    <t>50:39:0020111:101</t>
  </si>
  <si>
    <t>Артезианская скважина Дмитриевское ЖКХ № 2789, глубина 80 м., павильон кирпичный, перекрытия бетонные, башня металлическая, инв. 017030</t>
  </si>
  <si>
    <t>Сооружение коммунального хозяйства Водопроводные сети, протяженность 825м, год ввода 1965, чугунные трубы, камеры из ЖБ элементов.  Инв. 13041, инв. 17001, в т.ч. Водопроводные колодцы диаметр 1,25м. Кирпич, глубина до 2м, инв. 17593</t>
  </si>
  <si>
    <t>Водопроводные сети (трассы), протяженность 821 м</t>
  </si>
  <si>
    <t>Канализационные сети (трассы) протяженность 1464  м</t>
  </si>
  <si>
    <t>Артезианская скважина, глубина 68м, дата ввода в эксплуатацию 1958г</t>
  </si>
  <si>
    <t>Московская область, городской округ Серебряные Пруды, с. Подхожее, ул. Большая Слобода</t>
  </si>
  <si>
    <t>50:39:0060501:163</t>
  </si>
  <si>
    <t>городской округ Серебряные Пруды М.О. п. Дмитриевский (Митякино)</t>
  </si>
  <si>
    <t>50:39:0030303:505</t>
  </si>
  <si>
    <t>Артскважина Глубина 130м, насос ЭЦВ-8-40-120, дата бурения 1991 № 204283</t>
  </si>
  <si>
    <t>50:39:0030303:504</t>
  </si>
  <si>
    <t>Артскважина Глубина 172м, насос ЭЦВ-8-40-120, дата бурения 1991 № 204282</t>
  </si>
  <si>
    <t>Водозаборный узел (ВЗУ), инв. 1520113</t>
  </si>
  <si>
    <t>50:39:0010108:516</t>
  </si>
  <si>
    <t>03.10.2016г</t>
  </si>
  <si>
    <t>Кадастровый паспорт здания №99/2016/8161141. Правообладатель РФ. Рег. Номер 50-50-39/014/2009-150 от 24.11.2009г</t>
  </si>
  <si>
    <t>Земельный участок. Категория земель: земли промышленности. Энергетики, трпеспорта, связи, радиовещания, телевидения, информатики. Зеимли для обеспечения космической деятельности, земли обороны, безопасности  и земли иного специального назначения. ВРИ - для эксплуатации и обслуживания полигона Т.Б.О.</t>
  </si>
  <si>
    <t>Московская область, Серебряно-Прудский район, рп Серебряные Пруды, д. Семенково</t>
  </si>
  <si>
    <t>50:39:0040106:2</t>
  </si>
  <si>
    <t>28.06.2016г</t>
  </si>
  <si>
    <t>Свидетельство о регистрации права 50-ББ №287885</t>
  </si>
  <si>
    <t>Договор купли - продажи квартиры от 12.05.2016г № 1/2016</t>
  </si>
  <si>
    <t>Договор купли - продажи квартиры от 12.05.2016г № 2/2016</t>
  </si>
  <si>
    <t>Договор купли - продажи квартиры от 12.05.2016г № 3/2016</t>
  </si>
  <si>
    <t>Договор купли - продажи квартиры от 12.05.2016г № 4/2016</t>
  </si>
  <si>
    <t>Договор купли - продажи квартиры от 12.05.2016г № 5/2016</t>
  </si>
  <si>
    <t>Договор купли - продажи квартиры от 12.05.2016г № 6/2016</t>
  </si>
  <si>
    <t>Договор купли - продажи квартиры от 12.05.2016г № 7/2016</t>
  </si>
  <si>
    <t>Договор купли - продажи квартиры от 12.05.2016г № 8/2016</t>
  </si>
  <si>
    <t>Договор купли - продажи квартиры от 12.05.2016г № 9/2016</t>
  </si>
  <si>
    <t>Договор купли - продажи квартиры от 12.05.2016г № 10/2016</t>
  </si>
  <si>
    <t>Договор купли - продажи квартиры от 12.05.2016г № 12/2016</t>
  </si>
  <si>
    <t>Договор купли - продажи квартиры от 12.05.2016г № 13/2016</t>
  </si>
  <si>
    <t>Договор купли - продажи квартиры от 12.05.2016г № 14/2016</t>
  </si>
  <si>
    <t>Договор купли - продажи квартиры от 12.05.2016г № 15/2016</t>
  </si>
  <si>
    <t>Договор купли - продажи квартиры от 12.05.2016г № 16/2016</t>
  </si>
  <si>
    <t>Договор купли - продажи квартиры от 12.05.2016г № 17/2016</t>
  </si>
  <si>
    <t>Договор купли - продажи квартиры от 12.05.2016г № 18/2016</t>
  </si>
  <si>
    <t>Договор купли - продажи квартиры от 12.05.2016г № 19/2016</t>
  </si>
  <si>
    <t>Договор купли - продажи квартиры от 12.05.2016г № 20/2016</t>
  </si>
  <si>
    <t>Договор купли - продажи квартиры от 12.05.2016г № 21/2016</t>
  </si>
  <si>
    <t>Договор купли - продажи квартиры от 12.05.2016г № 22/2016</t>
  </si>
  <si>
    <t>Договор купли - продажи квартиры от 12.05.2016г № 23/2016</t>
  </si>
  <si>
    <t>Договор купли - продажи квартиры от 12.05.2016г № 24/2016</t>
  </si>
  <si>
    <t>Договор купли - продажи квартиры от 12.05.2016г № 11/2016</t>
  </si>
  <si>
    <t>50:39:0000000:1041</t>
  </si>
  <si>
    <t>Решение Совета депутатов № 698/70, выписка о регистрации права, регистрация от 18.07.2016г №50-50/039-50/039/008/2016-3131/2</t>
  </si>
  <si>
    <t>Решение Совета депутатов № 698/70,  выписка о регистрации права, регистрация от 18.07.2016г №50-50/039-50/039/008/2016-3133/2</t>
  </si>
  <si>
    <t>Решение Совета депутатов № 698/70,  выписка о регистрации права, регистрация от 18.07.2016г №50-50/039-50/039/008/2016-3129/2</t>
  </si>
  <si>
    <t>Решение Совета депутатов № 698/70,  выписка о регистрации права, регистрация от 15.07.2016г №50-50/039-50/039/008/2016-3106/2</t>
  </si>
  <si>
    <t>Решение Совета депутатов № 698/70,  выписка о регистрации права, регистрация от 15.07.2016г №50-50/039-50/039/008/2016-3119/2</t>
  </si>
  <si>
    <t>Решение Совета депутатов № 698/70,  выписка о регистрации права, регистрация от 18.07.2016г №50-50/039-50/039/008/2016-3107/2</t>
  </si>
  <si>
    <t>Решение Совета депутатов № 698/70,  выписка о регистрации права, регистрация от 15.07.2016г №50-50/039-50/039/008/2016-3122/2</t>
  </si>
  <si>
    <t>Решение Совета депутатов № 698/70,  выписка о регистрации права, регистрация от 18.07.2016г №50-50/039-50/039/008/2016-3120/2</t>
  </si>
  <si>
    <t>Решение Совета депутатов № 698/70,  выписка о регистрации права, регистрация от 18.07.2016г №50-50/039-50/039/008/2016-3124/2</t>
  </si>
  <si>
    <t>Решение Совета депутатов № 698/70,  выписка о регистрации права, регистрация от 15.07.2016г №50-50/039-50/039/008/2016-3125/2</t>
  </si>
  <si>
    <t>Решение Совета депутатов № 698/70,  выписка о регистрации права, регистрация от 15.07.2016г №50-50/039-50/039/008/2016-3132/2</t>
  </si>
  <si>
    <t>Решение Совета депутатов № 698/70,  выписка о регистрации права, регистрация от 18.07.2016г №50-50/039-50/039/008/2016-3128/2</t>
  </si>
  <si>
    <t>Решение Совета депутатов № 698/70,  выписка о регистрации права, регистрация от 15.07.2016г №50-50/039-50/039/008/2016-3123/2</t>
  </si>
  <si>
    <t>Решение Совета депутатов № 698/70,  выписка о регистрации права, регистрация от 18.07.2016г №50-50/039-50/039/008/2016-3126/2</t>
  </si>
  <si>
    <t>Решение Совета депутатов № 698/70,  выписка о регистрации права, регистрация от 15.07.2016г №50-50/039-50/039/008/2016-3130/2</t>
  </si>
  <si>
    <t>Решение Совета депутатов № 698/70,  выписка о регистрации права, регистрация от 15.07.2016г №50-50/039-50/039/008/2016-3121/2</t>
  </si>
  <si>
    <t>Решение Совета депутатов № 698/70,  выписка о регистрации права, регистрация от 18.07.2016г №50-50/039-50/039/008/2016-3134/2</t>
  </si>
  <si>
    <t>Решение Совета депутатов № 697/70, Свидет-во о регистрации права 50-ББ 287143 от 16.05.2016</t>
  </si>
  <si>
    <t>Решение Совета депутатов № 697/70, Свидет-во о регистрации права 50-ББ 287147 от 16.05.2016</t>
  </si>
  <si>
    <t>Решение Совета депутатов № 697/70, Свидет-во о регистрации права 50-ББ 287155 от 16.05.2016</t>
  </si>
  <si>
    <t>Решение Совета депутатов № 697/70, выписка из ЕГРП. Регистрация права от 02.09.2016 №50-50/039-50/999/001/2016-1109/1</t>
  </si>
  <si>
    <t>Решение Совета депутатов № 696/70, регистрация права от 05.09.2016г № 50-50/039-50/999/001/2016-11210</t>
  </si>
  <si>
    <t xml:space="preserve">Насосная станция, инв. 1100023, здание кирпичное </t>
  </si>
  <si>
    <t>Водонапорный узел, инв. 1520114</t>
  </si>
  <si>
    <t>Станция обезжилезования с. Глубокое, инв. 00000561</t>
  </si>
  <si>
    <t>Станция обезжилезования, инв. 1100016</t>
  </si>
  <si>
    <t xml:space="preserve">Водопроводные сети. Инв. 1520152, Протяженность 1300м. Диаметр трубы 100мм </t>
  </si>
  <si>
    <t>Водозаборное сооружение (Павильон) инв. 1520123</t>
  </si>
  <si>
    <t>Артскважина. Инв. 1100021, Глубина 70м, насос ЭЦВ-8-25-110, год бурения 1971,  без павильона подземная  № 46 213186</t>
  </si>
  <si>
    <t>Колодец канализационный 3 ЖБУ кольца, инв. 00000564</t>
  </si>
  <si>
    <t>Трасса ГВС, протяженность 1449м, инв. 1000173</t>
  </si>
  <si>
    <t>50:39:0000000:4106</t>
  </si>
  <si>
    <t>Теплотрасса инв. 1520110, протяженность в двухтрубном исчислении 3308 м</t>
  </si>
  <si>
    <t>МО, городской округ Серебряные Пруды</t>
  </si>
  <si>
    <t>Договор дарения имущества, передаточный акт</t>
  </si>
  <si>
    <t>07.09.2016г.</t>
  </si>
  <si>
    <t>Договор на передачу жилого помещения муниципального жилищного фонда в собственность граждан от 17.02.2016г. № 11/2016</t>
  </si>
  <si>
    <t>Договор на передачу квартиры в собственность граждан от 06.04.2015г. № 326</t>
  </si>
  <si>
    <t>23.08.2016г.</t>
  </si>
  <si>
    <t>Договор передачи жилого помещения муниципального фонда в собственность граждан от 29.07.2016г. № 31/2016</t>
  </si>
  <si>
    <t>09.09.2016г.</t>
  </si>
  <si>
    <t>Договор на передачу квартиры в собственность граждан от 02.03.2015г. № 326</t>
  </si>
  <si>
    <t>Договор купли-продажи транспортного средства № 2</t>
  </si>
  <si>
    <t xml:space="preserve">Экскаватор 71-01 ЭО2621 60 Подхоженское ЖКХ гос. номер </t>
  </si>
  <si>
    <t>Распоряжение администрации городского округа Серебряные Пруды МО № 505-р</t>
  </si>
  <si>
    <t>Оперативное управление Муниципальное физкультурно-оздоровительное спортивное учреждение спорткомплекс "Молодежный" Постановление администрации от 03.10.2016г № 2033</t>
  </si>
  <si>
    <t>Распоряжение администрации городского округа Серебряные Пруды Московской области № 131-р</t>
  </si>
  <si>
    <t xml:space="preserve">Распоряжение администрации городского округа Серебряные Пруды МО № 132-р </t>
  </si>
  <si>
    <t>Распоряжение администрации городского округа Серебряные Пруды МО № 178-р</t>
  </si>
  <si>
    <t>Распоряжение администрации городского округа Серебряные Пруды МО № 176-р</t>
  </si>
  <si>
    <t>Решение Совета депутатов городского округа Серебряные Пруды Московской области № 695/70</t>
  </si>
  <si>
    <t>Решение Совета депутатов городского округа Серебряные Пруды Московской области № 697/70</t>
  </si>
  <si>
    <t>Легковой автомобиль ВАЗ-21074 315142, гос номер О 267 МВ 150</t>
  </si>
  <si>
    <t>Решение Совета депутатов городского округа Серебряные Пруды Московской области № 698/70</t>
  </si>
  <si>
    <t>Автомашина ГАЗ-САЗ-35071 гос. номер Т 782 МА 190</t>
  </si>
  <si>
    <t>Автомашина УАЗ-390945, гос. номер О 846 КХ 190</t>
  </si>
  <si>
    <t>Автомашина УАЗ-390945, гос. номер О 084  ЕО 190</t>
  </si>
  <si>
    <t>Автомашина УАЗ-390944 Белая ночь, гос. номер К 422 МК 150</t>
  </si>
  <si>
    <t>Автоподъемник АП-18-09 телескоп на шасси ГАЗ-3309 О 502 КХ 190</t>
  </si>
  <si>
    <t>Автомашина ВАЗ -21310. VIN- XTA21310050059623, гос. номер А683 МК 90</t>
  </si>
  <si>
    <t>ПУМ 4853, Завод.№ машины 261(82014839) гос. номер 50 МК 0241</t>
  </si>
  <si>
    <t>Автомобиль CHEVROLET NIVA  Х9L212300Е0515710 (тем.сер.метал.), гос. номер В 484 ЕМ 750</t>
  </si>
  <si>
    <t>Автомобиль CHEVROLET NIVA  Х9L212300Е0515576 (тем.сер.метал.), гос. номер О 464 ММ 90</t>
  </si>
  <si>
    <t>20.10.2016г.</t>
  </si>
  <si>
    <t>Договор передачи жилого помещения муниципального жилищного фонда в собственность граждан № 20/2016 от 24.03.2016г.</t>
  </si>
  <si>
    <t>50:39:0000000:4078</t>
  </si>
  <si>
    <t>50:39:0030302:928</t>
  </si>
  <si>
    <t>Автомобильная дорога, расположенная на земельном участке с кадастровым номером 50:39:0030302:856, протяженностью 17 м</t>
  </si>
  <si>
    <t>Автомобильная дорога, расположенная на земельном участке с кадастровым номером 50:39:0030302:826, протяженностью 174м</t>
  </si>
  <si>
    <t>50:39:0030302:929</t>
  </si>
  <si>
    <t>Автомобильная дорога с твердым покрытием, кадастровый номер земельного участка 50:39:0060306:1027. Протяженность 203 м</t>
  </si>
  <si>
    <t>50:39:0060306:1047</t>
  </si>
  <si>
    <t>Автомобильная дорога, расположенная на земельном участке с кадастровым номером 50:39:0000000:185, протяженностью 2495 м</t>
  </si>
  <si>
    <t>Автомобильная дорога общего пользования с твёрдым покрытием, кадастровый номер земельного участка 50:39:0070201:43, протяженность 642 м</t>
  </si>
  <si>
    <t>50:39:0070201:117</t>
  </si>
  <si>
    <t>Внутриквартальная автомобильная дорога с твёрдым покрытием, кадастровый номер земельного участка 50:39:0070204:17, протяженностью 468м</t>
  </si>
  <si>
    <t>50:39:0000000:4372</t>
  </si>
  <si>
    <t>Автомобильная дорога общего пользования с твёрдым покрытием, кадастровый номер земельного участка 50:39:0080207:572, протяженность 621 м</t>
  </si>
  <si>
    <t>50:39:0080207:622</t>
  </si>
  <si>
    <t>50:39:0080101:275</t>
  </si>
  <si>
    <t>Земельный участок. Категория земель: земли населённых пунктов. ВРИ - для эксплуатации здания (под зданием производственногоь центра)</t>
  </si>
  <si>
    <t>Московская область, Серебряно-Прудский район, д. Красновские Выселки</t>
  </si>
  <si>
    <t>50:39:0060115:222</t>
  </si>
  <si>
    <t>Выписка ЕГРП, № регистрации 50-50/039-50/039/008/2016-4894/2 от 20.10.2016г</t>
  </si>
  <si>
    <t>Земельный участок. Категория земель: земли населённых пунктов. ВРИ - комунальное обслуживание (под артскважиной)</t>
  </si>
  <si>
    <t>Московская область, Серебряно-Прудский район, д. Красновские Выселки, ул. Центральная, д.1</t>
  </si>
  <si>
    <t>Московская область, Серебряно-Прудский район, рп Серебряные Пруды, ул. Коровушкина</t>
  </si>
  <si>
    <t>50:39:0050102:213</t>
  </si>
  <si>
    <t>Выписка ЕГРП, № регистрации 50-50/039-50/039/008/2016-4888/1 от 20.10.2016г</t>
  </si>
  <si>
    <t>Земельный участок. Категория земель: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назначения. ВРИ - для эксплуатации и обслуживания артезианской скважины № 1а</t>
  </si>
  <si>
    <t>Московская область, Серебряно-Прудский район, д. Благодать</t>
  </si>
  <si>
    <t>50:39:0070101:3</t>
  </si>
  <si>
    <t>Выписка ЕГРП, № регистрации 50-50/039-50/039/008/2016-4887/1 от 20.10.2016г</t>
  </si>
  <si>
    <t>Земельный участок. Категория земель: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назначения. ВРИ - для эксплуатации и обслуживания артезианских скважин "Дмитриевка-2"</t>
  </si>
  <si>
    <t>Московская область, Серебряно-Прудский район,п. Дмитриевский</t>
  </si>
  <si>
    <t>50:39:0080203:2</t>
  </si>
  <si>
    <t>Выписка ЕГРП, № регистрации 50-50/039-50/039/008/2016-4893/1 от 20.10.2016г</t>
  </si>
  <si>
    <t>Земельный участок. Категория земель: земли населенных пунктов. ВРИ - для эксплуатации и обслуживания артезианской скважины</t>
  </si>
  <si>
    <t>Московская область, Серебряно-Прудский район с. Мочилы</t>
  </si>
  <si>
    <t>50:39:0060306:43</t>
  </si>
  <si>
    <t>Выписка ЕГРП, № регистрации 50-50/039-50/039/008/2016-4892/1 от 20.10.2016г</t>
  </si>
  <si>
    <t>Московская область, Серебряно-Прудский район, д. Шеметово</t>
  </si>
  <si>
    <t>50:39:0060104:718</t>
  </si>
  <si>
    <t>Выписка ЕГРП, № регистрации 50-50/039-50/039/008/2016-4891/1 от 20.10.2016г</t>
  </si>
  <si>
    <t>Земельный участок. Категория земель: земли населенных пунктов. ВРИ - коммунальное обслуживание (под артскважиной)</t>
  </si>
  <si>
    <t>Московская область, Серебряно-Прудский район, д. Нижняя Пурловка</t>
  </si>
  <si>
    <t>50:39:0080101:274</t>
  </si>
  <si>
    <t>Выписка ЕГРП, № регистрации 50-50/039-50/039/008/2016-4890/1 от 20.10.2016г</t>
  </si>
  <si>
    <t>Земельный участок. Категория земель: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назначения. ВРИ - коммунальное обслуживание (под артезианской скважиной)</t>
  </si>
  <si>
    <t>Московская область, Серебряно-Прудский район, д. Серково</t>
  </si>
  <si>
    <t>50:39:0080203:177</t>
  </si>
  <si>
    <t>Выписка ЕГРП, № регистрации 50-50/039-50/039/008/2016-4889/1 от 20.10.2016г</t>
  </si>
  <si>
    <t>Земельный участок. Категория земель: земли населённых пунктов. ВРИ - коммунальное обслуживание (под зданием котельной)</t>
  </si>
  <si>
    <t>Московская область, Серебряно-Прудский район, д. Красновские Выселки, ул. Центральная, д.1А</t>
  </si>
  <si>
    <t>50:39:0060115:234</t>
  </si>
  <si>
    <t>Выписка ЕГРП, № регистрации 50-50/039-50/039/008/2016-4899/2 от 20.10.2016г</t>
  </si>
  <si>
    <t>50:39:0060114:158</t>
  </si>
  <si>
    <t>Выписка ЕГРП, № регистрации 50-50/039-50/039/008/2016-4886/1 от 20.10.2016г</t>
  </si>
  <si>
    <t xml:space="preserve"> п. Серебряные Пруды М.О. СНТ  Савинка уч.22</t>
  </si>
  <si>
    <t>50:39:0080205:21</t>
  </si>
  <si>
    <t>Выписка ЕГРП, № регистрации 50-50/039-50/039/008/2016-4915/2 от 21.10.2016г</t>
  </si>
  <si>
    <t>24.10.2016г.</t>
  </si>
  <si>
    <t>Договор передачи жилого помещения муниципального жилищного фонда в собственность граждан от 06.08.2016г. № 33/2016</t>
  </si>
  <si>
    <t>142970 Московская область городской округ Серебряные Пруды, р.п. Серебряные Пруды ул.Школьная д.10 кв.21</t>
  </si>
  <si>
    <t>Распоряжение администрации Серебряно-Прудского района</t>
  </si>
  <si>
    <t>Постановление администрации от 14.10.2016г № 2129. Хоз ведение РСО Серебряные Пруды</t>
  </si>
  <si>
    <t>Грузовая цистерна ГАЗ 3309, КО-503 В-2           гос. номер   Е 331 КХ 90, год выпуска 1995</t>
  </si>
  <si>
    <t>Забор металлический очистные сооружения, рп Серебряные Пруды, ул. 8 Марта. Колючая проволока, азбестовые столбы, длина 554 м. инв. 013021</t>
  </si>
  <si>
    <t>Автомобиль УАЗ Патритот гос номер Т 668 КК</t>
  </si>
  <si>
    <t>Решение Совета депутатов городского округа Серебряные Пруды Московской области № 696/70</t>
  </si>
  <si>
    <t>Автомашина вакуумная ГАЗ 3307, КО-503 В           гос. номер   Е 264 КХ 90, год выпуска 2001</t>
  </si>
  <si>
    <t>Постановление администрации от 14.10.2016 №2129. Хоз. Ведение МУП РСО Серебряные Пруды</t>
  </si>
  <si>
    <t>Автомобиль УАЗ-315195,                                    гос. номер М 053 МЕ 90, год выпуска 2007</t>
  </si>
  <si>
    <t>Экскаватор МТЗ 82-1 ЭП-2626Е, гос. номер  50 МК 2616, год выпуска 2010</t>
  </si>
  <si>
    <t>Экскаватор ЭО 2621 В-3,   гос. номер            50 НК 2613, год выпуска 1997</t>
  </si>
  <si>
    <t>Экскаватор ЭО 2621 В-3,   гос. номер            50 МК 2614, год выпуска 1997</t>
  </si>
  <si>
    <t>Эксковатор МТЗ 82.1, гос. номер 50 МК 2612, год выпуска 2011</t>
  </si>
  <si>
    <t>Экскаватор ЭП 2626 Е,                                  гос. номер 50 МК 2615, год выпуска 2010</t>
  </si>
  <si>
    <t>00000001</t>
  </si>
  <si>
    <t>0000568</t>
  </si>
  <si>
    <t>000000569</t>
  </si>
  <si>
    <t>00000557</t>
  </si>
  <si>
    <t>00000572</t>
  </si>
  <si>
    <t>Бак мембранный</t>
  </si>
  <si>
    <t>000000574</t>
  </si>
  <si>
    <t>00000567</t>
  </si>
  <si>
    <t>00000571</t>
  </si>
  <si>
    <t>000000570</t>
  </si>
  <si>
    <t>Тепловизионный комплект "Снегирь"</t>
  </si>
  <si>
    <t>Комплект газовый настенный</t>
  </si>
  <si>
    <t>00000554</t>
  </si>
  <si>
    <t>00000566</t>
  </si>
  <si>
    <t>КПТ Северный для насосной</t>
  </si>
  <si>
    <t>ЛЭП с. Петрово</t>
  </si>
  <si>
    <t>Договор передачи жилого помещения муниципального жилищного фонда в собственность граждан № 34/2016 от 29.09.2016</t>
  </si>
  <si>
    <t>50:39:0000000:4366</t>
  </si>
  <si>
    <t>50:39:0020208:1305</t>
  </si>
  <si>
    <t>50:39:0020316:68</t>
  </si>
  <si>
    <t>50:39:0010108:1074</t>
  </si>
  <si>
    <t>50:39:0040201:16</t>
  </si>
  <si>
    <t>50:39:0030302:932</t>
  </si>
  <si>
    <t>50:39:0030302:930</t>
  </si>
  <si>
    <t>50:39:0030116:294</t>
  </si>
  <si>
    <t>50:39:0030406:68</t>
  </si>
  <si>
    <t>50:39:0010307:29</t>
  </si>
  <si>
    <t>50:39:0020106:790</t>
  </si>
  <si>
    <t>ВЗУ (Артскважина), Глубина 110м, год бурения 1970</t>
  </si>
  <si>
    <t>50:39:0020201:361</t>
  </si>
  <si>
    <t>50:39:0030108:233</t>
  </si>
  <si>
    <t>50:39:0010110:39</t>
  </si>
  <si>
    <t>50:39:0030305:1020</t>
  </si>
  <si>
    <t>50:39:0060308:212</t>
  </si>
  <si>
    <t>Выписка ЕГРП, № регистрации 50-50/039-50/039/008/2016-4946/2 от 25.10.2016г</t>
  </si>
  <si>
    <t>Детская игровой комплекс, расположенный по адресу: п. Дмитриевский (Игровой комплекс Дежурная часть,Автобус ДПС, игровой комплекс Мини, Песочница Джип. Спортивный комплекс Паук, Качели с гибким подвесом двойные, качалка-балансир, дорожные знаки 7 шт, скамейка 6шт, урна с ведром 6шт, ограждение газонное 90п.м.)</t>
  </si>
  <si>
    <t>Автомашина LADA PRIORA 217030 гос номер К 967 МЕ 150</t>
  </si>
  <si>
    <t>Свидетельство о регистрации 50-БА-380507, Выписка ЕГРП от 10.11.2016г № 50-50/001-50/999/001/2016-15648/21.10.2016</t>
  </si>
  <si>
    <t>Свидетельсьтво о регистрации 50-БА 380521, выписка ЕГРП от 10.11.2016 № 50-50/001-50/999/001/2016-15654/21.10.2016</t>
  </si>
  <si>
    <t>50:39:0060308:41</t>
  </si>
  <si>
    <t>Выписка ЕГРП, № регистрации 50-50/039-50/039/008/2016-5131/2 от 09.11.2016</t>
  </si>
  <si>
    <t>Договор № 36/2016 передачи жтлого помещения муниципального жилищного фонда в собственность граждан от 18.10.2016г</t>
  </si>
  <si>
    <t>Свидетельство о регистрации права 50-БА 011855, Выписка ЕГРП от 10.11.2016г № регистрации 50-50/001-50/999/001/2016-15581/21.10.2016</t>
  </si>
  <si>
    <t>Свидетельсьтво о регистрации 50-БА 380508, Выписка ЕГРП от 10.11.2016г № регистрации 50-50/001-50/999/001/2016-15641/21.10.2016</t>
  </si>
  <si>
    <t>Свидетельсьтво о регистрации 50-БА 380517, Выписка ЕГРП от 10.11.2016г № регистрации 50-50/001-50/999/001/2016-1566/21.10.2016</t>
  </si>
  <si>
    <t>Свидетельство о регистрации права 50-БА 635630, Выписка ЕГРП от 10.11.2016 № регистрации 50-50/001-50/999/001/2016-15636/21.10.2016</t>
  </si>
  <si>
    <t>Свидетельство о регистрации права 50-БА 635575, Выписка ЕГРП от 10.11.2016 № регистрации 50-50/001-50/999/001/2016-15591/21.10.2016</t>
  </si>
  <si>
    <t>Свидетельство о регистрации права 50-БА 635631, Выписка ЕГРП от 10.11.2016г № регистрации 50-50/001-50/999/001/2016-15633/21.10.2016</t>
  </si>
  <si>
    <t xml:space="preserve">Решение Совета Депутатов № 695/70, Выписка из ЕГРП от 08.11.2016г, регистрация № 50-50/039-50/999/001/2016-17663/1 </t>
  </si>
  <si>
    <t xml:space="preserve">Решение Совета Депутатов № 695/70, Выписка из ЕГРП от 08.11.2016г, регистрация № 50-50/039-50/999/001/2016-17684/1 </t>
  </si>
  <si>
    <t>Решение Совета Депутатов № 695/70, Выписка ЕГРП от 08.11.2016г, регистрация № 50-50/039-50/999/001/2016-17690/1</t>
  </si>
  <si>
    <t>Распоряжение администрации Серебряно-Прудского муниципального района 278-р, Выписка ЕГРП от 09.11.2016г, регистрация № 50-50/039-50/999/001/2016-17907/1</t>
  </si>
  <si>
    <t>Распоряжение администрации Серебряно-Прудского муниципального района 278-р, Выписка ЕГРП от 09.11.2016г, регистрация № 50-50/039-50/999/001/2016-17908/1</t>
  </si>
  <si>
    <t>Решение Совета депутатов № 696/70, Выписка ЕГРП от 09.11.2016г, регистрация № 50-50/039-50/999/001/2016-17914/1</t>
  </si>
  <si>
    <t>50:39:0010110:34</t>
  </si>
  <si>
    <t>Решение Совета депутатов № 696/70, Выписка из ЕГРП от 09.11.2016г, № регистрации 50-50/039-50/999/001/2016-17923/1</t>
  </si>
  <si>
    <t>Решение Совета депутатов № 696/70, Выписка из ЕГРП от 09.11.2016г, № регистрации 50-50/039-50/999/001/2016-17980/1</t>
  </si>
  <si>
    <t>Решение Совета депутатов № 696/70, Выписка из ЕГРП от 10.11.2016г, регистрация № 50-50/039-50/999/001/2016-17986/1</t>
  </si>
  <si>
    <t>Решение Совета депутатов № 696/70, Выписка из ЕГРП от 10.11.2016г, регистрация № 50-50/039-50/999/001/2016-17983/1</t>
  </si>
  <si>
    <t>Решение Совета депутатов № 696/70, Выписка из ЕГРП от 10.11.2016г, регистрация № 50-50/039-50/999/001/2016-17987/1</t>
  </si>
  <si>
    <t>Решение Совета депутатов № 696/70, Выписка из ЕГРП от 24.10.2016г, регистрация № 50-50/001-50/999/001/2016-15552/1</t>
  </si>
  <si>
    <t>Решение Совета депутатов № 696/70, Выписка из ЕГРП от 24.10.2016г, регистрация № 50-50/001-50/999/001/2016-15564/1</t>
  </si>
  <si>
    <t>Распоряжение администрации Серебряно-Прудского муниципального района 278-р, Выписка из ЕГРП от 24.10.2016г, регистрация № 50-50/001-50/999/001/2016-15578/1</t>
  </si>
  <si>
    <t>Решение Совета депутатов № 696/70, Выписка из ЕГРП от 21.10.2016г, ренистрация № 50-50/001-50/999/001/2016-15587/1</t>
  </si>
  <si>
    <t>50:39:0020317:222</t>
  </si>
  <si>
    <t>Решение Совета депутатов № 696/70, выписка из ЕГРП от 21.10.2016г, ренистрация № 50-50/001-50/999/001/2016-15590/1</t>
  </si>
  <si>
    <t>Решение Совета депутатов № 696/70, выписка из ЕГРП от 21.10.2016г, ренистрация № 50-50/001-50/999/001/2016-15595/1</t>
  </si>
  <si>
    <t>Решение Совета депутатов № 696/70, выписка из ЕГРП от 07.11.2016г. № регистрации 50-50/001-50/999/001/2016-16605/1</t>
  </si>
  <si>
    <t>Решение Совета депутатов № 696/70, Выписка из ЕГРП от 07.11.2016г. № регистрации 50-50/001-50/999/001/2016-16635/1</t>
  </si>
  <si>
    <t>Решение Совета депутатов № 696/70, Выписка из ЕГРП от 07.11.2016г, регистрация № 50-50/001-50/999/001/2016-16647/1</t>
  </si>
  <si>
    <t>Решение Совета депутатов № 696/70, Выписка из ЕГРП от 07.11.2016г, регистрация № 50-50/001-50/999/001/2016-16667/1</t>
  </si>
  <si>
    <t>Решение Совета депутатов № 696/70, выписка из ЕГРП от 07.11.2016г, регистрация № 50-50/001-50/999/001/2016-16680/1</t>
  </si>
  <si>
    <t>Решение Совета депутатов № 696/70, Выписка из ЕГРП от 03.11.2016г, регистрация № 50-50/001-50/999/001/2016-16964/1</t>
  </si>
  <si>
    <t>Решение Совета депутатов № 696/70, Выписка из ЕГРП от 03.11.2016г, регистрация № 50-50/001-50/999/001/2016-16977/1</t>
  </si>
  <si>
    <t>Решение СД Сер-Пруд муниц. р-на МО №106/25, Выптска из ЕГРП от 07.11.2016г, регистрация № 50-50/001-50/999/001/2016-16989/1</t>
  </si>
  <si>
    <t>Решение СД Сер.-Пруд. Муниц. р-на МО  № 106/24 от 24.10.1997г, Распоряжение администрации Серебряно-Прудского муниципального района 278-р, Выписка из ЕГРП от 08.11.2016г, регистрация № 50-50/039-50/999/001/2016-17767/1</t>
  </si>
  <si>
    <t>Решение СД Сер.-Пруд. Муниц. р-на МО  № 106/24 от 24.10.1997г Распоряжение администрации Серебряно-Прудского муниципального района 278-р, Выписка из ЕГРП от 08.11.2016г, регистрация № 50-50/039-50/999/001/2016-17781/1</t>
  </si>
  <si>
    <t>Распоряжение администрации Серебряно-Прудского муниципального района 278-р, Выписка из ЕГРП от 09.11.2016г, регистрация № 50-50/001-50/999/001/2016-17905/1</t>
  </si>
  <si>
    <t>Распоряжение администрации Серебряно-Прудского муниципального района 278-р, Выписка из ЕГРП от 09.11.2016г, регистрация № 50-50/001-50/999/001/2016-17903/1</t>
  </si>
  <si>
    <t>Решение Совета депутатов № 696/70, Выписка из ЕГРП от 10.11.2016г, регистрация № 50-50/001-50/999/001/2016-17982/1</t>
  </si>
  <si>
    <t>50:39:0010305:250</t>
  </si>
  <si>
    <t>50:39:0030118:197</t>
  </si>
  <si>
    <t>50:39:0050501:290</t>
  </si>
  <si>
    <t>Земельный участок, категория земель: земли населённых пунктов, ВРИ: для обслуживания гаража</t>
  </si>
  <si>
    <t>50:39:0040201:14</t>
  </si>
  <si>
    <t>50:39:0040201:13</t>
  </si>
  <si>
    <t>Реестровый номер</t>
  </si>
  <si>
    <t>Московская область, Серебряно-Прудский район, примерно в 1000 м по направлению  на северо-восток от д. Есипово, расположенного за пределами участка</t>
  </si>
  <si>
    <t>Московская область, Серебряно-Прудский район, примерно в 1200 м по направлению  на юго-восток от д. Есипово, расположенного за пределами участка</t>
  </si>
  <si>
    <t>Выписка из ЕГРП, регистрация № 50-50-39/005/2009-404</t>
  </si>
  <si>
    <t>Выписка из ЕГРП, регистрация № 50-50-39/005/2012-420</t>
  </si>
  <si>
    <t>Выписка из ЕГРП, регистрация права 50-50-39/002/2005-225</t>
  </si>
  <si>
    <t xml:space="preserve">Решение Совета депутатов № 695/70 </t>
  </si>
  <si>
    <t>19.10.2016г</t>
  </si>
  <si>
    <t>Постановление администрации ГО Серебряные Пруды МО № 2161</t>
  </si>
  <si>
    <t>Московская область, Серебряно-Прудский район, СНТ "Куньи Выселки", уч. 211</t>
  </si>
  <si>
    <t>Московская область, Серебряно-Прудский район, СНТ "Куньи Выселки", уч. 40</t>
  </si>
  <si>
    <t>Московская область,  городской округ Серебряные Пруды, Северо-восточная часть кадастрового квартала 50:39:0050510</t>
  </si>
  <si>
    <t>Земельный участок, категория земли - земли сельскохозяйственного назначения, ВРИ - для сельскохозяйственного  производства</t>
  </si>
  <si>
    <t>Земельный участок, категория земли - земли сельскохозяйственного назначения, ВРИ - для сельскохозяйственного  использования</t>
  </si>
  <si>
    <t>Решение Совета депутатов городского округа Серебряные Пруды №855/85</t>
  </si>
  <si>
    <t>000000014</t>
  </si>
  <si>
    <t xml:space="preserve">Ограждение  кованное "О-04", административного здания р.п.Серебряные Пруды
ул.Ильи Садофьева, д.15
</t>
  </si>
  <si>
    <t>000000015</t>
  </si>
  <si>
    <t xml:space="preserve">Секция ограждения, котельная №1
рп.Серебряные Пруды, ул. Механизаторов д.2
</t>
  </si>
  <si>
    <t>00000009</t>
  </si>
  <si>
    <t>Насос СМ 150-125-315/4а, КНС с.Подхожее</t>
  </si>
  <si>
    <t>00000027</t>
  </si>
  <si>
    <t>Преобразователь частоты 22 кв, с. Мочилы ВЗУ</t>
  </si>
  <si>
    <t>000000021</t>
  </si>
  <si>
    <t>000000040</t>
  </si>
  <si>
    <t>000000045</t>
  </si>
  <si>
    <t xml:space="preserve">Насос ЭЦВ 12-160-100 НРО, № паспорта 
АМТ3.246.001ПС
Зав.№16349, ВЗУ д. Благодать
</t>
  </si>
  <si>
    <t xml:space="preserve">Насос ЭЦВ 12-160-100 НРО, № паспорта
АМТ246.001ПС
Зав.№37978, ВЗУ 1 подъем д. Благодать
</t>
  </si>
  <si>
    <t>Преобразователь частоты 22 квт, ВЗУ 2 подъем д. Благодать</t>
  </si>
  <si>
    <t>000000016</t>
  </si>
  <si>
    <t>00000056</t>
  </si>
  <si>
    <t>Насос ЭЦВ 12-160-100 НРО,Паспорт №3305
Зав.№АМТ 3.2.46001ПС, ВЗУ 1 подъем д. Благодать</t>
  </si>
  <si>
    <t xml:space="preserve">Компрессор 2АФ51Э2Ш с электродвигат. 5.5кВт, Паспорт б/н
Зав.№10120189
</t>
  </si>
  <si>
    <t>00000039</t>
  </si>
  <si>
    <t xml:space="preserve">Насос ЭЦВ 10-65-150, Паспорт №36062
Зав.№15143, п.Успенский
Артскважина №1
</t>
  </si>
  <si>
    <t>000000025</t>
  </si>
  <si>
    <t xml:space="preserve">Бытовка металлическая, д.Шеметово
Очист.сооружения
</t>
  </si>
  <si>
    <t>000000020</t>
  </si>
  <si>
    <t>Преобразователь частотыNXP38550N0SSAA2200, паспорт №CPASA1А2000000
Зав.№12166319,  рп.Серебряные Пруды, ул.8 Марта
очист.сооружения</t>
  </si>
  <si>
    <t>000000008</t>
  </si>
  <si>
    <t>000000044</t>
  </si>
  <si>
    <t>Расходометр с интегратором акустический «ЭХО-Р-02», Паспорт №АЦПР407154.012ПС
Зав.№ 5420, рп.Серебряные Пруды,
ул.8 Марта
очист.сооружения</t>
  </si>
  <si>
    <t>Электродвигатель 
5А200L4, Паспорт ДТ520202.011ПСру
Зав.№131000993, Котельная №8
д.Шеметово</t>
  </si>
  <si>
    <t>000000041</t>
  </si>
  <si>
    <t>Насос К100-65-200-5 с эл.двигат. 22кВт, Паспорт НО1.47.00.000ПС
Зав.№Т1428, Котельная №8
д.Шеметово</t>
  </si>
  <si>
    <t>000000048</t>
  </si>
  <si>
    <t>000000018</t>
  </si>
  <si>
    <t xml:space="preserve">Секция №10 (ПВ-1688 4-Г-1-0-6..98-Т), котельная №5
с.Мочилы
</t>
  </si>
  <si>
    <t>000000019</t>
  </si>
  <si>
    <t>Ёмкость 50 м3, рп Серебряные Пруды, м-н Западный котельная №2</t>
  </si>
  <si>
    <t>000000035</t>
  </si>
  <si>
    <t>Подогреватель водяной ВВП №16-325, с. Подхожее котельная №4</t>
  </si>
  <si>
    <t>000000046</t>
  </si>
  <si>
    <t>Электронасос КМ-100-65-200А/2-5-2М, с. Мочилы котельная №5</t>
  </si>
  <si>
    <t>000000037</t>
  </si>
  <si>
    <t>Котел КСВ - 2,5, паспорт б/н
зав.№13 д. Шеметово котельная №8</t>
  </si>
  <si>
    <t>000000032</t>
  </si>
  <si>
    <t xml:space="preserve">Горелка ГБ-2.7, паспорт б/н
зав.№4, котельная №8
д.Шеметово
</t>
  </si>
  <si>
    <t>000000033</t>
  </si>
  <si>
    <t>Секция №15 (ПВ1-325*-2-Г-14.24-Т), Паспорт б/н
Зав.№748,749,750,751, Котельная №8
д.Шеметово</t>
  </si>
  <si>
    <t>000000052</t>
  </si>
  <si>
    <t>Преобразователь частоты 18,5 квт, паспорт б/н, зав.№ 12363827 котельная №2
рп.Серебряные Пруды, м-н Западный</t>
  </si>
  <si>
    <t>000000024</t>
  </si>
  <si>
    <t>Пожарный гидрант ГП-Н-1,5м (чугун)</t>
  </si>
  <si>
    <t>1.101.04.1326</t>
  </si>
  <si>
    <t>1.101.04.1327</t>
  </si>
  <si>
    <t>1.101.04.1328</t>
  </si>
  <si>
    <t>1.101.04.1329</t>
  </si>
  <si>
    <t>1.101.04.1330</t>
  </si>
  <si>
    <t>Пожарный гидрант ГП-Н-1,75м (чугун)</t>
  </si>
  <si>
    <t>1.101.04.1331</t>
  </si>
  <si>
    <t>1.101.04.1332</t>
  </si>
  <si>
    <t>1.101.04.1333</t>
  </si>
  <si>
    <t>1.101.04.1334</t>
  </si>
  <si>
    <t>1.101.04.1335</t>
  </si>
  <si>
    <t>1.101.04.1336</t>
  </si>
  <si>
    <t>1.101.04.1337</t>
  </si>
  <si>
    <t>Пожарный гидрант ГП-Н-2,25м (чугун)</t>
  </si>
  <si>
    <t>1.101.04.1340</t>
  </si>
  <si>
    <t>Пожарный гидрант ГП-Н-2,0м (чугун)</t>
  </si>
  <si>
    <t>1.101.04.1339</t>
  </si>
  <si>
    <t>Пожарный гидрант ГП-Н-2,0 (чугун)</t>
  </si>
  <si>
    <t>1.101.04.1338</t>
  </si>
  <si>
    <t>Постановление администрации городского округа Серебряные Пруды МО №2272</t>
  </si>
  <si>
    <t>Земельный участок Категория земель - земли населенных пунктов, ВРИ - для эксплуатации и обслуживания муниципальной дороги</t>
  </si>
  <si>
    <t>Московская область, Серебряно-Прудский район, д. Лишняги</t>
  </si>
  <si>
    <t>50:39:0060110:296</t>
  </si>
  <si>
    <t>Земельный участок Категория земель - земли населенных пунктов, ВРИ - для эксплуатации автомобильной дороги</t>
  </si>
  <si>
    <t>50:39:0060104:170</t>
  </si>
  <si>
    <t>Московская область, Серебряно-Прудский район, д. Николаевка</t>
  </si>
  <si>
    <t>50:39:0070306:69</t>
  </si>
  <si>
    <t>Московская область, Серебряно-Прудский район, д. Крутовец</t>
  </si>
  <si>
    <t>50:39:0000000:195</t>
  </si>
  <si>
    <t>Московская область, Серебряно-Прудский район, д.Лишняги</t>
  </si>
  <si>
    <t>50:39:0060110:299</t>
  </si>
  <si>
    <t>Земельный участок Категория земель - земли населенных пунктов, ВРИ - для контейнерных ящиков</t>
  </si>
  <si>
    <t>Московская область, Серебряно-Прудский район</t>
  </si>
  <si>
    <t>50:39:0000000:109</t>
  </si>
  <si>
    <t>Московская область, Серебряно-Прудский район, д. Яблонево</t>
  </si>
  <si>
    <t>50:39:0060304:183</t>
  </si>
  <si>
    <t>Московская область, Серебряно-Прудский район, с. Подхожее, мкрн-Юбилейный</t>
  </si>
  <si>
    <t>50:39:0060501:64</t>
  </si>
  <si>
    <t>Московская область, Серебряно-Прудский район, с.Куребино</t>
  </si>
  <si>
    <t>50:39:0000000:196</t>
  </si>
  <si>
    <t>Московская область, Серебряно-Прудский район, с. Анино</t>
  </si>
  <si>
    <t>50:39:0060302:278</t>
  </si>
  <si>
    <t>Московская область, Серебряно-Прудский район, д. Клинское</t>
  </si>
  <si>
    <t>50:39:0060303:47</t>
  </si>
  <si>
    <t>Московская область, Серебряно-Прудский район, д. Куньи Выселки</t>
  </si>
  <si>
    <t>50:39:0000000:4099</t>
  </si>
  <si>
    <t>50:39:0060306:1002</t>
  </si>
  <si>
    <t>Московская область, Серебряно-Прудский район, с. Мочилы, ул. Садовая</t>
  </si>
  <si>
    <t>50:39:0060112:389</t>
  </si>
  <si>
    <t>Московская область, Серебряно-Прудский район, с. Подхожее, ул. Прудская</t>
  </si>
  <si>
    <t>50:39:0060502:622</t>
  </si>
  <si>
    <t>Московская область, Серебряно-Прудский район, д. Якимовка</t>
  </si>
  <si>
    <t>50:39:0060303:53</t>
  </si>
  <si>
    <t>Московская область, Серебряно-Прудский район, с. Мочилы, ул. Южная</t>
  </si>
  <si>
    <t>50:39:0060306:1017</t>
  </si>
  <si>
    <t>Земельный участок Категория земель - земли населенных пунктов, ВРИ - общее пользования территории</t>
  </si>
  <si>
    <t>Московская область, Серебряно-Прудский район, с. Кормовое</t>
  </si>
  <si>
    <t>50:39:0060311:187</t>
  </si>
  <si>
    <t>50:39:0060311:188</t>
  </si>
  <si>
    <t>Московская область, Серебряно-Прудский район, д. Озерки</t>
  </si>
  <si>
    <t>50:39:0060403:270</t>
  </si>
  <si>
    <t>Московская область, Серебряно-Прудский район, д. Курбатово</t>
  </si>
  <si>
    <t>50:39:0000000:4201</t>
  </si>
  <si>
    <t>Московская область, Серебряно-Прудский район, с. Мочилы, ул. Лесная</t>
  </si>
  <si>
    <t>50:39:0060306:992</t>
  </si>
  <si>
    <t>Московская область, Серебряно-Прудский район, с. Подхожее, ул. Советская</t>
  </si>
  <si>
    <t>50:39:0060502:616</t>
  </si>
  <si>
    <t>Земельный участок Категория земель - земли населенных пунктов, ВРИ - для эксплуатации  автомобильной дороги</t>
  </si>
  <si>
    <t>Московская область, Серебряно-Прудский район, д. Большое Рогатово</t>
  </si>
  <si>
    <t>50:39:0060102:125</t>
  </si>
  <si>
    <t>50:39:0060403:111</t>
  </si>
  <si>
    <t>50:39:0060304:80</t>
  </si>
  <si>
    <t>50:39:0070102:109</t>
  </si>
  <si>
    <t>50:39:0000000:193</t>
  </si>
  <si>
    <t>Московская область, Серебряно-Прудский район, с. Мочилы, ул.  Юбилейная</t>
  </si>
  <si>
    <t>50:39:0060306:1003</t>
  </si>
  <si>
    <t>Московская область, Серебряно-Прудский район, д. Александровка</t>
  </si>
  <si>
    <t>50:39:0060105:247</t>
  </si>
  <si>
    <t>Московская область, Серебряно-Прудский район, д.  Шеметово</t>
  </si>
  <si>
    <t>50:39:0060104:698</t>
  </si>
  <si>
    <t>Московская область, Серебряно-Прудский район, с. Клинское</t>
  </si>
  <si>
    <t>50:39:0060303:37</t>
  </si>
  <si>
    <t>Московская область, Серебряно-Прудский район, д. Ламоново</t>
  </si>
  <si>
    <t>50:39:0060107:406</t>
  </si>
  <si>
    <t>Земельный участок Категория земель - земли населенных пунктов, ВРИ - для эксплуатации дороги</t>
  </si>
  <si>
    <t>50:39:0060306:292</t>
  </si>
  <si>
    <t>Московская область, Серебряно-Прудский район,с. Мочилы, ул. Лесная</t>
  </si>
  <si>
    <t>Московская область, Серебряно-Прудский район, с.Анино</t>
  </si>
  <si>
    <t>50:39:0060302:141</t>
  </si>
  <si>
    <t>50:39:0060104:700</t>
  </si>
  <si>
    <t>Московская область, Серебряно-Прудский район, с. Подхожее, ул. Большая Слобода</t>
  </si>
  <si>
    <t>50:39:0060503:311</t>
  </si>
  <si>
    <t>50:39:0070102:231</t>
  </si>
  <si>
    <t>Земельный участок Категория земель - земли населенных пунктов, ВРИ - для обслуживания и эксплуатации  автомобильной дороги</t>
  </si>
  <si>
    <t>50:39:0000000:208</t>
  </si>
  <si>
    <t>Московская область, Серебряно-Прудский район, с. Подхожее, мкр-н Восточный</t>
  </si>
  <si>
    <t>50:39:0000000:4190</t>
  </si>
  <si>
    <t>Земельный участок Категория земель - земли населённых пунктов, ВРИ - для строительства и обслуживания дома культуры</t>
  </si>
  <si>
    <t>Московская область, Серебряно-Прудский район, д.Шеметово</t>
  </si>
  <si>
    <t>50:39:0060104:174</t>
  </si>
  <si>
    <t>Земельный участок Категория земель - земли населённых пунктов, ВРИ - для обслуживания здания дома культуры</t>
  </si>
  <si>
    <t>Московская область, Серебряно-Прудский район, с. Мочилы</t>
  </si>
  <si>
    <t>50:39:0060306:969</t>
  </si>
  <si>
    <t>Московская область, Серебряно-Прудский район, с. Подхожее</t>
  </si>
  <si>
    <t>50:39:0060501:154</t>
  </si>
  <si>
    <t>Комплект освещения, сп Мочильское</t>
  </si>
  <si>
    <t>Гирлянда синий неон, сп Мочильское</t>
  </si>
  <si>
    <t>Цветочница бетонная  Ц-4-К1(1), сп Мочильское</t>
  </si>
  <si>
    <t>Гирлянда  5 нитей по 20 м, белый неон, сп Мочильское</t>
  </si>
  <si>
    <t>Гирлянда  5 нитей по 20 м, синий неон, сп Мочильское</t>
  </si>
  <si>
    <t>345200200 - 345200217</t>
  </si>
  <si>
    <t>345200226-345200237</t>
  </si>
  <si>
    <t>345200238-345200242</t>
  </si>
  <si>
    <t>345200243-345200251</t>
  </si>
  <si>
    <t>345200252-345200255</t>
  </si>
  <si>
    <t>345200280-345200288</t>
  </si>
  <si>
    <t>Скамейка СДС 146, сп Мочильское, 11 шт</t>
  </si>
  <si>
    <t>Цветочница бетонная Ц-4-К1(1), сп Мочильское, 18 шт</t>
  </si>
  <si>
    <t>Цветочница бетонная Ц-4 К1, сп Мочильское, 12шт</t>
  </si>
  <si>
    <t>Светодиодная консоль Rich LED, сп Мочильское, 5шт</t>
  </si>
  <si>
    <t>Светодиодная консоль Rich LED, сп Мочильское, 9 шт</t>
  </si>
  <si>
    <t>Светодиодная консоль Rich LED, сп Мочильское, 4шт</t>
  </si>
  <si>
    <t>Гирлянда Светодиодный дождь 2х3, сп Мочильское, 9шт</t>
  </si>
  <si>
    <t>Пожарный колокол 345200098, сп Мочильское, 15 шт</t>
  </si>
  <si>
    <t>Мотопомпа пожарная KOSHIN SEN-50X, сп Мочильское</t>
  </si>
  <si>
    <t>Рукав пожарный Д51 с головками, сп Мочильское</t>
  </si>
  <si>
    <t>Бензопила ECHO 680, сп Мочильское</t>
  </si>
  <si>
    <t>Скамья со спинкой, сп Мочильское, 22 шт</t>
  </si>
  <si>
    <t>Урна, сп Мочильское, 10 шт</t>
  </si>
  <si>
    <t>Цветочница бетонная, сп Мочильское 12 шт</t>
  </si>
  <si>
    <t>Детский игровой комплекс (горка, балансир, карусель, песочница, качалка, лавка, турник, урна, лиана), Московская область Серебряно-Прудский район, с. Мочилы, ул.Юбилейная, д.8</t>
  </si>
  <si>
    <t>Горка, сп Мочильское, 4шт</t>
  </si>
  <si>
    <t>Малые архитектурные формы (металлическая конструкция - арка), Московская область Серебряно-Прудский район, с. Мочилы</t>
  </si>
  <si>
    <t>Малые архитектурные формы (металлическая конструкция - арка), Московская область, Серебряно-Прудский р-н, д. Шеметово</t>
  </si>
  <si>
    <t>Малые архитектурные формы (металлическая конструкция - арка), Московская область, Серебряно-Прудский р-н, с. Подхожее</t>
  </si>
  <si>
    <t>Диван парковый, сп Мочильское, 8шт</t>
  </si>
  <si>
    <t>Качели, сп Мочильское, 7 шт</t>
  </si>
  <si>
    <t>Игровой городок, Московская область, Серебряно-Прудский р-н, с. Подхожее</t>
  </si>
  <si>
    <t>Песочница, сп Мочильское</t>
  </si>
  <si>
    <t>Площадка детская (горка, песочница, качели-балансир, качели, турник детский), Московская область, Серебряно-Прудский р-н, с. Подхожее</t>
  </si>
  <si>
    <t>Физкультурный комплекс ФК 004 ( шведская стенка, турник, бревно), Московская область Серебряно-Прудский район, с. Мочилы, ул. Юбилейная</t>
  </si>
  <si>
    <t>Ограждение кладбища, Московская область Серебряно-Прудский район, с. Мочилы</t>
  </si>
  <si>
    <t>Оборудование котельной, Московская область Серебряно-Прудский район, с. Мочилы</t>
  </si>
  <si>
    <t>Оборудование котельной, Московская область, Серебряно-Прудский р-н, д. Шеметово</t>
  </si>
  <si>
    <t>Оборудование котельной, Московская область, Серебряно-Прудский р-н, с. Подхожее</t>
  </si>
  <si>
    <t>Комплекс уличных тренажеров «Воркаут», 142956 М.О. Серебряно-Прудский р-н, д.Шеметово, д. 51</t>
  </si>
  <si>
    <t>А/м УАЗ - 315142, 2003 год выпуска, гос. номер О 460 ММ 90, VIN XTT31514230549850</t>
  </si>
  <si>
    <t>Московская область, городской округ Серебряные Пруды, с. Узуново,мкр. Южный, д.20, кв. 17</t>
  </si>
  <si>
    <t>Часть здания (Колейминосвский сельский клуб) инв, 1101020027, нежилое, 1-о этажное, инв. 274:078-3937. лит. А</t>
  </si>
  <si>
    <t>50:39:0030118:164</t>
  </si>
  <si>
    <t>Решение Совета депутатов № 696/70, Выписка ЕГРП, регистрация № 50-50/001-50/999/001/2016-19396/2 от 21.11.2016г</t>
  </si>
  <si>
    <t>Электрические сети уличного освещения, Серебряно-Прудский р-н, с.Мочилы</t>
  </si>
  <si>
    <t>Электрические сети уличного освещения, Серебряно-Прудский р-н, с.Подхожее</t>
  </si>
  <si>
    <t>Электрические сети уличного освещенияСеребряно-Прудский р-н, д.Шеметово</t>
  </si>
  <si>
    <t>50:39:0070202:27</t>
  </si>
  <si>
    <t xml:space="preserve"> МО, Серебряно-Прудский р-он, п. Успенский. Ул. Луговая, д.16</t>
  </si>
  <si>
    <t>Земельный участок Категория земель - земли  населённых пунктов ВРИ - бытовое обслуживание</t>
  </si>
  <si>
    <t>Свидетельство о регистрации права 50-БА №636214, Свидет-во о регистрации права 50-ББ № 287020 от 11.05.2016г</t>
  </si>
  <si>
    <t>1.101.03.029</t>
  </si>
  <si>
    <t>1.101.03.030</t>
  </si>
  <si>
    <t>1.101.03.031</t>
  </si>
  <si>
    <t>1.101.03.013</t>
  </si>
  <si>
    <t>1.101.06.2550</t>
  </si>
  <si>
    <t>1.101.06.2560</t>
  </si>
  <si>
    <t>1.101.06.801</t>
  </si>
  <si>
    <t>1.101.03.016</t>
  </si>
  <si>
    <t>1.101.03.017</t>
  </si>
  <si>
    <t>1.101.03.038</t>
  </si>
  <si>
    <t>1.101.06.570</t>
  </si>
  <si>
    <t>1.101.06.571</t>
  </si>
  <si>
    <t>1.101.06.572</t>
  </si>
  <si>
    <t>1.101.03.023</t>
  </si>
  <si>
    <t>1.101.03.025</t>
  </si>
  <si>
    <t>1.101.03.026</t>
  </si>
  <si>
    <t>1.101.03.027</t>
  </si>
  <si>
    <t>1.101.03.028</t>
  </si>
  <si>
    <t>1.101.07.070</t>
  </si>
  <si>
    <t>1.101.06.810</t>
  </si>
  <si>
    <t>1.101.06.811</t>
  </si>
  <si>
    <t>1.101.06.799</t>
  </si>
  <si>
    <t>1.101.06.812</t>
  </si>
  <si>
    <t>1.101.06.813</t>
  </si>
  <si>
    <t>1.101.06.798</t>
  </si>
  <si>
    <t>1.101.06.814</t>
  </si>
  <si>
    <t>1.101.06.815</t>
  </si>
  <si>
    <t>1.101.06.816</t>
  </si>
  <si>
    <t>1.101.06.817</t>
  </si>
  <si>
    <t>1.101.03.051</t>
  </si>
  <si>
    <t>1.101.07.054</t>
  </si>
  <si>
    <t>1.101.06.584</t>
  </si>
  <si>
    <t>1.101.07.021</t>
  </si>
  <si>
    <t>1.101.07.022</t>
  </si>
  <si>
    <t>1.101.07.023</t>
  </si>
  <si>
    <t>1.101.06.583</t>
  </si>
  <si>
    <t>1.101.07.024</t>
  </si>
  <si>
    <t>1.101.07.025</t>
  </si>
  <si>
    <t>1.101.07.026</t>
  </si>
  <si>
    <t>1.101.06.034</t>
  </si>
  <si>
    <t>1.101.03.032</t>
  </si>
  <si>
    <t>1.101.03.033</t>
  </si>
  <si>
    <t>1.101.03.034</t>
  </si>
  <si>
    <t>1.101.03.035</t>
  </si>
  <si>
    <t>1.101.03.036</t>
  </si>
  <si>
    <t>1.101.03.018</t>
  </si>
  <si>
    <t>1.101.03.019</t>
  </si>
  <si>
    <t>1.101.03.020</t>
  </si>
  <si>
    <t>1.101.03.021</t>
  </si>
  <si>
    <t>1.101.03.022</t>
  </si>
  <si>
    <t>1.101.03.050</t>
  </si>
  <si>
    <t>1.101.03.049</t>
  </si>
  <si>
    <t>1.101.07.045</t>
  </si>
  <si>
    <t>1.101.07.046</t>
  </si>
  <si>
    <t>1.101.07.047</t>
  </si>
  <si>
    <t>1.101.07.048</t>
  </si>
  <si>
    <t>1.101.03.001</t>
  </si>
  <si>
    <t>Металическое ограждение (кладбище Успенское)</t>
  </si>
  <si>
    <t>1.101.07.018</t>
  </si>
  <si>
    <t>1.101.07.044</t>
  </si>
  <si>
    <t>1.101.07.037</t>
  </si>
  <si>
    <t>1.101.07.038</t>
  </si>
  <si>
    <t>1.101.06.802</t>
  </si>
  <si>
    <t>1.101.06.803</t>
  </si>
  <si>
    <t>1.101.06.804</t>
  </si>
  <si>
    <t>1.101.06.805</t>
  </si>
  <si>
    <t>1.101.06.806</t>
  </si>
  <si>
    <t>1.101.07.039</t>
  </si>
  <si>
    <t>1.101.07.040</t>
  </si>
  <si>
    <t>1.101.07.041</t>
  </si>
  <si>
    <t>1.101.07.042</t>
  </si>
  <si>
    <t>1.101.07.043</t>
  </si>
  <si>
    <t>1.101.03.004</t>
  </si>
  <si>
    <t>1.101.06.800</t>
  </si>
  <si>
    <t>1.101.07.028</t>
  </si>
  <si>
    <t>1.101.07.029</t>
  </si>
  <si>
    <t>1.101.07.030</t>
  </si>
  <si>
    <t>1.101.07.031</t>
  </si>
  <si>
    <t>1.101.07.032</t>
  </si>
  <si>
    <t>1.101.07.033</t>
  </si>
  <si>
    <t>1.101.03.053</t>
  </si>
  <si>
    <t>1.101.03.040</t>
  </si>
  <si>
    <t>1.101.03.041</t>
  </si>
  <si>
    <t>1.101.03.042</t>
  </si>
  <si>
    <t>1.101.03.043</t>
  </si>
  <si>
    <t>1.101.03.044</t>
  </si>
  <si>
    <t>1.101.03.045</t>
  </si>
  <si>
    <t>1.101.03.046</t>
  </si>
  <si>
    <t>1.101.03.047</t>
  </si>
  <si>
    <t>1.101.03.048</t>
  </si>
  <si>
    <t>1.101.03.014</t>
  </si>
  <si>
    <t>1.101.03.015</t>
  </si>
  <si>
    <t>1.101.07.071</t>
  </si>
  <si>
    <t>1.101.07.072</t>
  </si>
  <si>
    <t>1.101.07.073</t>
  </si>
  <si>
    <t>1.101.07.074</t>
  </si>
  <si>
    <t>1.101.07.075</t>
  </si>
  <si>
    <t>1.101.07.076</t>
  </si>
  <si>
    <t>1.101.07.077</t>
  </si>
  <si>
    <t>1.101.07.078</t>
  </si>
  <si>
    <t>1.101.07.079</t>
  </si>
  <si>
    <t>1.101.07.080</t>
  </si>
  <si>
    <t>1.101.07.081</t>
  </si>
  <si>
    <t>1.101.07.082</t>
  </si>
  <si>
    <t>1.101.07.083</t>
  </si>
  <si>
    <t>1.101.07.084</t>
  </si>
  <si>
    <t>1.101.07.085</t>
  </si>
  <si>
    <t>1.101.07.086</t>
  </si>
  <si>
    <t>1.101.07.087</t>
  </si>
  <si>
    <t>1.101.07.088</t>
  </si>
  <si>
    <t>1.101.07.089</t>
  </si>
  <si>
    <t>1.101.06.977</t>
  </si>
  <si>
    <t>1.101.07.050</t>
  </si>
  <si>
    <t>1.101.07.051</t>
  </si>
  <si>
    <t>1.101.07.052</t>
  </si>
  <si>
    <t>1.101.07.053</t>
  </si>
  <si>
    <t>1.101.07.055</t>
  </si>
  <si>
    <t>1.101.03.012</t>
  </si>
  <si>
    <t>1.101.03.052</t>
  </si>
  <si>
    <t>1.101.06.832</t>
  </si>
  <si>
    <t>1.101.06.833</t>
  </si>
  <si>
    <t>1.101.06.834</t>
  </si>
  <si>
    <t>1.101.06.835</t>
  </si>
  <si>
    <t>1.101.06.836</t>
  </si>
  <si>
    <t>1.101.06.837</t>
  </si>
  <si>
    <t>1.101.06.838</t>
  </si>
  <si>
    <t>1.101.06.839</t>
  </si>
  <si>
    <t>1.101.06.840</t>
  </si>
  <si>
    <t>1.101.06.841</t>
  </si>
  <si>
    <t>1.101.03.039</t>
  </si>
  <si>
    <t>1.101.03.007</t>
  </si>
  <si>
    <t>Вагончик для смотрителя, сп Успенское</t>
  </si>
  <si>
    <t xml:space="preserve">Гамак -качели, сп Успенское </t>
  </si>
  <si>
    <t>Детский уличный городок Самсон Аляска , сп Успенское</t>
  </si>
  <si>
    <t xml:space="preserve">Детский уличный городок Самсон Аляска, сп Успенское </t>
  </si>
  <si>
    <t xml:space="preserve">Детский уличный городок Самсон Бретань, сп Успенское </t>
  </si>
  <si>
    <t xml:space="preserve">Домик на колодец (деревянный), сп Успенское </t>
  </si>
  <si>
    <t>Домик на колодец (деревянный) , сп Успенское</t>
  </si>
  <si>
    <t xml:space="preserve">Знак для инвалидов, сп Успенское </t>
  </si>
  <si>
    <t>Знак для инвалидов , сп Успенское</t>
  </si>
  <si>
    <t>Лавочка на кладбище , сп Успенское</t>
  </si>
  <si>
    <t>Металлическая ёмкость , сп Успенское</t>
  </si>
  <si>
    <t>Металлический контейнер, сп Успенское</t>
  </si>
  <si>
    <t>Цветочница бетонная , сп Успенское</t>
  </si>
  <si>
    <t xml:space="preserve">Цветочница бетонная, сп Успенское </t>
  </si>
  <si>
    <t>Урна-перевертыш , сп Успенское</t>
  </si>
  <si>
    <t>Стенд  информационный, сп Успенское</t>
  </si>
  <si>
    <t>Скульптура (4), сп Успенское</t>
  </si>
  <si>
    <t>Скульптура (3), сп Успенское</t>
  </si>
  <si>
    <t>Скульптура (2), сп Успенское</t>
  </si>
  <si>
    <t>Скульптура (1), сп Успенское</t>
  </si>
  <si>
    <t>Скульптура из мраморной крошки (при вьезде), сп Успенское</t>
  </si>
  <si>
    <t>Пожарный колокол РЫНДА , сп Успенское</t>
  </si>
  <si>
    <t>Многолетние насаждения , сп Успенское</t>
  </si>
  <si>
    <t>Электросети  (уличное освещение) , сп Успенское, 4400 м</t>
  </si>
  <si>
    <t>Электросети   (уличное освещение) , сп Успенское, 5000 м</t>
  </si>
  <si>
    <t>Электросети   (уличное освещение) , сп Успенское, 4000м</t>
  </si>
  <si>
    <t>Электросети   (уличное освещение) , сп Успенское, 2500м</t>
  </si>
  <si>
    <t>Электросети   (уличное освещение) , сп Успенское. 2900м</t>
  </si>
  <si>
    <t>Электросети (уличное освещение) , сп Успенское, 2500м</t>
  </si>
  <si>
    <t>Электросети  (уличное освещение) , сп Успенское, 3900м</t>
  </si>
  <si>
    <t>Электросети  (уличное освещение) , сп Успенское, 4000м</t>
  </si>
  <si>
    <t>Стенд  информационный, сп Успенское, 20шт</t>
  </si>
  <si>
    <t>1.101.03.010</t>
  </si>
  <si>
    <t>1.101.03.011</t>
  </si>
  <si>
    <t>Ворота металлические гараж администрации, сп Успенское</t>
  </si>
  <si>
    <t>Газон. 142954 М.О. Серебряно-Прудский р-н, с.Мочилы,общей площадью 40000 кв.м.</t>
  </si>
  <si>
    <t>Клумбы, 142954 М.О. Серебряно-Прудский р-н, с.Мочилы, общей площадью 3500 кв.м.</t>
  </si>
  <si>
    <t>Газон, 142955 М.О. Серебряно-Прудский р-н, с.Подхожее, м-н Юбилейный, общей площадью 35000 кв.м.</t>
  </si>
  <si>
    <t>Клумбы, 142955 М.О. Серебряно-Прудский р-н, с.Подхожее, общей площадью 2640 кв.м.</t>
  </si>
  <si>
    <t>Зеленые насаждения, 142955 М.О. Серебряно-Прудский р-н, с.Подхожее, м-н Юбилейный, общей площадью 2380 кв.м.</t>
  </si>
  <si>
    <t>Газон, 142956 М.О. Серебряно-Прудский р-н, д.Шеметово, общей площадью 50000 кв.м.</t>
  </si>
  <si>
    <t>Клумбы, 142956 М.О. Серебряно-Прудский р-н, д.Шеметово, общей площадью 2400 кв.м</t>
  </si>
  <si>
    <t>Зеленые насаждения (кустарники на площади), 142956 М.О. Серебряно-Прудский р-н, д.Шеметово, общей площадью 600 кв.м.</t>
  </si>
  <si>
    <t>Земельный участок Категория земель - земли населенных пунктов, ВРИ - для обслуживания дороги</t>
  </si>
  <si>
    <t>Московская область, Серебряно-Прудский район, д. Нижняя Пурловка, центральная часть квартала 50:39:0080101</t>
  </si>
  <si>
    <t>50:39:0080101:73</t>
  </si>
  <si>
    <t>Земельный участок Категория земель - земли населенных пунктов, ВРИ - для обслуживания существующей автомобильной дороги</t>
  </si>
  <si>
    <t>Московская область, Серебряно-Прудский район, пос. Дмитриевский</t>
  </si>
  <si>
    <t>50:39:0080207:149</t>
  </si>
  <si>
    <t>50:39:0070204:17</t>
  </si>
  <si>
    <t>Московская область, Серебряно-Прудский район, пос.  Успенский, восточная часть квартала 50:39:0070204</t>
  </si>
  <si>
    <t>Московская область, Серебряно-Прудский район, пос.  Успенский., восточная часть квартала 50:39:0070201</t>
  </si>
  <si>
    <t>50:39:0070201:43</t>
  </si>
  <si>
    <t>Земельный участок Категория земель - земли населенных пунктов, ВРИ - для обслуживания существующей дороги</t>
  </si>
  <si>
    <t>Московская область, Серебряно-Прудский район, пос.  Успенский, ул. 50 лет Октября</t>
  </si>
  <si>
    <t>50:39:0000000:110</t>
  </si>
  <si>
    <t>Московская область, Серебряно-Прудский район, пос.  Успенский, ул.Заводская</t>
  </si>
  <si>
    <t>50:39:0000000:3744</t>
  </si>
  <si>
    <t>Московская область, Серебряно-Прудский район, пос.  Успенский, ул.Запрудная</t>
  </si>
  <si>
    <t>50:39:0070303:63</t>
  </si>
  <si>
    <t>Московская область, Серебряно-Прудский район, пос.  Успенский, ул.Луговая</t>
  </si>
  <si>
    <t>50:39:0070205:20</t>
  </si>
  <si>
    <t>Московская область, Серебряно-Прудский район, пос.  Успенский, ул.Трудовая</t>
  </si>
  <si>
    <t>50:39:0070206:46</t>
  </si>
  <si>
    <t>Московская область, Серебряно-Прудский район, пос.  Успенский, южная часть квартала 50:39:0070202</t>
  </si>
  <si>
    <t>50:39:0070202:43</t>
  </si>
  <si>
    <t>Земельный участок Категория земель - земли населенных пунктов, ВРИ - для обслуживания и эксплуатации муниципальной дороги</t>
  </si>
  <si>
    <t>Московская область, Серебряно-Прудский район, пос.  Успенский, ул. Советская</t>
  </si>
  <si>
    <t>50:39:0000000:4102</t>
  </si>
  <si>
    <t>Московская область, Серебряно-Прудский район, д. Дмитриевка</t>
  </si>
  <si>
    <t>50:39:0080204:353</t>
  </si>
  <si>
    <t>Московская область, Серебряно-Прудский район, д. Митякино</t>
  </si>
  <si>
    <t>50:39:0080106:227</t>
  </si>
  <si>
    <t>Земельный участок Категория земель - земли населенных пунктов, ВРИ - общее пользование территории</t>
  </si>
  <si>
    <t>50:39:0080201:550</t>
  </si>
  <si>
    <t>50:39:0080201:549</t>
  </si>
  <si>
    <t>Московская область, Серебряно-Прудский район, поселок Дмитриевский</t>
  </si>
  <si>
    <t>50:39:0080207:572</t>
  </si>
  <si>
    <t>50:39:0080207:550</t>
  </si>
  <si>
    <t>Московская область, Серебряно-Прудский район, пос.  Успенский, ул. Садовая</t>
  </si>
  <si>
    <t>50:39:0070201:112</t>
  </si>
  <si>
    <t>50:39:0000000:4202</t>
  </si>
  <si>
    <t>Московская область, Серебряно-Прудский район, пос.  Успенский, ул. Заводская</t>
  </si>
  <si>
    <t>50:39:0070303:232</t>
  </si>
  <si>
    <t>Московская область, Серебряно-Прудский район, пос.  Успенский, ул.  Луговая</t>
  </si>
  <si>
    <t>50:39:0070202:104</t>
  </si>
  <si>
    <t>Московская область, Серебряно-Прудский район, пос.  Успенский, ул.   Трудовая</t>
  </si>
  <si>
    <t>50:39:0070206:187</t>
  </si>
  <si>
    <t>Московская область, Серебряно-Прудский район, д. Красновский Выселки, центральная часть квартала 50:39:0060115</t>
  </si>
  <si>
    <t>50:39:0060115:20</t>
  </si>
  <si>
    <t>Московская область, Серебряно-Прудский район, пос.  Успенский, ул.   Советская</t>
  </si>
  <si>
    <t>50:39:0000000:112</t>
  </si>
  <si>
    <t>Московская область, Серебряно-Прудский район, д. Красновские выселки</t>
  </si>
  <si>
    <t>50:39:0000000:4240</t>
  </si>
  <si>
    <t>Земельный участок Категория земель - земли сельскохозяйственного назначения, ВРИ - автомобильный транспорт</t>
  </si>
  <si>
    <t>Московская область, Серебряно-Прудский район, д. Елисеевка</t>
  </si>
  <si>
    <t>50:39:0080102:20</t>
  </si>
  <si>
    <t>Московская область, Серебряно-Прудский район, пос.  Успенский, ул.    Садовая</t>
  </si>
  <si>
    <t>50:39:0070204:53</t>
  </si>
  <si>
    <t>Московская область, Серебряно-Прудский район, д. Верхняя Пурловка</t>
  </si>
  <si>
    <t>50:39:0000000:4237</t>
  </si>
  <si>
    <t>50:39:0000000:4228</t>
  </si>
  <si>
    <t>Московская область, Серебряно-Прудский район, п. Успенский, ул. Заводская</t>
  </si>
  <si>
    <t>50:39:0000000:4234</t>
  </si>
  <si>
    <t>Объекты поставлены на кадастровый учет</t>
  </si>
  <si>
    <t>50:39:0010205:69</t>
  </si>
  <si>
    <t>Выписка из ЕГРП, регистрация № 50-50/001-50/039/001/2016-147/2 от 28.11.2016г</t>
  </si>
  <si>
    <t>50:39:0020310:0003</t>
  </si>
  <si>
    <t>Выписка из ЕГРП, регистрация № 50-50/039-50/008/2016-4008/2 от 02.09.2016</t>
  </si>
  <si>
    <t>Решение Совета депутатов № 696/70, Выписка из ЕГРП, регистрация № 50-50/001-50/999/001/2016-19950/1 от 28.11.2016</t>
  </si>
  <si>
    <t>Решение Совета депутатов № 698/70, Выписка из ЕГРП, регистрация № 50-50/001-50/999/001/2016-20267/1 от 29.11.2016</t>
  </si>
  <si>
    <t>Решение Совета депутатов № 698/70, Выписка из ЕГРП, регистрация № 50-50/001-50/999/001/2016-19960/1 от 28.11.2016</t>
  </si>
  <si>
    <t>Решение Совета депутатов № 696/70, Выписка ЕГРП, регистрация № 520-50/001-50/999/001/2016-19945/1 от 28.11.2016</t>
  </si>
  <si>
    <t>Решение Совета депутатов № 698/70, Выписка ЕГРП, регистрация № 50-50/001-50/999/001/2016-20261/1 от 29.11.2016</t>
  </si>
  <si>
    <t>Решение Совета Депутатов № 695/70, Выписка из ЕГРП, регистрация № 50-50/001-50/999/001/2016-19944/1 от 28.11.2016</t>
  </si>
  <si>
    <t>Решение Совета депутатов № 698/70, Выписка из ЕГРП, регистрация № 50-50/001-50/999/001/2016-20265/1 от 29.11.2016г</t>
  </si>
  <si>
    <t>Решение Совета депутатов № 698/70, Выписка из ЕГРП, регистрация № 50-50/001-50/999/001/2016-20263/1 от 29.11.2016</t>
  </si>
  <si>
    <t>Решение Совета депутатов № 696/70, Выписка из ЕГРП, регистрация № 50-50/001-50/999/001/2016-199599/1 от 23.11.2016</t>
  </si>
  <si>
    <t>380.1</t>
  </si>
  <si>
    <t>Водопроводные сети, протяженностью 1515м, год ввода 1972</t>
  </si>
  <si>
    <t>Московская область, Серебярно-Прудский район, д.Серково</t>
  </si>
  <si>
    <t>50:39:0000000:4391</t>
  </si>
  <si>
    <t xml:space="preserve"> Московская область, Серебряно-Прудский район,. с.о. Глубоковский, СНТ Сенеж, уч.11</t>
  </si>
  <si>
    <t xml:space="preserve"> Московская область, Серебряно-Прудский район,с/о Пестровский СНТ "Титеево" уч-к 70</t>
  </si>
  <si>
    <t xml:space="preserve">  Московская область, Серебряно-Прудский район, с.о. Дмитриевский, СНТ Савинка, уч.44</t>
  </si>
  <si>
    <t>50:39:0080205:43</t>
  </si>
  <si>
    <t>Выписка из ЕГРП, регистрация № 50-50/001-50/008/2016-5318/2 от 22.11.2016</t>
  </si>
  <si>
    <t>Решение Совета депутатов № 696/70, Выписка из ЕГРП, регистрация № 50-50/001-50/999/001/2016-18478/1 от 16.11.2016</t>
  </si>
  <si>
    <t>Распоряжение администрации Серебряно-Прудского муниципального района 278-р, Выписка из ЕРГП, регистрация № 50-50/001-50/999/001/2016-18474/1 от 1611.2016</t>
  </si>
  <si>
    <t>Решение Совета депутатов № 696/70. Выписка из ЕГРП, регистрация № 50-50/001-50/999/001/2016-19948/1 от 28.11.2016г</t>
  </si>
  <si>
    <t>Решение Совета депутатов № 698/70, Выписка из ЕГРП, регистрация № 50-50/001-50/999/001/2016-19956/1 от 28.11.2016</t>
  </si>
  <si>
    <t>Автомобильная дорога с грунтовым покрытием, протяженность 430м, кадастровый номер земельного участка 50:39:0070102:231, Протяженность 430м</t>
  </si>
  <si>
    <t>Автомобильная дорога с  твердым покрытием, протяженность 1075м, кадастровый номер земельного участка 50:39:0060311:188. Протяженность 1075м</t>
  </si>
  <si>
    <t>Автомобильная дорога с  грунтовым покрытием, протяженность 230м, кадастровый номер земельного участка 50:39:0060303:53, протяженность 230м</t>
  </si>
  <si>
    <t>Автомобильная дорога с  твердым покрытием, протяженность 444м, кадастровый номер земельного участка 50:39:0060502:622. протяженность 444м</t>
  </si>
  <si>
    <t>Решение Совета депутатов № 696/70, Выписка из ЕГРП, регистрация № 50-50/001-50/999/001/2016-19413/1 от 22.11.2016</t>
  </si>
  <si>
    <t>Решение Совета депутатов № 696/70, Выписка из ЕГРП, регистрация № 50-50/001-50/999/001/2016-18722/1 от 17.11.2016г</t>
  </si>
  <si>
    <t>Решение Совета депутатов № 696/70, Выписка из ЕГРП, регистрация № 50-50/001-50/999/001/2016-18725/1 от 17.11.2016</t>
  </si>
  <si>
    <t>Решение Совета депутатов № 696/70, Выписка из ЕГРП, регистрация № 50-50/001-50/999/001/2016-19414/1 от 22.11.2016г</t>
  </si>
  <si>
    <t>Решение Совета депутатов № 696/70, Выписка из ЕГРП, регистрация № 50-50/001/2016-19415/1 от 22.11.2016</t>
  </si>
  <si>
    <t>Решение Совета депутатов № 696/70, Выписка из ЕГРП, регистрация № 50-50/001-50/999/001/2016-19416/1 от 22.11.2016</t>
  </si>
  <si>
    <t>Решение Совета депутатов № 696/70, Выписка из ЕГРП, регистрация № 50-50/001-50/999/001/2016-19595/1 от 22.11.2016г</t>
  </si>
  <si>
    <t xml:space="preserve">  Московская область, Серебряно-Прудский район, Петровский с/с вблизи д. Титеево, уч. 56</t>
  </si>
  <si>
    <t>50:39:0010205:56</t>
  </si>
  <si>
    <t>Выписка из ЕГРП, регистрация № 50-50/001-50/039/2016-146/1 от 01.12.2016</t>
  </si>
  <si>
    <t>Водопроводные сети, протяженностью 1220м, год ввода 1975</t>
  </si>
  <si>
    <t>50:39:0070103:532</t>
  </si>
  <si>
    <t>Решение Совета депутатов № 696/70, Выписка из ЕГРП, регистрация № 50-50/001-50/999/001/2016-18729/1 от 17.11.2016г</t>
  </si>
  <si>
    <t>Решение Совета депутатов № 696/70, Выписка из ЕГРП, регистрация № 50-50/001-50/999/001/2016-18720/1 от 17.11.2016</t>
  </si>
  <si>
    <t>Решение Совета депутатов № 696/70, Выписка из ЕГРП, регистрация права №50-50/001-50/999/001/2016-18738/1 от 17.11.2016г</t>
  </si>
  <si>
    <t>Решение Совета депутатов № 696/70, Выписка из ЕГРП, регистрация № 50-50/001-50/999/001/2016-19417/1 от 22.11.216</t>
  </si>
  <si>
    <t>Решение Совета депутатов № 696/70, выписка из ЕГРП, регистрация № 50-50/001-50/999/001/2016-19601/1 от 23.11.2016г</t>
  </si>
  <si>
    <t xml:space="preserve">  Московская область, Серебряно-Прудский район, центральная часть кадастрового квартала 50:39:0030116</t>
  </si>
  <si>
    <t>50:39:0030116:143</t>
  </si>
  <si>
    <t>Выписка из ЕГРП, регистрация № 50-50/039-50/039/2016-5583/2 от 01.12.2016</t>
  </si>
  <si>
    <t xml:space="preserve">  Московская область, Серебряно-Прудский район, юго-западная часть кадастрового квартала 50:39:0030116</t>
  </si>
  <si>
    <t>50:39:0030116:149</t>
  </si>
  <si>
    <t>Выписка из ЕГРП, регистрация № 50-50/039-50/039/2016-5584/2 от 01.12.2016</t>
  </si>
  <si>
    <t>МФУ Kyocera FS-6525MEP</t>
  </si>
  <si>
    <t>1.101.06.807</t>
  </si>
  <si>
    <t>Зеленые насаждения (кустарники на площади), 1500 кв.м. 142954 М.О. Серебряно-Прудский р-н, с.Мочилы ул.Юбилейная</t>
  </si>
  <si>
    <t>Зеленые насаждения (кустарники на площади), 52500 кв.м, 142954 М.О. Серебряно-Прудский р-н, с.Мочилы ул.Юбилейная (парк)</t>
  </si>
  <si>
    <t>Зеленые насаждения (деревья на площади), 3600 кв.м., 142954 М.О. Серебряно-Прудский р-н, с.Мочилы, ул. Школьная (сквер)</t>
  </si>
  <si>
    <t>Сервер в сборе</t>
  </si>
  <si>
    <t>Проектор  Epson EH-TW5200, ДК Успенское</t>
  </si>
  <si>
    <t>14.11.2016г</t>
  </si>
  <si>
    <t>Договор №29/2016 передачи жилого помещения муниципального жилищного фонда в собственность граждан от 12.07.2016г</t>
  </si>
  <si>
    <t>50:39:0050504:86</t>
  </si>
  <si>
    <t xml:space="preserve">Земельный участок, Категория земель - земли населённых пунктов, ВРИ - для эксплуатации улично-дорожной сети </t>
  </si>
  <si>
    <t>Скамейка, гп Серебряные Пруды, 10 шт</t>
  </si>
  <si>
    <t>1101360077 - 1101360086</t>
  </si>
  <si>
    <t>Скамейка, гп Серебряные Пруды, 4 шт</t>
  </si>
  <si>
    <t>1101360087 - 1101360091</t>
  </si>
  <si>
    <t>1.10104.0148</t>
  </si>
  <si>
    <t>1.10104.0149</t>
  </si>
  <si>
    <t>1.10104.0150</t>
  </si>
  <si>
    <t>1.10104.0151</t>
  </si>
  <si>
    <t>1.10104.0152</t>
  </si>
  <si>
    <t>1.10104.0138</t>
  </si>
  <si>
    <t>1.10104.0139</t>
  </si>
  <si>
    <t>1.10104.0140</t>
  </si>
  <si>
    <t>1.10104.0141</t>
  </si>
  <si>
    <t>1.10104.0142</t>
  </si>
  <si>
    <t>1.10104.0143</t>
  </si>
  <si>
    <t>1.10104.0144</t>
  </si>
  <si>
    <t>1.10104.0145</t>
  </si>
  <si>
    <t>1.10104.0146</t>
  </si>
  <si>
    <t>1.10104.0147</t>
  </si>
  <si>
    <t>Система оповещения граждан о ЧС в городском поселении</t>
  </si>
  <si>
    <t>Универсальная спортивная площадка (мкр. Центральный)</t>
  </si>
  <si>
    <t>Универсальная спортивная площадка (мкр. Юбилейный)</t>
  </si>
  <si>
    <t>1.10106.0327</t>
  </si>
  <si>
    <t>1.10136.0323</t>
  </si>
  <si>
    <t>1.10106.0322</t>
  </si>
  <si>
    <t>1.10106.0324</t>
  </si>
  <si>
    <t>1.10106.0314</t>
  </si>
  <si>
    <t>Аист в гнезде, гп Серебряные Пруды, мкр-н Юбилейный д.9</t>
  </si>
  <si>
    <t>Аист в гнезде, гп Серебряные Пруды, ул. Первомайская, д.2</t>
  </si>
  <si>
    <t>Вазон В-2/2, гп Серебряные Пруды</t>
  </si>
  <si>
    <t>Ведро-вставка,  гп Серебряные Пруды</t>
  </si>
  <si>
    <t>1.10106.0295</t>
  </si>
  <si>
    <t>Горка бизнес Г-1, гп Серебряные Пруды</t>
  </si>
  <si>
    <t>Горка деревянная, 142970, Московская область,Серебряно-Прудский район, р.п.Серебряные Пруды, мкр. Западный, д.29, д.30</t>
  </si>
  <si>
    <t>Городок сказка МГ-50, гп Серебряные Пруды</t>
  </si>
  <si>
    <t>Двусторонний стенд. гп Серебряные Пруды</t>
  </si>
  <si>
    <t>Двусторонний стенд, гп Серебряные Пруды</t>
  </si>
  <si>
    <t>Детский комплекс "Карандаш", 142970, Московская область,Серебряно-Прудский район, р.п.Серебряные Пруды, ул. Первомайская, д.2</t>
  </si>
  <si>
    <t>Детский комплекс Next 2005, 142970, Московская область,Серебряно-Прудский район, р.п.Серебряные Пруды, ул. ПТУ, д.7Б</t>
  </si>
  <si>
    <t>Детский спортивно-игровой городок МГ-32, гп Серебряные Пруды</t>
  </si>
  <si>
    <t>Железобетонный забор, ул.Школьная, ул.Садовая, ул. Мичурина, ул.Б.Луговая, ул.Советская, площадь Советская</t>
  </si>
  <si>
    <t>Зелёные насаждения кладбище ГП, 142970, Московская область,Серебряно-Прудский район, р.п.Серебряные Пруды, Северо-западная часть</t>
  </si>
  <si>
    <t>Зелёные насаждения кладбище Дудино, 142970, Московская область,Серебряно-Прудский район, с.Дудино</t>
  </si>
  <si>
    <t>Игровой элемент скутер Д-7, гп Серебряные Пруды</t>
  </si>
  <si>
    <t>Карусели, 142970, Московская область,Серебряно-Прудский район, р.п.Серебряные Пруды, мкр. Западный, д.9, д.29, д.30</t>
  </si>
  <si>
    <t>Карусель "Восьмигранник", гп Серебряные Пруды</t>
  </si>
  <si>
    <t>Карусель "Семицветик", гп Серебряные Пруды</t>
  </si>
  <si>
    <t>Карусель К-18, 142970, Московская область,Серебряно-Прудский район, р.п.Серебряные Пруды, ул. Первомайская 1-1А</t>
  </si>
  <si>
    <t>Карусель К-23, гп Серебряные Пруды</t>
  </si>
  <si>
    <t>Качалка "Две зебры", гп Серебряные Пруды</t>
  </si>
  <si>
    <t>Качели "Два Чиполлино", гп Серебряные Пруды</t>
  </si>
  <si>
    <t>Качели К-16/2. 142970, Московская область,Серебряно-Прудский район, р.п.Серебряные Пруды, ул. Первомайская, д.6</t>
  </si>
  <si>
    <t>Кораблик детский, 142970, Московская область,Серебряно-Прудский район, р.п.Серебряные Пруды, ул. Первомайская, д.2(где карандаши)</t>
  </si>
  <si>
    <t>Кронштейн серии "Консоль", ул. Первом, пл.им. Чуйкова</t>
  </si>
  <si>
    <t>Качели К-16/2, гп Серебряные Пруды</t>
  </si>
  <si>
    <t>Качели К-24, гп Серебряные Пруды</t>
  </si>
  <si>
    <t>Качели на пружине (животное) МК-21, гп Серебряные Пруды</t>
  </si>
  <si>
    <t>Качели на пружине МК-21, гп Серебряные Пруды</t>
  </si>
  <si>
    <t>Кронштейн серии "Консоль", гп Серебряные Пруды 7 шт</t>
  </si>
  <si>
    <t>Металлические ворота с калиткой  новые, центральное кладбище гп Серебряные Пруды</t>
  </si>
  <si>
    <t>Многотарифный прибор учета эл.энергии, , гп Серебряные Пруды, 6шт</t>
  </si>
  <si>
    <t>Многотарифный прибор учета эл.энергии, , гп Серебряные Пруды</t>
  </si>
  <si>
    <t>Многотарифный трехфазный электросчетчик, гп Серебряные Пруды, 2шт</t>
  </si>
  <si>
    <t>Многотарифный трехфазный электросчетчик, гп Серебряные Пруды</t>
  </si>
  <si>
    <t>Объекты внешнего благоустройства, композиции вертикального озеленения, ул. Б.Луговая, ул. Первомайская</t>
  </si>
  <si>
    <t>Ограждение мест захоронения, центральное кладбище гп Серебряные Пруды</t>
  </si>
  <si>
    <t>Ограждение мест захоронения, с. Дудино</t>
  </si>
  <si>
    <t>Песочница, гп Серебряные Пруды</t>
  </si>
  <si>
    <t>Песочница "Корабль", гп Серебряные Пруды</t>
  </si>
  <si>
    <t>Песочница П-3, 142970, Московская область,Серебряно-Прудский район, с. Дудино, ДК</t>
  </si>
  <si>
    <t>Песочный дворик "Бабочка", гп Серебряные Пруды</t>
  </si>
  <si>
    <t>Песочный дворик П-12, 142970 Московская область,Серебряно-Прудский район, р.п.Серебряные Пруды, Ул. Б.Луговая, д.1-2</t>
  </si>
  <si>
    <t>Песочный дворик П-53 "Божья коровка", 142970 Московская область,Серебряно-Прудский район, р.п.Серебряные Пруды, Ул. Первомайская, д.8</t>
  </si>
  <si>
    <t>Светильник уличный двухрожковый, гп Серебряные Пруды</t>
  </si>
  <si>
    <t>Светильник уличный однорожковый, гп Серебрягные Пруды</t>
  </si>
  <si>
    <t>Система электроосвещения фонтана, гп Серебряные Пруды</t>
  </si>
  <si>
    <t>Скамейка парковая "Рассвет", гп Серебряные Пруды, 3 шт</t>
  </si>
  <si>
    <t>Скамейка С-19/1, гп Серебряные Пруды, 3шт</t>
  </si>
  <si>
    <t>Скамейка С-43, гп Серебряные пруды, 4шт</t>
  </si>
  <si>
    <t>Скамейка С-32, гп Серебряные Пруды</t>
  </si>
  <si>
    <t>Скамейка С-35, гп Серебряные Пруды, 2шт</t>
  </si>
  <si>
    <t>Скамейка С-5/2, гп Серебряные Пруды, 2шт</t>
  </si>
  <si>
    <t>Столб сигнальный 1100 мм, гп Серебряные Пруды, 68 шт</t>
  </si>
  <si>
    <t>Трансформатор Т-700, гп Серебряные Пруды, 12шт</t>
  </si>
  <si>
    <t>Урна металлическая, гп Серебряные Пруды, 25 шт</t>
  </si>
  <si>
    <t>Урна металлическая уличная, гп Серебряные Пруды, 44 шт</t>
  </si>
  <si>
    <t>Урна простая, гп Серебряные Пруды, 3шт</t>
  </si>
  <si>
    <t>Урна У-22, гп Серебряные Пруды, 3шт</t>
  </si>
  <si>
    <t>Урна У-47, гп Серебряные Пруды, 4шт</t>
  </si>
  <si>
    <t>Урна У-47, гп Серебряные Пруды</t>
  </si>
  <si>
    <t>Шар электрический, гп Серебряные Пруды</t>
  </si>
  <si>
    <t xml:space="preserve">Щит информационный, гп Серебряные Пруды, 4шт  </t>
  </si>
  <si>
    <t>1.10106.0071 - 1.10106.0074</t>
  </si>
  <si>
    <t>Вертикальный цветник, гп Серебряные Пруды, 2шт</t>
  </si>
  <si>
    <t>1.10106.0306 - 1.10106.0307</t>
  </si>
  <si>
    <t>Городок спортивный, гп Серебряные Пруды</t>
  </si>
  <si>
    <t xml:space="preserve">1.10106.0325  </t>
  </si>
  <si>
    <t>Карусели К-24, 142970, Московская область,Серебряно-Прудский район, р.п.Серебряные Пруды, м-н Центральный, д.8</t>
  </si>
  <si>
    <t xml:space="preserve">1.10106.0326    </t>
  </si>
  <si>
    <t>Карусели К-24/1, 142970, Московская область,Серебряно-Прудский район, р.п.Серебряные Пруды, ул. Б. Луговая, д.1-2</t>
  </si>
  <si>
    <t>Качели К-16, гп Серебряные Пруды</t>
  </si>
  <si>
    <t>Качели кругового вращения, гп Серебряные Пруды</t>
  </si>
  <si>
    <t>Скамейка, гп Серебряные Пруды, 5шт</t>
  </si>
  <si>
    <t>1.10106.0315 - 1.10106.0319</t>
  </si>
  <si>
    <t>Спортивный комплекс, гп Серебряные Пруды</t>
  </si>
  <si>
    <t>1101340085 - 1101340096</t>
  </si>
  <si>
    <t>Праздничная световая конструкция, гп Серебряные Пруды, 12 шт</t>
  </si>
  <si>
    <t>Скамейка, гп Серебряные Пруды, 6 шт</t>
  </si>
  <si>
    <t>1.10106.0334 - 1.10106.0339</t>
  </si>
  <si>
    <t xml:space="preserve">Стенд, гп Серебряные Пруды, 12шт </t>
  </si>
  <si>
    <t>1101360038 - 1101360049</t>
  </si>
  <si>
    <t xml:space="preserve">Стенд, гп Серебряные Пруды, 10шт </t>
  </si>
  <si>
    <t>1101360052 - 1101360060</t>
  </si>
  <si>
    <t>Локальная вычислительная сеть</t>
  </si>
  <si>
    <t>1.10104.0137</t>
  </si>
  <si>
    <t>МФУ Kyocera FS-652MFP</t>
  </si>
  <si>
    <t>Хоккейная площадка, рп Серебряные Пруды, м-н Западный</t>
  </si>
  <si>
    <t xml:space="preserve">1.10104.0175                  </t>
  </si>
  <si>
    <t>Каркасно-щитовой домик на спортивной площадке мкр.Западный р.п.Серебряные Пруды Московской области, Инв.№1101120002</t>
  </si>
  <si>
    <t xml:space="preserve">     142970 Московская область Серебряно-Прудский район, р.п. Серебряные Пруды мкр. Западный         </t>
  </si>
  <si>
    <t>Туалет металлический, гп Серебряные Пруды</t>
  </si>
  <si>
    <t>Контейнер для люминисцентных ламп, 000000185</t>
  </si>
  <si>
    <t>1101360065 - 1101360074</t>
  </si>
  <si>
    <t>Скамейка Соната, гп Серебряные Пруды, 10 шт</t>
  </si>
  <si>
    <t>Скамья со штангой, р.п.Серебряные Пруды, мкр. Западный (хоккейная коробка)</t>
  </si>
  <si>
    <t>Брусья низкие параллельные, р.п.Серебряные Пруды, мкр. Западный (хоккейная коробка)</t>
  </si>
  <si>
    <t>Тренажер, р.п.Серебряные Пруды, мкр. Западный (хоккейная коробка)</t>
  </si>
  <si>
    <t>Скамья с упором, р.п.Серебряные Пруды, мкр. Западный (хоккейная коробка)</t>
  </si>
  <si>
    <t>Спортивное оборудование, р.п.Серебряные Пруды, мкр. Западный (хоккейная коробка)</t>
  </si>
  <si>
    <t>Игровой  комплекс ИК-58, р.п.Серебряные Пруды, ул. Механизаторов, д.13а</t>
  </si>
  <si>
    <t>Игровой комплекс, р.п.Серебряные Пруды, ул. Октябрьская, д.8-104</t>
  </si>
  <si>
    <t>Карусель Штурвал, р.п.Серебряные Пруды, ул. Октябрьская, д.8-104</t>
  </si>
  <si>
    <t>1.10106.0333</t>
  </si>
  <si>
    <t>1.10104.0191</t>
  </si>
  <si>
    <t>Металлический передвижной павильон на кладбище рп Серебряные Пруды</t>
  </si>
  <si>
    <t>Игровой комплекс Т1104, д. Благодать</t>
  </si>
  <si>
    <t>Комплект детской игровой площадки, гп Серебряные Пруды</t>
  </si>
  <si>
    <t>Мотопомпа, гп Серебряные Пруды</t>
  </si>
  <si>
    <t>Игровой комплекс, р.п.Серебряные Пруды, мкр. Западный, д.9</t>
  </si>
  <si>
    <t xml:space="preserve">1.10106.0340, </t>
  </si>
  <si>
    <t xml:space="preserve">1.10106.0341   </t>
  </si>
  <si>
    <t>Горка ледянка, устанавливается на пл. им. Чуйкова в зимний период</t>
  </si>
  <si>
    <t>Вазон уличный одинарный, гп Серебряные Пруды, 8 шт</t>
  </si>
  <si>
    <t>1101340009 - 1101340016</t>
  </si>
  <si>
    <t>Вазон В-120, гп Серебряные Пруды, 3шт</t>
  </si>
  <si>
    <t>Дорожный знак "Движение грузовых автомобилей запрещено" , рп Серебряные пруды, ул. Первомайская д.14</t>
  </si>
  <si>
    <t>Дорожный знак "Движение  запрещено" рп Серебряные пруды, ул. Первомайская д.14</t>
  </si>
  <si>
    <t>1.10106.0321</t>
  </si>
  <si>
    <t>Зеленые насаждения ул.Первомайская  возле дома №9 (Лиственница -5шт., каштан-6шт.)</t>
  </si>
  <si>
    <t>Зеленые насаждения ул.Первомайская  возле дома №2 (Каштан-7шт)</t>
  </si>
  <si>
    <t>Зеленые насаждения ул.Первомайская возле д.4 (Кустарники, 22 шт)</t>
  </si>
  <si>
    <t>Зеленые насаждения ул.Школьная (Лещина обыкновенная 55 шт.)</t>
  </si>
  <si>
    <t>Зеленые насаждения ул.Ленина (Лещина обыкновенная 60 шт.)</t>
  </si>
  <si>
    <t>Детская площадка (комплекс ИК-031, карусель «колокольчик», песочница «пентагон с тентом», КНП в ассортименте -2шт,  лавочки-4шт, урна-4 шт, качели «богатырь»-2 шт, УТК-004, резиновое покрытие -340кв.м), р.п.Серебряные Пруды, мкр. Центральный,д.14</t>
  </si>
  <si>
    <t>Ограждение Рынка, гп Серебряные Пруды</t>
  </si>
  <si>
    <t>Вазон Проспект, гп Серебряные Пруды</t>
  </si>
  <si>
    <t>1101360092 - 1101360097</t>
  </si>
  <si>
    <t>Стенд-витрина уличный антивандальный, гп Серебряные Пруды, 6шт</t>
  </si>
  <si>
    <t>Качели, гп Серебряные Пруды</t>
  </si>
  <si>
    <t xml:space="preserve">Зеленые насаждения ул.Первомайская 9 (сквер Ель-4шт, сосна -6шт.) </t>
  </si>
  <si>
    <t>Зеленые насаждения умкр.Центральный д.1 (у фонтана), кустарник спирея "Голден принцесса", 35 шт</t>
  </si>
  <si>
    <t>Детская игровая площадка (комплекс игровой, скамья-3шт, урна-4 шт, карусель, песочница, качели-2 шт), р.п.Серебряные Пруды, мкр. Юбилейный, д.10-11</t>
  </si>
  <si>
    <t>Скамейка, гп Серебряные Пруды</t>
  </si>
  <si>
    <t>Горка бизнес, р.п.Серебряные Пруды, ул. Б.Луговая, д.1-2</t>
  </si>
  <si>
    <t>Горка бизнес, гп Серебряные Пруды</t>
  </si>
  <si>
    <t>Светильники уличного освещения, гп Серебряные Пруды, 568шт</t>
  </si>
  <si>
    <t>Зеленые насаждения, р.п.Серебряные Пруды ул.Мичурина, 79 шт</t>
  </si>
  <si>
    <t>Зеленые насаждения, р.п.Серебряные Пруды ул.Привокзальная, 58 шт</t>
  </si>
  <si>
    <t>Зеленые насаждения, р.п.Серебряные Пруды ул.Колхозная, 83 шт</t>
  </si>
  <si>
    <t>Зеленые насаждения, р.п.Серебряные Пруды ул.Южная, 59 шт</t>
  </si>
  <si>
    <t>Зеленые насаждения ул.Большая Луговая, (лещина обыкновенная 47 шт.)</t>
  </si>
  <si>
    <t>Гирлянда клип-лайт, гп Серебряные Пруды, 100 м бухта</t>
  </si>
  <si>
    <t xml:space="preserve">1.10106.0320  </t>
  </si>
  <si>
    <t>Зеленые насаждения, р.п.Серебряные Пруды ул.Садовая, 37 шт</t>
  </si>
  <si>
    <t>Зеленые насаждения, р.п.Серебряные Пруды ул.Школьная, 127 шт</t>
  </si>
  <si>
    <t>Зеленые насаждения, р.п.Серебряные Пруды ул.Школьный переулок, 74шт</t>
  </si>
  <si>
    <t>Зеленые насаждения, р.п.Серебряные Пруды ул.ПТУ, 181 шт</t>
  </si>
  <si>
    <t>Зеленые насаждения, р.п.Серебряные Пруды ул.петра Романова, 155 шт</t>
  </si>
  <si>
    <t>Зеленые насаждения, р.п.Серебряные Пруды ул. 8 Марта, 102шт</t>
  </si>
  <si>
    <t>Зеленые насаждения, р.п.Серебряные Пруды ул.Ремесленная, 31шт</t>
  </si>
  <si>
    <t>Зеленые насаждения, р.п.Серебряные Пруды ул.50 лет ВЛКСМ, 215 шт</t>
  </si>
  <si>
    <t>Зеленые насаждения. р.п.Серебряные Пруды пл.Советская, 36 шт</t>
  </si>
  <si>
    <t>Зеленые насаждения, р.п.Серебряные Пруды ул.Советская, 37шт</t>
  </si>
  <si>
    <t>Зеленые насаждения, р.п.Серебряные Пруды ул.Трудовая, 26шт</t>
  </si>
  <si>
    <t>Зеленые насаждения, р.п.Серебряные Пруды ул.Октябрьская, 97шт</t>
  </si>
  <si>
    <t>Зеленые насаждения. р.п.Серебряные Пруды ул. Маршала Чуйкова. 29шт</t>
  </si>
  <si>
    <t>Зеленые насаждения, р.п.Серебряные Пруды ул.Свободная, 4шт</t>
  </si>
  <si>
    <t>Зеленые насаждения. р.п.Серебряные Пруды ул.Коммунальная, 16шт</t>
  </si>
  <si>
    <t>Зеленые насаждения, р.п.Серебряные Пруды ул.Ильи Садофьева, 66шт</t>
  </si>
  <si>
    <t>Зеленые насаждения, р.п.Серебряные Пруды ул. Восточная, 216шт</t>
  </si>
  <si>
    <t>Зеленые насаждения, р.п.Серебряные Пруды ул.Пролетарская, 69шт</t>
  </si>
  <si>
    <t>Зеленые насаждения. р.п.Серебряные Пруды ул.Малая Луговая, 32шт</t>
  </si>
  <si>
    <t>Зеленые насаждения, р.п.Серебряные Пруды ул.Заречная, 58шт</t>
  </si>
  <si>
    <t>Зеленые насаждения, р.п.Серебряные Пруды ул.Набережная, 50шт</t>
  </si>
  <si>
    <t>Зеленые насаждения, р.п.Серебряные Пруды ул.Механизаторов, 481шт</t>
  </si>
  <si>
    <t>Зеленые насаждения, р.п.Серебряные Пруды ул.Первомайская, 334шт</t>
  </si>
  <si>
    <t>Зеленые насаждения, р.п.Серебряные Пруды ул.Большая луговая, 239шт</t>
  </si>
  <si>
    <t>Зеленые насаждения, р.п.Серебряные Пруды микрорайон Юбилейный, 507шт</t>
  </si>
  <si>
    <t>Зеленые насаждения, р.п.Серебряные Пруды микрорайон Центральный, 207шт</t>
  </si>
  <si>
    <t>Зеленые насаждения, р.п.Серебряные Пруды ул.Ленина, 258шт</t>
  </si>
  <si>
    <t>Зеленые насаждения, р.п.Серебряные Пруды ул.Почтовая, 4шт</t>
  </si>
  <si>
    <t>Зеленые насаждения, р.п.Серебряные Пруды ул. Западный, 477шт</t>
  </si>
  <si>
    <t>Зеленые насаждения, р.п.Серебряные Пруды ул.Комсомольская, 106шт</t>
  </si>
  <si>
    <t>Зеленые насаждения, с.Дудино, 571шт</t>
  </si>
  <si>
    <t>Зеленые насаждения, д.Семенково, 45шт</t>
  </si>
  <si>
    <t>Зеленые насаждения, д.Растрехаевка, 42шт</t>
  </si>
  <si>
    <t>Зеленые насаждения, с.Красное, 89шт</t>
  </si>
  <si>
    <t>Зеленые насаждения, д. Благодать, 39шт</t>
  </si>
  <si>
    <t>Зеленые насаждения, с.Красное ( территория кладбища), 3250кв.м.</t>
  </si>
  <si>
    <t>Зеленые насаждения, р.п.Серебряные Пруды,ул.Коммунальная        (территория кладбища), 3540кв.м.</t>
  </si>
  <si>
    <t>Зеленые насаждения. р.п.Серебряные Пруды,ул.Мичурина ( территория кладбища), 3220 кв.м.</t>
  </si>
  <si>
    <t>Зеленые насаждения, р.п.Серебряные Пруды,ул. Почтовая, 450000 кв.м</t>
  </si>
  <si>
    <t>Зеленые насаждения, р.п.Серебряные Пруды,ул. Петра Романова, 100 кв.м</t>
  </si>
  <si>
    <t>Зеленые насаждения, р.п.Серебряные Пруды, ул.Привокзальная, 172 кв.м</t>
  </si>
  <si>
    <t>Зеленые насаждения, р.п.Серебряные Пруды,ул. Колхозная, 9кв.м</t>
  </si>
  <si>
    <t>Зеленые насаждения, р.п.Серебряные Пруды,ул.Южная, 25кв.м</t>
  </si>
  <si>
    <t>Зеленые насаждения, р.п.Серебряные Пруды,ул. Садовая, 8кв.м.</t>
  </si>
  <si>
    <t>Зеленые насаждения, р.п.Серебряные Пруды,ул. Школьная, 620 кв.м.</t>
  </si>
  <si>
    <t>Зеленые насаждения, р.п.Серебряные Пруды,ул. Школьный переулок, 130 кв.м.</t>
  </si>
  <si>
    <t>Зеленые насаждения, р.п.Серебряные Пруды, ПТУ, 10 кв.м.</t>
  </si>
  <si>
    <t>Зеленые насаждения, р.п.Серебряные Пруды,ул. Петра Романова, 15 кв.м.</t>
  </si>
  <si>
    <t>Зеленые насаждения,р.п.Серебряные Пруды,ул. 50 лет ВЛКСМ, 297 кв.м.</t>
  </si>
  <si>
    <t>Зеленые насаждения, р.п.Серебряные Пруды,ул. Советская, 69 кв.м.</t>
  </si>
  <si>
    <t>Зеленые насаждения, р.п.Серебряные Пруды,ул. Советская, 316 кв.м.</t>
  </si>
  <si>
    <t>Зеленые насаждения, р.п.Серебряные Пруды,ул. Заречная, 5кв.м</t>
  </si>
  <si>
    <t>Зеленые насаждения, р.п.Серебряные Пруды,ул. Набережная, 40 кв.м</t>
  </si>
  <si>
    <t>Зеленые насаждения, р.п.Серебряные Пруды,ул. Механизаторов, 35 кв.м</t>
  </si>
  <si>
    <t>Зеленые насаждения, р.п.Серебряные Пруды,ул. Первомайская, 2127 кв.м.</t>
  </si>
  <si>
    <t>Зеленые насаждения, р.п.Серебряные Пруды,ул. Большая Луговая, 380 кв.м</t>
  </si>
  <si>
    <t>Зеленые насаждения, р.п.Серебряные Пруды, микрорайон  Юбилейный, 937 кв.м.</t>
  </si>
  <si>
    <t>Зеленые насаждения, р.п.Серебряные Пруды, микрорайон Центральный, 480 кв.м.</t>
  </si>
  <si>
    <t>Зеленые насаждения, р.п.Серебряные Пруды,ул. Ленина, 564 кв.м.</t>
  </si>
  <si>
    <t>Зеленые насаждения, р.п.Серебряные Пруды,ул. Почтовая, 40 кв.м.</t>
  </si>
  <si>
    <t>Зеленые насаждения, р.п.Серебряные Пруды, микрорайон Западный, 889 кв.м.</t>
  </si>
  <si>
    <t>Зеленые насаждения, р.п.Серебряные Пруды,ул. Комсомольская, 124 кв.м.</t>
  </si>
  <si>
    <t>Зеленые насаждения, с. Дудино, 117 кв.м.</t>
  </si>
  <si>
    <t>Малые архитектурные формы, р.п.Серебряные Пруды,ул.ПТУ, 11шт</t>
  </si>
  <si>
    <t>Малые архитектурные формы, р.п.Серебряные Пруды,ул.Механизаторов, 14 шт</t>
  </si>
  <si>
    <t>Малые архитектурные формы, р.п.Серебряные Пруды,ул.Первомайская, 24 шт</t>
  </si>
  <si>
    <t>Малые архитектурные формы, р.п.Серебряные Пруды,ул.Большая Луговая, 3 шт</t>
  </si>
  <si>
    <t>Малые архитектурные формы, р.п.Серебряные Пруды, микрорайон Юбилейный, 48 шт</t>
  </si>
  <si>
    <t>Малые архитектурные формы, р.п.Серебряные Пруды, микрорайон Центральный, 42 шт</t>
  </si>
  <si>
    <t>Малые архитектурные формы, р.п.Серебряные Пруды, микрорайон Центральный, 16 шт</t>
  </si>
  <si>
    <t>Плиточное покрытие, р.п.Серебряные Пруды, ул.Первомайская, 1278 кв.м.</t>
  </si>
  <si>
    <t>380.2</t>
  </si>
  <si>
    <t>Земельный участок Категория земель - земли населенных пунктов, ВРИ - для размещения сквера</t>
  </si>
  <si>
    <t>Московская область, Серебряно-Прудский район, рп Серебряные Пруды, ул. Первомайская</t>
  </si>
  <si>
    <t>50:39:0050508:808</t>
  </si>
  <si>
    <t>Земельный участок Категория земель - земли населенных пунктов, ВРИ - для строительства и эксплуатпции газопровода среднего давления и ГРПШ</t>
  </si>
  <si>
    <t>Московская область, Серебряно-Прудский район, рп Серебряные Пруды, мкр Тополя</t>
  </si>
  <si>
    <t>50:39:0050301:585</t>
  </si>
  <si>
    <t>Земельный участок Категория земель - земли населенных пунктов, ВРИ - для обслуживания и эксплуатации муниципальной дороги общего пользования</t>
  </si>
  <si>
    <t>Московская область, Серебряно-Прудский район, рп Серебряные Пруды, ул. Фирсова</t>
  </si>
  <si>
    <t>50:39:0050201:792</t>
  </si>
  <si>
    <t>Московская область, Серебряно-Прудский район, рп Серебряные Пруды, ул. Почтовая</t>
  </si>
  <si>
    <t>50:39:0050602:464</t>
  </si>
  <si>
    <t>50:39:0000000:3694</t>
  </si>
  <si>
    <t>Московская область, Серебряно-Прудский район, рп Серебряные Пруды, ул. Октябрьская</t>
  </si>
  <si>
    <t>50:39:0000000:3705</t>
  </si>
  <si>
    <t>Московская область, Серебряно-Прудский район, рп Серебряные Пруды, ул. Петра Романова</t>
  </si>
  <si>
    <t>50:39:0050101:573</t>
  </si>
  <si>
    <t>Московская область, Серебряно-Прудский район, рп Серебряные Пруды, ул.Механизаторов</t>
  </si>
  <si>
    <t>50:39:0050514:265</t>
  </si>
  <si>
    <t>50:39:0000000:3688</t>
  </si>
  <si>
    <t>Московская область, Серебряно-Прудский район, с. Красное</t>
  </si>
  <si>
    <t>50:39:0000000:3706</t>
  </si>
  <si>
    <t>Московская область, Серебряно-Прудский район, д. Семенково</t>
  </si>
  <si>
    <t>50:39:0000000:3701</t>
  </si>
  <si>
    <t>50:39:0060115:240</t>
  </si>
  <si>
    <t>50:39:0060115:241</t>
  </si>
  <si>
    <t>Внутриквартальная автомобильная дорога с твёрдым покрытием, кадастровый номер земельного участка 50:39:0070202:43, протяженностью 182м</t>
  </si>
  <si>
    <t>50:39:0070202:108</t>
  </si>
  <si>
    <t>50:39:0000000:4381</t>
  </si>
  <si>
    <t>Автомобильная дорога, расположенная на земельном участке с кадастровым номером 50:39:0010108:1016, протяженностью 148 м</t>
  </si>
  <si>
    <t>50:39:0010108:1077</t>
  </si>
  <si>
    <t>Автомобильная дорога, расположенная на земельном участке с кадастровым номером 50:39:0010109:145, протяженностью 148 м</t>
  </si>
  <si>
    <t>50:39:0010109:190</t>
  </si>
  <si>
    <t>Автомобильная дорога, расположенная на земельном участке с кадастровым номером 50:39:0000000:3549, протяженностью 89 м</t>
  </si>
  <si>
    <t>50:39:0000000:4380</t>
  </si>
  <si>
    <t>Московская область, Серебряно-Прудский район, р.п. Серебряные Пруды, мкр-н Северный</t>
  </si>
  <si>
    <t>50:39:0050101:576</t>
  </si>
  <si>
    <t>Московская область, Серебряно-Прудский район, р.п. Серебряные Пруды, мкр-н Тополя</t>
  </si>
  <si>
    <t>50:39:0050301:592</t>
  </si>
  <si>
    <t>Московская область, Серебряно-Прудский район, р.п. Серебряные Пруды, мкр-н Восточный</t>
  </si>
  <si>
    <t>50:39:0000000:3678</t>
  </si>
  <si>
    <t>50:39:0000000:3677</t>
  </si>
  <si>
    <t>50:39:0000000:3680</t>
  </si>
  <si>
    <t>50:39:0000000:3682</t>
  </si>
  <si>
    <t>50:39:0070103:492</t>
  </si>
  <si>
    <t>50:39:0070103:491</t>
  </si>
  <si>
    <t>50:39:0000000:3684</t>
  </si>
  <si>
    <t>Московская область, Серебряно-Прудский район, рп Серебряные Пруды, пер. Ильи Садофьева</t>
  </si>
  <si>
    <t>50:39:0050205:493</t>
  </si>
  <si>
    <t>Московская область, Серебряно-Прудский район, рп Серебряные Пруды, ул. Ильи Садофьева</t>
  </si>
  <si>
    <t>50:39:0000000:3683</t>
  </si>
  <si>
    <t>Московская область, Серебряно-Прудский район, рп Серебряные Пруды, ул. Набережная</t>
  </si>
  <si>
    <t>50:39:0000000:3681</t>
  </si>
  <si>
    <t>50:39:0000000:3686</t>
  </si>
  <si>
    <t>Московская область, Серебряно-Прудский район, рп Серебряные Пруды, ул. Свободная</t>
  </si>
  <si>
    <t>50:39:0050203:354</t>
  </si>
  <si>
    <t>50:39:0000000:3685</t>
  </si>
  <si>
    <t>Московская область, Серебряно-Прудский район, рп Серебряные Пруды, ул. Комсомольская</t>
  </si>
  <si>
    <t>50:39:0050405:324</t>
  </si>
  <si>
    <t>Земельный участок Категория земель - земли населенных пунктов, ВРИ - для обслуживания и эксплуатации коллектора и канализационной насосной станции</t>
  </si>
  <si>
    <t>Московская область, Серебряно-Прудский район, рп Серебряные Пруды</t>
  </si>
  <si>
    <t>50:39:0050403:98</t>
  </si>
  <si>
    <t>Земельный участок Категория земель - не установлена, ВРИ - неопределено</t>
  </si>
  <si>
    <t>50:39:0050503:73</t>
  </si>
  <si>
    <t>Московская область, Серебряно-Прудский район, рп Серебряные Пруды, ул. Школьная</t>
  </si>
  <si>
    <t>50:39:0050503:72</t>
  </si>
  <si>
    <t>Земельный участок Категория земель - земли населенных пунктов, ВРИ -для эксплуатации улично-дорожной сети</t>
  </si>
  <si>
    <t>50:39:0050203:329</t>
  </si>
  <si>
    <t>Московская область, Серебряно-Прудский район, рп Серебряные Пруды, ул. Школьная, д.8-10</t>
  </si>
  <si>
    <t>50:39:0050507:77</t>
  </si>
  <si>
    <t>Московская область, Серебряно-Прудский район, рп Серебряные Пруды, ул. Большая Луговая</t>
  </si>
  <si>
    <t>50:39:0050507:46</t>
  </si>
  <si>
    <t>50:39:0050508:41</t>
  </si>
  <si>
    <t>Московская область, Серебряно-Прудский район, рп Серебряные Пруды, в границах ул. 50 лет ВЛКСМ. Ул. Школьная, ул. Первомайская</t>
  </si>
  <si>
    <t>50:39:0050508:40</t>
  </si>
  <si>
    <t>Московская область, Серебряно-Прудский район, рп Серебряные Пруды, ул. Свободная (Дудино)</t>
  </si>
  <si>
    <t>50:39:0070104:676</t>
  </si>
  <si>
    <t>Московская область, Серебряно-Прудский район, рп Серебряные Пруды, мкр-н Западный, д.38</t>
  </si>
  <si>
    <t>50:39:0000000:3450</t>
  </si>
  <si>
    <t>Распоряжение администрации Серебряно-Прудского муниципального района 278-р, Свидет-во о регистрации права 50-БА 635538, Выписка из ЕГРП, регистрация № 50-50/039-50/999/001/2016-3664/2 от 10.05.2016г</t>
  </si>
  <si>
    <t>Земельный участок Категория земель - земли населенных пунктов, ВРИ -для размещения сквера</t>
  </si>
  <si>
    <t>50:39:0000000:197</t>
  </si>
  <si>
    <t>Московская область, Серебряно-Прудский район, рп Серебряные Пруды, мкр-н Юбилейный</t>
  </si>
  <si>
    <t>50:39:0050508:39</t>
  </si>
  <si>
    <t>Московская область, Серебряно-Прудский район, рп Серебряные Пруды, пер. Школьный</t>
  </si>
  <si>
    <t>50:39:0050503:67</t>
  </si>
  <si>
    <t>50:39:0050503:68</t>
  </si>
  <si>
    <t>50:39:0050503:65</t>
  </si>
  <si>
    <t>Московская область, Серебряно-Прудский район, рп Серебряные Пруды, пл. Советская</t>
  </si>
  <si>
    <t>50:39:0050502:61</t>
  </si>
  <si>
    <t>50:39:0050502:62</t>
  </si>
  <si>
    <t>50:39:0050502:63</t>
  </si>
  <si>
    <t>50:39:0050504:84</t>
  </si>
  <si>
    <t>50:39:0050503:66</t>
  </si>
  <si>
    <t>50:39:0050508:38</t>
  </si>
  <si>
    <t xml:space="preserve">  Московская область, Серебряно-Прудский район, Петровский с/о Дмитриевский, СНТ Прилучье - 1, уч-к 10</t>
  </si>
  <si>
    <t>50:39:0080210:275</t>
  </si>
  <si>
    <t>Выписка из ЕГРП, регистрация № 50-50/001-50/039/008/2016-5390/2 от 22.11.2016</t>
  </si>
  <si>
    <t xml:space="preserve">  Московская область, Серебряно-Прудский район, Петровский с/о Дмитриевский, СНТ Солоница, уч.99</t>
  </si>
  <si>
    <t>50:39:0070106:144</t>
  </si>
  <si>
    <t>Выписка из ЕГРП, регистрация № 50-50/039-50/039/008/2016-4550/2 от 27.09.2016</t>
  </si>
  <si>
    <t xml:space="preserve">  Московская область, Серебряно-Прудский район, Петровский с/о Дмитриевский, СНТ Прилучье, уч-к 180</t>
  </si>
  <si>
    <t>50:39:0080209:70</t>
  </si>
  <si>
    <t>Выписка из ЕГРП, регистрация № 50-50/039-50/039/008/2016-3785/2 от 23.08.2016</t>
  </si>
  <si>
    <t>Московская область, Серебярно-Прудский район, д. Благодать</t>
  </si>
  <si>
    <t>Зеленые насаждения, Московская область, Серебряно-Прудский район, д. Барыково, 20 шт</t>
  </si>
  <si>
    <t>Зеленые насаждения, Московская область, Серебряно-Прудский район,  с. Мягкое, 20 шт</t>
  </si>
  <si>
    <t>Зеленые насаждения, Московская область, Серебряно-Прудский район,  с. Узуново, 8740 шт</t>
  </si>
  <si>
    <t>Зеленые насаждения, Московская область, Серебряно-Прудский район,  с. Крутое, 400шт</t>
  </si>
  <si>
    <t>Зеленые насаждения, Московская область, Серебряно-Прудский район,  п. Новоклемово, 6300 шт</t>
  </si>
  <si>
    <t>Зеленые насаждения, Московская область, Серебряно-Прудский район,  с. Петрово, 5000 шт</t>
  </si>
  <si>
    <t>Зеленые насаждения, Московская область, Серебряно-Прудский район, д. Есипово, 60 шт</t>
  </si>
  <si>
    <t>Зеленые насаждения, Московская область, Серебряно-Прудский район,  с. Глубокое, 460 шт</t>
  </si>
  <si>
    <t>Зеленые насаждения, Московская область, Серебряно-Прудский район,  с. Узуново, 3730 шт</t>
  </si>
  <si>
    <t>Зеленые насаждения, Московская область, Серебряно-Прудский район,  с. Крутое, 390 шт</t>
  </si>
  <si>
    <t>Зеленые насаждения, Московская область, Серебряно-Прудский район,  с. Мягкое, 10 шт</t>
  </si>
  <si>
    <t>Зеленые насаждения, Московская область, Серебряно-Прудский район,   д.  Коровино, 10 шт</t>
  </si>
  <si>
    <t>Зеленые насаждения, Московская область, Серебряно-Прудский район,   д. Ливадия, 30 шт</t>
  </si>
  <si>
    <t>Зеленые насаждения, Московская область, Серебряно-Прудский район,   д. Лошатово, 50 шт</t>
  </si>
  <si>
    <t>Зеленые насаждения, Московская область, Серебряно-Прудский район,   с. Петрово, 1995 шт</t>
  </si>
  <si>
    <t>Зеленые насаждения, Московская область, Серебряно-Прудский район,   д. Есипово, 170 шт</t>
  </si>
  <si>
    <r>
      <t>Зеленые насаждения, Московская область, Серебряно-Прудский район,   с. Глубокое, 697 шт</t>
    </r>
    <r>
      <rPr>
        <b/>
        <sz val="9"/>
        <color theme="1"/>
        <rFont val="Times New Roman"/>
        <family val="1"/>
        <charset val="204"/>
      </rPr>
      <t xml:space="preserve"> </t>
    </r>
  </si>
  <si>
    <t>Зеленые насаждения, Московская область, Серебряно-Прудский район,   д. Беляево, 20 шт</t>
  </si>
  <si>
    <t>Зеленые насаждения, Московская область, Серебряно-Прудский район,  п. Новоклемово, 904 шт</t>
  </si>
  <si>
    <t>Зеленые насаждения, Московская область, Серебряно-Прудский район,   д. Барыково, 50 шт</t>
  </si>
  <si>
    <t>Зеленые насаждения, Московская область, Серебряно-Прудский район,  с. Клемово, 100 шт</t>
  </si>
  <si>
    <t>Зеленые насаждения, Московская область, Серебряно-Прудский район,  с. Колеймино, 50 шт</t>
  </si>
  <si>
    <t>Газоны, Московская область, Серебряно-Прудский район,  с. Глубокое, 500 кв.м.</t>
  </si>
  <si>
    <t>Газоны, Московская область, Серебряно-Прудский район,  с. Петрово, 500 кв.м.</t>
  </si>
  <si>
    <t>Газоны, Московская область, Серебряно-Прудский район,  п. Новоклемово, 700 кв.м.</t>
  </si>
  <si>
    <t>Газоны, Московская область, Серебряно-Прудский район,  с. Крутое, 700 кв.м.</t>
  </si>
  <si>
    <t>Газоны, Московская область, Серебряно-Прудский район,  с. Узуново, 1108 кв.м.</t>
  </si>
  <si>
    <t>Клумбы, Московская область, Серебряно-Прудский район,  с. Глубокое, 1150 кв.м.</t>
  </si>
  <si>
    <t>Клумбы, Московская область, Серебряно-Прудский район,  с. Петрово, 1500 кв.м.</t>
  </si>
  <si>
    <t>Клумбы, Московская область, Серебряно-Прудский район,  п. Новоклемово, 1950 кв.м.</t>
  </si>
  <si>
    <t>Клумбы, Московская область, Серебряно-Прудский район,  с. Крутое, 700 кв.м.</t>
  </si>
  <si>
    <t>Клумбы, Московская область, Серебряно-Прудский район,  с. Узуново,  5050 кв.м.</t>
  </si>
  <si>
    <t>Клумбы, Московская область, Серебряно-Прудский район,  с. Мягкое,  100 кв.м.</t>
  </si>
  <si>
    <t>Клумбы, Московская область, Серебряно-Прудский район,  с. Колеймино, 50 кв.м.</t>
  </si>
  <si>
    <t>Клумбы, Московская область, Серебряно-Прудский район,  с. Клемово, 100 кв.м.</t>
  </si>
  <si>
    <t xml:space="preserve">Электрические сети уличного освещения, Московская область, Серебряно-Прудский район,  с. Петрово, 4200 м/63 шт </t>
  </si>
  <si>
    <t>Электрические сети уличного освещения, Московская область, Серебряно-Прудский район,  с. Малынь, 600 м/7 шт</t>
  </si>
  <si>
    <t>Электрические сети уличного освещения, Московская область, Серебряно-Прудский район,   д. Косяево, 1100 м/23 шт</t>
  </si>
  <si>
    <t>Электрические сети уличного освещения, Московская область, Серебряно-Прудский район,   д. Коровино, 1400 м/21 шт</t>
  </si>
  <si>
    <t>Электрические сети уличного освещения, Московская область, Серебряно-Прудский район,  с. Узуново, 4400 м/180 шт</t>
  </si>
  <si>
    <t>Электрические сети уличного освещения, Московская область, Серебряно-Прудский район,  с. Мягкое,700 м/15 шт</t>
  </si>
  <si>
    <t>Светильники уличного освещения, Московская область, Серебряно-Прудский район,   д. Боршово, 4 шт</t>
  </si>
  <si>
    <t>Светильники уличного освещения, Московская область, Серебряно-Прудский район,   д. Старомойгоры, 1 шт</t>
  </si>
  <si>
    <t>Светильники уличного освещения, Московская область, Серебряно-Прудский район,   д. Невежино, 2 шт</t>
  </si>
  <si>
    <t>Светильники уличного освещения, Московская область, Серебряно-Прудский район,   д. Скородня, 2 шт</t>
  </si>
  <si>
    <t xml:space="preserve">Светильники уличного освещения, Московская область, Серебряно-Прудский район,   д. Новомойгоры, 4 шт </t>
  </si>
  <si>
    <t xml:space="preserve">Светильники уличного освещения, Московская область, Серебряно-Прудский район,   д. Кузьминка, 6 шт </t>
  </si>
  <si>
    <t>Светильники уличного освещения, Московская область, Серебряно-Прудский район,   д. Красный Пахарь, 1 шт</t>
  </si>
  <si>
    <t>Светильники уличного освещения. Московская область, Серебряно-Прудский район,   д. Большое Орехово, 1 шт</t>
  </si>
  <si>
    <t>Светильники уличного освещени, Московская область, Серебряно-Прудский район,   д. Малое Орехово, 1 шт</t>
  </si>
  <si>
    <t>Светильники уличного освещения, Московская область, Серебряно-Прудский район,   д. Николаевка, 4 шт</t>
  </si>
  <si>
    <t>Светильники уличного освещения, Московская область, Серебряно-Прудский район,   д. Столбовка, 4 шт</t>
  </si>
  <si>
    <t>Электрические сети уличного освещения, Московская область, Серебряно-Прудский район,   с. Глубокое, 1500 м/ 59 шт</t>
  </si>
  <si>
    <t>Электрические сети уличного освещения, Московская область, Серебряно-Прудский район,  д. Есипово, 1500 м/ 6шт</t>
  </si>
  <si>
    <t xml:space="preserve">Светильники уличного освещения, Московская область, Серебряно-Прудский район,  д. Беляево, 11 шт </t>
  </si>
  <si>
    <t>Электрические сети уличного освещения,  Московская область, Серебряно-Прудский район,   с. Крутое, 3350 м/ 63 шт</t>
  </si>
  <si>
    <t xml:space="preserve">Электрические сети уличного освещения, Московская область, Серебряно-Прудский район,  д. Песочное, 1000 м/ 14 шт </t>
  </si>
  <si>
    <t>Светильники уличного освещения, Московская область, Серебряно-Прудский район,   с. Клемово, 31 шт</t>
  </si>
  <si>
    <t xml:space="preserve">Электрические сети уличного освещения, Московская область, Серебряно-Прудский район,  п. Новоклемово, 5600 м/ 62 шт </t>
  </si>
  <si>
    <t>Электрические сети уличного освещения, Московская область, Серебряно-Прудский район,   с. Колеймино, 240 м/34 шт</t>
  </si>
  <si>
    <t>Электрические сети уличного освещения, Московская область, Серебряно-Прудский район,   д. Лошатово, 880 м/9 шт</t>
  </si>
  <si>
    <t>Электрические сети уличного освещения, Московская область, Серебряно-Прудский район,   д. Барыково, 1200 м/ 16 шт.</t>
  </si>
  <si>
    <t>Светильники уличного освещения, Московская область, Серебряно-Прудский район,   д. Ливадия, 2 шт</t>
  </si>
  <si>
    <t>Светильники уличного освещения, Московская область, Серебряно-Прудский район,   д. Накаплово, 4 шт</t>
  </si>
  <si>
    <t>Светильники уличного освещения, Московская область, Серебряно-Прудский район,   д. Яковлевское, 7 шт</t>
  </si>
  <si>
    <t>Светильники уличного освещения, Московская область, Серебряно-Прудский район,   д. Степановка, 7 шт</t>
  </si>
  <si>
    <t>Электрические сети уличного освещения, Московская область, Серебряно-Прудский район,   д. Петровский Выселки, 317 м/ 5шт</t>
  </si>
  <si>
    <t xml:space="preserve">Электрические сети уличного освещения, Московская область, Серебряно-Прудский район,   с. Узуново, мкр-н Южный, д.18, 41 м/4 шт </t>
  </si>
  <si>
    <t>Малые архитектурные формыМосковская область, Серебряно-Прудский район,   с. Петрово, 10 шт</t>
  </si>
  <si>
    <t>Малые архитектурные формы, Московская область, Серебряно-Прудский район,   с. Глубокое, 12 шт</t>
  </si>
  <si>
    <t>Малые архитектурные формы, Московская область, Серебряно-Прудский район,  с. Узуново, 209 шт</t>
  </si>
  <si>
    <t>Скамьи, Московская область, Серебряно-Прудский район,  с. Глубокое,  20 шт</t>
  </si>
  <si>
    <t>Скамьи, Московская область, Серебряно-Прудский район,  с. Крутое, 26 шт</t>
  </si>
  <si>
    <t>Скамьи, Московская область, Серебряно-Прудский район,  с. Петрово, 35 шт</t>
  </si>
  <si>
    <t>Скамьи, Московская область, Серебряно-Прудский район,  п. Новоклемово, 40 шт</t>
  </si>
  <si>
    <t>Скамьи, Московская область, Серебряно-Прудский район,  с. Узуново, 39 шт</t>
  </si>
  <si>
    <t>Скамья С-1, Московская область, Серебряно-Прудский район,  с. Глубокое, 3 шт</t>
  </si>
  <si>
    <t>Скамья С-4, Московская область, Серебряно-Прудский район,  с. Узуново, 2 шт</t>
  </si>
  <si>
    <t>Скамьи СС 169-1, Московская область, Серебряно-Прудский район,  с. Узуново, мкр-н Северный,  д.3, 12 шт</t>
  </si>
  <si>
    <t>Скамья, Московская область, Серебряно-Прудский район,  с. Узуново  ( берег р. Березня),  2 шт</t>
  </si>
  <si>
    <t>Скамья, Московская область, Серебряно-Прудский район,д.Беляево  ( берег  Беляевского пруда), 2 шт</t>
  </si>
  <si>
    <t>Скамья, Московская область, Серебряно-Прудский район,  с.Глубокое  ( д. № 11-2 шт., концертная площадка - 2шт.),  4 шт</t>
  </si>
  <si>
    <t>Скамья, Московская область, Серебряно-Прудский район,   д. Беззубово (Беззубовское кладбище),  1 шт</t>
  </si>
  <si>
    <t>Скамья, Московская область, Серебряно-Прудский район,с. Колеймино (Колейминовское  кладбище),  1 шт</t>
  </si>
  <si>
    <t>Скамейки, Московская область, Серебряно-Прудский район,  с. Узуново (установленны в населенных пунктах с/п Узуновское), 30 шт</t>
  </si>
  <si>
    <t>Скамья, Московская область, Серебряно-Прудский район,   д. Есипово (Есиповское  кладбище), 1 шт</t>
  </si>
  <si>
    <t>Скамья, Московская область, Серебряно-Прудский район,   д. Толстые (Толстовское  кладбище),  1 шт</t>
  </si>
  <si>
    <t>Скамья, Московская область, Серебряно-Прудский район,   д. Боршово (Боршовское  кладбище),  1 шт</t>
  </si>
  <si>
    <t>Скамья, Московская область, Серебряно-Прудский район,   д. Скородня (Скороднинское  кладбище),  1 шт</t>
  </si>
  <si>
    <t>Скамья, Московская область, Серебряно-Прудский район,   д. Должиково (Должиковское  кладбище), 1 шт</t>
  </si>
  <si>
    <t>Скамья, Московская область, Серебряно-Прудский район,  с. Тютьково (Тютьковское кладбище), 1 шт</t>
  </si>
  <si>
    <t>Скамья, Московская область, Серебряно-Прудский район,  с.  Малынь (Малыньское кладбище), 1 шт</t>
  </si>
  <si>
    <t>Скамья, Московская область, Серебряно-Прудский район,   д. Накаплово (Накапловское  кладбище), 1 шт</t>
  </si>
  <si>
    <t>Скамья, Московская область, Серебряно-Прудский район,  с.  Узуново (Узуновское кладбище- закрытое),  1 шт</t>
  </si>
  <si>
    <t>Скамья, Московская область, Серебряно-Прудский район,  с.  Мягкое (Мягковское  кладбище), 1 шт</t>
  </si>
  <si>
    <t>Скамья, Московская область, Серебряно-Прудский район,  с.   Клемово (Клемовское кладбище), 1 шт</t>
  </si>
  <si>
    <t>Скамья, Московская область, Серебряно-Прудский район,   д. Лошатово (Лошатовское  кладбище), 1 шт</t>
  </si>
  <si>
    <t>Лавочка, Московская область, Серебряно-Прудский район,  д. Кузьминка, д. № 1, 2 шт</t>
  </si>
  <si>
    <t>Лавочка, Московская область, Серебряно-Прудский район,  с. Тютьково, д. № 23, 2 шт</t>
  </si>
  <si>
    <t>Лавочка, Московская область, Серебряно-Прудский район,  д. Коровино, д. № 21, 2 шт</t>
  </si>
  <si>
    <t>Лавочка, Московская область, Серебряно-Прудский район,  с. Глубокое (волейбольная площадка- 2 шт.,концертная площадка- 2 шт.),  4 шт</t>
  </si>
  <si>
    <t>Лавочка, Московская область, Серебряно-Прудский район,  с.  Мягкое (спортивная площадка),  2 шт</t>
  </si>
  <si>
    <t>Лавочка, Московская область, Серебряно-Прудский район,  с.   Крутое ( здание администрации, д. № 42), 2 шт</t>
  </si>
  <si>
    <t>Лавочка, Московская область, Серебряно-Прудский район,  с. Узуново ( берег р. Березня), 1 шт</t>
  </si>
  <si>
    <t>Скамейка СЧ-1/1,5, Московская область, Серебряно-Прудский район,  с. Узуново, 5 шт</t>
  </si>
  <si>
    <t>Урны, Московская область, Серебряно-Прудский район,  с. Глубокое,  17 шт</t>
  </si>
  <si>
    <t>Урны, Московская область, Серебряно-Прудский район,  с. Петрово, 4 шт</t>
  </si>
  <si>
    <t>Урны, Московская область, Серебряно-Прудский район,  п. Новоклемово, 2шт</t>
  </si>
  <si>
    <t>Урны, Московская область, Серебряно-Прудский район,  с. Крутое, 17 шт</t>
  </si>
  <si>
    <t>Урна, Московская область, Серебряно-Прудский район,  с. Узуново ( берег р. Березня), 1 шт</t>
  </si>
  <si>
    <t>Урны, Московская область, Серебряно-Прудский район,  с. Петрово ( между д. № 7 и д. №11), 2 шт</t>
  </si>
  <si>
    <t>Урна металлическая УУ-5, Московская область, Серебряно-Прудский район,  с. Узуново, 20 шт</t>
  </si>
  <si>
    <t>Металлические ограждения (вокруг клумб), Московская область, Серебряно-Прудский район,  с. Глубокое, 348 м</t>
  </si>
  <si>
    <t>Металлические ограждения (вокруг клумб), Московская область, Серебряно-Прудский район,  п. Новоклемово, 1265 м</t>
  </si>
  <si>
    <t>Металлические ограждения (вокруг клумб), Московская область, Серебряно-Прудский район,  с. Узуново, 966 шт</t>
  </si>
  <si>
    <t>Металлическое ограждение, Московская область, Серебряно-Прудский район,  с. Узуново (Узуновское сельское кладбище), 1 шт</t>
  </si>
  <si>
    <t>Детское игровое оборудование, Московская область, Серебряно-Прудский район,  с. Клемово,д.69 (качалка-балансир, качель, горка, стойка баскетбольная, стол теннисный)</t>
  </si>
  <si>
    <t>Московская область, Серебряно-Прудский район,  с. Петрово,д.3 (ДСК Вертикаль А1+П, горка для ДСК Вертикаль)</t>
  </si>
  <si>
    <t>Московская область, Серебряно-Прудский район,  с. Узуново,мкр-н Южный, д. № 17, (ДСК Вертикаль А1+П, горка для ДСК Вертикаль)</t>
  </si>
  <si>
    <t>Детское игровое оборудование, Московская область, Серебряно-Прудский район,  д. Коровино (горка большая Вертиаль, скат 3м, песочница с грибом)</t>
  </si>
  <si>
    <t>Детское игровое оборудование, Московская область, Серебряно-Прудский район,  д. Кузьминка, д.1 (горка длина 3, карусель, качели-балансир, песочница с грибом)</t>
  </si>
  <si>
    <t>Московская область, Серебряно-Прудский район,   с. Тютьково, д.23, детское игровое оборудование (горка длина 3, карусель, качели-балансир, песочница с грибом)</t>
  </si>
  <si>
    <t>Игровая площадка Панорама 2, Московская область, Серебряно-Прудский район,   с. Глубокое ( между жилыми домами № 11,12,13)</t>
  </si>
  <si>
    <t xml:space="preserve">Детский игровой комплекс  Rainbow Play Systems Fiesta CluBhouseМосковская область, Серебряно-Прудский район,   с. Крутое ( около д. № 8), </t>
  </si>
  <si>
    <t>Детское игровое оборудование, Московская область, Серебряно-Прудский район,   с.  Крутое , д. 4 (горка, карусель, песоччница)</t>
  </si>
  <si>
    <t>Детское игровое оборудование, Московская область, Серебряно-Прудский район,   с.  Крутое , д. 19 (карусель, качели двухместные на цепях)</t>
  </si>
  <si>
    <t>Детское игровое оборудование, Московская область, Серебряно-Прудский район,   с.  Крутое , д. 42 (качалка-балансир, песочница)</t>
  </si>
  <si>
    <t>Детское игровое оборудование, Московская область, Серебряно-Прудский район,   д. Кузьминка , д. 1 (спортивный комплекс СК 104-4, качели Б 057 (балансир). Песочница дворик П 065-1)</t>
  </si>
  <si>
    <t>Детское игровое оборудование, Московская область, Серебряно-Прудский район,   с. Тютьково, д.23 Спортивный комплекс СК 104-4, качель Б 058 (балансир)</t>
  </si>
  <si>
    <t>Качалка - балансир   Б 058-1, Московская область, Серебряно-Прудский район,   с.  Петрово  ( между д. № 7 и № 11), 1шт</t>
  </si>
  <si>
    <t>Детское игровое оборудование, Московская область, Серебряно-Прудский район,   с.Мягкое  (около торгового центра) (качель (балансир) Б 057. карусель КР 060-1)</t>
  </si>
  <si>
    <t>Детское игровое оборудование, Московская область, Серебряно-Прудский район,   с.  Петрово  (между д. № 5 и № 9) (карусель КР 060-1, горка детская ГД -037, качель (балансир) Б 058)</t>
  </si>
  <si>
    <t>Детское игровое оборудование, Московская область, Серебряно-Прудский район,  п. Новоклемово (между д. № 26 и № 27) (качель (балансир) Б 057. карусель КР 060-1)</t>
  </si>
  <si>
    <t>Песочница, Московская область, Серебряно-Прудский район,   с. Тютьково, д.23, 1 шт</t>
  </si>
  <si>
    <t xml:space="preserve">Детский игровой комплекс " Остров детства", Московская область, Серебряно-Прудский район,   с. Узуново , мкр-н Южный, д.8, </t>
  </si>
  <si>
    <t xml:space="preserve"> Детская игровая площадка, Московская область, Серебряно-Прудский район,   с. Узуново , мкр-н Южный, д.18,</t>
  </si>
  <si>
    <t>Детская игровая площадкаМосковская область, Серебряно-Прудский район,  п. Новоклемово, д. № 21 (основание детской игровой площадки, карусель с рулём, качели одинарные с подвесом на цепи, урна наземная, игровой комплекс, скамья - 2шт, песочница, качалка, горка, бесшовное покрытие из резиновой крошки)</t>
  </si>
  <si>
    <t>Ель искуственная Клеопатра 800, Московская область, Серебряно-Прудский район,   с.Узуново, ул. Советская, д.5 ( площадь), 1 шт</t>
  </si>
  <si>
    <t>Песочница " Стандарт тип 2", Московская область, Серебряно-Прудский район,   с.Мягкое  (около торгового центра)</t>
  </si>
  <si>
    <t>Песочница " Стандарт тип 2", Московская область, Серебряно-Прудский район,   с. Глубокое ( между жилыми домами № 11,12,13)</t>
  </si>
  <si>
    <t>Детское игровое оборудование, Московская область, Серебряно-Прудский район,   с. Глубокое, д.14 (качели-балансир "Дружок", песочница стандарт тип2, карусель "Ромашка")</t>
  </si>
  <si>
    <t>Детское игровое оборудование, Московская область, Серебряно-Прудский район,   с.Мягкое, д.11,   (качели-балансир "Дружок", песочница стандарт тип2, карусель "Ромашка"</t>
  </si>
  <si>
    <t>Косилка роторная КРН - 2,1 Б, Московская область, Серебряно-Прудский район,  с. Узуново, ул. Советская,  д.5 , 1шт</t>
  </si>
  <si>
    <t xml:space="preserve">Светильники уличного освещения, Московская область, Серебряно-Прудский район,   д. Титеево, 2шт </t>
  </si>
  <si>
    <t xml:space="preserve">Светильники уличного освещения, Московская область, Серебряно-Прудский район,   д. Васильевское, 4 шт. </t>
  </si>
  <si>
    <t xml:space="preserve">Светильники уличного освещения, Московская область, Серебряно-Прудский район,   д. Беззубово, 2шт </t>
  </si>
  <si>
    <t xml:space="preserve">Электрические сети уличного освещения, Московская область, Серебряно-Прудский район,   д. Большое Орехово, 240 м/2 шт </t>
  </si>
  <si>
    <t xml:space="preserve">Детское игровое оборудование, Московская область, Серебряно-Прудский район,  с. Узуново,мкр-н Южный, д. № 6,                     S-019 </t>
  </si>
  <si>
    <t xml:space="preserve">Детское игровое оборудование, Московская область, Серебряно-Прудский район,  с. Узуново,мкр-н Южный, д. № 30,                   S-8916 </t>
  </si>
  <si>
    <t xml:space="preserve">Детское игровое оборудование, Московская область, Серебряно-Прудский район,  с. Узуново,мкр-н Южный, д. № 35,                   А-8915   </t>
  </si>
  <si>
    <t xml:space="preserve">Московская область, Серебряно-Прудский район,  с. Узуново,ул. Почтовая, д. № 9а,           С-0020   </t>
  </si>
  <si>
    <t>Детское игровое оборудование, Московская область, Серебряно-Прудский район,  с. Мягкое,  В-004</t>
  </si>
  <si>
    <t xml:space="preserve">Горка большая " Вертикаль" скат 3 м, Московская область, Серебряно-Прудский район,  с. Глубокое   </t>
  </si>
  <si>
    <t xml:space="preserve">Песочница с грибом, Московская область, Серебряно-Прудский район,  с. Узуново,ул. Почтовая, д. ЭЧК-69  </t>
  </si>
  <si>
    <t>Качалка балансир, Московская область, Серебряно-Прудский район,   с.  Крутое , д. 22,  1 шт</t>
  </si>
  <si>
    <t>Детское игровое оборудование, Московская область, Серебряно-Прудский район,  п. Новоклемово (между д. № 17 и № 22), качалка балансир    Б 057, 1 шт</t>
  </si>
  <si>
    <t xml:space="preserve"> Зимний развлекательный комплекс "Евпатория-2" Московская область, Серебряно-Прудский район,   с. Узуново, ул. Советская, д.5   (площадь),, 1 шт</t>
  </si>
  <si>
    <t>Московская область, Серебряно-Прудский район,   с. Петрово, д.3,  детское игровое оборудование ( песочница Романа-1 шт.,качалка двойная ИО-1.4.05.00 - 1 шт., качели двойные ИО 3.3.06.00-1 шт., карусель вращающейся платформой ИО-1.2.03.06-1шт., МФ-1.5.08.01- 2шт.,скамья Романа- 2шт., игровой комплекс Романа-1шт., карусель с сидениями ИО-1.2.03.04-1шт.)</t>
  </si>
  <si>
    <t>Пандус откидной, Московская область, Серебряно-Прудский район, с. Узуново, мкр-н Южный. д.26, 1 шт</t>
  </si>
  <si>
    <t>Пандус откидной, Московская область, Серебряно-Прудский район, с. Мягкое, д.24, 1 шт</t>
  </si>
  <si>
    <t>Вагончик бытовой, Московская область, Серебряно-Прудский район,   с.Узуново (территория котельной), 1 шт</t>
  </si>
  <si>
    <t>Колокол пожарный, Московская область, Серебряно-Прудский район,   с.Узуново ( территория  населенных пунктов с/п Узуновсоке), 20 шт</t>
  </si>
  <si>
    <t>Контейнеры ТБО 1 куб.м., Московская область, Серебряно-Прудский район,   с.Узуново, 24 шт</t>
  </si>
  <si>
    <t>000000000007</t>
  </si>
  <si>
    <t>Автомобиль ГАЗ 53 АЦ, гос. номер В 006 ЕМ 190, VIN XTH531200K1254822 сп Узуновское</t>
  </si>
  <si>
    <t>000000000006</t>
  </si>
  <si>
    <t>Музыкальная установка (Осип)</t>
  </si>
  <si>
    <t xml:space="preserve">1010420206                    </t>
  </si>
  <si>
    <t>Гармонь  "Заказная"</t>
  </si>
  <si>
    <t xml:space="preserve">1010420445                    </t>
  </si>
  <si>
    <t xml:space="preserve">101060335                     </t>
  </si>
  <si>
    <t>Оперативное управление Муниципального учреждения  для физкультурно-оздоровительной и  спортивной работы  по  месту жительства « Сельский спортивный клуб Вятич»</t>
  </si>
  <si>
    <t>кондиционер</t>
  </si>
  <si>
    <t>Система доступа</t>
  </si>
  <si>
    <t>Комплект ограждений за воротами</t>
  </si>
  <si>
    <t>Пневматическая винтовка Walther</t>
  </si>
  <si>
    <t>машина фальцевальная настольная Office Mate 2D</t>
  </si>
  <si>
    <t>Муниципальное автономное учреждение "Парк культуры и отдыха городского округа Серебряные Пруды "СЕРЕБРЯНЫЙ"</t>
  </si>
  <si>
    <t>Устав Утвержденный постановлением администрации городского округа Серебряные Пруды МО от 18.03.2016г №418</t>
  </si>
  <si>
    <t>142970,Московская область, Серебряно-Прудский район, с.Дудино д.40</t>
  </si>
  <si>
    <t xml:space="preserve">142960, Московская
область, Серебряно-
Прудский  район, с. Узуново, ул. Советская, д. 25 а
</t>
  </si>
  <si>
    <t>142970, МО, Серебряно-Прудский район, рп Серебряные Пруды, ул. Советская, д.5</t>
  </si>
  <si>
    <t>10000 руб. /100%</t>
  </si>
  <si>
    <t>Муниципальное учреждение культуры "Культурно-досуговый центр Узуновское городского округа Серебряные Пруды Московской области"</t>
  </si>
  <si>
    <t>142970,Московская область, Серебряно-Прудский район, г.п. Серебряные Пруды, ул. Первомайская, д.3</t>
  </si>
  <si>
    <t>Муниципальное унитарное предприятие "Комбинат коммунально-бытового хозяйства городского поселения Серебряные Пруды»</t>
  </si>
  <si>
    <t>142970,Московская областьСеребряно-Прудский район р.п. Серебряные Пруды ул.Ильи Садофьева д.15</t>
  </si>
  <si>
    <t>Решение Совета депутатов городского поселения Серебряные Пруды от 31.01.2006 №15/3</t>
  </si>
  <si>
    <t>1327609,88/521197,71</t>
  </si>
  <si>
    <t>Московская область, Серебряно-Прудский р-н, с. Подхожее, м-н Юбилейный, д. 10</t>
  </si>
  <si>
    <t>МО,Серебряно-Прудский р-он,п. Успенский,ул. 50 лет Октября,д.15</t>
  </si>
  <si>
    <t xml:space="preserve">ОГРН 1085019001627 от 29.10.2008  </t>
  </si>
  <si>
    <t>Устав, утвержденный Постановлением Главы Серебряно-Прудского муниципального района № 207 от 17.05.2004г. Устав, утвержденыый Постановлением администрации городского округа Серебряные пруды Московской области от 18.03.2016г № 416</t>
  </si>
  <si>
    <t>Муниципальное учреждение "Центральный Дом культуры городского округа Серебряные Пруды Московской области"</t>
  </si>
  <si>
    <t>Устав, утвержденный Постановлением Главы Серебряно-Прудского муниципального района № 1051 от 13.12.2007г. Устав, утвержденный Постановлением администрации городского коруга Серебряные пруды Московской области от 16.03.2016г 3 397</t>
  </si>
  <si>
    <t>Муниципальное учреждение "Мемориальный Дом-музей Дважды Героя Советского Союза Маршала Советского Союза Василия Ивановича Чуйкова" городского округа Серебряные Пруды Московской области</t>
  </si>
  <si>
    <t>Устав, утвержденный Постановлением Главы Серебряно-Прудского муниципального района № 157 от 20.02.2008г. Устав, утвержденный Постановлением администрации городского округа Серебряные пруды Московсой области от 30.03.2016г № 511</t>
  </si>
  <si>
    <t>Муниципальное учреждение культуры "Централизованная библиотечная система городского округа Серебряные пруды Московской области".</t>
  </si>
  <si>
    <t>Устав, утвержденный Постановлением Главы Серебряно-Прудского муниципального района № 653 от 11.10.2006г. Устав, утвержденный Постановлением администрации городского округа Серебряные пруды Московсой области от 12.02.2016г № 216</t>
  </si>
  <si>
    <t>Муниципальная бюджетная образовательная организация дополнительного образования "Серебряно-Прудская школа искуств им. П.Н. Новикова"</t>
  </si>
  <si>
    <t>Постановление администрации Серебряно-Прудского муниципального района от 25.11.2015г №1765, Устав, утвержденный Постановлением главы городского округа Серебряные пруды Московсой области от 09.03.2016г № 327</t>
  </si>
  <si>
    <t xml:space="preserve">Муниципальное бюджетное учреждение дополнительного образования "Школа искусств имени А.Д. Кившенко". </t>
  </si>
  <si>
    <t>Устав, утвержденный Постановлением Главы Серебряно-Прудского муниципального района № 385 от 30.09.2002г. Устав, утвержденный Постановлением администрации городского округа Серебряные пруды Московсой области от 23.03.2016г № 451</t>
  </si>
  <si>
    <t xml:space="preserve">Муниципальное бюджетное учреждение дополнительного образования "Узуновская школа искусств".  </t>
  </si>
  <si>
    <t>Устав, утвержденный Постановлением Главы Серебряно-Прудского муниципального района № 519  от 12.11.2001г. Устав, утвержденный Постановлением администрации городского округа Серебряные пруды Московсой области от 23.03.2016г № 511</t>
  </si>
  <si>
    <t>Постановление администрации Серебряно-Прудского муниципального района № 158  от 20.02.15г. Устав, утвержденный Постановлением администрации городского округа Серебряные пруды Московсой области от 08.04.2016г № 647</t>
  </si>
  <si>
    <t>Муниципальное образовательное учреждение дополнительного образования "Серебряно-Прудская детско-юношеская спортивная школа"Юность".</t>
  </si>
  <si>
    <t>Устав, утвержденный Постановлением Главы Серебряно-Прудского муниципального района Московской обл.  №159 от 07.04. 2004г. Устав, утвержденный Постановлением администрации городского округа Серебряные пруды Московсой области от 22.03.2016г № 433</t>
  </si>
  <si>
    <t xml:space="preserve">Муниципальное учреждение  для физкультурно-оздоровительной и  спортивной работы  по  месту жительства « Сельский спортивный клуб Вятич» городского округа Серебряные Пруды Московской области
</t>
  </si>
  <si>
    <t>Устав утвержденный решением Совета депутатов сельского поселения Узуновское Московской области, Устав, утвержденный Постановлением администрации городского округа Серебряные пруды Московсой области от 14.03.2016г № 368</t>
  </si>
  <si>
    <t>Муниципальное учреждение для физкультурно-оздоровительной работы по месту жительства " Спортивный Клуб "Серебряные Пруды".</t>
  </si>
  <si>
    <t>Устав, утвержденный Постановлением Главы Серебряно-Прудского муниципального района Московской обл. №137 от 15.03.2004г. Устав, утвержденный Постановлением администрации городского округа Серебряные пруды Московсой области от 15.03.2016г № 385</t>
  </si>
  <si>
    <t>Муниципальное физкультурно-оздоровительное спортивное учреждение спорткомплекс "Молодежный" городского округа Серебряные Пруды Московской области</t>
  </si>
  <si>
    <t>Устав, утвержденный Постановлением Главы Серебряно-Прудского муниципального района №16 от 28.01.2005г. Устав, утвержденный Постановлением администрации городского округа Серебряные пруды Московсой области от 14.03.2016г № 374</t>
  </si>
  <si>
    <t>Муниципальное физкультурно-оздоровительное спортивное учреждение "Физкультурно-оздоровительный комплекс имени Героя России С.А. Фирсова" городского округа Серебряные Пруды Московской области</t>
  </si>
  <si>
    <t>Управление по образованию Администрации городского округа Серебряные Пруды Московской области</t>
  </si>
  <si>
    <t>Постановление администрации Серебряно-Прудского муниципального района №571  от 20.06.2012г., Положение об Управлении по образовнию администрации городского округа Серебряные пруды Москоской области, утверждённое Рещшением Совета депутатов городского округа Серебряные Пруды Московской области от 08.02.2016г № 714/71</t>
  </si>
  <si>
    <t>Контрольно-счетная палата городского округа Серебряные Пруды Московской области</t>
  </si>
  <si>
    <t>Решение Совета депутатов Серебряно-Прудского муниципального района Московской бласти от 18.12.2013 № 280/29 «О создании Контрольно-счетной палаты Серебряно-Прудского муниципального района Московской области с правами юридического лица».</t>
  </si>
  <si>
    <t>Устав, утвержденный постановлением администрации Серебряно-Прудского района от 03.09.2014г. Устав, утвержденный Постановлением администрации городского округа Серебряные Пруды Московской области от 11.03.2016г №349</t>
  </si>
  <si>
    <t>Финансовое управление администрации городского округа Серебряные Пруды Московской области</t>
  </si>
  <si>
    <t>Положение о Финансовое управление администрации городского округа Серебряные Пруды Московской области, утвержденное Решением Совета депутатов городского округа Серебряные Пруды Московской области от 08.02.2016г №713/71</t>
  </si>
  <si>
    <t>Московская область, Серебряно-Прудский район, р. п. Серебряные Пруды, ул.Первомайская, 4</t>
  </si>
  <si>
    <t>Московская область, Серебряно-Прудский район, р. п. Серебряные Пруды, ул.Первомайская, 11</t>
  </si>
  <si>
    <t>Устав, утвержденный Постановление администрации городского округа Серебряные Пруды Московской области от 19.02.2016г №249</t>
  </si>
  <si>
    <t>Муниципальное автономное учреждение "Многофункциональный центр предоставления государственных и муниципальных услуг" городского округа Серебряные Пруды Московской области</t>
  </si>
  <si>
    <t>Постановление администрации Серебряно-Прудского муниципального района № 351 от 02.04.15г. Устав, утвержденный Постановлением администрации городского округа Серебряные Пруды Московской области от 08.04.2016г № 650, Принят управляющим советом 07.04.2016г</t>
  </si>
  <si>
    <t>Постановление администрации Серебряно-Прудского муниципального района №284 от 25.03.15г. Устав, утвержденный Постановлением администрации городского округа Серебряные Пруды Московской области от 08.04.2016г № 635. Принят управляющим советом, Протокол №5 от 25.03.2016г</t>
  </si>
  <si>
    <t>Постановление администрации Серебряно-Прудского муниципального района №331  от 30.03.15г. Устав, утвержденный Постановлением администрации городского округа Серебряные Пруды Московской области от 12.04.2016г № 662. Принят управляющим советом, Протокол №3 от 24.03.2016г</t>
  </si>
  <si>
    <t>Постановление администрации Серебряно-Прудского муниципального района №314 от 27.03.15г. Устав, утвержденный Постановлением администрации городского округа Серебряные Пруды Московской области от 08.04.2016г № 635. Принят управляющим советом, Протокол №11 от 04.04.2016г</t>
  </si>
  <si>
    <t>Постановление администрации Серебряно-Прудского муниципального района №1313 от 01.09.14г. Устав, утвержденный Постановлением администрации городского округа Серебряные Пруды Московской области от 05.04.2016г № 605. Принят управляющим советом, Протокол №8 от 25.03.2016г</t>
  </si>
  <si>
    <t>Постановление администрации Серебряно-Прудского муниципального района № 310 от  26.03.15г. Устав, утвержденный Постановлением администрации городского округа Серебряные Пруды Московской области от 12.04.2016г № 661. Принят управляющим советом, Протокол №9 от 18.03.2016г</t>
  </si>
  <si>
    <t>Постановление администрации Серебряно-Прудского муниципального района №309 от 26.03.15г. Устав, утвержденный Постановлением администрации городского округа Серебряные Пруды Московской области от 08.04.2016г № 648. Принят управляющим советом, Протокол №7 от 23.03.2016г</t>
  </si>
  <si>
    <t>Постановление администрации Серебряно-Прудского муниципального района №283  от 25.03.15г. Устав, утвержденный Постановлением администрации городского округа Серебряные Пруды Московской области от 08.04.2016г № 637. Принят управляющим советом, Протокол №4 от 30.03.2016г</t>
  </si>
  <si>
    <t>Постановление администрации Серебряно-Прудского муниципального района №287 от25.03.15г. Устав, утвержденный Постановлением администрации городского округа Серебряные Пруды Московской области от 08.04.2016г № 634. Принят управляющим советом, Протокол №7 от 21.03.2016г</t>
  </si>
  <si>
    <t>Постановление администрации Серебряно-Прудского муниципального района № 719  от 13.05.14г. Устав, утвержденный Постановлением администрации городского округа Серебряные Пруды Московской области от 01.04.2016г № 582. Принят управляющим советом, Протокол №9 от 21.03.2016г</t>
  </si>
  <si>
    <t>50:39:0070301:16</t>
  </si>
  <si>
    <t>Артскважина Успенское ЖКХ,  глубина 65м, 1991г, инв. 014143</t>
  </si>
  <si>
    <t>Постановление администрации Серебряно-Прудского муниципального района № 285 от 25.03.15г. Устав, утвержденный Постановлением администрации городского округа Серебряные Пруды Московской области от 08.04.2016г № 638. Принят управляющим советом, Протокол №10 от 04.04.2016г</t>
  </si>
  <si>
    <t>Постановление администрации Серебряно-Прудского муниципального района №288 от 25.03.15г. Устав, утвержденный Постановлением администрации городского округа Серебряные Пруды Московской области от 11.05.2016г № 870. Принят общим собранием, Протокол №2 от 04.05.2016г</t>
  </si>
  <si>
    <t>Постановление администрации Серебряно-Прудского муниципального района №312 от 22.03.15г. Устав, утвержденный Постановлением администрации городского округа Серебряные Пруды Московской области от 16.05.2016г № 925. Принят общим собранием, Протокол №3 от 07.04.2016г</t>
  </si>
  <si>
    <t>Постановление администрации Серебряно-Прудского муниципального района № 253  от 17.03.15г. Устав, утвержденный Постановлением администрации городского округа Серебряные Пруды Московской области от 25.04.2016г № 782.</t>
  </si>
  <si>
    <t>Постановление администрации Серебряно-Прудского муниципального района № 336  от01.04.15г. Устав, утвержденный Постановлением администрации городского округа Серебряные Пруды Московской области от 12.05.2016г № 879. Принят общим собранием, Протокол №2 от 12.04.2016г</t>
  </si>
  <si>
    <t>Постановление администрации Серебряно-Прудского муниципального района №337 от 01.04.15г. Устав, утвержденный Постановлением администрации городского округа Серебряные Пруды Московской области от 23.05.2016г № 991. Принят общим собранием, Протокол №3 от 29.04.2016г</t>
  </si>
  <si>
    <t>Постановление администрации Серебряно-Прудского муниципального района №307 от 26.03.15г. Устав, утвержденный Постановлением администрации городского округа Серебряные Пруды Московской области от 12.05.2016г № 880. Принят общим собранием, Протокол №3 от 05.04.2016г</t>
  </si>
  <si>
    <t>Постановление администрации Серебряно-Прудского муниципального района №273 от 24.03.2015г. Устав, утвержденный Постановлением администрации городского округа Серебряные Пруды Московской области от 17.05.2016г №936. Принят общим собранием, Протокол №2 от 30.04.2016г</t>
  </si>
  <si>
    <t>Постановление администрации Серебряно-Прудского муниципального района № 373  от 07.04.15г. Устав, утвержденный Постановлением администрации городского округа Серебряные Пруды Московской области от 23.05.2016г № 990. Принят общим собранием, Протокол №3 от 20.05.2016г</t>
  </si>
  <si>
    <t>Постановление администрации Серебряно-Прудского муниципального района №1363  от 23.12.2011г. Устав, утвержденный Постановлением администрации городского округа Серебряные Пруды Московской области от 25.04.2016г № 704.</t>
  </si>
  <si>
    <t>Постановление администрации Серебряно-Прудского муниципального района № 308 от 26.03.15г. Устав, утвержденный Постановлением администрации городского округа Серебряные Пруды Московской области от 12.05.2016г № 898. Принят общим собранием, Протокол №2 от 21.04.2016г</t>
  </si>
  <si>
    <t>Постановление администрации Серебряно-Прудского муниципального района №1611  от 02.11.15г. Устав, утвержденный Постановлением администрации городского округа Серебряные Пруды Московской области от 25.04.2016г № 783</t>
  </si>
  <si>
    <t>Постановление администрации Серебряно-Прудского муниципального района № 313 от 27.03.15г. Устав, утвержденный Постановлением администрации городского округа Серебряные Пруды Московской области от 18.05.2016г № 955. Принят общим собранием, Протокол №4 от 05.04.2016г</t>
  </si>
  <si>
    <t>Постановление администрации Серебряно-Прудского муниципального района № 306 от 26.03.15г. Устав, утвержденный Постановлением администрации городского округа Серебряные Пруды Московской области от 11.05.2016г № 870. Принят общим собранием, Протокол №2 от 20.04.2016г</t>
  </si>
  <si>
    <t>Постановление администрации Серебряно-Прудского муниципального района №252 от17.03.15г. Устав, утвержденный Постановлением администрации городского округа Серебряные Пруды Московской области от 12.05.2016г № 881. Принят общим собранием, Протокол №4 от 22.04.2016г</t>
  </si>
  <si>
    <t>Постановление администрации Серебряно-Прудского муниципального района № 229 от 30.03.15г.  Устав, утвержденный Постановлением администрации городского округа Серебряные Пруды Московской области от 18.05.2016г № 954. Принят общим собранием, Протокол №3 от 05.04.2016г</t>
  </si>
  <si>
    <t>Муниципальное учреждение дополнительного образования  "Серебряно-Прудский Дом детского творчества"</t>
  </si>
  <si>
    <t>Постановление администрации Серебряно-Прудского муниципального района №157 от 20.02.15г. Устав, утвержденный Постановлением администрации городского округа Серебряные Пруды Московской области от 08.04.2016г № 649.</t>
  </si>
  <si>
    <t>Муниципальное учреждение дополнительного профессионального образования "Информационно-методический центр"</t>
  </si>
  <si>
    <t>Постановление администрации Серебряно-Прудского муниципального района №1215 от 07.11.2008г. Устав, утвержденный Постановлением администрации городского округа Серебряные пруды Московской области от 25.04.2016г № 781</t>
  </si>
  <si>
    <t>Постановление администрации Серебряно-Прудского муниципального района № 1610 от  02.11.15г. Устав, утвержденный Постановлением администрации городского округа Серебряные Пруды Московской области от 25.04.2016г № 785.</t>
  </si>
  <si>
    <t>Договор № 22/2016 передачи жилого помещения муниципального жилищного фонда в собственность граждан от 13.04.2016г</t>
  </si>
  <si>
    <t>Общество с ограниченной ответственностью "Специализированная служба"</t>
  </si>
  <si>
    <t>ГК РФ, ФЗ "Об Обществах с ограниченной ответственностью", Договор об учреждении от 20.01.2011г. Устав, утвержденный постановлением администрации городского округа Серебряные Пруды Московской области от 09.03.2016г №326</t>
  </si>
  <si>
    <t>ОГРН 1115019000579 от  18.03.2011г</t>
  </si>
  <si>
    <t>ОГРН 1095019000504 от 26.05.2009г</t>
  </si>
  <si>
    <t>ОГРН 1085019000659 от 16.04.2008г</t>
  </si>
  <si>
    <t>ОГРН 1155019000366 от 22.04.2015</t>
  </si>
  <si>
    <t>ОГРН 1135019001050 от 30.12.2013</t>
  </si>
  <si>
    <t xml:space="preserve">ОГРН 1025007731210 от                         20.01.2006г.       .                 </t>
  </si>
  <si>
    <t>ОГРН 1085019001814  от                 17.12.2008г.</t>
  </si>
  <si>
    <t>ОГРН 1025007731055 от                         18.10.2002г.</t>
  </si>
  <si>
    <t>ОГРН 1025007732530 от                        24.12.2002г.</t>
  </si>
  <si>
    <t>ОГРН 1025007731407 от                            05.11.2002г.</t>
  </si>
  <si>
    <t>ОГРН 1025007731319 от                                   01.11.2002г.</t>
  </si>
  <si>
    <t>ОГРН  1025007731396 от                                         05.11.2002г.</t>
  </si>
  <si>
    <t>ОГРН 1025007731374 от                               05.11.2002г.</t>
  </si>
  <si>
    <t>ОГРН 1025007731550 от                                            13.11.2002г.</t>
  </si>
  <si>
    <t>ОГРН 1025007731330 от                        30.12.2003г.</t>
  </si>
  <si>
    <t>ОГРН 1025007731638  от              18.11.2002г.</t>
  </si>
  <si>
    <t>ОГРН 1025007731583 от                                13.11.2002г.</t>
  </si>
  <si>
    <t>ОГРН  025007731594  от                       13.11.2002г.</t>
  </si>
  <si>
    <t>ОГРН 1025007731616 от                       18.11.2002г.</t>
  </si>
  <si>
    <t>ОГРН 1025007731154 от                        28.10.2002г.</t>
  </si>
  <si>
    <t>ОГРН 1025007731132 от                           24.10.2002г.</t>
  </si>
  <si>
    <t>ОГРН 1025007731253 от                           22.09.2003г.</t>
  </si>
  <si>
    <t>ОГРН 1025007731165 от                              23.09.2003г.</t>
  </si>
  <si>
    <t>ОГРН 1035011750883 от                    14.02.2003г.</t>
  </si>
  <si>
    <t>ОГРН 1025007731484 от         22.09.2003г.</t>
  </si>
  <si>
    <t>ОГРН 1025007731572 от               22.09.2003г.</t>
  </si>
  <si>
    <t>ОГРН 1025007731561 от                         23.09.2003г.</t>
  </si>
  <si>
    <t xml:space="preserve">ОГРН 1025007731539 от                  07.10.2003г.    </t>
  </si>
  <si>
    <t>ОГРН 1025007731385 от                           05.11.2002г.</t>
  </si>
  <si>
    <t>ОГРН 1025007731418 от                             02.07.1996г.</t>
  </si>
  <si>
    <t>ОГРН 1025007731814 от                                   22.09.2003г.</t>
  </si>
  <si>
    <t>ОГРН 1025007730659 от                19.08.2002г.</t>
  </si>
  <si>
    <t>ОГРН 1025007731792  от                 22.11.2002г.</t>
  </si>
  <si>
    <t>ОГРН 1025007731781 от                        22.11.2002г.</t>
  </si>
  <si>
    <t>ОГРН 1025007731847 от                              28.11.2002г.</t>
  </si>
  <si>
    <t>ОГРН 1025007731704 от                                 20.11.2002г.</t>
  </si>
  <si>
    <t>ОГРН 1085019000220 от 23.01.2008г.</t>
  </si>
  <si>
    <t>ОГРН 1055012802063 от 31.03.2005г.</t>
  </si>
  <si>
    <t>ОГРН 1045011751762, 15.11.2004г.</t>
  </si>
  <si>
    <t>ОГРН 1045011751773 от 17.11.2004г.</t>
  </si>
  <si>
    <t>ОГРН 1055012801942 от 29.03.2005г.</t>
  </si>
  <si>
    <t>ОГРН 1085019000230 от 23.01.2008г.</t>
  </si>
  <si>
    <t>ОГРН 1075019002046 от 29.12.2007г.</t>
  </si>
  <si>
    <t>ОГРН 1035011751818 от 22.10.2003г.</t>
  </si>
  <si>
    <t>ОГРН 1065019013531 от 01.11.2006г.</t>
  </si>
  <si>
    <t>ОГРН 1045011750706 от 23.07.2004г.</t>
  </si>
  <si>
    <t>ОГРН 1035011750355 от 15.01.2003г.</t>
  </si>
  <si>
    <t>ОГРН 1025007730912 от 03.10.2002г.</t>
  </si>
  <si>
    <t>ОГРН 1025007731693 от 20.11.2002г.</t>
  </si>
  <si>
    <t>ОГРН 1145019011280 от 26.12.2014г</t>
  </si>
  <si>
    <t>ОГРН 1165019050250 от 29.03.2016г</t>
  </si>
  <si>
    <t>ОГРН 1135019000764 от 01.11.2013г</t>
  </si>
  <si>
    <t>ОГРН 1065019003411 от 15.03.2006г</t>
  </si>
  <si>
    <t>ОГРН 1065019013025 от 31.08.2006г</t>
  </si>
  <si>
    <t>ОГРН 111501900250 от 17.02.2011г</t>
  </si>
  <si>
    <t>ОГРН 1065019010198 от 31.03.2006г</t>
  </si>
  <si>
    <t>Земельный участок Категория земель - земли населённых пунктов. ВРИ - для обслуживания и эксплуатации действующей котельной</t>
  </si>
  <si>
    <t xml:space="preserve">  Московская область, Серебряно-Прудский район, с. Мягкое, д.1Б</t>
  </si>
  <si>
    <t>50:39:0020316:47</t>
  </si>
  <si>
    <t>Земельный участок Категория земель - земли населённых пунктов. ВРИ - для эксплуатации водозаборного узла второго подъема</t>
  </si>
  <si>
    <t xml:space="preserve">  Московская область, Серебряно-Прудский район, рп Серебряные Пруды, ул. Комсомольская</t>
  </si>
  <si>
    <t>50:39:0050405:26</t>
  </si>
  <si>
    <t>Выписка из ЕГРП, регистрация № 50-50/039-50/999/001/2016-21506/1 от 06.12.2016</t>
  </si>
  <si>
    <t>Земельный участок Категория земель - земли населённых пунктов. ВРИ - для обслуживания артезианской скважины "Дмитриевка -1!</t>
  </si>
  <si>
    <t xml:space="preserve">  Московская область, Серебряно-Прудский район, п. Дмитриевский</t>
  </si>
  <si>
    <t>50:39:0080105:36</t>
  </si>
  <si>
    <t>Выписка из ЕГРП, регистрация № 50-50/039-50/999/001/2016-20799/1 от 06.12.2016</t>
  </si>
  <si>
    <t>Земельный участок Категория земель - земли населенных пунктов, ВРИ -для обслуживания и эксплуатации муниципальной дороги</t>
  </si>
  <si>
    <t>50:39:0030305:112</t>
  </si>
  <si>
    <t>Постоянное (бессрочное) пользование сп Узуновское</t>
  </si>
  <si>
    <t>Земельный участок Категория земель - земли населенных пунктов, ВРИ -для обслуживания дороги</t>
  </si>
  <si>
    <t>50:39:0020314:290</t>
  </si>
  <si>
    <t>Земельный участок Категория земель - земли населенных пунктов, ВРИ -для обслуживания автомобильной дороги</t>
  </si>
  <si>
    <t>Московская область, Серебряно-Прудский район, с. Глубокое, западная часть квартала 50:39:0020208</t>
  </si>
  <si>
    <t>50:39:0020208:360</t>
  </si>
  <si>
    <t>Московская область, Серебряно-Прудский район, с. Узуново, мкр-н "Северный"</t>
  </si>
  <si>
    <t>50:39:0030303:26</t>
  </si>
  <si>
    <t>Московская область, Серебряно-Прудский район, с. Петрово</t>
  </si>
  <si>
    <t>50:39:0010108:381</t>
  </si>
  <si>
    <t>50:39:0020208:454</t>
  </si>
  <si>
    <t>50:39:0010108:380</t>
  </si>
  <si>
    <t>Московская область, Серебряно-Прудский район, д.Скородня. Западная часть квартала 50:39:0010206</t>
  </si>
  <si>
    <t>50:39:0010206:39</t>
  </si>
  <si>
    <t>Земельный участок Категория земель - земли населенных пунктов, ВРИ -для обслуживания дорог</t>
  </si>
  <si>
    <t>Московская область, Серебряно-Прудский район, с. Мягкое, центральная часть квартала 50:39:0020316</t>
  </si>
  <si>
    <t>50:39:0020316:10</t>
  </si>
  <si>
    <t>Московская область, Серебряно-Прудский район, с.Узуново, ул. Садовая</t>
  </si>
  <si>
    <t>50:39:0030302:303</t>
  </si>
  <si>
    <t>Московская область, Серебряно-Прудский район, с.Узуново, ул.  Заречная, северная часть квартала 50:39:0030301</t>
  </si>
  <si>
    <t>50:39:0030301:48</t>
  </si>
  <si>
    <t>Московская область, Серебряно-Прудский район, дер. Лошатово, центральная часть квартала 50:39:0030404</t>
  </si>
  <si>
    <t>50:39:0030404:97</t>
  </si>
  <si>
    <t>Московская область, Серебряно-Прудский район, дер. Барыково, центральная часть квартала 50:39:0030405</t>
  </si>
  <si>
    <t>50:39:0030405:138</t>
  </si>
  <si>
    <t>50:39:0030305:114</t>
  </si>
  <si>
    <t>Московская область, Серебряно-Прудский район, с. Узуново, мкр-н Северный</t>
  </si>
  <si>
    <t>50:39:0030303:25</t>
  </si>
  <si>
    <t>50:39:0030305:113</t>
  </si>
  <si>
    <t>Московская область, Серебряно-Прудский район, д. Бокша, южная часть квартала 50:39:0020318</t>
  </si>
  <si>
    <t>50:39:0020318:90</t>
  </si>
  <si>
    <t>50:39:0020318:91</t>
  </si>
  <si>
    <t>Московская область, Серебряно-Прудский район, с. Колеймино, северная часть квартала 50:39:0030118</t>
  </si>
  <si>
    <t>Московская область, Серебряно-Прудский район, д. Толстые, южная часть квартала 50:39:0020321:180</t>
  </si>
  <si>
    <t>50:39:0020321:180</t>
  </si>
  <si>
    <t>Московская область, Серебряно-Прудский район, д. Боршово, центральная часть квартала 50:39:0010302</t>
  </si>
  <si>
    <t>50:39:0010302:274</t>
  </si>
  <si>
    <t>Московская область, Серебряно-Прудский район, д. Коровино, центральная часть квартала 50:39:0030107</t>
  </si>
  <si>
    <t>50:39:0030107:166</t>
  </si>
  <si>
    <t>50:39:0020106:648</t>
  </si>
  <si>
    <t>50:39:0020106:647</t>
  </si>
  <si>
    <t>50:39:0020111:42</t>
  </si>
  <si>
    <t>50:39:0030302:826</t>
  </si>
  <si>
    <t>Земельный участок Категория земель - земли населенных пунктов, ВРИ -для эксплуатации автомобильной дороги</t>
  </si>
  <si>
    <t>Московская область, Серебряно-Прудский район, д. Крытово - с. Малынь</t>
  </si>
  <si>
    <t>50:39:0000000:185</t>
  </si>
  <si>
    <t>50:39:0010305:200</t>
  </si>
  <si>
    <t>50:39:0020106:267</t>
  </si>
  <si>
    <t>50:39:0020106:268</t>
  </si>
  <si>
    <t>Земельный участок Категория земель - земли населенных пунктов, ВРИ -для обслуживания и эксплуатации здания бани</t>
  </si>
  <si>
    <t>Московская область, Серебряно-Прудский район, п. Новоклемово</t>
  </si>
  <si>
    <t>50:39:0040201:11</t>
  </si>
  <si>
    <t>Земельный участок Категория земель - земли населенных пунктов, ВРИ -для обслуживания и эксплуатации плотины для проезда автотранспорта</t>
  </si>
  <si>
    <t>Московская область, Серебряно-Прудский район, вблизи д. Есипово</t>
  </si>
  <si>
    <t>50:39:0020307:75</t>
  </si>
  <si>
    <t>50:39:0010302:660</t>
  </si>
  <si>
    <t>Земельный участок Категория земель - земли населенных пунктов, ВРИ -для размещения объектов торговли, общественного питания и бытового обслуживания</t>
  </si>
  <si>
    <t>50:39:0030305:968</t>
  </si>
  <si>
    <t>Земельный участок Категория земель - земли населенных пунктов, ВРИ -для обслуживания памятника погибшим воинам в 1941-1945гг</t>
  </si>
  <si>
    <t>50:39:0030303:464</t>
  </si>
  <si>
    <t>Земельный участок Категория земель - земли населенных пунктов, ВРИ -для обслуживания братской могилы погибшим воинам в 1941-1945 гг</t>
  </si>
  <si>
    <t>50:39:0030305:967</t>
  </si>
  <si>
    <t>Земельный участок Категория земель - земли населенных пунктов, ВРИ -для обслуживания памятника погибшим воинам в 1941-1945 гг</t>
  </si>
  <si>
    <t>50:39:0010108:894</t>
  </si>
  <si>
    <t>50:39:0020106:650</t>
  </si>
  <si>
    <t>Земельный участок Категория земель - земли населенных пунктов, ВРИ -для эксплуатации и обслуживания шахтного колодца</t>
  </si>
  <si>
    <t>50:39:0010105:72</t>
  </si>
  <si>
    <t>Земельный участок Категория земель - земли населенных пунктов, ВРИ -для эксплуатации и обслуживания водозаборного узла</t>
  </si>
  <si>
    <t>50:39:0040202:776</t>
  </si>
  <si>
    <t>Земельный участок Категория земель - земли населенных пунктов, ВРИ -для эксплуатации и обслуживания блочно-модульной котельной</t>
  </si>
  <si>
    <t>50:39:0030305:995</t>
  </si>
  <si>
    <t>Земельный участок Категория земель - земли населенных пунктов, ВРИ -для обслуживания и эксплуатация действующей котельной</t>
  </si>
  <si>
    <t>Московская область, Серебряно-Прудский район, с. Глубокое, д.73Б</t>
  </si>
  <si>
    <t>50:39:0020208:1089</t>
  </si>
  <si>
    <t>Земельный участок Категория земель - земли населенных пунктов, ВРИ -для эксплуатация автомобильной дороги</t>
  </si>
  <si>
    <t>Московская область, Серебряно-Прудский район, д. Большое Орехово</t>
  </si>
  <si>
    <t>50:39:0000000:203</t>
  </si>
  <si>
    <t>50:39:0020206:255</t>
  </si>
  <si>
    <t>50:39:0030124:150</t>
  </si>
  <si>
    <t>Московская область, Серебряно-Прудский район, д. Должиково</t>
  </si>
  <si>
    <t>50:39:0000000:177</t>
  </si>
  <si>
    <t>Московская область, Серебряно-Прудский район, д. Красный Пахарь</t>
  </si>
  <si>
    <t>50:39:0010106:25</t>
  </si>
  <si>
    <t>Московская область, Серебряно-Прудский район, д. Ливадия</t>
  </si>
  <si>
    <t>50:39:0040204:64</t>
  </si>
  <si>
    <t>Московская область, Серебряно-Прудский район, д. Мозалово</t>
  </si>
  <si>
    <t>50:39:0020109:116</t>
  </si>
  <si>
    <t>50:39:0020112:254</t>
  </si>
  <si>
    <t>Московская область, Серебряно-Прудский район, д. Старомойгоры</t>
  </si>
  <si>
    <t>50:39:0000000:183</t>
  </si>
  <si>
    <t>Московская область, Серебряно-Прудский район, д. Тютьково</t>
  </si>
  <si>
    <t>50:39:0030108:103</t>
  </si>
  <si>
    <t>Московская область, Серебряно-Прудский район, д. Яковлевское</t>
  </si>
  <si>
    <t>50:39:0030208:168</t>
  </si>
  <si>
    <t>Московская область, Серебряно-Прудский район, с. Малынь</t>
  </si>
  <si>
    <t>50:39:0000000:178</t>
  </si>
  <si>
    <t>Московская область, Серебряно-Прудский район, с. Васильевское</t>
  </si>
  <si>
    <t>50:39:0000000:176</t>
  </si>
  <si>
    <t>Земельный участок Категория земель - земли населенных пунктов, ВРИ -для обслуживания эксплуатация муниципальной дороги</t>
  </si>
  <si>
    <t>50:39:0040202:364</t>
  </si>
  <si>
    <t>Московская область, Серебряно-Прудский район, д. Ларино</t>
  </si>
  <si>
    <t>50:39:0020108:69</t>
  </si>
  <si>
    <t>Московская область, Серебряно-Прудский район, д. Филино</t>
  </si>
  <si>
    <t>50:39:0000000:180</t>
  </si>
  <si>
    <t>Московская область, Серебряно-Прудский район, д. Накаплово</t>
  </si>
  <si>
    <t>50:39:0030105:185</t>
  </si>
  <si>
    <t>Земельный участок Категория земель - земли населенных пунктов, ВРИ -для обслуживания и эксплуатация муниципальной  дороги</t>
  </si>
  <si>
    <t>Московская область, Серебряно-Прудский район, д. Песочное</t>
  </si>
  <si>
    <t>50:39:0020107:84</t>
  </si>
  <si>
    <t>Московская область, Серебряно-Прудский район, с. Узуново, ул. Почтовая</t>
  </si>
  <si>
    <t>50:39:0030302:334</t>
  </si>
  <si>
    <t>50:39:0020317:212</t>
  </si>
  <si>
    <t>Земельный участок Категория земель - земли населенных пунктов, ВРИ -для обслуживания и эксплуатация блочно-модульной котельной</t>
  </si>
  <si>
    <t>50:39:0030302:865</t>
  </si>
  <si>
    <t>Решение Совета депутатов № 696/70, Выписка из ЕГРП, регистрация права № 50-50/001-50/999/001/2016-21287/2 от 06.12.2016</t>
  </si>
  <si>
    <t>Решение Совета депутатов № 697/70, Выписка из ЕГРП. Регистрация права №50-50/001-50/999/001/2016-21282/1 от 06.12.2016г</t>
  </si>
  <si>
    <t>Решение Совета депутатов № 698/70, Выписка из ЕГРП, регистрация права № 50-50/001-50/999/001/2016-21297/1 от 06.12.2016г</t>
  </si>
  <si>
    <t>50:39:0000000:4090</t>
  </si>
  <si>
    <t>50:39:0000000:4053</t>
  </si>
  <si>
    <t>50:39:0000000:4081</t>
  </si>
  <si>
    <t>50:39:0000000:4055</t>
  </si>
  <si>
    <t>Земельный участок Категория земель - земли сельскохозяйственного назначения, ВРИ -для обслуживания и эксплуатация муниципальной  дороги</t>
  </si>
  <si>
    <t>50:39:0010110:29</t>
  </si>
  <si>
    <t>50:39:0010108:1016</t>
  </si>
  <si>
    <t>50:39:0010109:145</t>
  </si>
  <si>
    <t>50:39:0000000:3549</t>
  </si>
  <si>
    <t>50:39:0000000:3554</t>
  </si>
  <si>
    <t>50:39:0030302:856</t>
  </si>
  <si>
    <t>50:39:0030304:158</t>
  </si>
  <si>
    <t>Московская область, Серебряно-Прудский район, с. Узуново, мкр-н Школьный</t>
  </si>
  <si>
    <t>50:39:0030304:157</t>
  </si>
  <si>
    <t>50:39:0030302:860</t>
  </si>
  <si>
    <t>50:39:0010302:661</t>
  </si>
  <si>
    <t>50:39:0000000:106</t>
  </si>
  <si>
    <t>Земельный участок Категория земель -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назначения, ВРИ -для эксплуатация автомобильной  дороги</t>
  </si>
  <si>
    <t>Земельный участок Категория земель - земли населенных пунктов, ВРИ -для эксплуатация и размещения водозаборного узла</t>
  </si>
  <si>
    <t>50:39:0020316:49</t>
  </si>
  <si>
    <t>50:39:0030303:24</t>
  </si>
  <si>
    <t>50:39:0030124:162</t>
  </si>
  <si>
    <t>Земельный участок Категория земель - земли населенных пунктов, ВРИ -для обслуживания и эксплуатации  водозаборного узла</t>
  </si>
  <si>
    <t>50:39:0020208:1236</t>
  </si>
  <si>
    <t>50:39:0050513:59</t>
  </si>
  <si>
    <t>Земельный участок. Категория земли - земли населенных пунктов, ВРИ - под кладбище</t>
  </si>
  <si>
    <t>Московская область, Серебряно-Прудский район, рп Серебряные Пруды, ул. Мичурина, северная часть квартала 50:39:0050513</t>
  </si>
  <si>
    <t>Решение СД Сер.-Пруд. Муниц. р-на МО  № 614/61 от 20.10.2015 Св-во о гос.рег-ии 50-АВ №322427, Выписка из ЕГРП, регистрация права № 50-50/039-50/999/001/2016-25604/2 от 19.12.2016г</t>
  </si>
  <si>
    <t>Земельный участок Категория земель - земли населенных пунктов, ВРИ -для эксплуатации и обслуживания двух артезианских скважин</t>
  </si>
  <si>
    <t>50:39:0060501:8</t>
  </si>
  <si>
    <t>Выписка из ЕГРП, регистрация № 50-50/039-50/999/001/2016-20791/1 от 06.12.2016г</t>
  </si>
  <si>
    <t xml:space="preserve">Собственность </t>
  </si>
  <si>
    <t>Распоряжение администрации Серебряно-Прудского муниципального района 278-р, свидет-во о регистрации права 50-БА 635501, выписка из ЕГРП, регистрация № 50-50/039-50/999/001/2016-3677/2 от 10.05.2016г</t>
  </si>
  <si>
    <t>Распоряжение администрации Серебряно-Прудского муниципального района 278-р, Свидет-во о регистрации права 50-БА 635540, Выписка из ЕГРП, регистрация № 50-50/039-50/999/001/2016-3661/2 от 10.05.2016г</t>
  </si>
  <si>
    <t>Распоряжение администрации Серебряно-Прудского муниципального района 278-р, свидет-во о регистрации права 50-БА 635537, Выписка из ЕГРП, регистрация № 50-50/039-50/999/001/2016-3682/2 от 10.05.2016</t>
  </si>
  <si>
    <t>50:39:0050508:85</t>
  </si>
  <si>
    <t>Постоянное (бессрочное) пользование МАУ "Парк культуры и отдыха го Серебряные Пруды "Серебряный", регистрация права № 50-50/039-50/039/0082016-4397/1 от 16.09.2016г</t>
  </si>
  <si>
    <t>Общая долевая собственность, 1/3 доля в праве, 15437 кв.м</t>
  </si>
  <si>
    <t>Общая долевая собственность, 1/3 доля в праве, 45563 кв.м</t>
  </si>
  <si>
    <t>Совместно-долевая собственность 5/612 доля в праве сп Успенское, 284991,83 кв.м</t>
  </si>
  <si>
    <t>Общая долевая собственность  (8/817 доля в праве на) 329662,67 кв.м.</t>
  </si>
  <si>
    <t>Совместно-долевая собственность 2/612 доля в праве, 113996,73 кв.м</t>
  </si>
  <si>
    <t>Общая долевая собственность, 1/3 доля в праве, 45563 кв.м.</t>
  </si>
  <si>
    <t>Общая долевая собственность, 1/3 доля в праве, 15437 кв.м.</t>
  </si>
  <si>
    <t>Нежилое помещение (3 комнаты)</t>
  </si>
  <si>
    <t>Постоянное (бессрочное) пользование Спорткомплекс "Молодёжный", Постановление администрации от 14.12.2016г №2624</t>
  </si>
  <si>
    <t xml:space="preserve">Московская область, городской округ Серебряные Прудып.Успенский </t>
  </si>
  <si>
    <t>Свидетельство о регистрации права 50-БА 534163</t>
  </si>
  <si>
    <t>Свидетельство о регистрации права 50-БА 534162</t>
  </si>
  <si>
    <t>Земельный участок Категория земель - земли сельскохозяйственного назначения, ВРИ -для коллективного садоводства организаций и предприятий г. Москвы</t>
  </si>
  <si>
    <t>Московская область, Серебряно-Прудский район, вблизи д. Кораблевка</t>
  </si>
  <si>
    <t>50:39:0080105:418</t>
  </si>
  <si>
    <t>Выписка из ЕГРП, регистрация № 50-50/039-50/039/008/2016-5720/2 от 18.12.2016г</t>
  </si>
  <si>
    <t>Выписка ЕГРП, регистрация права № 50-50-39/010/2012-380 от 03.12.2012г</t>
  </si>
  <si>
    <t>20.12.2016г</t>
  </si>
  <si>
    <t>Договор №19/2016 передачи жилого помещения муниципального жилищного фонда в собственность граждан от 24.03.2016г</t>
  </si>
  <si>
    <t>Свидет-во о регистрации права 50-ББ № 287605, Выписка из ЕГРП, регистрация № 50-50/001-50/999/001/2016-21999/2 от 08.12.2016г</t>
  </si>
  <si>
    <t>Земельный участок, Категория - земли населенных пунктов, ВРИ - для обслуживания здания нежилого назначения</t>
  </si>
  <si>
    <t>Московская область,Серебряно-Прудский район, с. Петрово, д.51</t>
  </si>
  <si>
    <t>50:39:0010108:304</t>
  </si>
  <si>
    <t>Выписка из ЕГРП. Регистрация № 50-50/039-50/999/001/2016-6655/1 от 28.06.2016</t>
  </si>
  <si>
    <t>Земельный участок. Категория земель: земли населённых пунктов. ВРИ - для эксплуатации улично-дорожной сети</t>
  </si>
  <si>
    <t>Московская область. Серебряно-Прудский район, рп Серебряные пруды. ул. Школьная</t>
  </si>
  <si>
    <t>50:39:0050503:69</t>
  </si>
  <si>
    <t>Выписка из ЕГРП, регистрация № 50-50/039-50/039/008/2016-3389/2</t>
  </si>
  <si>
    <t>50:39:0030303:506</t>
  </si>
  <si>
    <t>50:39:0030305:1022</t>
  </si>
  <si>
    <t>50:39:0030305:1019</t>
  </si>
  <si>
    <t>50:39:0060306:1052</t>
  </si>
  <si>
    <t>50:39:0040202:987</t>
  </si>
  <si>
    <t>50:39:0040202:988</t>
  </si>
  <si>
    <t>50:39:0020316:66</t>
  </si>
  <si>
    <t>50:39:0020208:1308</t>
  </si>
  <si>
    <t>50:39:0000000:4369</t>
  </si>
  <si>
    <t>50:39:0020106:791</t>
  </si>
  <si>
    <t>50:39:0040202:986</t>
  </si>
  <si>
    <t>50:39:0010110:37</t>
  </si>
  <si>
    <t>Артскважина  № 46 211754, глубина 117м, насос ЭЦВ-6-16-1401, год бурения 1969</t>
  </si>
  <si>
    <t>50:39:0010110:36</t>
  </si>
  <si>
    <t>50:39:0010110:41</t>
  </si>
  <si>
    <t>50:39:0010110:40</t>
  </si>
  <si>
    <t>50:39:0010110:38</t>
  </si>
  <si>
    <t>50:39:0030305:1021</t>
  </si>
  <si>
    <t>50:39:0020316:67</t>
  </si>
  <si>
    <t>50:39:0040202:993</t>
  </si>
  <si>
    <t>50:39:0020208:1307</t>
  </si>
  <si>
    <t>50:39:0030302:926</t>
  </si>
  <si>
    <t>50:39:0040202:989</t>
  </si>
  <si>
    <t>50:39:0020208:1303</t>
  </si>
  <si>
    <t>50:39:0020208:1304</t>
  </si>
  <si>
    <t>Артскважина  №2, инв. 1520190, лубина 70м, насос ЭЦВ-6-16-110, год бурения 1994,№ 46 211784</t>
  </si>
  <si>
    <t>50:39:0020106:789</t>
  </si>
  <si>
    <t>50:39:0030403:66</t>
  </si>
  <si>
    <t>Артскважина с павильоном. Глубина 80м, год ввода в эксплуатацию 1970 , инв. 1520312</t>
  </si>
  <si>
    <t>50:39:0030302:927</t>
  </si>
  <si>
    <t>50:39:030302:931</t>
  </si>
  <si>
    <t>50:39:0000000:4382</t>
  </si>
  <si>
    <t>Решение СД Сер.-Пруд. Муниц. р-на МО  № 614/61 от 20.10.2015 Св-во о гос.рег-ии 50-АЕ №811357, Выписка из ЕГРП, регистрация права от 27.12.2016г № 50-50/039-50/999/001/2016-26482/2</t>
  </si>
  <si>
    <t>Решение СД Сер.-Пруд. Муниц. р-на МО  № 614/61 от 20.10.2015 Св-во о гос.рег-ии 50-АЕ №978348, Выписка из ЕГРП, регистрация от 27.12.2016г № 50-50/039-50/999/001/2016-26479/2</t>
  </si>
  <si>
    <t>Решение СД Сер.-Пруд. Муниц. р-на МО  № 614/61 от 20.10.2015 Св-во о гос.рег-ии 50-АЕ №811075, Выписка из ЕГРП, регистрация от 27.12.2016г № 50-50/039-50/999/001/2016-26487/2</t>
  </si>
  <si>
    <t>Решение СД Сер.-Пруд. Муниц. р-на МО  № 614/61 от 20.10.2015 Св-во о гос.рег-ии 50-АВ №174101, Выписка из ЕГРП, регистрация от 27.12.2016г №50-50/039-50/999/001/2016-26475/2</t>
  </si>
  <si>
    <t xml:space="preserve"> Решение СД Сер.-Пруд. Муниц. р-на МО  № 614/61 от 20.10.2015 Св-во о гос.рег-ии 50-АБ №657526, выписка из ЕГРП, регистрация от 27.12.2016 № 50-50/039-50/999/001/2016-26470/2</t>
  </si>
  <si>
    <t>Решение СД Сер.-Пруд. Муниц. р-на МО  № 614/61 от 20.10.2015 Св-во о гос.рег-ии 50-АД №746156, Выписка из ЕГРП, регистрация от 27.12.2016г № 50-50/039-50/999/001/2016-26460/2</t>
  </si>
  <si>
    <t>Решение СД Сер.-Пруд. Муниц. р-на МО  № 614/61 от 20.10.2015 Св-во о гос.рег-ии 50-АЕ №292531, Выписка из ЕГРП, регистрация от 27.12.2016г № 50-50/039-50/999/001/2016-26463/2</t>
  </si>
  <si>
    <t>Свидет-во о регистрации права 50-ББ № 287610, Выписка из ЕГРП, регистрация от 29.12.2016г № 50-50/039-50/999/001/2016-22158/2</t>
  </si>
  <si>
    <t>Решение СД Сер.-Пруд. Муниц. р-на МО  № 614/61 от 20.10.2015 Св-во о гос.рег-ии 50-АЕ №202890, Выписка из ЕГРП, регистрация от 29.12.2016г № 50-50/039-50/999/001/2016-26491/2</t>
  </si>
  <si>
    <t>Изложить в новой редакции</t>
  </si>
  <si>
    <t>Московская область, Серебряно-Прудский район, р.п. Серебряные Пруды, ул. Южная, д.14</t>
  </si>
  <si>
    <t>50:39:0050514:158</t>
  </si>
  <si>
    <t>Московская область, Серебряно-Прудский район, р.п. Серебряные Пруды, ул. Полевая, д.21</t>
  </si>
  <si>
    <t>Жилой дом, назначение жилое, количество -этажей 1 (муниципальный жилой фонд)</t>
  </si>
  <si>
    <t>50:39:0000000:1554</t>
  </si>
  <si>
    <t>50:39:0000000:4399</t>
  </si>
  <si>
    <t>М.О., Серебряно-Прудский район,  д. Красновские Выселки</t>
  </si>
  <si>
    <t>Водопроводные сети, протяженностью 810м, год ввода 1971</t>
  </si>
  <si>
    <t>Московская область, Серебярно-Прудский район, д. Нижняя Пурловка</t>
  </si>
  <si>
    <t>50:39:0080101:276</t>
  </si>
  <si>
    <t>Водопроводные сети Успенское ЖКХ, инв. 014153, протяженностью 1447м, год ввода 1971</t>
  </si>
  <si>
    <t>Договор на передачу квартиры в собственность граждан от 08.06.2010г № 135</t>
  </si>
  <si>
    <t>Договор на передачу квартиры в собственность граждан от 19.02.2015г № 315</t>
  </si>
  <si>
    <t>Договор на передачу квартиры в собственность граждан от 16.12.2013г № 280</t>
  </si>
  <si>
    <t>19.12.2014г</t>
  </si>
  <si>
    <t>Договор на передачу квартиры в собственность граждан от 05.12.2014г №301</t>
  </si>
  <si>
    <t>Договор на передачу квартиры в собственность граждан от 30.11.2012г № 217</t>
  </si>
  <si>
    <t>01.04.2015г</t>
  </si>
  <si>
    <t>Договор на передачу квартиры в собственность граждан от 25.02.2015г № 321</t>
  </si>
  <si>
    <t>24.06.2016г</t>
  </si>
  <si>
    <t>Свидетельство о государственной регистрации права, регистрация № 50-50/001-50/039/008/2016-2642/3</t>
  </si>
  <si>
    <t>Земельный участок Категория земель - земли сельскохозяйственного назначения, ВРИ -для сельскохозяйственного использования</t>
  </si>
  <si>
    <t>50:39:0030116:288</t>
  </si>
  <si>
    <t>50:39:0030116:289</t>
  </si>
  <si>
    <t>50:39:0030116:292</t>
  </si>
  <si>
    <t>50:39:0030116:293</t>
  </si>
  <si>
    <t xml:space="preserve">Свидетельсьтво о регистрации 50-БА 380675, Выписка из ЕГРП, регистрация № 50-50/039-50/999/001/2016-26338/2 от 26.12.2016г </t>
  </si>
  <si>
    <t>50:39:0020307:84</t>
  </si>
  <si>
    <t>50:39:0030207:27</t>
  </si>
  <si>
    <t>50:39:0060201:121</t>
  </si>
  <si>
    <t xml:space="preserve">Зеленые насаждения (сквер на площади), 142954 М.О. Серебряно-Прудский р-н, с.Мочилы, ул. Юбилейная, площадь 7100 кв.м. </t>
  </si>
  <si>
    <t>Зеленые насаждения (Парк), 142955 М.О. Серебряно-Прудский р-н, с.Подхожее, ул. Мира, площадь 9000 кв.м.</t>
  </si>
  <si>
    <t xml:space="preserve">Зеленые насаждения (Сквер), 142955 М.О. Серебряно-Прудский р-н, с.Подхожее, м-н Юбилейный, площадь 13000 кв.м. </t>
  </si>
  <si>
    <t xml:space="preserve">Зеленые насаждения (Парк), 142956 М.О. Серебряно-Прудский р-н, д.Шеметово, площадь 42000 кв.м. </t>
  </si>
  <si>
    <t>Здание, назначение жилое, количество -этажей 1 (муниципальный жилой фонд)</t>
  </si>
  <si>
    <t>Московская область, Серебряно-Прудский район, р.п. Серебряные Пруды, ул. Полевая, д.20</t>
  </si>
  <si>
    <t>50:39:0050601:142</t>
  </si>
  <si>
    <t>30.12.2016г</t>
  </si>
  <si>
    <t xml:space="preserve">Административное здание,  инв. 1101020033 </t>
  </si>
  <si>
    <t>МТО = 835694,96; ИМЦ=343436,29; Центр. Бухг. =1314017,09; Управл. Образов.=1149764,96</t>
  </si>
  <si>
    <t>МТО=498170,78; ИМЦ=204727,61; Центр. Бухг.=782087,46; Управл. Образов.=686458,32</t>
  </si>
  <si>
    <t>Артскважина с вод.башней, инв. 1100005, Глубина 65м, насос ЭЦВ-6-16-140, год бурения 1959, № 46 210065</t>
  </si>
  <si>
    <t>50:39:0000000:4396</t>
  </si>
  <si>
    <t>Земельный участок Категория земель - земли сельскохозяйственного назначения, ВРИ -для садоводства</t>
  </si>
  <si>
    <t>Решение СД Сер.-Пруд. Муниц. р-на МО  № 614/61 от 20.10.2015 Св-во о гос.рег-ии 50-АВ №174070, Выписка из ЕГРН, регистрация права от 27.12.2016г №50-50/039-50/999/001/2016-26466/2</t>
  </si>
  <si>
    <t>50:39:0070106:151</t>
  </si>
  <si>
    <t>20.01.2017г</t>
  </si>
  <si>
    <t>Собственность 1/4 доля в праве, 200 кв.м.</t>
  </si>
  <si>
    <t>Выписка из ЕГРН, регистрация права № 50:39:0070106:151-50/039/2017-2</t>
  </si>
  <si>
    <t>Московская область, Серебряно-Прудский район, рп Серебряные Пруды, снт Солоница, уч-к 66</t>
  </si>
  <si>
    <t>Земельный участок Категория земель - земли сельскохозяйственного назначения, ВРИ -для ведения садоводства</t>
  </si>
  <si>
    <t>Московская область, Серебряно-Прудский район, рп Серебряные Пруды, снт Солоница, уч-к 8</t>
  </si>
  <si>
    <t>50:39:0070106:121</t>
  </si>
  <si>
    <t>Выписка из ЕГРН, регистрация права №50-50/039/50/039/008/2016-63004/2 от 28.12.2016</t>
  </si>
  <si>
    <t>Жилой дом, количество -этажей 1 (муниципальный жилой фонд)</t>
  </si>
  <si>
    <t>50:39:0050515:146</t>
  </si>
  <si>
    <t>Московская область, Серебряно-Прудский район, р.п. Серебряные Пруды, ул. Южная, д.35</t>
  </si>
  <si>
    <t>Решение Серебряно-Прудского районного суда Московской области от 22.11.2016г, Выписка из ЕГРН, регистрация права № 50:39:0050515:146-50/039/2017-2 от 23.01.2017г</t>
  </si>
  <si>
    <t>50:39:0070104:332</t>
  </si>
  <si>
    <t>Решение Серебряно-Прудского районного суда Московской области от 06.12.2016г, Выписка из ЕГРН, регистрация права № 50:39:0070104:332-50/039/2017-2 от 20.01.2017г</t>
  </si>
  <si>
    <t>50:39:0000000:815</t>
  </si>
  <si>
    <t>Решение Серебряно-Прудского районного суда Московской области от 06.12.2016г, Выписка из ЕГРН, регистрация права № 50:39:0000000:815-50/039/2017-2 от 20.01.2017г</t>
  </si>
  <si>
    <t>Московская область, Серебряно-Прудский район, р.п. Серебряные Пруды, ул. пер. Школьный, д.2</t>
  </si>
  <si>
    <t>Московская область, Серебряно-Прудский район, р.п. Серебряные Пруды, ул. Маршала Чуйкова, д.49</t>
  </si>
  <si>
    <t>50:39:0050203:213</t>
  </si>
  <si>
    <t>Решение Серебряно-Прудского районного суда Московской области от 06.12.2016г, Выписка из ЕГРН, регистрация права № 50:39:0050203:213-50/039/2017-2 от 20.01.2017г</t>
  </si>
  <si>
    <t>Московская область, Серебряно-Прудский район, с. Дудино, д.77</t>
  </si>
  <si>
    <t>Решение Серебряно-Прудского районного суда Московской области от 22.11.2016г, Выписка из ЕГРН, регистрация права № 50:39:0070104:330-50/039/2017-2 от 23.01.2017г</t>
  </si>
  <si>
    <t>Многоквартирный дом, количество -этажей 1 (муниципальный жилой фонд)</t>
  </si>
  <si>
    <t>Московская область, Серебряно-Прудский район, рп Серебряные Пруды, ул. Полевая, д.16</t>
  </si>
  <si>
    <t>50:39:0070104:330</t>
  </si>
  <si>
    <t>50:39:0050601:139</t>
  </si>
  <si>
    <t>Решение Серебряно-Прудского районного суда Московской области от 22.11.2016г, Выписка из ЕГРН, регистрация права № 50:39:0050601:139-50/039/2017-2 от 23.01.2017г</t>
  </si>
  <si>
    <t>Лестничный подъемник гусеничный для инвалидов SHERPA №902 с комплектацией</t>
  </si>
  <si>
    <t>Устав, утвержденный Постановлением Главы Серебряно-Прудского муниципального района № 716 от 31.12.2004г. Устав, утвержденный Постановлением администрации городского округа Серебряные Пруды Московсой области от 15.03.2016г № 384</t>
  </si>
  <si>
    <t>Брусья для бассейна</t>
  </si>
  <si>
    <t>12.11.2015г</t>
  </si>
  <si>
    <t>Счет-фактура № 2139</t>
  </si>
  <si>
    <t>Аква-кардиотренажер Hercules Skis 25.1</t>
  </si>
  <si>
    <t>Счет-фактура № 2140</t>
  </si>
  <si>
    <t>Аквабайк Hercules 1.1.</t>
  </si>
  <si>
    <t>Счет-фактура № 2141</t>
  </si>
  <si>
    <t>Автоподъемник АПТ-22 ЗИЛ, гос. номер 50 ОР 212930 VIN X6729463160000187</t>
  </si>
  <si>
    <t xml:space="preserve">1.10105001                    </t>
  </si>
  <si>
    <t>Решение Совета депутатов Серебряно-Прудского района МО  № 696/70</t>
  </si>
  <si>
    <t>ВАЗ -21214  О 685  ЕО 190 легковой, 2007 год выпуска, VIN XTA21214071864758</t>
  </si>
  <si>
    <t>Автомобиль ГАЗ-САЗ 35071, гос. номер Е 333 КХ 90, год выпуска 1997, VIN XTH330900V0789333</t>
  </si>
  <si>
    <t>Погрузчик ТО 30, гос. номер 50 ОМ 2111,      год выпуска 1993, номер двигателя 419071</t>
  </si>
  <si>
    <t>410125200015</t>
  </si>
  <si>
    <t>Автомобиль ВАЗ 21074, гос номер О271 МВ, год изготовления 2007, цвет темно-зеленый, VIN XTA21074072613557</t>
  </si>
  <si>
    <t>МУП-351 Белорус            (Убор-погр. Машина). Заводской номер машины 9200088/000629, гос. знак 50 МК 2453</t>
  </si>
  <si>
    <t>Решение Совета депутатов Серебряно-Прудского района МО № 696/70</t>
  </si>
  <si>
    <t>Решение Совета депутатов Серебряно-Прудского района МО   № 696/70</t>
  </si>
  <si>
    <t>Мусоровоз МКС-3501 на шасси МАЗ-5550В2, год выпуска 2014, гос номер В 396Е М 750, цвет белый, VIN X89E35AO1E0AA3121</t>
  </si>
  <si>
    <t>Мусоровоз с боковой загрузкой, VIN XVL483230D0001811, год изготовления 2013, гос. номер У 182 КН 50</t>
  </si>
  <si>
    <t>Трактор "Беларус 82.1", заводской номер машины 808182992, цвет синий, гос номер 50 МК 2452</t>
  </si>
  <si>
    <t>Автомобиль самосвал ЗИЛ 45065, гос. номер Е 265 КХ 90, год выпуска 2003, VIN XTP45065030000282</t>
  </si>
  <si>
    <t>Косилка ротационная навесная КРН 2,1 С (тракторная)</t>
  </si>
  <si>
    <t>Трактор Беларус 82,1 с навесным оборудованием и прицеп-цистерной, год выпуска 2015г., заводской номер трактора 808216251. гос. номер трактора 50 МК 0210, заводской номер прицепа Х56865503F0001042, гос номер 50 МК 0211</t>
  </si>
  <si>
    <t xml:space="preserve">Трактор Беларус-320,4 год выпуска 2015, гос. номер 50 МК 0212. заводской номер 31109428 </t>
  </si>
  <si>
    <t>Колесный триммер</t>
  </si>
  <si>
    <t>Автомобиль ГАЗ-2217-430, Гос.номер Е 211 МК150    VIN X96221700B0610487</t>
  </si>
  <si>
    <t>Трактор Беларус 82.1 МК-Е,   гос. номер  50 ОС 7697, номер двигателя 568712, год выпуска 2011, машина коммунальная уборочная</t>
  </si>
  <si>
    <t>Мусоровоз КО-440-4 (ЗИЛ) шасси 3490150, VIN XVL48320070001154, год изготовления 2007, цвет синий, гос. номер С 059 КО 750</t>
  </si>
  <si>
    <t>Мусоровоз МКС-1 на шасси ЗИЛ-433362, год изготовления 2008, гос. номер К 426 ММ 150, VIN X894805AD80AA3044</t>
  </si>
  <si>
    <t>Автомобиль ГАЗ 3308 02 44 НВ (цистерна) год изготовления 1993, цвет серый. Гос номер Е 338 КХ 90</t>
  </si>
  <si>
    <t>Экскаватор ЭО 2621 ВЗ ЮМЗ гос. номер 50 ОН 6118, год выпуска 1997, заводской номер 0479/830005</t>
  </si>
  <si>
    <t xml:space="preserve">Отвал гидроповоротный HSH 2800 Нauer (Австрия) для МТЗ-82.1 </t>
  </si>
  <si>
    <t>Товарная накладная № 45, Постановлением администрации городского округа Серебряные Пруды Московсой области от 16.01.2017г № 87</t>
  </si>
  <si>
    <t>Подрезчик FS-400</t>
  </si>
  <si>
    <t>Решение Совета депутатов №695/70</t>
  </si>
  <si>
    <t>Разбрасыватель песка А-116-01</t>
  </si>
  <si>
    <t>28.11.2016г</t>
  </si>
  <si>
    <t>12 531,94</t>
  </si>
  <si>
    <t>Снегоуборщик бензиновый колесный, мощность 6,5 л.с., марка MasterYard MX8022В</t>
  </si>
  <si>
    <t>29.11.2016г</t>
  </si>
  <si>
    <t>Товарная накладная № 46 Постановление администрации городского округа Серебряные Пруды Московсой области от 16.01.2017г № 87</t>
  </si>
  <si>
    <t>Товарная накладная № 47 Постановление администрации городского округа Серебряные Пруды Московсой области от 16.01.2017г № 87</t>
  </si>
  <si>
    <t>Товарная накладная № 715 Постановление администрации городского округа Серебряные Пруды Московсой области от 16.01.2017г № 87</t>
  </si>
  <si>
    <t>Товарная накладная № __, Постановление администрации городского округа Серебряные Пруды Московсой области от 16.01.2017г № 87</t>
  </si>
  <si>
    <t>Товарная накладная № 714 Постановление администрации городского округа Серебряные Пруды Московсой области от 16.01.2017г № 87</t>
  </si>
  <si>
    <t>Товарная накладная № 47 Постановление администрации городского округа Серебряные Пруды Московсой области от 16.01.2017г № 86</t>
  </si>
  <si>
    <t>Удлиненные мотоножницы HL-KM 135 градусов для комби-двигателя КМ Stihl 42307405000 5 шт.</t>
  </si>
  <si>
    <t>41013400099 - 410133400103</t>
  </si>
  <si>
    <t>30.05.2016г</t>
  </si>
  <si>
    <t>41013400104-41013400126</t>
  </si>
  <si>
    <t>Измельчител веток ИВ-60</t>
  </si>
  <si>
    <t>13.09.2016г</t>
  </si>
  <si>
    <t>Бензокоса Stihl FS 250 - 23 шт.</t>
  </si>
  <si>
    <t>КомбиМотор КМ-94 Stihl 5 шт.</t>
  </si>
  <si>
    <t>41013400094-41013400098</t>
  </si>
  <si>
    <t>20.09.2016г</t>
  </si>
  <si>
    <t>Товарная накладная № 803, Постановление администрации городского округа Серебряные Пруды Московсой области от 16.01.2017г № 87</t>
  </si>
  <si>
    <t>Товарная накладная № 4375 Постановление администрации городского округа Серебряные Пруды Московсой области от 16.01.2017г № 87</t>
  </si>
  <si>
    <t>Урна для ТБО 10 шт.</t>
  </si>
  <si>
    <t>Урна для ТБО 25 шт.</t>
  </si>
  <si>
    <t>Товарная накладная № 109, Постановление администрации городского округа Серебряные Пруды Московсой области от 16.01.2017г № 87</t>
  </si>
  <si>
    <t xml:space="preserve"> 14.04.2015г.</t>
  </si>
  <si>
    <t xml:space="preserve">Договор передачи жилог помещения муниципального жилищного фонда в собственность граждан № 40/2016 от 27.11.2016 </t>
  </si>
  <si>
    <t>свидетельство о государственной регистрации права № 50-50/039-50/039/009/2015-1015/2</t>
  </si>
  <si>
    <t>50:39:0050508:635</t>
  </si>
  <si>
    <t>50:39:0050101:669</t>
  </si>
  <si>
    <t>50:39:0050508:251</t>
  </si>
  <si>
    <t>50:39:0050506:72</t>
  </si>
  <si>
    <t>50:39:0050503:722</t>
  </si>
  <si>
    <t>Договор на передачу квартиры в собственность граждан № 8/2016 от 05.02.2016</t>
  </si>
  <si>
    <t>50:39:0050101:549</t>
  </si>
  <si>
    <t>50:39:0050101:600</t>
  </si>
  <si>
    <t>свидетельство о государственной регитсрации права  НА № 0834591</t>
  </si>
  <si>
    <t>50:39:0050507:108</t>
  </si>
  <si>
    <t>50:39:0000000:4360</t>
  </si>
  <si>
    <t>договор на передачу квартиры в собственность граждан № 39/2016 от 27.11.2016</t>
  </si>
  <si>
    <t>Автомашина LADA-2105, легковой, 2009 г. выпуска, двигатель - 21067, 9540634, цвет зеленый темный,гос. Номер С 464 ХС 150</t>
  </si>
  <si>
    <t>Московская область, городской округ Серебряные Пруды,   п. Новоклемово,  д.21, кв.9</t>
  </si>
  <si>
    <t>Московская область, городской округ Серебряные Пруды,   п. Новоклемово,  д.21, кв.11</t>
  </si>
  <si>
    <t>Московская область, городской округ Серебряные Пруды,   п. Новоклемово,  д.21, кв.12</t>
  </si>
  <si>
    <t>Московская область, городской округ Серебряные Пруды,   п. Новоклемово,  д.21, кв.14</t>
  </si>
  <si>
    <t xml:space="preserve">38, 0 </t>
  </si>
  <si>
    <t>свидетельство о регистрации права, регистрация № 50-50/039-50/039/008/2015-1300/2</t>
  </si>
  <si>
    <t xml:space="preserve">Договор на передачу квартиры в собственность нраждан № 307 от 14.01.2015г. </t>
  </si>
  <si>
    <t xml:space="preserve">Договор передачи жилого помещения муниципального жилищного фонда в собственность граждан № 38/2016 от 27.11.2016    </t>
  </si>
  <si>
    <t xml:space="preserve">Договор передачи жилого помещения муниципального жилищного фонда в собственность граждан № 9/2016 от 17.02.2016г.  </t>
  </si>
  <si>
    <t xml:space="preserve">Договор передачи жилого помещения муниципального жилищного фонда в собственность граждан № 1/2017 от 09.01.2017   </t>
  </si>
  <si>
    <t>Муниципальное унитарное предприятие "Серебряно-Прудское многоотраслевое предприятие коммунального хозяйства"</t>
  </si>
  <si>
    <t>Московская область, городской округ Серебряные Пруды, с. Узуново,мкр. Северный, д.4 кв.7</t>
  </si>
  <si>
    <t>Московская область, городской округ Серебряные Пруды, с. Узуново,мкр. Северный, д.4 кв.8</t>
  </si>
  <si>
    <t>Спец.жил.фонд. Договор найма от 19.05.2016г №1-2016-05 Кузнецов Василий Сергеевич</t>
  </si>
  <si>
    <t>Спец.жил. Фон. Договор соц. Найма от 19.05.2016г№ 3-2016-05 Жаркова Ирина Викторовна</t>
  </si>
  <si>
    <t>Московская область, городской округ Серебряные Пруды, п. Успенский, ул. 50 лет Октября, д.9, кв.8</t>
  </si>
  <si>
    <t>Спец.жил.фонд. Договор найма от 19.05.2016г № 4-2016-05 Хвацков Владимир Евгеньевич</t>
  </si>
  <si>
    <t>Спец.жил.фонд. Договор найма от 19.05.2016г № 5-2016-05 Хмелькова елена Виктовона</t>
  </si>
  <si>
    <t>Московская область, городской округ Серебряные Пруды, д. Косяево,  д.1, кв. №1</t>
  </si>
  <si>
    <t>Договор на передачу квартиры в собственность граждан от 16.04.2015г № 333, регистрация права  № 50-50/039-50/039/009/2015-606/2</t>
  </si>
  <si>
    <t>Решение Совета Депутатов № 695/70, Выписка из ЕГРН, регистрация права № 50:39:0000000:3682-50/039/2017-2 от 06.02.2017г</t>
  </si>
  <si>
    <t xml:space="preserve">Постоянное (бессрочное) пользование </t>
  </si>
  <si>
    <t>Решение Совета Депутатов № 695/70, Выписка из ЕГРН, регистрация права № 50:390070103:492-50/039/2017-2 от 06.02.2017г</t>
  </si>
  <si>
    <t>Решение Совета Депутатов № 695/70, Выписка ЕГРН, регистрация права № 50:39:0070103:491-50/039/2017-2 от 06.02.2017г</t>
  </si>
  <si>
    <t>Решение Совета Депутатов № 695/70, Выписка ЕГРН, регистрация права № 50:39:0000000:3684-50/039/2017-2 от 06.02.2017г</t>
  </si>
  <si>
    <t>Решение Совета Депутатов № 695/70, Выписка ЕГРН, регистрация права № 50:39:0050205:493-50/039/2017-2 от 06.02.2017г</t>
  </si>
  <si>
    <t>Решение Совета Депутатов № 695/70, Выписка ЕГРН, регистрация права № 50:39:0000000:36843-50/039/2017-2 от 06.02.2017г</t>
  </si>
  <si>
    <t>Решение Совета Депутатов № 695/70, Выписка ЕГРН, регистрация № 50:39:0000000:3681-50/039/2017-2 от 06.02.2017г</t>
  </si>
  <si>
    <t>Решение Совета Депутатов № 695/70, Выписка ЕГРН, регистрация права № 50:39:0000000:3686-50/039/2017-1 от 06.02.2017г</t>
  </si>
  <si>
    <t>Решение Совета Депутатов № 695/70, Выписка ЕГРН, регистрация № 50:39:0050203:354-50/039/2017-2 от 08.02.2017г</t>
  </si>
  <si>
    <t>Решение Совета Депутатов № 695/70. Выписка ЕГРН, регистрация № 50:39:0000000:3685-50/039/2017-2 от 08.02.2017г</t>
  </si>
  <si>
    <t>Решение Совета Депутатов № 695/70, Выписка ЕГРН, регистрация № 50:39:0050405:324-50/039/2017-2 от 07.02.2017г</t>
  </si>
  <si>
    <t>Решение Совета Депутатов № 695/70, Выписка ЕГРН, регистрация № 50:39:0050403:98-50/039/2017-1 от 07.02.2017г</t>
  </si>
  <si>
    <t>Решение Совета Депутатов № 695/70, Выписка ЕГРН. регистрация № 50:39:0050504:86-50/039/2017-2 от 08.02.2017г</t>
  </si>
  <si>
    <t>Решение Совета Депутатов № 695/70, Выписка ЕГРН, регистрация права № 50:39:0050503:73-50/039/2017-2 от 08.02.2017г</t>
  </si>
  <si>
    <t>Решение Совета Депутатов № 695/70. Выписка ЕГРН, регистрация № 50:39:0050503:72-50/039/2017-2 от 08.02.2017г</t>
  </si>
  <si>
    <t>Решение Совета Депутатов № 695/70, Выписка ЕГРН, регистрция № 50:39:0050203:329-50/039/2017-2 от 08.02.2017г</t>
  </si>
  <si>
    <t>Решение Совета Депутатов № 695/70, Выписка ЕГРН, регистрация № 50:39:0050507:77-50/039/2017-2 от 08.02.2017г</t>
  </si>
  <si>
    <t>Решение Совета депутатов № 697/70, Выписка ЕГРН, регистрация № 50:39:0070206:46-50/039/2017-2 от 08.02.2017г</t>
  </si>
  <si>
    <t>Решение Совета Депутатов № 695/70, Выписка ЕГРН, регистрация № 50:39:0050508:41-50/039/2017-2 от 08.02.2017г</t>
  </si>
  <si>
    <t>Решение Совета Депутатов № 695/70, Выписка ЕГРН, регистрция № 50:39:0070104:676-50/039/2017-3 от 08.02.2017г</t>
  </si>
  <si>
    <t>Решение Совета Депутатов № 695/70. Выписка ЕГРН, регистрция № 50:39:0050508:40-50/039/2017-2 от 08.02.2017г</t>
  </si>
  <si>
    <t>Решение Совета Депутатов № 695/70, Выписка ЕГРН, регистрция № 50:39:0000000:3450-50/039/2017-2 от 08.02.2017г</t>
  </si>
  <si>
    <t>Решение Совета Депутатов № 695/70, Выписка ЕГРН, регистрция № 50:39:0000000:197-50/039/2017-2 от 08.02.2017г</t>
  </si>
  <si>
    <t>Решение Совета Депутатов № 695/70, Выписка ЕГРН, регистрция № 50:39:0050508:39-50/039/2017-2 от 08.02.2017г</t>
  </si>
  <si>
    <t>10.02.2017г.</t>
  </si>
  <si>
    <t>Договор передачи жилого помещения муниципального жилищного фонда в собственность граждан №4/2017 от 16.02.2017</t>
  </si>
  <si>
    <t>Решение Совета Депутатов № 695/70, Выписка ЕГРН, регистрация № 50:39:0050503:67-50/039/2017-2 от 06.02.2017г</t>
  </si>
  <si>
    <t>Решение Совета Депутатов № 695/70, Выписка ЕГРН, регистрация права № 50:39:0050503:68-50/039/2017-2 от 06.02.2017</t>
  </si>
  <si>
    <t>Решение Совета Депутатов № 695/70, Выписка ЕГРН, регистрация права № 50:39:0050503:65-50/039/2017-2 от 06.02.2017</t>
  </si>
  <si>
    <t>Решение Совета Депутатов № 695/70, Выписка ЕГРН, регистрация права № 50:39:0050502:61-50/039/2017-2 от 07.02.2017</t>
  </si>
  <si>
    <t>Решение Совета Депутатов № 695/70, Выписка ЕГРН, регистрация № 50:39:0050502:62-50/039/2017-2 от 07.02.2017</t>
  </si>
  <si>
    <t>Решение Совета Депутатов № 695/70, Выписка ЕГРН, регистрация права № 50:39:0050502:63-50/039/2017-2 от 07.02.2017</t>
  </si>
  <si>
    <t>Решение Совета Депутатов № 695/70. Выписка ЕГРН, регистрация № 50:39:0050504:84-50/039/2017-2 от 07.02.2017г</t>
  </si>
  <si>
    <t>Решение Совета Депутатов № 695/70. Выписка ЕГРН, регистрация права № 50:39:0050503:66-50/039/2017-2 от 06.02.2017</t>
  </si>
  <si>
    <t>Решение Совета Депутатов № 695/70. Выписка ЕГРН, регистрация № 50:39:0050514:265-50/039/2017-2 от 03.02.2017</t>
  </si>
  <si>
    <t>Решение Совета Депутатов № 695/70. Выписка ЕГРН, регистрация № 50:39:0000000:3688-50/039/2017-1 от 03.02.2017г</t>
  </si>
  <si>
    <t>Решение Совета Депутатов № 695/70. Выписка ЕГРН, регистрация № 50:39:0000000:3706-50/039/2017-2 от 03.02.2017г</t>
  </si>
  <si>
    <t>Решение Совета Депутатов № 695/70. Выписка ЕГРН, регистрация № 50:39:0000000:3701-50/039/2017-2 от 03.02.2017г</t>
  </si>
  <si>
    <t>Решение Совета Депутатов № 695/70. Выписка ЕГРН, регистрация № 50:39:0050101:576-50/039/2017-2 от 03.02.2017г</t>
  </si>
  <si>
    <t>Решение Совета Депутатов № 695/70. Выписка ЕГРН, регистрация № 50:390050301:592-50/039/2017-2 от 03.02.2017г</t>
  </si>
  <si>
    <t>Решение Совета Депутатов № 695/70. Выписка ЕГРН, регистрация № 50:39:0000000:3678-50/039/2017-2 от 03.02.2017г</t>
  </si>
  <si>
    <t>Решение Совета Депутатов № 695/70. Выписка ЕГРН, регистрация № 50:39:0000000:3677-50/039/2017-2 от 03.02.2017г</t>
  </si>
  <si>
    <t>Решение Совета Депутатов № 695/70. Выписка ЕГРН, регистрация № 50:39:0000000:3680-50/039/2017-2 от 03.02.2017г</t>
  </si>
  <si>
    <t>Решение Совета депутатов № 697/70. Выписка ЕГРН, регистрация № 50:39:0080101:73-50/039/2017-2 от 06.02.2017г</t>
  </si>
  <si>
    <t>Решение Совета депутатов № 697/70. Выписка ЕГРН, регистрация № 50:39:0080207:149-50/039/2017-2 от 06.02.2017г</t>
  </si>
  <si>
    <t>Решение Совета депутатов № 697/70. Выписка ЕГРН, регистрация № 50:39:0070204:17-50/039/2017-2 от 06.02.2017г</t>
  </si>
  <si>
    <t>Решение Совета депутатов № 697/70. Выписка ЕГРН, регистрация № 50:39:0070201:43-50/039/2017-2 от 06.02.2017г</t>
  </si>
  <si>
    <t>Решение Совета депутатов № 697/70. Выписка ЕГРН, регистрация № 50:39:0000000:110-50/039/2017-2 от 06.02.2017г</t>
  </si>
  <si>
    <t>Выписка ЕГРН, регистрация № 50:39:0000000:3744-50/039/2017-2 от 06.02.2017г</t>
  </si>
  <si>
    <t>Решение Совета депутатов № 697/70. Выписка ЕГРН, регистрация № 50:39:0070303:63-50/039/2017-2 от 06.02.2017г</t>
  </si>
  <si>
    <t>Решение Совета депутатов № 697/70. Выписка ЕГРН, регистрация № 50:39:0070205:20-50/039/2017-2 от 06.02.2017г</t>
  </si>
  <si>
    <t>Московская область, Серебряно-Прудский район, с. Дудино, д.49</t>
  </si>
  <si>
    <t>560:39:0070104:464</t>
  </si>
  <si>
    <t>Решение Серебряно-Прудского районного суда Московской области от 22.11.2016г, Выписка из ЕГРН, регистрация права № 50:39:0070104:464-50/039/2017-2 от 23.01.2017г</t>
  </si>
  <si>
    <t>Жилой дом, (муниципальный жилой фонд)</t>
  </si>
  <si>
    <t>Жилой дом, количество -этажей 1, год завершения строительства 1966 (муниципальный жилой фонд)</t>
  </si>
  <si>
    <t>Московская область, Серебряно-Прудский район, срп Серебряные Пруды, ул. Маршала Чуйкова, д.53</t>
  </si>
  <si>
    <t>50:39:0050203:215</t>
  </si>
  <si>
    <t>Решение Серебряно-Прудского районного суда Московской области от 22.11.2016г, Выписка из ЕГРН, регистрация права № 50:39:0050203:215-50/039/2017-2 от 23.01.2017г</t>
  </si>
  <si>
    <t>Московская область, Серебряно-Прудский район, снт Яковлевское, уч-к 295</t>
  </si>
  <si>
    <t>50:39:0030205:270</t>
  </si>
  <si>
    <t>Выписка из ЕГРН, регистрация права № 50:39:0030205:270-50/039/2017-1</t>
  </si>
  <si>
    <t>Московская область, Серебряно-Прудский район, снт Гришино, уч-к 18</t>
  </si>
  <si>
    <t>50:39:0080211:446</t>
  </si>
  <si>
    <t>Решение Совета Депутатов № 695/70, Выписка ЕГРН, регистрация № 50:39:0050507:46-50/039/2017-2 от 08.02.2017</t>
  </si>
  <si>
    <t>Решение Совета депутатов № 697/70, Выписка ЕГРН, регистрация № 50:39:0070202:43-50/039/2017-2 от 08.02.2017г</t>
  </si>
  <si>
    <t>Решение Совета депутатов № 697/70. Выписка ЕГРН, регистрация № 50:39:0080204:353-50/039/2017-2 от 08.02.2017</t>
  </si>
  <si>
    <t>Решение Совета депутатов № 697/70. выписка ЕГРН. Регистрация № 50:39:0080106:227-50/039/2017-2 от 08.02.2017г</t>
  </si>
  <si>
    <t>Решение Совета депутатов № 697/70. Выписка ЕГРН, регистрация № 50:39:0000000:4102-50/039/2017-2 от 08.02.2017</t>
  </si>
  <si>
    <t>Решение Совета депутатов № 697/70. Выписка ЕГРН, регистрация №50:39:0080201:550-50/039/2017-1 от 08.02.2017</t>
  </si>
  <si>
    <t>Решение Совета депутатов № 697/70. Выписка ЕГРН, регистрация № 50:39:0080201:549-50/039/2017-2 от 08.02.2017</t>
  </si>
  <si>
    <t>Решение Совета депутатов № 697/70. Выписка ЕГРН, регистрация № 50:39:0080207:572-50/039/2017-2 от 08.02.2017</t>
  </si>
  <si>
    <t xml:space="preserve">Решение Совета депутатов № 697/70. Выписка ЕГРН. Регистрация №50:39:0070202:104-50/039/2017-2 от 03.02.2017 </t>
  </si>
  <si>
    <t>Решение Совета депутатов № 697/70. Выписка ЕГРН, регистрация № 50:39:0070206:187-50/039/2017-2 от 03.02.2017</t>
  </si>
  <si>
    <t>Решение Совета депутатов № 697/70. Выписка ЕГРН, регистрация № 50:39:0060115:20-50/039/2017-2 от 03.02.2017</t>
  </si>
  <si>
    <t>Решение Совета депутатов № 697/70. Выписка ЕГРН, регистрация № 50:39:0000000:112-50/039/2017-2 от 03.02.2017</t>
  </si>
  <si>
    <t>Решение Совета депутатов № 697/70. Выписка ЕГРН, регистрация № 50:39:0000000:4240-50/039/2017-2 от 03.02.2017</t>
  </si>
  <si>
    <t>Решение Совета депутатов № 697/70.  выписка из ЕГРН, регистрация № 50:639:0080102:20-50/039/2017-5 от 03.02.2017</t>
  </si>
  <si>
    <t>Решение Совета депутатов № 697/70. Выписка ЕГРН, регистрация № 50:39:0070204:53-50/039/2017-2 от 03.02.2017</t>
  </si>
  <si>
    <t>Решение Совета депутатов № 697/70. Выписка ЕГРН, регистрация № 50:39:0000000:4237-50/039/2017-2 от 03.02.2017</t>
  </si>
  <si>
    <t>380.3</t>
  </si>
  <si>
    <t>Выписка из ЕГРП, регистрация № 50-50/039-50/999/001/2016-26256/1 от 26.12.2016г, Выписка из ЕГРН, регистрация № 50:39:0030116:288-50/039/2017-2 от 20.01.2017</t>
  </si>
  <si>
    <t>Земельный участок Категория земель - земли населенных пунктов, ВРИ - строительная промышленность</t>
  </si>
  <si>
    <t>50:39:0050517:225</t>
  </si>
  <si>
    <t>50:39:0080208:110</t>
  </si>
  <si>
    <t>Московская область, Серебряно-Прудский район, снт Солоница, уч-к 65</t>
  </si>
  <si>
    <t>50:39:0070106:97</t>
  </si>
  <si>
    <t>Выписка из ЕГРН, регистрация права № 50:39:0070106:97-50/039/2017-1</t>
  </si>
  <si>
    <t>Решение Совета депутатов № 698/70, Выписка ЕГРН, регистрация №50:39:0000000:4190-50/039/2017-2 от 06.02.2017</t>
  </si>
  <si>
    <t>Решение Совета депутатов № 698/70, Выписка ЕГРН, регистрация №50:39:0060104:174-50/039/2017-2 от 06.02.2017</t>
  </si>
  <si>
    <t>Решение Совета депутатов № 698/70, Выписка ЕГРН, регистрация № 50:39:0060306:969-50/039/2017-2 от 06.02.2017</t>
  </si>
  <si>
    <t>Решение Совета депутатов № 698/70, Выписка ЕГРН, регистрация № 50:39:0060501:154-50/039/2017-2 от 06.02.2017</t>
  </si>
  <si>
    <t>Решение Совета депутатов № 698/70, Выписка ЕГРН, регистрация № 50:39:0060503:311-50/039/2017-2 от 06.02.2017г</t>
  </si>
  <si>
    <t>Решение Совета депутатов № 698/70, Выписка ЕГРН, регистрация № 50:39:0070102:231-50-039/2017-3 от 06.02.2017</t>
  </si>
  <si>
    <t>Решение Совета депутатов № 698/70, Выписка ЕГРН, регистрация № 50:39:0060104:700-50/039/2017-2 от 06.02.2017</t>
  </si>
  <si>
    <t>Решение Совета депутатов № 698/70, Выписка из ЕГРН, регистрация № 50:39:0060302:141-50/039/2017-2 от 06.02.2017</t>
  </si>
  <si>
    <t>Решение Совета депутатов № 698/70, Выписка ЕГРН, регистрация № 50:39:0070102:109-50/039/2017-2 от 06.02.2017</t>
  </si>
  <si>
    <t>Решение Совета депутатов № 698/70, Выписка ЕГРН, регистрация № 50:39:0060304:80-50/039/2017-2 от 06.02.2017</t>
  </si>
  <si>
    <t>Решение Совета депутатов № 698/70, Выписка из ЕГРН, регистрация № 50:39:0060403:111-50/039/2017-2 от 06.02.2017</t>
  </si>
  <si>
    <t>Решение Совета депутатов № 698/70, Выписка ЕГРН, регистрация № 50:39:0060102:125-50/039/2017-2 от 06.02.2017</t>
  </si>
  <si>
    <t>Решение Совета депутатов № 698/70, Выписка ЕГРН, регистрация № 50:39:0060502:616-50/039/2017-2 от 06.02.2017</t>
  </si>
  <si>
    <t>Решение Совета депутатов № 698/70, Выписка ЕГРН, регистрация № 50:39:0060306:992-50/039/2017-2 от 06.02.2017</t>
  </si>
  <si>
    <t>Решение Совета депутатов № 698/70, Выписка ЕГРН, регистрация № 50:39:0000000:4201-50/039/2017-2 от 06.02.2017</t>
  </si>
  <si>
    <t>Решение Совета депутатов № 698/70, Выписка ЕГРН, регистрация № 50:39:0060403:270-50/039/2017-2 от 06.02.2017</t>
  </si>
  <si>
    <t>Решение Совета депутатов № 698/70. Выписка ЕГРН, регистрация № 50:39:0060311:188-50/039/2017-2 от 07.02.2017</t>
  </si>
  <si>
    <t>Решение Совета депутатов № 698/70, Выписка ЕГРН, регистрация № 50:39:0060311:187-50/039/2017-2 от 07.02.2017</t>
  </si>
  <si>
    <t>Решение Совета депутатов № 698/70, Выписка ЕГРН. Регистрация права №50:39:0060306:1017-50/039/2017-2 от 07.02.2017</t>
  </si>
  <si>
    <t>Решение Совета депутатов № 698/70, Выписка ЕГРН, Регистрация № 50:39:0060303:53-50/039/2017-2 от 07.02.2017</t>
  </si>
  <si>
    <t>Решение Совета депутатов № 698/70. Выписка ЕГРН, регистрация № 50:39:0060502:622-50/039/2017-2 от 07.02.2017</t>
  </si>
  <si>
    <t>Решение Совета депутатов № 698/70. Выписка ЕГРН, регистраия № 50:39:0060112:389-50/039/2017-2 от 07.02.2017</t>
  </si>
  <si>
    <t>Решение Совета депутатов № 698/70. Выписка ЕГРН, регистрация № 50:39:0060306:1002-50/039/2017-2 от 07.02.2017</t>
  </si>
  <si>
    <t>Решение Совета депутатов № 698/70. Выписка ЕГРН, регистрация № 50:39:0000000:4099-50/039/2017-2 от 07.02.2017</t>
  </si>
  <si>
    <t>Решение Совета депутатов № 696/70, Выписка ЕГРН, регистрация №50:39:0030302:926-50/039/2017-1 от 17.02.2017</t>
  </si>
  <si>
    <t>Решение Совета депутатов № 696/70, Выписка ЕГРН, регистрация №50:39:0040202:987-50/039/2017-1 от 17.02.2017</t>
  </si>
  <si>
    <t>Решение Совета депутатов № 696/70, Выписка ЕГРН, регистрация № 50:39:0030303:506-50/039/2017-1 от 17.02.2017</t>
  </si>
  <si>
    <t>Решение Совета депутатов № 696/70, Выписка ЕГРН, регистрация № 50:39:0030305:1022-50/039/2017-1 от 20.02.2017</t>
  </si>
  <si>
    <t>50:39:0080208:108</t>
  </si>
  <si>
    <t>50:39:0030116:291</t>
  </si>
  <si>
    <t>50:39:0030116:290</t>
  </si>
  <si>
    <t>Московская область, Серебряно-Прудский район, снт Измайлово, уч-к 1-10</t>
  </si>
  <si>
    <t>50:39:0020118:250</t>
  </si>
  <si>
    <t>Выписка из ЕГРН, регистрация права № 50:39:0020118:250-50/039/2017-1</t>
  </si>
  <si>
    <t>Земельный участок Категория земель - земли промышленности, энергетики, транспорта, связи, радиовещания, телевидентя, информатики, земли для обеспечения космической деятельности, земли обороны, безопасности и земли иного специального назначения.  ВРИ - для эксплуатуции и обслуживания ВЗУ 1-го подъема</t>
  </si>
  <si>
    <t>Московская область,  городской округ Серебряные Пруды М.О,д. Благодать</t>
  </si>
  <si>
    <t>50:39:0070101:4</t>
  </si>
  <si>
    <t>Выписка из ЕГРН, регистрация права № 50-50/039/50/999/001/2016-25599/1</t>
  </si>
  <si>
    <t>Урна 8 шт - сквер им.Ленина, рп Серебряные Пруды, пл. Советская</t>
  </si>
  <si>
    <t>Договор передачи жилого помещения муниуипального жилищного фонда в собственность граждан № 14/2016 от 10.03.2016</t>
  </si>
  <si>
    <t>Постановление администрации Серебряно-Прудского муниципального района МО №869, Выписка из ЕГРН, регистрация права №50:39:0060306:1052-50/039/2017-1 от 04.03.2017г</t>
  </si>
  <si>
    <t>Решение Совета депутатов № 696/70, Выписка из ЕГРН, регистрация права № 50:39:0040202:986-50/039/2017/1 от 04.03.2017г</t>
  </si>
  <si>
    <t>Решение Совета депутатов № 696/70, Выписка из ЕГРН, регистрация права № 50:39:0030305:1019-50/039/2017-1 от 04.03.2017г</t>
  </si>
  <si>
    <t>Решение Совета депутатов № 696/70, Выписка из ЕГРН, регистрация № 50:39:0010110:38-50/039/2017-1 от 04.03.2017г</t>
  </si>
  <si>
    <t>Решение Совета депутатов № 696/70,  Выписка из ЕГРН, регистрация № 50:39:0010110:40-50/039/2017-1 от 04.03.2017г</t>
  </si>
  <si>
    <t>Решение Совета депутатов № 696/70,  Выписка из ЕГРН, регистрация № 50:39:0010110:41-50/039/2017-1 от 04.03.2017г</t>
  </si>
  <si>
    <t>50:39:0040202:711</t>
  </si>
  <si>
    <t>Решение Совета депутатов № 696/70, Выписка из ЕГРН, регистрация № 50:39:0040202:711-50/039/2017-2 от 01.03.2017г</t>
  </si>
  <si>
    <t>50:39:0030404:158</t>
  </si>
  <si>
    <t>Решение Совета депутатов № 696/70, Выписка из ЕГРН, регистрация № 50:39:0030404:158-50/039/2017-3 от 02.03.2017г</t>
  </si>
  <si>
    <t>Выписка из ЕГРН, регистрация права №50:39:0050517-50/039/2017-1, Выписка из ЕГРН, регистрация № 50:39:0050517:225-50/039/2017-3 от 02.03.2017г</t>
  </si>
  <si>
    <t>Выписка из ЕГРН, регистрация права №50-50/039-50/999/001/2016-25140/1, Выписка из ЕГРН, регистрация права №50:39:0080208:108-50/039/2017-2 от 03.03.2017г</t>
  </si>
  <si>
    <t>Выписка из ЕГРН, регистрация права №50:39:0080208:110-50/039/2017-1, Выписка из ЕГРН, регистрация права №50:39:0080208:110-50/039/2017-3 от 03.03.2017</t>
  </si>
  <si>
    <t>Выписка из ЕГРН, регистрация права №50-50/039-50/999/001/2016-25971/1, Выписка из ЕГРН, регистрация № 50:39:0030116:290-50/039/2017-2 от 03.03.23017г</t>
  </si>
  <si>
    <t>Свидетельство о регистрации права 50-БА 635436, Выписка из ЕГРН, регистрация №50:39:0000000:3779-50/039/2017-2 от 09.03.2017</t>
  </si>
  <si>
    <t>Выписка из ЕГРП, регистрация № 50-50/039-50/999/001/2016-26259/1 от 26.12.2016г, Выписка из ЕГРН, регистрация № 50:39:0030116:293-50/039/2017-1 от 13.03.2017г</t>
  </si>
  <si>
    <t>Выписка из ЕГРП, регистрация № 50-50/039-50/999/001/2016-26272/1 от 26.12.2016г, Выписка из ЕГРН. Регистрация № 50:39:0030116:292-50/039/2017-2 от 13.03.2017</t>
  </si>
  <si>
    <t>Свидетельсьтво о регистрации 50-БА 380516, Выписка из ЕГРН, регистрация № 50:39:0000000:4229-50/039/2017-1 от 13.03.2017г</t>
  </si>
  <si>
    <t>Свидетельсьтво о регистрации 50-БА 380819, Выписка из ЕГРН, регистрация № 50:39:0000000:4239-50/039/2017-1 от 13.03.2017г</t>
  </si>
  <si>
    <t>50:39:0060401:44</t>
  </si>
  <si>
    <t>09.03.2017г</t>
  </si>
  <si>
    <t>Решение Серебряно-Прудского районного суда Московской области, дело № 2-15/2016</t>
  </si>
  <si>
    <t>Свидетельсвто о регистрации права 50-АЕ № 203249, Свидетельство о регистрации права от 20.06.2016г 50-ББ № 287689</t>
  </si>
  <si>
    <t>Выписка из ЕГРП, регистрация № 50-50/039-50/999/001/2016-26251/1 от 26.12.2016г, выписка из ЕГРН, регистрация № 50:39:0060201:121-50/039/2017-2 от 14.03.2017г</t>
  </si>
  <si>
    <t>Оперативное управление  МОУ дополнительного образования "Серебряно-Прудский Дом детского творчества". Постановление администрации Серебряно-Прудского района от 25.10.2012г № 1078, Свидетельство от 17.11.2015г 50-БА №381088</t>
  </si>
  <si>
    <t>Оперативное управление МДОУ "Детский сад общеразвивающего вида №6 "Родничок". Постановление администрации Серебряно-Прудского муниципального района от 01.07.2011г № 528, свидетельство о регистрации  от 04.10.2011г 50-АБ № 658305</t>
  </si>
  <si>
    <t>Муниципральное бюджетное учреждение "Благоустройство  и дорожное хозяйство"</t>
  </si>
  <si>
    <t>Постановление администрации городского поселения Серебряные Пруды Московской области от 24.03.2015г. №124-п, Устав, утвержденный Постановлением администрации городского округа Серебряные пруды Московсой области от 14.01.2016г № 23. Устав, утвержденный Постановлением администрации городского округа Серебряные пруды Московсой области от 07.06.2016 №1104, Устав. утвержденный постановлением администрации городского округа Серебряные Пруды Московской области от 03.02.2017г № 253</t>
  </si>
  <si>
    <t>Здание нежилого назначения, 1-этажное, инв. 3500</t>
  </si>
  <si>
    <t>Здание, нежилое 1-этажное, инв. 272:077-1854 лит.Г</t>
  </si>
  <si>
    <t>Выписка из ЕГРН, регистрация № 50:39:0060401:44-50/039/2017-1 , Выписка ЕГРН, регистрация №50:39:0060401:44-50/039/2017-3 от 24.03.2017г</t>
  </si>
  <si>
    <t>Решение Совета Депутатов № 695/70, Выписка из ЕГРН, регистрация № 50:39:0050513:59-50/039/2017-1 от 22.03.2017</t>
  </si>
  <si>
    <t>Договор № 6/2017 передачи жилого помещения муниципального жилищного фонда в собственность граждан от 03.02.2017</t>
  </si>
  <si>
    <t>Договор № 314 на передачу квартиры в собственность граждан от 17.02.2015</t>
  </si>
  <si>
    <t>Договор № 2/2017 передачи жилого помещения муниципального жилищного фонда в собственность граждан от 16.01.2017</t>
  </si>
  <si>
    <t>Оперативное управление МОУ "Серебряно-прудская СОШ им. Маршала В.И. Чуйкова". Постановление от 03.03.2011г № 165</t>
  </si>
  <si>
    <t>Оперативное управление МОУ "Серебряно-прудская СОШ им. Маршала В.И. Чуйкова". Постановление от 03.03.2011г № 167</t>
  </si>
  <si>
    <t>Оперативное управление МОУ "Серебряно-прудская СОШ им. Маршала В.И. Чуйкова". Постановление от 03.03.2011г № 166</t>
  </si>
  <si>
    <t>Оперативное управление МОУ "СОШ имени маршала В.И. Чуйкова". Постановление от 19.04.2016г № 733</t>
  </si>
  <si>
    <t>Оперативное управление МОУ "Серебряно-прудская СОШ им. Маршала В.И. Чуйкова". Постановление от 01.06.2007г № 424</t>
  </si>
  <si>
    <t>Оперативное управление МДОУ "Детский сад "Колокольчик". Постановление от 02.08.2006г № 455</t>
  </si>
  <si>
    <t>Оперативное управление МДОУ "Детский сад общеразвивающего типа №2 "Солнышко". Постановление от 12.04.2006 №196</t>
  </si>
  <si>
    <t>Оперативное управление МДОУ "Детский сад общеразвивающего вида "Светлячок". Постановление от 10.04.2006г № 184</t>
  </si>
  <si>
    <t>Оперативное управление МОУ "Клёмовская СОШ". Постановление от 17.04.2006г № 211</t>
  </si>
  <si>
    <t>Оперативное управление МОУ "Подхоженская СОШ". Постановление от 17.04.2006г №207</t>
  </si>
  <si>
    <t>городской округ Серебряные Пруды М.О. п. Успенский ул. 50 лет Октября д. 10</t>
  </si>
  <si>
    <t>Оперативное управление МДОУ "Детский сад общеразвивающего вида "Малышок". Постановление от 10.04.2006г № 186</t>
  </si>
  <si>
    <t>Оперативное управление МДОУ "Детский сад д. Коровино". Постановление от 10.04.2006г № 188</t>
  </si>
  <si>
    <t>Оперативное управление МОУ "Петровская СОШ". Постановление от 08.02.2010г № 95</t>
  </si>
  <si>
    <t>Оперативное управление МДОУ "Детский сад "Рябинка". Постановление от 08.02.2010г № 95</t>
  </si>
  <si>
    <t>Оперативное управление МОУ "Серебряно-прудская СОШ им. Маршала В.И. Чуйкова". Постановление от 10.10.2011г № 981. Постановление от 15.12.2011г № 1332</t>
  </si>
  <si>
    <t>Оперативное управление МДОУ «Центр развития ребенка- ДС №7 «Аленушка». Постановление от 12.04.2006г № 195</t>
  </si>
  <si>
    <t>Оперативное управление МДОУ "Детский сад "Тополек". Постановление от 28.03.2006г № 152</t>
  </si>
  <si>
    <t>Оперативное управлении МОУ "Шеметовская средней общеобразовательной школы". Постановление от 03.05.2006г № 234</t>
  </si>
  <si>
    <t>Оперативное управление МДОУ "Центр развития ребенка - детский сад "Журавушка". Постановление от 10.04.2006г № 189. Свидетельство о регистрации права от 12.05.2006г НА № 0595452</t>
  </si>
  <si>
    <t>Оперативное управление МОУ "Дмитриеская основная общеобразовательная школа. Постановление от 16.11.2010г № 1369</t>
  </si>
  <si>
    <t>Оперативное управление МАУ МФЦ. Постановление от 13.04.2011г № 297. Помещения общей площадью 132,2 кв.м. на 3 этаже здания в безвозмездном пользовании у ФГБУ "Федеральная кадастровая палата" до 30.04.2018г</t>
  </si>
  <si>
    <t>Нежилое помещение (ДК Мочилы) здание 1-о этажное, общей площадью 686,4 кв.м.. Инв. № 273:078-3547, лит. А</t>
  </si>
  <si>
    <t>Оперативное управление Муниципального учреждения культуры "Культурно-досуговый центр сельского поселения Узуновское Московской области", регистрация права №50-50/039-50/039/008/2016-3113/1 от 15.07.2016. Оперативное управление помещение 40 кв.м. МУК "Централизованная библиотечная система". Постановление от 22.10.2008г № 1128</t>
  </si>
  <si>
    <t>Решение Совета депутатов № 696/70, Выписка из ЕГРН. Регистрация №50:39:0030304:157-50/039/2017-2 от 09.02.2017г</t>
  </si>
  <si>
    <t>Решение Совета депутатов № 696/70, Выписка из ЕГРН, регистрация №50:39:0030302:860-50/039/2017-2 от 09.02.2017г</t>
  </si>
  <si>
    <t>Решение Совета депутатов № 696/70. Выписка из ЕГРП, регистрация № 50:39:0010302:661-50/039/2017-2 от 09.02.2017г</t>
  </si>
  <si>
    <t>Решение Совета депутатов № 696/70. Выписка из ЕГРН, регистрация № 50:39:0030303:24-50/039/2017-2 от 09.02.2017г</t>
  </si>
  <si>
    <t>Решение Совета депутатов № 696/70. Выписка из ЕГРН, регистрация № 50:39:0030124:162-50/039/2017-2 от 09.02.2017г</t>
  </si>
  <si>
    <t>Решение Совета депутатов № 696/70, Выписка из ЕГРН, регистрация № 50:39:00101110:29-50/039/2017-1 от 09.02.2017г</t>
  </si>
  <si>
    <t>Договор № 3/2017 передачи жилого помещения муниципального жилищного фонда в собственность граждан</t>
  </si>
  <si>
    <t>Договор № 37/2016 передачи жилого помещения муниципального жилищного фонда в собственность граждан</t>
  </si>
  <si>
    <t>Решение Совета депутатов № 696/70, Выписка ЕГРН, регистрация № 50:39:0010108:1016-50/039/2017-2 от 09.02.2017г</t>
  </si>
  <si>
    <t>Решение Совета депутатов № 696/70, выписка из ЕГРН, регистрация № 50:39:0010109:145-50/039/2017-2 от 09.02.2017г</t>
  </si>
  <si>
    <t>Решение Совета депутатов № 696/70, Выписка из ЕГРН, регистрация № 50:39:0000000:3549-50/039/2017-2 от 09.02.2017г</t>
  </si>
  <si>
    <t>Решение Совета депутатов № 696/70. Выписка из ЕГРН, регистрация № 50:39:0030304:158-50/039/2017-2 от 09.02.2017г</t>
  </si>
  <si>
    <t>Решение Совета депутатов № 696/70. выписка из ЕГРН, регистрация № 50:39:0030302:856-520/039-2017-2 от 09.02.2017г</t>
  </si>
  <si>
    <t>Решение Совета депутатов № 696/70. Выписка из ЕГРН. Регистрация № 50:39:0000000:4055-50/039/2017-2 от 09.02.2017г</t>
  </si>
  <si>
    <t>Решение Совета Депутатов № 695/70. Выписка из ЕГРН, регистрация № 50:39:0050508:38-50/039/2017-2 от 09.02.2017г</t>
  </si>
  <si>
    <t>Решение Совета Депутатов № 695/70. Выписка из ЕГРН, регистрация № 50:39:0050508:808-50/039/2017-2 от 09.02.2017г</t>
  </si>
  <si>
    <t>Решение Совета Депутатов № 695/70, Выписка из ЕГРН, регистрация 3 50:39:0050301:585-50/039/2017-2 от 09.02.2017</t>
  </si>
  <si>
    <t>Решение Совета Депутатов № 695/70, Выписка из ЕГРН, регистрация № 50:39:0050201:792-50/039/2017-2 от 09.02.2017г</t>
  </si>
  <si>
    <t>Решение Совета Депутатов № 695/70. Выписка из ЕГРН, регистрация № 50:39:0050602:464-50/039/2017-2 от 09.02.2017г</t>
  </si>
  <si>
    <t>Решение Совета Депутатов № 695/70. Выписка из ЕГРН. Регистрация № 50:39:0000000:3694-50/09/2017-2 от 09.02.2017</t>
  </si>
  <si>
    <t>Решение Совета Депутатов № 695/70. выписска из ЕГРН, регистрция № 50:39:0000000:3705-50/039/2017-2 от 09.02.2017г</t>
  </si>
  <si>
    <t>Решение Совета Депутатов № 695/70, Выписка из ЕГРН. Регистрация № 50:39:0050101:576-50/39/2017-2 от 09.02.2017</t>
  </si>
  <si>
    <t>Решение Совета депутатов № 697/70. Выписка из ЕГРН, регистрация № 50:39:0080207:550-50/039/2017-2 от 09.02.2017г</t>
  </si>
  <si>
    <t>Решение Совета депутатов № 697/70. Выписка из ЕГРН, регистрация № 50:39:0070201:112-50/39/2017-2 от 09.02.2017г</t>
  </si>
  <si>
    <t>Решение Совета депутатов № 697/70. выписка из ЕГРН. Регитсрация № 50:39:0000000:4202-50/039/2017-2 от 09.02.2017г</t>
  </si>
  <si>
    <t>Решение Совета депутатов № 697/70. выписка из ЕГРН, регистрация № 50:39:0070303:232-50/039/2017-2 от 09.02.2017г</t>
  </si>
  <si>
    <t>Решение Совета депутатов № 697/70. выписка из ЕГРН, регистрация № 50:39:0000000:4228-50/039/2017-2 от 09.02.2017г</t>
  </si>
  <si>
    <t>Решение Совета депутатов № 697/70. Выписка из ЕГРН, регистрация № 50:39:0000000:4234-50/039/2017-2 от 09.02.2017г</t>
  </si>
  <si>
    <t>Решение Совета депутатов № 698/70, Выписка из ЕГРН, регистрация № 50:39:0060306:292-50/039/2017-2 от 09.02.2017г</t>
  </si>
  <si>
    <t>Решение Совета депутатов № 698/70. выписка из ЕГРН, регитрация № 50:39:0060107:406-50/039/2017-2 от 09.02.2017</t>
  </si>
  <si>
    <t>Решение Совета депутатов № 698/70. выписка из ЕГРН, регистрация № 50:39:0060303:37-50/039/2017-2 от 09.02.2017г</t>
  </si>
  <si>
    <t>Решение Совета депутатов № 698/70. выписка из ЕГРН, регистрация № 50:39:0060104:698-50/039/2017-2 от 09.02.2017г</t>
  </si>
  <si>
    <t>Решение Совета депутатов № 698/70. выписка из ЕГРН, регистрация № 50:39:0060105:247-50/039/2017-2 от 09.02.2017г</t>
  </si>
  <si>
    <t>Решение Совета депутатов № 698/70. выписка из Егрн, регистрация № 50:39:0060306:1003-50/039/2017-2 от 09.02.2017</t>
  </si>
  <si>
    <t>Решение Совета депутатов № 698/70. Выписка из ЕГРН, регистрация № 50:39:0000000:193-50/039/2017-2 от 09.02.2017</t>
  </si>
  <si>
    <t>Решение Совета депутатов № 698/70. Выписка из ЕГРН. Регистрация № 50:39:0000000:208-50/039/2017-2 от 09.02.2017г</t>
  </si>
  <si>
    <t>Решение Совета депутатов № 698/70. Выписка из ЕГРН, регистрация № 50:39:0060303:47-50/039/2017-2 от 09.02.2017г</t>
  </si>
  <si>
    <t>Решение Совета депутатов № 698/70. Выписка из ЕГРН, регистрация № 50:39:0060302:278-50/039/2017-2 от 09.02.2017</t>
  </si>
  <si>
    <t>Решение Совета депутатов № 698/70. Выписка из ЕГРН, регистрация № 50:39:0000000:196-50/039/2017-2 от 09.02.2017</t>
  </si>
  <si>
    <t>Решение Совета депутатов № 698/70. выписка ЕГРН, регистрация № 50:39:0060501:64-50/039/2017-2 от 09.02.2017</t>
  </si>
  <si>
    <t>Решение Совета депутатов № 698/70, Выписка из ЕГРН, регистрация № 50:39%:0060304:183-50/039/2017-2 от 09.02.2017</t>
  </si>
  <si>
    <t>Решение Совета депутатов № 698/70. Выписка из ЕГРН, регистрация № 50:39:0000000:109-50/039/2017-2 от 09.02.2017г</t>
  </si>
  <si>
    <t>Решение Совета депутатов № 698/70. Выписка из ЕГРН, регистрация № 50:39:,,60110:299-50/039/2017-2 от 09.02.2017</t>
  </si>
  <si>
    <t>Решение Совета депутатов № 696/70. Выписка из ЕГРН, регистрация № 50:39:0000000:4053-50/039/2017-3 от 01.02.2017г</t>
  </si>
  <si>
    <t>Решение Совета депутатов № 696/70. Выписка из ЕГРН, регистрация № 50:39:0000000:4081-50/039/2017-2 от 01.02.2017</t>
  </si>
  <si>
    <t>Решение Совета депутатов № 696/70. Выписка из ЕГРН, регистрация №50:39:0030302:334-50/039/2017-2 от 01.02.2017г</t>
  </si>
  <si>
    <t>Решение Совета депутатов № 696/70. Выписка из ЕГРН, регистрация № 50:39:0020317:212-50/039/2017-2 от 01.02.2017г</t>
  </si>
  <si>
    <t>Решение Совета депутатов № 696/70. Выписка из ЕГРН, регистрация № 50:39:0030208:168-50/039/2017-2 от 01.02.2017г</t>
  </si>
  <si>
    <t>Решение Совета депутатов № 696/70. Выписка из ЕГРН, регистрация права №50:39:0000000:178-50/039/2017-2 от 01.02.2017</t>
  </si>
  <si>
    <t>Решение Совета депутатов № 696/70. Выписка из ЕГРН, регистрация права №50:39:0000000:176-50/039/2017-2 от 01.02.2017</t>
  </si>
  <si>
    <t>Решение Совета депутатов № 696/70. выписка из ЕГРН, регистрация № 50:39:0040202:364-50/039/2017-2 от 01.02.2017</t>
  </si>
  <si>
    <t>Решение Совета депутатов № 696/70. Выписка из ЕГРН, регистрация № 50:39:0020108:69-50/039/2017-1 от 01.02.2017</t>
  </si>
  <si>
    <t>Решение Совета депутатов № 696/70.  Выписка из ЕГРН, регистрация №50:39:0020107:84-50/039/2017-2 от 01.02.2017</t>
  </si>
  <si>
    <t>Решение Совета депутатов № 696/70. Выписка из ЕГРН, регистрация № 50:39:0000000:180-50/039/2017-2 от 01.02.2017г</t>
  </si>
  <si>
    <t>Решение Совета депутатов № 696/70. Выписка из ЕГРН, регистрация № 50:39:0040204:64-50/039/2017-2 от 01.02.2017г</t>
  </si>
  <si>
    <t>Решение Совета депутатов № 696/70. выписка из ЕГРН. Регистрация № 50:39:0020109:116-50/039/2017-2 от 01.02.2017</t>
  </si>
  <si>
    <t>Решение Совета депутатов № 696/70. Выписка из ЕГРН, регистрация № 50:39:0020112:254 от 01.02.2017г</t>
  </si>
  <si>
    <t>Решение Совета депутатов № 696/70. Выписка из ЕГРН, регистрация № 50:39:0000000:183-50/039/2017-2 от 01.02.2017</t>
  </si>
  <si>
    <t>Решение Совета депутатов № 696/70. Выписка из ЕГРН, регистрация права № 069:0030108:103-50/039/2017-2 от 01.02.2017</t>
  </si>
  <si>
    <t>Решение Совета депутатов № 696/70. Выписка из ЕГРН, регистрация № 50:39:0040202:776-50/039/2017-1 от 01.02.2017</t>
  </si>
  <si>
    <t>Решение Совета депутатов № 696/70, Выписка из ЕГРН, регистрация № 50:39:0020316:49-50/039/2017-2 от 01.02.2017</t>
  </si>
  <si>
    <t>Решение Совета депутатов № 696/70, Выписка из ЕГРН, регистрация № 50:39:0030302:865--50/039/2017-2 от 01.02.2017</t>
  </si>
  <si>
    <t>Решение Совета депутатов № 696/70. Выписка из ЕГРН, регистрация № 50:39:0000000:4090-50/039/2017-2 от 01.02.2017г</t>
  </si>
  <si>
    <t>Решение Совета депутатов № 696/70, Выписка из ЕГРН, регистрация № 50:39:0020208:1236-50/039/2017-2 от 01.02.2017г</t>
  </si>
  <si>
    <t>Решение Совета депутатов № 696/70. Выписка из ЕГРН, регистрация № 50:39:0030305:995-50/039/2017-2 от 01.02.2017</t>
  </si>
  <si>
    <t>Решение Совета депутатов № 696/70, Выписка из ЕГРН, регистрация № 50:39:0020208:1089-50/039/2017-2 от 01.02.2017</t>
  </si>
  <si>
    <t>Решение Совета депутатов № 696/70, Выписка из ЕГРН, регистрация № 50:39:0020206:255-50/039/2017-2 от 01.02.2017</t>
  </si>
  <si>
    <t>Решение Совета депутатов № 696/70. Выписка из ЕГРН, регистрация № 50:39:0000000:177-50/039/2017-2 от 01.02.2017</t>
  </si>
  <si>
    <t>Решение Совета депутатов № 696/70. выписка из ЕГРН. Регистрация № 50:39:0010106:25-50/039/2017-2 от 01.02.2017</t>
  </si>
  <si>
    <t>Решение Совета депутатов № 696/70. Выписка из ЕГРН, регистрация № 50:39:0030305:968-50/039/2017-2 от 01.02.2017</t>
  </si>
  <si>
    <t>Решение Совета депутатов № 696/70, Выписка из ЕГРН, регистрация № 50:39:0030303:464-50/039/2017-2 от 01.02.2017</t>
  </si>
  <si>
    <t>Решение Совета депутатов № 696/70. Выписка из ЕГРН, регистрация № 0:39:0030305:967-50/039/2017-2 от 01.02.2017г</t>
  </si>
  <si>
    <t>Решение Совета депутатов № 696/70. Выписка из ЕГРН, регистрация № 50:39:0010108:894-50/039/2017-2 от 01.02.2017</t>
  </si>
  <si>
    <t>Решение Совета депутатов № 696/70. Выписка из ЕГРН, регистрация № 50:39:0020106:650-50/039/2017-2 от 01.02.2017г</t>
  </si>
  <si>
    <t>Решение Совета депутатов № 696/70, Выписка из ЕГРН, регистрация № 50:39:0010105:72-50/039/2017-2 от 01.02.2017</t>
  </si>
  <si>
    <t>Решение Совета депутатов № 696/70. Выписка из ЕГРН, регистрация № 50:39:0030305:112-50/039/2017-2 от 01.02.2017г</t>
  </si>
  <si>
    <t>Решение Совета депутатов № 696/70. Выписка из ЕГРН, регистрация № 50:39:0020314:209-50/039/2017-2 от 01.02.2017</t>
  </si>
  <si>
    <t>Решение Совета депутатов № 696/70. Выписка из ЕГРН, регистрация № 50:39:0020208:360-50/039/2017-2 от 01.02.2017</t>
  </si>
  <si>
    <t>Решение Совета депутатов № 696/70. Выписка из ЕГРН, регистрация № 50:39:0010108:381-50/039/2017-2 от 01.02.2017г</t>
  </si>
  <si>
    <t>Решение Совета депутатов № 696/70. Выписка из ЕГРН, регистрация № 50:39:0020208:454-50/039/2017-2 от 01.02.2017</t>
  </si>
  <si>
    <t>Решение Совета депутатов № 696/70. Выписка из ЕГРН, регистрация № 50:39:0010108:380-50/039/2017-3 от 01.02.2017г</t>
  </si>
  <si>
    <t>Решение Совета депутатов № 696/70. Выписка из ЕГРН, регистрация № 50:39:0010206:39-50/039/2017-2 от 01.02.2017г</t>
  </si>
  <si>
    <t>Решение Совета депутатов № 696/70. Выписка из ЕГРН, регистрация № 50:39:0020316:10-50/039/2017-2 от 01.02.2017</t>
  </si>
  <si>
    <t>Решение Совета депутатов № 696/70. Выписка из ЕГРН, регистрация № 50:39:0030302:303-50/039/2017-2 от 01.02.2017г</t>
  </si>
  <si>
    <t>Решение Совета депутатов № 696/70. Выписка из ЕГРН, регистрация № 50:39:0030301:48-50/039/2017-2 от 01.02.2017</t>
  </si>
  <si>
    <t>Решение Совета депутатов № 696/70. Выписка из ЕГРН, регистрация № 50:39:0030404:97-50/039/2017- от 01.02.2017</t>
  </si>
  <si>
    <t>Решение Совета депутатов № 696/70. выписка из ЕГРН, регистрация № 50:39:0030405:138-50/039/2017-2 от 01.02.2017г</t>
  </si>
  <si>
    <t>Решение Совета депутатов № 696/70. Выписка из ЕГРН, регистрация № 50:39:0030305:114-50/039/2017-2 от 01.02.2017</t>
  </si>
  <si>
    <t>Решение Совета депутатов № 696/70. выписка из ЕГРН, регистрация № 50:39:0030303:25-50/039/2017-2 от 01.02.2017</t>
  </si>
  <si>
    <t>Решение Совета депутатов № 696/70. выписка из ЕГРН, регистрация № 50:39:0030305:113-50/039/2017-2 от 01.02.2017г</t>
  </si>
  <si>
    <t>Решение Совета депутатов № 696/70. Выписка из ЕГРН, регистрация № 50:39:0020318:90-50/039/2017-2 от 02.02.2017</t>
  </si>
  <si>
    <t>Решение Совета депутатов № 696/70. Выписка из ЕГРН, регистрация №50:39:0020318:91-50/039/2017-2 от 01.02.2017</t>
  </si>
  <si>
    <t>50:39:0030118:82</t>
  </si>
  <si>
    <t>Решение Совета депутатов № 696/70. Выписка ЕГРН. Регистрация № 50:39:0030118:82-50/039/2017-2 от 01.02.2017</t>
  </si>
  <si>
    <t>Решение Совета депутатов № 696/70. выписка из ЕГРН, регистрация № 50:39:0020321:180-50/039/2017-2 от 01.02.2017</t>
  </si>
  <si>
    <t>Решение Совета депутатов № 696/70. выписка из ЕГРН, регистрация №50:39:0010302:274-50/039/2017-2 от 01.02.2017</t>
  </si>
  <si>
    <t>Решение Совета депутатов № 696/70. Выписка из ЕГРН, регистрация № 50:39:0030107:166-50/039/2017-2 от 01.02.2017</t>
  </si>
  <si>
    <t>Решение Совета депутатов № 696/70. Выписка из ЕГРН, регистрация № 50:39:0020106:648-50/039/2017-2 от 01.02.2017</t>
  </si>
  <si>
    <t>Решение Совета депутатов № 696/70. Выписка из ЕГРН, регистрация № 50:39:0020106:647-50/039/2017-2 от 01.02.2017</t>
  </si>
  <si>
    <t>Решение Совета депутатов № 696/70. выписка из ЕГРН, регистрация № 50:39:0020111:42-50/039/2017-2 от 01.02.2017</t>
  </si>
  <si>
    <t>Решение Совета депутатов № 696/70. Выписка из ЕГРН. Регистрация № 50:39:0030302:826-50/039/2017-2 от 01.02.2017</t>
  </si>
  <si>
    <t>Решение Совета депутатов № 696/70. выписка из ЕГРН. Регистрация № 50:39:0000000:185-50/039/2017-1 от 01.02.2017</t>
  </si>
  <si>
    <t>Решение Совета депутатов № 696/70. Выписка из ЕГРН, регистрация № 50:39:0010305:200-50/039/2017-2 от 01.02.2017</t>
  </si>
  <si>
    <t>Решение Совета депутатов № 696/70. Выписка из ЕГРН, регстрация № 50:39:0020106:268-50/039/2017-2 от 01.02.2017</t>
  </si>
  <si>
    <t>Решение Совета депутатов № 696/70. Выписка из ЕГРН, регистрация № 50:39:0040201:11-50/039/2017-1 от 01.02.2017</t>
  </si>
  <si>
    <t>Решение Совета депутатов № 696/70. Выписка из ЕГРН, регистрация № 50:39:0020307:75-50/039/2017-2 от 01.02.2017</t>
  </si>
  <si>
    <t>Решение Совета депутатов № 696/70. Выписка из ЕГРН, регистрация № 50:39:0010302:660-50/039/2017-2 от 01.02.2017</t>
  </si>
  <si>
    <t>Решение Совета депутатов № 696/70. Выписка из ЕГРН, регистрация № 50:39:0000000:106-50/039/2017-2 от 01.02.2017</t>
  </si>
  <si>
    <t>Распоряжение администрации городского окруна Серебряные Пруды Московской области № 179-р</t>
  </si>
  <si>
    <t>Справка счет 77 МК 187875</t>
  </si>
  <si>
    <t>Договор № 7/2017 передачи жилого помещения муниципального жилищного фонда в собственность граждан</t>
  </si>
  <si>
    <t>Договор № 8/2017 передачи жилого помещения муниципального жилищного фонда в собственность граждан</t>
  </si>
  <si>
    <t>Договор № 11/2017 передачи жилого помещения муниципального жилищного фонда в собственность граждан</t>
  </si>
  <si>
    <t>Договр № 247 на передачу  квартиры в собственность граждан</t>
  </si>
  <si>
    <t>Договор № 6/2016 передачи жилого фонда в собственность граждан</t>
  </si>
  <si>
    <t>УАЗ - 315195 легковой, гос.номер С 770 МЕ 150, VIN XU1315195620000072, 2005 год</t>
  </si>
  <si>
    <t>Выписка из ЕГРП, регистрация № 50-50/039-50/999/001/2016-26279/1 от 26.12.2016г. Выписка ЕГРН, регистрация № 50:39:0020307:84-50/039/2017-2 от 11.04.2017</t>
  </si>
  <si>
    <t>Выписка из ЕГРП, регистрация № 50-50/039-50/999/001/2016-26291/1 от 26.12.2016г. Выписка из ЕГРН, регистрация № 50:39:0030207:27-50/39/2017-2 от 11.04.2017</t>
  </si>
  <si>
    <t>Решение Совета депутатов № 696/70. Выписка из ЕГРН, регистрация №50:39:0040202:988-50/039/2017-1 от 03.04.2017</t>
  </si>
  <si>
    <t>Решение Совета депутатов № 696/70. Выписка из ЕГРН, регистрация №50:39:0020136:67-50/039/2017-1 от 03.04.2017</t>
  </si>
  <si>
    <t>Решение Совета депутатов № 696/70. Выписка из ЕГРН, регистрация № 50:39:0040202:993-50/039/2017-1 от 07.04.2017</t>
  </si>
  <si>
    <t>Решение Совета депутатов № 696/70. Выписка из ЕГРН, регистрация № 50:39:0030305:1021-50/039/2017-1 от 03.04.2017</t>
  </si>
  <si>
    <t>Решение Совета депутатов № 696/70. Выпимска ЕГРН, регистрация № 50:39:0020208:1307-50/039/2017-1 от 07.04.2017</t>
  </si>
  <si>
    <t>Решение Совета депутатов № 696/70. Выприска из ЕГРН, регистрация № 0:39:0030118:197-50/039/2017-1 от 11.04.2017</t>
  </si>
  <si>
    <t>Решение Совета депутатов № 696/70. Выписка из ЕГРН, геристрация № 50:39:0010305:250-50/039/2017-1 от 11.04.2017г</t>
  </si>
  <si>
    <t>Решение Совета депутатов № 696/70. Выписка из ЕГРН, регистрация № 50:39:0040204:989-50/039/2017-1 от 10.04.2017</t>
  </si>
  <si>
    <t>Решение Совета депутатов № 696/70. Выписка из ЕГРН, регистрация № 50:39:0010110:36-50/039/2017-1 от 11.04.2017</t>
  </si>
  <si>
    <t>Решение Совета депутатов № 696/70. Выписка из ЕГРН, регистрация № 50:39:0010110:37-50/039/2017-1 от 11.04.2017</t>
  </si>
  <si>
    <t>Решение Совета депутатов № 696/70. выписка из ЕГРН, регистрация № 50:39:0030302:927-50/039/2017-1 от 11.04.2017</t>
  </si>
  <si>
    <t>Выписка из ЕГРП, регистрация № 50-50/039-50/999/001/2016-26290/1 от 26.12.2016г. Выписка из ЕГРН, регистрация № 50:39:0030116:289-80/2039/2017-2 от 11.04.2017</t>
  </si>
  <si>
    <t>08.12.2016г</t>
  </si>
  <si>
    <t>Решение Совета депутатов № 696/70. Выписка из ЕГРН, регистрация № 50:39:0020208:1304-50/039/2017-1 от 18.04.2017</t>
  </si>
  <si>
    <t>Решение Совета депутатов № 696/70. Выписка из ЕГРН, регистрация № 50:39:0030403:66-50/039/2017-1 от 18.04.2017г</t>
  </si>
  <si>
    <t>Решение Совета депутатов № 696/70. Выписка из ЕГРН, регистрация № 50:39:0030302:931-50/039/2017-1 от 18.04.2017г</t>
  </si>
  <si>
    <t>Решение Совета депутатов № 696/70. Выписка из ЕГРН, регистрация № 50:39:0020106:789-50/039/2017-1 от 18.04.2017</t>
  </si>
  <si>
    <t>50:39:0050503:371</t>
  </si>
  <si>
    <t>Свидетельство о регистрации права 50-НВ №115531. Свидетельство от 20.06.2016г 50-ББ № 287681</t>
  </si>
  <si>
    <t xml:space="preserve"> Постановление от 15.08.2008 №882 МОУ «Серебряно-Прудская СОШ им. Маршала В.И. Чуйкова» (оперативное управление)</t>
  </si>
  <si>
    <t>50:39:0050513:116</t>
  </si>
  <si>
    <t xml:space="preserve">  Св-во о гос.рег-ии 50-АБ №328279. Свидетельство от 21.06.2016г 50-ББ № 287792</t>
  </si>
  <si>
    <t>Здание интерната, нежилое, 2-этажный, инв. 272:077-1725/1 лит. Б, в том числе:</t>
  </si>
  <si>
    <t>50:39:0010108:933</t>
  </si>
  <si>
    <t>Свидетельство о регистрации права 50 АА № 132261. Свидетельство от 20.06.2016г 50-ББ № 287690</t>
  </si>
  <si>
    <t xml:space="preserve">Часть здание, нежилое, 2-этажный, инв. 274:078-3650 лит.А,  </t>
  </si>
  <si>
    <t>50:39:0020208:1157</t>
  </si>
  <si>
    <t>Свидетельство о регистрации права НА №0828105. Свидеьтельство от 20.06.2016г 50-ББ 287688</t>
  </si>
  <si>
    <t>Часть здания, нежилое, 1-2 этажный, инв. 275:078-3898, лит.А</t>
  </si>
  <si>
    <t>50:39:0080207:465</t>
  </si>
  <si>
    <t>Свидетельство о регистрации права АБ №658971. Свидетельство от 20.05.2016г 50-ББ № 287273</t>
  </si>
  <si>
    <t>Свидетельство о регистрации права АБ №658969. Свидетельство от 20.05.2016г 50-ББ № 287265</t>
  </si>
  <si>
    <t>Часть здания, нежилое 1-2 этажный, инв. 275:078-3898, лит.А</t>
  </si>
  <si>
    <t>50:39:0080207:464</t>
  </si>
  <si>
    <t>Здание «Центр развития ребенка - детский сад №5 «Журавушка», нежилое, инв. 1724 лит.А</t>
  </si>
  <si>
    <t>50:39:0050503:326</t>
  </si>
  <si>
    <t>Жилой дом, нежилое, 2-этажное, инв. 1216</t>
  </si>
  <si>
    <t>п. Серебряные Пруды М.О. мкр. Юбилейный д.12</t>
  </si>
  <si>
    <t>Свидетельство о регистрации права НА №0595211. Свидетельство от 21.06.2016г 50-ББ №287798</t>
  </si>
  <si>
    <t>Здание «Центр развития ребенка- ДС №7 «Аленушка», нежилое, инв. 1721 лит. А</t>
  </si>
  <si>
    <t>50:39:0050404:419</t>
  </si>
  <si>
    <t>Свидетельство о регистрации права НА №0595087. Свидетельство от 21.06.2016 50-ББ №287796</t>
  </si>
  <si>
    <t>Здание МДОУ «Детский сад общеразвивающего вида "Колосок", нежилое, 2-этажный, инв. 3910 лит. А,а</t>
  </si>
  <si>
    <t>50:39:0030305:176</t>
  </si>
  <si>
    <t>Свидетельство о регистации права НА №0595448. Свидетельство от 21.06.2016г 50-ББ №287797</t>
  </si>
  <si>
    <t>Здание «Детский сад общеразвивающего вида «Малышок», нежилое, 2-этажное, инв. 3609</t>
  </si>
  <si>
    <t>50:39:0070205:31</t>
  </si>
  <si>
    <t>Свидетельство о регистрации НА №0595054. Свидетельство от 20.06.2016г 50-ББ № 287693</t>
  </si>
  <si>
    <t>Здание «Детский сад общеразвивающего вида, нежилое «Светлячок» , 2-х этажное, инв. 3512</t>
  </si>
  <si>
    <t>50:39:0060306:349</t>
  </si>
  <si>
    <t>Свидетельство о регистрации права НА №0595059. Свидетельство от 20.06.2016г 50-ББ № 287696</t>
  </si>
  <si>
    <t>Здание МДОУ «Детский сад общеразвивающего вида № 13 «Звездочка», нежилое, 1 - этажный, инв. 3499 лит.А</t>
  </si>
  <si>
    <t>Московская область, Серебряно-Прудский район, с. Подхожее м-н Юбилейный д. 11</t>
  </si>
  <si>
    <t>50:39:0000000:633</t>
  </si>
  <si>
    <t>Свидетельство о регистрации НА №0595447. Свидетельство от 20.06.2016г 50-ББ №287683</t>
  </si>
  <si>
    <t xml:space="preserve">Здание д/сада, нежилое, 2-х этажное, инв.3906 </t>
  </si>
  <si>
    <t>Московская область, городской округ Серебряные Пруды с. Крутое д. 13</t>
  </si>
  <si>
    <t>50:39:0020106:281</t>
  </si>
  <si>
    <t>Свидетельство о регистрации НА №0595450. Свидетельство от 20.06.2016г 50-ББ №287680</t>
  </si>
  <si>
    <t>Часть здания школы, нежилое, 1-этажный, инв. 273:078-3460/1</t>
  </si>
  <si>
    <t>Московская область, городской округ Серебряные Пруды, д. Шеметово д 51</t>
  </si>
  <si>
    <t>50:39:0060104:209</t>
  </si>
  <si>
    <t>Свид-во о регистрации права 50-АА № 345121. Свидетельство от 20.06.2016г 50-ББ № 287682</t>
  </si>
  <si>
    <t>Здание Серебряно-Прудской СОШ им. Маршала В.И. Чуйкова», нежилое (новое), инв. 272:077-1965, лит. А,А1,а,а1а2,а3</t>
  </si>
  <si>
    <t>Московская область, Серебряно-Прудский район, рп. Серебряные Пруды  ул. Школьная д.1</t>
  </si>
  <si>
    <t>Московская область, Серебряно-Прудский район. рп. Серебряные Пруды  ул. Б. Луговая д.8</t>
  </si>
  <si>
    <t>Свидетельство о регистрации прва 50-АБ № 324044. Свидетельство от 20.06.2016г 50-ББ №287692</t>
  </si>
  <si>
    <t>Московская область, Серебряно-Прудский район, рп. Серебряные Пруды, ул. Б. Луговая д.8</t>
  </si>
  <si>
    <t>Свидетельство о регистрации прва 50-АБ № 324042. Свидетельство от 20.06.2016г 50-ББ №287685</t>
  </si>
  <si>
    <t>Московская область, Серебряно-Прудский р-он, рп. Серебряные Пруды  ул. Б. Луговая д.8</t>
  </si>
  <si>
    <t>Свидетельство о регистрации прва 50-АБ № 324043. Свидетельство от 20.06.2016г 50-ББ №287691</t>
  </si>
  <si>
    <t xml:space="preserve"> Часть здания, нежилое,  3-этаж, инв 272:077-1725/2 лит. А</t>
  </si>
  <si>
    <t>Московская область, Серебряно-Прудский район, рп. Серебряные Пруды  ул. Б. Луговая д.8</t>
  </si>
  <si>
    <t>50:39:0050513:193</t>
  </si>
  <si>
    <t xml:space="preserve"> Свид-во от о регистрации права 50-АВ №323106, Свидетельство от 21.06.2016г 50-ББ №287795</t>
  </si>
  <si>
    <t xml:space="preserve"> Часть здания, нежилое, 2-этажный, инв 272:077-1725 лит. А </t>
  </si>
  <si>
    <t>Свид-во о регистрации права 50 НБ №370905. Свидетельство от 21.06.2016г 50-ББ № 287799</t>
  </si>
  <si>
    <t>50:39:0050513:198</t>
  </si>
  <si>
    <t xml:space="preserve"> Часть здания, нежилое, 1-этажный, инв 272:077-1725 лит.А</t>
  </si>
  <si>
    <t>Свид-во о регистрации права 50 НБ №370903. Свидетельство от 20.06.2016г 50-ББ №287694</t>
  </si>
  <si>
    <t xml:space="preserve"> Часть здания, нежилое, 1-этажный, инв. 1725 лит. А </t>
  </si>
  <si>
    <t>Московская область, Серебряно-Прудский район, рп. Серебряные Пруды ул. Б. Луговая д.8</t>
  </si>
  <si>
    <t>50:39:0050513:196</t>
  </si>
  <si>
    <t>Свид-во о регистрации права 50 НБ №370904, Свидетельство от 21.06.2016г 50-ББ №287793</t>
  </si>
  <si>
    <t>Здание МОУ «Клемовская средняя общеобразовательная школа», нежилое, 2-этажный, инв. №2560, лит.А</t>
  </si>
  <si>
    <t>Московская область, Серебряно-Прудский район, п. Новоклемово д. 62</t>
  </si>
  <si>
    <t>50:39:0040202:460</t>
  </si>
  <si>
    <t xml:space="preserve"> Свидетельство о регистрации права НА № 0595208. Свидетельство от 20.06.2016г 50-ББ № 287695</t>
  </si>
  <si>
    <t>Московская область, Серебряно-Прудский район, с. Петрово д. 42</t>
  </si>
  <si>
    <t>50:39:0010108:932</t>
  </si>
  <si>
    <t>Свидетельство о регистрации права 50 АА № 132262. Свидетельство от 20.06.2016г 50-ББ № 287687</t>
  </si>
  <si>
    <t>Часть здания, нежилое, 1-2 этажный, инв. 275:078-2788 лит. А</t>
  </si>
  <si>
    <t>Московская область, Серебряно-Прудский район, п. Дмитриевский д.5</t>
  </si>
  <si>
    <t>50:39:0080207:272</t>
  </si>
  <si>
    <t>Свидетельство о регистрации права АБ №328182. Свидетельство от 20.05.2016г 50-ББ №287261</t>
  </si>
  <si>
    <t>Часть здания, нежилое, 2-этажный, инв. 273:078-3460 лит.А</t>
  </si>
  <si>
    <t>Московская область, Серебряно-Прудский район, д. Шеметово д. 51</t>
  </si>
  <si>
    <t>50:39:0060104:573</t>
  </si>
  <si>
    <t>Свид-во о регистрации права 50-АА № 345122. Свидетельство от 20.06.2016г 50-ББ №287686</t>
  </si>
  <si>
    <t>Здание МОУ «Узуновская средняя образовательная школа», 3-х этажное, инв. № 3907</t>
  </si>
  <si>
    <t>Московская область, Серебряно-Прудский район, с. Узуново м-н Северный д. 13</t>
  </si>
  <si>
    <t>Московская область, Серебряно-Прудский район, рп. Серебряные Пруды, м-н Западный д.10</t>
  </si>
  <si>
    <t>Здание МДОУ «Детский сад общеразвивающего вида «Росинка» , 2-этажное, инв. 3911, лит. А</t>
  </si>
  <si>
    <t>Московская область, Серебряно-Прудский район, с. Узуново, м-н Северный д. 10а</t>
  </si>
  <si>
    <t>Здание МОУ «Подхоженская средняя общеобразовательная школа», 2-х этажное, инв. 3443</t>
  </si>
  <si>
    <t>Московская область, Серебряно-Прудский район, с. Подхожее м-н Юбилейный д. 12</t>
  </si>
  <si>
    <t>Московская область, Серебряно-Прудский район, с. Глубокое, д.116</t>
  </si>
  <si>
    <t>Здание МОУ «Мочильская средняя общеобразовательная школа", 2-этажное, инв. № 3444, лит. А</t>
  </si>
  <si>
    <t>Московская область, Серебряно-Прудский район, с. Мочилы ул. Школьная д. 9</t>
  </si>
  <si>
    <t>Здание МОУ "Крутовская средняя общеобразовательная школа", 2-х этажное, инв. 3478, лит.А</t>
  </si>
  <si>
    <t>Московская область, Серебряно-Прудский район, п. Новоклемово д. 67</t>
  </si>
  <si>
    <t>Здание картофелехранилище, нежилое, инв. 274:078-3907/3, лит. Г</t>
  </si>
  <si>
    <t>городской округ Серебряные Пруды М.О. с. Глубокое, д.40</t>
  </si>
  <si>
    <t>Здание овощехранилища, нежилое, инв. 274:078-3907/2, лит. В</t>
  </si>
  <si>
    <t>Московская область, Серебряно-Прудский район,  с. Узуново м-н Северный д. 13</t>
  </si>
  <si>
    <t>Здание общежития для филиала ГУ Московской области "Московское областное училище олимпийского резерва по игровым видам спорта", нежилое,, 2-этажный, инв. № 272:077-2111, лит.Б</t>
  </si>
  <si>
    <t>Московская область, Серебряно-Прудский район, рп. Серебряные Пруды, мкр. Юбилейный д.15 а</t>
  </si>
  <si>
    <t xml:space="preserve"> Часть здания, нежилое, 3-этаж, инв 272:077-1725/2 лит. А</t>
  </si>
  <si>
    <t xml:space="preserve">Здание интерната Шеметовской школы, 2-этажное, инв. 273:078-3939, лит.А </t>
  </si>
  <si>
    <t>Здание Интерната, 2-этажное, инв. № 3546, лит.А</t>
  </si>
  <si>
    <t>гМосковская область, Серебряно-Прудский район, с. Мочилы ул. Школьная д. 8</t>
  </si>
  <si>
    <t>Московская область, Серебряно- Прудский район, р.п. Серебряныые Пруды. ул. Школьная, стр. 11</t>
  </si>
  <si>
    <t>Здание "Детский сад д. Коровино", инв. №2401</t>
  </si>
  <si>
    <t>Нежилое помещение, здание 1-о этажное, общей площадью 686,4 кв.м.. Инв. № 273:078-3546, лит. А (администрация)</t>
  </si>
  <si>
    <t>Нежилое помещение, 1-2 этажное, инв. № 273:078-3939, лит. А (администрация)</t>
  </si>
  <si>
    <t>Автомобильная дорога общего пользования с грунтовым покрытием. Протяженность 1500 м</t>
  </si>
  <si>
    <t>Московская область, Серебряно-Прудский район, д. Барыково (   от д. № 45 до д. № 60)</t>
  </si>
  <si>
    <t>Автомобильная дорога с   переходным покрытием, кадастровый номер земельного участка 50:39:0000000:4201, Протяженность 750м</t>
  </si>
  <si>
    <t>Оперативное управление МДОУ "Детский сад общеразвивающего вида "Колосок". Постановление от 18.04.2006г № 218</t>
  </si>
  <si>
    <t>Оперативное управление МДОУ "Десткий сад №10 "Берёзка". Постановление от 08.02.2010г №94</t>
  </si>
  <si>
    <t>Оперативное управление МОУ "Серебряно-Прудская средняя общеобразовательная школа имени маршала В.И. Чуйкова. Постановление от 28.11.2008г №1326</t>
  </si>
  <si>
    <t>Оперативное управление МОУ "Серебряно-Прудская средняя общеобразовательная школа имени маршала В.И. Чуйкова. Постановление от 15.08.2008г №882</t>
  </si>
  <si>
    <t xml:space="preserve">Автомобильная дорога (с  твердым покрытием), расположенная на земельном участке с кадастровым номером 50:39:0020208:454, протяженностью 1090м    </t>
  </si>
  <si>
    <t xml:space="preserve">Автомобильная дорога (с  твердым покрытием), расположенная на земельном участке с кадастровым номером 50:39:0010108:380, протяженностью 870 м    </t>
  </si>
  <si>
    <t xml:space="preserve">Автомобильная дорога (с  грунтовым покрытием), расположенная на земельном участке с кадастровым номером 50:39:0010206:39, протяженностью 800 м </t>
  </si>
  <si>
    <t xml:space="preserve">Автомобильная дорога (с  грунтовым покрытием), расположенная на земельном участке с кадастровым номером 50:39:0000000:178, протяженностью 2306 м     </t>
  </si>
  <si>
    <t>Свидетельство о регистрации права 50-БА 635675, Выписка из ЕГРН, регистрация права № 50:39:0040104:70-50/039/2017-2 от 03.05.2017</t>
  </si>
  <si>
    <t>Свидетельство о регистрации права 50-БА 635449. Выписка из ЕГРН, регистрация № 50:39:0060205:116-50/039/2017-2 от 03.05.2017</t>
  </si>
  <si>
    <t>Свидетельство о регистрации права 50-БА 376381. Выписка из ЕГРН, регистрация № 50:39:0070106:134-50/039/2017-2 от 03.05.2017</t>
  </si>
  <si>
    <t>Свидетельство о регистрации права 50-БА 381192. Выписка из ЕГРН, регистрация № 50:39:0040103:72-50/039/2017-2 от 03.05.2017</t>
  </si>
  <si>
    <t>Свидетельство о регистрации права 50-БА 376118. Выписка из ЕГРН, регистрация № 50:39:0060602:231-50/039/2017-2 от 03.05.2017</t>
  </si>
  <si>
    <t>Свидетельство о регистрации права 50-БА 380605. Выписка из ЕГРН, регистрация № 50:39:0060601:43-50/039/2017-2 от 03.05.2017г</t>
  </si>
  <si>
    <t>Свидетельство о регистрации права 50-БА 635329. Выписка из ЕГРН, регистрация № 50:39:0060205:54-50/039/2017-2 от 03.05.2017г</t>
  </si>
  <si>
    <t>Свидетельство о регистрации права 50-БА380906. Выписка из ЕГРН, регистрация № 50:39:0070106:153-50/039/2017-2 от 03.05.2017</t>
  </si>
  <si>
    <t>Свидетельство о регистрации права 50-БА 376109. Выписка из ЕГРН, регистрация № 50:39:0060601:415-50/039/2017-2 от 03.05.2017</t>
  </si>
  <si>
    <t>Свидетельство о регистрации права 50-БА 376382. Выписка из ЕГРН, регистрация № 50:39:0030110:69-50/039/2017-2 от 03.05.2017</t>
  </si>
  <si>
    <t>Свидетельство о регистрации права 50-БА 376117. Выписка из ЕГРН, регистрация № 50:39:0040103:195-50/039/2017-2 от 03.05.2017</t>
  </si>
  <si>
    <t>Свидет-во о государственной регистрации права 50-БА 635640. Выписка из ЕГРН, регистрация № 50:39:0010103:46-50/039/2017-2 от 03.05.2017</t>
  </si>
  <si>
    <t xml:space="preserve"> Св-во о гос.рег-ии 50-АК 032306. Выписка из ЕГРН, регистрация № 50:39:0,060202:148-50/039/2017-2 от 25.04.2017</t>
  </si>
  <si>
    <t>Свидетельство о регистрации права 50-АК 033033. Выписка из ЕГРН, регистрация № 50:39:0070302:179-50/039/2017-2 от 25.04.2017</t>
  </si>
  <si>
    <t>Свидетельство о регистрации права 50-БА 534100. Выписка из ЕГРН, регистрация № 50:39:0040103:10-50/039/2017-2 от 27.04.2017г</t>
  </si>
  <si>
    <t>Свидетельство о регистрации права 50-БА 375642. Выписка из ЕГРН, регистрация № 50:39:0060308:147-50/039/2017-2 от 27.04.2017г</t>
  </si>
  <si>
    <t>г.видетельство о регистрации права 50-БА 3011727. Выписка из ЕГРН, регистрация № 20:39:0020118:361-50/039/ от 27.04.2017г</t>
  </si>
  <si>
    <t>Свидетельство о регистрации права 50-БА 534099. Выписка из ЕГРН, регистрация № 50:39:0070106:57-50/039/2017-2 от 27.04.2017г</t>
  </si>
  <si>
    <t>Свидетельство о регистрации права 50-БА 375731. Выписка из ЕГРН, регистрация № 50:39:0010205:83-50/039/2017-5 от 27.04.2017</t>
  </si>
  <si>
    <t>Свидетельство о регистрации права 50-БА 533994. Выписка из ЕГРН, регистрация № 50:39:0070106:37-50/039/2017-2 от 27.04.2017г</t>
  </si>
  <si>
    <t>Муниципальное образование городской округ Серебряные пруды Московской области (казна)</t>
  </si>
  <si>
    <t>Свидетельство о регистрации права 50-БА 376091. Выписка ЕГРН, регистрация № 50:39:0040103:141-50/039/2017-2 от 27.04.2017</t>
  </si>
  <si>
    <t>Свидетельство о регистрации права 50-БА 375768. Выписка из ЕГРН, регистрация № 50:39:0020301:39-50/039/2017-2 от 27.04.2017</t>
  </si>
  <si>
    <t>Свидетельство о регистрации права 50-БА 534112. Выписка из ЕГРН, регистрация № 50:39:0040105:121-50/039/2017-2 от 27.04.2017</t>
  </si>
  <si>
    <t>Свидетельство о регистрации права 50-БА 534094. Выписка из ЕГРН, регистрация № 50:39:0040104:47-50/039/2017-2 от 27.04.2017г</t>
  </si>
  <si>
    <t>Свидетельство о регистрации права 50-БА 228417. Выписка из ЕГРН, регистрация № 50:39:0020308:230-50/039/2017-2 от 27.04.2017</t>
  </si>
  <si>
    <t>Свидетельство о регистрации права 50-БА 375893. Выписка из ЕГРН, регистрация № 50:39:0020101:22-50/039/2017-2 от 27.04.2017</t>
  </si>
  <si>
    <t>Решение Совета депутатов № 698/70, Выписка из ЕГРН, регистрация № 50:39:0000000:195-50/039/2017-2 от 25.04.2017г</t>
  </si>
  <si>
    <t>Решение Совета депутатов № 698/70. выписка из ЕГРН, Регистрация № 50:39:0060110:296-50/039/2017-2 от 25.04.2017</t>
  </si>
  <si>
    <t>Решение Совета депутатов № 698/70. Выписка из ЕГРН, регистрация № 50:39:0070306:69-50/039/2017-2 от 25.04.2017</t>
  </si>
  <si>
    <t>Решение Совета депутатов № 698/70. Выписка из ЕГРН, регистрация № 50:39:0060104:170-50/039/2017-2 от 25.04.2017г</t>
  </si>
  <si>
    <t>28.05.2015г</t>
  </si>
  <si>
    <t>Договор передачи жилого помещения муниципального жилищного фонда в собственность граждан № 12/2015 от 19.05.2015 (Выписка из ЕГРН от 20.04.2017г)</t>
  </si>
  <si>
    <t>Московская область, Серебряно-Прудский район, пос. Успенский,  ул. Запрудная, д.9, кв.8</t>
  </si>
  <si>
    <t>50:39:0070303:183</t>
  </si>
  <si>
    <t xml:space="preserve">Выписка из ЕГРН, регистрация № 50:39:0070303:183-50/039/2017-3 </t>
  </si>
  <si>
    <t>Московская область, Серебряно-Прудский район, с. Узуново, мкр. Южный, д.21, кв.7</t>
  </si>
  <si>
    <t>50:39:0030305:549</t>
  </si>
  <si>
    <t>Выписка из ЕГРН, регистрация № 50:39:0030305:549-50/039/2017-2</t>
  </si>
  <si>
    <t>Московская область, Серебряно-Прудский район, рп Серебряные Пруды, мкр. Юбилейный, д.1, кв.59</t>
  </si>
  <si>
    <t>50:39:0050508:524</t>
  </si>
  <si>
    <t>Выписка из ЕГРН, регистрация № 50:39:0050508:524-50/039/2017-2</t>
  </si>
  <si>
    <t>Московская область, Серебряно-Прудский район, снт Лобаново, уч-к 78</t>
  </si>
  <si>
    <t>50:39:0060203:9</t>
  </si>
  <si>
    <t xml:space="preserve">Выписка из ЕГРН, регистрация права № 50:39:0060203:9-50/039/2017-1 </t>
  </si>
  <si>
    <t>Трактор ДЗ-42 гос. номер 50 ОН 6121</t>
  </si>
  <si>
    <t>16.12.2016г</t>
  </si>
  <si>
    <t xml:space="preserve">Договор купли-продажи транспортного средства 1/2016 </t>
  </si>
  <si>
    <t>М.О., Серебряно-Прудский р-он, п. Успенский, ул. Советская, д.1, кв.16</t>
  </si>
  <si>
    <t>Помещения площадью основной площадью 63,7 кв.м. (каб 39,40,41) и вспомогат площадью 23,9 кв.м в безвозмездном пользовании у Филиала ФГБУ "Россельхозцентр по МО" до 01.09.2020г. Решение СД от 28.08.2015г №598/58, помещения 1 этажа площадью 246,9 кв.м. в безвозмездном пользовании у ФБУ здравоохранения "Центр гигиены и эпидемиологии МО" в безвозмездном пользовании до 01.07.2020г. Решение СД от 03.07.2015г № 579/55, помещения 32,33,34,36,37, 38 общей площадью 89,4 кв.м в оперативнов управлении МБУ "Благоустройство Серебряные Пруды" .Постановление администрации от 16.02.2016г № 240.</t>
  </si>
  <si>
    <t>Часть здания нежилого назначения (здание бани ), инв. 1520268</t>
  </si>
  <si>
    <t>Принтер НР 1020</t>
  </si>
  <si>
    <t>Автомобиль УАЗ-396294-316, гос. номер К 441 ММ 150, год выпуска 2008</t>
  </si>
  <si>
    <t>Оперативное управление МОУ «Серебряно-Прудская СОШ имени маршала В.И. Чуйкова». Постановление администрации Серебряно-Прудского муниципального района от 24.12.2015г №2130</t>
  </si>
  <si>
    <t>Оперативное управление МБУ "Благоустройство  и дорожное хозяйство". Постановление администрации городского округа Серебряные Пруды МО от 07.04.2016г. №614</t>
  </si>
  <si>
    <t>Оперативное управление МБУ "Благоустройство  и дорожное хозяйство". Постановление администрации городского округа Серебряные Пруды МО от 09.01.2017г №6</t>
  </si>
  <si>
    <t>Оперативное управление МБУ "Благоустройство  и дорожное хозяйство"</t>
  </si>
  <si>
    <t xml:space="preserve">Оперативное управление МОУ "Клёмовская средняя общеобразовательная школа" </t>
  </si>
  <si>
    <t xml:space="preserve">Хозяйственное ведение МУП "РСО городского округа Серебряные Пруды". Постановление от 01.04.2016г № 567. </t>
  </si>
  <si>
    <t xml:space="preserve">Хозяйственное ведение МУП "РСО городского округа Серебряные Пруды". Постановление от 14.10.2016г № 2129 </t>
  </si>
  <si>
    <t xml:space="preserve">Хозяйственное ведение МУП "РСО городского округа Серебряные Пруды". Постановление от 02.11.2016г № 2273. </t>
  </si>
  <si>
    <t>ГАЗ 330200-0000415 М, VIN Х9633020052047845, год изготовления 2005, рег. Знак М 530 МУ 190</t>
  </si>
  <si>
    <t xml:space="preserve">1.10104043-58, 1.10104061                 </t>
  </si>
  <si>
    <t>Оргтехника в полн.комплектации (монитр, системный блок, клавиатура, мышь).17шт.</t>
  </si>
  <si>
    <t>Распоряжение администрации городского округа Серебряные Пруды МО № 355-р</t>
  </si>
  <si>
    <t>Бочка АНЖ</t>
  </si>
  <si>
    <t>Распоряжение администрации № 355-р</t>
  </si>
  <si>
    <t>Распоряжение администрации № 361-р</t>
  </si>
  <si>
    <t>1.101.04.070</t>
  </si>
  <si>
    <t>1.101.04.188</t>
  </si>
  <si>
    <t>1.101.04.137</t>
  </si>
  <si>
    <t>1.101.04.136</t>
  </si>
  <si>
    <t>Шкаф книжный открытый</t>
  </si>
  <si>
    <t>Центральная площадка (круг) парка культуры и отдыха "Серебряный". Инв. № 1.101.03.102</t>
  </si>
  <si>
    <t>Технический проезд парка культуры и отдыха "Серебряный". Инв. № 1.101.03.100</t>
  </si>
  <si>
    <t>Центральная вход парка культуры и отдыха "Серебряный". Инв. № 1.101.03.101</t>
  </si>
  <si>
    <t>Площадка асф-бетон для скейтборда парка культ и отдыха "Серебряный". Инв. № 1.101.03.103</t>
  </si>
  <si>
    <t>Площадка асф-бетон для размещ. Нестационарных объектов парка культ и отдыха "Серебряный".  Инв. № 1.101.03.104</t>
  </si>
  <si>
    <t>Оперативное управление МАУ "Парк культуры и отдыха го Серебряные Пруды". Посттановление от 18.10.2016г № 2148</t>
  </si>
  <si>
    <t>Автомашина ГАЗ-2705, VIN Х9627050080593771, год выпуска 2008, цвет Балтика, гос. номер У 141 МК 150</t>
  </si>
  <si>
    <t>Хозяйственное ведение МУП "РСО городского округа Серебряные Пруды". Постановление от 05.12.2016г № 2490</t>
  </si>
  <si>
    <t>Преобразователь частоты Vacon 75 квт, паспорт б/н, зав.№ 12912573 котельная №2
рп.Серебряные Пруды, ул. Механизаторов, д.2</t>
  </si>
  <si>
    <t>Оперативное управление МОУ "Серебряно-Прудская средняя общеобразовательная школа имени В.И. Чуйкова". Постановление от 12.12.2016г № 2565</t>
  </si>
  <si>
    <t>городской округ Серебряные Пруды М.О. Красновские Выселки,  ул. Центральная , д.1</t>
  </si>
  <si>
    <t>Оперативное управление МОУ "Совхозная средняя общеобразовательная школа"</t>
  </si>
  <si>
    <t>Распоряжение администрации № 635-р</t>
  </si>
  <si>
    <t>Договор на передачу квартир в собственность граждан № 6 от 27.02.2015г.</t>
  </si>
  <si>
    <t>50:39:0060306:1029</t>
  </si>
  <si>
    <t>Распоряжение администрации Серебряно-Прудского муниципального района 278-р. Выписка из ЕГРН, регистрация права от 16.05.2017г № 50:39:0000000:4399-50/039/2017-1</t>
  </si>
  <si>
    <t>Решение Совета депутатов № 696/70. выписка из ЕГРН, регистрация права от 23.05.2017 №50:39:0020208:1303-50/039/2017-1</t>
  </si>
  <si>
    <t>50:39:0020208:680</t>
  </si>
  <si>
    <t>Решение Совета депутатов № 696/70 Выписка из ЕГРН, регистрация права от 16.05.2017г № 50:39:0020208:680-50/039/2017-2</t>
  </si>
  <si>
    <t>50:39:0020208:795</t>
  </si>
  <si>
    <t>Решение Совета депутатов № 696/70. Выписка из ЕГРН, регистрация права от 16.05.2017г № 50:39:0020208:795-50/039/2017-2</t>
  </si>
  <si>
    <t>Решение Совета депутатов № 697/70, Выписка из ЕГРН, регистрация права от 11.05.2017г № 50:39:0080207:321-50/039/2017-2</t>
  </si>
  <si>
    <t>Решение Совета Депутатов № 695/70. Выписка из ЕГРН, регистрация права от 11.05.2017г № 50:39:0050504:190-50/039/2017-2</t>
  </si>
  <si>
    <t>Решение Совета депутатов № 695/70. Выписка из ЕГРН, регистрация права от 11.05.2017г № 50:39:0050512:86-50/039/2017-2</t>
  </si>
  <si>
    <t>50:39:0070104:460</t>
  </si>
  <si>
    <t>Московская область, Серебряно-Прудский район, с. Дудино, д.40</t>
  </si>
  <si>
    <t>Решение Совета Депутатов № 695/70. Выписка из ЕГРН, регистрация права от 11.05.2017г № 50:39:0070104:460-50/039/2017-2</t>
  </si>
  <si>
    <t xml:space="preserve">Решение Совета Депутатов № 695/70. Выписка из ЕГРН, регистрация права от 11.05.2017г № 50:39:0050511:127-50/039/2017-2 </t>
  </si>
  <si>
    <t>Московская область, Серебряно-Прудский район, снт Кормовое, уч-к 8 40</t>
  </si>
  <si>
    <t>50:39:0060601:369</t>
  </si>
  <si>
    <t>Выписка из ЕГРН, регистрация права № 50:39:0060601:369-50/039/2017-1</t>
  </si>
  <si>
    <t>Оперативное управление МУ  для физкультурно-оздоровительной и  спортивной работы  по  месту жительства «Сельский спортивный клуб Вятич» сельского поселения Узуновское Московской области». Постановление от 30.10.2007г № 54</t>
  </si>
  <si>
    <t>Московская область,  городской округ Серебряные Пруды, п. Успенский, ул. Заводская д.1, Запрудная д.1, ул. Запрудная д.2</t>
  </si>
  <si>
    <t xml:space="preserve">Раздел № 1 Недвижимое имущество </t>
  </si>
  <si>
    <t xml:space="preserve">Раздел № 2 Движимое имущество </t>
  </si>
  <si>
    <t>Решение Совета депутатов № 939/98</t>
  </si>
  <si>
    <r>
      <t>Административное здание</t>
    </r>
    <r>
      <rPr>
        <sz val="12"/>
        <color theme="1"/>
        <rFont val="Times New Roman"/>
        <family val="1"/>
        <charset val="204"/>
      </rPr>
      <t/>
    </r>
  </si>
  <si>
    <t>Решение Совета депутатов № 698/70. Решение Совета депутатов от 29.05.2017г № 939/98</t>
  </si>
  <si>
    <t>Решение Совета депутатов № 696/70. Решение Совета депутатов от 29.05.2017г № 939/98</t>
  </si>
  <si>
    <t>Свидетельство о регистрации права о регистрации права 50-БА 381001. Решение Совета депутатов от 29.05.2017г № 939/98</t>
  </si>
  <si>
    <t>Свидетельство о регистрации права 50-БА 517591. Решение Совета депутатов от 29.05.2017г № 939/98</t>
  </si>
  <si>
    <t>Решение Серебряно-Прудского районного суда Московской области от 20.10.2016г, Выписка из ЕГРП, регистрация права № 50-50/039-50/999/001/2016-22193/2. Решение Совета депутатов от 29.05.2017г № 939/98</t>
  </si>
  <si>
    <t>Решение Серебряно-Прудского районного суда Московской области от 08.09.2016г, Выписка из ЕГРП от 11.11.2016, регистрация № 50-50/039-50/039/008/2016-5205/2. Решение Совета депутатов от 29.05.2017г № 939/98</t>
  </si>
  <si>
    <t>Выписка из ЕГРП, регистрация № 50-50/039-50/039/008/2016-4058/1.Выписка из ЕГРП, регистрация № 50-50/039-50/039/008/2016-4901/2 от 15.11.2016г. Решение Совета депутатов от 29.05.2017г № 939/98</t>
  </si>
  <si>
    <t>Решение Серебряно-Прудского районного суда Московской области от 31.08.2016г, Выписка из ЕГРП от 11.11.2016, регистрация № 50-50/039-50/039/008/2016-5207/2. Решение Совета депутатов от 29.05.2017г № 939/98</t>
  </si>
  <si>
    <t>Особо ценное имущество. Постановление от 13.01.2017г № 60</t>
  </si>
  <si>
    <t>Особо ценное имущество. Постановление  от 13.01.2017 № 61</t>
  </si>
  <si>
    <t>15.08.2008г</t>
  </si>
  <si>
    <t>ПТС транспортного средсва 73 КХ 596358</t>
  </si>
  <si>
    <t>Особо ценное имущество. Постановление  от 16.01.2017 №90</t>
  </si>
  <si>
    <t>Особо ценное имущество. Постановление от 16.01.2017г № 91</t>
  </si>
  <si>
    <t>Пандус 6000*1110 мм</t>
  </si>
  <si>
    <t>Особо ценное имущество. Постановление от 16.01.2017г №92</t>
  </si>
  <si>
    <t>Особо ценное имущество. Постановление от 16.01.2017г № 93</t>
  </si>
  <si>
    <t>Особо ценное имущество. Постановление от 16.01.2017г №94</t>
  </si>
  <si>
    <t>Особо ценное имущество. Постановление от 16.01.2017г № 95</t>
  </si>
  <si>
    <t xml:space="preserve">Теневой навес </t>
  </si>
  <si>
    <t>Пианино цифровое KORQ-LP-380 в комплекте со стойкой</t>
  </si>
  <si>
    <t>Московская область, Серебряно-Прудский р-он, г.п. Серебряные Пруды, рп Серебряные Пруды, мкр. Тополя</t>
  </si>
  <si>
    <t>Решение Совета Депутатов № 695/70. Выписка из ЕГРН, регистраци права от 06.06.2017г № 50:39:0050301:633-50/039/2017-2</t>
  </si>
  <si>
    <t>Плотина на р. Осетр. Длина 80 м. высота 5,5м, объем 623 тыс. куб.м. год ввода в эксплуатацию 1977</t>
  </si>
  <si>
    <t>Решение Совета Депутатов № 695/70. Выписка из ЕГРН, регистрация права от 06.06.2017г № 50:39:0000000:1041-50/039/2017-2</t>
  </si>
  <si>
    <t>Московская область, Серебряно-Прудский р-н, р.п. Серебряные Пруды от тепловой камеры №1 до перехода через дорогу на ул. Мичурина</t>
  </si>
  <si>
    <t>Решение Совета Депутатов № 695/70. Выписка из ЕГРН, регистрация права от 06.06.2017г № 50:39:0000000:3877-50/039/2017-2</t>
  </si>
  <si>
    <t>Газопровод с устройством ГРПШ для газификации мкр. Тополя городского поселения Серебряные Пруды Московской области, год постройки 2014. Протяженность 1583 м.</t>
  </si>
  <si>
    <t>Головной участок теплосети протяженность трубопроводов 955м (протяженность трассы 477,5м), инв. № 272:077-2222, лит.1Т</t>
  </si>
  <si>
    <t>142970 Московская область, Серебряно-Прудский р-н, р.п. Серебряные Пруды, от тепловой камеры №1 до перехода через дорогу на ул. Мичурина</t>
  </si>
  <si>
    <t>Решение Совета Депутатов № 695/70. Выписка из ЕГРН, регистрация права от 06.06.2017г № 50:39:0000000:3493-50/039/2017-2</t>
  </si>
  <si>
    <t>Головной участок теплосети, протяженностью трубопроводов 1200 м (протяженность трассы  600м), инв. № 272:077-2221, лит.1Т</t>
  </si>
  <si>
    <t>50:39:0000000:4241</t>
  </si>
  <si>
    <t>50:39:0060403:272</t>
  </si>
  <si>
    <t>Особо ценное имущество. Постановление от 16.01.2017г № 96</t>
  </si>
  <si>
    <t>Особо ценное имущество. Постановление от 16.01.2017г №97</t>
  </si>
  <si>
    <t>Особо ценное имущество. Постановление от 16.01.2017г № 98</t>
  </si>
  <si>
    <t>Плита пром. ПЭП, 48М электр. 4-х конфор. (нерж)</t>
  </si>
  <si>
    <t>Особо ценное имущество. Постановление от 16.01.2017г № 99</t>
  </si>
  <si>
    <t>Особо ценное имущество. Постановление от 16.01.2017г №100</t>
  </si>
  <si>
    <t>Особо ценное имущество. Постановление от 16.01.2017г №101</t>
  </si>
  <si>
    <t>Экспериментальная лаборотория "Дошкаленок" (6 модулей)</t>
  </si>
  <si>
    <t>Струйное многофункциональное устройство Epson M200 с расширит. Старт-м</t>
  </si>
  <si>
    <t>Комплекс спец-й моб-й прогр-аппаратный LENOVO L560 15/6</t>
  </si>
  <si>
    <t>Привод универсальный УКМ-06</t>
  </si>
  <si>
    <t>Приставка интерактивная e-Beam Edge Complete USB</t>
  </si>
  <si>
    <t>Пианино (Клавинова) Yamaha YDR-142 c-88кл./10 гол/2*6 Вт/3</t>
  </si>
  <si>
    <t>Блочно-модульная котельная мощьностью 1,5 МВт, из прочих материалов, год ввода 2016</t>
  </si>
  <si>
    <t>50:39:0050301:680</t>
  </si>
  <si>
    <t>10.01.2017г</t>
  </si>
  <si>
    <t>50:39:0050301:681</t>
  </si>
  <si>
    <t>Газопровод высокого давления. Протяженностью 16м. Год ввода в эксплуатацию 2015</t>
  </si>
  <si>
    <t>50:39:0030124:203</t>
  </si>
  <si>
    <t>Решение Совета депутатов № 696/70. Выписка из ЕГРН, регистрация № 50:39:0030124:203-50/039/2017-2 от 09.06.2017г</t>
  </si>
  <si>
    <t>Решение Совета депутатов № 696/70. Выписка из ЕГРН, регистрация права № 50:39:0030108:110-50/039/2017-2 от 09.06.2017г</t>
  </si>
  <si>
    <t>Решение Совета депутатов № 696/70. Выписка из ЕГРН, регистрация права № 50:39:0000000:1210-50/039/2017-2 от 09.06.2017г</t>
  </si>
  <si>
    <t>50:39:0000000:1210</t>
  </si>
  <si>
    <t>Здание спортивного клуба, инв. 7, нежилое, 2-этажный, иинв. № 274:078-4363, лит. Б</t>
  </si>
  <si>
    <t>50:39:0000000:1261</t>
  </si>
  <si>
    <t>Решение Совета депутатов № 696/70. Выписка из ЕГРН, регистрация № 50:39:0000000:1261-50/039/2017-2 от 09.06.2017г</t>
  </si>
  <si>
    <t>50:39:0010108:832</t>
  </si>
  <si>
    <t>Решение Совета депутатов № 696/70. Выписка из ЕГРН, регистрация № 50:39:0010108:832-50/039/2017-2 от 09.06.2017г</t>
  </si>
  <si>
    <t>50:39:0040202:713</t>
  </si>
  <si>
    <t>МО, городской округ Серебряные Пруды, с.Новоклемово, д.61, пом.2</t>
  </si>
  <si>
    <t>Нежилое помещение (Часть  здания дома культуры - Спортивнй зал), инв. 1101050081, нежтлое, 1,2 - этажное, инв. № 274:078-2559/2. лит.А</t>
  </si>
  <si>
    <t>Решение Совета депутатов № 696/70. выписка из ЕГРН, регисрация права № 50:39:0040202:713-50/039/2017-2 от 09.06.2017г</t>
  </si>
  <si>
    <t>Площадка для игры в хоккей с шайбой и мини-футбола инв.01050083 , нежилое, общественное, инв. 274:078-4442, лит.1-1</t>
  </si>
  <si>
    <t>МО,Серебряно-Прудской район, с. Мягкое</t>
  </si>
  <si>
    <t>Решение Совета депутатов № 696/70. выписка из ЕГРН, регистрация права № 50:39:0000000:424-50/039/2017-2 от 09.06.2017г</t>
  </si>
  <si>
    <t>Решение Совета депутатов № 696/70. Выписка из ЕГРН, регистрация права № 50:39:0040202:475-50/039/2017-2 от 09.06.2017г</t>
  </si>
  <si>
    <t>Здание сельского клуба, инв. 1101020015, нежилое, 1-о этажный, инв. 274:078-2563, лит. Б</t>
  </si>
  <si>
    <t>Здание клуба, инв. 1101020019, нежилое, инв. № 274:078-4649, лит.Б</t>
  </si>
  <si>
    <t>50:39:0000000:424</t>
  </si>
  <si>
    <t>Площадка для волейбола, инв. 1101050085, нежтлое, общественное, инв. 274:078-4444, лит 1-1</t>
  </si>
  <si>
    <t>МО, Серебряно-Прудский район, п. Новоклемово</t>
  </si>
  <si>
    <t>50:39:0040202:475</t>
  </si>
  <si>
    <t xml:space="preserve">Оперативное управление МОУ "Мочильская средняя общеобразовательная школа" </t>
  </si>
  <si>
    <t>Оперативное управление МОУ ДОД "Серебряно-Прудская детско-юношеская спортивная школа"</t>
  </si>
  <si>
    <t>Оперативное управление МАУ "МФЦ предосталения государственных и муниципальных услуг" городского округа Сереборяные Пруды Московской области</t>
  </si>
  <si>
    <t>Тенисный стол</t>
  </si>
  <si>
    <t>1.10136.0019</t>
  </si>
  <si>
    <t xml:space="preserve">Стенд информационный  </t>
  </si>
  <si>
    <t>1.10106.0328</t>
  </si>
  <si>
    <t xml:space="preserve">Система видеонаблюдения (КДЦ) </t>
  </si>
  <si>
    <t>Договор передачи жилого помещения муниципального жилищного фонда в собственность граждан № 16/2017 от 04.04.2017</t>
  </si>
  <si>
    <t>Договор передачи жилого помещения муниципального жилищного фонда в собственность граждан № 12/2016 от 20.02.2016</t>
  </si>
  <si>
    <t>Московская область, Серебряно-Прудский район, снт Гришино, уч-к 586</t>
  </si>
  <si>
    <t>50:39:0080211:288</t>
  </si>
  <si>
    <t>Выписка из ЕГРН, регистрация права №50:39:0080211:288-50/039/2017-1</t>
  </si>
  <si>
    <t>Выписка из ЕГРН, регистрация права №50:39:0080211:446-50/039/2017-1</t>
  </si>
  <si>
    <t xml:space="preserve"> городской округ Серебряные Пруды М.О. с/о Мочильский СНТ "Куньи Выселки" уч-к  83</t>
  </si>
  <si>
    <t>50:39:0060308:84</t>
  </si>
  <si>
    <t>Выписка из ЕГРН, регистрация № 50:39:0060308:84-50/039/2017-1</t>
  </si>
  <si>
    <t>Распоряжение администрации № 238-р</t>
  </si>
  <si>
    <t>Распоряжение администрации городского округа Серебряные Пруды МО № 229-р</t>
  </si>
  <si>
    <t>Московская обл., Серебряно-Прудский р-он, п. Успенский,ул. 50 лет Октября ,д.15</t>
  </si>
  <si>
    <t>Оперативное управление МУК " КДЦ Успенское городского округа Серебряные Пруды Московской области". Свидет-во о регистрации от 17.03.2009г  50-НГ № 240145.  Помещение площадью 35,2 кв.м Оперативное управление МУК "Централизованная библиотечная система го СЕребряные Пруды МО". Постановлениет администрации от 13.04.2017г №826</t>
  </si>
  <si>
    <t>Оперативное управление МБУ "Благоустройство Серебряные Пруды". Постановление администрации городского округа Серебряные Пруды МО от 13.04.2017г. №825</t>
  </si>
  <si>
    <t xml:space="preserve">МУ "Отдел материально-технического обеспечения образовательных учреждений Серебряно-Прудского муниципального района Московской области" </t>
  </si>
  <si>
    <t>05.04.2017г</t>
  </si>
  <si>
    <t>Распоряжение администрации городского округа Серебряные Пруды Московской области № 200-р</t>
  </si>
  <si>
    <t>Особо ценное имущество. Постановление от 03.04.2017г № 735</t>
  </si>
  <si>
    <t>Ямокапатель коммунальный ZKT-1,3</t>
  </si>
  <si>
    <t>КомбиМотор КМ-90R</t>
  </si>
  <si>
    <t xml:space="preserve">Мотоножницы со штоком HL-KM </t>
  </si>
  <si>
    <t xml:space="preserve">Высоторез со штоком HL-KM </t>
  </si>
  <si>
    <t>Косилка FS-400</t>
  </si>
  <si>
    <t>Мотоблок МБ-2</t>
  </si>
  <si>
    <t>Мотоножницы</t>
  </si>
  <si>
    <t>Подрезчик FS-400 2 шт.</t>
  </si>
  <si>
    <t>Триммер FS 90</t>
  </si>
  <si>
    <t>Косилка КРН-2,1-тракторная</t>
  </si>
  <si>
    <t>Постановление администрации городского округа Серебряные Пруды Московской области  №722</t>
  </si>
  <si>
    <t>Душевая кабина</t>
  </si>
  <si>
    <t xml:space="preserve">Кондиционер DANTEX </t>
  </si>
  <si>
    <t xml:space="preserve">Ворота металлические </t>
  </si>
  <si>
    <t xml:space="preserve">Фотоаппарат CANON </t>
  </si>
  <si>
    <t xml:space="preserve">Ноутбук Soni </t>
  </si>
  <si>
    <t>Многофункциональное устройство TOCHIBA E Studio 181</t>
  </si>
  <si>
    <t xml:space="preserve">Электрогенератор STURM </t>
  </si>
  <si>
    <t xml:space="preserve">Комплект видеонаблюдения ПАНДА ТА 420 </t>
  </si>
  <si>
    <t>Комплект видеонаблюдения ПАНДА ТА 420</t>
  </si>
  <si>
    <t xml:space="preserve">Многофункциональное устройство НР-1120 </t>
  </si>
  <si>
    <t xml:space="preserve">Стрелковый тренажер Скат </t>
  </si>
  <si>
    <t xml:space="preserve">Принтер Samsung ML-2015 </t>
  </si>
  <si>
    <t>Телевизор SHARP 1431</t>
  </si>
  <si>
    <t>Фотоаппарат SAMSUNG</t>
  </si>
  <si>
    <t xml:space="preserve">Видеокамера Panasonic </t>
  </si>
  <si>
    <t xml:space="preserve">Источник бесперебойного пиания </t>
  </si>
  <si>
    <t xml:space="preserve">Копировальный аппарат Canon IR-1810 </t>
  </si>
  <si>
    <t>Копировальный аппарат HP Laser Jet 3052</t>
  </si>
  <si>
    <t xml:space="preserve">Принтер HP Laser Jet 1018 </t>
  </si>
  <si>
    <t>Копировальный аппарат Canon</t>
  </si>
  <si>
    <t xml:space="preserve">Ламинатор </t>
  </si>
  <si>
    <t xml:space="preserve">Цифровой фотоаппарат OLIMPUS </t>
  </si>
  <si>
    <t xml:space="preserve">Сканер </t>
  </si>
  <si>
    <t>Маршрутизатор в комплекте</t>
  </si>
  <si>
    <t>Безвозмездное пользование ОМВД РВ по го Серебряные Пруды. Решение Совета депутатов от 17.03.2017г №924/96</t>
  </si>
  <si>
    <t>Ель искуственная Клеопатра 650</t>
  </si>
  <si>
    <t>Оперативное управление МОУ "Серебряно-Прудская СОШ имени маршала В.И. Чуйкова" Постановление от 09.02.2017г №286</t>
  </si>
  <si>
    <t>Распоряжение администрации городского округа Серебряные пруды московской области №50-р</t>
  </si>
  <si>
    <t>Постановление администрации городского округа Сенребряные Пруды № 162</t>
  </si>
  <si>
    <t>Распоряжение администрации городского округа Серебряные Пруды Московской области № 20-р</t>
  </si>
  <si>
    <t>Распоряжение администрации городского округа Серебряные Пруды Московской области №19-р</t>
  </si>
  <si>
    <t>Оперативное управление МУК "КДЦ Успенское городского округа Серебряные Пруды Московской области". Свидетельство о регистрации от 17.03.2009г 50-НГ №240144</t>
  </si>
  <si>
    <t>Особо ценное имущество. Постановление от 16.01.2017г № 102</t>
  </si>
  <si>
    <t xml:space="preserve">Струйное многофункциональное устройство Epson M200 с </t>
  </si>
  <si>
    <t>1.10101022</t>
  </si>
  <si>
    <t>Машина овощерезательно-протирочная ОМ-350/220</t>
  </si>
  <si>
    <t>Особо ценное имущество. Постановление от 16.01.2017г № 103</t>
  </si>
  <si>
    <t>особо ценное имущество. Постановление от 16.01.2017г № 104</t>
  </si>
  <si>
    <t>особо ценное движимое имущество. Постановление от 16.01.2017 г. № 105</t>
  </si>
  <si>
    <t>особо ценное движимое имущество. Постановление от 16.01.2017 № 105</t>
  </si>
  <si>
    <t>Постановление администрации ГО Серебряные Пруды МО от 29.05.2017г №1129 "О разделе земельного участка"</t>
  </si>
  <si>
    <t>50:39:0050517:228</t>
  </si>
  <si>
    <t>50:39:0050517:229</t>
  </si>
  <si>
    <t xml:space="preserve"> Выписка из ЕГРН, регистрация № 50:39:0050517:228-50/039/2017-1</t>
  </si>
  <si>
    <t xml:space="preserve"> Выписка из ЕГРН, регистрация № 50:39:0050517:229-50/039/2017-2</t>
  </si>
  <si>
    <t>особо ценное движимое имущество. Постановление от 16.01.2017 № 106</t>
  </si>
  <si>
    <t>Проектор Epson EB-X27 (к-т с кронштейном и кабелем VGA)</t>
  </si>
  <si>
    <t>Документ-камера Epson ELR-DC21</t>
  </si>
  <si>
    <t>особо ценное имущество. Постановление от 16.01.2017г № 108</t>
  </si>
  <si>
    <t>товарная накладная</t>
  </si>
  <si>
    <t xml:space="preserve">особо ценное движимое имущество. Постановление от 16.01.2017 г. № 109 </t>
  </si>
  <si>
    <t>особо ценное имущество. Постановление от 16.01.2017 г № 110</t>
  </si>
  <si>
    <t>Сенсорная комната (программа дост.среда)</t>
  </si>
  <si>
    <t>Особо ценное имущество. Постановление  от 16.01.2017 № 110</t>
  </si>
  <si>
    <t xml:space="preserve">Стол для занятий и приёма пищи (программа дост.среда) </t>
  </si>
  <si>
    <t>особо ценное имущество. Постановление  от 16.01.2017 № 110</t>
  </si>
  <si>
    <t>Устройство для межэтажной транспортировки инвалидов (прогр.</t>
  </si>
  <si>
    <t>Автобус ПАЗ - 32053 -70 (Р.знак Н 243 АЕ 750) VIN</t>
  </si>
  <si>
    <t xml:space="preserve">Стол для занятий и приема пищи (программа дост.среда) </t>
  </si>
  <si>
    <t>особо ценное имущество. Постановление от 16.01.2017 г № 112</t>
  </si>
  <si>
    <t xml:space="preserve">особо ценное движимое имущество. Постановление от 16.01.2017 г. № 113 </t>
  </si>
  <si>
    <t>Пандус 7000 x 1200 мм.</t>
  </si>
  <si>
    <t>особо ценное имущество. Постановление от 16.01.2017 г № 114</t>
  </si>
  <si>
    <t>Пандус</t>
  </si>
  <si>
    <t xml:space="preserve">особо ценное движимое имущество. Постановление от 16.01.2017 г. № 115 </t>
  </si>
  <si>
    <t>особо ценное имущество. Постановление от 16.01.2017 г № 115</t>
  </si>
  <si>
    <t>особо ценное имущество. Постановление от 16.01.2017 г. № 115</t>
  </si>
  <si>
    <t>особо ценное имущество. Постанолвение от 16.01.2017 г. № 115</t>
  </si>
  <si>
    <t>Шкаф морозильный ШН- 1,4 (СВ114-S)</t>
  </si>
  <si>
    <t>Арочный металлодетектор</t>
  </si>
  <si>
    <t>Робот -тренажер "Гоша-06"</t>
  </si>
  <si>
    <t>Система видеопротоколирования и видеотрансляции</t>
  </si>
  <si>
    <t>особо ценное имущество. Постановление от 16.01.2017 г № 116</t>
  </si>
  <si>
    <t>особо ценное имущество. Постановление от 16.01.2017 г. № 116</t>
  </si>
  <si>
    <t>особо ценное имущество. Постанолвение от 16.01.2017 г. № 116</t>
  </si>
  <si>
    <t xml:space="preserve">особо ценное имущество. Постановление от 16.01.2017 г. № 116 </t>
  </si>
  <si>
    <t>50:39:0000000:1227</t>
  </si>
  <si>
    <t>Свидетельство государственной регистрации права 50 АГ №388724. Выписка из ЕГРН, регистрация права от 22.06.2017г № 50:39:0000000:1227-50/039/2017-2</t>
  </si>
  <si>
    <t>Свидетельство о регитрации права 50 АЖ № 040079. Выписка из ЕГРН, регистрация права от 22.06.2017г № 50:39:0000000:3886-50/039/2017-2</t>
  </si>
  <si>
    <t>50:39:0000000:3886</t>
  </si>
  <si>
    <t>50:39:0000000:615</t>
  </si>
  <si>
    <t>Свидетельство о регистрации права 50-НГ № 594447. Выписка из ЕГРН, регистрация права от 22.06.2017г № 50:39:0000000:615-50/039/2017-2</t>
  </si>
  <si>
    <t>Нежилое помещение (Здание теплицы), инв. 272:077-1965, лит. В</t>
  </si>
  <si>
    <t>Московская область, Серебряно-Прудский район, рп. Серебряные Пруды, ул. Школьная д 1, пом.1</t>
  </si>
  <si>
    <t>50:39:0050503:332</t>
  </si>
  <si>
    <t>Свидетельство о регистрации права 50-НВ № 115530. Выписка из ЕГРН. Регисрация права от 22.06.2017г №50:39:0050503:332-50/039/2017-2</t>
  </si>
  <si>
    <t xml:space="preserve"> Нежилое помещение (Здание гаража с навесом) , инв. 272:077-1965, лит. Б,Б1 </t>
  </si>
  <si>
    <t>Московская область, Серебряно-Прудский район, рп Серебряные Пруды, ул. Школьная д.1, пом.1</t>
  </si>
  <si>
    <t>50:39:0050503:133</t>
  </si>
  <si>
    <t>Свидетельство о регистрации права 50-НВ №115533. Выписка из ЕГРН, регистрация права от 22.06.2017г №50:39:0050503:133-50/039/2017-2 от 22.06.2017г</t>
  </si>
  <si>
    <t>50:39:0000000:1861</t>
  </si>
  <si>
    <t>Решение Совета депутатов № 696/70. выписка из ЕГРН, регистрация прва от 06.06.2017г № 50:39:0000000:1861-50/039/2017-2</t>
  </si>
  <si>
    <t>50:39:0030304:111</t>
  </si>
  <si>
    <t>Свидетельство о регистрации 50-НВ №165703. выписка из ЕГРН, регистрация права от 22.06.2017г № 50:39:0030304:111-50/039/2017-2</t>
  </si>
  <si>
    <t>50:39:0030304:84</t>
  </si>
  <si>
    <t>Свидетельство о регистрации права 50-НВ №165701. Выписка из ЕГРН, регистрация права от 22.06.2017г № 50:39:0030304:84-50/039/2017-2 от 22.06.2017г</t>
  </si>
  <si>
    <t>Нежилое помещение (Здание гаража),  инв. 274:078-3907/1, лит. Б,Б1</t>
  </si>
  <si>
    <t>Свидетельство о регистрации права 50-НВ №165702. Выписка из ЕГРН, регистрация права от 22.06.2017г № 50:39:0030304:113-50/039/2017-2</t>
  </si>
  <si>
    <t>50:39:0030304:113</t>
  </si>
  <si>
    <t>Нежилое здание детского сада «Тополек», 2-этажное, инв. №3153, лит. А</t>
  </si>
  <si>
    <t>50:39:0070303:70</t>
  </si>
  <si>
    <t>Свидетельство о регистрации права НА № 0007234. Выписка из ЕГРН, регистрация права от 22.06.2017г №50:39:0070303:70-50/039/2017-2</t>
  </si>
  <si>
    <t>Нежилое помещение (Часть здания  дома культуры - Зал настольный игр), инв. 1101050082, нежилое, инв. 274:078-2559/1. лит. А</t>
  </si>
  <si>
    <t>50:39:0040202:714</t>
  </si>
  <si>
    <t>Решение Совета депутатов № 696/70. Выписка из ЕГРН, регистрация права от 13.06.2017г № 50:39:0040202:714-50/039/2017-2</t>
  </si>
  <si>
    <t>Нежилое здание СДК инв. 1101020031, нежилое, 2-этажный, инв. 274:078-2712, лит. А,А1</t>
  </si>
  <si>
    <t>50:39:0020106:382</t>
  </si>
  <si>
    <t>Решение Совета депутатов № 696/70. Выписка из ЕГРН. Регистрация права от 09.06.2017г № 50:0020106:382-50/039/2017-2</t>
  </si>
  <si>
    <t>Здание нежилое, одноэтажное, кровля шифер, 1959г,  инв. 015323</t>
  </si>
  <si>
    <t>Автомашина УАЗ-390944, грузовой, 2008г. Выпуска, двигатель 42130Е*80603077, шасси - 33036080470909, цвет защитный, гос. номер Е 213 МК 150</t>
  </si>
  <si>
    <t>Автомашина КАМАЗ-55102, грузовой самосвал, 1997г выпуска, двигатель 740.10.20, 075953, шасси - ХТС532000Т1096840, цвет защитный, гос. номер К 963 МЕ 150</t>
  </si>
  <si>
    <t>Автомашина ГАЗ-2752, гос номер Е972МЕ150</t>
  </si>
  <si>
    <t>Особо ценное имущество. Постановление от 10.02.2017г №289</t>
  </si>
  <si>
    <t>16.1.24.0015</t>
  </si>
  <si>
    <t>16.1.26.0045</t>
  </si>
  <si>
    <t>16.1.26.0038</t>
  </si>
  <si>
    <t>16.1.260068</t>
  </si>
  <si>
    <t>16.1.26.0065</t>
  </si>
  <si>
    <t>16.1.26.0063</t>
  </si>
  <si>
    <t>16.1.26.0062</t>
  </si>
  <si>
    <t>16.1.26.0061</t>
  </si>
  <si>
    <t>16.1.26.0064</t>
  </si>
  <si>
    <t>16.1.26.0059</t>
  </si>
  <si>
    <t>16.1.26.0058</t>
  </si>
  <si>
    <t>16.1.26.0060</t>
  </si>
  <si>
    <t>16.1.26.0057</t>
  </si>
  <si>
    <t>16.1.26.0066</t>
  </si>
  <si>
    <t>16.1.26.0056</t>
  </si>
  <si>
    <t>16.1.26.0051</t>
  </si>
  <si>
    <t>16.1.26.0055</t>
  </si>
  <si>
    <t>16.1.26.0052</t>
  </si>
  <si>
    <t>16.1.26.0053</t>
  </si>
  <si>
    <t>16.1.26.0054</t>
  </si>
  <si>
    <t>16.1.26.0071</t>
  </si>
  <si>
    <t>16.1.26.0044</t>
  </si>
  <si>
    <t>16.1.26.0069</t>
  </si>
  <si>
    <t>16.1.26.0070</t>
  </si>
  <si>
    <t xml:space="preserve">особо ценное  имущество. Постановление от 16.01.2017 г. № 115 </t>
  </si>
  <si>
    <t>15.1.26.0025</t>
  </si>
  <si>
    <t>Особо ценное имущество. Постановление от 10.02.2017г №292</t>
  </si>
  <si>
    <t>15.1.04.0006</t>
  </si>
  <si>
    <t>15.1.04.0007</t>
  </si>
  <si>
    <t>08.1.23.0001</t>
  </si>
  <si>
    <t>08.1.24.0155</t>
  </si>
  <si>
    <t>08.1.04.0154</t>
  </si>
  <si>
    <t>08.1.24.0156</t>
  </si>
  <si>
    <t>02.1.24.0050</t>
  </si>
  <si>
    <t>02.1.24.0051</t>
  </si>
  <si>
    <t>02.1.24.0049</t>
  </si>
  <si>
    <t xml:space="preserve">Подъемник для инвалидов для бассейна ИПБ-170Г (гидравлический привод) </t>
  </si>
  <si>
    <t>02.1.24.0052</t>
  </si>
  <si>
    <t>Спортивное электронное табло</t>
  </si>
  <si>
    <t>02.1.24.0048</t>
  </si>
  <si>
    <t>Особо ценное имущество. Постановление от 10.02.2017г №294</t>
  </si>
  <si>
    <t>02.1.24.0047</t>
  </si>
  <si>
    <t>02.1.26.0082</t>
  </si>
  <si>
    <t>02.1.26.0079</t>
  </si>
  <si>
    <t>02.05.2017г</t>
  </si>
  <si>
    <t>Постановление администрации №932, Протокол об итогах аукциона № ПЭ-Сер/16-631 от 27.04.2017г</t>
  </si>
  <si>
    <t>50:39:0000000:4437</t>
  </si>
  <si>
    <t>Распоряжение администрации Серебряно-Прудского муниципального района 278-р. Выписка из ЕГРН, регистрация права № 50:39:0000000:4437-50/001/2017-1 от 20.06.2017</t>
  </si>
  <si>
    <t>Земельный участок Категория земель - земли населённых пунктов. ВРИ - для обслуживания 2-х артезианских скважин</t>
  </si>
  <si>
    <t xml:space="preserve">  Московская область, Серебряно-Прудский район, рп Серебряные Пруды, с. Дудино</t>
  </si>
  <si>
    <t>50:39:0070104:57</t>
  </si>
  <si>
    <t>Выписка из ЕГРП, регистрация № 50:39:0070104:57-50/039/2017-1</t>
  </si>
  <si>
    <t>19.06.2017г</t>
  </si>
  <si>
    <t>Совет депутатов городского округа Серебряные Пруды №953/99</t>
  </si>
  <si>
    <t>Исключено, задвоно со стр. 135, 1627</t>
  </si>
  <si>
    <t>Исключено, часть строки 1754</t>
  </si>
  <si>
    <t>50:39:0070102:230</t>
  </si>
  <si>
    <t>Исключено, нет фактически такого объекта</t>
  </si>
  <si>
    <t>Кондиционер panasonik</t>
  </si>
  <si>
    <t>Исключено, кап. вложения</t>
  </si>
  <si>
    <t>Исключено</t>
  </si>
  <si>
    <t>Исключено, задвоено в 2008г передано в поселение</t>
  </si>
  <si>
    <t>Исключено, входит в состав стр.371</t>
  </si>
  <si>
    <t>Исключено, задвоено со стр 301</t>
  </si>
  <si>
    <t>Исключено, задвоено со стр. 304</t>
  </si>
  <si>
    <t>Исключено, задвоено со стр. 305</t>
  </si>
  <si>
    <t>Исключено, задвоено со стр.2808</t>
  </si>
  <si>
    <t>Видеорегистратор MIO MiVue 698, черный, карта памяти (2 шт.)</t>
  </si>
  <si>
    <t>1.101.04.1025</t>
  </si>
  <si>
    <t>1.101.04.1026</t>
  </si>
  <si>
    <t>1.101.04.1027</t>
  </si>
  <si>
    <t>08.02.2017г</t>
  </si>
  <si>
    <t>Накладная №1, Акт о приеме-передаче объектов нефинансовых активов</t>
  </si>
  <si>
    <t>Распоряжение администрации городского округа Серебряные Пруды Московской области № 56-р</t>
  </si>
  <si>
    <t>Экскаватор ЭО-2621ВЗ/МТЗ-82, гос. номер ОР 9807, год выпуска 2003, номер машины 1008/08087339, цвет синий</t>
  </si>
  <si>
    <t>Договор дарения №1. Решение Совета депутаов от 27.12.2016г № 904/91, Решение Совета депутатов от 29.05.2017г №937/98</t>
  </si>
  <si>
    <t>Автомашина грузовая ГАЗ-3302/27961В, гос. номер О 899 АН, VIN X9R27961B80001131, год изготовления 2008, цвет белый</t>
  </si>
  <si>
    <t>Легковой автомобиль Chevrolet Niva 212300-55, гос номер Н 929 УН, VIN X9L212300C0429180, год изготовления 2012, цвет светло-серебритый металлик</t>
  </si>
  <si>
    <t>Хозяйственное ведение МУП "РСО". Постановление от 23.05.2017г №1060</t>
  </si>
  <si>
    <t>Хоз. Ведение МУП "РСО городского округа Серебряные Пруды№. Постановление от 23.05.2017г №1060</t>
  </si>
  <si>
    <t>Автомобиль ВАЗ 21074, VIN XTA21074082654085, год выпуска 2007</t>
  </si>
  <si>
    <t>Оперативное управление МБУ "Благоустройство и дорожное хозяйство". Постановление администрации от 12.05.2017г №974</t>
  </si>
  <si>
    <t>18.1.05.0002</t>
  </si>
  <si>
    <t>18.1.05.0003</t>
  </si>
  <si>
    <t>Акт приема-передачи</t>
  </si>
  <si>
    <t>Особо ценное имущество. Постановление от 10.02.2017г №295</t>
  </si>
  <si>
    <t>06.1.27.0001</t>
  </si>
  <si>
    <t>Видеоувеличитель "Optelec Compact"</t>
  </si>
  <si>
    <t>06.1.36.0069</t>
  </si>
  <si>
    <t>18.11.2016г</t>
  </si>
  <si>
    <t>06.1.05.0002</t>
  </si>
  <si>
    <t>06.1.25.0003</t>
  </si>
  <si>
    <t>акт ввода в эксплуатацию, акт ввода в эксплуатацию от 12.11.2016г</t>
  </si>
  <si>
    <t>Библиотечный фонд (книги со шрифтом Брайлят) 9 штук</t>
  </si>
  <si>
    <t>Особо ценное имущество. Постановление от 10.02.2017г №297</t>
  </si>
  <si>
    <t>Мобильная туалетная кабина для людей с ограниченными возможностями "Стандарт"</t>
  </si>
  <si>
    <t>11.1.24.0295</t>
  </si>
  <si>
    <t>Особо ценное имущество. Постановление от 10.02.2017г №298</t>
  </si>
  <si>
    <t>11.1.04.0068</t>
  </si>
  <si>
    <t>Особо ценное имущество. Постановление администрации от 10.02.2017г № 298</t>
  </si>
  <si>
    <t>11.1.04.0036</t>
  </si>
  <si>
    <t>11.1.04.0035</t>
  </si>
  <si>
    <t>11.1.04.0034</t>
  </si>
  <si>
    <t>11.1.04.0190</t>
  </si>
  <si>
    <t>11.1.04.0189</t>
  </si>
  <si>
    <t>11.1.04.0056</t>
  </si>
  <si>
    <t>11.1.04.0158</t>
  </si>
  <si>
    <t>11.1.04.0120</t>
  </si>
  <si>
    <t>11.1.04.0200</t>
  </si>
  <si>
    <t>11.1.04.0153</t>
  </si>
  <si>
    <t>11.1.04.0225</t>
  </si>
  <si>
    <t>11.1.04.0140</t>
  </si>
  <si>
    <t>11.1.04.0135</t>
  </si>
  <si>
    <t>11.1.04.0137</t>
  </si>
  <si>
    <t>11.1.04.0136</t>
  </si>
  <si>
    <t>11.1.04.0256</t>
  </si>
  <si>
    <t>11.1.04.0255</t>
  </si>
  <si>
    <t>11.1.04.0126</t>
  </si>
  <si>
    <t>11.1.04.0006</t>
  </si>
  <si>
    <t>11.1.04.0127</t>
  </si>
  <si>
    <t>11.1.04.0211</t>
  </si>
  <si>
    <t>11.1.04.0052</t>
  </si>
  <si>
    <t>11.1.04.0077</t>
  </si>
  <si>
    <t>11.1.04.0242</t>
  </si>
  <si>
    <t>11.1.04.0058</t>
  </si>
  <si>
    <t>11.1.04.0087</t>
  </si>
  <si>
    <t>11.1.04.0217</t>
  </si>
  <si>
    <t>11.1.04.0218</t>
  </si>
  <si>
    <t>11.1.04.0098</t>
  </si>
  <si>
    <t>11.1.04.0257</t>
  </si>
  <si>
    <t>11.1.04.00224</t>
  </si>
  <si>
    <t>11.1.04.00223</t>
  </si>
  <si>
    <t>11.1.04.0060</t>
  </si>
  <si>
    <t>11.1.04.0099</t>
  </si>
  <si>
    <t>11.1.04.0121</t>
  </si>
  <si>
    <t>11.1.04.0122</t>
  </si>
  <si>
    <t>11.1.04.0131</t>
  </si>
  <si>
    <t>11.1.04.0132</t>
  </si>
  <si>
    <t>11.1.04.0088</t>
  </si>
  <si>
    <t>11.1.04.0089</t>
  </si>
  <si>
    <t>11.1.04.0241</t>
  </si>
  <si>
    <t>11.1.04.0119</t>
  </si>
  <si>
    <t>11.1.04.0124</t>
  </si>
  <si>
    <t>11.1.04.0125</t>
  </si>
  <si>
    <t>11.1.04.0015</t>
  </si>
  <si>
    <t>11.1.05.0014</t>
  </si>
  <si>
    <t>11.1.05.0015</t>
  </si>
  <si>
    <t>11.1.05.0003</t>
  </si>
  <si>
    <t>11.1.05.0008</t>
  </si>
  <si>
    <t>11.1.05.0010</t>
  </si>
  <si>
    <t>11.1.05.0029</t>
  </si>
  <si>
    <t>11.1.05.0004</t>
  </si>
  <si>
    <t>11.1.05.0002</t>
  </si>
  <si>
    <t>11.1.05.0011</t>
  </si>
  <si>
    <t>11.1.05.0001</t>
  </si>
  <si>
    <t>11.1.06.0124</t>
  </si>
  <si>
    <t>11.1.06.0078</t>
  </si>
  <si>
    <t>Туалетно-душевой стул для самостоятельного передвижения "Генф"</t>
  </si>
  <si>
    <t>11.1.26.0251</t>
  </si>
  <si>
    <t>11.1.06.0052</t>
  </si>
  <si>
    <t>11.1.06.0105</t>
  </si>
  <si>
    <t>11.1.06.0014</t>
  </si>
  <si>
    <t>11.1.06.0041</t>
  </si>
  <si>
    <t>11.1.06.0040</t>
  </si>
  <si>
    <t>11.1.06.0018</t>
  </si>
  <si>
    <t>11.1.06.00147</t>
  </si>
  <si>
    <t>11.1.06.0149</t>
  </si>
  <si>
    <t>11.1.06.0082</t>
  </si>
  <si>
    <t>11.1.06.0066</t>
  </si>
  <si>
    <t>Комплекс "Тренажер Гросса"</t>
  </si>
  <si>
    <t>11.1.26.0250</t>
  </si>
  <si>
    <t>Реабилитационный тренажер "Тяга с упором в грудь" А-123i</t>
  </si>
  <si>
    <t>11.1.26.0249</t>
  </si>
  <si>
    <t>11.1.06.0067</t>
  </si>
  <si>
    <t>11.1.06.0190</t>
  </si>
  <si>
    <t>11.1.06.0224</t>
  </si>
  <si>
    <t>11.1.06.0195</t>
  </si>
  <si>
    <t>11.1.09.0007</t>
  </si>
  <si>
    <t>11.1.09.0002</t>
  </si>
  <si>
    <t>11.1.09.0003</t>
  </si>
  <si>
    <t>11.1.09.0010</t>
  </si>
  <si>
    <t>13.1.04.0575</t>
  </si>
  <si>
    <t>Особо ценное имущество. Постановление от 10.02.2017г №299</t>
  </si>
  <si>
    <t>13.1.24.0589</t>
  </si>
  <si>
    <t>13.1.24.0619</t>
  </si>
  <si>
    <t>13.1.24.0620</t>
  </si>
  <si>
    <t>13.1.24.0621</t>
  </si>
  <si>
    <t>13.1.24.0618</t>
  </si>
  <si>
    <t>13.1.04.0410</t>
  </si>
  <si>
    <t>13.1.04.0574</t>
  </si>
  <si>
    <t>13.1.04.0576</t>
  </si>
  <si>
    <t>13.1.04.0358</t>
  </si>
  <si>
    <t>Колонка (RCF1018)</t>
  </si>
  <si>
    <t>13.1.04.0557</t>
  </si>
  <si>
    <t>Объектив Attachment cinemascope</t>
  </si>
  <si>
    <t>13.1.04.0578</t>
  </si>
  <si>
    <t>13.1.04.0550</t>
  </si>
  <si>
    <t>13.1.04.0579</t>
  </si>
  <si>
    <t>Проектор FXGA 3</t>
  </si>
  <si>
    <t>13.1.04.0581</t>
  </si>
  <si>
    <t>13.1.24.0612</t>
  </si>
  <si>
    <t>13.1.24.0611</t>
  </si>
  <si>
    <t>13.1.24.0613</t>
  </si>
  <si>
    <t>Субвуфер TCS 1800</t>
  </si>
  <si>
    <t>13.1.24.0614</t>
  </si>
  <si>
    <t>13.1.24.0610</t>
  </si>
  <si>
    <t>13.1.24.0603</t>
  </si>
  <si>
    <t>13.1.24.0604</t>
  </si>
  <si>
    <t>13.1.24.0587</t>
  </si>
  <si>
    <t>13.1.24.0588</t>
  </si>
  <si>
    <t>13.1.24.0590</t>
  </si>
  <si>
    <t>13.1.24.0591</t>
  </si>
  <si>
    <t>13.1.24.0592</t>
  </si>
  <si>
    <t>Особо ценное имущество. Постановление администрации от 10.02.2017г № 294</t>
  </si>
  <si>
    <t>Свидетельство о регистрации права. Запись регистрации №50-50/036-50/039/008/2015-2119/2</t>
  </si>
  <si>
    <t>Оперативное управление МУ "Детская художественная школа им. Кившенко". Постановление от 26.09.2007 №791. Свидетельство 50 НБ №407262</t>
  </si>
  <si>
    <t>Оперативное управление МУ  для физкультурно-оздоровительной и  спортивной работы  по  месту жительства «Сельский спортивный клуб Вятич» сельского поселения Узуновское Московской области». Постановление от 30.10.2007г № 54. Свидетельство от 29.12.2009г 50-НГ №940322</t>
  </si>
  <si>
    <t>Оперативное управление МУ  для физкультурно-оздоровительной и  спортивной работы  по  месту жительства «Сельский спортивный клуб Вятич» сельского поселения Узуновское Московской области». Постановление от 30.10.2007г № 54. Свидетельство от 29.12.2009г 50-НГ №940310</t>
  </si>
  <si>
    <t>Оперативное управление МУ  для физкультурно-оздоровительной и  спортивной работы  по  месту жительства «Сельский спортивный клуб Вятич» сельского поселения Узуновское Московской области». Постановление от 30.10.2007г № 54. Свидетельство от 29.12.2009г 50-НГ №940312</t>
  </si>
  <si>
    <t>Оперативное управление МУ  для физкультурно-оздоровительной и  спортивной работы  по  месту жительства «Сельский спортивный клуб Вятич» сельского поселения Узуновское Московской области». Постановление от 30.10.2007г № 54. Свидетельство от 29.12.2009г 50-НГ №940324</t>
  </si>
  <si>
    <t>Оперативное управление МУ  для физкультурно-оздоровительной и  спортивной работы  по  месту жительства «Сельский спортивный клуб Вятич» сельского поселения Узуновское Московской области». Постановление от 30.10.2007г № 54. Свидетельство от 07.10.2014г 50-АИ №617034</t>
  </si>
  <si>
    <t>Оперативное управление МУ  для физкультурно-оздоровительной и  спортивной работы  по  месту жительства «Сельский спортивный клуб Вятич» сельского поселения Узуновское Московской области». Постановление от 30.10.2007г № 54. Свидетельство от 28.12.2009г 50-НГ №940318</t>
  </si>
  <si>
    <t>Нежилое здание (административное здание). Стадион на 1500 мест со спортивными объектами и сооружениями, инв. 3446, лит. Б,а,IV,V,VI,VII</t>
  </si>
  <si>
    <t>Оперативное управление МУ "Мемориальный Дом-музей Дважды Героя Советскогго Союза В.И. Чуйкова". Постановление от 16.10.2008г № 1098. Свидетельство от 10.12.2008г 50-НВ №124396</t>
  </si>
  <si>
    <t>Оперативное управление МУК "Централизованная библиотечная система" Постановление от 03.07.2009г № 779. Свидетельство от 10.08.2009г 50-НГ №931173</t>
  </si>
  <si>
    <t>Московская область, городской округ Серебряные Пруды, р.п. Серебряные Пруды, ул. Петра Романова, д.12/1</t>
  </si>
  <si>
    <t>Оперативное управление МФОСУ "ФОК имени героя России С.А. Фирсова". Постановление от 09.01.2007г №2. Свидетельство от 09.06.2008г 50-НГ №055081</t>
  </si>
  <si>
    <t>Оперативное управление Муниципальный физкультурно-оздоровительное спортивное учреждение спорткомплекс "Молодёжный". Постановление от 11.06.2015г № 704. Свидетельство о 30.06.2015г, запись регистрации №50-50/039-50/008/2015-2600/1</t>
  </si>
  <si>
    <t>Московская область, Серебряно-Прудский район, с. Петрово, д.9а</t>
  </si>
  <si>
    <t>Оперативное управление МУ  для физкультурно-оздоровительной и  спортивной работы  по  месту жительства «Сельский спортивный клуб Вятич» сельского поселения Узуновское Московской области». Постановление от 11.10.2011г № 199-п</t>
  </si>
  <si>
    <t>Договор передачи жилого полмещения муниципального жилищного фонда в собственность граждан № 18/2017 от 24.04.2017г.</t>
  </si>
  <si>
    <t>29.04.2005г</t>
  </si>
  <si>
    <t>Распоряжение Главы Серебряно-Прудского района №189-р. Свидетельство о регистрации от 28.12.2011г 50-АВ №322797</t>
  </si>
  <si>
    <t>Решение Совета депутатов № 697/70. Выписка из ЕГРН, регистрация права от 10.07.2017г № 50:39:0060115:241-50/039/2017-1</t>
  </si>
  <si>
    <t>Решение Совета депутатов № 697/70. Выписка из ЕГРН, регистрация права от 10.07.2017г № 50:39:0060115:240-50/039/2017-1</t>
  </si>
  <si>
    <t>Решение Совета депутатов № 696/70. выписка из ЕГРН, регистрация права от 10.07.2017г № 50:39:0020106:791-50/039/2017-1</t>
  </si>
  <si>
    <t>Решение Совета депутатов № 696/70. Выписка из ЕГРН, регистрация права от 10.07.2017г № 50:39:0000000:4369-50/039/2017-1</t>
  </si>
  <si>
    <t>Решение Совета депутатов № 696/70. Выписка из ЕГРН, регистрация права от 10.07.2017г № 50:39:0020316:66-50/039/2017-41</t>
  </si>
  <si>
    <t>Распоряжение администрации Серебряно-Прудского муниципального района 278-р. Выписка из ЕГРН, регистрация права от 10.07.2017г № 50:39:0000000:4382-50/039/2017-1</t>
  </si>
  <si>
    <t>Решение СД Сер-Пруд муниц. р-на МО №106/24. Решение Совета депутатов от 29.05.2017г № 939/98. выписка из ЕГРН, регистрация права от 23.06.2017 №50:39:0080101:276-50/039/2017-1</t>
  </si>
  <si>
    <t>Решение СД Сер-Пруд муниц. р-на МО №106/24. Решение Совета депутатов от 29.05.2017г № 939/98. Выписка из ЕГРН, регистрация права от 23.06.2017 №50:39:0000000:4391-50/039/2017-1</t>
  </si>
  <si>
    <t>Решение Совета Депутатов № 696/70. Выписка из ЕГРН, регистрация права от 10.07.2017г №50:39:0000000:4078-50/001/2017-1</t>
  </si>
  <si>
    <t>Решение Совета Депутатов № 696/70. Выписка из ЕГРН, регистрация права от 11.07.2017г № 50:39:0030302:929-50/039/2017-1</t>
  </si>
  <si>
    <t>Решение СД Сер-Пруд муниц. р-на МО №106/24. Решение Совета депутатов от 29.05.2017г № 939/98. Выписка из ЕГРН, регистрация права от 23.06.2017г № 50:39:0070103:532-50/039/2017-1</t>
  </si>
  <si>
    <t>Решение Совета депутатов № 697/70. выписка из ЕГРН, регистрация права от 11.07.2017г № 50:390070202:108-50/039/2017-1</t>
  </si>
  <si>
    <t>Решение Совета депутатов № 697/70. Выписка из ЕГРН, регистрация права от 11.07.2017г № 50:39:0000000:4381-50/039/2017-1</t>
  </si>
  <si>
    <t>Решение Совета депутатов № 697/70. выписка из ЕГРН, регистрация права от 11.07.2017г № 50:39:0080207:622-50/039/2017-1</t>
  </si>
  <si>
    <t>Решение Совета депутатов № 697/70. выписка из ЕГРН, регистрация права от 11.07.2017г №50:39:0070201:117-50/039/2017-1</t>
  </si>
  <si>
    <t>Решение Совета депутатов № 697/70. Выписка из ЕГРН, регистрация права от 11.07.2017г №50:39:0000000:4372-50/001/2017-1</t>
  </si>
  <si>
    <t>Московская область, Серебряно-Прудский район,  сп Узуновское   д. Николаевка ( д. № 21)</t>
  </si>
  <si>
    <t>Московская область, Серебряно-Прудский район, сп Узуновское, д.Николаевка</t>
  </si>
  <si>
    <t>МО, городской округ Серебряные Пруды, сп Узуновское д.Николаевка</t>
  </si>
  <si>
    <t>Московская область, городской округ Серебряные Пруды, ссп Узуновское,    д. Николаевка (  от д. № 1 до д. № 25)</t>
  </si>
  <si>
    <t>Московская область, Серебряно-Прудский район, сп Мочильское   д.      Николаевка, д.2</t>
  </si>
  <si>
    <t xml:space="preserve">50:39:0000000:1412 </t>
  </si>
  <si>
    <t>Автомобильная дорога общего пользования с твёрдым покрытием, кадастровый номер земельного участка 50:39:0070206:187, протяженность 585 м</t>
  </si>
  <si>
    <t>50:39:0000000:4371</t>
  </si>
  <si>
    <t>Решение Совета депутатов № 697/70, выписка ЕГРП, регистрация права от 13.07.2017г № 50:39:0000000:4371-50/001/2017-1</t>
  </si>
  <si>
    <t>Оперативное управление МКУ "Дудинский сельский Дом Культуры городского округа Серебряные Пруды Московской области". Регистрация права от 30.06.2017 № 50:39:0070104:460-50/039/2017-3</t>
  </si>
  <si>
    <t xml:space="preserve">  Московская область, Серебряно-Прудский район, рп Серебряные Пруды, ул. Первомайская</t>
  </si>
  <si>
    <t>50:39:0050507:97</t>
  </si>
  <si>
    <t>Решение Совета Депутатов № 696/70, Выписка из ЕГРН, регистрация права от 17.07.2017г № 50:39:0000000:4380-50/001-2017-1</t>
  </si>
  <si>
    <t>имущество казны</t>
  </si>
  <si>
    <t>Решение Совета Депутатов № 696/70. выписка из ЕГРН, регистрация от 14.07.2017г №50:39:0010109:190-50/039/2017-1</t>
  </si>
  <si>
    <t>Решение Совета Депутатов № 696/70. выписка из ЕГРН, регистрация права от 14.07.2017г № 50:39:0010108:1077-50/039/2017-1</t>
  </si>
  <si>
    <t>Решение Совета Депутатов № 696/70. Выписка из ЕГРН, регистрация права от 14.07.2017г № 50:39:0030302:928-50/039/2017-1</t>
  </si>
  <si>
    <t>Решение Совета депутатов № 697/70. выписка из ЕГРН, регистрация права от 11.07.2017г № 50:39:0080101:275-50/039/2017-1</t>
  </si>
  <si>
    <t>Договор № 18/2017 передачи жилого помещения муниципального жилищного фонда в собственность граждан от 12.05.2017</t>
  </si>
  <si>
    <t>Решение Совета депутатов № 696/70. Выписка из ЕГРН, регистрация права от 24.07.2017г № 50:39:0020208:1308-50/039/2017-1</t>
  </si>
  <si>
    <t>Решение Совета депутатов № 698/70. Выписка из ЕГРН, регистрация права от 25.07.2017г № 50:39:0060303:55-50/001/2017-1</t>
  </si>
  <si>
    <t>должно быть в  РСО</t>
  </si>
  <si>
    <t>Решение Совета депутатов № 698/70. Выписка из ЕГРН, регистрация права от 25.07.2017г № 50:39:0060311:190-50/039/2017-1</t>
  </si>
  <si>
    <t>Решение Совета депутатов № 698/70. Выписка из ЕГРН. Регистрация права от 25.07.2017г №50:39:0060110:307-50/039/2017-1</t>
  </si>
  <si>
    <t>Решение Совета депутатов № 698/70. выписка из ЕГРН, регистрация права от 26.07.2017г № 50:39:0060309:163-50/001/2017-1</t>
  </si>
  <si>
    <t>Решение Совета депутатов № 698/70. Выписка из ЕГРН, регистраия права от 26.07.2017г № 50:39:0060110:308</t>
  </si>
  <si>
    <t>Постановление администрации №1372. Протокол об итогах аукциона №ПЭ-СЕР/17-347 от 14.06.2017г</t>
  </si>
  <si>
    <t>Московская область, Серебряно-Прудский район, с. Узуново, ул. Советская</t>
  </si>
  <si>
    <t>Решение Совета депутатов № 698/70. Выписка из ЕГРН, регистрация права от 27.07.2017г №50:39:0060105:249-50/039/2017-1</t>
  </si>
  <si>
    <t>Решение Совета депутатов № 698/70. Выписка из ЕГРН, регистрация права от 27.07.2017г № 50:39:0060502:630-50/039/2011-1</t>
  </si>
  <si>
    <t>Решение Совета депутатов № 698/70. выписка из ЕГРН, регистрация права от 27.07.2017г №50:39:0000000:4347-50/039/2017-1</t>
  </si>
  <si>
    <t>Решение Совета депутатов № 697/70. выписка из ЕГРН, регистрация права от 28.07.2017г № 50:39:0080207:140-50/039/2017-1</t>
  </si>
  <si>
    <t>Решение Совета депутатов № 697/70. выписка из ЕГРН. Регистрация права от 28.07.2017г №50:39:0070207:9-50/039/2017-2</t>
  </si>
  <si>
    <t>Решение Совета депутатов № 697/70. Выписка из ЕГРН, регистрация права от 28.07.2017г №50:39:0080207:91-50/039/2017-2</t>
  </si>
  <si>
    <t>Решение СД Сер.-Пруд. Муниц. р-на МО  № 614/61 от 20.10.2015 Св-во о гос.рег-ии 50-АВ №324779. выписка из ЕГРН, регистрация права от 28.07.2017г № 50:39:0050501:90-50/039/2017-2</t>
  </si>
  <si>
    <t>Решение Совета депутатов № 697/70. Решение Совета депутатов от 29.05.2017г № 939/98. Выписка из ЕГРН, регистрация права №50:39:0070202:27-50/39/2017-2</t>
  </si>
  <si>
    <t xml:space="preserve">Часть здания (Петровская СОШ), нежилое, 1-2 этажный, инв. 274:078-3502 лит.А. </t>
  </si>
  <si>
    <t>Часть здания (д/с Рябинка), нежилое, 1 этажный, инв. 274:078-3502/1 лит.А.</t>
  </si>
  <si>
    <t>Решение Совета депутатов № 697/70. Выписка из ЕГРН, регистрация права от 27.07.2017г № 50:39:0000000:107-50/039/2017-2</t>
  </si>
  <si>
    <t>Договор № 22/2017 передачи жилого помещения муниципального жилищного фонда в собственность граждан от 09.06.2017</t>
  </si>
  <si>
    <t>24.07.2017 (квартира 3 комната)</t>
  </si>
  <si>
    <t>Договор № 35/2016 передачи жилого помещения муниципального жилищного фонда в собственность граждан</t>
  </si>
  <si>
    <t>Решение Совета депутатов № 698/70. Выписка из ЕГРН, регистрация права от 31.07.2017г № 50:39:0060104:720-50/001/2017-1</t>
  </si>
  <si>
    <t>Решение Совета депутатов № 698/70. выписка из ЕГРН, регистрация права от 31.07.2017г №50:39:0060112:395</t>
  </si>
  <si>
    <t>21.07.2017г</t>
  </si>
  <si>
    <t>Решение Совета депутатов № 969/101</t>
  </si>
  <si>
    <t>Исключено задвоено со стр. 1552. Передано от поселения</t>
  </si>
  <si>
    <t>Решение Совета депутатов №  969/101</t>
  </si>
  <si>
    <t>Исключено, т.к. подано на регистрацию в ЕГРН как бесхозяйная. Идет наложение кадастровых номеров</t>
  </si>
  <si>
    <t xml:space="preserve">Игровая площадка Панорама 2, Московская область, Серебряно-Прудский район,    п. Новоклемово ( между жилыми домами № 22,17) </t>
  </si>
  <si>
    <t>Решение Совета депутатов № 698/70, свидет-во о регистрации права 50-БА 534275 от 27.08.2015г. Выписка из ЕГРН, регистрация права от 07.08.2017 № 50:39:0060306:1021-50/039/2017-2</t>
  </si>
  <si>
    <t>Решение Совета депутатов № 698/70, свидет-во о регистрации права 50-БА 375713 от 14.09.2015г. Выписка из ЕГРн, регистрация права от 09.08.2017г № 50:39:0060306:1025-50/001/2017-2</t>
  </si>
  <si>
    <t>Решение Совета депутатов № 698/70, свидет-во о регистрации прва 50-БА 376094 от 24.09.2015г. Выписка ЕГРН, регистрация права от 04.08.2017г № 50:39:0060104:709-50/001/2017-2</t>
  </si>
  <si>
    <t>Решение Совета депутатов № 698/70, свидет-во о регистрации права 50-АЕ № 978360 от 06.12.2013. Выписска ЕГРН, регистрация права от 03.08.2017г № 50:39:0060104:556-50/001/2017-2</t>
  </si>
  <si>
    <t>Решение Совета депутатов № 698/70, Свидет-во о регистрации права 50-БА 375711 от 14.09.2015г. Выписка из ЕГРН, регистрация права от 09.08.2017г № 50:39:0060107:407-50/001/2017-2</t>
  </si>
  <si>
    <t>Решение Совета депутатов № 698/70, свидет-во о регистрации права 50-БА 375712 от 14.09.2015г. Выписка из ЕГРН, регистрация права от 10.08.2017г № 50:39:0060302:281-50/001/2017-2</t>
  </si>
  <si>
    <t>Решение Совета депутатов № 698/70, свидет-во о регистрации права от 27.08.20185г. Выписка из ЕГРН, регистрация права от 10.08.2017г № 50:39:0000000:4206-50/001/2017-2</t>
  </si>
  <si>
    <t>Решение Совета депутатов № 698/70, свидет-во о регистрации права 50-БА 375619 от 03.09.2015г. Выписка из ЕГРН, регистрация праа от 10.08.2017г № 50:39:0000000:4189-50/001/2017-2</t>
  </si>
  <si>
    <t>Решение Совета депутатов № 698/70. свидет-во о регистрации права 50-БА 375623 от 03.09.2015г. Выписка из ЕГРН, регистрация права от 10.08.2017- № 50:39:0060102:301-50/001/2017-2</t>
  </si>
  <si>
    <t>Решение Совета депутатов № 698/70. Выписка из ЕГРН, регистрация права от 01.08.2017г № 50:39:0060403:279-50/001/2017-1</t>
  </si>
  <si>
    <t>Московская об. Городской округ Серебряные Пруды   с. Мочилы</t>
  </si>
  <si>
    <t xml:space="preserve">Автомобильная дорога с  твердым покрытием протяженностью 2955м, кадастровый номер земельного участка ул. Садовая 50:39:0060306:1002, Протяженность 1690м. Кадастровый номер земельного участка ул. Юбилейная 50:39:0060306:1003, Протяженность 1265м  </t>
  </si>
  <si>
    <t>Решение Совета депутатов № 698/70, Выписка из ЕГРН, регистрация права от 07.08.2017г № 50:39:0060306:845-50/039/2017-2</t>
  </si>
  <si>
    <t>Московская область, Серебряно-Прудский район,р.п. Серебряные Пруды, мкр-н Западный, д.33, кв.4</t>
  </si>
  <si>
    <t>50:39:0050404:861</t>
  </si>
  <si>
    <t>09.08.2017г</t>
  </si>
  <si>
    <t>Выписка из ЕГРН, регистрация № 50:39:0050404:861-50/039/2017-2. Муниципальный контракт № 0848300041817000275-0126220-02 от 17.07.2017г</t>
  </si>
  <si>
    <t>Московская область, Серебряно-Прудский район,р.п. Серебряные Пруды, мкр-н Юбилейный, д.5, кв.61</t>
  </si>
  <si>
    <t>50:39:0050508:408</t>
  </si>
  <si>
    <t>Выписка из ЕГРН, регистрация № 50:39:0050508:408-50/039/2017-2 от 09.08.2017. Муниципальный контракт № 0848300041817000274-0126220-02 от 17.07.2017г</t>
  </si>
  <si>
    <t>Московская область, Серебряно-Прудский район, с. Узуново, ул. Почтовая, д.5, кв.19</t>
  </si>
  <si>
    <t>50:39:0030302:726</t>
  </si>
  <si>
    <t>Выписка из ЕГРН, регистрация № 50:39:0030302:726-50/039/2017-2. Муниципальный контракт № 0848300041817000276-0126220-02 от 17.07.2017г</t>
  </si>
  <si>
    <t>Московская область, Серебряно-Прудский район, с. Узуново, мкр-н Южный, д.33, кв.20</t>
  </si>
  <si>
    <t>50:39:0030305:852</t>
  </si>
  <si>
    <t>Выписка из ЕГРН, регистрация № 50:39:0030305:852-50/039/2017-2. Муниципальный контракт № 0848300041817000270-0126220-02 от 17.07.2017г</t>
  </si>
  <si>
    <t>50:39:0050404:937</t>
  </si>
  <si>
    <t>Московская область, Серебряно-Прудский район,р.п. Серебряные Пруды, мкр-н Западный, д.8, кв.10</t>
  </si>
  <si>
    <t>Выписка из ЕГРН, регистрация № 50:39:0050404:937-50/039/2017-2. Муниципальный контракт № 0848300041817000273-0126220-02 от 17.07.2017г</t>
  </si>
  <si>
    <t>Московская область, Серебряно-Прудский район, с. Узуново, мкр-н Южный, д.6, кв.18</t>
  </si>
  <si>
    <t>50:39:0030305:359</t>
  </si>
  <si>
    <t>Выписка из ЕГРН, регистрация № 50:39:0030305:359-50/039/2017-2. Муниципальный контракт № 0848300041817000271-0126220-02 от 17.07.2017г</t>
  </si>
  <si>
    <t>Земельный участок Категория земель - земли сельскохозяйственного назначения, ВРИ - для садоводства</t>
  </si>
  <si>
    <t>Московская область, Серебряно-Прудский район, с/пос. Мочильское, снт Кормовое, квартал 10, уч-к 34</t>
  </si>
  <si>
    <t>50:39:0060601:453</t>
  </si>
  <si>
    <t>Выписка из ЕГРН, регистрация № 50:39:0060601:453-50/039/2017-1 от 17.08.2017г</t>
  </si>
  <si>
    <t>Московская область, Серебряно-Прудский район, рп Серебряные Пруды, мкр Юбилейный, д.6. пом.72</t>
  </si>
  <si>
    <t>Московская область, Серебряно-Прудский район, д. Коровино, д.21, пом.13</t>
  </si>
  <si>
    <t>50:39:0030107:416</t>
  </si>
  <si>
    <t>Выписка из ЕГРН, регистрация № 50:39:0050508:251-50/039/2017-2. Муниципальный контракт № 0848300041817000283-0126220-02 от 09.08.2017г</t>
  </si>
  <si>
    <t>Выписка из ЕГРН, регистрация № 50:39:0030107:416-50/039/2017-2. Муниципальный контракт № 0848300041817000284-0126220-02 от 09.08.2017г</t>
  </si>
  <si>
    <t>Московская область, Серебряно-Прудский район, с. Узуново, мкр Южный, д.16, пом.26</t>
  </si>
  <si>
    <t>50:39:0030305:488</t>
  </si>
  <si>
    <t>Выписка из ЕГРН, регистрация № 50:39:0030305:488-50/039/2017-2. Муниципальный контракт № 0848300041817000286-0126220-02 от 10.08.2017г</t>
  </si>
  <si>
    <t>Московская область, Серебряно-Прудский район, рп Серебряные Пруды, мкр Юбилейный, д.5, пом.46</t>
  </si>
  <si>
    <t>50:39:0050508:407</t>
  </si>
  <si>
    <t>Выписка из ЕГРН, регистрация № 50:39:0050508:407-50/039/2017-2. Муниципальный контракт № 0848300041817000282-0126220-03 от 09.08.2017г</t>
  </si>
  <si>
    <t>Распоряжение администрации № 280-р. Акт на списание № 7 от 12.05.2017г</t>
  </si>
  <si>
    <t>Распоряжение администрации № 281-р. Акт на списание № 8 от 12.05.2017г</t>
  </si>
  <si>
    <t>Распоряжение администрации городского округа Серебряные пруды Московской области №282-р</t>
  </si>
  <si>
    <t>Распоряжение администрации городского округа Серебряные Пруды Московской области № 179-р</t>
  </si>
  <si>
    <t>Безвозмездное пользование до ОМВД России по го Серебряные Пруды МО. Решение совета депутатов от 29.05.2017г № 940/98</t>
  </si>
  <si>
    <t>Спец. Жил. Фонд. Постановление от 02.06.2017г №1192. Договор найма жилого помещения от 09.06.2017г № 2-2017-06 Ислямов Алексей Алексеевич</t>
  </si>
  <si>
    <t>Спец. Жил. Фонд. Постановление от 02.06.2017г №1194. Договор найма жилого помещения от 09.06.2017г № 1-2017-06 Аскеров Гияс Аскерович</t>
  </si>
  <si>
    <t>Постановление администрации городского округа Серебряные Пруды Московскорй области №1289</t>
  </si>
  <si>
    <t>Особо ценное имущество. Постановление от 21.06.2017г №1377</t>
  </si>
  <si>
    <t>Товарная накладная № СС170526-02</t>
  </si>
  <si>
    <t>Подметальная машина PRORAB GS55S</t>
  </si>
  <si>
    <t>Подметальная машина PATRIOT S608P</t>
  </si>
  <si>
    <t>Бензобур ВТ 360 с буром</t>
  </si>
  <si>
    <t>Косилка тракторная роторная навесная (ширина прокоса 2,1м)</t>
  </si>
  <si>
    <t>Счет-фактура №218</t>
  </si>
  <si>
    <t>Косилка тракторная роторная навесная (ширина прокоса 1,35м)</t>
  </si>
  <si>
    <t>Передаточный акт №220-рп. Распоряжение правительства Московской области от 28.04.2017г №220-рп</t>
  </si>
  <si>
    <t xml:space="preserve">Транспортное средство для перевозки детей TST410, VIN XUSTST41CG0000512, год 2016, гос. номер КВ48350 </t>
  </si>
  <si>
    <t>Оперативное управление МОУ "Шеметовская средняя общеобразовательная школа". Постановление от 03.07.2017г №1438</t>
  </si>
  <si>
    <t>Товарная накладная № СС170613-02</t>
  </si>
  <si>
    <t>Особо ценное имущество. Постановление от 20.07.2017г №1582</t>
  </si>
  <si>
    <t>КомбиМотор КМ-94 Stihl - 6 шт.</t>
  </si>
  <si>
    <t>Мотоножницы HL-КМ 135 гр 0 6 шт</t>
  </si>
  <si>
    <t>Мотоблок для клумб Торпан</t>
  </si>
  <si>
    <t>Мотоблок "Нева" - 7шт.</t>
  </si>
  <si>
    <t>Тележка для мотоблока "Нева" - 7шт.</t>
  </si>
  <si>
    <t>Полуприцеп тракторный модели ОПМ -3,5</t>
  </si>
  <si>
    <t>Товарная накладная № 107</t>
  </si>
  <si>
    <t>Прицеп тракторный самосвальный 2ПТС-6,5 с надставными цельнометаллическими бортами 41012400099</t>
  </si>
  <si>
    <t>Навесное щеточное оборудование для механнизированной уборки МК-4</t>
  </si>
  <si>
    <t>Особо ценное имущество. Постановление от 18.08.2017г №1788</t>
  </si>
  <si>
    <t>Компьютер в сборе (системный блок, монитор широкоформатный)</t>
  </si>
  <si>
    <t>Особо ценное имущество. Постановление от 18.08.2017г № 1796</t>
  </si>
  <si>
    <t>4.101240002</t>
  </si>
  <si>
    <t>Особо ценное имущество. Постановление от 21.08.2017г №1816</t>
  </si>
  <si>
    <t xml:space="preserve">Оперативное управление МДОУ "ЦРР - детский сад №7 "Алёнушка". Постановление от 12.05.2017г № 967 </t>
  </si>
  <si>
    <t>Оперативное управление МДОУ "Детский сад общеразвивающего вида №13 "Звездочка". Постановление от 12.05.2017г №968</t>
  </si>
  <si>
    <t>Оперативное управление МДОУ "Детский сад №10 "Березка". Постановление от 12.05.2017г №969</t>
  </si>
  <si>
    <t>Оперативное управление МДОУ "Детский сад общеразвивающего вида "Ягодка". Постановление от 12.05.2017г № 970</t>
  </si>
  <si>
    <t>Оперативное управление МДОУ "Детский сад общеразвивающего вида "Малышок". Постановление от 12.05.2017г №971</t>
  </si>
  <si>
    <t>Оперативное управление МДОУ "Детский сад комбинированного вида №5 "Журавушка". Постановление от 23.05.2017г №1056</t>
  </si>
  <si>
    <t>Теневой навес (6,5*4,0 м) двойной</t>
  </si>
  <si>
    <t xml:space="preserve">Оперативное управление МДОУ "Детский сад "Рябинка". Постановление от 23.05.2017г №1057 </t>
  </si>
  <si>
    <t xml:space="preserve">Оперативное управление МДОУ "ЦРР - детский сад №2 "Солнышко". Постановление от 23.05.2017г №1058 </t>
  </si>
  <si>
    <t xml:space="preserve">Оперативное управление МДОУ "Детский сад общеразвивающего вида "Колокольчик". Постановление от 23.05.2017г №1059 </t>
  </si>
  <si>
    <t>Оперативное управление МОУ "Подхоженская средняя общеобразовательная школа". Постановление от 02.06.2017г №1178</t>
  </si>
  <si>
    <t>Оперативное управление МОУ "Крутовская средняя общеобразовательная школа". Постановление от 02.06.2017г №1179</t>
  </si>
  <si>
    <t>Оперативное управление МОУ "Петровская средняя общеобразовательная школа". Постановление от 02.06.2017г №1180</t>
  </si>
  <si>
    <t>Оперативное управление МОУ "Шеметовская средняя общеобразовательная школа". Постановление от 02.06.2017г №1181</t>
  </si>
  <si>
    <t>Оперативное управление МОУ "Мочильская средняя общеобразовательная школа". Постановление от 02.06.2017г №1182</t>
  </si>
  <si>
    <t>Оперативное управление МОУ "Клёмовская средняя общеобразовательная школа". Постановление от 02.06.2017 №1183</t>
  </si>
  <si>
    <t>Оперативное управление МОУ "Совхозная средняя общеобразовательная школа". Постановление от 02.06.2017г №1184</t>
  </si>
  <si>
    <t>Оперативное управление МОУ "Узуновская средняя общеобразовательная школа". Постановление от 02.06.2017г №1185</t>
  </si>
  <si>
    <t xml:space="preserve">Оперативное управление МОУ "Узуновская средняя общеобразовательная школа". </t>
  </si>
  <si>
    <t>Оперативное управление МОУ "Узуновская СОШ". Постановление от 02.06.2017г №1185</t>
  </si>
  <si>
    <t>Спец.жил. фонд.Постановление от 02.06.2017г №1193. Договор найма жилого помещение от 04.09.2017г №3-2017-06 Вдовенко Николай Николаевич</t>
  </si>
  <si>
    <t>оперативное управление МДОУ "ЦРР - детский сад "Тополек". Постановление от 07.06.2017г №1228</t>
  </si>
  <si>
    <t>Оперативное управление МДОУ "ЦРР - детский сад "Тополек". Постановление от 07.06.2017г №1228</t>
  </si>
  <si>
    <t>Оперативное управление МОУ "Дмитриевская основная общеобразовательная школа". Постановление от 19.06.2017г №1322</t>
  </si>
  <si>
    <t>Оперативного управления МКУ "Дудинский сельский дом культуры городского округа Серебряные Пруды Московской области"</t>
  </si>
  <si>
    <t>Необходимо получить заявление руководителя для внесения в перечень особо ценного имущества</t>
  </si>
  <si>
    <t>Оперативное управление МОУ "Глубоковская основная общеобразовательная школа". Постановление от 21.06.2017г №1369</t>
  </si>
  <si>
    <t xml:space="preserve">Оперативное управление МБО ДО  "Серебряно-Прудская школа искусств им. П.Н.Новикова". Постановление от 27.07.2017г №1617 </t>
  </si>
  <si>
    <t xml:space="preserve">Оперативное управление МБУ ДО  "Узуновская школа искусств". Постановление от 27.07.2017г №1625 </t>
  </si>
  <si>
    <t>50:39:0030302:629</t>
  </si>
  <si>
    <t>Нежилое помещение, инвентарный номер 03.1.02.0001</t>
  </si>
  <si>
    <t>Оперативное управление МУ ФОСУ "физкультурно-оздоровительный комплекс имени С.А. Фирсова". Постановление от 27.07.2017г №1631</t>
  </si>
  <si>
    <t>Оперативное управление МУ "Мемориальный Дом-музей дважды Героя Советского Союза Маршала Светского Союза В.И.Чуйкова". Постановление от 27.07.2017г №1632</t>
  </si>
  <si>
    <t>Оперативное управление МУ ДО  "Серебряно-Прудская детско-юношеская спортивная школа "Юность". Постановление от 27.07.2017г №1634</t>
  </si>
  <si>
    <t>Оперативное управление МКУ центр гражданского и патриотического воспитания детей и молодёжи "Патриот". Постановление от 28.07.2017г №1641</t>
  </si>
  <si>
    <t>Велоэргометр VISION U60</t>
  </si>
  <si>
    <t>Оперативное управление МУК "КДЦ Узуновское городского округа Серебряные Пруды Московской области". Постановление от 04.08.2017г №1685</t>
  </si>
  <si>
    <t>Оперативное управление МУК "КДЦ Узуновское городского округа Серебряные Пруды Московской области". Постановление от 04.08.2017г №1685.. Оперативное управление помещение 50 кв.м. МУК "Централизованная библиотечная система". Постановление от 22.10.2008г № 1128</t>
  </si>
  <si>
    <t>Оперативное управление МБУ ДО"Школа искуств имени А.Д.Кившенко". Постановление от 14.08.2017г №1767</t>
  </si>
  <si>
    <t>Оперативное управление МУ "Центральный дом культуры городского округа Серебряные Пруды Московской области". Постановление от 14.08.2017г №1766</t>
  </si>
  <si>
    <t>Оперативное управление МОУ ДОД "Серебряно-Прудский Дом детского творчества" . Постановление от 21.08.2017г №1817</t>
  </si>
  <si>
    <t>12249,9*6</t>
  </si>
  <si>
    <t>01.1.04.0013</t>
  </si>
  <si>
    <t>Оперативное управление Отдел по физической культуре и спорту администрации го Серебряные Пруды Московской области. Постановление от 24.08.2017г №1861</t>
  </si>
  <si>
    <t>01.1.04.0009</t>
  </si>
  <si>
    <t>01.1.04.0001</t>
  </si>
  <si>
    <t>01.1.04.0006</t>
  </si>
  <si>
    <t>01.1.04.0008</t>
  </si>
  <si>
    <t>01.1.04.0020</t>
  </si>
  <si>
    <t>01.1.04.0015</t>
  </si>
  <si>
    <t>01.1.04.0007</t>
  </si>
  <si>
    <t>01.1.04.0022</t>
  </si>
  <si>
    <t>01.1.04.0012</t>
  </si>
  <si>
    <t>01.1.04.0017</t>
  </si>
  <si>
    <t>01.1.04.0016</t>
  </si>
  <si>
    <t>01.1.04.0014</t>
  </si>
  <si>
    <t>01.1.04.0011</t>
  </si>
  <si>
    <t>01.1.06.0006</t>
  </si>
  <si>
    <t>б/н</t>
  </si>
  <si>
    <t>Оперативное управление Отдел культуры и делам молодежи администрации го Серебряные Пруды. Постановление от 24.08.2017г №1863</t>
  </si>
  <si>
    <t>Оперативное управление МОУ ДПО "Информационно-методический центр"</t>
  </si>
  <si>
    <t>Муниципальное учреждение  "Спортивная школа №1" городского округа Серебряные Пруды</t>
  </si>
  <si>
    <t>Оперативное управление МУ для физкультурно-оздоровительной работы по месту жительства спортивный клуб "Серебряные Пруды"</t>
  </si>
  <si>
    <t xml:space="preserve">Управление по образованию Администрации Московской области </t>
  </si>
  <si>
    <t>акт ввода</t>
  </si>
  <si>
    <t>Акт списания транспотрного средства №000041</t>
  </si>
  <si>
    <t>Акт списания транспотрного средства №000040</t>
  </si>
  <si>
    <t xml:space="preserve">Оперативное управление МДОУ "Детский сад №12 "Осетрёнок". Постановление от 27.04.2017г №902 </t>
  </si>
  <si>
    <t>Оперативное управление МДОУ "Детский сад общеразвивающего вида №6 "Родничок". Постановление от 27.04.2017г №900</t>
  </si>
  <si>
    <t>Оперативное управление МДОУ "Детский сад д. Коровино". Постановление от 27.04.2017г №899</t>
  </si>
  <si>
    <t>Оперативное управление МДОУ "Детский сад общеразвивающего вида "Росинка". Постановление от 27.04.2017г №897</t>
  </si>
  <si>
    <t>Оперативное управление МУК  "Централизованная библиотечная система Серебряно-Прудского муниципального района Московской области". Постановление от 13.04.2017г №826</t>
  </si>
  <si>
    <t>Оперативное управление МДОУ "Детский сад общеразвивающего вида "Светлячок". Постановление от 03.04.2017г №726</t>
  </si>
  <si>
    <t xml:space="preserve">Оперативное управление МДОУ "Детский сад общеразвивающего вида "Колосок". Постановление от 03.04.2017г №723 </t>
  </si>
  <si>
    <t>Решение Совета депутатов № 696/70. Выписка из ЕГРН, регистрация права от 08.08.2017г №50:39:0020106:267-50/039/2017-2</t>
  </si>
  <si>
    <t>Решение Совета депутатов № 696/70. Выписка из ЕГРН, регистрация права от 08.08.2017г №50:39:0030303:26-50/039/2017-2</t>
  </si>
  <si>
    <t>Выписка из ЕГРП, регистрация № 50-50/039-50/999/001/2016-21501/2 от 06.12.2016. Выписка из ЕГРН, регистрация права от 08.08.2017г № 50:39:0020316:47-50/039/2017-2</t>
  </si>
  <si>
    <t>Земельный участок Категория земель - земли сельскохозяйственного назначения, ВРИ - для ведения садоводства</t>
  </si>
  <si>
    <t>Московская область, Серебряно-Прудский район, с/о Дмитриевский, снт Прилучье-1, уч-к 318</t>
  </si>
  <si>
    <t>50:39:0080210:38</t>
  </si>
  <si>
    <t>Выписка из ЕГРН, регистрация права № 50:39:0080210:38-50/039/2017-1 от 30.08.2017г</t>
  </si>
  <si>
    <t>Земельный участок Категория земель - земли населенных пунктоыв, ВРИ -обслуживание жилой постройки (контейнерная площадка)</t>
  </si>
  <si>
    <t>Московская область, Серебряно-Прудский район, г.п. Серебряные Пруды. д. Благодать</t>
  </si>
  <si>
    <t>50:39:0070103:521</t>
  </si>
  <si>
    <t>Выписка из ЕГРН, регистрация права № 50:39:0070103:521-50/039/2017-1</t>
  </si>
  <si>
    <t>Московская область, Серебряно-Прудский район, с. Узуново. Ул. Садовая, д..62</t>
  </si>
  <si>
    <t>Свидетельство о регистрации права от 14.05.2005 50 АЖ №794401. Выписка ФГИС ЕГРН от 07.07.2017г №50/039/001/2017-1121</t>
  </si>
  <si>
    <t>Оперативное управление МБУ ДО  "Узуновская школа искусств". Свидетельсьво о регистрации права от 20.05.2009г 50-НГ №594191</t>
  </si>
  <si>
    <t xml:space="preserve">Оперативное управление МОУ "Совхозная средняя общеобразовательная школа". </t>
  </si>
  <si>
    <t xml:space="preserve">Оперативное управление МОУ "Клёмовская СОШ". </t>
  </si>
  <si>
    <t>23.08.2017г</t>
  </si>
  <si>
    <t xml:space="preserve">Договор передачи жилого помещения муниципального жилищного фонда в собственность граждан от 06.07.2017г  № 26/2017 </t>
  </si>
  <si>
    <t xml:space="preserve">Решение Совета депутатов № 696/70. </t>
  </si>
  <si>
    <t>50:39:0050101:696</t>
  </si>
  <si>
    <t>Решение Совета депутатов № 695/70. Выписка из ЕГРН, регистрация права от 12.09.2017г № 50:39:0050101:696-50/039/2017-1</t>
  </si>
  <si>
    <t>50:39:0000000:4445</t>
  </si>
  <si>
    <t xml:space="preserve">Решение Совета депутатов № 695/70. </t>
  </si>
  <si>
    <t>Московская область, Серебряно-Прудский район, с. Тютьково, д.23. кв.2</t>
  </si>
  <si>
    <t>50:39:0030108:198</t>
  </si>
  <si>
    <t>Выписка из ЕГРН, регистрация права от 15.09.2017г  № 50:39:0030108:198-50/039/2017-2 Договор об изъятии путем выкупа от 12.09.2017г</t>
  </si>
  <si>
    <t>Московская область, Серебряно-Прудский район, с.Крутое, д.6, кв.1</t>
  </si>
  <si>
    <t>50:39:0020106:717</t>
  </si>
  <si>
    <t>Выписка из ЕГРН, регистрация права от 08.09.2017г  № 50:39:0020106:717-50/039/2017-6. Муниципальный контракт от 31.08.2017г № 0848300041817000272-0126220-2</t>
  </si>
  <si>
    <t>Решение Совета депутатов № 698/70, свидет-во о регистрации права 50-БА 376093. Выписка из ЕГРН, регистрация права от 20.09.2017г №50:39:0060304:189-50/001/2017-2</t>
  </si>
  <si>
    <t>Решение Совета депутатов № 698/70, свидет-во о регистрации права 50-БА 375616 от 03.09.2015г. Выписка из ЕГРН, регистрация права от 20.09.2017г № 50:39:0060304:188-50/001/2017-2</t>
  </si>
  <si>
    <t>Решение Совета депутатов № 698/70, свидет-во о регистрации права 50-БА 534278 от 27.08.2015г. Выписка из ЕГРН, регистрация права от 21.09.2017г № 50:39:0000000:4207-50/001/2017-2</t>
  </si>
  <si>
    <t>Земельный участок Категория земель - земли населённых пунтков, ВРИ - для садоводства и огородничества</t>
  </si>
  <si>
    <t>Московская область, Серебряно-Прудский район, с/пос. Мочильское, с. Мочилы</t>
  </si>
  <si>
    <t>50:39:0060306:61</t>
  </si>
  <si>
    <t>Выписка из ЕГРН, регистрация права от 17.07.2017г  № 50:39:0060306:61-50/039/2017-2</t>
  </si>
  <si>
    <t>Земельный участок Категория земель - земли сельскохозяйственного назначения, ВРИ - для ведения коллективного садоводства</t>
  </si>
  <si>
    <t>50:39:0040103:86</t>
  </si>
  <si>
    <t>Решение Совета депутатов № 698/70, свидет-во о регистрации права 50-БА 375615 от 03.09.2015г. Выписка из ЕГРН, регистрация права от 25.09.2017г № 50:39:0060501:160-50/001/2017-2</t>
  </si>
  <si>
    <t>Автомобиль VOLKSWAGEN JETTA VIN WVWZZZ16ZDM022031, гос. номер В330 ХТ 190</t>
  </si>
  <si>
    <t>Автомобиль Ssang Yong KYRON II VIN Z8US0A16SD0031032, гос. номер В 753 ХТ 190</t>
  </si>
  <si>
    <t>Автомобиль Ford Форд Фокус VIN X9F4XXEED46A42104, гос. номер А 972 ВК 190</t>
  </si>
  <si>
    <t>МФУ Xerox WorkCentre 3615 DN</t>
  </si>
  <si>
    <t>Товарная накладная №169 от 31.08.2016г</t>
  </si>
  <si>
    <t>МФУ Xerox WorkCentre 5022D</t>
  </si>
  <si>
    <t>Автоматизированная система оповещения "АСО-4"</t>
  </si>
  <si>
    <t>Копировальный аппарат  Canon iR 2420 (5263B005)</t>
  </si>
  <si>
    <t>Товарная накладная от 16.11.2012г №232</t>
  </si>
  <si>
    <t>Системный блок СЕРВЕР АСВ-start SmB</t>
  </si>
  <si>
    <t>1.101.04.013</t>
  </si>
  <si>
    <t>1.101.04.108</t>
  </si>
  <si>
    <t>Товарная накладная от 18.12.2013г №605</t>
  </si>
  <si>
    <t>Копировальный аппарат TOSHIBA</t>
  </si>
  <si>
    <t>Товарная накладная от 01.11.2010г № 182</t>
  </si>
  <si>
    <t>Сервер Xenon 2X2603/4X600/16/1X600W</t>
  </si>
  <si>
    <t>Товарная накладная от 12.11.2015г №248</t>
  </si>
  <si>
    <t>Решение Совета депутатов № 698/70. свидет-во о регистрации права 50-БА 375622 от 03.09.2015г. Выписка из ЕГРН, регистрация права от 25.09.2017г №50:39:0000000:4188-50/001/2017-2</t>
  </si>
  <si>
    <t>Решение Совета депутатов № 698/70, свидет-во о регистрации права собственности 50-БА 375621 от 03.09.2015г. Выписка из ЕГРН, регистрация права №50:39:0060302:280-50/001/2017-2 от 25.09.2017г</t>
  </si>
  <si>
    <t>Решение Совета депутатов № 698/70, Свидет-во о регистрации права 50-БА 375614 от 03.09.2015г. Выписка из ЕГРН, регистрация права № 50:39:0070306:81-50/001/2017-2 от 26.09.2017г</t>
  </si>
  <si>
    <t>Решение Совета депутатов № 698/70, свидет-во 50-БА 375617. Выписка из ЕГРН, регистрация права № 50:39:0060303:52-50/001/2017-2 от 26.09.2017г</t>
  </si>
  <si>
    <t>Решение Совета депутатов № 698/70, Свидет-во о регистрации права 50-БА 375618 от 03.09.2015г. Выписка из ЕГРН, регистрация права № 50:39:0070102:230-50/001/2017-2 от 27.09.2017г</t>
  </si>
  <si>
    <t>Решение Совета депутатов № 698/70, Свидет-во о регистрации права 50-БА 534277 от 27.08.2015г. Выписка из ЕГРН, регистрация права № 50:39:0060403:272-50/001/2017-2 от 27.09.2017г</t>
  </si>
  <si>
    <t>Муниципальное образование городской округ Серебряные Пруды московской области</t>
  </si>
  <si>
    <t>Автомобиль ГАЗ-32212 VIN X96322120H0835140, гос. номер Р 528ОТ750</t>
  </si>
  <si>
    <t>29.08.2017г</t>
  </si>
  <si>
    <t>Товарная накладная от 29.08.2017г № АГС29.08.1. Муниципальный контракт № 0848300041817000316-0055668-04 от 18.08.2017г</t>
  </si>
  <si>
    <t>19.09.2017г</t>
  </si>
  <si>
    <t>Договор купли-продажи квартиры № 1/2017 от 06.07.2017г, регистрация №50:39:0060104:452-50/039/2017-3 от 19.09.2017г</t>
  </si>
  <si>
    <t>Земельный участок Категория земель - земли населённых пунктов. ВРИ - культурное развитие</t>
  </si>
  <si>
    <t xml:space="preserve">Выписка из ЕГРП, регистрация № 50:39:0050507:97-50/039/2017-1. </t>
  </si>
  <si>
    <t>Московская область, Серебряно-Прудский район, рп Серебряные Пруды, снт Мягковские камушки, уч-к 56</t>
  </si>
  <si>
    <t>Московская область, Серебряно-Прудский район, рп Серебряные Пруды, снт Прилучье-1, уч-к 320</t>
  </si>
  <si>
    <t>50:39:0080210:197</t>
  </si>
  <si>
    <t>Выписка из ЕГРН, регистрация права № 50:39:0040103:86-50/039/2017-2 от 13.09.2017г</t>
  </si>
  <si>
    <t>Выписка из ЕГРН, регистрация права № 50:39:0080210:197-50/039/2017-1 от 11.09.2017г</t>
  </si>
  <si>
    <t>Московская область, Серебряно-Прудский район, с. Дудино, д. 34</t>
  </si>
  <si>
    <t>Договор № 29/2017 передачи жилого помещения муниципального жилищного фонда в собственность граждан от 07.08.2017 г., регистрация права № 50:39:0050101:696-50/039/2017-3,4</t>
  </si>
  <si>
    <t>50:39:0070207:205</t>
  </si>
  <si>
    <t>Решение Совета депутатов № 697/70. Выписка из ЕГРН, регистрация права от 09.10.2017г №50:39:0070207:205-50/001/2017-2</t>
  </si>
  <si>
    <t xml:space="preserve">06.10.2017г </t>
  </si>
  <si>
    <t>Договор №28/2017 передачи жилого помещения муниципального жилищного фонда в собственность граждан от 31.07.2017г. Регистрция права №50:39:0060104:749-50/039/2017-3,4,5,6</t>
  </si>
  <si>
    <t>50:39:0020208:892</t>
  </si>
  <si>
    <t>50:39:0060107:364</t>
  </si>
  <si>
    <t>50:39:0060107:366</t>
  </si>
  <si>
    <t>Договор 332/2017 о передачи жилого помещения муниципального жилищного фонда в собственность граждан от 29.09.2017г. Регистрация №50:39:0000000:3199-50/039/2017-4,5,6</t>
  </si>
  <si>
    <t>Земельный участок Категория земель - земли населённых пунктов, ВРИ - общее пользование территорией</t>
  </si>
  <si>
    <t>Московская область, Серебряно-Прудский район, д. Новомойгоры</t>
  </si>
  <si>
    <t>50:39:0010305:247</t>
  </si>
  <si>
    <t>Выписка из ЕГРН, регистрация права № 50:39:0010305:247-50/039/2017-1 от 18.10.2017г</t>
  </si>
  <si>
    <t xml:space="preserve">Московская область, Серебряно-Прудский район, д. Крытово  </t>
  </si>
  <si>
    <t>50:39:0030106:117</t>
  </si>
  <si>
    <t>Выписка из ЕГРН, регистрация права № 50:39:0030106:117-50/039/2017-1 от 18.10.2017г</t>
  </si>
  <si>
    <t>Московская область, Серебряно-Прудский район, с. Крутое, м-н Молодежный</t>
  </si>
  <si>
    <t>50:39:0020106:785</t>
  </si>
  <si>
    <t>Выписка из ЕГРН, регистрация права № 50:39:0020106:785-50/039/2017-1 от 18.10.2017г</t>
  </si>
  <si>
    <t>50:39:0000000:4248</t>
  </si>
  <si>
    <t>Выписка из ЕГРН, регистрация права № 50:39:0000000:4248-50/039/2017-1 от 18.10.2017г</t>
  </si>
  <si>
    <t>50:39:0020106:799</t>
  </si>
  <si>
    <t>Канализационные сети, инв. 1520194, протяженность 1882м</t>
  </si>
  <si>
    <t>Решение Совета депутатов № 696/70. Выписка из ЕГРН, регистрация права №50:39:0020106:799-50/039/2017-1 от 19.10.2017г</t>
  </si>
  <si>
    <t xml:space="preserve">Канализационная сеть для размещ.гидродефферизации, инв. 0000562, протяженность 274м </t>
  </si>
  <si>
    <t>50:39:0030120:348</t>
  </si>
  <si>
    <t>Решение Совета депутатов № 696/70. выписка из ЕГРН, регистрация права №50:39:0030120:348-50/039/2017-1 от 20.10.2017г</t>
  </si>
  <si>
    <t>Канализационные сети, инв. 1520203, протяженность 2010м</t>
  </si>
  <si>
    <t>50:39:0000000:4452</t>
  </si>
  <si>
    <t>Решение Совета депутатов № 696/70. Выписка из ЕГРН, регистрация права № 50:39:0000000:4452-50/039/2017-1 от 20.10.2017г</t>
  </si>
  <si>
    <t>Здание, нежилого назначения</t>
  </si>
  <si>
    <t>Постановление от 01.04.2016г № 567. Хоз. Ведение МУП "РСО городского округа Серебряные Пруды". Свидетельство от 03.06.2016г, регистрация №50-50/039-50/039/008/2016-2271/1</t>
  </si>
  <si>
    <t xml:space="preserve">Постановление от 01.04.2016г № 567. Хоз. Ведение МУП "РСО городского округа Серебряные Пруды"  </t>
  </si>
  <si>
    <t>Постановление от 01.04.2016г № 567. Хоз. Ведение МУП "РСО городского округа Серебряные Пруды". Свидетельство от 11.05.2016г, регистрация №50-50/039-50/039/008/2016-1713/1</t>
  </si>
  <si>
    <t xml:space="preserve">Постановление от 01.04.2016г № 567. Хоз. Ведение МУП "РСО городского округа Серебряные Пруды". Свидетельство от 26.05.2016г, регистрация №50-50/039-50/039/008/2016-2082/1  </t>
  </si>
  <si>
    <t xml:space="preserve">Постановление от 01.04.2016г № 567. Хоз. Ведение МУП "РСО городского округа Серебряные Пруды". Свидетельство от 26.05.2016г, регистрация №50-50/039-50/039/008/2016-2090/1 </t>
  </si>
  <si>
    <t xml:space="preserve">Постановление от 01.04.2016г № 567. Хоз. Ведение МУП "РСО городского округа Серебряные Пруды". Свидетельство от 11.05.2016г, регистрация №50-50/039-50/039/008/2016-1712/1  </t>
  </si>
  <si>
    <t>Постановление от 01.04.2016г № 567. Хоз. Ведение МУП "РСО городского округа Серебряные Пруды". Свидетельство от 26.05.2016г, регистрация №50-50/039-50/039/008/2016-2069/1</t>
  </si>
  <si>
    <t>Постановление от 01.04.2016г № 567. Хоз. Ведение МУП "РСО городского округа Серебряные Пруды". Свидетельство от 26.05.2016г, регистрация №50-50/039-50/039/008/2016-2072/1</t>
  </si>
  <si>
    <t xml:space="preserve">Постановление от 01.04.2016г № 567. Хоз. Ведение МУП "РСО городского округа Серебряные Пруды". Свидетельство от 11.05.2016г, регистрация №50-50/039-50/039/008/2016-1711/1  </t>
  </si>
  <si>
    <t xml:space="preserve">Постановление от 01.04.2016г № 567. Хоз. Ведение МУП "РСО городского округа Серебряные Пруды". Свидетельство от 26.05.2016г, регистрация №50-50/039-50/039/008/2016-2089/1  </t>
  </si>
  <si>
    <t>Постановление от 01.04.2016г № 567. Хоз. Ведение МУП "РСО городского округа Серебряные Пруды". Свидетельство от 07.06.2016г, регистрация №50-50/039-50/039/008/2016-2303/1</t>
  </si>
  <si>
    <t>Постановление от 01.04.2016г № 567. Хоз. Ведение МУП "РСО городского округа Серебряные Пруды". Свидетельство от 26.05.2016г, регистрация №50-50/039-50/039/008/2016-2081/1</t>
  </si>
  <si>
    <t>Постановление от 01.04.2016г № 567. Хоз. Ведение МУП "РСО городского округа Серебряные Пруды". Свидетельство от 07.06.2016г, регистрация №50-50/039-50/039/008/2016-2305/1</t>
  </si>
  <si>
    <t xml:space="preserve">Постановление от 01.04.2016г № 567. Хоз. Ведение МУП "РСО городского округа Серебряные Пруды". Свидетельство от 26.05.2016г, регистрация №50-50/039-50/039/008/2016-2091/1  </t>
  </si>
  <si>
    <t>Постановление от 01.04.2016г № 567. Хоз. Ведение МУП "РСО городского округа Серебряные Пруды". Свидетельство от 26.05.2016г, регистрация №50-50/039-50/039/008/2016-2078/1</t>
  </si>
  <si>
    <t>Постановление от 01.04.2016г № 567. Хоз. Ведение МУП "РСО городского округа Серебряные Пруды" . Свидетельство от 03.06.2016г, регистрация №50-50/039-50/039/008/2016-2269/1</t>
  </si>
  <si>
    <t xml:space="preserve">Постановление от 01.04.2016г № 567. Хоз. Ведение МУП "РСО городского округа Серебряные Пруды". Свидетельство от 03.06.2016г, регистрация №50-50/039-50/039/008/2016-2270/1 </t>
  </si>
  <si>
    <t>Постановление от 01.04.2016г № 567. Хоз. Ведение МУП "РСО городского округа Серебряные Пруды"  Свидетельство от 03.06.2016г, регистрация №50-50/039-50/039/008/2016-2238/1</t>
  </si>
  <si>
    <t xml:space="preserve">Постановление от 01.04.2016г № 567. Хоз. Ведение МУП "РСО городского округа Серебряные Пруды". Свидетельство от 03.06.2016г, регистрация №50-50/039-50/039/008/2016-2239/1  </t>
  </si>
  <si>
    <t xml:space="preserve">Постановление от 01.04.2016г № 567. Хоз. Ведение МУП "РСО городского округа Серебряные Пруды". Свидетельство от 26.05.2016г, регистрация № 50-50/039-50/039/008/2016-2086/1  </t>
  </si>
  <si>
    <t xml:space="preserve">Постановление от 01.04.2016г № 567. Хоз. Ведение МУП "РСО городского округа Серебряные Пруды". Свидетельство от 26.05.2016г, регистрация №50-50/039-50/039/008/2016-2085/1 </t>
  </si>
  <si>
    <t>Постановление от 01.04.2016г № 567. Хоз. Ведение МУП "РСО городского округа Серебряные Пруды" . Свидетельство от 03.06.2016г, регистрация №50-50/039-50/039/008/2016-2237/1</t>
  </si>
  <si>
    <t>Постановление от 01.04.2016г № 567. Хоз. Ведение МУП "РСО городского округа Серебряные Пруды". Свидетельство от 26.05.2016г, регистрация №50-50/039-50/039/008/2016-2073/1</t>
  </si>
  <si>
    <t xml:space="preserve">Постановление от 01.04.2016г № 567. Хоз. Ведение МУП "РСО городского округа Серебряные Пруды". Свидетельство от 26.05.2016г, регистрация №50-50/039-50/039/008/2016-2076/1 </t>
  </si>
  <si>
    <t xml:space="preserve">Постановление от 01.04.2016г № 567. Хоз. Ведение МУП "РСО городского округа Серебряные Пруды". Выписка ЕГРН от 25.07.2016г, регистрация №50-50/039-50/039/008/2016-3230/1  </t>
  </si>
  <si>
    <t>Постановление от 01.04.2016г № 567. Хоз. Ведение МУП "РСО городского округа Серебряные Пруды". Свидетельство от 26.05.2016г, регистрация №50-50/039-50/039/008/2016-2080/1</t>
  </si>
  <si>
    <t xml:space="preserve">Постановление от 01.04.2016г № 567. Хоз. Ведение МУП "РСО городского округа Серебряные Пруды". Свидетельство от 26.05.2016г, регистрация № 50-50/039-50/039/008/2016-2083/1  </t>
  </si>
  <si>
    <t xml:space="preserve">Постановление от 01.04.2016г № 567. Хоз. Ведение МУП "РСО городского округа Серебряные Пруды"  Свидетельство от 07.06.2016г, регистрация №50-50/039-50/039/008/2016-2302/1 </t>
  </si>
  <si>
    <t xml:space="preserve">Постановление от 01.04.2016г № 567. Хоз. Ведение МУП "РСО городского округа Серебряные Пруды". Свидетельство от 26.05.2016г, регистрация №50-50/039-50/039/008/2016-2079/1 </t>
  </si>
  <si>
    <t xml:space="preserve">Постановление от 14.10.2016г № 2129 Хоз. Ведение МУП "РСО городского округа Серебряные Пруды"  </t>
  </si>
  <si>
    <t>50:39:0030107:363</t>
  </si>
  <si>
    <t>Московская область, городской округ Серебряные Пруды, д.   Коровино,  д.4, кв. пом.2</t>
  </si>
  <si>
    <t>50:39:0030107:337</t>
  </si>
  <si>
    <t>Договор №5 дарения имущества от 19.06.2017г, Акт безвозмездной передачи от 06.10.2017г</t>
  </si>
  <si>
    <t>Договор №6 дарения имущества от 19.06.2017г, Акт безвозмездной передачи от 06.10.2017г</t>
  </si>
  <si>
    <t>Детская площадка со сказачной тематикой, расположенная по адресу: Московская область, с.Подхожее, мкр. Юбилейный, д.1, 2, 4, 5 (Диван парковый - 5шт, урна - 5шт, Карусель, Спортивный комплекс, стенд инф - 2шт, песочница, игровой комплекс ИКС - 1.80, качели-Гнездо, игровой комплекс ИКС - 1.42, качели-балансир, качели на цепочке двойные, Спортивный комплекс W-01-004, брусья двойные для отжимания, тренажер "Твистер-Маятник, тренажер "Лыжи", тренажер "Велосипед")</t>
  </si>
  <si>
    <t>50:39:0000000:4449</t>
  </si>
  <si>
    <t>Решение Совета депутатов № 696/70. Выписка ЕГРН, регистрация права от 25.10.2017г № 50:39:0000000:4449-50/039/2017-1</t>
  </si>
  <si>
    <t>50:39:0000000:4451</t>
  </si>
  <si>
    <t xml:space="preserve">Канализационные сети, инв. 1200024, протяженность 6753м </t>
  </si>
  <si>
    <t xml:space="preserve">Канализационные сети. Инв. 1200003, протяженность 2629  </t>
  </si>
  <si>
    <t>Решение Совета депутатов № 696/70. Выписка ЕГРН, регистрация права от 25.10.2017г № 50:39:0000000:4451-50/039/2017-1</t>
  </si>
  <si>
    <t>Канализационные сети, инв. 1520146, инв. 1520147, протяженность 2897м с. Петрово</t>
  </si>
  <si>
    <t>50:39:0000000:4450</t>
  </si>
  <si>
    <t>Решение Совета депутатов № 696/70. выписка из ЕГРН, регистрация права от 25.10.2017г № 50:39:0000000:4450-50/039/2017-1</t>
  </si>
  <si>
    <t>Канализационные сети, инв. 1520106, 1520107, 1520108, протяженность 2835м</t>
  </si>
  <si>
    <t>50:39:0020208:1323</t>
  </si>
  <si>
    <t>Решение Совета депутатов № 696/70. Выписка из ЕГРН, регистрация права от 24.10.2017г № 50:39:0020208:1323-50/039/2017-1</t>
  </si>
  <si>
    <t>50:39:0000000:4453</t>
  </si>
  <si>
    <t>Канализационные сети, инв. 1200007, протяженность 1434м.</t>
  </si>
  <si>
    <t>Решение Совета депутатов № 696/70. Выписка из ЕГРН, регистрация права от 30.10.2017г  №50:39:0000000:4453-50/039/2017-1</t>
  </si>
  <si>
    <t xml:space="preserve">Канализационные сети, инв. 1200004, протяженность 1194м </t>
  </si>
  <si>
    <t>50:39:0030107:519</t>
  </si>
  <si>
    <t>Решение Совета депутатов № 696/70. Выписка из ЕГРН, регистрация права от 30.10.2017г  №50:39:0030107:519-50/039/2017-1</t>
  </si>
  <si>
    <t>50:39:0030124:386</t>
  </si>
  <si>
    <t>Решение Совета депутатов № 696/70. Выписка ЕГРН, регистрация права от 30.10.2017г №50:39:0030124:386-50/039/2017-1</t>
  </si>
  <si>
    <t>Муниципальное казенное учреждение "Центр торгов городского округа Серебряные Пруды"</t>
  </si>
  <si>
    <t>ОГРН 1175022007962 от 25.10.2017г</t>
  </si>
  <si>
    <t xml:space="preserve">Постановление администрации городского поселения Серебряные Пруды Московской области от 19.10.2017г №2296, Устав </t>
  </si>
  <si>
    <t>Постановление администрации городского округа Серебряные пруды Московской области от 19.06.2017г №1318. Устав ЮЛ в новой редакции</t>
  </si>
  <si>
    <t>ОГРН 1085019001803  от                               10.12.2008г. Преобразовано путем присоединения ОГРН  2175022164106 от 13.10.2017г</t>
  </si>
  <si>
    <t>21.09.2006г</t>
  </si>
  <si>
    <t>Свидетельство о государственной регитсрации права  НА № 0828256, Решение Серебряно-Прудского районного суда Московской области от 15.05.2006г</t>
  </si>
  <si>
    <t>50:39:0050508:213</t>
  </si>
  <si>
    <t>27.10.2017г</t>
  </si>
  <si>
    <t>Выписка из ЕГРН, регистрация права от 27.10.2017г № 50:39:0050508:213-50/039/2017-2 от 27.10.2017г. Муниципальный контракт от 18.10.2017г № 0848300041817000392-0126220-2</t>
  </si>
  <si>
    <t>50:39:0050404:899</t>
  </si>
  <si>
    <t>26.10.2017г</t>
  </si>
  <si>
    <t>Выписка из ЕГРН, регистрация права от 26.10.2017г № 50:39:0050404:899-50/039/2017-2 от 26.10.2017г. Муниципальный контракт от 18.10.2017г № 0848300041817000393-0126220-2</t>
  </si>
  <si>
    <t>18.09.2017г</t>
  </si>
  <si>
    <t>Договор №30/2017 передачи жилого помещения муниципального жилищного фонда в собственность граждан от 04.09.2017г. Регистрация № 50:39:0050508:301-50/039/2017-3 от 18.09.2017г</t>
  </si>
  <si>
    <t xml:space="preserve">Канализационные сети, инв. 1200018, протяженность 1335м </t>
  </si>
  <si>
    <t>50:39:0020316:70</t>
  </si>
  <si>
    <t>Решение Совета депутатов № 696/70. Выписка из ЕГРН, регистрация права №50:39:0020316:2017-1 от 02.11.2017г</t>
  </si>
  <si>
    <t>Гидротехническое сооружение (скважина), глубина 130 м, год ввода в эксплуатацию 1971</t>
  </si>
  <si>
    <t>50:39:0010110:27</t>
  </si>
  <si>
    <t>Решение Серебряно-Прудского районного суда от 19.07.2017г, дело №2-455/2017. Определение серебряно-Прудского районного суда от 20.09.2017г. Выписка из ЕГРН, регистрация права № 50:39:0010110:27-50/039/2017-2 от 01.11.2017г</t>
  </si>
  <si>
    <t xml:space="preserve">Решение Совета депутатов № 695/70. Выписка из ЕГРН, регистрация права от 09.11.2017г № 50:39:0050507:112-50/039/2017-1 </t>
  </si>
  <si>
    <t>50:39:0050507:112</t>
  </si>
  <si>
    <t>Московская область, Серебряно-Прудский район, д. Беззубово</t>
  </si>
  <si>
    <t>50:39:0000000:4247</t>
  </si>
  <si>
    <t>08.11.2017г</t>
  </si>
  <si>
    <t>Выписка из ЕГРН, регистрация права № 50:39:0000000:4247-50/039/2017-1 от 08.11.2017</t>
  </si>
  <si>
    <t>Московская область, Серебряно-Прудский район, д. Скородня</t>
  </si>
  <si>
    <t>50:39:0010206:107</t>
  </si>
  <si>
    <t>Выписка из ЕГРН, регистрация права № 50:39:0010206:107-50/039/2017-1 от 08.11.2017</t>
  </si>
  <si>
    <t>Московская область, Серебряно-Прудский район, с. Глубокое. М-н Новый</t>
  </si>
  <si>
    <t>50:39:0020208:1268</t>
  </si>
  <si>
    <t>Выписка из ЕГРН, регистрация права № 50:39:0020208:1268-50/039/2017-1 от 08.11.2017</t>
  </si>
  <si>
    <t>50:39:0030111:297</t>
  </si>
  <si>
    <t>Выписка из ЕГРН, регистрация права № 50:39:0030111:297-50/039/2017-2 от 08.11.2017</t>
  </si>
  <si>
    <t>50:39:0050101:702</t>
  </si>
  <si>
    <t>Решение Совета депутатов № 695/70. Выписка из ЕГРН, регистрация права № 50:39:0050101:702-50/039/2017-1 от 14.11.2017г</t>
  </si>
  <si>
    <t>Договор № 21/2017 передачи жилого помещения муниципального жилищного фонда в собственность граждан от 26.05.2017г. Регистрация права 50:39:0070207:392-50/039/2017-3</t>
  </si>
  <si>
    <t>Муниципальное казённое учреждение "Единая дежурно-диспетчерская служба городского округа Серебряные Пруды"</t>
  </si>
  <si>
    <t>ОГРН 1175022008116 от 01.11.2017</t>
  </si>
  <si>
    <t xml:space="preserve">Постановление администрации городского поселения Серебряные Пруды Московской области от 29.09.2017г №2125, Устав </t>
  </si>
  <si>
    <t>Договор №12/2017 передачи жилого помещения муниципального жилищного фонда в собственность граждан от 06.04.2017г. Регистрация №50:39:0000000:4424-50/039/2017-2</t>
  </si>
  <si>
    <t>50:39:0000000:4424</t>
  </si>
  <si>
    <t>26.06.2017 г.</t>
  </si>
  <si>
    <t>Договор № 9/2017  передачи жилого помещения муниципального жилищного фонда в собственность граждан от 03.03.2017 г. Регистрация № 50:39:0080207:638-50/039/2017-2</t>
  </si>
  <si>
    <t>50:39:0080207:638</t>
  </si>
  <si>
    <t>Договор передачи жилого помещения муниципального жилищного фонда в собственность граждан № 5/2017 от 16.01.2017 г. Регистрация 50:39:0000104:740-50/039/2017</t>
  </si>
  <si>
    <t>50:39:0000107:740</t>
  </si>
  <si>
    <t>Московская область, Серебряно-Прудский район, рп Серебряные Пруды, мкр-н Западный, д.36, кв.3</t>
  </si>
  <si>
    <t>Московская область, Серебряно-Прудский район,  д.Васильевское (Гурьевский пруд)</t>
  </si>
  <si>
    <t>Московская область, Серебряно-Прудский район, рп Серебряные Пруды, мкр-н Юбилейный, д.6, кв.26</t>
  </si>
  <si>
    <t>Договор №1/2017 меня равноценных квартир от 07.11.2017г Регистрация права №50:39:0030108:215-50/039/2017-2 от 20.11.2017г</t>
  </si>
  <si>
    <t>50:39:0030108:215</t>
  </si>
  <si>
    <t xml:space="preserve">3-х комнатная квартира </t>
  </si>
  <si>
    <t>Московская область, Серебряно-Прудский район, с. Тютьково, д.23. кв.1</t>
  </si>
  <si>
    <t xml:space="preserve">Решение Серебряно-Прудского районного суда Московской области от 20.06.2016г. Регистрация права №50-50/039-50/039/008/2016-4747/2,3,4,5,6 </t>
  </si>
  <si>
    <t>13.08.2014г</t>
  </si>
  <si>
    <t>Договор на передачу квартир (домов) в собственность граждан от 15.04.1994г. Регистрация БТИ №708/93 от 05.07.1994г. Свидетельство 50-АИ №509102</t>
  </si>
  <si>
    <t>Земельный участок Категория земель - земли населённых пунктов, ВРИ - для ведения садово-огородного хозяйства</t>
  </si>
  <si>
    <t>50:39:0060111:11</t>
  </si>
  <si>
    <t xml:space="preserve">Выписка из ЕГРН, регистрация права № 50:39:0060111:11-50/039/2017-2 от 27.07.2017г </t>
  </si>
  <si>
    <t>городской округ Серебряные Пруды М.О. с. Глубокое д. 36 кв. 23</t>
  </si>
  <si>
    <t>50:39:0020208:1283</t>
  </si>
  <si>
    <t>50:39:0020208:894</t>
  </si>
  <si>
    <t>городской округ Серебряные Пруды М.О. с. Глубокое д. 36 кв. 18</t>
  </si>
  <si>
    <t>2-комнатная квартира</t>
  </si>
  <si>
    <t>Исключено, часть стр.1936</t>
  </si>
  <si>
    <t>Решение Совета депутатов 35/6</t>
  </si>
  <si>
    <t>Договор №308 на передачу квартиры в собственность граждан от 20.01.2015г. Регистрация права 50-50/039-50/039/009/2015-1320/2; 1320/3</t>
  </si>
  <si>
    <t>Договор №338 на передачу квартиры в собственность граждан от 23.10.2015г. Регистрация права № 50-50/039-50/039/005/2016-2102/2; 2102/3</t>
  </si>
  <si>
    <t>Договор №24/2017 передчи жилого помещения муниципального жилищного фонда в собственность граждан от 04.07.2017г. Регистрация права №50:39:0050507:112-50/039/2017-3,4</t>
  </si>
  <si>
    <t>Исключено, задвоено, входит в состав недвижимого имущества стр. 101. Весь объект передан в хоз. ведение МУП ВРСО"</t>
  </si>
  <si>
    <t>Исключено, задвоено, входит в состав недвижимого имущества стр. 204. Весь объект передан в хоз. ведение МУП ВРСО"</t>
  </si>
  <si>
    <t>Исключено согласно Положению о порядке ведения Реестра, утвержденного Решение Совета депутатов от 21.07.2016г № 817/79</t>
  </si>
  <si>
    <t xml:space="preserve">особо ценное имущество. Постановление от 16.01.2017 г. № 115. Исключено из особо ценного постановлением от 10.02.2017г № 290. Исключено согласно Положению о порядке ведения Реестра, утвержденного Решение Совета депутатов от 21.07.2016г № 817/79 </t>
  </si>
  <si>
    <t>Решение Совета депутатов № 698/70. выписка из ЕГРН, регистрация права от 21.09.2017г № 50:39:0060501:96-50/001/2017-2</t>
  </si>
  <si>
    <t>Свидетельство о праве на наследование по закону 50 АБ 0384439, выданное нотариусом Се6ребряно-Прудского нотариального округа Московской области Бурукиным Сергеем Алексеевичем. Наследственное дело №68/2018. Выписка из ЕГРН, регистрация права от 01.12.2017г № 50:39:0020208:894-50/039/2017-2</t>
  </si>
  <si>
    <t>50:39:0070303:244</t>
  </si>
  <si>
    <t xml:space="preserve">Московская область, городской округ Серебряные Пруды, п.Успенский ул.Заводская </t>
  </si>
  <si>
    <t>Решение Совета депутатов № 697/70. выписка из ЕГРН, регистрация права от 29.11.2017г № 50:39:0070303:244-50/039/2017-1</t>
  </si>
  <si>
    <t>50:39:0060108:32</t>
  </si>
  <si>
    <t>Распоряжение администрации Серебряно-Прудского муниципального района 278-р. Выписка ЕГРН, регистрация права от 30.11.2017г № 50:39:0060108:32-50/039/2017-1</t>
  </si>
  <si>
    <t>50:39:0050510:62</t>
  </si>
  <si>
    <t>Распоряжение администрации Серебряно-Прудского муниципального района 278-р. Выписка из ЕГРН, регистрация права от 30.11.2017г №50:39:0050510:62-50/039/2017-1</t>
  </si>
  <si>
    <t>Электросети    (уличное освещение) , сп Успенское, п. Дмитриевский 2500м</t>
  </si>
  <si>
    <t xml:space="preserve">Уличное освещение, Московская область, Серебряно-Прудский район,   с. Тютьково, светильники 10 шт </t>
  </si>
  <si>
    <t>50:39:0030107:520</t>
  </si>
  <si>
    <t>Решение Совета депутатов № 696/70. Выписка из ЕГРН, регистрация права от 04.12.2017г № 50:39:0030107:520-50/039/2017-1</t>
  </si>
  <si>
    <t>городской округ Серебряные Пруды М.О. с. Есипово, д.21</t>
  </si>
  <si>
    <t>Отнесена к жилым помещениям маневренного жилищного фонда городского округа Серебряные Пруды Московской области, постановление администрации городского округа от 07.12.2017 г. № 2620</t>
  </si>
  <si>
    <t>50:39:0020106:801</t>
  </si>
  <si>
    <t xml:space="preserve">Нежилое здание - пожарное депо, количество этажей - 1, расположенное на земельном участке с кадастровым номером 50:39:0020106:277 </t>
  </si>
  <si>
    <t>Московская область, Серебряно-Прудский район, с. Крутое</t>
  </si>
  <si>
    <t>18.10.2017г</t>
  </si>
  <si>
    <t>Акт приема-передачи №09/17/78. Распоряжение ТУ Росимущества в Московской области от 12.10.2017г №458-р</t>
  </si>
  <si>
    <t>Дизельная подстанция котельной №1, из легких стеновых панелей, обшита сайдингом, кровля шиферная, инв. 014023</t>
  </si>
  <si>
    <t>50:39:0050513:228</t>
  </si>
  <si>
    <t>Распоряжение администрации Серебряно-Прудского муниципального района 278-р. Выписка из ЕГРН, регистрация права от 15.12.2017г № 50:39:0050513:228-50/039/2017-1</t>
  </si>
  <si>
    <t>Распоряжение администрации Серебряно-Прудского муниципального района 278-р. Выписка из ЕГРН, регистрация права от 14.12.2017г № 50:39:0050507:113-50/039/2017-1</t>
  </si>
  <si>
    <t>50:39:0030116:299</t>
  </si>
  <si>
    <t>Решение Совета депутатов № 696/70. Выписка из ЕГРН, регистрация права от 14.12.2017г №50:39:0030116:299-50/039/2017-1</t>
  </si>
  <si>
    <t>Теплотрасса инв. 1520140 Протяженность в двухтрубном исчислении 32 м</t>
  </si>
  <si>
    <t>50:39:0040202:1004</t>
  </si>
  <si>
    <t xml:space="preserve">Решение Совета депутатов № 696/70. выписка из ЕГРН, регострация права от 14.12.2017г №50:39:0040202:1004-50/039/2017-1 </t>
  </si>
  <si>
    <t>50:39:0040201:17</t>
  </si>
  <si>
    <t>Решение Совета депутатов № 696/70. Выписка из ЕГРН, регистрация права от 14.12.2017г №50:39:0040201:17-50/039/2017-1</t>
  </si>
  <si>
    <t>50:39:0080202:8</t>
  </si>
  <si>
    <t>Распоряжение администрации Серебряно-Прудского муниципального района 278-р. Выписка из ЕГРН, регистрация права от 14.12.2017г № 50:39:0080202:8-50/039/2017-1</t>
  </si>
  <si>
    <t>50:39:0070101:139</t>
  </si>
  <si>
    <t>Распоряжение администрации Серебряно-Прудского муниципального района 278-р. Выписка из ЕГРН, регистрация права от 15.12.2017г № 50:39:0070101:139-50/039/2017-1</t>
  </si>
  <si>
    <t>50:39:0030302:967</t>
  </si>
  <si>
    <t>Решение Совета депутатов № 696/70. Выписка из ЕГРН, регистрация права от 15.12.2017г № 50:39:0030302:967-50/039/2017-1</t>
  </si>
  <si>
    <t>50:39:0020206:434</t>
  </si>
  <si>
    <t>Решение Совета депутатов № 696/70. Выписка из ЕГРН, регистрация права от 11.12.2017г № 50:39:0020206:434-50/039/2017-1</t>
  </si>
  <si>
    <t>50:39:0030116:298</t>
  </si>
  <si>
    <t>Решение Совета депутатов № 696/70. Выписка из ЕГРН, регистрация права от 11.12.2017г № 50:39:003016:298-50/039/2017-1</t>
  </si>
  <si>
    <t>50:39:0010204:91</t>
  </si>
  <si>
    <t>Решение Совета депутатов № 696/70. Выписка из ЕГРН, регистрация права от 08.12.2017г №50:39:0010204:91-50/039/2017-1</t>
  </si>
  <si>
    <t>50:39:0000000:4462</t>
  </si>
  <si>
    <t>Решение Совета депутатов № 696/70. Выписка из ЕГРН, регистрация права от 08.12.2017г №50:39:0000000:4462-50/039/2017-1</t>
  </si>
  <si>
    <t>50:39:0050508:68</t>
  </si>
  <si>
    <t>Здание нежилое - Детская школа искусств 2-этажный, инв. 272:077-1578, лит.А</t>
  </si>
  <si>
    <t>50:39:0050404:381</t>
  </si>
  <si>
    <t>Земельный участок Категория земель - земли промышленности, энергетики, транспорта, связи, радиовещания, телевидентя, информатики, земли для обеспечения космической деятельности, земли обороны, безопасности и земли иного специального назначения.  ВРИ - Ритуальная деятельность</t>
  </si>
  <si>
    <t xml:space="preserve">Московская область,  городской округ Серебряные Пруды </t>
  </si>
  <si>
    <t>50:39:0080208:111</t>
  </si>
  <si>
    <t>50:39:0070207:346</t>
  </si>
  <si>
    <t>Договор № 25/2017 передачи жилого помещения муниципального жилищного фонда в собственность граждан от 06.07.2017г, регистрация № 50:39:0010109:195-50/039/2017-3</t>
  </si>
  <si>
    <t>Договор на передачу квартиры в собственность граждан №339 от 23.10.2015г, регистрация № 50/50/039-50/039/009/2015-1068/2</t>
  </si>
  <si>
    <t>Ваписка из ЕГРН от 24.11.2016г, регистрация права №50-50/001-50/039/008/2016/543/1</t>
  </si>
  <si>
    <t>Договор передачи жилого помещения муниципального жилищного фонда в собственность граждан от 04.04.2016г №21/2016, регистрация права №50:39:0050503:726-50/039/2017-3</t>
  </si>
  <si>
    <t>50:39:0040201:18</t>
  </si>
  <si>
    <t>Решение Совета депутатов № 696/70. Выписка из ЕГРН, регистрация права от 20.12.2017г №50:39:0040201:18-50/039/2017-1</t>
  </si>
  <si>
    <t>50:39:0020106:802</t>
  </si>
  <si>
    <t>Решение Совета депутатов № 696/70. Выписка из ЕГРН, регистрация права от 20.12.2017г №50:39:0020106:802-50/039/2017-1</t>
  </si>
  <si>
    <t>50:39:0040202:398</t>
  </si>
  <si>
    <t>Нежилое здание - детский сад «Осетренок», 1-этажное, инв. 3216, лит.А</t>
  </si>
  <si>
    <t>Нежилое здание школы, 3-х этажное, инв. 3167, лит А,А1</t>
  </si>
  <si>
    <t>50:39:0070207:29</t>
  </si>
  <si>
    <t>50:39:0020208:1328</t>
  </si>
  <si>
    <t>50:39:0020208:759</t>
  </si>
  <si>
    <t>Нежилое здание - средняя общеобразовательная школа на 192 места, инв. 3476а,лит. А, 2-х этажное</t>
  </si>
  <si>
    <t>Московская область, Серебряно-Прудский район, с/о Дмитриевский, снт Гришино, уч-к 74</t>
  </si>
  <si>
    <t>50:39:0080211:447</t>
  </si>
  <si>
    <t>Выписка из ЕГРН, регистрация права от 05.12.2017г № 50:39:0080211:447-50/001/2017-1</t>
  </si>
  <si>
    <t>50:39:0030303:510</t>
  </si>
  <si>
    <t>Решение Совета депутатов № 696/70. Выписка из ЕГРН, регистрация права от 27.12.2017г №50:39:0030303:510-50/039/2017-1</t>
  </si>
  <si>
    <t>50:39:0030305:1024</t>
  </si>
  <si>
    <t>Решение Совета депутатов № 696/70. Выписка из ЕГРН, регистпация права от 27.12.2017г №50:39:0030305:1024-50/039/2017-1</t>
  </si>
  <si>
    <t>Решение Совета депутатов № 696/70. Выписка из ЕГРН, регистпация права от 27.12.2017г №50:39:0030305:1023-50/039/2017-1</t>
  </si>
  <si>
    <t>50:39:0030305:1023</t>
  </si>
  <si>
    <t>50:39:0080106:238</t>
  </si>
  <si>
    <t>Распоряжение администрации Серебряно-Прудского муниципального района 278-р. Выписка ЕГРН, регистрация права от 27.12.2017г № 50:39:0080106:238-50/039/2017-1</t>
  </si>
  <si>
    <t>50:39:0000000:4472</t>
  </si>
  <si>
    <t>Водопроводные сети , инв. 1520154, Протяженность 2585м. Диаметр трубы 40-100мм</t>
  </si>
  <si>
    <t xml:space="preserve">Водопроводная сеть. Инв. 1520193, Протяженность 448м. Диаметр трубы 50-100мм </t>
  </si>
  <si>
    <t>50:39:0020106:804</t>
  </si>
  <si>
    <t>Решение Совета депутатов № 696/70. Выписка из ЕГРН, регистрация права от 26.12.2017г №50:39:0020106:804-50/039/2017-1</t>
  </si>
  <si>
    <t>Водопроводная сеть, инв. 000000560, Протяженность 2525м. Диаметр трубы 50-100мм</t>
  </si>
  <si>
    <t>50:39:0020106:803</t>
  </si>
  <si>
    <t>Решение Совета депутатов № 696/70. Выписка из ЕГРН, регистрация права от 25.12.2017г №50:39:0020106:803-50/039/2017-1</t>
  </si>
  <si>
    <t>50:39:0000000:4474</t>
  </si>
  <si>
    <t>Водопроводные сети, инв. 1520153, Протяженность 2085м. Диаметр трубы 100-150мм с.Клемово</t>
  </si>
  <si>
    <t>Решение Совета депутатов № 696/70. Выписка из ЕГРН, регистрация права от 26.12.2017г №50:39:0000000:4474-50/039/2017-1</t>
  </si>
  <si>
    <t xml:space="preserve">Водопроводные сети, инв. 1520151, Протяженность 1362м. Диаметр трубы 100мм </t>
  </si>
  <si>
    <t>50:39:0000000:4475</t>
  </si>
  <si>
    <t>Решение Совета депутатов № 696/70. Выписка из ЕГРН, регистрация права от 26.12.2017г №50:39:0000000:4475-50/039/2017-1</t>
  </si>
  <si>
    <t>50:39:0030302:968</t>
  </si>
  <si>
    <t>Решение Совета депутатов № 696/70. Выписка из ЕГРН, регистрация права от 26.12.2017г №50:39:0030302:968-50/039/2017-1</t>
  </si>
  <si>
    <t>50:39:0000000:4473</t>
  </si>
  <si>
    <t>Решение Совета депутатов № 696/70. Выписка из ЕГРН, регистрация права от 26.12.2017г №50:39:0000000:4473-50/039/2017-1</t>
  </si>
  <si>
    <t xml:space="preserve">Водопроводные сети, инв.1100025, протяженность 1192м. Диаметр трубы 50-100мм </t>
  </si>
  <si>
    <t xml:space="preserve">Водопроводные сети, Протяженность 2354м. Диаметр трубы 50мм, инв. 1000154 </t>
  </si>
  <si>
    <t>Спец.жил. Фонд для обеспечения медицинских работников. Постановление администрации от 26.12.2017г №2760</t>
  </si>
  <si>
    <t>Спец.жил. Фонд для обеспечения медицинских работников.  Постановление администрации от 26.12.2017г №2761</t>
  </si>
  <si>
    <t>МФУ HP LaserJet Pro  500 MFP M521dn</t>
  </si>
  <si>
    <t>1.101.34.141</t>
  </si>
  <si>
    <t>Товарная накладная от 22.11.2017г №228. Положение о порядке ведения Реестра, утвержденного Решение Совета депутатов от 21.07.2016г № 817/79</t>
  </si>
  <si>
    <t>Товарная накладная от 22.11.2017г №229. Положение о порядке ведения Реестра, утвержденного Решение Совета депутатов от 21.07.2016г № 817/80</t>
  </si>
  <si>
    <t>Системный блок i5/8Gb/500Gb/DVD-RW/Win10Pro/клавиатура, мышь/</t>
  </si>
  <si>
    <t>1.101.34.142</t>
  </si>
  <si>
    <t xml:space="preserve">Водопроводные сети, инв. 1520143, Протяженность 2360м, диамерт трубы 50мм </t>
  </si>
  <si>
    <t>50:39:0000000:4477</t>
  </si>
  <si>
    <t>Решение Совета депутатов № 696/70. Выписка из ЕГРН, регистрация права от 29.12.2017г № 50:39:0000000:4477-50/039/2017-1</t>
  </si>
  <si>
    <t>Оценить, принять к бух.учёту, передать в РСО</t>
  </si>
  <si>
    <t>Договор передачи жилого помещения муниципального жилого фонда в собственность граждан от 08.09.2017г №31/2017. Регистрация права №50:39:0050503:735-50/039/2017-3,4</t>
  </si>
  <si>
    <t>50:39:0050503:735</t>
  </si>
  <si>
    <t>Детский спортивно-игровой комплекс с морской тематикой, расположенный по адресу: Московская область, рп Серебряные Пруды, ул. Первомайская, д.2, мкр. Центральный, д.1  (Диван парковый - 5шт, урна - 5шт, Карусель, Спортивный комплекс, стенд информационны, песочница, игровой комплекс ИКС - 1.53, качели-Гнездо, игровой комплекс ИКС - 1.15, качели-балансир, игровой комплекс ДИКС - 1.17, качалка на пружине)</t>
  </si>
  <si>
    <t>Детсий спортивно-игровой комплекс, расположенный по адресу: Московская область, с. Глубокое, д.12,20  (Тренажер тип 2, качели на двойных цепях, диван парковый - 5шт, качалка-балансир, карусель, беседка, тренажер тип 1, комплекс турников, детский игровой комплекс, песочный дворик, урна с ведром - 5шт)</t>
  </si>
  <si>
    <t>Договор №34 дарения имущества от 02.11.2017г, Акт безвозмездной передачи от 02.11.2017г</t>
  </si>
  <si>
    <t>142970 Московская область городской округ Серебряные Пруды, р.п. Серебряные Пруды ул. Первомайская д. 2, кв.45</t>
  </si>
  <si>
    <t>50:39:0050503:191</t>
  </si>
  <si>
    <t>Распоряжение Правительства Московской области от 21.09.2017 №504-РП. Передаточный акт  от 29.09.2017г №504-РП. Регистрация права от 10.01.2018г № 50:39:0050503:191-50/039/2018-2</t>
  </si>
  <si>
    <t>50:39:0000000:4480</t>
  </si>
  <si>
    <t xml:space="preserve">Водопроводные сети. Инв. 1520145, Протяженность  3728м. Диаметр трубы 100мм </t>
  </si>
  <si>
    <t>50:39:0000000:4479</t>
  </si>
  <si>
    <t xml:space="preserve">Водопроводные сети, инв. 1200006, Протяженность  2831м. Диаметр трубы 50-100мм </t>
  </si>
  <si>
    <t xml:space="preserve">Водопроводные сети, инв. 1200022, Протяженность  4677м. Диаметр трубы 89-150мм </t>
  </si>
  <si>
    <t>50:39:0000000:4478</t>
  </si>
  <si>
    <t>Договор №14/2017 передачи жилого помещения муниципального жилищного фонда в собственность граждан от 06.04.2017г. Регистрация права №50:39:0050101:702-50/039/2017-3</t>
  </si>
  <si>
    <t>Распоряжение администрации от 26.10.2016г №533-р</t>
  </si>
  <si>
    <t>ООО "Строительство и Проектирование"  создано путем приватизации МУП "Управление капитального строительства" Серебряно-Прудского района</t>
  </si>
  <si>
    <t>ОГРН 1175022009381 от 28.12.2017</t>
  </si>
  <si>
    <t>Устав утвержденный Постановлением администрации городского округа Серебряные Пруды Московской области от 20.12.2017г №2710</t>
  </si>
  <si>
    <t>50:39:0010105:103</t>
  </si>
  <si>
    <t>Решение Совета депутатов № 696/70. Выписка из ЕГРН, регистрация права от 11.01.2018г № 50:39:0010105:103-50/039/2018-1</t>
  </si>
  <si>
    <t>50:39:0020307:87</t>
  </si>
  <si>
    <t>Решение Совета депутатов № 696/70. Выписка из ЕГРН, регисрация права от 11.01.2018г № 50:39:0020307:87-50/039/2018-1</t>
  </si>
  <si>
    <t>50:39:0030116:300</t>
  </si>
  <si>
    <t>Решение Совета депутатов № 696/70. Выписка ЕГРН, регистрация права от 11.01.2018г №50:39:0030116:300-50/039/2018-1</t>
  </si>
  <si>
    <t>50:39:0010110:42</t>
  </si>
  <si>
    <t>Решение Совета депутатов № 696/70. Выписка из ЕГРН, регистрация права от 11.01.2018г № 50:39:0010110:42-50/039/2018-1</t>
  </si>
  <si>
    <t>50:39:0010105:102</t>
  </si>
  <si>
    <t>Решение Совета депутатов № 696/70. Выписка из ЕГРН, регистрация права от 11.01.2018г №50:39:0010105:102-50/039/2018-1</t>
  </si>
  <si>
    <t>Московская область, городской округ Серебряные Пруды, с. Узуново,мкр. Южный, д.23, кв.27</t>
  </si>
  <si>
    <t>Московская область, городской округ Серебряные Пруды, с. Узуново,мкр. Южный, д.28, кв.21</t>
  </si>
  <si>
    <t>Московская область, городской округ Серебряные Пруды, с. Узуново,мкр. Южный, д.31, кв.11</t>
  </si>
  <si>
    <t>50:39:0050507:113</t>
  </si>
  <si>
    <t>50:39:0000000:4471</t>
  </si>
  <si>
    <t>Теплотрасса для ГВС, протяженность 468м, инв. 1200017</t>
  </si>
  <si>
    <t>Решение Совета депутатов № 696/70. Выписка из ЕГРН, регистрация права от 25.12.2017г №50:39:0000000:4471:-50/039/2017-1</t>
  </si>
  <si>
    <t>Водопроводные сети, 1968г. протяженность 2000 м</t>
  </si>
  <si>
    <t>50:39:0010104:103</t>
  </si>
  <si>
    <t>Решение Совета депутатов № 696/70. Выписка ЕГРН, регистрация права от 16.01.2018г №50:39:0010104:103-50/039/2018-1</t>
  </si>
  <si>
    <t>Московская область, Серебряно-Прудскиий район, в районе д. Александровка</t>
  </si>
  <si>
    <t>50:39:0000000:4463</t>
  </si>
  <si>
    <t>Московская область, Серебряно-Прудскиий район, в районе с. Анино</t>
  </si>
  <si>
    <t>50:39:0000000:4467</t>
  </si>
  <si>
    <t>Выписка из ЕГРН, регистрация права от 15.12.2017г №50:39:0000000:4463-50/039/2017-1</t>
  </si>
  <si>
    <t>Выписка из ЕГРН, регистрация права от 19.12.2017г №50:39:0000000:4467-50/039/2017-1</t>
  </si>
  <si>
    <t>Московская область, Серебряно-Прудскиий район, в районе с. Озерки</t>
  </si>
  <si>
    <t>50:39:0000000:4464</t>
  </si>
  <si>
    <t>Выписка из ЕГРН, регистрация права от 19.12.2017г №50:39:0000000:4464-50/039/2017-1</t>
  </si>
  <si>
    <t>50:39:0000000:4465</t>
  </si>
  <si>
    <t>Выписка из ЕГРН, регистрация права от 19.12.2017г №50:39:0000000:4465-50/039/2017-1</t>
  </si>
  <si>
    <t>Московская область, Серебряно-Прудскиий район, в районе д. Куньи Выселки</t>
  </si>
  <si>
    <t>50:39:0000000:4466</t>
  </si>
  <si>
    <t>Выписка из ЕГРН, регистрация права от 19.12.2017г №50:39:0000000:4466-50/039/2017-1</t>
  </si>
  <si>
    <t>50:39:0000000:4468</t>
  </si>
  <si>
    <t>Выписка из ЕГРН, регистрация права от 19.12.2017г №50:39:0000000:4468-50/039/2017-1</t>
  </si>
  <si>
    <t>50:39:0000000:4469</t>
  </si>
  <si>
    <t>Выписка из ЕГРН, регистрация права от 19.12.2017г №50:39:0000000:4469-50/039/2017-1</t>
  </si>
  <si>
    <t>Решение Совета депутатов № 696/70. Выписка из ЕГРН, регистрация права от 01.02.2017г № 50:39:0030105:185-50/039/2017-2</t>
  </si>
  <si>
    <t>01.06.2009г</t>
  </si>
  <si>
    <t>Договор передачи недвижимого имущества в собственность граждан от 23.01.2009г №3576/2009. Свидетельство от 16.06.2009г 50-НГ №594329</t>
  </si>
  <si>
    <t>Комната в 2-х комнатной квартире</t>
  </si>
  <si>
    <t>Договор на передачу квартиры в собственность граждан от 11.01.2010г №3613/2010. Свидетельство 50-НК №056593</t>
  </si>
  <si>
    <t>13.06.2017г</t>
  </si>
  <si>
    <t>Договор передачи жилого помещения муниципального жилищного фонда в собственность граждан от 15.05.2017г №20/2017. Регистрация права 50:39:0000000:2977-50/039/2017-4</t>
  </si>
  <si>
    <t>15.01.2018г</t>
  </si>
  <si>
    <t>Договор № 722 дарения (безвозмездной передачи в собственность Московской области от 28.11.2017г. Регистрация права №50:39:0050301:633-50/039/2018-4</t>
  </si>
  <si>
    <t>27.04.2012г</t>
  </si>
  <si>
    <t>Договор №101 дарения (безвозмездной передачи) объекта недвижимости в собственность Московской области. Распоряжение Министерства имущественных отношений Московской области от 16.03.2017г № 375</t>
  </si>
  <si>
    <t>50:39:0060104:283</t>
  </si>
  <si>
    <t>Отдел по физической культуре и спорту Администрации городского округа Серебряные Пруды Московской области. Муниципальное казенное учреждение.</t>
  </si>
  <si>
    <t>Отдел культуры и делам молодежи Администрации городского округа Серебряные Пруды Московской области. Муниципальное казенное учреждение.</t>
  </si>
  <si>
    <t>Муниципальное казённое учреждение «Служба обеспечения»</t>
  </si>
  <si>
    <t>МО, городской округ Серебряные пруды, рп Серебряные Пруды, ул. 8 Марта</t>
  </si>
  <si>
    <t>50:39:0050510:63</t>
  </si>
  <si>
    <t>Блок емкостей в количестве 2 штук очистные сооружения, емкости из бетона, ЖБ плиты открытые, инв. 013014</t>
  </si>
  <si>
    <t>Оперативное управление МУ "Спортивная шкала №1" городского округа Серебряные Пруды. Постановление от 05.09.2017г №1961</t>
  </si>
  <si>
    <t>Особо ценное имущество. Постановление от 16.01.2017г №86</t>
  </si>
  <si>
    <t>08.08.2017г</t>
  </si>
  <si>
    <t>Особо ценное имущество. Постановление от 27.09.2017г №2097</t>
  </si>
  <si>
    <t>Особо ценное имущество. Постановление от 27.09.2017г №2099</t>
  </si>
  <si>
    <t xml:space="preserve">Навес теневой </t>
  </si>
  <si>
    <t>Особо ценное имущество. Постановление от 27.09.2017г №2100</t>
  </si>
  <si>
    <t>Сканер Fijitsu ScanSnap SV600</t>
  </si>
  <si>
    <t>41012400034-41012400036</t>
  </si>
  <si>
    <t>Компьютер в сборе 3 шт</t>
  </si>
  <si>
    <t>Пандус 2000*1192мм</t>
  </si>
  <si>
    <t>Особо ценное имущество. Постановление от 06.10.2017г №2181</t>
  </si>
  <si>
    <t>06.1.04.0029</t>
  </si>
  <si>
    <t>Библиотечный фонд (14 экз)</t>
  </si>
  <si>
    <t>Оперативное управление МОУ "Серебряно-Прудская СОШ им.маршала Чуйкова". Постановление от 11.10.2017г №2229</t>
  </si>
  <si>
    <t>Особо ценное имущество. Постановление от 11.10.2017г №2235</t>
  </si>
  <si>
    <t>Постановление администрации городского округа Серебряные Пруды Московской области  №2325</t>
  </si>
  <si>
    <t>Постановление администрации городского округа Серебряные Пруды № 2325</t>
  </si>
  <si>
    <t>20.10.2017г</t>
  </si>
  <si>
    <t>Постановление администрации городского округа Серебряные Пруды №2325</t>
  </si>
  <si>
    <t>Постановление администрации городского округа №2325</t>
  </si>
  <si>
    <t>Постановление администрац  городского округа Серебряные Пруды № 2325</t>
  </si>
  <si>
    <t>Оперативное управление МОУ "СОШ им. Маршала В.И. Чуйкова". Постановление от 20.10.2017г 32326</t>
  </si>
  <si>
    <t>Оперативное управление МУ ДО "Серебряно-Прудский Дом детского творчества". Постановление от 20.10.2017г №2327</t>
  </si>
  <si>
    <t>Оперативное управление МКУ "Централизованная бухгалтерия городского округа Серебряные Пруды Московской области". Постановление от 20.10.2017г №2329</t>
  </si>
  <si>
    <t>Оперативное управление МУ ДПО"Информационно-методический центр". Постановление от 20.10.2017г №2330</t>
  </si>
  <si>
    <t>Оперативное управление Управление по образованию администрации.Постановление от 20.10.2017г №2331</t>
  </si>
  <si>
    <t>Карусель шестиместная усиленная</t>
  </si>
  <si>
    <t>19.101.18.0078</t>
  </si>
  <si>
    <t>Детский городок</t>
  </si>
  <si>
    <t>19.101.18.0080</t>
  </si>
  <si>
    <t>Качели на пружине "Попугай"</t>
  </si>
  <si>
    <t>19.101.18.0079</t>
  </si>
  <si>
    <t>Качели 2-х секционные "Драйв"</t>
  </si>
  <si>
    <t>19.101.18.0082</t>
  </si>
  <si>
    <t>Оперативное управление МАУ "Парк культуры и отдыха городского округа Серебряные Пруды "Серебряный". Постановление от 26.10.217г № 2356</t>
  </si>
  <si>
    <t>25.07.2017г</t>
  </si>
  <si>
    <t>Договор от 10.07.2017г №31705231144. Товарная накладная № НВ000158 от 25.07.2017г</t>
  </si>
  <si>
    <t>12.10.2017г</t>
  </si>
  <si>
    <t>Спец.моб.прогр.-аппар. Комплекс TtavelMate (с прил - метод. Компл. д/дошкольников</t>
  </si>
  <si>
    <t>Доска интерактивная Interwrite 1279</t>
  </si>
  <si>
    <t>Оперативное управление МДОУ "Детский сад комбинированного вида №5 "Журавушка". Постановление от 26.10.2017г №2358</t>
  </si>
  <si>
    <t>Решение Совета депутатов № 696/70. Свидет-во о регистрации права от 24.06.2016г 50-ББ №287896. выписка из ЕГРН. Регистрация права от 24.01.2018г №50:39:0020106:277-50/039/2018-2</t>
  </si>
  <si>
    <t>Решение Совета депутатов № 698/70.  Выписка из ЕГРН, регистрация права от 17.07.2017г № 50:39:0000000:1047-50/001-2017-1</t>
  </si>
  <si>
    <t>Оценочная опись земельных участков. Постановление администрации от 01.09.2017г №1920. Выписка из ЕГРН, регистрация права от 24.01.2018г № 50:39:0080208:111-50/039/2018-1</t>
  </si>
  <si>
    <t>Мотоблок "Нева" - 1</t>
  </si>
  <si>
    <t>Прицеп к мотоблоку</t>
  </si>
  <si>
    <t>03.07.2017г</t>
  </si>
  <si>
    <t>Муниципальный контракт от 22.06.2017 №0848300041817000169-0711536-02. Товарная накладная № ВВ000039</t>
  </si>
  <si>
    <t>Муниципальный контракт от 17.10.2017г №0848300041817000403-0711536-02. Товарная накладная № 865</t>
  </si>
  <si>
    <t>Особо ценное имущество. Постановление от 15.11.2017г №2445</t>
  </si>
  <si>
    <t xml:space="preserve">Распоряжение администрации №753-р. Акт о списании №5. </t>
  </si>
  <si>
    <t xml:space="preserve">Распоряжение администрации №753-р. Акт о списании №4. </t>
  </si>
  <si>
    <t>21.11.2017г</t>
  </si>
  <si>
    <t>Распоряжение администрации от 21.11.2017г №758-р</t>
  </si>
  <si>
    <t>Распоряжение администрации №758-р</t>
  </si>
  <si>
    <t>21.11.2017г распоряжением №758-р списаны теплотрасса инв. 014007. Балансовая стоимость 213147,40. амортизация 213147,40</t>
  </si>
  <si>
    <t>Теплосети от котельной №1 протяженность сети 8309м, протяженность трубопровода в 2-х трубном иссечении 14777м, инв.017000</t>
  </si>
  <si>
    <t xml:space="preserve">21.11.2017г </t>
  </si>
  <si>
    <t>Автомобиль DAEWOO-MATIZ VIN XWB4A11CD8A163238, рег. Номер С 775 МЕ 150</t>
  </si>
  <si>
    <t>Муниципальный контракт от 21.07.2017г № 0848300041817000278-0167248-01. Акт № 346</t>
  </si>
  <si>
    <t>Бензокоса Stihl FS 250 - 31 шт.</t>
  </si>
  <si>
    <t>Распоряжение администрации городского округа Серебряные Пруды Московской области № 802-р</t>
  </si>
  <si>
    <t>Оперативное управлееие МБУ "Благоустройство и дорожное хозяйство" постановление администрации городского округа от 18.10.2016г № 2147</t>
  </si>
  <si>
    <t>Оперативное управлееие МБУ "Благоустройство и дорожное хозяйство" постановление администрации городского округа от 02.06.2016г № 1072</t>
  </si>
  <si>
    <t xml:space="preserve">Помещение площадью 493,0 кв.м., безвозмездное пользование до 01.01.2021г ООО "УК Серебряные Пруды" Постановление от 08.12.2017г №2625. Постановление от 01.04.2016г № 567. Хоз. Ведение МУП "РСО городского округа Серебряные Пруды" . Свидетельство от 04.06.2016, регистрация №50-50/039-50/039/008/2016-2268/1 </t>
  </si>
  <si>
    <t>Безвозмездное пользование до 01.01.2021г ООО "УК Серебряные Пруды" Постановление от 08.12.2017г №2625</t>
  </si>
  <si>
    <t xml:space="preserve">Помещение площадью 54,0 кв.м.,безвозмездное пользование до 01.01.2021г ООО "УК Серебряные Пруды" Постановление от 08.12.2017г №2625. Постановление от 01.04.2016г № 567. Хоз. Ведение МУП "РСО городского округа Серебряные Пруды"  </t>
  </si>
  <si>
    <t>Постановление от 01.04.2016г № 567. Хоз. Ведение МУП "РСО городского округа Серебряные Пруды". Боксы 18, 19, 20, 21, 22, 23 площадью 282,0 кв.м. безвозмездное пользование до 01.01.2021г ООО "УК Серебряные Пруды" Постановление от 08.12.2017г №2625</t>
  </si>
  <si>
    <t>Помещение площадью 222,0 кв.м.безвозмездное пользование до 01.01.2021г ООО "УК Серебряные Пруды" Постановление от 08.12.2017г №2625</t>
  </si>
  <si>
    <t>Компьютер (Клёмово)</t>
  </si>
  <si>
    <t>Компьютер-сервер (Петрово)</t>
  </si>
  <si>
    <t>Компьютер с принтером (Крутое)</t>
  </si>
  <si>
    <t>Оперативное управление МОУ "Узуновская средняя общеобразовательная школа". Постановление от 11.12.2017г №2632</t>
  </si>
  <si>
    <t>Препятствие "Лабиринт" - спорт.площадка</t>
  </si>
  <si>
    <t>Препятствие "Забор с накл. доской" - спорт.площадка</t>
  </si>
  <si>
    <t>Препятствие "Разрушенный мост" - спорт.площадка</t>
  </si>
  <si>
    <t>Препятствие "Разрушенная лестница" - спорт.площадка</t>
  </si>
  <si>
    <t>Препятствие "Стенка с двумя проломами" - спорт.площадка</t>
  </si>
  <si>
    <t>Тренажер уличный "ШЖ 40" - спорт площадка</t>
  </si>
  <si>
    <t>Тренажер уличный "МГН 40" - спорт площадка</t>
  </si>
  <si>
    <t>Муниципальный контракт от 15.08.2017г №0848300041817000311-0167233-01. Товарная накладная №49</t>
  </si>
  <si>
    <t>Особо ценное имущество. Постановление от  11.12.2017г №2629</t>
  </si>
  <si>
    <t>13.1.04.0501</t>
  </si>
  <si>
    <t>Особо ценное имущество. Постановление от 11.12.2017г №2630</t>
  </si>
  <si>
    <t>13.1.04.0498</t>
  </si>
  <si>
    <t>13.1.04.0499</t>
  </si>
  <si>
    <t>13.1.04.0573</t>
  </si>
  <si>
    <t>13.01.04.0532</t>
  </si>
  <si>
    <t>13.1.04.0556</t>
  </si>
  <si>
    <t>13.1.04.0462</t>
  </si>
  <si>
    <t>Софитный подъем</t>
  </si>
  <si>
    <t>13.1.34.0625</t>
  </si>
  <si>
    <t>Штакетный подъем</t>
  </si>
  <si>
    <t>13.1.34.0624</t>
  </si>
  <si>
    <t>13.1.04.0500</t>
  </si>
  <si>
    <t>13.1.04.04.0508</t>
  </si>
  <si>
    <t>13.1.04.0507</t>
  </si>
  <si>
    <t>13.1.04.0359</t>
  </si>
  <si>
    <t>13.1.04.0503</t>
  </si>
  <si>
    <t>13.1.04.0459</t>
  </si>
  <si>
    <t>13.1.04.0569</t>
  </si>
  <si>
    <t>13.1.04.0582</t>
  </si>
  <si>
    <t>13.1.04.0572</t>
  </si>
  <si>
    <t>13.1.04.0555</t>
  </si>
  <si>
    <t>13.1.04.0520</t>
  </si>
  <si>
    <t>13.1.04.0518</t>
  </si>
  <si>
    <t>13.1.04.0514</t>
  </si>
  <si>
    <t>13.1.04.0357</t>
  </si>
  <si>
    <t>13.1.04.0356</t>
  </si>
  <si>
    <t>13.1.04.0355</t>
  </si>
  <si>
    <t>Колонка-RCF6000</t>
  </si>
  <si>
    <t>13.1.04.0354</t>
  </si>
  <si>
    <t>13.1.04.0491</t>
  </si>
  <si>
    <t>13.1.04.0373</t>
  </si>
  <si>
    <t>Компьютер ASUS</t>
  </si>
  <si>
    <t>13.1.04.0411</t>
  </si>
  <si>
    <t>13.1.04.0516</t>
  </si>
  <si>
    <t>13.1.04.0531</t>
  </si>
  <si>
    <t>13.1.04.0530</t>
  </si>
  <si>
    <t>13.1.04.0529</t>
  </si>
  <si>
    <t>13.1.04.0526</t>
  </si>
  <si>
    <t>13.1.04.0524</t>
  </si>
  <si>
    <t>13.1.04.0523</t>
  </si>
  <si>
    <t>13.1.04.0517</t>
  </si>
  <si>
    <t>13.1.04.0519</t>
  </si>
  <si>
    <t>13.1.04.0527</t>
  </si>
  <si>
    <t>13.1.04.0485</t>
  </si>
  <si>
    <t>13.1.04.0349</t>
  </si>
  <si>
    <t>13.1.04.0310</t>
  </si>
  <si>
    <t>13.1.04.0353</t>
  </si>
  <si>
    <t>13.1.04.0521</t>
  </si>
  <si>
    <t>13.1.04.0528</t>
  </si>
  <si>
    <t>13.1.04.0525</t>
  </si>
  <si>
    <t>Акустическая система 3-х полосная TCS 1500b</t>
  </si>
  <si>
    <t>13.1.04.0505</t>
  </si>
  <si>
    <t>13.1.04.0504</t>
  </si>
  <si>
    <t>13.1.04.0502</t>
  </si>
  <si>
    <t>13.1.06.0138</t>
  </si>
  <si>
    <t>Оперативное управление МФОСУ СК "Молодежный" городского округа Серебряные Пруды Московской области. Постановление администрации от 03.10.2016г № 2033</t>
  </si>
  <si>
    <t xml:space="preserve">Оперативное управление МФОСУ СК "Молодежный" городского округа Серебряные Пруды Московской области. </t>
  </si>
  <si>
    <t>Оперативное управление МФОСУ СК "Молодежный" городского округа Серебряные Пруды Московской области. Постановление от 25.09.2017г №2077</t>
  </si>
  <si>
    <t>Оперативное управление МФОСУ СК "Молодежный" городского округа Серебряные Пруды Московской области</t>
  </si>
  <si>
    <t xml:space="preserve">Оперативное управление МУК  "Централизованная библиотечная система Серебряно-Прудского муниципального района Московской области". </t>
  </si>
  <si>
    <t>Библиотечный фонд (бюджет) 144063 экз.</t>
  </si>
  <si>
    <t>Школьный автобус ПАЗ 32053-70 (специальный для перевозки детей), VIN X1M3205BXH0001719</t>
  </si>
  <si>
    <t xml:space="preserve">Муниципальный контракт от 27.11.2017 №Ф.2017.504604 Товарная накладная №ТН00007210 </t>
  </si>
  <si>
    <t>Оперативное управление МОУ "Петровская средняя общеобразовательная школа". Постановление от 14.12.2017г №2652</t>
  </si>
  <si>
    <r>
      <t xml:space="preserve">в том числе:                                </t>
    </r>
    <r>
      <rPr>
        <b/>
        <sz val="9"/>
        <color theme="1"/>
        <rFont val="Times New Roman"/>
        <family val="1"/>
        <charset val="204"/>
      </rPr>
      <t>742.1. нежилые помещения</t>
    </r>
    <r>
      <rPr>
        <sz val="9"/>
        <color theme="1"/>
        <rFont val="Times New Roman"/>
        <family val="1"/>
        <charset val="204"/>
      </rPr>
      <t xml:space="preserve"> (пом. № 62, 63, 64, 65, 101, 102, 103 ), общ. пл. 119,3 кв. м.;                </t>
    </r>
    <r>
      <rPr>
        <b/>
        <sz val="9"/>
        <color theme="1"/>
        <rFont val="Times New Roman"/>
        <family val="1"/>
        <charset val="204"/>
      </rPr>
      <t>742.2. нежилые помещения</t>
    </r>
    <r>
      <rPr>
        <sz val="9"/>
        <color theme="1"/>
        <rFont val="Times New Roman"/>
        <family val="1"/>
        <charset val="204"/>
      </rPr>
      <t xml:space="preserve"> (пом. № 6, 32 ), общ. пл. 40,7 кв. м.;                        </t>
    </r>
    <r>
      <rPr>
        <b/>
        <sz val="9"/>
        <color theme="1"/>
        <rFont val="Times New Roman"/>
        <family val="1"/>
        <charset val="204"/>
      </rPr>
      <t>742.3. нежилые помещения</t>
    </r>
    <r>
      <rPr>
        <sz val="9"/>
        <color theme="1"/>
        <rFont val="Times New Roman"/>
        <family val="1"/>
        <charset val="204"/>
      </rPr>
      <t>, общ. пл. 37,2 кв. м.(пом. №24/25/26);</t>
    </r>
    <r>
      <rPr>
        <b/>
        <sz val="9"/>
        <color theme="1"/>
        <rFont val="Times New Roman"/>
        <family val="1"/>
        <charset val="204"/>
      </rPr>
      <t xml:space="preserve"> 742.4 нежилые помещения </t>
    </r>
    <r>
      <rPr>
        <sz val="9"/>
        <color theme="1"/>
        <rFont val="Times New Roman"/>
        <family val="1"/>
        <charset val="204"/>
      </rPr>
      <t xml:space="preserve">(пом. №22) общей площадью 11,2 кв.м.; </t>
    </r>
    <r>
      <rPr>
        <b/>
        <sz val="9"/>
        <color theme="1"/>
        <rFont val="Times New Roman"/>
        <family val="1"/>
        <charset val="204"/>
      </rPr>
      <t xml:space="preserve">742.5 нежилые помещения </t>
    </r>
    <r>
      <rPr>
        <sz val="9"/>
        <color theme="1"/>
        <rFont val="Times New Roman"/>
        <family val="1"/>
        <charset val="204"/>
      </rPr>
      <t xml:space="preserve">общ. площадью 2414,0 кв.м.; </t>
    </r>
    <r>
      <rPr>
        <b/>
        <sz val="9"/>
        <color theme="1"/>
        <rFont val="Times New Roman"/>
        <family val="1"/>
        <charset val="204"/>
      </rPr>
      <t xml:space="preserve">742.6 нежилое помещение </t>
    </r>
    <r>
      <rPr>
        <sz val="9"/>
        <color theme="1"/>
        <rFont val="Times New Roman"/>
        <family val="1"/>
        <charset val="204"/>
      </rPr>
      <t xml:space="preserve">( пом. №21) общей площадью 15,3 кв.м.; </t>
    </r>
    <r>
      <rPr>
        <b/>
        <sz val="9"/>
        <color theme="1"/>
        <rFont val="Times New Roman"/>
        <family val="1"/>
        <charset val="204"/>
      </rPr>
      <t>742.7</t>
    </r>
    <r>
      <rPr>
        <sz val="9"/>
        <color theme="1"/>
        <rFont val="Times New Roman"/>
        <family val="1"/>
        <charset val="204"/>
      </rPr>
      <t xml:space="preserve"> нежилое помещение (пом. №23) общей площадью 22,6 кв.м.</t>
    </r>
  </si>
  <si>
    <t>119,3    40,7  37,2     11,2   2414,0   15,3    22,6</t>
  </si>
  <si>
    <t xml:space="preserve">73170,54 24962,63 22815,96    6869,32          1480584,22 9383,98   13861,31 </t>
  </si>
  <si>
    <t>Плита промышленная электрическая 4-х конфорочная с жарочным шкафом</t>
  </si>
  <si>
    <t>Товарная накладная №Д-315</t>
  </si>
  <si>
    <t>Оперативное управление МДОУ "Детский сад общеразвивающего вида №6 "Родничок". Постановление от 14.12.2017г №2659</t>
  </si>
  <si>
    <t>Оперативное управление МБУ «Благоустройство и дорожное хозяйство». Постановление от 25.12.2017г №2736</t>
  </si>
  <si>
    <t>16.1.04.0004</t>
  </si>
  <si>
    <t>16.1.04.0010</t>
  </si>
  <si>
    <t>16.1.04.0003</t>
  </si>
  <si>
    <t>16.1.04.0011</t>
  </si>
  <si>
    <t>16.1.06.0028</t>
  </si>
  <si>
    <t>16.1.04.0007</t>
  </si>
  <si>
    <t>21.12.2017г</t>
  </si>
  <si>
    <t>Распоряжение администрации №831-р</t>
  </si>
  <si>
    <t>Распоряжение администрации городского округа Серебряные Пруды №840-р</t>
  </si>
  <si>
    <t>Земельный участок Категория земель -земли населённых пунктов, ВРИ - для эксплуатации улично-дорожной сети</t>
  </si>
  <si>
    <t>Договор соц.найма № 13/2016 от 23.03.2016 Наниматель Чинарова Наталья Эдуардовна</t>
  </si>
  <si>
    <t>Договор соц.найма № 9/2016 от 24.02.2016 Наниматель Коломоец Наталья Николаевна</t>
  </si>
  <si>
    <t>Договор соц.найма № 8/2016 от 16.02.2016 Наниматель Павленко Алексей Викторович</t>
  </si>
  <si>
    <t>Договор соц.найма № 1/Л-2016 от 12.01.2016 г. Наниматель Долгов Александр Павлович</t>
  </si>
  <si>
    <t>Договор соц.найма № 10/2016 от 03.03.2016  Наниматель Мясин Евгений Викторович + доп.соглашение № 1 от 01.04.2016 г.</t>
  </si>
  <si>
    <t>Договор соц.найма № 32/2016 от 09.06.2016 Наниматель: Золотов Александр Владимирович</t>
  </si>
  <si>
    <t>Договор соц.найма№ 36/2016 от 23.06.2016 Наниматель: Лосев Михаил Дмитриевич</t>
  </si>
  <si>
    <t>Договор соц.найма № 11/2016 от 03.03.2016 Наниматель Хомич Антонина Петровна</t>
  </si>
  <si>
    <t>Договор соц.найма № 72/2016 от 27.09.2016 Наниматель: Жуков Владимир Владимирович</t>
  </si>
  <si>
    <t>Договор соц.найма № 76/2016 от 13.10.2016 Наниматель: Егоршина Надежда Сергеевна</t>
  </si>
  <si>
    <t>Договор соц.найма№ 85/2016 от 24.10.2016 Наниматель: Грачёв Анатолий Васильевич</t>
  </si>
  <si>
    <t>Договор соц.найма № 86/2016 от 27.10.2016 Наниматель: ИвкинИван Васильевич</t>
  </si>
  <si>
    <t>Договор соц.найма № 96/2016 от 02.11.2016 Наниматель: Поляков Юрий Алексеевич</t>
  </si>
  <si>
    <t>квартира № 2 (Договор соц.найма № 113/2016 от 23.11.2016 Наниматель: Миронов Владимир Анатольевич)</t>
  </si>
  <si>
    <t>Договор соц.найма № 114/2016 от 05.12.2016 Наниматель: Шилкина Анастасия Вячеславовна</t>
  </si>
  <si>
    <t>Договор соц.найма № 115/2016 от 08.12.2016 Наниматель: Смурницына Валентина Дмитриевна</t>
  </si>
  <si>
    <t>Договор соц.найма № 117/2016 от 08.12.2016 Наниматель: Егоров Алексей Алексеевич</t>
  </si>
  <si>
    <t>Договор соц.найма№ 118/2016 от 08.12.2016 Наниматель: Шонарчук Людмила Федоровна</t>
  </si>
  <si>
    <t>Договор соц.найма№ 119/2016 от 12.12.2016 Наниматель: Черкасова Марина Николавена</t>
  </si>
  <si>
    <t>Договор соц.найма № 122/2016 от 15.12.2016 Наниматель: Митрофанов Владимир Иванович</t>
  </si>
  <si>
    <t>Договор соц.найма № 123/2016 от 15.12.2016 Наниматель: Абакумова Мария Александровна</t>
  </si>
  <si>
    <t>Договор соц.найма № 124/2016 от 15.12.2016 Наниматель: Кондратьева Валентина Фирсовна</t>
  </si>
  <si>
    <t>Договор соц.найма № 126/2016 от 15.12.2016 Наниматель: Яныкин Юрий Иванович</t>
  </si>
  <si>
    <t>Договор соц.найма № 128/2016 от 15.12.2016 Наниматель: Носов Александр Алексеевич</t>
  </si>
  <si>
    <t>Договор соц.найма № 129/2016 от 05.12.2016 Наниматель: Пяткин Олег Викторович</t>
  </si>
  <si>
    <t>Договор соц.найма № 131/2016 от 23.12.2016 Наниматель: павлихина Людмила Васильевна</t>
  </si>
  <si>
    <t>Договор соц.найма № 132/2016 Наниматель: Осипов Михаил Викторович</t>
  </si>
  <si>
    <t>Договор соц.найма № 133/2016 от 23.12.2016 Наниматель: Рыбан Галина Николавена</t>
  </si>
  <si>
    <t>Договор соц.найма № 134/2016 от 23.12.2016 Наниматель: Гришина Наталья Викторовна</t>
  </si>
  <si>
    <t>Договор соц.найма № 135/2016 от 23.12.2016 Наниматель: Местюкова Валентина Александровна</t>
  </si>
  <si>
    <t>Договор соц.найма № 136/2016 от 23.12.2016 Наниматель: Раннев Евгений Иванович</t>
  </si>
  <si>
    <t>Договор соц.найма № 138/2016 от 23.12.2016 Наниматель:Егорова Любовь Леонидовна</t>
  </si>
  <si>
    <t>Договор соц.найма № 1396/2016 от 23.12.2016 Наниматель: Гордов Сергей Анатольевич</t>
  </si>
  <si>
    <t>Договор соц.найма № 140/2016 от 23.12.2016 Наниматель:Сизов Владимир Иванович</t>
  </si>
  <si>
    <t>Договор соц.найма № 141/2016 от 23.12.2016 Наниматель: Елюшкина Нина Григорьпевна</t>
  </si>
  <si>
    <t>Договор соц.найма № 142/2016 от 23.12.2016 Наниматель: Сытюгин Василий Егорович</t>
  </si>
  <si>
    <t>Автомобиль ВАЗ 21230 Шевроле Нива VIN X9L21230050105139, гос.номер А 001 ВК 190</t>
  </si>
  <si>
    <t>26.10.2016г</t>
  </si>
  <si>
    <t>Распоряжение администрации о списании № 534-р</t>
  </si>
  <si>
    <t>МКУ "Централизованная бухгалтерия городского округа Серебряные Пруды Московской области"</t>
  </si>
  <si>
    <t>городской округ Серебряные Пруды М.О. д. Краснвоские Выселки, ул. Центральная, д.3</t>
  </si>
  <si>
    <t>14 чел.</t>
  </si>
  <si>
    <t>50 чел.</t>
  </si>
  <si>
    <t>09.02.2018г</t>
  </si>
  <si>
    <t>Договор №34/2017 передачи жилого помещения муниципального жилищного фонда в собственность граждан от 20.11.2017г. Регистрация права № 50:39:0050506:289-50/039/2018-3,4</t>
  </si>
  <si>
    <t>0,00/ 0,00</t>
  </si>
  <si>
    <t>9 чел.</t>
  </si>
  <si>
    <t>5 чел.</t>
  </si>
  <si>
    <t>108 чел.</t>
  </si>
  <si>
    <t>21 чел.</t>
  </si>
  <si>
    <t>20 чел.</t>
  </si>
  <si>
    <t>25 чел.</t>
  </si>
  <si>
    <t>29 чел.</t>
  </si>
  <si>
    <t>18 чел.</t>
  </si>
  <si>
    <t>12 чел.</t>
  </si>
  <si>
    <t>7 чел.</t>
  </si>
  <si>
    <t>26 чел.</t>
  </si>
  <si>
    <t>48 чел.</t>
  </si>
  <si>
    <t>16 чел.</t>
  </si>
  <si>
    <t>11 чел.</t>
  </si>
  <si>
    <t>27 чел.</t>
  </si>
  <si>
    <t>6 чел.</t>
  </si>
  <si>
    <t xml:space="preserve"> 7 чел.</t>
  </si>
  <si>
    <t>3 чел.</t>
  </si>
  <si>
    <t>53 чел.</t>
  </si>
  <si>
    <t>4 чел.</t>
  </si>
  <si>
    <t>15 чел.</t>
  </si>
  <si>
    <t>8 чел.</t>
  </si>
  <si>
    <t>0 чел.</t>
  </si>
  <si>
    <t>116 чел.</t>
  </si>
  <si>
    <t>1 чел.</t>
  </si>
  <si>
    <t>Договор №1/03/2016 купли-продажи жилого помещения от 01.03.2016г. Регистрация права №50:39:0030303:405-50/039/2017-2</t>
  </si>
  <si>
    <t>Земельный участок , категория земель - земли населённых пунктов, ВРИ - Земельные участки (территории) общего пользования</t>
  </si>
  <si>
    <t>Московская область, городской округ Серебряные Пруды, с. Дудино</t>
  </si>
  <si>
    <t>50:39:0070104:757</t>
  </si>
  <si>
    <t xml:space="preserve">26.01.2018г </t>
  </si>
  <si>
    <t>Выписка ЕГРН, регистрация права от 26.01.2018г № 50:39:0070104:757-50/039/2018-1</t>
  </si>
  <si>
    <t>Договор соц.найма № 1/2017 от 13.01.2017 г. Наниматель: Богатырев Владимир Константинович</t>
  </si>
  <si>
    <t>Договор соц.найма № 2/2017 от 13.01.2017 Наниматель: Синева Татьяна Григорьевна</t>
  </si>
  <si>
    <t>Договор соц.найма № 3/2017 от 13.01.2017 Наниматель: Петрухин Владимир Васильевич</t>
  </si>
  <si>
    <t>Договор соц.найма № 4/2017 от 13.01.2017 Наниматель: Соломатина Виктория Вячеславовна</t>
  </si>
  <si>
    <t>Договор соц.найма № 6/2017 от 13.01.2017 Наниматель: Юнкина Елизавета Сергеевна</t>
  </si>
  <si>
    <t>Договор соц.найма № 7/2017 от 13.01.2017 Наниматель: Богатырев Николай Константинович</t>
  </si>
  <si>
    <t>Пожарный гидрант ГП-Н-1,5 метра (чугун)</t>
  </si>
  <si>
    <t>1.101.04.1092</t>
  </si>
  <si>
    <t>25.10.2017г</t>
  </si>
  <si>
    <t>Товарная накладная №16 от 25.10.2017г. Муниципальный контракт от 04.10.2017г №084830004187000370-0126220-01</t>
  </si>
  <si>
    <t>1.101.04.1093 - 1.101.04.1098</t>
  </si>
  <si>
    <t>Пожарный гидрант ГП-Н-1,75 метра (чугун), 6 штук</t>
  </si>
  <si>
    <t>Пожарный гидрант ГП-Н-2,0 метра (чугун), 6 штук</t>
  </si>
  <si>
    <t>1.101.04.1099 - 1.101.04.1104</t>
  </si>
  <si>
    <t>Пожарный гидрант ГП-Н-2,5 метра (чугун)</t>
  </si>
  <si>
    <t>1.101.04.1105</t>
  </si>
  <si>
    <t>Станция водоподготовки п. Дмитриевский</t>
  </si>
  <si>
    <t>1.101.33.002</t>
  </si>
  <si>
    <t>Станция водоподготовки п. Дудино</t>
  </si>
  <si>
    <t>1.101.33.003</t>
  </si>
  <si>
    <t>Товарная накладная от 08.09.2017г №306. Муниципальный контракт от 16.06.2017г №0848300041817000163-0126220-01</t>
  </si>
  <si>
    <t>Товарная накладная от 08.09.2017г №304. Муниципальный контракт от 16.06.2017г №0848300041817000159-0126220-01</t>
  </si>
  <si>
    <t>Станция водоподготовки рп Серебряные Пруды, ул. Коровушкина</t>
  </si>
  <si>
    <t>1.101.33.001</t>
  </si>
  <si>
    <t>Товарная накладная от 08.09.2017г №305. Муниципальный контракт от 16.06.2017г №0848300041817000161-0126220-01</t>
  </si>
  <si>
    <t>Договор соц.найма№ 88/2017 от 17.03.2017 Наниматель: Ермакова Татьяна Петровна</t>
  </si>
  <si>
    <t>Догоувор соц.найма№ 137/2017 от 12.05.2017 наниматель: Петрунина Анна Николаевна</t>
  </si>
  <si>
    <t>кв № 1 (Площадь - 66,9, Договор соц.найма№ 156/2017 от 07.06.2017 наниматель: Нефёдов Владимир Прокофьевич)</t>
  </si>
  <si>
    <t>Договор соц.найма№ 179/20107 от 18.09.2017 Наниматель: Абумова Анна Вячеславовна</t>
  </si>
  <si>
    <t>Договор соц.найма№ 181/20107 от 18.09.2017 Наниматель: Тюткина Ольга Николаевна</t>
  </si>
  <si>
    <t>Договор соц.найма№ 183/20107 от 18.09.2017 Наниматель: Колосков Вячеслав Николаевич</t>
  </si>
  <si>
    <t>Договор соц.найма№ 184/20107 от 18.09.2017 Наниматель: Лихтарова Ольга Анатольевна</t>
  </si>
  <si>
    <t>Договор соц.найма№ 186/20107 от 09.10.2017 Наниматель: Лукина Надежда Николаевна</t>
  </si>
  <si>
    <t>Договор соц.найма№ 187/20107 от 12.10.2017 Наниматель:Тараскин Александр Александрович</t>
  </si>
  <si>
    <t>Договор соц.найма№ 189/20107 от 19.10.2017 Наниматель: Аксенов Владимир Викторович</t>
  </si>
  <si>
    <t>Договор соц.найма№ 190/20107 от 19.10.2017 Наниматель: Емельянов Павел Ювеналиевич</t>
  </si>
  <si>
    <t>Договор соц.найма№ 191/20107 от 19.10.2017 Наниматель: Емельянова Татьяна Петровна</t>
  </si>
  <si>
    <t>Договор соц.найма№ 192/20107 от 19.10.2017 Наниматель: Аксенова Татьяна Павловна</t>
  </si>
  <si>
    <t>Договор соц.найма№ 193/20107 от 19.10.2017 Наниматель: Глушанин Александр Анатольевич</t>
  </si>
  <si>
    <t>Ноутбук MSI 6QF (Apache Pro), Intel Core i7 6700HQ, 2.6 ГГц. 8Гб. 1000Гб. nVidia</t>
  </si>
  <si>
    <t>1.101.04.1037</t>
  </si>
  <si>
    <t>Товарная накладная от 23.03.2017г №22, Договор от 22.03.2017г № 35</t>
  </si>
  <si>
    <t>Авт.раб.место (сист.блок i5/8Gb/DVD-RM, монитор 24 Dell)</t>
  </si>
  <si>
    <t>1.101.04.2025</t>
  </si>
  <si>
    <t>Товарная накладная от 15.12.2017г №222, Договор от 29.11.2017г №116</t>
  </si>
  <si>
    <t>МФУ Konica bizhub C227 (A798021) A3 color с автоподатчиком</t>
  </si>
  <si>
    <t>1.101.04.2019</t>
  </si>
  <si>
    <t>Товарная накладная от 11.11.2017г № 0HQ/240946. Муниципальный контракт от 02.11.2017г № 0848300041817000416</t>
  </si>
  <si>
    <t>Мебель для административных помещений (в кабинет)</t>
  </si>
  <si>
    <t>1.101.06.1943</t>
  </si>
  <si>
    <t>Товарная накладная от 30.06.2017г №21. Договор на оказание услуг по изготовлению мебели от 07.06.2017г №287</t>
  </si>
  <si>
    <t>Авт.раб.место (сист.блок i3/500GbDVD-RW /клав., мышь/ Монитор 23, блок бесп.питан.)</t>
  </si>
  <si>
    <t>1.101.04.1083</t>
  </si>
  <si>
    <t>Товарная накладная от 20.06.2017г №92.  Договор от 11.04.2017г №39</t>
  </si>
  <si>
    <t>Авт.раб.место (сист.блок i3/8Gb/DVD-RM, монитор 22 Dell, клавиатура)</t>
  </si>
  <si>
    <t>Товарная накладная от 04.12.2017г №223. Договор от 29.11.2017г №117</t>
  </si>
  <si>
    <t>Светофор автономный Т-7 на солнечной батарее, п. Новоклёмово (возле школы)</t>
  </si>
  <si>
    <t>1.101.04.2016</t>
  </si>
  <si>
    <t>Товарная накладная от 10.11.2017г. Муниципальный контракт от 06.11.2017г № 0848300041817000426</t>
  </si>
  <si>
    <t>1.101.04.2017</t>
  </si>
  <si>
    <t>1.101.06.1945</t>
  </si>
  <si>
    <t>17.07.2017г</t>
  </si>
  <si>
    <t>Товарная накладная от 17.07.2017г №НВ000144. Муниципальный контракт от 10.07.2017г № 0848300041817000224-0126220-01</t>
  </si>
  <si>
    <t>Игровое оборудование детское с. Подхожее. М-н Юбилейный д.6, д.7 (Спортивно-развивающее оборудование, скамья для пресса наклонная (серия WorkOUT), скамья гимнастическая (Наклоны вперед из положения стоя и сгибание разгибание рук в упоре), турник двойной с высотой перекладин 110, 90см)</t>
  </si>
  <si>
    <t>Игровое оборудование детское с. Крутое д.34, д.36 (Детский городок, качели на пружинре "Хаски")</t>
  </si>
  <si>
    <t>1.101.06.1944</t>
  </si>
  <si>
    <t>Товарная накладная от 17.07.2017г №НВ000143. Муниципальный контракт от 10.07.2017г № 0848300041817000225-0126220-01</t>
  </si>
  <si>
    <t>Договор 23/2016 о передачи жилого помещения муниципального жилищного фонда в собственность граждан от10.05.2016г. Регистрация №50-50/039-50/039/008/2016-2056/2;2056/3;2056/4</t>
  </si>
  <si>
    <t>27.05.2016 г.</t>
  </si>
  <si>
    <t>Договор соц.найма № 173 от 11.02.2010 г. Наниматель: Анурьев Евгений Юрьевич</t>
  </si>
  <si>
    <t>50:39:0050508:257</t>
  </si>
  <si>
    <t>Договор № 33/20107 передачи жилого помещения муниципального жилищного фонда в собственность граждан от 20.11.2017 г. Регистрация права собственности № 50:39:0050508:257-50/039/2018-3 от 28.02.2018 г.</t>
  </si>
  <si>
    <t>по решению суда от 2015 г. Собственность № 50-50/039-50/039008216-4960/2,3,4,5</t>
  </si>
  <si>
    <t>142970 Московская область городской округ Серебряные Пруды, р.п. Серебряные Пруды ул. Садовая д.7 кв.2  "а"</t>
  </si>
  <si>
    <t>Отнесена к жилым помещениям маневренного жилищного фонда городского округа Серебряные Пруды Московской области, постановление администрации городского округа от 28.02.2018 № 316</t>
  </si>
  <si>
    <t>Московская область, городской округ Серебряные Пруды, с. Петрово (до очистных сооружений)</t>
  </si>
  <si>
    <t>Автомобильная дорога (асфальтобетон) , расположенная на земельном участке с кадастровым номером 50:39:0020106:648, протяженностью 1000 м</t>
  </si>
  <si>
    <t>Московская область, городской округ Серебряные Пруды, с. Крутое (объездная)</t>
  </si>
  <si>
    <t>Автомобильная дорога (асфальтобетон), расположенная на земельном участке с кадастровым номером 50:39:0000000:3554, протяженностью 600 м</t>
  </si>
  <si>
    <t>Автомобильная дорога общего пользования (асфальтобетон), протяженностью 226м. Расположена на земельном участке 50:39:0050511:64</t>
  </si>
  <si>
    <t>Автомобильная дорога общего пользования (асфальтобетон), протяженностью 440м. Расположена на земельном участке 50:39:0000000:3683</t>
  </si>
  <si>
    <t>Московская об. Городской округ Серебряные Пруды, р.п. Серебряные Пруды          ул. И. Садофьева (ул. И. Садофьева уч.1)</t>
  </si>
  <si>
    <t>Автомобильная дорога общего пользования (асфальтобетон), протяженностью 876,0м. Расположена на земельном участке 50:39:0050508:41</t>
  </si>
  <si>
    <t>Автомобильная дорога общего пользования (асфальтобетон), протяженностью 651,0м. Расположена на земельном участке 50:39:0000000:3678</t>
  </si>
  <si>
    <t>Автомобильная дорога общего пользования (асфальтобетон), протяженностью 550м. Расположена на земельном участке 50:39:0050203:329</t>
  </si>
  <si>
    <t>Внутриквартальная автомобильная дорога с твёрдым покрытием (асфальтобетон), кадастровый номер земельного участка 50:39:0080207:550, протяженностью 390м</t>
  </si>
  <si>
    <t xml:space="preserve">Автомобильная дорога общего пользования (асфальтобетон), протяженностью 954м., расположенная на земельном участке 50:39:0050203:354 </t>
  </si>
  <si>
    <t>Внутриквартальная автомобильная дорога с твёрдым покрытием, кадастровый номер земельного участка 50:39:0000000:4202, протяженностью 1445м</t>
  </si>
  <si>
    <t>Договор соц.найма № 5/2018 от 07.03.2018 Наниматель: Черных Александра Петровна</t>
  </si>
  <si>
    <t>Устав утвержденный решением Совета депутатов сельского поселения Успенское Московской области от 26.03.2008г №69/25, Устав, утвержденыый Постановлением адмнистрации городского округа Серебряные Пруды Московской области от 18.03.2016г №415, Устав, утвержденный постановлением администрации городского округа Серебряные Пруды Московской области от 27.10.2017 г. № 2374</t>
  </si>
  <si>
    <t>Муниципальное учреждение культуры «Культурно-досуговый центр Мочильское городского округа Серебряные пруды Московсой области»</t>
  </si>
  <si>
    <t>Постановление администрации сельского поселения Мочильское МО от 09.11.2011 №104, Устав, утвержденный Постановлением администрации городского округа Серебряные Пруды Московской области от 18.03.2016г № 417, Устав, утвержденный постановлением администрации городского округа Серебряные Пруды Московской области от 27.10.2017 г. № 2375</t>
  </si>
  <si>
    <t>Муниципальное учреждение "Дудинский сельский Дом Культуры городского округа Серебряные Пруды Московской области"</t>
  </si>
  <si>
    <t>Постановление Главы городского поселения Серебряные Пруды от 09.01.2008 №7п. Устав, утвержденный Постановлением администрации городского округа Серебряные Пруды Московской области от 15.03.2016г №382, Устав, утвержденный постановлением администрации городского округа Серебряные Пруды Московской области от 27.10.2017 г. № 2376</t>
  </si>
  <si>
    <t>142960 МО,Серебряно-Прудский р-он, с. Узуново, ул. Советская, д.5</t>
  </si>
  <si>
    <t>Устав утвержденный решением Совета депутатов сельского поселения Узуновское Московской области, Устав, утвержденный Постановлением администрации городского округа Серебряные пруды Московской области от 16.03.2016г №396, Устав, утвержденный постановлением админситрации городского округа Серебряные Пруды по Московской области от 27.10.2017 г. № 2373</t>
  </si>
  <si>
    <t>ЗИЛ-130В, год выпуска 1985, грузовой седельный Тягач, гос.номер М 540 МУ 190</t>
  </si>
  <si>
    <t>Автомобиль ГАЗ-САЗ 35071, гос. номер Е 326 КХ 90, год выпуска 1997, VIN XTH330900V0789347</t>
  </si>
  <si>
    <t>Договор № 3/2018 передачи жилого помещения муниципального жилищного фонда в собственность граждан от 22.02.2018 г. Регистрация права собственности № 50:39:0050508:407-50/039/2018-6,7,8,9,10 от 21.03.2018 г.</t>
  </si>
  <si>
    <t>Грузовой фургон ГАЗ-533966 (двиг. № 53-19938840-1988, шасси (рама) 1332576. гос номер О391 МК 190</t>
  </si>
  <si>
    <t>01.10.2009г</t>
  </si>
  <si>
    <t>Прочий документ № 14. Паспорт транспортного средства 50 КМ 545476</t>
  </si>
  <si>
    <t>УАЗ-390944 защитный</t>
  </si>
  <si>
    <t>Договор № 4/2016 передачи жилого помещения муниципального жилищного фонда в собственность граждан от 05.02.2016 г. Регистрация права собственности № 50:39:0050404:1026-50/039/2018-2 от 16.03.2018 г.</t>
  </si>
  <si>
    <t>50:39:0050404:1026</t>
  </si>
  <si>
    <t xml:space="preserve">Водопроводные сети, инв. 1100024, инв. 1100020 Протяженность 1534м. Диаметр трубы 100-200мм. Год завершения строительства 1987. </t>
  </si>
  <si>
    <t>50:39:0030302:971</t>
  </si>
  <si>
    <t>Распоряжение администрации Серебряно-Прудского муниципального района 278-р. Выписка из ЕГРН, регистрация права от 19.01.2018г № 50:39:0050510:63-50/039/2018-1</t>
  </si>
  <si>
    <t>Песколовки очистные сооружения канализации, металлическая конструкция, инв. 013022</t>
  </si>
  <si>
    <t>50:39:0050510:64</t>
  </si>
  <si>
    <t>Распоряжение администрации Серебряно-Прудского муниципального района 278-р. Выписка из ЕГРН, регистрация права от 15.03.2018г № 50:39:0050510:64-50/039/2018-1</t>
  </si>
  <si>
    <t xml:space="preserve">Здание машинного зала 2-ой подъем инв. 013042, 1-о этажное, стены кирпичные. </t>
  </si>
  <si>
    <t>Хлораторная 2-ой подъем ВЗУ, 1-о этажное, стены кирпичные, инв. 13038</t>
  </si>
  <si>
    <t>ВЗУ (артскважина), глубина 80м, инв. 017092</t>
  </si>
  <si>
    <t>50:39:0000000:4488</t>
  </si>
  <si>
    <t xml:space="preserve">Водопроводные сети, инв. 1200005, Протяженность 3991м. Диаметр трубы 76-150мм </t>
  </si>
  <si>
    <t>Решение Совета депутатов № 696/70. Выписка ЕГРН, регистрация права от 16.03.2018г № 50:39:0000000:4488-50/039/2018-1</t>
  </si>
  <si>
    <t>Решение Совета депутатов № 696/70. Выписка ЕГРН, регистрация права от 22.03.2018г № 50:39:0030302:971-50/039/2018-1</t>
  </si>
  <si>
    <t>Земельный участок категория земель: земли сельскохозяйственного назначения, ВРИ - для ведения крестьянского (фермерского) хозяйства "Корн"</t>
  </si>
  <si>
    <t>Московская область, Серебряно-Прудскиий район, д. Красновские выселки</t>
  </si>
  <si>
    <t>50:39:0060201:10</t>
  </si>
  <si>
    <t xml:space="preserve">Собственность. Выделено за счет долей совхоза  Южный, участок 50:39:0000000:10. </t>
  </si>
  <si>
    <t>30.03.2018г</t>
  </si>
  <si>
    <t>Выписка из ЕГРН, регистрация права от 30.03.2018г № 50:39:0060201:10</t>
  </si>
  <si>
    <t>50:39:0080207:319</t>
  </si>
  <si>
    <t>Муниципальный контракт №148300005914000119-0126220-1</t>
  </si>
  <si>
    <t>Муниципальный контракт №1483000059140000299-0126220-1</t>
  </si>
  <si>
    <t>Машина закреплена за Сафроновой И.В.</t>
  </si>
  <si>
    <t>Машина закреплена за Демьяновым Н.Н.</t>
  </si>
  <si>
    <t>Договор купли-продажи транспортного средства 1/2017 от 30.11.2017г</t>
  </si>
  <si>
    <t>Распоряжение администрации №280-р</t>
  </si>
  <si>
    <t>Муниципальный контракт №01483000059117000016-0126220-01 от 28.05.2014г</t>
  </si>
  <si>
    <t>Муниципальный контракт №01483000059117000015-0126220-01 от 28.05.2014г</t>
  </si>
  <si>
    <t>Транспортное средство Форд ФОКУС VIN X9FMXXEEBMEY61525, год выпуска 2014</t>
  </si>
  <si>
    <t>Оперативное управление МКУ "Служба обеспечения" . Постановление от 18.01.2018гг №64</t>
  </si>
  <si>
    <t>особо ценное имущество.  Постановление от 25.09.2017г №2076</t>
  </si>
  <si>
    <t>особо ценное имущество. Постановление от 25.09.2017г №2076</t>
  </si>
  <si>
    <t>Металлодетоктор арочный Блокпост РС-1000А</t>
  </si>
  <si>
    <t>Договор №911ТС142/2017 от 07.11.2017г. Товарная накладная №768 от 05.12.2017</t>
  </si>
  <si>
    <t>Оперативное управление МУ "Центральный дом культуры городского округа Серебряные Пруды Московской области". Постановление от 25.01.2018г №106</t>
  </si>
  <si>
    <t>Стационарный арочный металлодетектор "Гвоздика-006"</t>
  </si>
  <si>
    <t>13.1.24.0637</t>
  </si>
  <si>
    <t>13.1.24.0636</t>
  </si>
  <si>
    <t>Лестничный подъёмнтк для людей с ограниченными возможностями V65</t>
  </si>
  <si>
    <t>02.1.24.0053</t>
  </si>
  <si>
    <t>Оперативное управление МФОСУ "Физкультурно-оздоровительный комплекс имени Героя России С.А. Фирсова го Серебряные Пруды МО". Постановление от 30.01.2018г №135</t>
  </si>
  <si>
    <t>Муниципальный контракт №0848300041817000342-0071919-01 от 01.09.2017г. Акт приемки выполненных работ №7843-01 от 13.11.2017г</t>
  </si>
  <si>
    <t>Беспроводной пульт дистанционного управления светофорным оборудованием УП-1, на базе инфракрасных систем и фоточувствительных элементов+тренажерный учебно-методический комплект флеш-накопителей с мультимедийной программой по проведению занятий с детьми общеобразов. учреждений в детском автогородке</t>
  </si>
  <si>
    <t>Автоматизированный узел управления и коммерческих приборов учёта для системы центрального отопления</t>
  </si>
  <si>
    <t>Шкаф холодильный среднетемпературный КАПРИ 1,5 М</t>
  </si>
  <si>
    <t>Оперативное управление МОУ "Серебряно-Прудская средняя общеобразовательная школа им. Маршала В.И. Чуйкова". Постановление от 05.02.2018г №167</t>
  </si>
  <si>
    <t>Шкаф холодильный Carboma F1400 1650*755*2050 низкотемпературный - 18С</t>
  </si>
  <si>
    <t>Оперативное управление МОУ "Серебряно-Прудская средняя общеобразовательная школа им. Маршала В.И. Чуйкова". Постановление от 05.02.2018г №168</t>
  </si>
  <si>
    <t>Договор №596/3М от 26.09.2017. Товарная накладная №3-00-02180 от 03.10.2017г</t>
  </si>
  <si>
    <t>Муниципальный контракт №0848300041817000278-0102905-01 от 21.07.2017г. Акт №356 от 02.11.2017г</t>
  </si>
  <si>
    <t>Передаточный акт №94 от 06.12.2017г</t>
  </si>
  <si>
    <t>Передаточный акт №97 от 15.12.2017г</t>
  </si>
  <si>
    <t>Оперативное управление МОУ "Крутовская средняя общеобразовательная школа". Постановление от 07.02.2018г №179</t>
  </si>
  <si>
    <t>Накладная №120 от 22.12.2017г</t>
  </si>
  <si>
    <t>Оперативное управление МОУ "Глубоковская основная общеобразовательная школа". Постановление от 07.02.2018г №183</t>
  </si>
  <si>
    <t>Накладная №119 от 22.12.2017г</t>
  </si>
  <si>
    <t>Ноутбук с сертифицированными средствами защиты информации. Мышь оптическая. Гарнитура. Оптический носитель на сертифицированномпроизводстве и имеющий уникальный номер, с записанным сертифицированным дистрибутивом</t>
  </si>
  <si>
    <t>Горка детская деревянная для открытой площадки</t>
  </si>
  <si>
    <t>Оперативное управление МДОУ "Центр развития ребенка - детский сад №7 "Алёнушка". Постановление от 07.02.2018г №185</t>
  </si>
  <si>
    <t>Передаточный акт №ИНТ-2709/198-2017 от 27.09.2017г</t>
  </si>
  <si>
    <t>Особо ценное движимое имущество. Постановление от 08.02.2018г №205</t>
  </si>
  <si>
    <t>Хозяйственное ведение МУП "РСО городского округа Серебряные Пруды". Постановление от 22.02.2018г №294</t>
  </si>
  <si>
    <t>Товарная накладная от 24.05.2017г №119</t>
  </si>
  <si>
    <t>Компьютер в сборе (системный ьлок Intel P s 1150/500Gb/8Gb/DVD-RW, монитор Dell 24"</t>
  </si>
  <si>
    <t>22.12.2017г</t>
  </si>
  <si>
    <t>Акт о приеме-передаче №121 от 22.12.2017г</t>
  </si>
  <si>
    <t>Оперативное управление МДОУ "Детский сад общеразвивающего вида №10 "Берёзка". Постановление от 27.02.2018г №303</t>
  </si>
  <si>
    <t>Оперативное управление МОУ "Мочильская средняя общеобразовательная школа". Постановление от 27.02.2018г №305</t>
  </si>
  <si>
    <t>Товарная накладная от 25.05.2017г №121</t>
  </si>
  <si>
    <t>Оперативное управление МДОУ "Детский сад общеразвивающего вида №13 "Звёздочка". Постановление от 27.02.2018г №308</t>
  </si>
  <si>
    <r>
      <rPr>
        <b/>
        <sz val="9"/>
        <color theme="1"/>
        <rFont val="Times New Roman"/>
        <family val="1"/>
        <charset val="204"/>
      </rPr>
      <t>742.1.</t>
    </r>
    <r>
      <rPr>
        <sz val="9"/>
        <color theme="1"/>
        <rFont val="Times New Roman"/>
        <family val="1"/>
        <charset val="204"/>
      </rPr>
      <t xml:space="preserve">- 50:39:0050504:377, 50:39:0050504:376, 50:39:0050504:383, 50:39:0050504:363, 50:39:0050504:379, 50:39:0050504:378, 50:39:0050504:382; </t>
    </r>
    <r>
      <rPr>
        <b/>
        <sz val="9"/>
        <color theme="1"/>
        <rFont val="Times New Roman"/>
        <family val="1"/>
        <charset val="204"/>
      </rPr>
      <t>742.2.</t>
    </r>
    <r>
      <rPr>
        <sz val="9"/>
        <color theme="1"/>
        <rFont val="Times New Roman"/>
        <family val="1"/>
        <charset val="204"/>
      </rPr>
      <t xml:space="preserve">-50:39:0050504:386, 50:39:0050504:385    </t>
    </r>
    <r>
      <rPr>
        <b/>
        <sz val="9"/>
        <color theme="1"/>
        <rFont val="Times New Roman"/>
        <family val="1"/>
        <charset val="204"/>
      </rPr>
      <t xml:space="preserve">742.3 - </t>
    </r>
    <r>
      <rPr>
        <sz val="9"/>
        <color theme="1"/>
        <rFont val="Times New Roman"/>
        <family val="1"/>
        <charset val="204"/>
      </rPr>
      <t xml:space="preserve">50:39:0050504:392   </t>
    </r>
    <r>
      <rPr>
        <b/>
        <sz val="9"/>
        <color theme="1"/>
        <rFont val="Times New Roman"/>
        <family val="1"/>
        <charset val="204"/>
      </rPr>
      <t>742.4</t>
    </r>
    <r>
      <rPr>
        <sz val="9"/>
        <color theme="1"/>
        <rFont val="Times New Roman"/>
        <family val="1"/>
        <charset val="204"/>
      </rPr>
      <t xml:space="preserve"> - 50:39:0050504:381     </t>
    </r>
    <r>
      <rPr>
        <b/>
        <sz val="9"/>
        <color theme="1"/>
        <rFont val="Times New Roman"/>
        <family val="1"/>
        <charset val="204"/>
      </rPr>
      <t>742.6</t>
    </r>
    <r>
      <rPr>
        <sz val="9"/>
        <color theme="1"/>
        <rFont val="Times New Roman"/>
        <family val="1"/>
        <charset val="204"/>
      </rPr>
      <t xml:space="preserve"> -              50:39:0050504:380    </t>
    </r>
    <r>
      <rPr>
        <b/>
        <sz val="9"/>
        <color theme="1"/>
        <rFont val="Times New Roman"/>
        <family val="1"/>
        <charset val="204"/>
      </rPr>
      <t>742.7 -</t>
    </r>
    <r>
      <rPr>
        <sz val="9"/>
        <color theme="1"/>
        <rFont val="Times New Roman"/>
        <family val="1"/>
        <charset val="204"/>
      </rPr>
      <t xml:space="preserve"> 50:39:0050504:375</t>
    </r>
  </si>
  <si>
    <t>Акт о приеме-передаче №115 от 22.12.2017г</t>
  </si>
  <si>
    <t>Оперативное управление МОУ "Шеметовская средняя общеобразовательная школа". Постановление от 02.03.2018г №326</t>
  </si>
  <si>
    <t>Особо ценное движимое имущество. Постановление от 02.03.2018г №329</t>
  </si>
  <si>
    <t>Товарная накладная от 25.05.2017г №1220</t>
  </si>
  <si>
    <t>Оперативное управление МДОУ "Детский сад общеразвивающего вида №6 "Родничок". Постановление от 12.03.2018г №348</t>
  </si>
  <si>
    <t>Особо ценное движимое имущество. Постановление от 22.03.2018г №403</t>
  </si>
  <si>
    <t>Особо ценное движимое имущество. Постановление от 22.03.2018г №405</t>
  </si>
  <si>
    <t>Особоценное движимое имущество. Постановление от 22.03.2018г №408</t>
  </si>
  <si>
    <t>22.03.2018г</t>
  </si>
  <si>
    <t>Распоряжение администрации городского округа Серебряные Пруды Московской области №220-р</t>
  </si>
  <si>
    <t>Хозяйственное ведение МУП "РСО". Постановление от 26.03.2018г №434</t>
  </si>
  <si>
    <t>Жилое помещение</t>
  </si>
  <si>
    <t>Свидетельство о праве на наследование по закону 50 АБ 0384438, выданное нотариусом Се6ребряно-Прудского нотариального округа Московской области Бурукиным Сергеем Алексеевичем. Наследственное дело №58/2017. Выписка из ЕГРН, регистрация права от 01.12.2017г № 50:39:0020208:1283-50/039/2017-1</t>
  </si>
  <si>
    <t>Решение суда от 15.10.2015г. Свидетельство от 04.12.2015г, регистрация №50-50/039-50/039/009/2015-1340/1</t>
  </si>
  <si>
    <t>50:39:0030305:438</t>
  </si>
  <si>
    <t>Решение Совета Депутатов № 695/70. Свидетельство от 23.01.2012г 50-АВ №322995</t>
  </si>
  <si>
    <t>Аренда ООО Медецинский центр "Будь здоров" до 08.09.2022г. Постановление от 08.09.2017г №1976</t>
  </si>
  <si>
    <t>142955 М.О. городской округ Серебряные Пруды, с.Подхожее мкр Юбилейный д.8 кв.19</t>
  </si>
  <si>
    <t>142970 Московская область Серебряно-Прудский район,  р.п. Серебряные Пруды</t>
  </si>
  <si>
    <t>Спортивная площадка, сооружение спортивно-оздоровительное - Многофункциональная хоккейная площадка (Раздевалка 5*6 - 2шт, Хоккейный борт, Трибуны и скамейки для запасных игроков, банкетка для раздевалок одностор - 8шт, ворота минифутбол - 2шт, ворота хоккейные - 2шт, стойка баскетбольная - 2шт, стойка волейбольная, стойка теннис), оборудованная наружным освещением и резиновым покрытием, расположенная на земельном участке 50:39:0070303:233</t>
  </si>
  <si>
    <t>Жилое помещение, квартира 1-о комнатная</t>
  </si>
  <si>
    <t>Земельный участок категория земель: земли населённых пунтков, ВРИ - обеспечение внутреннего правопорядка</t>
  </si>
  <si>
    <t>Московская область, Серебряно-Прудскиий район, рп Серебряные Пруды, ул. 50 лет ВЛКСМ</t>
  </si>
  <si>
    <t>50:39:0050509:170</t>
  </si>
  <si>
    <t>10.04.2018г</t>
  </si>
  <si>
    <t>Выписка из ЕГРН, регистрация права от 10.04.2018г №50:39:0050509:170-50/039/2018-1</t>
  </si>
  <si>
    <t>Земельный участок категория земель: земли населённых пунтков, ВРИ - коммунальное обслуживание</t>
  </si>
  <si>
    <t>Московская область, Серебряно-Прудскиий район, п. Дмитриевский</t>
  </si>
  <si>
    <t>50:39:0080207:647</t>
  </si>
  <si>
    <t>Выписка из ЕГРН, регистрация права от 10.04.2018г №50:39:0080207:647-50/039/2018-1</t>
  </si>
  <si>
    <t>Электросети  (уличное освещение) , сп Успенское, д.Серково 3900м</t>
  </si>
  <si>
    <t>30.10.2017г</t>
  </si>
  <si>
    <t>Акт инвентаризации объектов недвижимого имущества</t>
  </si>
  <si>
    <t>Выписка ЕГРН, регистрация права №50-50-39/002/2010-421</t>
  </si>
  <si>
    <t>Договор на передачу и продажу квартир в собственность граждан от 10.11.1994г. Реестровый номер БТИ 283/93 от 14.11.1994</t>
  </si>
  <si>
    <t>Выписка ЕГРН, регистрация права 50:39:0030302:541-50/039/2017</t>
  </si>
  <si>
    <t>Выписка ЕГРН, регистрация права №50-50-39/003/2010-278</t>
  </si>
  <si>
    <t>Выписка ЕГРН, регистрация права 50-50-39/009/2014-799</t>
  </si>
  <si>
    <t>Распоряжение администрации от 30.09.2011г №18</t>
  </si>
  <si>
    <t>Распоряжение администрации от 19.02.2009г №155</t>
  </si>
  <si>
    <t>Распоряжение администрации от 17.11.2010г №277-р</t>
  </si>
  <si>
    <t>Постановление администрации от 12.08.2014г №1198</t>
  </si>
  <si>
    <t>13.06.2013г</t>
  </si>
  <si>
    <t>Договор от 13.06.2013г №116</t>
  </si>
  <si>
    <t>Безвозмездное бессрочное пользование ОВД го Серебряные Пруды. Договор от 25.07.2013г №1-2013-07</t>
  </si>
  <si>
    <t>Распоряжеие администрации от 26.09.2012г №20</t>
  </si>
  <si>
    <t>1.101.04.911</t>
  </si>
  <si>
    <t>30.09.2013г</t>
  </si>
  <si>
    <t>Акт от 30.09.2013г №38</t>
  </si>
  <si>
    <t>1.101.04.1168</t>
  </si>
  <si>
    <t>1.101.04.1007</t>
  </si>
  <si>
    <t>Акт от 30.11.2014г №57</t>
  </si>
  <si>
    <t>Акт от 30.11.2014г №63</t>
  </si>
  <si>
    <t>1.101.04.1011</t>
  </si>
  <si>
    <t>30.11.2014г</t>
  </si>
  <si>
    <t>Акт от 30.11.2014г №67</t>
  </si>
  <si>
    <t>1.101.04.132</t>
  </si>
  <si>
    <t>Акт от 22.04.2009г №136</t>
  </si>
  <si>
    <t>Товарная накладная от 05.12.2007г №41</t>
  </si>
  <si>
    <t>27.03.2008г</t>
  </si>
  <si>
    <t>Товарная накладная от 27.03.2008г №6</t>
  </si>
  <si>
    <t>Противогаз 140 шт.</t>
  </si>
  <si>
    <t>Противогаз 55 шт.</t>
  </si>
  <si>
    <t>Товарная накладная от 23.04.2008г №10</t>
  </si>
  <si>
    <t>Противогаз 210 шт.</t>
  </si>
  <si>
    <t>23.07.2008г</t>
  </si>
  <si>
    <t>23.04.2008г</t>
  </si>
  <si>
    <t>05.12.2007г</t>
  </si>
  <si>
    <t>22.04.2009г</t>
  </si>
  <si>
    <t>Товарная накладная от 23.07.2008г №18</t>
  </si>
  <si>
    <t>Акт от 16.02.2010г №1</t>
  </si>
  <si>
    <t>02.09.2010г</t>
  </si>
  <si>
    <t>Акт от 02.09.2010г №46</t>
  </si>
  <si>
    <t>31.08.2014г</t>
  </si>
  <si>
    <t>Акт от 31.08.2014г №53</t>
  </si>
  <si>
    <t>Акт от 31.08.2014г №54</t>
  </si>
  <si>
    <t>Акт от 31.07.2013г №31</t>
  </si>
  <si>
    <t>Акт от 14.03.2015 №4</t>
  </si>
  <si>
    <t>13.03.2015г</t>
  </si>
  <si>
    <t>Акт от 13.03.2015г № 8</t>
  </si>
  <si>
    <t>1.101.04.176</t>
  </si>
  <si>
    <t>1.101.04.294</t>
  </si>
  <si>
    <t>1.101.04.1001</t>
  </si>
  <si>
    <t>1.101.04.1002</t>
  </si>
  <si>
    <t>1.101.04.908</t>
  </si>
  <si>
    <t>1.101.04.1171</t>
  </si>
  <si>
    <t>1.101.04.1175</t>
  </si>
  <si>
    <t>1.101.04.1172</t>
  </si>
  <si>
    <t>Акт от 13.03.2015г № 5</t>
  </si>
  <si>
    <t>1.101.04.1173</t>
  </si>
  <si>
    <t>Акт от 13.03.2015г № 6</t>
  </si>
  <si>
    <t>1.101.04.1174</t>
  </si>
  <si>
    <t>Акт от 13.03.2015г № 7</t>
  </si>
  <si>
    <t>1.101.04.1178</t>
  </si>
  <si>
    <t>Акт от 13.03.2015г №12</t>
  </si>
  <si>
    <t>Акт от 28.09.2012г №25</t>
  </si>
  <si>
    <t>11.07.2007г</t>
  </si>
  <si>
    <t>Акт от 11.07.2007г №251</t>
  </si>
  <si>
    <t>Акт от 14.03.2007г №333</t>
  </si>
  <si>
    <t>Акт от 28.06.2014г №23</t>
  </si>
  <si>
    <t>Акт от 28.06.2014г №24</t>
  </si>
  <si>
    <t>31.10.2012г</t>
  </si>
  <si>
    <t>Акт от 31.10.2012г №36</t>
  </si>
  <si>
    <t>18.04.2018г</t>
  </si>
  <si>
    <t>Договор соц.найма № 1 от 07.02.2011 г. Наниматель: Каримова Мая Саидмуродовна</t>
  </si>
  <si>
    <t xml:space="preserve">Договр №3582/2009 на передачу квартиры (дома) в собственность граждан от 29.01.2009г. Регистрация №50:39:0080207:394-50/039/2018-3 от 18.04.2018 г. </t>
  </si>
  <si>
    <t>Нежилое помещение (часть здания ЦДК), нежилое, 2-х этажный, инв. 274:078-2559, лит, А</t>
  </si>
  <si>
    <t>Часть здания образовано при разделе здания общей площадью 2279,6 кв.м, кадастровый номер 50:39:0040202:512</t>
  </si>
  <si>
    <t>20.04.2018г</t>
  </si>
  <si>
    <t>Постановление администрации от 11.04.2018г №543. Запись в ЕГРН №50:39:0000000:4239-50/039/2018-2</t>
  </si>
  <si>
    <t>Московская область, Серебряно-Прудский район, д. Кузьминка, д.1, кв.15</t>
  </si>
  <si>
    <t>Акт инвентаризации б/н от 30.10.2017г. Ордер от 11.01.1988г №15, выданный исполнительным комитетом Серебряно-Прудского Совета народных депутатов Московской области</t>
  </si>
  <si>
    <t>Московская область, Серебряно-Прудский район, с. Узуново, мкр. Южный, д.8, кв.10</t>
  </si>
  <si>
    <t>Акт инвентаризации б/н от 30.10.2017г. Постановление главы сельского поселения Узуновское Московской области от 19.06.2007г №24</t>
  </si>
  <si>
    <t xml:space="preserve">Договор социального найма жилого помещения от 20.07.2007г №2, наниматель Солнцева Татьяна Павловна </t>
  </si>
  <si>
    <t xml:space="preserve">Акт инвентаризации б/н от 30.10.2017г. </t>
  </si>
  <si>
    <t>Московская область, Серебряно-Прудский район, с. Крутое, д.7, кв.15</t>
  </si>
  <si>
    <t>Акт инвентаризации б/н от 30.10.2017г. Постановление администрации сельского поселения Узуновское Московской области от 14.01.2013г №7-п</t>
  </si>
  <si>
    <t>Договор социального найма жилого помещения от 15.01.2013г №312, наниматель Колыванова Валентина Гавриловна</t>
  </si>
  <si>
    <t>Московская область, Серебряно-Прудский район, с. Митякино, д.11, кв.2</t>
  </si>
  <si>
    <t>Московская область, Серебряно-Прудский район, с. Глубокое, д.12, кв.3</t>
  </si>
  <si>
    <t>Географические координаты 54.286865 38.643288, ID номер в Реестре Минэкологии 650 409 166 - 1</t>
  </si>
  <si>
    <t>Географические координаты 54.273619 38.672947, ID номер в Реестре Минэкологии 650 409 126 - 1</t>
  </si>
  <si>
    <t>142954 М.О. Серебряно-Прудский р-н, д. Яблонево</t>
  </si>
  <si>
    <t>142954 М.О. Серебряно-Прудский р-н, д.Кормовое</t>
  </si>
  <si>
    <t>Географические координаты 54.36247 38.73115, ID номер в Реестре Минэкологии 650 409 181 - 1</t>
  </si>
  <si>
    <t>142954 М.О. Серебряно-Прудский р-н, с. Подхожее</t>
  </si>
  <si>
    <t>Географические координаты 54.316708 38.569887, ID номер в Реестре Минэкологии 650 409 171 - 5</t>
  </si>
  <si>
    <t>Московская область, Серебряно-Прудский район, с.Глубокое</t>
  </si>
  <si>
    <t>50:39:0030305:420</t>
  </si>
  <si>
    <t>50:39:0030305:421</t>
  </si>
  <si>
    <t>50:39:0030305:424</t>
  </si>
  <si>
    <t>Договор соц.найма № 8/2018 от 27.04.2018 Наниматель: Петрикеева Лариса Анатольевна</t>
  </si>
  <si>
    <t>Договор соц.найма № 7/2018 от 27.04.2018 г. Наниматель: Жуков Роман Александрович</t>
  </si>
  <si>
    <t>14.02.2018 г.</t>
  </si>
  <si>
    <t>Договор № 2/2018 передачи жилого помещения муниципального жилищного фонда в собственность граждан от 25.01.2018 г. Регистрация права собственности 50:39:0030305:382-50/039/2018-3 от 14.02.2018 г.</t>
  </si>
  <si>
    <t xml:space="preserve">Автомобильная дорога общего пользования (Проезд 1), протяженность 1192м, земельный участок 50:39:0000000:3688
</t>
  </si>
  <si>
    <t xml:space="preserve">Автомобильная дорога общего пользования (асфальтобетон), протяженностью 130,0 м. </t>
  </si>
  <si>
    <t>Московская область, Серебряно-Прудский район, с. Узуново, мкр. Южный, д.8. кв.12</t>
  </si>
  <si>
    <t>50:39:0030305:401</t>
  </si>
  <si>
    <t>Муниципальный контракт  от 06.04.2018г №0848600007418000032-0126220-03. Выписка из ЕГРН, регистрация права от 20.04.2018г  № 50:39:0030305:401-50/039/2018-2</t>
  </si>
  <si>
    <t>Постановление администрации от 13.04.2018г №560. Запись о прекращении права №50:39:0000000:4102-50/039/2017-2</t>
  </si>
  <si>
    <t xml:space="preserve">Земельный участок Категория земель - земли сельскохозяйственного назначения ВРИ -для ведения коллективного садоводства </t>
  </si>
  <si>
    <t>Московская область, р-н Серебряно-Прудский, рп Серебряные Пруды. снт Мягковские камушки, уч-к 84</t>
  </si>
  <si>
    <t>50:39:0040103:11</t>
  </si>
  <si>
    <t>Выписка из ЕГРН, регистрация от 25.12.2017г 3 50:39:0040103:11</t>
  </si>
  <si>
    <t>Раздел № 3 Сведения о муниципальных унитарных предприятиях, муниципальных учреждениях, хозяйственных обществах, товариществах, акции, доли (вклады) в уставном (складочном) капитале которых принадлежат муниципальным образованиям, иных юридических лицах, в которых муниципальное образование является учредителем (участником)</t>
  </si>
  <si>
    <t>Среднесписочная численность работников (для муниципальных учреждений и муниципальных унитарных предприятий)</t>
  </si>
  <si>
    <t>Акт инвентаризации б/н от 30.10.2017г. Решение Серебряно-Прудского районного суда Московской области от 08.07.2013г, дело №2-412/2013</t>
  </si>
  <si>
    <t>Нежилое здание (здание прачечной), инв. 272:077-1721</t>
  </si>
  <si>
    <t>Постановление главы Серебряно-Прудского муниципального района Московской области от 05.12.2008г №1384</t>
  </si>
  <si>
    <t>п. Серебряные Пруды М.О. ул.  Б. Луговая д. 8Б</t>
  </si>
  <si>
    <t>142954 М.О. городской округ Серебряные Пруды, с.Мочилы, ул. Лесная, д.13 кв. №11</t>
  </si>
  <si>
    <t>Решение Арбитражного суда Московской области Дело №А41-62799/17. Распоряжение Правительства Московской области от 28.03.2017г № 152-рп. Передаточный акт от 04.05.217г №152-рп. Выписка из ЕГРН, регистрация права от 18.12.2017г № 50:39:0020106:801-50/039/2017-1</t>
  </si>
  <si>
    <t>Московская область, городской округ Серебряные Пруды.  с. Узуново, мкр. Южный</t>
  </si>
  <si>
    <t>50:39:0030305:1025</t>
  </si>
  <si>
    <t xml:space="preserve"> Решение СД Сер.-Пруд. Муниц. р-на МО  № 106/24. Выписка из ЕГРН, регистрация права от 25.04.2018г №50:39:00300305:1025-50/039/2018-1</t>
  </si>
  <si>
    <t>Решение Совета депутатов № 697/70. Выписка из ЕГРН, регистрация права от 28.04.2018г №50:39:0080207:383-50/001/2018-2</t>
  </si>
  <si>
    <t>Решение Совета депутатов № 697/70. Выписка из ЕГРН, регистрация права от 28.04.2018г №50:39:0080207:385-50/001/2018-2</t>
  </si>
  <si>
    <t>Решение Совета депутатов № 697/70.Выписка из ЕГРН, регистрация права от 28.04.2018г №50:39:0080207:382-50/001/2018-2</t>
  </si>
  <si>
    <t>Решение Совета депутатов № 697/70. Выписка из ЕГРН, регистрация права от 28.04.2018г №50:39:0080207:384-50/001/2018-2</t>
  </si>
  <si>
    <t>Решение Совета депутатов № 697/70. Выписка из ЕГРН, регистрация права от 28.04.2018г №50:39:0080207:388-50/001/2018-2</t>
  </si>
  <si>
    <t>Решение Совета депутатов № 697/70. Выписка из ЕГРН, регистрация права от 28.04.2018г №50:39:0080207:389-50/001/2018-2</t>
  </si>
  <si>
    <t>Решение Совета депутатов № 696/70. Выписка из ЕГРН, регистрация права от 28.04.2018г №50:39:0030305:420-50/001/2018-1</t>
  </si>
  <si>
    <t>Решение Совета депутатов № 696/70. Выписка из ЕГРН, регистрация права от 28.04.2018г №50:39:0030305:421-50/001/2018-1</t>
  </si>
  <si>
    <t>Решение Совета депутатов № 696/70. Выписка из ЕГРН, регистрация права от 04.05.2018г №50:39:0030305:424-50/001/2018-1</t>
  </si>
  <si>
    <t>Договор №5/2018 передачи жилого помещения муниципального жилищного фонда в собственность граждан от 16.04.2018г. Регистрация №50:39:0080207:319-50/039/2018-3 от 08.05.2018г</t>
  </si>
  <si>
    <t>50:39:0060303:51</t>
  </si>
  <si>
    <t>50:39:0030303:51</t>
  </si>
  <si>
    <t>50:39:0030303:50</t>
  </si>
  <si>
    <t>50:39:0030305:151</t>
  </si>
  <si>
    <t>50:39:0080207:502</t>
  </si>
  <si>
    <t>Московская область, Серебряно-Прудский район, пос. Дмитриевский, д.3, кв.18</t>
  </si>
  <si>
    <t>Муниципальный контракт  от 28.04.2018г №0848600007418000113-0126220-04. Выписка из ЕГРН, регистрация права от 11.05.2018г  № 50:39:0080207:502-50/039/2018-1</t>
  </si>
  <si>
    <t>Муниципальный контракт  от 28.04.2018г №0848600007418000117-0126220-03. Выписка из ЕГРН, регистрация права от 11.05.2018г  № 50:39:0050507:108-50/039/2018-1</t>
  </si>
  <si>
    <t>Московская область, Серебряно-Прудский район, п. Успенский, ул. 50 лет Октября, д.2, кв.9</t>
  </si>
  <si>
    <t>50:39:0070207:177</t>
  </si>
  <si>
    <t>Муниципальный контракт  от 28.04.2018г №0848600007418000115-0126220-03. Выписка из ЕГРН, регистрация права от 11.05.2018г  № 50:39:0070207:177-50/039/2018-2</t>
  </si>
  <si>
    <t>Московская область, Серебряно-Прудский район, с. Узуново, мкр. Южный, д.27, кв.23</t>
  </si>
  <si>
    <t>50:39:0030305:692</t>
  </si>
  <si>
    <t>Муниципальный контракт  от 28.04.2018г №0848600007418000116-0126220-03. Выписка из ЕГРН, регистрация права от 11.05.2018г  № 50:39:0030305:692-50/039/2018-2</t>
  </si>
  <si>
    <t>50:39:0030303:63</t>
  </si>
  <si>
    <t>50:39:0030305:155</t>
  </si>
  <si>
    <t>50:39:0030305:152</t>
  </si>
  <si>
    <t>50:39:0020314:503</t>
  </si>
  <si>
    <t>50:39:0040204:95</t>
  </si>
  <si>
    <t>50:39:0020208:621</t>
  </si>
  <si>
    <t>50:39:0020208:623</t>
  </si>
  <si>
    <t>50:39:0010108:581</t>
  </si>
  <si>
    <t>50:39:0000000:948</t>
  </si>
  <si>
    <t>50:39:0000000:949</t>
  </si>
  <si>
    <t>50:39:0020321:236</t>
  </si>
  <si>
    <t>50:39:0010302:504</t>
  </si>
  <si>
    <t>Договор № 30/2016 передачи жилого помещения муниципального жилищного фонда в собственность граждан от 21.07.2016г. Регистрация права от 20.09.2016г № 50-50/039-50/008/2016-4429-2,3</t>
  </si>
  <si>
    <t>50:39:0070207:244</t>
  </si>
  <si>
    <t>Муниципальный контракт  от 08.05.2018г №0848600007418000114-0126220-03. Выписка из ЕГРН, регистрация права от 16.05.2018г  № 50:39:0070207:244-50/039/2018-3</t>
  </si>
  <si>
    <t>Московская область, Серебряно-Прудский район, п. Успенский, ул. 50 лет Октября, д.7, кв.13</t>
  </si>
  <si>
    <t>д. Барыково г.о. Серебряные Пруды</t>
  </si>
  <si>
    <t>Московская область,  г.о. Серебряные Пруды, д. Барыково</t>
  </si>
  <si>
    <t xml:space="preserve">Московская область,  г.о. Серебряные Пруды, д. Барыково </t>
  </si>
  <si>
    <t>Московская область,  г.о. Серебряные Пруды, д. Беляево</t>
  </si>
  <si>
    <t xml:space="preserve">Московская область,  г.о. Серебряные Пруды, д. Беляево </t>
  </si>
  <si>
    <t>Московская область,  г.о. Серебряные Пруды, д. Большое Орехово</t>
  </si>
  <si>
    <t xml:space="preserve">Московская область,  г.о. Серебряные Пруды, с. Клемово </t>
  </si>
  <si>
    <t xml:space="preserve">Московская область,  г.о. Серебряные Пруды, с. Петрово - д. Красный Пахарь </t>
  </si>
  <si>
    <t xml:space="preserve">Московская область,  г.о. Серебряные Пруды, с. Есипово </t>
  </si>
  <si>
    <t xml:space="preserve">Московская область,  г.о. Серебряные Пруды, д. Невежино </t>
  </si>
  <si>
    <t xml:space="preserve">Московская область,  г.о. Серебряные Пруды, д. Титеево </t>
  </si>
  <si>
    <t>Московская область,  г.о. Серебряные Пруды, д. Никольское</t>
  </si>
  <si>
    <t xml:space="preserve">Московская область,  г.о. Серебряные Пруды, д. Малое Орехово </t>
  </si>
  <si>
    <t>Московская область,  г.о. Серебряные Пруды, д. Ларино</t>
  </si>
  <si>
    <t>Московская область,  г.о. Серебряные Пруды, д. Старомойгоры</t>
  </si>
  <si>
    <t xml:space="preserve">Московская область,  г.о. Серебряные Пруды, д. Старомойгоры </t>
  </si>
  <si>
    <t xml:space="preserve">Московская область,  г.о. Серебряные Пруды, д. Новомойгоры </t>
  </si>
  <si>
    <t xml:space="preserve">Московская область,  г.о. Серебряные Пруды, д. Петровские Выселки </t>
  </si>
  <si>
    <t>Московская область,  г.о. Серебряные Пруды, с. Мягкое</t>
  </si>
  <si>
    <t xml:space="preserve">Московская область,  г.о. Серебряные Пруды, с. Мягкое </t>
  </si>
  <si>
    <t xml:space="preserve">Московская область,  г.о. Серебряные Пруды, д. Куньи Выселки </t>
  </si>
  <si>
    <t xml:space="preserve">Московская область,  г.о. Серебряные Пруды, д. Никольское </t>
  </si>
  <si>
    <t>18.05.2018г</t>
  </si>
  <si>
    <t>Автомобильная дорога д. Барыково, участок 1 (покрытие щебень 0,300 км, грунт 0,255 км). Протяженностью 555м</t>
  </si>
  <si>
    <t>Грунтовая автомобильная дорога д. Барыково, участок 2 . Протяженностью 546м</t>
  </si>
  <si>
    <t>Грунтовая автомобильная дорога д. Барыково, участок 8 . Протяженностью 450м</t>
  </si>
  <si>
    <t xml:space="preserve">Грунтовая автомобильная дорога д. Беляево, участок 1. Протяженностью 333м </t>
  </si>
  <si>
    <t xml:space="preserve">Грунтовая автомобильная дорога д. Беляево, участок 2. Протяженностью 117м </t>
  </si>
  <si>
    <t xml:space="preserve">Грунтовая автомобильная дорога д. Беляево, участок 3. Протяженностью 257м </t>
  </si>
  <si>
    <t>Автомобильная дорога с твердым покрытием д. Беляево, участок 4 (покрытие ж/б плиты). Протяженностью 90м</t>
  </si>
  <si>
    <t>Автомобильная дорога д. Беляево, участок 8 (покрытие отсутствует). Протяженностью 478м</t>
  </si>
  <si>
    <t>Грунтовая автомобильная дорога д. Беляево, участок 9-11. Протяженностью 858м</t>
  </si>
  <si>
    <t>Грунтовая автомобильная дорога д. Большое Орехово, участок 3. Протяженностью 200м</t>
  </si>
  <si>
    <t>Автомобильная дорога с твердым покрытием с. Клемово, участок 7 (покрытие щебень). Протяженностью 583м</t>
  </si>
  <si>
    <t xml:space="preserve">Грунтовая автомобильная дорога с. Клемово, участок 6. Протяженностью 197м </t>
  </si>
  <si>
    <t>Грунтовая автомобильная дорога с. Петрово - д. Красный Пахарь. Протяженностью 350м</t>
  </si>
  <si>
    <t>Автомобильная дорога с твердым покрытием с. Есипово, участок 1 (покрытие щебень). Протяженностью 410м</t>
  </si>
  <si>
    <t xml:space="preserve">Грунтовая автомобильная дорога с. Есипово, участок 5. Протяженностью 330м  </t>
  </si>
  <si>
    <t>Автомобильная дорога с твердым покрытием с. Есипово, участок 6 (покрытие щебень). Протяженностью 1068м</t>
  </si>
  <si>
    <t>Автомобильная дорога с. Есипово, участок 7 (покрытие отсутствует). Протяженностью 800м</t>
  </si>
  <si>
    <t xml:space="preserve">Грунтовая автомобильная дорога с. Есипово, участок 8. Протяженностью 225м </t>
  </si>
  <si>
    <t xml:space="preserve">Грунтовая автомобильная дорога с. Есипово, участок 9. Протяженностью 157м </t>
  </si>
  <si>
    <t xml:space="preserve">Грунтовая автомобильная дорога с. Есипово, участок 10. Протяженностью 140м </t>
  </si>
  <si>
    <t xml:space="preserve">Грунтовая автомобильная дорога с. Есипово, участок 11. Протяженностью 457м </t>
  </si>
  <si>
    <t>Грунтовая автомобильная дорога с. Есипово, участки 12 - 14 . Протяженностью 590м</t>
  </si>
  <si>
    <t>Грунтовая автомобильная дорога с. Есипово, участки 15. Протяженностью 150м</t>
  </si>
  <si>
    <t>Грунтовая автомобильная дорога с. Есипово, участок 16 (покрытие отсутствует). Протяженностью 260м</t>
  </si>
  <si>
    <t>Грунтовая автомобильная дорога д. Невежино, участок 1. Протяженностью 1800м</t>
  </si>
  <si>
    <t>Грунтовая автомобильная дорога д. Невежино, участок 2. Протяженностью 130м</t>
  </si>
  <si>
    <t xml:space="preserve">Грунтовая автомобильная дорога д. Титеево, участок 1. Протяженностью 620м </t>
  </si>
  <si>
    <t xml:space="preserve">Грунтовая автомобильная дорога д. Титеево, участок 2. Протяженностью 190м </t>
  </si>
  <si>
    <t xml:space="preserve">Грунтовая автомобильная дорога д. Титеево, участок 3. Протяженностью 309м </t>
  </si>
  <si>
    <t xml:space="preserve">Грунтовая автомобильная дорога д. Титеево, участок 4. Протяженностью 160м </t>
  </si>
  <si>
    <t xml:space="preserve">Грунтовая автомобильная дорога д. Титеево, участок 5. Протяженностью 120м </t>
  </si>
  <si>
    <t>Грунтовая автомобильная дорога д. Малое Орехово, участок 1. Протяженностью 344м</t>
  </si>
  <si>
    <t>Грунтовая автомобильная дорога д. Никольское, участок 3, 6. Протяженностью 318м</t>
  </si>
  <si>
    <t>Грунтовая автомобильная дорога д. Никольское, участок 1. Протяженностью 350м</t>
  </si>
  <si>
    <t>Грунтовая автомобильная дорога д. Никольское, участок 2. Протяженностью 194м</t>
  </si>
  <si>
    <t>Грунтовая автомобильная дорога д. Никольское, участки 4-5. Протяженностью 2710м</t>
  </si>
  <si>
    <t>Грунтовая автомобильная дорога д. Куньи Выселки участок 7. Протяженностью 313м</t>
  </si>
  <si>
    <t>Автомобильная дорога с твердым покрытием с. Мягкое участок 4 (покрытие асфальт). Протяженностью 167м</t>
  </si>
  <si>
    <t xml:space="preserve">Грунтовая автомобильная дорога с. Мягкое участок 1. Протяженностью 707м </t>
  </si>
  <si>
    <t>Грунтовая автомобильная дорога с. Мягкое участок 2. Протяженностью 110м</t>
  </si>
  <si>
    <t>Грунтовая автомобильная дорога с. Мягкое участок 5. Протяженностью 120м</t>
  </si>
  <si>
    <t>Грунтовая автомобильная дорога с. Мягкое участок 6. Протяженностью 225м</t>
  </si>
  <si>
    <t xml:space="preserve">Грунтовая автомобильная дорога с. Мягкое участок 7. Протяженностью 325м </t>
  </si>
  <si>
    <t xml:space="preserve">Грунтовая автомобильная дорога с. Мягкое участок 8. Протяженностью 208м </t>
  </si>
  <si>
    <t xml:space="preserve">Грунтовая автомобильная дорога с. Мягкое участок 9. Протяженностью 290м </t>
  </si>
  <si>
    <t>Грунтовая автомобильная дорога д. Петровские Выселки участок 2. Протяженностью 700м</t>
  </si>
  <si>
    <t>Грунтовая автомобильная дорога д. Новомойгоры участок 4. Протяженностью 415м</t>
  </si>
  <si>
    <t>Грунтовая автомобильная дорога д. Новомойгоры участок 5. Протяженностью 230м</t>
  </si>
  <si>
    <t>Грунтовая автомобильная дорога д. Новомойгоры участок 6. Протяженностью 570м</t>
  </si>
  <si>
    <t>Грунтовая автомобильная дорога д. Новомойгоры участок 7. Протяженностью 213м</t>
  </si>
  <si>
    <t>Грунтовая автомобильная дорога д. Новомойгоры участок 9. Протяженностью 161м</t>
  </si>
  <si>
    <t>Автомобильная дорога с твердым покрытием д. Старомойгоры участок 3 (покрытие щебень). Протяженностью 475м</t>
  </si>
  <si>
    <t>Грунтовая автомобильная дорога д. Старомойгоры участок 4. Протяженностью 159м</t>
  </si>
  <si>
    <t>Грунтовая автомобильная дорога д. Старомойгоры участок 5-6. Протяженностью 140м</t>
  </si>
  <si>
    <t xml:space="preserve">Грунтовая автомобильная дорога д. Ларино участок 2. Протяженностью 366м </t>
  </si>
  <si>
    <t>14.05.2018г</t>
  </si>
  <si>
    <t>Решение Совета депутатовт городского округа Серебряные пруды Московской области от 23.04.2018г № 100/14. Договор дарения от 14.05.2018г №1</t>
  </si>
  <si>
    <t>Качели односекционные на цепочках на металлических стойках, п. Успенский, ул. Садовая, д.1а</t>
  </si>
  <si>
    <t>Качели односекционные на цепочках на металлических стойках, п. Успенский, ул. Садовая, д.2</t>
  </si>
  <si>
    <t>Качели односекционные на цепочках на металлических стойках, п. Успенский, ул. Садовая, д. 4</t>
  </si>
  <si>
    <t>Песочница «Сказка». с. Узуново, ул. Советская. Д.7а</t>
  </si>
  <si>
    <t>Качели- балансир одиночные «Краб», п. Успенский, ул. Садовая, д.1а</t>
  </si>
  <si>
    <t>Качели- балансир одиночные «Краб»,  п. Успенский, ул. Садовая, д.2</t>
  </si>
  <si>
    <t>Качели- балансир одиночные «Краб»,  п. Успенский, ул. Садовая, д.4</t>
  </si>
  <si>
    <t>Качели- балансир одиночные «Зебра», рп Серебряные Пруды, мкр-н Западный, д.11-12</t>
  </si>
  <si>
    <t>Малый комплекс «Ромашка», рп Серебряные Пруды, мкр-н Западный, д.11-12</t>
  </si>
  <si>
    <t>Горка «Лайм», с. Узуново, ул. Советская, д.7а</t>
  </si>
  <si>
    <t>Скат для горки термостойкий пластик (красный), п. Успенский, ул. Луговая, д.2</t>
  </si>
  <si>
    <t>Скат для горки термостойкий пластик (красный), п. Успенский, ул. 50 лет Октября, д.3</t>
  </si>
  <si>
    <t>Скат для горки термостойкий пластик (красный), п. Успенский, ул. 50 лет Октября, д.7</t>
  </si>
  <si>
    <t>Скат для горки термостойкий пластик (красный),  п. Успенский, ул. Луговая, д.6</t>
  </si>
  <si>
    <t>Скат для горки термостойкий пластик (красный),  п. Успенский, ул. Запрудная, д.11</t>
  </si>
  <si>
    <t>Скат для горки термостойкий пластик (красный). П. Дмитриевский, д.1</t>
  </si>
  <si>
    <t>Светодиодный «Клип-лайт» LED 15-12v100v, с. Узуново</t>
  </si>
  <si>
    <t>Гирлянда с/д «Спайдер» LED-200*5-20 24v красный, с. Петрово</t>
  </si>
  <si>
    <t>Гирлянда с/д «Спайдер» LED-200*5-20 24v красный, с. Узуново</t>
  </si>
  <si>
    <t>Гирлянда с/д «Спайдер» LED-200*5-20 24v красный, с. Крутое</t>
  </si>
  <si>
    <t>Гирлянда с/д «Спайдер» LED-200*5-20 24v розовый, с. Узуново</t>
  </si>
  <si>
    <t>Гирлянда с/д «Спайдер» LED-200*5-20 24v зеленый, с. Глубокое</t>
  </si>
  <si>
    <t>Гирлянда с/д «Спайдер» LED-200*5-20 24v зеленый, с. Узуново</t>
  </si>
  <si>
    <t>Гирлянда с/д «Спайдер» LED-200*5-20 24v синий, с. Узуново</t>
  </si>
  <si>
    <t>БК-04, рп Серебряные Пруды, рп Серебряные Пруды. ул. Привокзальная, д.26</t>
  </si>
  <si>
    <t>БК-11,  рп Серебряные Пруды. ул. Привокзальная, д.26</t>
  </si>
  <si>
    <t>БК-00,  рп Серебряные Пруды. ул. Привокзальная, д.26</t>
  </si>
  <si>
    <t>Курвиметр, п. Успенский, ул. Трудовая, д.14</t>
  </si>
  <si>
    <t>Курвиметр, с. Узуново, ул. Советская, д.7а</t>
  </si>
  <si>
    <t>Информационный стенд,  рп Серебряные Пруды. ул. Привокзальная, д.26</t>
  </si>
  <si>
    <t>Компрессор КВ 430/100 Интерскол,  рп Серебряные Пруды, ул. Привокзальная, д.26</t>
  </si>
  <si>
    <t>Сверлильный станок.  рп Серебряные Пруды, ул. Привокзальная, д.26</t>
  </si>
  <si>
    <t>Точильный станок,  рп Серебряные Пруды, ул. Привокзальная, д.26</t>
  </si>
  <si>
    <t>Курвиметр,  рп Серебряные Пруды, ул. Привокзальная, д.26</t>
  </si>
  <si>
    <t>Информационный стенд,  рп Серебряные Пруды, ул. Привокзальная, д.26</t>
  </si>
  <si>
    <t>Качели на цепочках двойные на металлических стойках, с. Узуново, ул. Советская, д.7а</t>
  </si>
  <si>
    <t>Артскважина № 46 211821, глубина 115м, насос ЭЦВ-6-16-1401</t>
  </si>
  <si>
    <t>Решение Совета депутатов № 696/70, Выписка из ЕГРП, регистарция № 50-50/001-50/999/001/2016-19597/1 от 22.11.2016г</t>
  </si>
  <si>
    <t>50:39:0030107:223</t>
  </si>
  <si>
    <t>Свидетельство о регистрации права НА №0595053. Выписка из ЕГРН, регистрация права от 16.05.2018 № 50:39:0030107:223-50/001/2018-2</t>
  </si>
  <si>
    <t>50:39:0040201:15</t>
  </si>
  <si>
    <t>Свидет-во о регистрации права, регистрация № 50-50/039-50/008/2016-2755/1</t>
  </si>
  <si>
    <t>Решение СД Сер.-Пруд. Муниц. р-на МО  № 106/24 от 24.10.1997г Распоряжение администрации Серебряно-Прудского муниципального района 278-р. Выписка ЕГРН от 08.11.2016г, регистрация права от 18.11.2016г №50-50/039-50/999/001/2016-17774/1</t>
  </si>
  <si>
    <t>50:39:0030303:287</t>
  </si>
  <si>
    <t>50:39:0000000:4485</t>
  </si>
  <si>
    <t>30.05.2018г</t>
  </si>
  <si>
    <t>Договор №1/2018 передачи жилого помещения муниципальногоь жилищного фонда в собственность граждан от 19.01.2018г. Регистрация права от 30.05.2018г №50:39:0000000:4485-50/039/2018-3</t>
  </si>
  <si>
    <t>Решение Совета депутатов городского округа от 27.12.2016г № 895/91. Договор дарения имущества №2 от 10.01.2017г. Выписка из ЕГРН, регистрация права от 06.06.2018г № 50:39:0050301:680-50/039/2018-1</t>
  </si>
  <si>
    <t>04.05.218г</t>
  </si>
  <si>
    <t>Распоряжение Правительства Московской области от 13.04.2018г №192-рп, Передаточный акт №192-рп от 04.05.2018г, выписка ЕГРн, регистрация права от 06.06.2018г №50:39:0020106:801-50/039/2018-3</t>
  </si>
  <si>
    <t>01.06.2018г</t>
  </si>
  <si>
    <t xml:space="preserve">Решение Совета депутатов го Серебряные Пруды МО от 01.06.2018г № 114/17. Акта инвентаризации от 30.10.2017г. </t>
  </si>
  <si>
    <t xml:space="preserve">Исключено на основании Акта инвентаризации от 30.10.2017г. Объекта фактически не существует, здание давно снесено, оотсутсвует даже фундамент. </t>
  </si>
  <si>
    <t>Исключено задвоено со стр.141</t>
  </si>
  <si>
    <t>Исключено, является часть стр.82</t>
  </si>
  <si>
    <t>Исключено, задвоение со стр. 2128, не является жил.фондом</t>
  </si>
  <si>
    <t>Исключено  на основании Акта инвентаризации от 30.10.2017г, объект фактически отсутствуют</t>
  </si>
  <si>
    <t>Исключено, задвоено со стр. 140</t>
  </si>
  <si>
    <t>Исключено, задвоено со стр. 378</t>
  </si>
  <si>
    <t>Изменения о балансовой стоимости и амортизации на основании служебной записки от главного бухгалтера администрации</t>
  </si>
  <si>
    <t>Сведения о прекращнии права внесены на основании Акта инвентаризации от 30.10.2017г</t>
  </si>
  <si>
    <t>Жилая площадь 29,9 кв.м.</t>
  </si>
  <si>
    <t>Сведения о прекращении права внесены на основании Акта инвентаризации от 30.10.2017г</t>
  </si>
  <si>
    <t>Договор соц.найма № 90/2016 от 27.10.2016 Наниматель: Тундорова Елена Александровна</t>
  </si>
  <si>
    <t xml:space="preserve"> Сведения о прекращении права внесены на основании Акта инвентаризации от 30.10.2017г</t>
  </si>
  <si>
    <t>Договор соц.найма№ 185/20107 от 09.10.2017 Наниматель: Вороная Екатерина Владимировна</t>
  </si>
  <si>
    <t>Сведения о прекращении прав внесены на основании Акта инвентраризации от 30.10.2017г</t>
  </si>
  <si>
    <t xml:space="preserve"> Сведения о прекращении прав внесены на основании Акта инвентраризации от 30.10.2017г</t>
  </si>
  <si>
    <t xml:space="preserve"> Общая площадь квартиры 53,4 кв.м (кадастровый номер 50:39:0000000:2889), в собственности граждан комната площадью 17.3 кв.м (кадастровый номер 50:39:0070205:64) в муниципальной собственности комната площадью 12 кв.м и места общего пользования общей площадью 9,87 кв.м. (Согласно копии тех.плана от 01.04.2009г)</t>
  </si>
  <si>
    <t>Квартира оформлена как часть дома, сформирован участок по ЛПХ, частная собственность</t>
  </si>
  <si>
    <t xml:space="preserve">Изменения о стоимости, а также о составе площадки внесены на основании служебной записки от Зам.начальника управления по общим вопросам - главного бухгалтера Малихиной Е.А. от 18.01.2018г . </t>
  </si>
  <si>
    <t xml:space="preserve"> Выделено за счет долей совхоза  Южный, участок 50:39:0000000:10. Собственность.</t>
  </si>
  <si>
    <t>Выделено за счет долей совхоза  Южный, участок 50:39:0000000:10. Собственность.</t>
  </si>
  <si>
    <t>Выделено за счет долей совхоза Карла Маркса, участок 50:39:0000000:32. Собственность.</t>
  </si>
  <si>
    <t xml:space="preserve"> Жилая  площадь 38,7 кв.м  Договор соц.найма № 24/2016 от 19.05.2016 Наниматель: Савин Анатолий Евгеньевич</t>
  </si>
  <si>
    <t>Сведения об адресе уточнены на основании Акта инвентаризации от 30.10.2017г</t>
  </si>
  <si>
    <t>В выписке ЕГРН назначение помещения: жилое. Внесены сведения о кадастровой стоимости.</t>
  </si>
  <si>
    <t xml:space="preserve"> В выписке ЕГРН от 09.04.2018г назначение помещения: жилое. Внесены сведения о кадастровой стоимости.</t>
  </si>
  <si>
    <t>Договор соц.найма№ 106/2017 от 11.04.2017 Наниматель: Ватрушкина Людмила Анатольевна</t>
  </si>
  <si>
    <t xml:space="preserve">Сведенния о балансовой и кадастровой стоимости внесены на основании выписки из ЕГРН от 06.04.2018г. Собственность </t>
  </si>
  <si>
    <t>Собственность. Кадастровая стоимость внесена на основании выписки из ЕГРН от 17.04.2018г</t>
  </si>
  <si>
    <t>Балансовая стоимость внесена на основании оценки. Кадастровая стоимость согласно выпискпи ЕГРН от 06.05.2018г</t>
  </si>
  <si>
    <t>особо ценное движимое имущество. Постановление от 16.01.2017 № 107. Исключено из особо ценного имущества Постановлением от 10.02.2017г №291. Исключено согласно Положению о порядке ведения Реестра, утвержденного Решение Совета депутатов от 21.07.2016г № 817/79</t>
  </si>
  <si>
    <t>Исключено, задвоено со стр.9705</t>
  </si>
  <si>
    <t>Решение Совета депутатов го Серебряные пруды МО от 01.06.2018г №114/17</t>
  </si>
  <si>
    <t xml:space="preserve"> Передано на баланс администрации от ЦДК го Серебряные Пруды МО. Постановление от 19.02.2018г №275</t>
  </si>
  <si>
    <t xml:space="preserve"> Особо ценное движимое имущество. Постановление от 25.01.2018г №107</t>
  </si>
  <si>
    <t>Особо ценное движимое имущество. Постановление от 30.01.2018г №136</t>
  </si>
  <si>
    <t xml:space="preserve"> Особо ценное движимое имущество. Постановление от 05.02.2018г №168.</t>
  </si>
  <si>
    <t>Особо ценное движимое имущество. Постановление от 05.02.2018г №168.</t>
  </si>
  <si>
    <t>Особо ценное движимое имущество. Постановление от 07.02.2018г №182.</t>
  </si>
  <si>
    <t>Особо ценное движимое имущество. Постановление от 07.02.2018г №184.</t>
  </si>
  <si>
    <t xml:space="preserve"> Особо ценное движимое имущество. Постановление от 07.02.2018г №187 </t>
  </si>
  <si>
    <t xml:space="preserve"> Особо ценное движимое имущество. Постановление от 27.02.2018г №304</t>
  </si>
  <si>
    <t>Особо ценное движимое имущество. Постановление от 27.02.2018г №307</t>
  </si>
  <si>
    <t>Особо ценное движимое имущество. Постановление от 27.02.2018г №309</t>
  </si>
  <si>
    <t>Особо ценное движимое имущество. Постановление от 27.02.2018г №310</t>
  </si>
  <si>
    <t>Особо ценное движимое имущество. Постановление от 12.03.2018г №349</t>
  </si>
  <si>
    <t xml:space="preserve"> Особо ценное движимое имущество. Постановление от 25.09.2017г №2076</t>
  </si>
  <si>
    <t xml:space="preserve"> Особо ценное имущество. Постановление от 10.02.2017г №293</t>
  </si>
  <si>
    <t>Особо ценное имущество. Постановление от 10.02.2017г №293</t>
  </si>
  <si>
    <t xml:space="preserve"> Особо ценное имущество. Постановление от 10.02.2017г №289</t>
  </si>
  <si>
    <t xml:space="preserve"> Особо ценное имущество. Постановление от 11.12.2017г №2630</t>
  </si>
  <si>
    <t>Особо ценное имущество. Постановление от 26.10.2017г №2363</t>
  </si>
  <si>
    <t xml:space="preserve"> Особо ценное имущество. Постановление от 26.10.2017г №2363</t>
  </si>
  <si>
    <t>Особо ценное имущество. Постановление от 14.12.2017г №2670</t>
  </si>
  <si>
    <t xml:space="preserve"> Особо ценное имущество. Постановление от 27.09.2017г №2099</t>
  </si>
  <si>
    <t xml:space="preserve"> Особо ценное имущество. Постановление от 27.09.2017г №2098</t>
  </si>
  <si>
    <t>Особо ценное имущество. Постановление от 27.09.2017г №2101</t>
  </si>
  <si>
    <t xml:space="preserve"> Особо ценное имущество. Постановление от 27.11.2017г №2530</t>
  </si>
  <si>
    <t>Особо ценное движимое имущество. Постановление от 27.09.2017г №2096</t>
  </si>
  <si>
    <t xml:space="preserve"> Особо ценное движимое имущество. Постановление от 14.12.2017г №2651</t>
  </si>
  <si>
    <t xml:space="preserve"> Особо ценное имущество. Постановление от 11.12.2017г №2628</t>
  </si>
  <si>
    <t>Особо ценное имущество. Постановление от 11.12.2017г №2628</t>
  </si>
  <si>
    <t xml:space="preserve"> Особо ценное имущество. Постановление от 01.11.2017г №2389</t>
  </si>
  <si>
    <t>Особо ценное имущество. Постановление от 01.11.2017г №2389</t>
  </si>
  <si>
    <t xml:space="preserve"> Особо ценное имущество. Постановление от 27.09.2017г №2100</t>
  </si>
  <si>
    <t>Решение Совета депутатов городского округа Серебряные пруды Московской области от 23.04.2018г № 100/14. Договор дарения от 14.05.2018г №1</t>
  </si>
  <si>
    <t>50:39:0000000:4036</t>
  </si>
  <si>
    <t>50:39:0030105:473</t>
  </si>
  <si>
    <t>50:39:0020206:395</t>
  </si>
  <si>
    <t>50:39:0020107:197</t>
  </si>
  <si>
    <t>50:39:0000000:4088</t>
  </si>
  <si>
    <t>50:39:0000000:4086</t>
  </si>
  <si>
    <t>50:39:0010106:33</t>
  </si>
  <si>
    <t>50:39:0040204:132</t>
  </si>
  <si>
    <t>50:39:0020109:197</t>
  </si>
  <si>
    <t>50:39:0000000:4087</t>
  </si>
  <si>
    <t>50:39:0030108:221</t>
  </si>
  <si>
    <t>50:39:0030208:380</t>
  </si>
  <si>
    <t>50:39:0000000:4037</t>
  </si>
  <si>
    <t>50:39:0030124:370</t>
  </si>
  <si>
    <t>50:39:0040202:912</t>
  </si>
  <si>
    <t>50:39:0020108:156</t>
  </si>
  <si>
    <t>50:39:0000000:4103</t>
  </si>
  <si>
    <t>50:39:0030302:858</t>
  </si>
  <si>
    <t>Автомобильная дорога общего пользования , протяженностью 23м. Расположена на земельном участке 50:39:0050507:100</t>
  </si>
  <si>
    <t>50:39:0050507:103</t>
  </si>
  <si>
    <t>Московская об. Городской округ Серебряные Пруды, р.п. Серебряные Пруды,       мкр-н Центральный (проезд к ж/д №6 и №9 от ул. Школьная;  проезд к ж/д №8 от ул. Советская; проезд к ж/д №5 от ул. Советская)</t>
  </si>
  <si>
    <t>50:39:0050503:694</t>
  </si>
  <si>
    <t>50:39:0050503:695</t>
  </si>
  <si>
    <t>50:39:0050504:384</t>
  </si>
  <si>
    <t>Автомобильная дорога общего пользования , протяженностью 151м. Расположена на земельном участке 50:39:0050201:792</t>
  </si>
  <si>
    <t>50:39:0050201:841</t>
  </si>
  <si>
    <t>50:39:0050602:503</t>
  </si>
  <si>
    <t>50:39:0000000:4205</t>
  </si>
  <si>
    <t>50:39:0050514:341</t>
  </si>
  <si>
    <t>50:39:0000000:4238</t>
  </si>
  <si>
    <t>50:39:0050405:333</t>
  </si>
  <si>
    <t>50:39:0050404:983</t>
  </si>
  <si>
    <t>50:39:0050101:667</t>
  </si>
  <si>
    <t>50:39:0020112:457</t>
  </si>
  <si>
    <t>50:39:0000000:4507</t>
  </si>
  <si>
    <t>Свидетельство о регистрации права 50-АА №132270. Выписка из ЕГРН, регистрация права от 20.05.2016г № 50-50/039/50/039/008/2016-1936-2</t>
  </si>
  <si>
    <t>Договор соц. найма от 21.05.2018г № 10/2018. Наниматель: Кузнецов Владимир Алексеевич</t>
  </si>
  <si>
    <t>Договор соц. найма от 21.05.2018г № 11/2018. Наниматель: Докунина Анна Ивановна</t>
  </si>
  <si>
    <t>50:39:0030305:634</t>
  </si>
  <si>
    <t>Договор №4/2018 передачи жилого помещения муниципального жилищного фонда в собственность граждан от 05.04.2018г. Регистрация права от 24.04.2018г №50:39:0030305:634-50/039/2018-3, 4, 5</t>
  </si>
  <si>
    <t>Московская область, Серебряно-Прудский район, снт Лобаново, уч-к 288</t>
  </si>
  <si>
    <t>50:39:0060203:159</t>
  </si>
  <si>
    <t xml:space="preserve">Выписка из ЕГРН, регистрация права  от 10.04.2018г № 50:39:0060203:159-50/039/2018-1 </t>
  </si>
  <si>
    <t>Московская об. Городской округ Серебряные Пруды, р.п. Серебряные Пруды ул. Школьная</t>
  </si>
  <si>
    <t>Уведомление о внесении изменений в ЕГРН от 18.06.2018г, регистрация №50/039/008/2018-2227</t>
  </si>
  <si>
    <t>Спец. Жил. Фонд. Постановление от 05.06.2018г №857. Труханович Денис Александрович. Поставноление от 09.06.2018г №880</t>
  </si>
  <si>
    <t>Спец. Жил. Фонд. Постановление от 05.06.2018г №858. Труханович Евгений Александрович. Постановление от 09.06.2018г №877</t>
  </si>
  <si>
    <t>Московская область, Серебряно-Прудский район, рп Серебряные Пруды. ул. Первомайская, д.8, кв.10</t>
  </si>
  <si>
    <t>Спец. Жил. Фонд. Постановление от 05.06.2018г №860. Ивкина Елена Алексеевна. Постановление от 09.06.2018г № 879</t>
  </si>
  <si>
    <t>Спец. Жил. Фонд. Постановление от 05.06.2018г №859. Алексашин Юрий Петрович. Постановление от 09.06.2018г №876</t>
  </si>
  <si>
    <t>Спец. Жил. Фонд. Постановление от 05.06.2018г №861. Труханович Вадим Александрович. Постановленние от 09.06.2018г №878.</t>
  </si>
  <si>
    <t>Спец. Жил. Фонд. Постановление от 28.05.2018г №807. Кузнецов Никита Андреевич. Постановление от 03.06.2018г № 833</t>
  </si>
  <si>
    <t>142970, Московская область,Серебряно-Прудский район, р.п.Серебряные Пруды (парк)</t>
  </si>
  <si>
    <t>Свидетельство о регистрации НА №0595089. выписка из ЕГРН, регистрация права от 21.05.2018г №50:39:0070207:29-50/001/2018-2</t>
  </si>
  <si>
    <t>Свидетельство о регистрации права НА №0595057. Выписка из ЕГРН, регистрация права от 21.05.2018г № 50:39:0040202:398-50/001/2018-2</t>
  </si>
  <si>
    <t>50:39:0030303:81</t>
  </si>
  <si>
    <t>Свидетельство о регистрации права НА №0595446. выписка из ЕГРН, регистрация права от 22.05.2018г № 50:39:0030303:81-50/001/2018-2</t>
  </si>
  <si>
    <t>Свидетельство о регистрации права 50-НВ № 084722. Выписка из ЕГРН, регистрация права от 18.05.2018г №50:39:0050404:381-50/001/2018-2</t>
  </si>
  <si>
    <t>Свидетельство о регистрации права 50-НА №0828401. Выписка из ЕГРН, регистрация права от 17.05.2018г № 50:39:0020208:759-50/001/2018-2</t>
  </si>
  <si>
    <t>22.05.2018г</t>
  </si>
  <si>
    <t>Решение о разделе здания от 07.05.2018г №56. Выписка ЕГРН от 22.05.2018г.</t>
  </si>
  <si>
    <t>При разделе здания сформированы два здания: здание с кадастровым номером 50:39:0060501:173 площадью 2674,6 кв.м., здание с кадастровым номером 50:39:0060501:174 площадью 1004,2 кв.м.</t>
  </si>
  <si>
    <t>50:39:0060501:174</t>
  </si>
  <si>
    <t>Здание нежилое, 2-х этажное, в том числе 1 подземный, инв. 3443</t>
  </si>
  <si>
    <t>50:39:0060501:173</t>
  </si>
  <si>
    <t>Здание нежилое, 3-х этажное, в том числе 1 подземный, инв. 3444</t>
  </si>
  <si>
    <t>Детская площадка (игровой комплекс "Британь"). п.Успенский ул.50 Лет Октября д.4. Площадью 49 кв.м.</t>
  </si>
  <si>
    <t>Детская площадка (игровой комплекс "Див", качели, качели-балансир, карусели, лавочки-3 шт ). п.Успенский ул.Садовая д.1"А". Площадью 450 кв.м.</t>
  </si>
  <si>
    <t>Детская площадка (горка, карусели,качели-балансир,игровой комплекс "Енот" , лавочки-3 шт., песочница). п.Успенский ул.50 Лет Октября д.5, д.3. Площадью 425 кв.м.</t>
  </si>
  <si>
    <t>Детская площадка (игровой комплекс "Аляска, песочница, лавка). п.Успенский ул.50 Лет Октября д.9, д.7. Площадью 225 кв.м.</t>
  </si>
  <si>
    <t>Детская площадка (лавочки-2 шт., качели, карусели, качели-балансир,песочница, игровой комплекс "Диф"). п.Успеский ул.Садовая д.2. Площадью 225 кв.м.</t>
  </si>
  <si>
    <t>Детская площадка (лавочки-2 шт., качели, карусели, качели-балансир, горка, игровой комплекс "Мадагаскар"). п.Успенский ул.Садовая д.4. Площадью 750 кв.м.</t>
  </si>
  <si>
    <t>Детская площадка (игровой комплекс "Енот", качели-балансир). п.Успенский ул.Советская д.4. Площадью 49 кв.м.</t>
  </si>
  <si>
    <t>Детская площадка (качели-2 шт., карусели, горка, качели-балансир, беседка, песочница, лавка, игровой комплекс "Британь"). п.Успенский ул.Луговая д.2. Площадью 450 кв.м.</t>
  </si>
  <si>
    <t>Детская площадка (шведская лесница, горка, качели, качели-балансир, карусели, шведская стенка с кольцом, лавка, игровой комплекс "Мадагаскар"). п.Успенский у.Луговая д.6. Площадью 456 кв.м.</t>
  </si>
  <si>
    <t>Детская площадка (качели, качели-балансир, карусели,песочница, урна, лавка- 3 шт.). п.Успенский ул.Луговая д.8, ул.Советская д.13, ул.Советская д.11. площадью 150 кв.м.</t>
  </si>
  <si>
    <t>Детская площадка (игровой комплекс "Енот", песочница, турник, горка, карусели, качели, качели-балансир, лавочки-2 шт., беседка).  п.Успенский ул.Советская д.10. Площадью 540 кв.м.</t>
  </si>
  <si>
    <t>Детская площадка ( игровой комплекс "Аляска", качели, карусели, качели-балансир, песочница, горка, шведская стенка). п.Успенский ул.Советская д.12. Площадью 480 кв.м.</t>
  </si>
  <si>
    <t>Детская площадка (качели,  горка, гусеница пластмассовая, лавочки-3 шт.,песочница, карусели, качели-балансир, игровой комплекс-пластмассовый). п.Успенский ул.Запрудная  д.7. Площадью 320 кв.м.</t>
  </si>
  <si>
    <t>Детская площадка (качели-балансир, шведская стенка с кольцами, шведская лестница, качели, беседка,лавки-2 шт., игровой комплекс "Енот"). п.Успенский ул.Запрудная д.11. Площадью 144 кв.м.</t>
  </si>
  <si>
    <t>Детская площадка (песочница, качели).  п.Успенский ул.Заводская д.5. Площадью 35 кв.м.</t>
  </si>
  <si>
    <t>Детская площадка (лавки-4 шт., урна, качели, горка, качели-балансир,шведская лестница-2 шт., песочница, радуга (рукоход), карусели, игровой комплекс "Див", гимнастический комплекс-2 шт.).  п.Дмитриевский д.2, д.4. площадью 900 кв.м.</t>
  </si>
  <si>
    <t>Спортивная площадка           1.Футбольное поле (ворота футбольные-2 шт. урна-1шт., лавки-2 шт.), 2.Волейбольная площадка (сетка волейбольная -1шт., лавочки-2 шт., урна-1шт.), 3.Гимнастическая площадка (турник-2шт,, баскетбольное кольцо, лавки 2-шт.).  п.Дмитриевский (возле дома интерната "Надежда"). Площадью 6000 кв.м.</t>
  </si>
  <si>
    <t>Спортивная площадка  (ворота с боскетбольным кольцом-2 шт.). п.Успенский ул.Луговая д.6, ул.Луговая д.2. Площадью 640 кв.м.</t>
  </si>
  <si>
    <t>Спортивная площадка - футбольное поле. п.Успенский ул.Трудовая. Площадью 10000 кв.м.</t>
  </si>
  <si>
    <t>Спортивная площадка (гимнастический комплекс, шведская лестница, луноход, лавки-3 шт.). п. Успенский, ул.Запрудная д.12. Площадью 270 кв.м.</t>
  </si>
  <si>
    <t>Спортивная площадка - тренажёрная  ( тренажёрный комплекс). п.Успенский ул.Луговая д.8, ул.Советская д.13, ул.Советская д.11. Площадью 120 кв.м.</t>
  </si>
  <si>
    <t>Спортивная площадка - волейбольная  ( лавки-4шт., сетка). п.Успенский ул.Луговая д.8, ул.Советская д.13, ул.Советская д.11. Площадью 216 кв.м.</t>
  </si>
  <si>
    <t>Спортивная площадка - баскетбольная ( лавки-4шт., баскетбольное кольцо-2 шт.). п.Успенский ул.Луговая д.8, ул.Советская д.13, ул.Советская д.11. Площадью 1130 кв.м.</t>
  </si>
  <si>
    <t>Детская площадка (лавка, песочница,шведская стенка, качели). п.Дмитриевский д.9. Площадью 36 кв.м.</t>
  </si>
  <si>
    <t>Детская площадка (качели, карусели-2шт., горка, песочница, лавки-2 шт., качели- балансир, урна-1 шт., игровой комплекс "Бретань").  п.Дмитриевский д.1. Площадью 504 кв.м.</t>
  </si>
  <si>
    <t>Детская площадка ( лавки-2 шт., шведская лесница, качели). д.Красновские Выселки ул.Школьная д.5. Площадью 200 кв.м.</t>
  </si>
  <si>
    <t>Детская площадка ( лавки-2 шт., игровой комплекс "Аляска"). п.Дмитриевский д.11, д. 12. Площадью 50 кв.м.</t>
  </si>
  <si>
    <t>Спортивная площадка (лавки-5 шт., урны-2 шт., рукоход, турник тройной, шведская лесница-3 шт, ограждение металлическое -26 шт.). п.Успенский ул.Советская д.5. Площадью 480 кв.м.</t>
  </si>
  <si>
    <t>Решение Совета депутатов № 697/70. Акта инвентаризации от 30.10.2017г</t>
  </si>
  <si>
    <t>Перенесено из Раздела 1. Недвижимое имущество</t>
  </si>
  <si>
    <t>Решение Совета депутатов № 698/70. Акта инвентаризации от 30.10.2017г</t>
  </si>
  <si>
    <t>Футбольное поле (мини). с.Мочилы, ул. Юбилейная. Площадью 1200 кв.м.</t>
  </si>
  <si>
    <t>Футбольное поле. с.Подхожее. Площадью 6000 кв.м.</t>
  </si>
  <si>
    <t>Футбольное поле (мини). д.Шеметово. Площадью 1500 кв.м.</t>
  </si>
  <si>
    <t>Волейбольная площадка. с.Мочилы ул.Юбилейная. Площадью 162 кв.м.</t>
  </si>
  <si>
    <t>Волейбольная площадка. д.Шеметово. Площадью 100 кв.м.</t>
  </si>
  <si>
    <t>Детская площадка. с.Мочилы, ул. Юбилейная, д.2. Площадью 400 кв.м.</t>
  </si>
  <si>
    <t>Детская площадка,  д. Шеметово д.13. Площадью 600 кв.м.</t>
  </si>
  <si>
    <t>Детская площадка, с.Подхожее, м-н Юбилейный, д.5. Площадью 600 кв.м.</t>
  </si>
  <si>
    <t>50:39:0030305:635</t>
  </si>
  <si>
    <t>Договор № 7/2018 передачи жилого помещения муниципального жилищного фонда в собственность граждан от 15.05.2018г. Регистрация права от 06.06.2018г № 50:39:0030305:635-50/039/2018-4,5,6,7</t>
  </si>
  <si>
    <t>50:39:0060306:419</t>
  </si>
  <si>
    <t>Свидетельство о регистрации права НА №0595088. Выписка из ЕГРН. Регистрация права от 22.05.2018г № 50:39:0060306:419-50/001/2018-2</t>
  </si>
  <si>
    <t xml:space="preserve"> городской округ Серебряные Пруды М.О. СНТ "Строитель" уч-к 196</t>
  </si>
  <si>
    <t>50:39:0040105:153</t>
  </si>
  <si>
    <t xml:space="preserve"> городской округ Серебряные Пруды М.О. СНТ Мягковские камушки, уч-к 214</t>
  </si>
  <si>
    <t>50:39:0040103:20</t>
  </si>
  <si>
    <t>Уведомление о регистрации права, регистрация № 50:39:0040103:20-50/039/2018-1 от 19.06.2018</t>
  </si>
  <si>
    <t>Выписка из ЕГРН, регистрация № 50:39:0040105:153-50/039/2018-2 от 04.06.2018</t>
  </si>
  <si>
    <t>19.06.2018г</t>
  </si>
  <si>
    <t>Ворота со щитом, п. Успенский, ул. Луговая д.2, д.6 (спортивная площадка)</t>
  </si>
  <si>
    <t>Баланс-качалка, п Успенский, ул. Советская, д.4</t>
  </si>
  <si>
    <t>Баланс-качалка, п. Успенский, ул. Луговая, д.2</t>
  </si>
  <si>
    <t>Баланс-качалка, п. Успенский, ул. Луговая, д.6</t>
  </si>
  <si>
    <t>Брусья, п. Успенский, ул. Советская, д.5 (спотривная площадка)</t>
  </si>
  <si>
    <t>Гимастический комплекс ГК-009, п. Успенский, ул. Запрудная, д.12</t>
  </si>
  <si>
    <t>Гимастический комплекс ГК-011, п. Дмитриевский (возле дома-интерната "Надежда")</t>
  </si>
  <si>
    <t>Гимнастический комплекс ГК-011, п. Дмитриевский (возле дома-интерната "Надежда")</t>
  </si>
  <si>
    <t>Гимнастический комплекс ГК-013, п Дмитриевский, д.2, д.4</t>
  </si>
  <si>
    <t>Гимнастический комплекс ГК-013, п Дмитриевский, д.9</t>
  </si>
  <si>
    <t>Горка, п. Успенский, ул. Садовая, д.4</t>
  </si>
  <si>
    <t>Горка, п. Успенский, ул. Луговая, д.2</t>
  </si>
  <si>
    <t>Горка, п. Успенский, ул. Луговая, д.6</t>
  </si>
  <si>
    <t>Горка, п. Успенский, ул. Советская, д.10</t>
  </si>
  <si>
    <t>Горка ,  п. Успенский, ул. Советская, д.12</t>
  </si>
  <si>
    <t>Горка Самсон "Гренландия",  п. Успенский, ул. Запрудная, д.7</t>
  </si>
  <si>
    <t>Горка Самсон "Урал", п. Дмитриевский, д.1</t>
  </si>
  <si>
    <t>Детская игровая площадка ГИБДД,  (игровой комплекс "Русские народные сказки" -1шт., качели - 2шт., качели на пружине - 2 шт.,карусель 5 фигур - 1шт., скамейка-диван - 4шт., урна с ведром - 4шт., балансир - 2шт., элемент машинка - 2шт., элемент светофор - 2шт., дорожные знаки - 4шт.).  п. Успенский, ул. Луговая 8, ул. Советская д.13. Площадью 310 кв.м.</t>
  </si>
  <si>
    <t>380.4</t>
  </si>
  <si>
    <t>Водопроводные сети, протяженностью 2500м, год ввода 1972</t>
  </si>
  <si>
    <t>Московская область, Серебярно-Прудский район, д. Ламоново</t>
  </si>
  <si>
    <t>Артскважина,  глубина 55 м, год ввода 1972</t>
  </si>
  <si>
    <t>Детская площадка "Аляска", п. Успенский, ул. Советская, д.12</t>
  </si>
  <si>
    <t>Детская площадка "Аляска", п. Дмитриевский, д.11, 12</t>
  </si>
  <si>
    <t>Детская площадка "Аляска", п. Успенский, ул. 50 лет октября, д.7, 9</t>
  </si>
  <si>
    <t>Детская площадка "Британия", п. Успенский, ул. Луговая, д.2</t>
  </si>
  <si>
    <t>Детская площадка "Британия", п. Успенский, ул. Запрудная, д.7</t>
  </si>
  <si>
    <t>Детская площадка "Британия", п. Дмитриевский, д.1</t>
  </si>
  <si>
    <t>Детская площадка "Енот", п. Успенский, ул. Советская, д.10</t>
  </si>
  <si>
    <t>Детская площадка "Енотик", п. Успенский, ул. Советская, д.4</t>
  </si>
  <si>
    <t>Детская площадка "Енотик", п. Успенский, ул. Запрудная, д.11</t>
  </si>
  <si>
    <t>Детская площадка "Самсон", д. Красновские Выселки, ул. Школьная, д.5</t>
  </si>
  <si>
    <t>Детская площадка "Самсон", п. Дмитриевский, д.9</t>
  </si>
  <si>
    <t>Детский городок ДГ-601, п. Успенский, ул. Садовая, д.2</t>
  </si>
  <si>
    <t>Детский игровой комплекс (Остров детства), (игровой коплекс - 1шт., урна - 5шт., секции ограждения - 26 шт., скамья "Солнышко" - 8шт.). п. Успенский, ул. 50 лет Октября. (напротив магнита) Площадью 329 кв.м</t>
  </si>
  <si>
    <t>Детский уличный городок Самсон Аляска ,  п. Успенский, ул. Советская, д.11</t>
  </si>
  <si>
    <t>Детский уличный городок Самсон Аляска , п. Дмитриевский, д.2, 4</t>
  </si>
  <si>
    <t>Детский уличный городок Самсон Бретань, п. Успенский, ул. 50 лет Октября, д.4</t>
  </si>
  <si>
    <t>Карусель 4-х местная , п. Успенский, ул. 50 лет Октября, д.3, 5</t>
  </si>
  <si>
    <t>Карусель 4-х местная , п. Успенский, ул. Садовая, д. 1А</t>
  </si>
  <si>
    <t>Карусель 4-х местная ,  п. Успенский, ул. Садовая, д. 4</t>
  </si>
  <si>
    <t>Детская площадка "Енот", п. Успенский, ул. Садовая 1А</t>
  </si>
  <si>
    <t>Карусель 4-х местная , п. Успенский, ул. Луговая, д.2</t>
  </si>
  <si>
    <t>Карусель 4-х местная , п. Успенский, ул. Луговая, д.6</t>
  </si>
  <si>
    <t>Качалка "Малыш", п. Успенский, ул. Луговая, д.6</t>
  </si>
  <si>
    <t>Качалка "Малыш", п. Успенский, ул. Запрудная, д.7</t>
  </si>
  <si>
    <t>Качалка "Малыш", п. Успенский, ул. Запрудная, д.11</t>
  </si>
  <si>
    <t>Качалка "Малыш", п. Успенский, ул. Заводская, д.5</t>
  </si>
  <si>
    <t>Качалка "Малыш", п. Успенский, ул. Луговая, д.2</t>
  </si>
  <si>
    <t>Комплекс "Гимнаст", п. Дмитриевский, д.2</t>
  </si>
  <si>
    <t>Комплекс "НЛО", п. Успенский, ул. Советская, д.5</t>
  </si>
  <si>
    <t>Металическая ограда , п Успенский (кладбище)</t>
  </si>
  <si>
    <t>Ограждение металлическое , п Успенский (кладбище)</t>
  </si>
  <si>
    <t>Ограждение металлическое, п Успенский (кладбище)</t>
  </si>
  <si>
    <t>Ограждение на детские площадка , п. Успенский, ул. Советская, д.5</t>
  </si>
  <si>
    <t>Ограждение на детские площадка , п. Успенский, ул. Луговая, д.8, ул. Советская, д.11, 13</t>
  </si>
  <si>
    <t>Ограждение на детские площадка, п. Успенский. ул. 50 лет Октяьбря д.3, 5</t>
  </si>
  <si>
    <t>Ограждение на детские площадка , п. Успенкий, ул. Луговая, д.6</t>
  </si>
  <si>
    <t>Ограждение на детские площадка , п. Успенский. ул. 50 лет Октяьбря д.3, 5</t>
  </si>
  <si>
    <t>Ограждение на детские площадка , п. Успенский, ул. Садовая, д.1А</t>
  </si>
  <si>
    <t>Приставка к физкомплексу ФКО 19, п. Успенский, ул. Луговая д.8, ул. Советская, д.11, 13</t>
  </si>
  <si>
    <t>Скамья "Сфера" , п. Дмитриевский, д.11, 12</t>
  </si>
  <si>
    <t>Скамья "Сфера" , п. Успенский, ул. Советская, д.5</t>
  </si>
  <si>
    <t>Скамья "Сфера" со спинкой , п. Успенский, ул. Советская, д. 5</t>
  </si>
  <si>
    <t>Скамья "Сфера" , п. Успенский, ул. Советская, д. 5</t>
  </si>
  <si>
    <t>Скамья "Сфера" со спинкой , п. Дмитриевский, д.1</t>
  </si>
  <si>
    <t>Скамья "Сфера" со спинкой , п. Успенский, ул. Луговая, д.8. ул. Советская, д.11, 13</t>
  </si>
  <si>
    <t>Скамья-диван со спинкой , п. Успенский, ул. 50 лет Октября д.7, 9</t>
  </si>
  <si>
    <t>Скамья-диван со спинкой , п. Успенский, ул. 50 лет Октября, д. 3, 5</t>
  </si>
  <si>
    <t>Стенд, п. Успенский, ул. Луговая д.2 (информационный)</t>
  </si>
  <si>
    <t>Стенд, п. Успенский, ул. 50 лет Октября д.7, 9 (детские площадки)</t>
  </si>
  <si>
    <t>Стенд, п. Успенский, ул. 50 лет Октября д.3, 5 (детские площадки)</t>
  </si>
  <si>
    <t>Стенд, п. Успенский, ул. Садовая, д.2 (детские площадки)</t>
  </si>
  <si>
    <t>Стенд, п. Успенский, ул. Луговая, д.2 (детские площадки)</t>
  </si>
  <si>
    <t>Стенд, п. Успенский, ул. Луговая, д.6 (детские площадки)</t>
  </si>
  <si>
    <t>Стенд, п. Успенский, ул. Луговая, д.8, Советская, д.11, 13 (детские площадки)</t>
  </si>
  <si>
    <t>Стенд, п. Успенский, ул. Советская, д.10 (детские площадки)</t>
  </si>
  <si>
    <t>Стенд, п. Успенский, ул. Советская, д.12 (детские площадки)</t>
  </si>
  <si>
    <t>Стенд, п. Успенский, ул. Запрудная, д.12 (детские площадки)</t>
  </si>
  <si>
    <t>Стенд, п. Дмитриевский, д.1 (детские площадки)</t>
  </si>
  <si>
    <t>Стенд, п. Дмитриевский, д.11, 12 (детские площадки)</t>
  </si>
  <si>
    <t>Стенд, п. Дмитриевский, д.4 (детские площадки)</t>
  </si>
  <si>
    <t>Стенд, д. Красновские Выселки, ул. Школьная, д.5 (детские площадки)</t>
  </si>
  <si>
    <t>Стенд, п. Успенский, ул. Советская, д.5 (детские площадки)</t>
  </si>
  <si>
    <t>Стенд, п. Успенский, ул. 50 лет Октября, д.4 (детские площадки)</t>
  </si>
  <si>
    <t>Стенд, п. Успенский, ул. Советская, д.4 (детские площадки)</t>
  </si>
  <si>
    <t>Стенд, п. Успенский, ул. Садовая, д.4 (детские площадки)</t>
  </si>
  <si>
    <t>Стенд,  п. Успенский, ул. Запрудная, д.12 (детские площадки)</t>
  </si>
  <si>
    <t>Стенд,  п. Успенский, ул. Заводская, д.5 (детские площадки)</t>
  </si>
  <si>
    <t>Стойка волейбольная , п. Успенский, ул. Заводская д.1 (спортивная площадка)</t>
  </si>
  <si>
    <t>Турник "Три уровня", п. Успенский, ул. Советская д.5 (спортивная площадка)</t>
  </si>
  <si>
    <t>Физкультурный комплекс ФКО 19, п. Успенский, ул. Луговая, д.8, ул. Советская, д.11, 13</t>
  </si>
  <si>
    <t>Шведка уголок , п. Успенский, ул. Луговая, д.6</t>
  </si>
  <si>
    <t>Стенд  информационный детская площадка, п. Успенский, ул.Луговая, д.8, ул. Советская, д.11, 13</t>
  </si>
  <si>
    <t>должно быть в РСО</t>
  </si>
  <si>
    <t>Товарная накладная № 11, Постановление администрации городского округа Серебряные Пруды Московской области от 16.01.2017г № 87</t>
  </si>
  <si>
    <t>Товарная накладная № 10, Постановление администрации городского округа Серебряные Пруды Московской области от 16.01.2017г № 87</t>
  </si>
  <si>
    <t>Артскважина, Глубина 135м,   насос ЭЦВ-10-65-110, год бурения 2006№ 46 246875</t>
  </si>
  <si>
    <t>Артскважина, инв. 1100017, Глубина 135м, год бурения 1973г</t>
  </si>
  <si>
    <t xml:space="preserve">Постановление от 19.06.2018г № 911. Хоз. Ведение МУП "РСО городского округа Серебряные Пруды"  </t>
  </si>
  <si>
    <t>50:39:0030304:80</t>
  </si>
  <si>
    <t>Договор соц.найма от 25.08.2018г №12/2018. Наниматель: Макоед Роман Николаевич</t>
  </si>
  <si>
    <t>Договор соц.найма от 22.06.2018г №15/2018. Наниматель: Манохин Дмитрий Васильевич</t>
  </si>
  <si>
    <t>Географические координаты 54.57616 38.5219, ID номер в Реестре Минэкологии 650 419 281 - 2</t>
  </si>
  <si>
    <t>50:39:0070207:416</t>
  </si>
  <si>
    <t>Свидетельство от 11.10.2011г 50-АБ 658481. Выписка из ЕГРН, регистрация права от 27.06.2018г № 50:39:0020106:766-50/001/2018-1</t>
  </si>
  <si>
    <t>Решение Совета Депутатов № 696/70. Выписка ЕГНР, регистрация права от 26.06.2018г № 50:39:0020106:765-50/001/2018-1</t>
  </si>
  <si>
    <t>Решение Совета Депутатов № 696/70. выписка ЕГРН, регистрация права от 26.06.2018г № 50:39:0030105:473-50/001/2018-2</t>
  </si>
  <si>
    <t>Решение Совета Депутатов № 696/70. Выписка ЕГРН, регистрация права от 26.06.2018г №50:39:0000000:4036-50/001/2018-2</t>
  </si>
  <si>
    <t>Решение Совета Депутатов № 696/70. Выписка ЕГРН, регистрация права от 27.06.2018г №50:39:0000000:4088-50/001/2018-2</t>
  </si>
  <si>
    <t>Решение Совета Депутатов № 696/70. выписка ЕГРН, регистрация права от 27.06.2018г №50:39:0000000:4086-50/001/2018-2</t>
  </si>
  <si>
    <t>Решение Совета Депутатов № 696/70. Выписка ЕГРН, регистрация права от 27.06.2018г № 50:39:0010106:33-50/001/2018-2</t>
  </si>
  <si>
    <t>Решение Совета депутатов № 696/70. выписка ЕГРН, регистрация права от 28.06.2018г № 50:39:0040204:132-50/001/2018-2</t>
  </si>
  <si>
    <t>Решение Совета Депутатов № 696/70. Выписка ЕГРН, регистрация права от 26.06.2018г № 50:39:0020109:197-50/001/2018-2</t>
  </si>
  <si>
    <t>Решение Совета Депутатов № 696/70. выписка ЕГРН, регистрация права от 26.06.2018г № 50:39:0020112:457-50/001/2018-2</t>
  </si>
  <si>
    <t>Решение Совета Депутатов № 696/70. Выписка ЕГРН, регистрация права от 26.06.2018г №50:39:0000000:4087-50/001/2018-2</t>
  </si>
  <si>
    <t>Решение Совета Депутатов № 696/70. Выписка ЕГРН, регистрация права от 27.06.2018г №50:39:0030108:221-50/001/2018-2</t>
  </si>
  <si>
    <t>Решение Совета Депутатов № 696/70. Выписка ЕГРН, регистрация права от 27.06.2018г № 50:39:0030208:380-50/001/2018-2</t>
  </si>
  <si>
    <t>Решение Совета Депутатов № 696/70. выписка ЕГРН, регистрация прва от 02.07.2018г №т50:39:0030124:370-50/001/2018-2</t>
  </si>
  <si>
    <t>Решение Совета Депутатов № 696/70. выписка ЕГРН, регистрация права от 28.06.2018г № 50:39:0040202:912-50/001/2018-2</t>
  </si>
  <si>
    <t>Решение Совета Депутатов № 696/70. выписка ЕГРН, регистрация права от 03.07.2018г № 50:39:0000000:4103-50/001/2018-2</t>
  </si>
  <si>
    <t>Решение Совета Депутатов № 696/70. Выписка ЕГРН, регистрация права от 29.06.2018г № 50:39:0020108:156-50/001/2018-2</t>
  </si>
  <si>
    <t>Оперативное управление МБУ "Благоустройство и дорожное хозяйство". Постановление администрации от 19.06.2018г №912</t>
  </si>
  <si>
    <t>21.05.2018г</t>
  </si>
  <si>
    <t>Распоряжение администрации городского округа Серебряные Пруды №393-р</t>
  </si>
  <si>
    <r>
      <t xml:space="preserve">Нежилые помещения 1, 2, 3, 4, 6, 7, 8, 9, 10, 12, 13, 14, 15, 16, 30 на первом этаже и нежилые помещения 1, 3, 4, 5 на втором этаже общей площадью 297,2 кв.м. оперативное управление </t>
    </r>
    <r>
      <rPr>
        <b/>
        <sz val="9"/>
        <color theme="1"/>
        <rFont val="Times New Roman"/>
        <family val="1"/>
        <charset val="204"/>
      </rPr>
      <t>МКУ "Централизованная бухгалтерия го Серебряные Пруды</t>
    </r>
    <r>
      <rPr>
        <sz val="9"/>
        <color theme="1"/>
        <rFont val="Times New Roman"/>
        <family val="1"/>
        <charset val="204"/>
      </rPr>
      <t xml:space="preserve">". Постановленние от 13.02.2018г №240. Нежилые помещения 5, 11, 17, 18, 19, 20, 21, 22, 23, 24, 25, 26, 27, 28, 29, 32, 33, 34, 35, 36, 37, 38, 39 на первом этаже и нежилые помещения 2, 6, 8, 9, 10, 11, 13, 14, 15, 16 на втором этаже общей площадью 421,2 кв.м. Оперативное управление </t>
    </r>
    <r>
      <rPr>
        <b/>
        <sz val="9"/>
        <color theme="1"/>
        <rFont val="Times New Roman"/>
        <family val="1"/>
        <charset val="204"/>
      </rPr>
      <t>Управление по образованию администрации</t>
    </r>
    <r>
      <rPr>
        <sz val="9"/>
        <color theme="1"/>
        <rFont val="Times New Roman"/>
        <family val="1"/>
        <charset val="204"/>
      </rPr>
      <t xml:space="preserve"> Постановление от 04.04.2018г №499. Постановление от 14.05.2018г № 743. Нежилое помещение 31 на первом этаже общей площадью 61,2 кв.м. оперативное управление </t>
    </r>
    <r>
      <rPr>
        <b/>
        <sz val="9"/>
        <color theme="1"/>
        <rFont val="Times New Roman"/>
        <family val="1"/>
        <charset val="204"/>
      </rPr>
      <t>МКУ "Централизованная бухгалтерия го Серебряные Пруды"</t>
    </r>
    <r>
      <rPr>
        <sz val="9"/>
        <color theme="1"/>
        <rFont val="Times New Roman"/>
        <family val="1"/>
        <charset val="204"/>
      </rPr>
      <t xml:space="preserve">. Постановленние от 13.04.2018г №553. Нежилые помещения 7, 12 на втором этаже общей площадью 69 кв.м. оперативное управление </t>
    </r>
    <r>
      <rPr>
        <b/>
        <sz val="9"/>
        <color theme="1"/>
        <rFont val="Times New Roman"/>
        <family val="1"/>
        <charset val="204"/>
      </rPr>
      <t>МУ доп.проф.образования "ИМЦ"</t>
    </r>
    <r>
      <rPr>
        <sz val="9"/>
        <color theme="1"/>
        <rFont val="Times New Roman"/>
        <family val="1"/>
        <charset val="204"/>
      </rPr>
      <t>. Постановление от 23.04.2018г №644.</t>
    </r>
  </si>
  <si>
    <t>27.04.2018г</t>
  </si>
  <si>
    <t>Распоряжение администрации городского округа Серебряные Пруды Московской области № 321-р</t>
  </si>
  <si>
    <t>Московская область, Серебряно-Прудский район, снт Яковлевское, уч-к 7</t>
  </si>
  <si>
    <t>50:39:0030205:252</t>
  </si>
  <si>
    <t>27.06.2018г</t>
  </si>
  <si>
    <t>Выписка из ЕГРН, регистрация права № 50:39:0030205:252-50/039/2018-2 от 27.06.2018г</t>
  </si>
  <si>
    <t>Московская область, Серебряно-Прудский район, снт Яковлевское, уч-к 106</t>
  </si>
  <si>
    <t>50:39:0030205:133</t>
  </si>
  <si>
    <t>Выписка из ЕГРН, регистрация права № 50:39:0030205:133-50/039/2018-2 от 27.06.2018г</t>
  </si>
  <si>
    <t>50:39:0000000:6</t>
  </si>
  <si>
    <t>Выписка из ЕГРН, регистрация права № 50:39:0000000:6-50/039/2018-7 от 28.06.2018г</t>
  </si>
  <si>
    <t>Общая долевая собственность  (1/1132 доля в праве на) 12658,3 кв.м.</t>
  </si>
  <si>
    <t>10.07.2018г</t>
  </si>
  <si>
    <t>Распоряжение администрации го Серебряные Пруды МО №544-р. Протокол заседания комиссии от 03.07.2018г №2</t>
  </si>
  <si>
    <t>Распоряжение администрации го Серебряные Пруды МО №544-р. Протокол заседания комиссии от 03.07.2018г №1</t>
  </si>
  <si>
    <t>Распоряжение администрации го Серебряные Пруды МО №544-р. Протокол заседания комиссии от 03.07.2018г №5</t>
  </si>
  <si>
    <t>ККМ АМС-100-К, заводской номер 00030464, регистрационный номер 7566</t>
  </si>
  <si>
    <t>ККМ АМС-100-К, заводской номер 20706338, регистрационный номер 7568</t>
  </si>
  <si>
    <t>ККМ АМС-100-К, заводской номер 20700942, регистрационный номер 7567</t>
  </si>
  <si>
    <t>Бункер-накопитель для ТБО, сп Успенское, объем 8 куб.м</t>
  </si>
  <si>
    <t xml:space="preserve">Бункер-накопитель для ТБО, сп Успенское, объем 8 куб.м </t>
  </si>
  <si>
    <t>Бункер накопительный, Московская область, Серебряно-Прудский район,   с.Узуново, 6 шт, объем 8 куб.м</t>
  </si>
  <si>
    <t>Бункер накопительный, Московская область, Серебряно-Прудский район,   с.Узуново, 3 шт, объем 8 куб.м</t>
  </si>
  <si>
    <t>Контейнер для ТБО 8,0 куб.м., Московская область, Серебряно-Прудский район,   с.Узуново, 4 шт, объем 8 куб.м</t>
  </si>
  <si>
    <t>Блок- контейнер БК-04П ( 5,85 Х 2,45 Х 2,45), объем 8 куб.м Московская область, Серебряно-Прудский район,   с.  Узуново( Узуновское кладбище), 1 шт</t>
  </si>
  <si>
    <t>Контейнер  для  ТБО , Московская область, Серебряно-Прудский район,   с.Узуново, 2 шт, объем 1 куб.м.</t>
  </si>
  <si>
    <t xml:space="preserve">Московская область,  г.о. Серебряные Пруды, д. Беззубово </t>
  </si>
  <si>
    <t xml:space="preserve">Московская область,  г.о. Серебряные Пруды, д. Должиково </t>
  </si>
  <si>
    <t>Московская область,  г.о. Серебряные Пруды, д. Должиково</t>
  </si>
  <si>
    <t xml:space="preserve">Московская область,  г.о. Серебряные Пруды, д. Косяево </t>
  </si>
  <si>
    <t>Московская область,  г.о. Серебряные Пруды, д. Косяево</t>
  </si>
  <si>
    <t>Московская область,  г.о. Серебряные Пруды, с. Глубокое</t>
  </si>
  <si>
    <t xml:space="preserve">Московская область,  г.о. Серебряные Пруды, с. Петрово </t>
  </si>
  <si>
    <t xml:space="preserve">Московская область,  г.о. Серебряные Пруды, д. Толстые </t>
  </si>
  <si>
    <t>Московская область, г. о. Серебряные Пруды вблизи д. Красновские Выселки</t>
  </si>
  <si>
    <t>Московская область, г. о. Серебряные Пруды вблизи р. п. Серебряные Пруды</t>
  </si>
  <si>
    <t>Московская область. г. о. Серебряные Пруды вблизи р. п. Серебряные Пруды</t>
  </si>
  <si>
    <t>Московская область, г. о. Серебряные Пруды вблизи д. Беляево</t>
  </si>
  <si>
    <t>Московская область, г. о. Серебряные Пруды вблизи с. Глубокое</t>
  </si>
  <si>
    <t>Московская область, г. о. Серебряные Пруды вблизи д. Новоселки</t>
  </si>
  <si>
    <t>Московская область, г. о. Серебряные Пруды вблизи д. Свиное</t>
  </si>
  <si>
    <t>Московская область, г. о. Серебряные Пруды вблизи с. Малынь</t>
  </si>
  <si>
    <t>Московская область, г. о. Серебряные Пруды вблизи д. Лошатовка</t>
  </si>
  <si>
    <t>Московская область, г. о. Серебряные Пруды вблизи д. Митякино</t>
  </si>
  <si>
    <t>Грунтовая автомобильная дорога д. Беззубово, участок 2. Протяженностью 150м</t>
  </si>
  <si>
    <t>Грунтовая автомобильная дорога д. Должиково, участок 1. Протяженностью 223м</t>
  </si>
  <si>
    <t>Грунтовая автомобильная дорога д. Должиково, участок 2. Протяженностью 440м</t>
  </si>
  <si>
    <t>Грунтовая автомобильная дорога д. Должиково, участок 3. Протяженностью 190м</t>
  </si>
  <si>
    <t>Грунтовая автомобильная дорога д. Должиково, участок 4. Протяженностью 320м</t>
  </si>
  <si>
    <t>Грунтовая автомобильная дорога д. Косяево, участок 1. Протяженностью 315м</t>
  </si>
  <si>
    <t>Грунтовая автомобильная дорога д. Косяево, участок 2. Протяженностью 590м</t>
  </si>
  <si>
    <t>Грунтовая автомобильная дорога д. Косяево, участок 3. Протяженностью 585м</t>
  </si>
  <si>
    <t>Грунтовая автомобильная дорога д. Косяево, участок 5. Протяженностью 240м</t>
  </si>
  <si>
    <t>Грунтовая автомобильная дорога д. Косяево, участок 6. Протяженностью 125м</t>
  </si>
  <si>
    <t>Грунтовая автомобильная дорога д. Косяево, участок 7. Протяженностью 125м</t>
  </si>
  <si>
    <t>Грунтовая автомобильная дорога д. Косяево, участок 8. Протяженностью 115м</t>
  </si>
  <si>
    <t>Грунтовая автомобильная дорога д. Косяево, участок 9. Протяженностью 435м</t>
  </si>
  <si>
    <t>Грунтовая автомобильная дорога д. Косяево, участок 10. Протяженностью 435м</t>
  </si>
  <si>
    <t>Грунтовая автомобильная дорога с. Глубокое 1мкр. Новый, участок 4. Протяженностью 1791м</t>
  </si>
  <si>
    <t>Грунтовая автомобильная дорога с. Глубокое 2, участок 3. Протяженностью 185м</t>
  </si>
  <si>
    <t>Грунтовая автомобильная дорога с. Глубокое 2, участок 4. Протяженностью 295м</t>
  </si>
  <si>
    <t>Грунтовая автомобильная дорога с. Глубокое 2, участок 6. Протяженностью 600м</t>
  </si>
  <si>
    <t>Грунтовая автомобильная дорога с. Глубокое 2, участок 7. Протяженностью 490м</t>
  </si>
  <si>
    <t>Грунтовая автомобильная дорога с. Глубокое 2, участок 8. Протяженностью 50м</t>
  </si>
  <si>
    <t>Грунтовая автомобильная дорога с. Петрово 1, участок 3. Протяженностью 50м</t>
  </si>
  <si>
    <t>Грунтовая автомобильная дорога с. Петрово 1, участок 4. Протяженностью 120м</t>
  </si>
  <si>
    <t>Грунтовая автомобильная дорога с. Петрово 1, участок 5. Протяженностью 96м</t>
  </si>
  <si>
    <t>Грунтовая автомобильная дорога с. Петрово 1, участок 10. Протяженностью 183м</t>
  </si>
  <si>
    <t>Грунтовая автомобильная дорога с. Петрово 2, участок 2. Протяженностью 1023м</t>
  </si>
  <si>
    <t>Грунтовая автомобильная дорога с. Петрово 2, участок 5. Протяженностью 2453м</t>
  </si>
  <si>
    <t>Грунтовая автомобильная дорога д. Толстые, участок 1. Протяженностью 295м</t>
  </si>
  <si>
    <t>Грунтовая автомобильная дорога д. Толстые, участок 2. Протяженностью 330м</t>
  </si>
  <si>
    <t>Грунтовая автомобильная дорога д. Толстые, участок 3. Протяженностью 230м</t>
  </si>
  <si>
    <t>Грунтовая автомобильная дорога д. Толстые, участок 4. Протяженностью 170м</t>
  </si>
  <si>
    <t>Грунтовая автомобильная дорога д. Толстые, участок 5. Протяженностью 289м</t>
  </si>
  <si>
    <t>Грунтовая автомобильная дорога д. Толстые, участок 6. Протяженностью 48м</t>
  </si>
  <si>
    <t>Грунтовая автомобильная дорога д. Толстые, участок 7. Протяженностью 400м</t>
  </si>
  <si>
    <t>Грунтовая автомобильная дорога д. Толстые, участок 8. Протяженностью 187м</t>
  </si>
  <si>
    <t>Грунтовая автомобильная дорога д. Толстые, участок 9. Протяженностью 250м</t>
  </si>
  <si>
    <t>Грунтовая автомобильная дорога к СНТ "Южный". Протяженностью 1500м</t>
  </si>
  <si>
    <t>Грунтовая автомобильная дорога к СНТ "Мягковские камушки", СНТ "Автомобилист". Протяженностью 2000м</t>
  </si>
  <si>
    <t>Грунтовая автомобильная дорога к СОТ "Солоница". Протяженностью 1080м</t>
  </si>
  <si>
    <t>Грунтовая автомобильная дорога к СНТ "Пчелка", СНТ "Амарант", СНТ Сенеж . Протяженностью 2270м</t>
  </si>
  <si>
    <t>Грунтовая автомобильная дорога к СНТ "Измайлово", СНТ "Журавка". Протяженностью 950м</t>
  </si>
  <si>
    <t>Грунтовая автомобильная дорога к СТ "Запрудное". Протяженностью 3000м</t>
  </si>
  <si>
    <t>Грунтовая автомобильная дорога к СНТ "Семенково". Протяженностью 370м</t>
  </si>
  <si>
    <t>Грунтовая автомобильная дорога к СНТ "Лошатовка". Протяженностью 930м</t>
  </si>
  <si>
    <t>Акт инвентаризации б/н от 18.05.2018г. Решение Совета депутатов го Серебряные пруды МО от 01.06.2018г №114/17</t>
  </si>
  <si>
    <t>Акт инвентаризации б/н от 18.05.2018г. Решение Совета депутатов го Серебряные пруды МО от 01.06.2018г №114/18</t>
  </si>
  <si>
    <t>Акт инвентаризации б/н от 18.05.2018г. Решение Совета депутатов го Серебряные пруды МО от 01.06.2018г №114/19</t>
  </si>
  <si>
    <t>Акт инвентаризации б/н от 18.05.2018г. Решение Совета депутатов го Серебряные пруды МО от 01.06.2018г №114/20</t>
  </si>
  <si>
    <t>Акт инвентаризации б/н от 18.05.2018г. Решение Совета депутатов го Серебряные пруды МО от 01.06.2018г №114/21</t>
  </si>
  <si>
    <t>Акт инвентаризации б/н от 18.05.2018г. Решение Совета депутатов го Серебряные пруды МО от 01.06.2018г №114/22</t>
  </si>
  <si>
    <t>Акт инвентаризации б/н от 18.05.2018г. Решение Совета депутатов го Серебряные пруды МО от 01.06.2018г №114/23</t>
  </si>
  <si>
    <t>Акт инвентаризации б/н от 18.05.2018г. Решение Совета депутатов го Серебряные пруды МО от 01.06.2018г №114/24</t>
  </si>
  <si>
    <t>Акт инвентаризации б/н от 18.05.2018г. Решение Совета депутатов го Серебряные пруды МО от 01.06.2018г №114/25</t>
  </si>
  <si>
    <t>Акт инвентаризации б/н от 18.05.2018г. Решение Совета депутатов го Серебряные пруды МО от 01.06.2018г №114/26</t>
  </si>
  <si>
    <t>Акт инвентаризации б/н от 18.05.2018г. Решение Совета депутатов го Серебряные пруды МО от 01.06.2018г №114/27</t>
  </si>
  <si>
    <t>Акт инвентаризации б/н от 18.05.2018г. Решение Совета депутатов го Серебряные пруды МО от 01.06.2018г №114/28</t>
  </si>
  <si>
    <t>Акт инвентаризации б/н от 18.05.2018г. Решение Совета депутатов го Серебряные пруды МО от 01.06.2018г №114/29</t>
  </si>
  <si>
    <t>Акт инвентаризации б/н от 18.05.2018г. Решение Совета депутатов го Серебряные пруды МО от 01.06.2018г №114/30</t>
  </si>
  <si>
    <t>Акт инвентаризации б/н от 18.05.2018г. Решение Совета депутатов го Серебряные пруды МО от 01.06.2018г №114/31</t>
  </si>
  <si>
    <t>Акт инвентаризации б/н от 18.05.2018г. Решение Совета депутатов го Серебряные пруды МО от 01.06.2018г №114/32</t>
  </si>
  <si>
    <t>Акт инвентаризации б/н от 18.05.2018г. Решение Совета депутатов го Серебряные пруды МО от 01.06.2018г №114/33</t>
  </si>
  <si>
    <t>Акт инвентаризации б/н от 18.05.2018г. Решение Совета депутатов го Серебряные пруды МО от 01.06.2018г №114/34</t>
  </si>
  <si>
    <t>Акт инвентаризации б/н от 18.05.2018г. Решение Совета депутатов го Серебряные пруды МО от 01.06.2018г №114/35</t>
  </si>
  <si>
    <t>Акт инвентаризации б/н от 18.05.2018г. Решение Совета депутатов го Серебряные пруды МО от 01.06.2018г №114/36</t>
  </si>
  <si>
    <t>Акт инвентаризации б/н от 18.05.2018г. Решение Совета депутатов го Серебряные пруды МО от 01.06.2018г №114/37</t>
  </si>
  <si>
    <t>Акт инвентаризации б/н от 18.05.2018г. Решение Совета депутатов го Серебряные пруды МО от 01.06.2018г №114/38</t>
  </si>
  <si>
    <t>Акт инвентаризации б/н от 18.05.2018г. Решение Совета депутатов го Серебряные пруды МО от 01.06.2018г №114/39</t>
  </si>
  <si>
    <t>Акт инвентаризации б/н от 18.05.2018г. Решение Совета депутатов го Серебряные пруды МО от 01.06.2018г №114/40</t>
  </si>
  <si>
    <t>Акт инвентаризации б/н от 18.05.2018г. Решение Совета депутатов го Серебряные пруды МО от 01.06.2018г №114/41</t>
  </si>
  <si>
    <t>Акт инвентаризации б/н от 18.05.2018г. Решение Совета депутатов го Серебряные пруды МО от 01.06.2018г №114/42</t>
  </si>
  <si>
    <t>Акт инвентаризации б/н от 18.05.2018г. Решение Совета депутатов го Серебряные пруды МО от 01.06.2018г №114/43</t>
  </si>
  <si>
    <t>Акт инвентаризации б/н от 18.05.2018г. Решение Совета депутатов го Серебряные пруды МО от 01.06.2018г №114/44</t>
  </si>
  <si>
    <t>Акт инвентаризации б/н от 18.05.2018г. Решение Совета депутатов го Серебряные пруды МО от 01.06.2018г №114/45</t>
  </si>
  <si>
    <t>Акт инвентаризации б/н от 18.05.2018г. Решение Совета депутатов го Серебряные пруды МО от 01.06.2018г №114/46</t>
  </si>
  <si>
    <t>Акт инвентаризации б/н от 18.05.2018г. Решение Совета депутатов го Серебряные пруды МО от 01.06.2018г №114/47</t>
  </si>
  <si>
    <t>Акт инвентаризации б/н от 18.05.2018г. Решение Совета депутатов го Серебряные пруды МО от 01.06.2018г №114/48</t>
  </si>
  <si>
    <t>Акт инвентаризации б/н от 18.05.2018г. Решение Совета депутатов го Серебряные пруды МО от 01.06.2018г №114/49</t>
  </si>
  <si>
    <t>Акт инвентаризации б/н от 18.05.2018г. Решение Совета депутатов го Серебряные пруды МО от 01.06.2018г №114/50</t>
  </si>
  <si>
    <t>Акт инвентаризации б/н от 18.05.2018г. Решение Совета депутатов го Серебряные пруды МО от 01.06.2018г №114/51</t>
  </si>
  <si>
    <t>Акт инвентаризации б/н от 18.05.2018г. Решение Совета депутатов го Серебряные пруды МО от 01.06.2018г №114/52</t>
  </si>
  <si>
    <t>Акт инвентаризации б/н от 18.05.2018г. Решение Совета депутатов го Серебряные пруды МО от 01.06.2018г №114/53</t>
  </si>
  <si>
    <t>Акт инвентаризации б/н от 18.05.2018г. Решение Совета депутатов го Серебряные пруды МО от 01.06.2018г №114/54</t>
  </si>
  <si>
    <t>Акт инвентаризации б/н от 18.05.2018г. Решение Совета депутатов го Серебряные пруды МО от 01.06.2018г №114/55</t>
  </si>
  <si>
    <t>Акт инвентаризации б/н от 18.05.2018г. Решение Совета депутатов го Серебряные пруды МО от 01.06.2018г №114/56</t>
  </si>
  <si>
    <t>Акт инвентаризации б/н от 18.05.2018г. Решение Совета депутатов го Серебряные пруды МО от 01.06.2018г №114/57</t>
  </si>
  <si>
    <t>Акт инвентаризации б/н от 18.05.2018г. Решение Совета депутатов го Серебряные пруды МО от 01.06.2018г №114/58</t>
  </si>
  <si>
    <t>Акт инвентаризации б/н от 18.05.2018г. Решение Совета депутатов го Серебряные пруды МО от 01.06.2018г №114/59</t>
  </si>
  <si>
    <t>Акт инвентаризации б/н от 18.05.2018г. Решение Совета депутатов го Серебряные пруды МО от 01.06.2018г №114/60</t>
  </si>
  <si>
    <t>Акт инвентаризации б/н от 18.05.2018г. Решение Совета депутатов го Серебряные пруды МО от 01.06.2018г №114/61</t>
  </si>
  <si>
    <t>Акт инвентаризации б/н от 18.05.2018г. Решение Совета депутатов го Серебряные пруды МО от 01.06.2018г №114/62</t>
  </si>
  <si>
    <t>Акт инвентаризации б/н от 18.05.2018г. Решение Совета депутатов го Серебряные пруды МО от 01.06.2018г №114/63</t>
  </si>
  <si>
    <t>Акт инвентаризации б/н от 18.05.2018г. Решение Совета депутатов го Серебряные пруды МО от 01.06.2018г №114/64</t>
  </si>
  <si>
    <t>Акт инвентаризации б/н от 18.05.2018г. Решение Совета депутатов го Серебряные пруды МО от 01.06.2018г №114/65</t>
  </si>
  <si>
    <t>Акт инвентаризации б/н от 18.05.2018г. Решение Совета депутатов го Серебряные пруды МО от 01.06.2018г №114/66</t>
  </si>
  <si>
    <t>Акт инвентаризации б/н от 18.05.2018г. Решение Совета депутатов го Серебряные пруды МО от 01.06.2018г №114/67</t>
  </si>
  <si>
    <t>Акт инвентаризации б/н от 18.05.2018г. Решение Совета депутатов го Серебряные пруды МО от 01.06.2018г №114/68</t>
  </si>
  <si>
    <t>Акт инвентаризации б/н от 18.05.2018г. Решение Совета депутатов го Серебряные пруды МО от 01.06.2018г №114/69</t>
  </si>
  <si>
    <t>Акт инвентаризации б/н от 18.05.2018г. Решение Совета депутатов го Серебряные пруды МО от 01.06.2018г №114/70</t>
  </si>
  <si>
    <t>Акт инвентаризации б/н от 18.05.2018г. Решение Совета депутатов го Серебряные пруды МО от 01.06.2018г №114/71</t>
  </si>
  <si>
    <t>Акт инвентаризации б/н от 18.05.2018г. Решение Совета депутатов го Серебряные пруды МО от 01.06.2018г №114/72</t>
  </si>
  <si>
    <t>Оперативное управление МУ для физкультурно-оздоровительной работы по месту жительства "Спортивный Клуб "Серебряные Пруды". Постановление от 14.05.2018г №740. Регистрация права от 16.07.2018г № 50:39:0070303:244-50/039/2018-2</t>
  </si>
  <si>
    <t xml:space="preserve">Автомобильная дорога,  протяженностью 200 м  </t>
  </si>
  <si>
    <t>Гидротехническое сооружение (Плотина пруда на притоке р. Осетр), протяженность 102м, год постройки 1973</t>
  </si>
  <si>
    <t>Московская область, г. о. Серебряные Пруды, д. Боршово</t>
  </si>
  <si>
    <t>50:39:0010302:619</t>
  </si>
  <si>
    <t>11.07.2018г</t>
  </si>
  <si>
    <t>Решение Серебряно-Прудского районного суда Московской области от 14.05.2018г, дело №2-268/2018. Ваписка ЕГРН, регистрация права № 50:39:0010302:619-50/039/2018-2 от 11.07.2018г</t>
  </si>
  <si>
    <t>7 055 904,00 </t>
  </si>
  <si>
    <t>879 385,92 </t>
  </si>
  <si>
    <t>2 554 902,00 </t>
  </si>
  <si>
    <t>Договор №235 на передачу квартиры  в собственность граждан от 19.02.2013г. Регистрация права от 23.07.2018г № 50:39:0030303:287-50/039/2018-3</t>
  </si>
  <si>
    <t xml:space="preserve">Решение Совета депутатов го Серебряные Пруды МО от 19.07.2018г №130/20. Акта инвентаризации от 30.10.2017г. </t>
  </si>
  <si>
    <t>Исключено по результатам инвентаризации, объект фактически отсутствует</t>
  </si>
  <si>
    <t>Исключено  на основании Акта инвентаризации от 30.10.2017г, согласно ст. 130 ГК РФ объект не явяется объектом капитального строительства. Внесено в Раздел 2. Движимое имущество.</t>
  </si>
  <si>
    <t>Исключено, является частью стр.2242</t>
  </si>
  <si>
    <t>Исключено, является частью стр.2335</t>
  </si>
  <si>
    <t xml:space="preserve">Решение Совета депутатов го Серебряные Пруды МО от 19.07.2018г №130/20. </t>
  </si>
  <si>
    <t>Решение Совета депутатов го Серебряные Пруды МО от 19.07.2018г №130/20.</t>
  </si>
  <si>
    <t>Распоряжение администрации №598-р</t>
  </si>
  <si>
    <t>Изъята из хоз.ведения РСО, постановление от 19.07.2018г №1095, т.к. нет паспорта. По сведениям была  в собственности МСС</t>
  </si>
  <si>
    <t xml:space="preserve">Оперативное управление МКУ «Единая дежурно-диспетчерская служба го Серебряные Пруды». Постановлени от 19.07.2018г №1093 </t>
  </si>
  <si>
    <t>Лодка пластиковая пятиместная ВИЗА Тортила-395 с Рундуками</t>
  </si>
  <si>
    <t>19.101.26.0005</t>
  </si>
  <si>
    <t>28.05.2018г</t>
  </si>
  <si>
    <t>Товарная накладная от 28.05.2018г №59. Договор от 27.04.2018г № 20182504</t>
  </si>
  <si>
    <t>Качели Гнездо "Драйв"</t>
  </si>
  <si>
    <t>19.101.18.0081</t>
  </si>
  <si>
    <t>19.101.18.0073</t>
  </si>
  <si>
    <t>19.101.18.0071</t>
  </si>
  <si>
    <t>Оперативное управление МАУ "Парк культуры и отдыха городского округа Серебряные Пруды "Серебряный". Постановление от 10.07.2018г № 1045</t>
  </si>
  <si>
    <t>Оперативное управление МАУ "Парк культуры и отдыха городского округа Серебряные Пруды "Серебряный" Постановление от 18.10.2016г № 2148</t>
  </si>
  <si>
    <t>Бильярдный стол для русской пирамиды Олимп</t>
  </si>
  <si>
    <t>02.1.39.0004</t>
  </si>
  <si>
    <t>Муниципальный контракт №0848600007418000120-0071919-01. Товарная накладная от 22.05.2018г №63</t>
  </si>
  <si>
    <t>50:39:0000000:1045</t>
  </si>
  <si>
    <t>50:39:0000000:1044</t>
  </si>
  <si>
    <t>50:39:0080207:452</t>
  </si>
  <si>
    <t>Детская игровая площадка по адресу: Московская область, го Серебряные Пруды, п. Успенский, ул. Запрудная, д.7,12 (скамья парковая - 5шт, урна -5шт, тренажёр ТР-3.10 -1шт,  тренажёр ТР-3.11 -1шт,  тренажёр ТР-3.12 -1шт, тренажер двойной ТР-3.13 - 1шт, тренажер двойной ТР-3.14 - 1шт, Игровой комплекс ИКС -1.36 -1шт, Качели-гнездо - 1шт, Элемент для лазания СП-1.94 - 1шт, карусель - 1шт, Спортивный комплекс W-05-010 - 1шт, качалка -1шт, качели двойные - 1шт, Спортивный комплекс СП -1.100 - 1шт, песочница - 1шт, стенд информационный -1шт, 3D фигура СП-1.67 -1шт, 3D фигура СП-1.68 -1шт, металлическое ограждение, резиновое покрытие)</t>
  </si>
  <si>
    <t>Договор №5 дарения имущества от 08.05.2018г, муниципальный контракт от 21.05.2018г №0848600007418000146-012622</t>
  </si>
  <si>
    <t>Детская игровая площадка по адресу: Московская область, го Серебряные Пруды, рп Серебряные Пруды, ул. ПТУ, д.7В (скамья парковая - 5шт, урна -5шт, тренажёр ТР-3.10 -1шт,  тренажёр ТР-3.11 -1шт,  тренажёр ТР-3.12 -1шт, тренажер двойной ТР-3.13 - 1шт, тренажер двойной ТР-3.14 - 1шт, Игровой комплекс ИКС -1.36 -1шт, Качели-гнездо - 1шт, Элемент для лазания СП-1.94 - 1шт, карусель - 1шт, Спортивный комплекс W-05-010 - 1шт, качалка -1шт, качели двойные - 1шт, Спортивный комплекс СП -1.100 - 1шт, песочница - 1шт, стенд информационный -1шт, 3D фигура СП-1.67 -1шт, 3D фигура СП-1.68 -1шт, металлическое ограждение, резиновое покрытие)</t>
  </si>
  <si>
    <t>Договор №12 дарения имущества от 16.05.2018г, муниципальный контракт от 18.06.2018г № 0848600007418000186-012622</t>
  </si>
  <si>
    <t>Детская игровая площадка по адресу: Московская область, го Серебряные Пруды, п. Новоклемово, д.22 (скамья парковая - 5шт, урна -5шт, тренажёр ТР-3.10 -1шт,  тренажёр ТР-3.11 -1шт,  тренажёр ТР-3.12 -1шт, тренажер двойной ТР-3.13 - 1шт, тренажер двойной ТР-3.14 - 1шт, Игровой комплекс ИКС -1.36 -1шт, Качели-гнездо - 1шт, Элемент для лазания СП-1.94 - 1шт, карусель - 1шт, Спортивный комплекс W-05-010 - 1шт, качалка -1шт, качели двойные - 1шт, Спортивный комплекс СП -1.100 - 1шт, песочница - 1шт, стенд информационный -1шт, 3D фигура СП-1.67 -1шт, 3D фигура СП-1.68 -1шт, металлическое ограждение, резиновое покрытие)</t>
  </si>
  <si>
    <t>Договор №19 дарения имущества от 24.05.2018г, муниципальный контракт от 18.06.2018г № 0848600007418000185-012622</t>
  </si>
  <si>
    <t>Детская игровая площадка по адресу: Московская область, го Серебряные Пруды, с. Петрово, д.7 (скамья парковая - 5шт, урна -5шт, тренажёр ТР-3.10 -1шт,  тренажёр ТР-3.11 -1шт,  тренажёр ТР-3.12 -1шт, тренажер двойной ТР-3.13 - 1шт, тренажер двойной ТР-3.14 - 1шт, Игровой комплекс ИКС -БИО-1.10 -1шт, Качели-гнездо - 1шт, Элемент для лазания СП-1.94 - 1шт, карусель - 1шт, Спортивный комплекс W-05-010 - 1шт, качалка -1шт, качели двойные - 1шт, Спортивный комплекс СП -1.25 - 1шт, песочница - 1шт, стенд информационный -1шт, 3D фигура СП-1.67 -1шт, 3D фигура СП-1.68 -1шт, металлическое ограждение, резиновое покрытие)</t>
  </si>
  <si>
    <t>Договор №10 дарения имущества от 16.05.2018г, муниципальный контракт от 18.06.2018г № 0848600007418000184-012622</t>
  </si>
  <si>
    <t>Детская игровая площадка по адресу: Московская область, го Серебряные Пруды, рп Серебряные Пруды, мкрн Центральный, д.8,5(скамья парковая - 5шт, урна -5шт, тренажёр ТР-3.10 -1шт,  тренажёр ТР-3.11 -1шт,  тренажёр ТР-3.12 -1шт, тренажер двойной ТР-3.13 - 1шт, тренажер двойной ТР-3.14 - 1шт, Игровой комплекс ИКС -БИО-1.10 -1шт, Качели-гнездо - 1шт, Элемент для лазания СП-1.94 - 1шт, карусель - 1шт, Спортивный комплекс W-05-010 - 1шт, качалка -1шт, качели двойные - 1шт, Спортивный комплекс СП -1.25 - 1шт, песочница - 1шт, стенд информационный -2шт, 3D фигура СП-1.67 -1шт, 3D фигура СП-1.68 -1шт, металлическое ограждение, резиновое покрытие)</t>
  </si>
  <si>
    <t>Договор №6 дарения имущества от 08.05.2018г, муниципальный контракт от 21.05.2018г №0848600007418000147-012622</t>
  </si>
  <si>
    <t>Здание производственного центра, назначение нежилое, 2-этажный</t>
  </si>
  <si>
    <t xml:space="preserve">Муниципальное образование городской округ Серебряные Пруды Московской области (казна) </t>
  </si>
  <si>
    <t>50:39:0070107:474</t>
  </si>
  <si>
    <t>Плотина пруда на руч. Солоница приток р. Осетр</t>
  </si>
  <si>
    <t>Московская область, г. о. Серебряные Пруды, с. Красное</t>
  </si>
  <si>
    <t>Плотина пруда на руч. Вязовка</t>
  </si>
  <si>
    <t>50:39:0070304:53</t>
  </si>
  <si>
    <t>Московская область, г. о. Серебряные Пруды, д. Благодать (на Ю-В 3,5 км от рп Серебряные Пруды)</t>
  </si>
  <si>
    <t>Плотина на ручье без названия левый приток р. Мордвес</t>
  </si>
  <si>
    <t>Московская область, г. о. Серебряные Пруды, д. Большое Орехово</t>
  </si>
  <si>
    <t>50:39:0010110:35</t>
  </si>
  <si>
    <t>50:39:0000000:4604</t>
  </si>
  <si>
    <t>50:39:0030116:305</t>
  </si>
  <si>
    <t>Решение Совета депутатов № 696/70. Выписка ЕГРН, регистрация права от 20.08.2018г №50:39:0030116:305-50/039/2018-1</t>
  </si>
  <si>
    <t>50:39:0020307:93</t>
  </si>
  <si>
    <t>Плотина пруда на р. Ракита (проезд автотранспорта)  объем 380 тыс.куб.м.,площадь 126 тыс. кв.м., 1980г</t>
  </si>
  <si>
    <t>Плотина пруда на притоке р. Березинка (проезд автотранспорта)  объем 240 тыс.куб.м.,площадь 80  тыс. кв.м., 1977г</t>
  </si>
  <si>
    <t>Плотина пруда на притоке р. Березня (проезд автотранспорта)  объем 175 тыс.куб.м.,площадь 70  тыс. кв.м., 1975г</t>
  </si>
  <si>
    <t>50:39:0020106:828</t>
  </si>
  <si>
    <t>Плотина пруда на притоке р. Березня (проезд автотранспорта)  объем  10 тыс.куб.м., площадь 10  тыс. кв.м., 1975г</t>
  </si>
  <si>
    <t>50:39:0030203:184</t>
  </si>
  <si>
    <t>Плотина пруда на притоке р. истоминка (проезд автотранспорта)  объем  15 тыс.куб.м., площадь 10  тыс. кв.м., 1972г</t>
  </si>
  <si>
    <t>50:39:0030106:128</t>
  </si>
  <si>
    <t>50:39:0030108:243</t>
  </si>
  <si>
    <t>Плотина пруда на притоке р. Истоминка (проезд автотранспорта)  объем  15 тыс.куб.м., площадь 10  тыс. кв.м., 1975г</t>
  </si>
  <si>
    <t>50:39:0030116:306</t>
  </si>
  <si>
    <t>Плотина нижнего пруда  №1 на р. Аксень (проезд автотранспорта)  объем  12 тыс.куб.м., площадь 80  тыс. кв.м., 1980г</t>
  </si>
  <si>
    <t>50:39:0030124:396</t>
  </si>
  <si>
    <t>Плотина верхнего пруда №2 на р. Аксень (проезд автотранспорта)  объем  0,2 тыс.куб.м., площадь 0,40  тыс. кв.м., 1980г</t>
  </si>
  <si>
    <t>50:39:0030124:395</t>
  </si>
  <si>
    <t>Плотина пруда на притоке р. мордвес (проезд автотранспорта)  объем  63 тыс.куб.м., площадь 25  тыс. кв.м., протяженность 35м, 1982г</t>
  </si>
  <si>
    <t>50:39:0010101:174</t>
  </si>
  <si>
    <t>Решение Совета депутатов № 696/70. Выписка ЕГРН, регистрация права от 20.08.2018г №50:39:0010101:174-50/039/2018-1</t>
  </si>
  <si>
    <t>Решение Совета депутатов № 696/70. Выписка ЕГРН, регистрация права от 20.08.2018г № 50:39:0030124:395-50/039/2018-1</t>
  </si>
  <si>
    <t>Решение Совета депутатов № 696/70. Выписка ЕГРН, регистрация права от 20.08.2018г № 50:39:0030124:396-50/039/2018-1</t>
  </si>
  <si>
    <t xml:space="preserve">Решение Совета депутатов № 696/70. Выписка ЕГРН, регистрация права от 20.08.2018г № 50:39:0030108:243-50/039/2018-1 </t>
  </si>
  <si>
    <t xml:space="preserve">Решение Совета депутатов № 696/70. Выписка ЕГРН, регистрация права от 20.08.2018г № 50:39:0030108:306-50/039/2018-1 </t>
  </si>
  <si>
    <t>Решение Совета депутатов № 696/70. Выписка ЕГРН, регистраия права от 20.08.2018г № 50:39:0030106:128-50/039/2018-1</t>
  </si>
  <si>
    <t>Решение Совета депутатов № 696/70. Выписка ЕГРН, регистрация права от 20.08.2018г 3 50:39:0030203:184-50/039/2018-1</t>
  </si>
  <si>
    <t>Решение Совета депутатов № 696/70. Выписка ЕГРН, регистрация права от 20.08.2018г № 50:39:0020106:828-50/039/2018-1</t>
  </si>
  <si>
    <t xml:space="preserve">Решение Совета депутатов № 696/70. Выписка ЕГРН, регистрация права от 20.08.2018 № 50:39:0020106:828-50/039/2018-1 </t>
  </si>
  <si>
    <t>Колодец питьевой  1 шт.</t>
  </si>
  <si>
    <t xml:space="preserve">Московская область, городской округ Серебряные Пруды, п.Успенский, ул. Советская (у храма)               </t>
  </si>
  <si>
    <t>Колодец питьевой 1 шт.</t>
  </si>
  <si>
    <t xml:space="preserve">Московская область, городской округ Серебряные Пруды, д.Красновские Выселки. ул. Центральная (в низу к реке) </t>
  </si>
  <si>
    <t xml:space="preserve">Московская область, городской округ Серебряные Пруды, д.Верхняя Пурловка, д.5 </t>
  </si>
  <si>
    <t>142970 Московская область Серебряно-Прудский район, р.п. Серебряные Пруды ул.Садовая, д.25</t>
  </si>
  <si>
    <t>142970 Московская область Серебряно-Прудский район, р.п. Серебряные Пруды ул. Восточная, д.6</t>
  </si>
  <si>
    <t>142970 Московская область Серебряно-Прудский район, д. Благодать, д.31</t>
  </si>
  <si>
    <t>142970 Московская область Серебряно-Прудский район, р.п. Серебряные Пруды ул. Трудовая (святой колодец)</t>
  </si>
  <si>
    <t>142970 Московская область Серебряно-Прудский район, р.п. Серебряные Пруды ул. Свободная, д.29</t>
  </si>
  <si>
    <t>142954 М.О. Серебряно-Прудский р-н, с. Кормовое, д.12</t>
  </si>
  <si>
    <t>142954 М.О. Серебряно-Прудский р-н, с. Кормовое, д.19</t>
  </si>
  <si>
    <t>142954 М.О. Серебряно-Прудский р-н, с. Мочилы, ул. Южная, д.11</t>
  </si>
  <si>
    <t>142955 М.О. Серебряно-Прудский р-н, с. Подхожее, ул. Мира, д.15</t>
  </si>
  <si>
    <t>142955 М.О. Серебряно-Прудский р-н, с. Подхожее, ул. Советская, д.14</t>
  </si>
  <si>
    <t>142956 М.О. Серебряно-Прудский р-н, д. Рогатово, д.27</t>
  </si>
  <si>
    <t>142954 М.О. Серебряно-Прудский р-н, д.Якимовка, д.4</t>
  </si>
  <si>
    <t xml:space="preserve">Московская область, Серебряно-Прудский район,   с.  Узуново, ул. Советская, д.67 </t>
  </si>
  <si>
    <t>Московская область, Серебряно-Прудский район,   с.  Узуново, ул. Советская, д.55</t>
  </si>
  <si>
    <t>Московская область, Серебряно-Прудский район,   с.  Узуново, ул. Садовая, д.36-38</t>
  </si>
  <si>
    <t>Московская область, Серебряно-Прудский район,   д. Накаплово (перед мостом налево)</t>
  </si>
  <si>
    <t>Московская область, Серебряно-Прудский район,   д.  Степановка, д.18</t>
  </si>
  <si>
    <t>Московская область, Серебряно-Прудский район,   д.   Васильевское, д.16</t>
  </si>
  <si>
    <t>Московская область, Серебряно-Прудский район,   д.     Беззубово, д.37</t>
  </si>
  <si>
    <t>Московская область, Серебряно-Прудский район,   д.     Беззубово, д.8</t>
  </si>
  <si>
    <t>Московская область, Серебряно-Прудский район,   д.     Есипово, д.54</t>
  </si>
  <si>
    <t>Московская область, Серебряно-Прудский район,    д. Ларино, д.1</t>
  </si>
  <si>
    <t>Московская область, Серебряно-Прудский район,   с.  Мягкое , д.23</t>
  </si>
  <si>
    <t>Московская область, Серебряно-Прудский район,   с.  Мягкое (под мостом)</t>
  </si>
  <si>
    <t>Московская область, Серебряно-Прудский район,   с.   Глубокое , д.110</t>
  </si>
  <si>
    <t>Московская область, Серебряно-Прудский район,    д.  Беляево, д.22</t>
  </si>
  <si>
    <t>Московская область, Серебряно-Прудский район,    д.  Никольское, д.18 (родник)</t>
  </si>
  <si>
    <t>Московская область, Серебряно-Прудский район,    д.   Петровские  Выселки, д.6</t>
  </si>
  <si>
    <t>Московская область, Серебряно-Прудский район,    д.    Кузьминка, д.1</t>
  </si>
  <si>
    <t>Московская область, Серебряно-Прудский район,    д.       Боршово, д.15-16</t>
  </si>
  <si>
    <t>Московская область, Серебряно-Прудский район,    д.       Боршово, д.31</t>
  </si>
  <si>
    <t>Московская область, Серебряно-Прудский район,    д.       Боршово (родник)</t>
  </si>
  <si>
    <t>142954 М.О. Серебряно-Прудский р-н, с. Мочилы, ул. Садовая, д.15</t>
  </si>
  <si>
    <t>Отнесена к жилым помещениям маневренного жилищного фонда городского округа Серебряные Пруды Московской области, постановление администрации городского округа от 24.08.2018г №1272</t>
  </si>
  <si>
    <t>Физкультурный комплекс "Скамья для пресса", п. Успенский, ул. Запрудная, д.12</t>
  </si>
  <si>
    <t>Детский спортивный комплекс, с. Подхожее, м-рн Юбилейный, д.6-8</t>
  </si>
  <si>
    <t>Горка, закрытая с физкультурным элементом,  с. Подхожее, м-рн Юбилейный, д.3-9</t>
  </si>
  <si>
    <t>Антивандальный детский игровой комплекс, п. Дмитриевский, д.1-7</t>
  </si>
  <si>
    <t>Антивандальный детский игровой комплекс, с. Мочилы, ул. Юбилейная, д.4</t>
  </si>
  <si>
    <t>Спортивный комплекс для воркаута, п. Успенский, ул. Советская, д.11-13, ул. Луговая д.8</t>
  </si>
  <si>
    <t>Карусель 4-х местная "Малыш", с. Подхожее, м-рн Юбилейный, д.3-9</t>
  </si>
  <si>
    <t>Карусель 4-х местная "Малыш", д. Шеметово, д.8</t>
  </si>
  <si>
    <t>Карусель 4-х местная "Малыш", д. Новоклемово, д.17-22</t>
  </si>
  <si>
    <t xml:space="preserve">Детский Городок, д.Петрово, д.7 </t>
  </si>
  <si>
    <t xml:space="preserve">Детский Городок, с. Глубокое, д.37 </t>
  </si>
  <si>
    <t xml:space="preserve">Детский Городок, с. Крутое, д.12 </t>
  </si>
  <si>
    <t>Баскетбольная тройка, с. Узуново, ул. Почтовая, ЭЧК-69</t>
  </si>
  <si>
    <t>Баскетбольная тройка, п. Успенский, ул. Советская, д.11-13, ул. Луговая д.8</t>
  </si>
  <si>
    <t>Спортивно-развивающее оборудование, п. Успенский, ул. Запрудная, д.12</t>
  </si>
  <si>
    <t>Лабиринт,  п. Успенский, ул. Советская, д.11-13, ул. Луговая д.8</t>
  </si>
  <si>
    <t>Гимнастический комплекс, рп Серебряные Пруды, ул. Первомайская, д.6</t>
  </si>
  <si>
    <t xml:space="preserve"> Игровой комплекс, рп Серебряные Пруды, ул. Первомайская, д.6</t>
  </si>
  <si>
    <t>Спортивно-развивающее оборудование, рп Серебряные Пруды, ул. Первомайская, д.6</t>
  </si>
  <si>
    <t>Автомобильная дорога общего пользования с грунтовым покрытием, кадасровый номер земельного участка 50:39:0000000:4245, протяженность 3000м</t>
  </si>
  <si>
    <t>50:39:0060114:134</t>
  </si>
  <si>
    <t xml:space="preserve"> Решение СД Сер.-Пруд. Муниц. р-на МО  № 106/24. Выписка из ЕГРН, регистрация права от 06.09.2018г № 50:39:0060114:134-50/001/2018-1</t>
  </si>
  <si>
    <t>Помещение нежилого назначения (ФАП)</t>
  </si>
  <si>
    <t>50:39:0070104:565</t>
  </si>
  <si>
    <r>
      <t xml:space="preserve"> Помещение не</t>
    </r>
    <r>
      <rPr>
        <sz val="9"/>
        <rFont val="Times New Roman"/>
        <family val="1"/>
        <charset val="204"/>
      </rPr>
      <t>жилого</t>
    </r>
    <r>
      <rPr>
        <sz val="9"/>
        <color theme="1"/>
        <rFont val="Times New Roman"/>
        <family val="1"/>
        <charset val="204"/>
      </rPr>
      <t xml:space="preserve"> назначения (ФАП), 1-о этажное, кирпичное</t>
    </r>
  </si>
  <si>
    <t>50:39:0060104:360</t>
  </si>
  <si>
    <t>Договор №9/2018 передачи жилого помещения муниципального жилищного фонда в собственность граждан от 06.07.2018г. Регистрация права от 26.07.2018г № 50:39:0060104:360-50/039/2018-5</t>
  </si>
  <si>
    <t>Договор купли-продажи квартиры б/н от 23.07.2018г. Регистрация права от 26.07.2018г №50:39:0060104:479-50/039/2018-1</t>
  </si>
  <si>
    <t>Плотина на ручье Солоница приток р. Осетр</t>
  </si>
  <si>
    <t>50:39:0070107:475</t>
  </si>
  <si>
    <t xml:space="preserve">06.09.2018г </t>
  </si>
  <si>
    <t>Плотина на ручье Вязовка</t>
  </si>
  <si>
    <t>Московская область, г. о. Серебряные Пруды, д. Благодать</t>
  </si>
  <si>
    <t>50:39:0070304:54</t>
  </si>
  <si>
    <t>Плотина сред. Пруд., руч. Есиповский, приток р. Березинка</t>
  </si>
  <si>
    <t>Московская область, г. о. Серебряные Пруды, д. Есипово</t>
  </si>
  <si>
    <t>50:39:0020307:81</t>
  </si>
  <si>
    <t>Плотина пруда р. Турейка, приток р. Осетр</t>
  </si>
  <si>
    <t>Московская область, г. о. Серебряные Пруды, д. Беляево</t>
  </si>
  <si>
    <t>50:39:0020201:357</t>
  </si>
  <si>
    <t>50:39:0060311:199</t>
  </si>
  <si>
    <t>Акт инвентаризации б/н от 30.10.2017г. Выписка ЕГРН, регистрация права от 11.09.2018г №50:39:0060311:199-50/001/2018-1</t>
  </si>
  <si>
    <t>Плотина пруда на ручье без названия притоке р. Кудесны (протяженность 71,0 м, ширина 6,0 м, высота 3,0 м). Протяженность 102м</t>
  </si>
  <si>
    <t>50:39:0060305:285</t>
  </si>
  <si>
    <t xml:space="preserve">Акт инвентаризации б/н от 30.10.2017г.  Выписка из ЕГРН, регистрация права от 11.09.2018г №50:39:0060305:285-50/001/2018/1 </t>
  </si>
  <si>
    <t>Плотина пруда на ручье без названия притоке р. Прони (Объем 15 тыс. куб.м, площадь 10 тыс.кв.м., высота 3,0 м, длина 60м, ширина 6,0м). Протяжнность 115 м</t>
  </si>
  <si>
    <t>Плотина нижнего пруда №1 на притоке р. Прони (Объем 20 тыс. куб.м, площадь 20 тыс. кв.м., высота 2,0 м, длина 43м, ширина 3,8м). Протяжнность 107 м</t>
  </si>
  <si>
    <t>50:39:0060403:295</t>
  </si>
  <si>
    <t>Акт инвентаризации б/н от 30.10.2017г. Выписка ЕГРН, регистрация права от 11.09.2018г №50:39:0060403:295-50/036/2018-1</t>
  </si>
  <si>
    <t>50:39:0020202:255</t>
  </si>
  <si>
    <t>Решение Совета депутатов № 696/70. Выписка ЕГРН, регистрация права от 11.09.2018г № 50:39:0020202:255-50/001/2018-1</t>
  </si>
  <si>
    <t>Плотина верхнего пруда на притоке р. Турейки (проезд автотранспорта)  объем  120 тыс.куб.м., площадь 40  тыс. кв.м., высота 6,0 м., длина 100 м., ширина 3,0  м. Протяженность 119м</t>
  </si>
  <si>
    <t>Договор соц.найма № 13/2018 от 22.07.2018г  Наниматель: Чадайкина Екатерина Ивановна</t>
  </si>
  <si>
    <t>Договор соц.найма № 16/2018 от 06.07.2018г  Наниматель: Кузнецова Галина Сергеевна</t>
  </si>
  <si>
    <t>Договор соц.найма № 17/2018 от 06.07.2018г  Наниматель: Данилова Ирина Николаевна</t>
  </si>
  <si>
    <t>1993.1</t>
  </si>
  <si>
    <t>1993.2</t>
  </si>
  <si>
    <t>1993.3</t>
  </si>
  <si>
    <t>1993.4</t>
  </si>
  <si>
    <t>1993.5</t>
  </si>
  <si>
    <t>1993.6</t>
  </si>
  <si>
    <t>1993.7</t>
  </si>
  <si>
    <t>1993.8</t>
  </si>
  <si>
    <t>1993.9</t>
  </si>
  <si>
    <t>1993.10</t>
  </si>
  <si>
    <t>1993.11</t>
  </si>
  <si>
    <t>1993.12</t>
  </si>
  <si>
    <t>1993.13</t>
  </si>
  <si>
    <t>Московская область, Серебряно-Прудский район, р.п. Серебряные Пруды, ул. Полевая, д.21, кв.1</t>
  </si>
  <si>
    <t>Московская область, Серебряно-Прудский район, р.п. Серебряные Пруды, ул. Полевая, д.21, кв.2</t>
  </si>
  <si>
    <t>Московская область, Серебряно-Прудский район, р.п. Серебряные Пруды, ул. Полевая, д.21, кв.3</t>
  </si>
  <si>
    <t>Московская область, Серебряно-Прудский район, р.п. Серебряные Пруды, ул. Полевая, д.21, кв.4</t>
  </si>
  <si>
    <t>Московская область, Серебряно-Прудский район, р.п. Серебряные Пруды, ул. Полевая, д.21, кв.5</t>
  </si>
  <si>
    <t>Московская область, Серебряно-Прудский район, р.п. Серебряные Пруды, ул. Полевая, д.21, кв.6</t>
  </si>
  <si>
    <t>Московская область, Серебряно-Прудский район, р.п. Серебряные Пруды, ул. Полевая, д.21, кв.7</t>
  </si>
  <si>
    <t>Московская область, Серебряно-Прудский район, р.п. Серебряные Пруды, ул. Полевая, д.21, кв.8</t>
  </si>
  <si>
    <t>Московская область, Серебряно-Прудский район, р.п. Серебряные Пруды, ул. Полевая, д.21, кв.9</t>
  </si>
  <si>
    <t>Московская область, Серебряно-Прудский район, р.п. Серебряные Пруды, ул. Полевая, д.21, кв.10</t>
  </si>
  <si>
    <t>Московская область, Серебряно-Прудский район, р.п. Серебряные Пруды, ул. Полевая, д.21, кв.11</t>
  </si>
  <si>
    <t>Московская область, Серебряно-Прудский район, р.п. Серебряные Пруды, ул. Полевая, д.21, кв.12</t>
  </si>
  <si>
    <t>Московская область, Серебряно-Прудский район, р.п. Серебряные Пруды, ул. Полевая, д.21, кв.13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</si>
  <si>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№1362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</si>
  <si>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№1363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</si>
  <si>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№1364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</si>
  <si>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№1365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</si>
  <si>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№1366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</si>
  <si>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№1367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</si>
  <si>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№1368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</si>
  <si>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№1369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</si>
  <si>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№1370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</si>
  <si>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№1371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</si>
  <si>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№1372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</si>
  <si>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№1373</t>
  </si>
  <si>
    <t>Решение Серебряно-Прудского районного суда Московской области от 08.09.2016г, Решение Совета депутатов от 29.05.2017г № 939/98, Постановление администрации от 10.09.2018г №1374</t>
  </si>
  <si>
    <t>Договор соц.найма от 07.10.2013г б/н. Наниматель Бурылина Яна Юрьевна</t>
  </si>
  <si>
    <t>Договор №10/2018 передачи жилого помещения муниципального жилищного фонда в собственность граждан от 26.07.2018г. Регистрация права от 04.09.2018г № 50:39:0000000:4604-50/036/2018-4</t>
  </si>
  <si>
    <t>50:39:0060503:328</t>
  </si>
  <si>
    <t>Плотина пруда №2 на притоке р. Полосня (протяженность 106,0 м, высота 5,6м, ширина 6,5м). Протяженность 43 м.</t>
  </si>
  <si>
    <t>Акт инвентаризации б/н от 30.10.2017г. Выписка ЕГРН от 13.09.2018г, регистрация права № 50:39:0060503:328-50/001/2018-1</t>
  </si>
  <si>
    <t>Спец. Жил. Фонд. Договор найма от 01.10.2013г № 2. Логинов Юрий Геннадьевич</t>
  </si>
  <si>
    <t>Служебное жилое помещение специализированного фонда. Постановление от 19.09.2018г №1419</t>
  </si>
  <si>
    <t>Оперативное управление МКУ "Едина дежурно-диспетческая служба го Серебряные Пруды". Постановление от 31.08.2018г №1313</t>
  </si>
  <si>
    <t>30.07.2018г</t>
  </si>
  <si>
    <t>Решение Совета Депутатов № 696/70. Выписка ЕГРН. Регистрация права от 31.07.2018г №50:39:0020314:503-50/001/2018-2</t>
  </si>
  <si>
    <t>Свидетельство от 27.09.2011г 50-АБ 658177. Выписка ЕГРН, регистрация права от 01.08.2018г №50:39:0030305:155-50/001/2015-2</t>
  </si>
  <si>
    <t>Свидетельство от 27.09.2011г 50-АБ 658173. Выписка ЕГРН, регистрация права от 23.07.2018г №50:39:0020321:236-50/001/2018-2</t>
  </si>
  <si>
    <t>Свидетельство от 27.09.2011г 50-АБ 658174. Выписка ЕГРН, регистрация права от 17.07.2018г №50:39:0010302:504-50/001/2018-2</t>
  </si>
  <si>
    <t>50:39:0030107:256</t>
  </si>
  <si>
    <t>Свидетельство от 27.09.2011г 50-АБ 658175. Выписка ЕГРН, регистрация права от 23.07.2018г №50:39:0030107:256-50/001/2018-2</t>
  </si>
  <si>
    <t>Свидетельство от 27.09.2011г 50-АБ 658170. Выписка ЕГРН, регистрация права от 03.08.2018г №50:39:0020208:621-50/012/2018-1</t>
  </si>
  <si>
    <t>Свидетельствр от 11.10.2011г 50-АБ 658470. Выписка ЕГРН, регистрация права от 01.08.2018г №50:39:0040204:95-50/001/2018-2</t>
  </si>
  <si>
    <t>Решение Совета Депутатов № 696/70. Выписка ЕГРН, регистрация права от 19.07.2018г № 50:39:0030303:50-50/001/2018-2</t>
  </si>
  <si>
    <t>Свидетельство от 11.10.2011г 50-АБ 658476. Выписка ЕГРН, регстрация права от 16.07.2018г №50:39:0030303:51-50/001/2018-2</t>
  </si>
  <si>
    <t>Свидетельство от 22.04.2011г 50-АБ 532672 . Выписка ЕГРН, регистрация права от 18.07.2018г № 50:39:0030305:151-50/001/2018-2</t>
  </si>
  <si>
    <t>Решение Совета Депутатов № 696/70. Выписка ЕГРН, регистрация права от 01.08.2018г № 50:39:00303020:828-50/020/2018-2</t>
  </si>
  <si>
    <t>Свидетельство от 11.10.2011г 50-АБ 658483. выписка ЕГРН, регистрация права от 31.07.2018г № 50:39:0020208:623-50/001/2018-2</t>
  </si>
  <si>
    <t xml:space="preserve"> Решение СД Сер.-Пруд. Муниц. р-на МО  № 106/24. Свидетельство от 29.04.2006г НА0595437. выписка ЕГРН, регистрация права от 22.05.2018г №50:39:0030304:80-50/001/2018-2</t>
  </si>
  <si>
    <t>Оперативное управление МОУ "Узуновская СОШ". Постановление от 16.06.2006г № 341. Регистрация права от 11.08.2006г № 50-50-39/007/2006-079</t>
  </si>
  <si>
    <t>Свидетельство от 11.10.2011г 50-АБ 658469. выписка ЕГРН, регистрация права от 18.07.2018г № 50:39:0000000:948-50/001/2018-2</t>
  </si>
  <si>
    <t>Решение Совета Депутатов № 696/70. Выписка ЕГРН, регистрация права от 09.08.2018г № 50:39:0020206:395-50/001/2018-2</t>
  </si>
  <si>
    <t>Решение Совета депутатов № 696/70. Выписка ЕГРН, регистрация права от 23.07.2018г №50:39:0000000:949-50/001/2018-2</t>
  </si>
  <si>
    <t>Постановление от 19.06.2018г № 911. Хоз. Ведение МУП "РСО городского округа Серебряные Пруды" . Регистрация права от 10.09.2018г №50:39:0050301:680-50/001/2018-2</t>
  </si>
  <si>
    <t>Решение Совета Депутатов № 696/70. Выписка ЕГРН, регистрация права от 31.07.2018г № 50:39:0020107:197-50/001/2018-2</t>
  </si>
  <si>
    <t>Свидетельство от 11.10.2011г 50-АБ 658479. Выписка ЕГРН, регистрация права от 06.08.2018г № 50:39:0030305:152-50/012/2018-2</t>
  </si>
  <si>
    <t>Свидетельство от 27.09.2011г 50-АБ 658477. Выписка ЕГРН, регистрация права от 14.08.2018г № 50:39:0010108:581-50/001/2018-2</t>
  </si>
  <si>
    <t>Свидетельство от 11.10.2011г 50-АБ 658480. Выписка ЕГРН, регистрация права от 31.07.2018г № 50:39:0030303:63-50/001/2018-2</t>
  </si>
  <si>
    <t>50:39:0030301:89</t>
  </si>
  <si>
    <t>50:39:0030302:485</t>
  </si>
  <si>
    <t>50:39:0010206:75</t>
  </si>
  <si>
    <t>50:39:0020318:144</t>
  </si>
  <si>
    <t>50:39:0030405:238</t>
  </si>
  <si>
    <t>50:39:0030404:169</t>
  </si>
  <si>
    <t>50:39:0010305:254</t>
  </si>
  <si>
    <t>Свидетельсво о государственной регистрации права НА №0828088. Выписка ЕГРН, регистрация права от 23.08.2018г №50:39:0060104:283-50/001/2018-2</t>
  </si>
  <si>
    <t>50:39:0060306:414</t>
  </si>
  <si>
    <t xml:space="preserve"> Решение СД Сер.-Пруд. Муниц. р-на МО  № 106/24 Св-во о гос.рег-ии НА №0595207. выписка ЕГРН, регистрация права от 02.11.2017г №50:39:0060306:414-50/001/2017-2</t>
  </si>
  <si>
    <t>50:39:0050513:163</t>
  </si>
  <si>
    <t>Свид-во от о регистрации права 50-АВ №322743. Выписка ЕГРН, регистрация права от 22.06.2017г №50:39:0050513:163-50/039/2017-2</t>
  </si>
  <si>
    <t>Свидет-во о регистрации права НА № 0828106. Выписка ЕГРН, регистрация права от 23.08.2018г №50:39:0020208:1328-50/001/2018-1</t>
  </si>
  <si>
    <t>Свидетельство о регистрации НА №595210 от 16.03.2006г. Решение о разделе здания от 07.05.2018г №56. Выписка ЕГРН, регистрация права от 06.07.2018г №50:39:0060501:174-50/039/2018-2</t>
  </si>
  <si>
    <t>Оперативное управление МОУ "Подхоженская СОШ". Постановление от 17.04.2006г №207. Регистрация права от 22.05.2018г №50:39:0060501:174-50/039/2018-1</t>
  </si>
  <si>
    <t>Оперативное управление МДОУ "Детский сад "Осетренок". Постановление от 10.04.2006г № 183. Регистрация права от 16.06.2006г № 50-50-39/2006-313</t>
  </si>
  <si>
    <t>Оперативное управление МДОУ "Детский сад общеразвивающего вида "Росинка". Постановление от 18.04.2006г №215. Регистрация права от 29.05.2006г №50-50-039/003/2006-256</t>
  </si>
  <si>
    <t>Свидетельство о регистрации НА №595210 от 16.03.2006г. Решение о разделе здания от 07.05.2018г №56. Выписка ЕГРН, регистрация права от 06.07.2018г №50:39:0060501:173-50/039/2018-2</t>
  </si>
  <si>
    <t>Оперативное управление МОУ "Мочильская СОШ". Постановление от 17.04.2006г № 209. Регистрация права от 21.06.2006г №50-50-39/003/2006-344</t>
  </si>
  <si>
    <t>50:39:0020106:328</t>
  </si>
  <si>
    <t>Свидетельство о регистрации НА №595090. Выписка ЕГРН. Регистрация права от 31.08.2018г №50:39:0020106:328-50/001/2018-2</t>
  </si>
  <si>
    <t>Оперативное управление МОУ "Крутовская СОШ". Постановление от 17.04.2006г № 210. Регистрация права от 16.03.2006г №50-50-39/001/2006-215</t>
  </si>
  <si>
    <t>Оперативное управление МОУ дополнительного образования детей "Серебряно-Прудская детская школа искусств им. П.Н. Новикова". Постановление от 15.08.2008г № 881. Свидетельство от 22.09.2008г 50-НВ №123240. Регистрация права от 22.09.2008г №50-50-39/009/2008-127</t>
  </si>
  <si>
    <t>Оперативное управление МОУ "Глубоковская СОШ". Постановление от 02.05.2006г № 227. Регистрация права от 10.03.2007г №50-50-39/002/2007-178</t>
  </si>
  <si>
    <t>Оперативное управление МОУ "Совхозная средняя общеобразовательная школа". Постановление от 17.04.2006г № 206. Регистрация права от 02.06.2006г № 50-50-39/003/2006-194</t>
  </si>
  <si>
    <t>50:39:0020208:1163</t>
  </si>
  <si>
    <t>Московская область, городской округ Серебряные Пруды, СНТ Кормовое, уч-к 10 3</t>
  </si>
  <si>
    <t>50:39:0060601:109</t>
  </si>
  <si>
    <t>28.08.2018г</t>
  </si>
  <si>
    <t xml:space="preserve"> Выписка из ЕГРН, регистрация № 50:39:0060601:109-50/001/2018-2 от 28.08.2018г</t>
  </si>
  <si>
    <t>50:39:0030305:1028</t>
  </si>
  <si>
    <t>Решение Совета депутатов № 696/70. Выписка ЕГРН, регистрация права от 02.10.2018г №50:39:0030305:1028-50/036/2018-1</t>
  </si>
  <si>
    <t>Договор соц.найма№ 21/2018 от 11 сентября 2018г. Наниматель: Лобачёва Валентина Васильевна</t>
  </si>
  <si>
    <t>Договор соц.найма от 22.06.2018г № 11/2018. Наниматель: Корнеев Владимир Иванович</t>
  </si>
  <si>
    <t>Договор соц. Найма от 17.08.2018г №19/2018. Наниматель: Кулакова Галина Анатольевна</t>
  </si>
  <si>
    <t>Договор соц.найма№ 20/2018 от 29.08.2018г Наниматель: Соколова Светлана Андреевна</t>
  </si>
  <si>
    <t>Артскважина Дмитриевское ЖКХ, глубинам 145м, башня кирпичная, перекрытия бетонные, инв. 017029</t>
  </si>
  <si>
    <t>Артскважина, инв. 1520116, глубина 130м, насос ЭЦВ-8-25-125, дата бурения 1980г,№ 46 211827</t>
  </si>
  <si>
    <t>ВЗУ (скважина) Мочильский ЖКХ, глубина 125м, павильон кирпичный, башня кирпичная, инв. 13078</t>
  </si>
  <si>
    <t>18.11.2015г</t>
  </si>
  <si>
    <t>Решение Серебряно-Прудского районного суда Москвской области от 15.11.2017г, дело № 2-648/2017. Регистрация права от 26.07.2018г № 50:39:0070104:812-50/039/2018-1</t>
  </si>
  <si>
    <t>153.1</t>
  </si>
  <si>
    <t>Спортивный комплекс с тарибунами на 3000 зрителей, инв. 1848, лит А, Б, В,В1, в том числе:</t>
  </si>
  <si>
    <t>50:39:0000000:300</t>
  </si>
  <si>
    <t>26.03.2008г</t>
  </si>
  <si>
    <t>153.2</t>
  </si>
  <si>
    <t>153.3</t>
  </si>
  <si>
    <t>153.4</t>
  </si>
  <si>
    <t>153.5</t>
  </si>
  <si>
    <t>153.6</t>
  </si>
  <si>
    <t>153.7</t>
  </si>
  <si>
    <t>153.8</t>
  </si>
  <si>
    <t>153.9</t>
  </si>
  <si>
    <t>Универсальная спортивная площадка</t>
  </si>
  <si>
    <t>50:39:0000000:307</t>
  </si>
  <si>
    <t>50:39:0000000:308</t>
  </si>
  <si>
    <t>50:39:0000000:299</t>
  </si>
  <si>
    <t>50:39:0000000:309</t>
  </si>
  <si>
    <t>Нежилое здание, спортивный зал, количество этажей 1, год завершения строительства 2003</t>
  </si>
  <si>
    <t>Нежилое здание, подтрибунные помещения, количество этажей 2, год завершения строительства 2003</t>
  </si>
  <si>
    <t>Нежилое здание, здание КПП, количество этажей 1, год завершения строительства 2003</t>
  </si>
  <si>
    <t>50:39:0000000:302</t>
  </si>
  <si>
    <t>Городошная площадка</t>
  </si>
  <si>
    <t>50:39:0000000:303</t>
  </si>
  <si>
    <t>50:39:0000000:304</t>
  </si>
  <si>
    <t>50:39:0000000:306</t>
  </si>
  <si>
    <t>Замощение</t>
  </si>
  <si>
    <t>Жилой дом, назначение - жилой дом (бывшее здание школы), 2-х этажное, кирпичное, в том числе:</t>
  </si>
  <si>
    <t>городской округ Серебряные Пруды, д. Красновские Выселки, ул. Школьная д. 4, кв.1</t>
  </si>
  <si>
    <t>Свидетельсвто о регистрации права 50-АЕ № 203249, Свидетельство о регистрации права от 20.06.2016г 50-ББ № 287689. Постановление админитрации от 11.10.2018г №1547</t>
  </si>
  <si>
    <t>211.1</t>
  </si>
  <si>
    <t>211.2</t>
  </si>
  <si>
    <t>городской округ Серебряные Пруды, д. Красновские Выселки, ул. Школьная д. 4, кв.2</t>
  </si>
  <si>
    <t>Московская область, Серебряно-Прудский район, снт Яковлевское, уч-к 187</t>
  </si>
  <si>
    <t>50:39:0030205:105</t>
  </si>
  <si>
    <t>02.10.2018г</t>
  </si>
  <si>
    <t>Выписка из ЕГРН, регистрация права от 02.10.2018г № 50:39:0030205:105-50/001/2018-1</t>
  </si>
  <si>
    <t>Решение Совета Депутатов № 696/70. выписка ЕГРН, регистрация права от 02.07.2018г, регистрация № 50:39:0000000:4037-50/001/2018-2</t>
  </si>
  <si>
    <t>Московская область, Серебряно-Прудский район, снт Яковлевское, уч-к 129</t>
  </si>
  <si>
    <t>50:39:0030205:73</t>
  </si>
  <si>
    <t>15.10.2018г</t>
  </si>
  <si>
    <t>Выписка из ЕГРН, регистрация права от 15.10.2018г № 50:39:0030205:73-50/001/2018-1</t>
  </si>
  <si>
    <t>Грунтовая автомобильная дорога д. Лошатовка, уч. 1. Протяженностью 140м</t>
  </si>
  <si>
    <t>Московская область,  г.о. Серебряные Пруды, д. Лошатовка</t>
  </si>
  <si>
    <t>Акт инвентаризации б/н от 12.10.2018</t>
  </si>
  <si>
    <t>Грунтовая автомобильная дорога д. Лошатовка, уч. 2. Протяженностью 120м</t>
  </si>
  <si>
    <t>Грунтовая автомобильная дорога д. Лошатовка, уч. 3. Протяженностью 100м</t>
  </si>
  <si>
    <t>Грунтовая автомобильная дорога с. Колеймино, уч. 5. Протяженностью 173м</t>
  </si>
  <si>
    <t>Московская область,  г.о. Серебряные Пруды, с. Колеймино</t>
  </si>
  <si>
    <t>Грунтовая автомобильная дорога с. Колеймино, уч. 6. Протяженностью 374м</t>
  </si>
  <si>
    <t>Грунтовая автомобильная дорога с. Колеймино, уч. 7. Протяженностью 190м</t>
  </si>
  <si>
    <t>Грунтовая автомобильная дорога с. Колеймино, уч. 9. Протяженностью 120м</t>
  </si>
  <si>
    <t>Грунтовая автомобильная дорога с. Колеймино, уч. 10. Протяженностью 865м</t>
  </si>
  <si>
    <t>Грунтовая автомобильная дорога с. Колеймино, уч. 11. Протяженностью 529м</t>
  </si>
  <si>
    <t>Грунтовая автомобильная дорога с. Колеймино, уч. 12. Протяженностью 186м</t>
  </si>
  <si>
    <t>Автомобильная дорога (щебеночная) с. Колеймино, уч. 13. Протяженностью 192м</t>
  </si>
  <si>
    <t>Московская область,  г.о. Серебряные Пруды, д. Боршово</t>
  </si>
  <si>
    <t>Грунтовая автомобильная дорога д. Боршово 1, уч. 5. Протяженностью 221м</t>
  </si>
  <si>
    <t>Грунтовая автомобильная дорога д. Боршово 1, уч. 6. Протяженностью 160м</t>
  </si>
  <si>
    <t>Грунтовая автомобильная дорога д. Боршово 1, уч.7. Протяженностью 80м</t>
  </si>
  <si>
    <t>Грунтовая автомобильная дорога д. Боршово 2, уч.2. Протяженностью 350м</t>
  </si>
  <si>
    <t>Грунтовая автомобильная дорога д. Боршово 2, уч.5. Протяженностью 1460м</t>
  </si>
  <si>
    <t>Грунтовая автомобильная дорога д. Скородня, уч.6. Протяженностью 353м</t>
  </si>
  <si>
    <t>Грунтовая автомобильная дорога д. Скородня, уч.7. Протяженностью 56м</t>
  </si>
  <si>
    <t>Московская область,  г.о. Серебряные Пруды, д. Скородня</t>
  </si>
  <si>
    <t>Грунтовая автомобильная дорога д. Скородня, уч.8. Протяженностью 218м</t>
  </si>
  <si>
    <t>Грунтовая автомобильная дорога д. Николаевка, уч.3. Протяженностью 164м</t>
  </si>
  <si>
    <t>Московская область,  г.о. Серебряные Пруды, д.  Николаевка от д.22 до плотины</t>
  </si>
  <si>
    <t>Автомобильная дорога (щебеночная) д. Лошатово, уч. 4. Протяженностью 121м</t>
  </si>
  <si>
    <t>Московская область,  г.о. Серебряные Пруды, д. Лошатово</t>
  </si>
  <si>
    <t>Грунтовая автомобильная дорога д.Лошатово, уч.5. Протяженностью 210м</t>
  </si>
  <si>
    <t>Московская область,  г.о. Серебряные Пруды, д. Лошатово до д.42</t>
  </si>
  <si>
    <t>Грунтовая автомобильная дорога д.Песочное, уч.3. Протяженностью 190м</t>
  </si>
  <si>
    <t>Московская область,  г.о. Серебряные Пруды, д. Песочное</t>
  </si>
  <si>
    <t>Грунтовая автомобильная дорога д.Якимовка, уч.1. Протяженностью 390м</t>
  </si>
  <si>
    <t>Московская область,  г.о. Серебряные Пруды, д. Якимовка</t>
  </si>
  <si>
    <t>Автомобильная дорога (щебень) д.Якимовка, уч.5. Протяженностью 435м</t>
  </si>
  <si>
    <t>Грунтовая автомобильная дорога с. Кормовое, уч.6. Протяженность 100м</t>
  </si>
  <si>
    <t>Московская область,  г.о. Серебряные Пруды, с. Кормовое к кладбищу</t>
  </si>
  <si>
    <t xml:space="preserve">Московская область,  г.о. Серебряные Пруды, с. Кормовое </t>
  </si>
  <si>
    <t>Автомобильная дорога с. Кормое, уч.3 . Протяженностью 700м (467м щебень, 233м грунт)</t>
  </si>
  <si>
    <t>Грунтовая автомобильная дорога д. Озерки, уч.7. Протяженность 260м</t>
  </si>
  <si>
    <t>Московская область,  г.о. Серебряные Пруды, д. Озерки</t>
  </si>
  <si>
    <t>Грунтовая автомобильная дорога с. Анино, уч.6. Протяженность 164м</t>
  </si>
  <si>
    <t>Московская область,  г.о. Серебряные Пруды, с.Аннино</t>
  </si>
  <si>
    <t>Грунтовая автомобильная дорога с. Анино, уч.7. Протяженность 216м</t>
  </si>
  <si>
    <t>Московская область,  г.о. Серебряные Пруды, д. Яблонево</t>
  </si>
  <si>
    <t xml:space="preserve">Автомобильная дорога (переходный тип покрытия) д.Ливадия, уч.1. Протяженность 912м </t>
  </si>
  <si>
    <t>Московская область,  г.о. Серебряные Пруды, д. Ливадия от съезда до деревни</t>
  </si>
  <si>
    <t xml:space="preserve">Съезд с устройством разворотной площадки для школьного автобуса д.Ливадия, уч.3. Протяженность 54м </t>
  </si>
  <si>
    <t xml:space="preserve">Московская область,  г.о. Серебряные Пруды, д. Ливадия </t>
  </si>
  <si>
    <t>Автомобильная дорога д.Коровино, уч.1. Протяженность 849м (250м асфальт, 599м грунт)</t>
  </si>
  <si>
    <t>Московская область,  г.о. Серебряные Пруды, д. Коровино</t>
  </si>
  <si>
    <t>Грунтовая автомобильная дорога д.Коровино, уч.2. Протяженность 531м</t>
  </si>
  <si>
    <t>Грунтовая автомобильная дорога д.Коровино, уч.5. Протяженность 282м</t>
  </si>
  <si>
    <t>Грунтовая автомобильная дорога д.Коровино, уч.3. Протяженность 189м</t>
  </si>
  <si>
    <t>Автомобильная дорога д.Коровино, уч.6 (асфальт). Протяженность 135м</t>
  </si>
  <si>
    <t>Автомобильная дорога д.Коровино, уч.8 (асфальт). Протяженность 160м</t>
  </si>
  <si>
    <t>Грунтовая автомобильная дорога д.Коровино, уч.10. Протяженность 180м</t>
  </si>
  <si>
    <t>50:39:0030120:215</t>
  </si>
  <si>
    <t>50:39:0010108:574</t>
  </si>
  <si>
    <t>Постоянное (бессрочное) пользование ГБУ МО "Мосавтодор". Регистрация права от 26.04.2018г №50:39:0050517:228-50/039/2018-2</t>
  </si>
  <si>
    <t>Постоянное (бессрочное) пользование ГБУ МО "Мосавтодор". Регистрация права от 26.04.2018г №50:39:0050517:229-50/039/2018-2</t>
  </si>
  <si>
    <t>50:39:0060306:777</t>
  </si>
  <si>
    <t>Оперативное управление МУК "КДЦ Мочильское". Постановление от 11.01.2009г №3. Регистрация права от 04.09.2017г №50:39:0060306:490-50/039/2017-1</t>
  </si>
  <si>
    <t>Свидетельство о регистрации права НА № 0836171. Выписка ЕГРН, регистрация права от 17.08.2018г № 50:39:0050508:68-50/001/2018-2</t>
  </si>
  <si>
    <t xml:space="preserve"> Св-во о гос.рег-ии НА №0009356. Выписка ЕГРН, регистрация права от 30.10.2018г № 50:39:0020208:1163-50/001/2018-2</t>
  </si>
  <si>
    <t>Московкая область, городской округ Серебряные Пруды, д. Новомойгры, д.14, пом.№2</t>
  </si>
  <si>
    <t xml:space="preserve"> Решение СД Сер.-Пруд. Муниц. р-на МО  № 106/24. Выписка из ЕГРН, регистрация права от 16.10.2018г № 50:39:0010305:254-50/001/2018-1</t>
  </si>
  <si>
    <t>17.10.2018г</t>
  </si>
  <si>
    <t>Договор №12/2018 передачи жилого помещения муниципального жилищного фонда в собственность граждан от 21.09.2018г. Регистрация права от 17.10.2018г №50:39:0020106:717-50/036/2018-10</t>
  </si>
  <si>
    <t>Земельный участок Категория земель - земли населенных пунктов, ВРИ -для размещения объектов здравоохранения</t>
  </si>
  <si>
    <t>Московская область, Серебряно-Прудский район, д. Шеметово, д.50</t>
  </si>
  <si>
    <t>50:39:0060104:139</t>
  </si>
  <si>
    <t>30.10.2018г</t>
  </si>
  <si>
    <t>Выписка из ЕГРН, регистрация права от 30.10.2018г № 50:39:0060104:139-50/036/2018-5</t>
  </si>
  <si>
    <t>153.10</t>
  </si>
  <si>
    <t>Забор (металлический)</t>
  </si>
  <si>
    <t>Забор (Железобетонный)</t>
  </si>
  <si>
    <t>50:39:0000000:305</t>
  </si>
  <si>
    <t>50:39:0000000:301</t>
  </si>
  <si>
    <t>153.11</t>
  </si>
  <si>
    <t>2961.1</t>
  </si>
  <si>
    <t>2961.2</t>
  </si>
  <si>
    <t>2961.3</t>
  </si>
  <si>
    <t>2961.4</t>
  </si>
  <si>
    <t>2961.5</t>
  </si>
  <si>
    <t>2961.6</t>
  </si>
  <si>
    <t>2961.7</t>
  </si>
  <si>
    <t>2961.8</t>
  </si>
  <si>
    <t>Многоквартирный дом, количество -этажей 2 (муниципальный жилой фонд), в том числе:</t>
  </si>
  <si>
    <t>Московская область, Серебряно-Прудский район, р.п. Серебряные Пруды, ул. пер. Школьный, д.2, кв.1</t>
  </si>
  <si>
    <t>Московская область, Серебряно-Прудский район, р.п. Серебряные Пруды, ул. пер. Школьный, д.2, кв.2</t>
  </si>
  <si>
    <t>Московская область, Серебряно-Прудский район, р.п. Серебряные Пруды, ул. пер. Школьный, д.2, кв.3</t>
  </si>
  <si>
    <t>Московская область, Серебряно-Прудский район, р.п. Серебряные Пруды, ул. пер. Школьный, д.2, кв.4</t>
  </si>
  <si>
    <t>Московская область, Серебряно-Прудский район, р.п. Серебряные Пруды, ул. пер. Школьный, д.2, кв.5</t>
  </si>
  <si>
    <t>Московская область, Серебряно-Прудский район, р.п. Серебряные Пруды, ул. пер. Школьный, д.2, кв.6</t>
  </si>
  <si>
    <t>Московская область, Серебряно-Прудский район, р.п. Серебряные Пруды, ул. пер. Школьный, д.2, кв.7</t>
  </si>
  <si>
    <t>Московская область, Серебряно-Прудский район, р.п. Серебряные Пруды, ул. пер. Школьный, д.2, кв.8</t>
  </si>
  <si>
    <t>24.10.2018г</t>
  </si>
  <si>
    <t>Служебная записка начальника отдела по жилищным вопросам территориального управления администрации го Серебряные Пруды МО</t>
  </si>
  <si>
    <t>50:39:0050503:576</t>
  </si>
  <si>
    <t>16.01.2017г</t>
  </si>
  <si>
    <t>Договор купли-продажи квартиры б/н от 27.12.2016г. Регистрпация права от 16.01.2017г №50:39:0050503:576-50/039/2017-2,3,4</t>
  </si>
  <si>
    <t>50:39:0000000:4030</t>
  </si>
  <si>
    <t>50-50-39/002/2005-282</t>
  </si>
  <si>
    <t>09.6.2005г</t>
  </si>
  <si>
    <t>Решение Серебряно-Прудского районного суда от 22.12.2004г. Регистрациооная запись от 09.06.2005г № 50-50-39/002/2005-282</t>
  </si>
  <si>
    <t>50-50-39/009/2007-337</t>
  </si>
  <si>
    <t>Решение Серебряно-Прудского районного суда от 09.10.2007г. Регистрционная запись от 10.01.2008г №50-50-39/009/2007-337</t>
  </si>
  <si>
    <t>Автомобиль LADA KALINA 219220, VIN ХТА219220Е0042446,  год 2014, цвет черный, гос.номер Т 698 КК 750</t>
  </si>
  <si>
    <t>Автомобиль легковой LADA KALINA 219470, VIN  ХТА219470Е0028631, цвет сине-черный, год 2014, гос. номер В 620 ЕМ 750</t>
  </si>
  <si>
    <t>Оперативное управление МКУ «Служба обеспечения». Постановление администрации от 01.06.2016г № 1071</t>
  </si>
  <si>
    <t>19.10.2018г</t>
  </si>
  <si>
    <t>Решение СД го Серебряные Пруды от 25.09.2018г №145/23, Договор дарения автомобиля №1 от 02.10.208г, Акт приема-передачи б/н от 19.10.2018г</t>
  </si>
  <si>
    <t>Легковой автомобиль TOYOTA Camry VIN XW7BK4FK10S008883, год выпуска 201, цвет чёрный металлик, гос номер В 650 ЕМ 750</t>
  </si>
  <si>
    <t>16.10.2018г</t>
  </si>
  <si>
    <t>Распоряжение администрации № 834-р</t>
  </si>
  <si>
    <t>Решение Совета Депутатов № 695/70. Выписка ЕГРН, регистрация права от 16.10.2018г № 50:39:0050503:695-50/001/2018-1</t>
  </si>
  <si>
    <t>Решение Совета депутатов № 696/70. Выписка ЕГРН, регитрация права от 07.11.2018г №50:39:0010108:574-50/001/2018-1</t>
  </si>
  <si>
    <t>Является часть здания реестровый номер 2134</t>
  </si>
  <si>
    <t>Решение Совета Депутатов № 695/70. Выписка ЕГРН, регистрация права от 22.10.2018г № 50:39:0050507:104-50/001/2018-1</t>
  </si>
  <si>
    <t>Решение Совета Депутатов № 695/70. выписка ЕГРН, регистрация права от 22.10.2018г № 50:39:0050504:387-50/036/2018-1</t>
  </si>
  <si>
    <t>Решение Совета Депутатов № 695/70. Выписка ЕГРН, регистрация права от 22.10.2018 №50:39:0050301:649-50/036/2018-1</t>
  </si>
  <si>
    <t>Решение Совета Депутатов № 695/70. Выписка ЕГРН, регистрация права от 22.10.52018г № 50:39:0070104:747-50/001/2018-1</t>
  </si>
  <si>
    <t>Решение Совета Депутатов № 695/70. Выписка из ЕГРН, регистрация права от 22.10.2018г № 50:39:0000000:4204-50/036/2018-1</t>
  </si>
  <si>
    <t>Решение Совета Депутатов № 695/70. Выписка ЕГРН. Регистрация права от 26.10.2018г № 50:39:0070104:744-50/001/2018-1</t>
  </si>
  <si>
    <t>Решение Совета Депутатов № 695/70. Выписка ЕГРН, регистрация права от 24.10.2018г № 50:39:0050504:384-50/001/2018-1</t>
  </si>
  <si>
    <t>Решение Совета Депутатов № 695/70. выписка из ЕГРН. Регистрация права от 19.10.2018г № 50:39:0050101:666-50/001/2018-1</t>
  </si>
  <si>
    <t>Решение Совета Депутатов № 695/70. Выписка ЕГРН, регистрация права от 24.10.2018г № 50:39:0050501:294-50/001/2018-1</t>
  </si>
  <si>
    <t>Решение Совета Депутатов № 695/70. Выписка ЕГРН, регистрация права от 24.10.2018г №50:39:0050507:102-50/001/2018-1</t>
  </si>
  <si>
    <t>Решение Совета Депутатов № 695/70. Выписка из ЕГРН, регистрация права от 16.10.2018г № 50:39:0050507:103-50/001/2018-1</t>
  </si>
  <si>
    <t>Решение Совета Депутатов № 695/70. Выписка из ЕГРН, регистрация права от 16.10.2018г №50:39:0050503:694-50/001/2018-1</t>
  </si>
  <si>
    <t>Решение Совета депутатов № 695/70. Выписка из ЕГРН, регистрация права от 26.10.2018г №50:39:0000000:4241-50/001/2018-1</t>
  </si>
  <si>
    <t>Решение Совета Депутатов № 695/70. Выписка из ЕГРН, регистрация права от 26.10.2018г № 50:39:0050602:503-50/001/2018-1</t>
  </si>
  <si>
    <t>Решение Совета Депутатов № 695/70. Выписка из ЕГРН, регистрация права от 26.10.2018г №50:39:0000000:4205-50/001/2018-1</t>
  </si>
  <si>
    <t>Решение Совета Депутатов № 695/70. Выписка из ЕГРН, регистрация права от 25.10.2018г № 50:39:0050514:341-50/001/2018-1</t>
  </si>
  <si>
    <t>Решение Совета Депутатов № 695/70. Выписка из ЕГРН, регитрация права от 25.10.2018г № 50:39:0050405:333-50/001/2018-1</t>
  </si>
  <si>
    <t>Решение Совета Депутатов № 695/70. Выписка из ЕГРН, регистрация права от 25.10.2018г № 50:39:0050404:983-50/001/2018-1</t>
  </si>
  <si>
    <t>Решение Совета Депутатов № 695/70. Выписка из ЕГРН, регистрация права от 25.10.2018г № 50:39:0050101:667-50/001/2018-1</t>
  </si>
  <si>
    <t>Решение Совета депутатов № 698/70, свидет-во о регистрации права 50-АЕ № 978364 от 06.12.2013г. Выписка из ЕГРН, регистрация права от 01.11.2018г № 50:39:0060306:844-50/001/2018-2</t>
  </si>
  <si>
    <t>Решение Совета депутатов № 698/70,  свидет-во о регистрации права 50-АЕ № 978361 от 06.12.2012г. Выписка из ЕГРН, регистрация права от 31.10.2018г № 50:39:0010102:95-50/001/2018-2</t>
  </si>
  <si>
    <t>Технический паспорт здания от 05.03.2008г, инвентарный номер 272:077-1848. Кадастровый паспорт спортивного сооружения, инвентарный номер 272:077-1848, литера VI . Выписка из ЕГРН, регистрация права от 13.11.2018г № 50:39:0000000:300-50/050/2018-1</t>
  </si>
  <si>
    <t>Здание нежилое, 1-о этажное,год завершения строительства 1994</t>
  </si>
  <si>
    <t>50:39:0050512:108</t>
  </si>
  <si>
    <t>Решение Серебряно-Прудского районного суда от 17.07.2018г, дело №2-405/2018. Выписка из ЕГРН, регистрация права от 06.11.2018г № 50:39:0050512:108-50/039/2018-4</t>
  </si>
  <si>
    <t>Земельный участок Категория земель - земли сельскохозяйственного назначения ВРИ - для ведения крестьянского (фермерского) хозяйства</t>
  </si>
  <si>
    <t>50:39:0060401:46</t>
  </si>
  <si>
    <t>Выписка из ЕГРН, регистрация № 50:39:0060401:46-50/039/2018-2</t>
  </si>
  <si>
    <t>Автомобиль Chevrolet Niva 212300-55 VIN X9L212300А0293416, гос. Номер О 044 ЕО 190</t>
  </si>
  <si>
    <t>Постановление администрации го Серебряные Пруды №390. Постановление администрации от 18.04.2018г №607</t>
  </si>
  <si>
    <t>Система пожарного мониторинга приема дублируещуго сигнала тревожных сообщений о пожаре на объектах с массовым пребыванием людей, обеспечивающей безопасность бюджетных учреждений</t>
  </si>
  <si>
    <t>1.101.04.3001</t>
  </si>
  <si>
    <t>Договор №368912/18 от 08.06.2018. Товарная накладная № 1182 от 18.06.2018г</t>
  </si>
  <si>
    <t xml:space="preserve">Мотопомпа ishin SWT-80HX (рукав напорный 20м - 3шт, рукав всасывающий 4м - 2шт, сетка всасывающая - 2шт, головка муфт - 2шт, ствол пожарный - 2шт) </t>
  </si>
  <si>
    <t>1.101.04.3006</t>
  </si>
  <si>
    <t>Муниципальный контракт №0848600007418000217-0126220-01 от 25.07.2018г. Товарная накладная от 14.08.2018г № 634</t>
  </si>
  <si>
    <t>Газоаализатор АНКАТ-7664Микро</t>
  </si>
  <si>
    <t>1.101.06.3003</t>
  </si>
  <si>
    <t>Муниципальный контракт №0848600007418000216-0126220-01 от 16.07.2018г. Товарная накладная от 30.07.2018г № 6412</t>
  </si>
  <si>
    <t>Туалет уличный</t>
  </si>
  <si>
    <t>1.101.02.010</t>
  </si>
  <si>
    <t>Договор №122939 от 09.07.2018. Товарная накладная № ГЛ-192 от 07.08.2018</t>
  </si>
  <si>
    <t>50:39:0000000:560</t>
  </si>
  <si>
    <t>Технический паспорт здания от 05.03.2008г, инвентарный номер 272:077-1848. Кадастровый паспорт спортивного сооружения, инвентарный номер 272:077-1848, литера IV. Выписка из ЕГРН, регистрация права от 19.11.2018г № 50:39:0000000:307-50/001/2018-1</t>
  </si>
  <si>
    <t>Решение Совета Депутатов № 695/70. Выписка из ЕГРН, регистрация права от 15.11.2018г № 50:39:0000000:4238-50/050/2018-1</t>
  </si>
  <si>
    <t>50:39:0000000:291</t>
  </si>
  <si>
    <t>50:39:0000000:292</t>
  </si>
  <si>
    <t>Московская об. Городской округ Серебряные Пруды, р.п. Серебряные Пруды          ул. Большая Луговая (проезд к ж/д №53 ул. Ленина, к ж/д №7 ул. Садовая)</t>
  </si>
  <si>
    <t>50:39:0000000:1195</t>
  </si>
  <si>
    <t>50:39:0000000:668</t>
  </si>
  <si>
    <t>50:39:0000000:738</t>
  </si>
  <si>
    <t>Технический паспорт здания от 05.03.2008г, инвентарный номер 272:077-1848. Кадастровый паспорт спортивного сооружения, инвентарный номер 272:077-1848, литера I. Выписка из ЕГРН, регистрация права от 20.11.2018г № 50:39:0000000:308-50/001/2018-1</t>
  </si>
  <si>
    <t>Плотина пруда. Балка. Притока ручья Татарки приток р. Полосня</t>
  </si>
  <si>
    <t>Московская область, г. о. Серебряные Пруды, с. Подхожее</t>
  </si>
  <si>
    <t>50:39:0060201:120</t>
  </si>
  <si>
    <t>22.11.2018г</t>
  </si>
  <si>
    <t>Решение суда от 23.07.18г №2-439/2018. выписка из ЕГРН, регистрация права от 22.11.2018г № 50:39:0060201:120-50/001/2018-3</t>
  </si>
  <si>
    <t>Решение суда от 20.06.18г №2-356/2018 . Выписка из ЕГРН, регистрация права от 09.08.2018г №50:39:0070107:474-50/039/2018-2</t>
  </si>
  <si>
    <t>Решение суда от 20.06.18г №2-357/2018. Выписка из ЕГРН, регистрация права от 09.08.2018г №50:39:0070304:53-50/039/2018-2</t>
  </si>
  <si>
    <t>Решение суда от 25.06.2018г №2-363/2018. Выписка из ЕГРН, регистрация права от 06.09.2018г № 50:39:0020201:357-50/036/2018-3</t>
  </si>
  <si>
    <t>Решение суда от 27.06.2018г №2-335/2018. Выписка из ЕГРН, регистрация права от 06.09.2018г № 50:39:0020307:81-50/001/2018-3</t>
  </si>
  <si>
    <t>Решение суда от 25.06.2018г №2-362/2018. Выписка из ЕГРН, регистрация права от 06.09.2018г № 50:39:0070304:54-50/001/2018-3</t>
  </si>
  <si>
    <t>Решение суда от 27.06.2018г №2-. Выписка из ЕГРН, регистрация права от 06.09.2018г № 50:39:0070107:475-50/001/2018-3</t>
  </si>
  <si>
    <t>Решение суда от 20.06.18г №2-339/2018. Выписка из ЕГРН, регистрация права от 09.08.2018г №50:39:0010110:35-50/039/2018-2</t>
  </si>
  <si>
    <t>Решение суда от 23.07.18г, дело №2-440/2018. выписка из ЕГРН, регистрация права от 22.11.2018г № 50:39:0000000:4364-50/001/2018-3</t>
  </si>
  <si>
    <t>Плотина пруда на ручье без названия притоке р. Мордвес</t>
  </si>
  <si>
    <t>Московская область, г. о. Серебряные Пруды, д. Столбовка</t>
  </si>
  <si>
    <t>50:39:0000000:4364</t>
  </si>
  <si>
    <t>Плотина пруда на притоке р. Березинка</t>
  </si>
  <si>
    <t>50:39:0020105:51</t>
  </si>
  <si>
    <t>Московская область, г. о. Серебряные Пруды, с. Крутое (МТФ)</t>
  </si>
  <si>
    <t>Решение суда от 23.07.18г, дело №2-412/2018. Выписка из ЕГРН, регистрация права от 22.11.2018г № 50:39:0020105:51-50/001/2018-3</t>
  </si>
  <si>
    <t>Договор № 11/2018 передачи жилого помещения муниципального жилищного фонда в собственность граждан от 20.09.2018г. Регистрация права от 20.11.2018г №50:39:0000000:4623-50/001/2018-3.</t>
  </si>
  <si>
    <t>Договор №8/2018 передачи жилого помещения муниципального жилищного фонда в собственность граждан от 06.07.2018г. Регистрация права от 24.10.2018г № 50:39:0030305:1028-50/039/2018-3</t>
  </si>
  <si>
    <t>Плотина пруда на ручье без названия, левый приток р. Осетр</t>
  </si>
  <si>
    <t>Московская область, г. о. Серебряные Пруды, п. Новоклёмово</t>
  </si>
  <si>
    <t>50:39:0040202:981</t>
  </si>
  <si>
    <t>20.11.2018г</t>
  </si>
  <si>
    <t>Плотина верхнего пруда на притоке р. Истоминка</t>
  </si>
  <si>
    <t>50:39:0000000:4358</t>
  </si>
  <si>
    <t>21.11.2018г</t>
  </si>
  <si>
    <t>Решение суда от 19.07.18г, дело №2-418/2018. выписка из ЕГРН, регистрация права от 21.11.2018г № 50:39:0000000:4358-50/001/2018-3</t>
  </si>
  <si>
    <t>Московская область, г. о. Серебряные Пруды, д. Накаплово</t>
  </si>
  <si>
    <t>Плотина пруда на притоке р. Березня</t>
  </si>
  <si>
    <t>Московская область, г. о. Серебряные Пруды, с. Узуново</t>
  </si>
  <si>
    <t>50:39:0030209:11</t>
  </si>
  <si>
    <t>Решение суда от 01.08.2018г, дело №2-387/2018. Выписка из ЕГРН, регистрация права от 20.11.2018г № 50:39:0040202:981-50/001/2018-3</t>
  </si>
  <si>
    <t>Решение суда от 02.08.2018г, дело №2-411/2018. Выписка из ЕГРН, регистрация права от 21.11.2018г № 50:39:0030209:11-50/001/2018-3</t>
  </si>
  <si>
    <t>Здание нежилого значения, 1-о этажное,год завершения строительства 1971</t>
  </si>
  <si>
    <t>Московская область, Серебряно-Прудский район, рп Серебряные Пруды, ул. Привокзальная</t>
  </si>
  <si>
    <t>50:39:0050513:225</t>
  </si>
  <si>
    <t>Решение Серебряно-Прудского районного суда от 07.08.2018г, дело №2-414/2018. Выписка из ЕГРН, регистрация права от 20.11.2018г № 50:39:0050513:225-50/001/2018-3</t>
  </si>
  <si>
    <t>Здание нежилого значения, 1-о этажное,год завершения строительства 1969</t>
  </si>
  <si>
    <t>50:39:0080207:623</t>
  </si>
  <si>
    <t>Решение Серебряно-Прудского районного суда от 23.07.2018г, дело №2-410/2018. Выписка из ЕГРН, регистрация права от 21.11.2018г № 50:39:0080207:623-50/001/2018-3</t>
  </si>
  <si>
    <t>Здание электоцеха, 1-о этажное,год завершения строительства 1973</t>
  </si>
  <si>
    <t>Московская область, Серебряно-Прудский район, п. Дмитриевский</t>
  </si>
  <si>
    <t>50:39:0080207:626</t>
  </si>
  <si>
    <t>Решение Серебряно-Прудского районного суда от 02.08.2018г, дело №2-386/2018. Выписка из ЕГРН, регистрация права от 20.11.2018г № 50:39:0080207:626-50/001/2018-3</t>
  </si>
  <si>
    <t>50:39:0080207:624</t>
  </si>
  <si>
    <t>50:39:0080207:625</t>
  </si>
  <si>
    <t>15.11.2018г</t>
  </si>
  <si>
    <t>Решение Серебряно-Прудского районного суда от 18.07.2018г, дело №2-393/2018. Выписка из ЕГРН, регистрация права от 15.11.2018г № 50:39:0080207:625-50/001/2018-3</t>
  </si>
  <si>
    <t>Московская область, городской округ Серебряные Пруды. с. Мочилы, ул. Юбилейная, д.3, кв.21</t>
  </si>
  <si>
    <t>50:39:0060306:618</t>
  </si>
  <si>
    <t>Свидетельство о праве на наследство по закону от 16.11.2018г 50 АБ 2367620, наследственное дело № 115/2018. Выписка ЕГРН, регистрация права от 22.11.2018г № 50:39:0060306:618-50/039/2018-2</t>
  </si>
  <si>
    <t>Земельный участок Категория земель - земли населенных пунктов ВРИ - земли гаражного назначения</t>
  </si>
  <si>
    <t>50:39:0070206:203</t>
  </si>
  <si>
    <t>Выписка из ЕГРН, регистрация права от 15.11.2018г № 50:39:0070206:203-50/039/2018-1</t>
  </si>
  <si>
    <t>Земельный участок Категория земель - земли населенных пунктов ВРИ - коммунальное обслуживание</t>
  </si>
  <si>
    <t>Московская область, городской округ Серебряные Пруды, рп Серебряные Пруды, ул. Октябрьская</t>
  </si>
  <si>
    <t>50:39:0050301:604</t>
  </si>
  <si>
    <t>Выписка из ЕГРН, регистрация права от 15.11.2018г № 50:39:0050301:604-50/039/2018-1</t>
  </si>
  <si>
    <t>Земельный участок Категория земель - земли  сельскохозяйственного назначения ВРИ - для ведения коллективного садоводства</t>
  </si>
  <si>
    <t>Московская область, городской округ Серебряные Пруды, рп Серебряные Пруды, снт Мягковские камушки, уч-к 147</t>
  </si>
  <si>
    <t>50:39:0040103:136</t>
  </si>
  <si>
    <t>Выписка из ЕГРН, регистрация права от 31.10.2018г № 50:39:0040103:136-50/039/2017-1</t>
  </si>
  <si>
    <t xml:space="preserve">Автомобильная грунтовая дорога, расположенная на земельном участке с кадастровым номером 50:39:0000000:4247, протяженностью 4200м  </t>
  </si>
  <si>
    <t>Автомобильная грунтовая дорога, расположенная на земельном участке с кадастровым номером 50:39:0030304:157, протяженностью 1000 м</t>
  </si>
  <si>
    <t>Решение Совета Депутатов № 695/70. Выписка из ЕГРН, регистрация права от 07.12.2018г № 50:39:0000000:292-50/001/2018-1</t>
  </si>
  <si>
    <t>Плотина пруда №3 на притоке р. Кудесна</t>
  </si>
  <si>
    <t>50:39:0000000:4368</t>
  </si>
  <si>
    <t>27.11.2018г</t>
  </si>
  <si>
    <t>Решение суда от 11.10.2018г, дело №2-575/2018. Выписка из ЕГРН, регистрация права от 27.11.2018г № 50:39:0000000:4368-50/001/2018-3</t>
  </si>
  <si>
    <t>Решение суда от 11.10.2018г, дело №2-576/2018. Выписка из ЕГРН, регистрация права от 28.11.2018г № 50:39:0060306:1048-50/001/2018-3</t>
  </si>
  <si>
    <t>Плотина пруда №4 на р. Мочилка прит. Р. Прони</t>
  </si>
  <si>
    <t>50:39:0060306:1048</t>
  </si>
  <si>
    <t>28.11.2018г</t>
  </si>
  <si>
    <t>МО, городской округ Серебряные Пруды, с.Узуново, мк-н Южный</t>
  </si>
  <si>
    <t>Технический паспорт здания от 05.03.2008г, инвентарный номер 272:077-1848. Кадастровый паспорт спортивного сооружения, инвентарный номер 272:077-1848, литера Б. Выписка ЕГРН, регистрация права от 06.12.2018г № 50:39:0000000:309-50/001/2018-1</t>
  </si>
  <si>
    <t>Исключено на основании Акта инвентаризации от 30.10.2017г. Объекта фактически не существует</t>
  </si>
  <si>
    <t>14.11.2018г</t>
  </si>
  <si>
    <t>Решение Совета депутатов городского округа от 14.11.2018г №165/26</t>
  </si>
  <si>
    <t>Исключено на основании Акта инвентаризации от 30.10.2017г. Объект на частной территории</t>
  </si>
  <si>
    <t xml:space="preserve"> Договор соц.найма на жилые помещения общей площадью 75,5 кв.м. № 18/2018 от 20.07.2018г  Наниматель: Журавлева Людмила Леонидовна</t>
  </si>
  <si>
    <t>Решение Совета депутатов городского округа Серебряные Пруды от 14.11.2018г № 165/26</t>
  </si>
  <si>
    <t>Исключено, задвоено со стр 2714</t>
  </si>
  <si>
    <t xml:space="preserve">Особо ценное имущество. Постановление от 10.07.2018г №1044. </t>
  </si>
  <si>
    <t xml:space="preserve">Особо ценное имущество. Постановление  10.07.2018г №1046. </t>
  </si>
  <si>
    <t>Оперативное управление МБУ "Благоустройство и дорожное хозяйство". Постановление от 16.11.2018г. №1709</t>
  </si>
  <si>
    <t>Особо ценное имущество. Постановление администрации от 16.11.2018г №1711</t>
  </si>
  <si>
    <t>Хоз.ведение МУП "РСО". Постановление администрации от 16.11.2018г №1708</t>
  </si>
  <si>
    <t>Оперативное управление МУ "Мемориальный Дом-музей дважды Героя Советского Союза Маршала Светского Союза В.И.Чуйкова". Постановление от 28.11.2018г № 1775</t>
  </si>
  <si>
    <t>Договор безвозмездного пожертвования от 28.11.2017г №211</t>
  </si>
  <si>
    <t>16.1.36.0009</t>
  </si>
  <si>
    <t>Бюст Чуйкова В.И. 1 шт (материал - литьевой гранит, цвет под бронзу)</t>
  </si>
  <si>
    <t>Технический паспорт здания от 05.03.2008г, инвентарный номер 272:077-1848. Кадастровый паспорт спортивного сооружения, инвентарный номер 272:077-1848, литера В, В1. Выписка ЕГРН, регистрация права от 10.12.2018г № 50:39:0000000:302-50/001/2018-1</t>
  </si>
  <si>
    <t>50:39:0050508:559</t>
  </si>
  <si>
    <t>Договор соц.найма№ 140/2017 от 15.05.2017 Наниматель: Федоричева Людмила Александровна</t>
  </si>
  <si>
    <t>Договор соц.найма№ 44/2017 от 27.02.2017 Наниматель: Терешина Галина Николаевна</t>
  </si>
  <si>
    <t>Договор соц.найма № 78/2016 тот 24.10.2016 Наниматель: Ватрушкин Вячеслав Петрович</t>
  </si>
  <si>
    <t>Договор соц.найма № 79/2016 от 24.10.2016 г. Наниматель: Кирилкин Юрий Викторович</t>
  </si>
  <si>
    <t>Договор соц.найма № 26/2017 от 30.01.2017 наниматель: Рябченкова Татьяна Александровна</t>
  </si>
  <si>
    <t>Договор соц.найм № 60/2016 от Наниматель: Косякина Татьяна Михайловна</t>
  </si>
  <si>
    <t>Договор соц.найма № 57/2016 от 05.09.2016 Наниматель: Мурашко Галина Борисовна</t>
  </si>
  <si>
    <t>Договор соц.найма № 68/2016 от 27.09.2016 Наниматель: Лихачева Виктория Сергеевна</t>
  </si>
  <si>
    <t>Договор соц.найма № 21/2016 от 19.05.2016 Наниматель: Тимаков Виктор Иванович</t>
  </si>
  <si>
    <t>Договор соц.найма № 59/2016 от 16.09.2016 Наниматель: Афанасьева Мария Ивановна</t>
  </si>
  <si>
    <t>Договор соц.найма № 24/2017 от 30.01.2017 Наниматель: Лобачёв Максим Геннадьевич</t>
  </si>
  <si>
    <t>Договор соц.найма№ 171/20107 от 14.07.2017 наниматель: Минина Ольга Викторовна</t>
  </si>
  <si>
    <t>Договор соц.найма № 22/2016 от 19.05.2016 Наниматель: Редькин Юрий Васильевич</t>
  </si>
  <si>
    <t>Договор соц.найма№ 170/2017 от06.07.2017 Наниматель: Пряников Андрей Викторович</t>
  </si>
  <si>
    <t>Договор соц.найма № 71/2016 от 27.09.2016 Наниматель: Семенов Валерий Петрович</t>
  </si>
  <si>
    <t>Договор соц.найма № 27/2017 от 08.02.2017 Наниматель: Абашкина Татьяна Викторовна</t>
  </si>
  <si>
    <t>Договор соц.найма № 27/2016 от 19.05.2016 Наниматель: Кургузов Евгений Васильевич</t>
  </si>
  <si>
    <t>Договор соц.найма№ 86/2017 от 17.03.2017 Наниматель: Гордеев Алексей Сергеевич</t>
  </si>
  <si>
    <t>Договор соц.найма № 58/2017 от 03.03.2017 Наниматель: Баранов Петр Петрович</t>
  </si>
  <si>
    <t>Договор соц.найма № 80/2016 от 24.10.2016 Наниматель: Колобаев Сергей Серафимович</t>
  </si>
  <si>
    <t>Договор соц.найма № 31/2016 от 31.05.2016 Наниматель: Надршин Шмгутин Шамсуллович</t>
  </si>
  <si>
    <t>Договор соц.найма № 56/2016 от 24.08.2016 Наниматель: Вьюнкова Татьяна Ивановна</t>
  </si>
  <si>
    <t>Договор соц.найма № 54/2016 от 24.08.2016 Наниматель: Чаплин Сергей Михайлович</t>
  </si>
  <si>
    <t>Договор соц.найма № 55/2016 от 24.08.2016 Наниматель: Горячева Елена Анатольевна</t>
  </si>
  <si>
    <t>Договор соц.найма№ 179 от 13.12.2011г Наниматель: Мигунов Сергей Анатольевич</t>
  </si>
  <si>
    <t>Договор соц.найма № 63/2016 от 31.08.2016 Наниматель: Самсонова Галина Алексеевна</t>
  </si>
  <si>
    <t>Договор соц.найма № 62/2016 от 31.08.2016 Наниматель: Ульихин Андрей Адольфович</t>
  </si>
  <si>
    <t>Договор соц.найма № 53/2016 от 24.08.2016 Наниматель: Скворцов Евгений Сергеевич</t>
  </si>
  <si>
    <t>Договор соц.найма № 30/2016 от 31.05.2016 Наниматель: Тимощенко Елена Николаевна</t>
  </si>
  <si>
    <t>Договор соц.найма № 64/2016 от 31.08.2016 Наниматель: Соловьева Людмила Викторовна</t>
  </si>
  <si>
    <t>Договор соц.найма № 29/2017 от 08.02.2017 Наниматель: Горященко Сергей Михайлович</t>
  </si>
  <si>
    <t>Договор соц.найма№ 62/2017 от 03.03.2017 наниматель: Гаврилова Ольга Александровна</t>
  </si>
  <si>
    <t>Договор соц.найма № 34/2017 от 08.02.2017 Наниматель: Рослякова Любовь Адамовна</t>
  </si>
  <si>
    <t>Договор соц.найма № 28/2016 от 19.05.2016 Наниматель: Карева Валентина Семеновна</t>
  </si>
  <si>
    <t>Договор соц.найма№ 25/2017 от 30.01.2017 Наниматель: Смелкова Анастасия Ивановна</t>
  </si>
  <si>
    <t>Договор соц.найма № 59/2017 от 03.03.2017 Наниматель: Кисляков Петр Васильевич</t>
  </si>
  <si>
    <t>Договор соц.найма№ 61/2017 от 03.03.2017 наниматель: Черниговская Галина Александровна</t>
  </si>
  <si>
    <t>Договор соц.найма № 32/2017 от 08.02.2017 Наниматель: Садофьев Юрий Петрович</t>
  </si>
  <si>
    <t>(комната) Договор соц.найма № 14/2016 от 01.04.2016 г. Наниматель Хохлова Марина Владимировна</t>
  </si>
  <si>
    <t>Договор соц.найма № 22/2017 от 30.01.2017 Наниматель: Косякин Александр Юрьевич</t>
  </si>
  <si>
    <t>Договор соц.найма № 60/2017 от 03.03.2017 Наниматель: Мамонова Марина Анатольевна</t>
  </si>
  <si>
    <t>Договор соц.найма № 21/2017 от 30.01.2017 Наниматель: Анохин Анатолий Викторович</t>
  </si>
  <si>
    <t>Договор соц.найма№ 63/2017 от 03.03.2017 Наниматель: Громова Ирина Борисовна</t>
  </si>
  <si>
    <t>Договор соц.найма № 6/2018 от 25.04.2018г Наниматель: Сеитова Любовь Дмитриевна</t>
  </si>
  <si>
    <t>Договор соц.найма№ 129/2017 от 19.04.2017 Наниматель: Павлов Петр Александрович</t>
  </si>
  <si>
    <t>Договор соц.найма№ 31/2017 от 08.02.2017 Наниматель: Рамзаев Дмитрий Вячеславович</t>
  </si>
  <si>
    <t>Договор соц.найма № 33/2017 от 08.02.2017 Наниматель: Гордеев Владимир Степанович</t>
  </si>
  <si>
    <t>Договор соц.найма№ 154/2017 от 01.06.2017 Наниматель: Жуган Любовь Дмитриевна</t>
  </si>
  <si>
    <t>Договор соц.найма № 20/2016 от 06.05.2016 г. Наниматель: Бабанская Галина Николаевна</t>
  </si>
  <si>
    <t>Договор соц.найма № 48/2017 от 27.02.2017 Наниматель: Прохоренко Валентина Ивановна</t>
  </si>
  <si>
    <t>Договор соц.найма № 92/2016 от 28.10.2016 Наниматель: Шабина Наталья Валерьевна</t>
  </si>
  <si>
    <t>Договор соц.найма№ 47/2017 от 27.02.2017 Наниматель: Чаплин Василий Гаврилович</t>
  </si>
  <si>
    <t>Договор соц.найма № 29/2016 от 31.05.2016 Наниматель: Ильинов Михаил Васильевич</t>
  </si>
  <si>
    <t>Договор соц.найма№ 45/2017 от 27.02.2017 Наниматель: Косилин Николай Викторович</t>
  </si>
  <si>
    <t>Договор соц.найма№ 87/2017 от 17.03.2017 Наниматель: Севостьянов Вячеслав Алексеевич</t>
  </si>
  <si>
    <t>Договор соц.найма № 46/2017 от 27.02.2017 Наниматель: Потарина Валентина Владимировна</t>
  </si>
  <si>
    <t>Договор соц.найма № 37/2016 от 23.06.2016 Наниматель: Пантелеева Галина Федоровна</t>
  </si>
  <si>
    <t>Договор соц.найма№ 83/2017 от 17.03.2017 Наниматель: Дюпин Василий Николаевич</t>
  </si>
  <si>
    <t>Договор соц.найма№ 109/2017 от 19.04.2017 Наниматель: Зайцева Валентина Ивановна</t>
  </si>
  <si>
    <t>Договор соц.найма№ 89/2017 от 17.03.2017 Наниматель: Мукосеева Елена Николаевна</t>
  </si>
  <si>
    <t>Договор соц.найма№ 168/2017 от 26.06.2017 Наниматель: Фомина Елена Васильевна</t>
  </si>
  <si>
    <t>Договор соц.найма№ 85/2017 от 17.03.2017 Наниматель: Емельянова Валентина Александровна</t>
  </si>
  <si>
    <t>Договор соц.найма№ 84/2017 от 17.03.2017 Наниматель: Моисеева Валентина Николаевна</t>
  </si>
  <si>
    <t>Договор соц.найма № 40/2016 от 11.07.2016 Наниматель:Новикова Елена Павловна</t>
  </si>
  <si>
    <t>Договор соц.найм № 35/2016 от 16.06.2016 Наниматель: Никитская Галина Викторовна</t>
  </si>
  <si>
    <t>Договор соц.найма № 23/2016 от 19.05.2016 г. Наниматель: Скворцов Николай Сергеевич</t>
  </si>
  <si>
    <t>Договор соц.найма№ 57/2017 от 03.03.2017 Наниматель: Хренкин Алексей Николаевич</t>
  </si>
  <si>
    <t>Договор соц.найма№ 82/2017 от 17.03.2017 Наниматель: Мазурин Андрей Александрович</t>
  </si>
  <si>
    <t>кв. 2(Договор соц.найма№ 206/2017 от 23.11.2017 Наниматель: Ефимова Вера Михайловна)</t>
  </si>
  <si>
    <t>Договор соц.найма№ 153/2017 от 01.06.2017 наниматель: Аксенова Зоя Ивановна</t>
  </si>
  <si>
    <t>Договор соц.найма№ 108 от 12.12.2014 г. Наниматель: Оберемко Климентий Леонидович</t>
  </si>
  <si>
    <t>Договор соц.найма№ 215/2017 от13.12.2017 наниматель:Кисляков Аркадий Аркадьевич    РОСТОРЖЕНИЕ от 24.01.2018г.</t>
  </si>
  <si>
    <t>Договор соц.найма№ 178/20107 от 30.08.2017 наниматель: Карпухина Нина Алексеевна</t>
  </si>
  <si>
    <t>Договор соц.найма № 42/2016 от 22.07.2016 Наниматель: Торгашов Николай Викторович</t>
  </si>
  <si>
    <t>Договор соц.найма № 130/2017 от 12.05.2017 Наниматель: Гульнев Юрий Владимирович</t>
  </si>
  <si>
    <t>Договор соц.найма №200/2017 от27.10.2017 Наниматель: Карачева Лия Павловна</t>
  </si>
  <si>
    <t>Договор соц.найма№ 100/2017 от 30.03.2017 Наниматель: Дудакова Татьяна Владимировна</t>
  </si>
  <si>
    <t>Договор соц.найма № 82/2016 от 24.10.2016 г. Наниматель: Попов Геннадий Васильевич</t>
  </si>
  <si>
    <t>Договор соц.найма № 73/2016 от 29.09.2016 Наниматель: Трушкина Галина Петровна</t>
  </si>
  <si>
    <t>Договор соц.найма№ 203/2017 от 27.10.2017 Наниматель: Чижова Нина Ивановна</t>
  </si>
  <si>
    <t>Договор соц.найма № 135/2017 от 12.05.2017 Наниматель: Романова Людмила Николаевна</t>
  </si>
  <si>
    <t>Договор соц.найма№ 49/2017 от 03.03.2017 Наниматель: Медведев-Григорьев Сергей Иванович</t>
  </si>
  <si>
    <t>Договор соц.найма№ 96/2017 от 30.03.2017 Наниматель: Зайцев Николай Алексеевич</t>
  </si>
  <si>
    <t>Договор соц.найма№ 99/2017 от 30.03.2017 Наниматель: Смирнова  Наталья Николаевна</t>
  </si>
  <si>
    <t>Договор соц.найма№ 95/2017 от 30.03.2017 Наниматель: Бокарев Николай Васильевич</t>
  </si>
  <si>
    <t>Договор соц.найма№ 91/2017 от 28.03.2017 Наниматель: Кравченко Марина Николаевна</t>
  </si>
  <si>
    <t>Договор соц.найма№ 75/2017 от 07.03.2017 Наниматель: Соломатина Ольга Викторовна</t>
  </si>
  <si>
    <t>Договор соц.найма№ 94/20107 от 30.03.2017 Наниматель: Гульнева Татьяна Анатольевна</t>
  </si>
  <si>
    <t>Договор соц.найма №201/2017 от27.10.2017 Наниматель: Ставицкая Людмила Дмитриевна</t>
  </si>
  <si>
    <t>Договор соц.найма №201/2017 от27.10.2017 Наниматель:Новикова Наталья Евгеньевна</t>
  </si>
  <si>
    <t>Договор соц.найма № 17/2016 от 06.05.2016 Наниматель: Шматова Ирина Алексеевна</t>
  </si>
  <si>
    <t>Договор соц.найма № 44/2016 от 18.08.2016  Наниматель: Карачева Лия Павловна</t>
  </si>
  <si>
    <t>Договор соц.найма № 75/2016 от 13.10.2016 Наниматель: Ивкин Василий Васильевич</t>
  </si>
  <si>
    <t>Договор соц.найма№ 174/20107 от 18.08.2017 наниматель: Ковалева Ольга Николаевна</t>
  </si>
  <si>
    <t>Договор соц.найма№ 93/2017 от 30.03.2017 Наниматель: Бойко Анатолий Юрьевич</t>
  </si>
  <si>
    <t>Договор соц.найма№ 77/2017 от 17.03.2017 Наниматель: Бедина Галина Анатольевна</t>
  </si>
  <si>
    <t>Договор соц.найма № 81/2016 от 24.10.2016 Наниматель: Булдышкин Алексей Николаевич</t>
  </si>
  <si>
    <t>Договор соц.найма№ 175/20107 от18.08.2017 наниматель: Чехолин Алексей Иванович</t>
  </si>
  <si>
    <t>Договор соц.найма№ 134/2017 от 12.05.2017 Наниматель: Акимов Юрий Алексеевич</t>
  </si>
  <si>
    <t>Договор соц.найма№ 138/2017 от 12.05.2017+ доп.соглашение № 1 от 23.03.2018 г. (смена нанимателя) Наниматель:Иванов Максим Алексеевич</t>
  </si>
  <si>
    <t>Договор соц.найма№ 68/2017 от 07.03.2017 Наниматель: Кудратова Марина Васильевна</t>
  </si>
  <si>
    <t>Договор соц.найма№ 164/2017 от 07.06.2017 Наниматель: овиков Сергей Юрьевич</t>
  </si>
  <si>
    <t>Договор соц.найма№ 104/2017 от 30.03.2017 Наниматель: Сазонова ольга Викторовна</t>
  </si>
  <si>
    <t>Договор соц.найма № 25/2016 от 19.05.2016 г. Наниматель: Михеев Сергей Владимирович</t>
  </si>
  <si>
    <t>Договор соц.найма№ 141/2017 от 28.05.2017 Наниматель: Ланкина Светлана Юрьевна</t>
  </si>
  <si>
    <t>Договор соц.найма№ 78/2017 от 17.03.2017 Наниматель: Трибой Вера Михайловна</t>
  </si>
  <si>
    <t>Договор соц.найма№ 69/2017 от 07.03.2017 Наниматель: Неменко Виталий Юрьевич</t>
  </si>
  <si>
    <t>Договор соц.найма № 102/2016 от 08.11.2016 Наниматель: Оленева Юлия Васильсевна</t>
  </si>
  <si>
    <t>Договор соц.найма № 83/2016 от 24.10.2016 Наниматель: Дорожкин Игорь Васильевич</t>
  </si>
  <si>
    <t>Договор соц.найма № 111/2016 от 23.11.2016 Наниматель: Рахманин Владимир Васильевич</t>
  </si>
  <si>
    <t>Договор соц.найма № 110/2016 от 23.11.2016 Наниматель: Кузнеченков Сергей Юрьевич</t>
  </si>
  <si>
    <t>Договор соц.найма№ 208/2017 от04.12.2017 Наниматель: Невзорова Светлана Юрьевна</t>
  </si>
  <si>
    <t>Договор соц.найма№ 105/2017 от 30.03.2017 Наниматель: Мясин Сергей Сергеевич</t>
  </si>
  <si>
    <t>Договор соц.найма № 95/2016 от 02.11.2016 Наниматель: Емельянова Ольга Александровна</t>
  </si>
  <si>
    <t>Договор соц.найма № 93/2016 от 02.11.2016 Наниматель: Петрухин Николай Васильевич</t>
  </si>
  <si>
    <t>Договор соц.найма № 109/2016 от 23.11.2016 Наниматель: Докудовская Нина Алексеевна</t>
  </si>
  <si>
    <t>Договор соц.найма№ 158/2017 от 07.06.2017 Наниматель: Батащук  Марина Ивановна</t>
  </si>
  <si>
    <t>Договор соц.найма № 98/2016 от 02.11.2016 Наниматель: Андрончик Татьяна Сергеевна</t>
  </si>
  <si>
    <t>Договор соц.найма № 13/2017 от 17.01.2017 Наниматель: Мелешкин Николай  Николаевич</t>
  </si>
  <si>
    <t>Договор соц.найма № 108/2016 от 23.11.2013 Наниматель: Стрельникова Людмила Григорьевна</t>
  </si>
  <si>
    <t>Договор соц.найма№ 89/2016 от 27.10.2016 Наниматель: Фурина Валентина Ивановна</t>
  </si>
  <si>
    <t>Договор соц.найма№ 88/2016 от 27.10.2016 Наниматель: Долгов Юрий Кириллович</t>
  </si>
  <si>
    <t>Договор соц.ннайма № 1/2018 от 22.02.2018 Наниматель: Барышникова Елена Ивановна</t>
  </si>
  <si>
    <t>Договор соц.найма № 106/2016 от 23.11.2016 Наниматель: Шиловская Седа Аршановна</t>
  </si>
  <si>
    <t>Договор соц.найма№ 92/2017 от 03.04.2017 Наниматель: Паламарчук Василий Васильевич</t>
  </si>
  <si>
    <t>Договор соц.найма№ 167/2017 от 26.06.2017 Наниматель: Айкашева Нина Николаевна</t>
  </si>
  <si>
    <t>Договор соц.найма № 87/2016 от 27.10.2016 Наниматель: Дергачёва Марина Сергеевна</t>
  </si>
  <si>
    <t>Договор соц.найма № 107/2016 от 23.11.2016 Наниматель: Шадринцев Михаил Лазаревич</t>
  </si>
  <si>
    <t>Договор соц.найма№ 127/2017 от 24.04.2017 Наниматель: Долгов Александр Павлович</t>
  </si>
  <si>
    <t>Договор соц.найма№ 41/2016 от 20.07.2016 Наниматель: Радченко Олег Николаевич</t>
  </si>
  <si>
    <t>Договор соц.найма № 11/2017 от 17.01.2017 Наниматель: Зоткин Петр Иванович</t>
  </si>
  <si>
    <t>Договор соц.найма № 103/2016 от 08.11.2016 Нанимаетль: Колесников Николай Павлович</t>
  </si>
  <si>
    <t>Договор соц.найма № 16/2016 от 01.04.2016 г. Наниматель:  Гусев Игорь Юрьевич</t>
  </si>
  <si>
    <t>Договор соц.найма № 137/2016 от 23.12.2016 Наниматель: Иванова Наталья Станиславовна</t>
  </si>
  <si>
    <t>Договор соц.найма № 97/2016 от 02.11.2016 Наниматель: Ермакова Лидия Викторовна</t>
  </si>
  <si>
    <t>Договор соц.найма № 51/2017 от 03.03.2017 Наниматель: Говорова Светлана Анатольевна</t>
  </si>
  <si>
    <t>Договор соц.найма№ 9/2017 от 17.01.2017 Наниматель: Половников Алексей Владимирович</t>
  </si>
  <si>
    <t>Договор соц.найма№ 122/2017 от 28.04.2017 Наниматель: Явшец Любовь Витальевна</t>
  </si>
  <si>
    <t>Договор соц.найма№ 18/2017 от 30.01.2017 Наниматель: Кузнецова Надежда Владимировна</t>
  </si>
  <si>
    <t>Договор соц.найма№ 141/2017 от 30.05.2017 Наниматель: Сергеев Сергей Николаевич</t>
  </si>
  <si>
    <t>Договор соц.найма № 17/2017 от 30.01.2017 Наниматель: Арефин Николай Артемович</t>
  </si>
  <si>
    <t>Договор соц.найма№ 143/2017 от 30.05.2017 Наниматель: Федорова Наталья Николаевна</t>
  </si>
  <si>
    <t>Договор соц.найма№ 159/2017 от 07.06.2017 Наниматель: Рыкина Наталья Анатольевна</t>
  </si>
  <si>
    <t>Договор соц.найма № 84/2016 от 24.10.2016 Наниматель: Сазонова Нина Егоровна</t>
  </si>
  <si>
    <t>Договор соц.найма № 16/2017 от 30.01.2017 Наниматель: Ардифок Светлана  Ивановна</t>
  </si>
  <si>
    <t>Договор соц.найма№ 123/2017 от 28.04.2017 Наниматель: Буренкова Алла Владимировна</t>
  </si>
  <si>
    <t>Договор соц.найма № 66/2016 от 27.09.2016 Наниматель: Гуськов Николай Алексеевич</t>
  </si>
  <si>
    <t>Договор соц.найма№ 56/2017 от 03.03.2017 наниматель: Павлова Мария Александровна</t>
  </si>
  <si>
    <t>Договор соц.найма№ 65/2017 от 07.03.2017 Наниматель: Коновалова Наталья Васильевна</t>
  </si>
  <si>
    <t>Договор соц.найма № 108/2017 от 13.04.2017 Наниматель: Ивкин Владимир Васильевич</t>
  </si>
  <si>
    <t>Площадь кв. 18 составляет 37,4 кв.м, площадь комнаты в кв.3 - 21.7 кв.м.    Кв. 18(Договор соц.найма№ 144/2017 от 30.05.2017 Наниматель: Прошин Олег Николаевич)</t>
  </si>
  <si>
    <t>кв. 2 ( площадь-62,3; Договор соц.найма№ 176/20107 от 18.08.2017 наниматель: Трусова Таисия Викторовна)</t>
  </si>
  <si>
    <t>д. 16 (без квартиры) Договор соц.найма № 5/2017 от 13.01.2017 Наниматель: Огнева Римма Викторовна</t>
  </si>
  <si>
    <t>Договор соц.найма№ 53/2017 от 03.03.2017 Наниматель: Федотов Сергей васильевич</t>
  </si>
  <si>
    <t>Договор соц.найма № 52/2017 от 03.03.2017 Наниматель: Саклаков Валерий Анатольевич</t>
  </si>
  <si>
    <t>Договор соц.найма № 64/2017 от 07.03.2017 Наниматель: Попова Валентина Владимировна</t>
  </si>
  <si>
    <t>Договор соц.найма№ 54/2017 от 03.03.2017 Наниматель: Ярцев Николай Николаевич</t>
  </si>
  <si>
    <t>Договор соц.найма№ 30/2017  от 08.02.2017 Нанматель: Никитина Тайра Таировна</t>
  </si>
  <si>
    <t>Договор соц.найма № 20/2017 от 30.01.2017 наниматель: Овсяникова Наталья Пахомовна</t>
  </si>
  <si>
    <t>Договор соц.найма№ 74/2017 от 07.03.2017 Наниматель: Федосеева Любовь Васильевна</t>
  </si>
  <si>
    <t>Договор соц.найма№ 79/2017 от 17.03.2017 Наниматель: Овсяников Иван Викторович</t>
  </si>
  <si>
    <t>Договор соц.найма№ 81/2017 от 17.03.2017 Наниматель:Миронова Наталья Петровна</t>
  </si>
  <si>
    <t>Договор соц.найма№ 55/2017 от 03.03.2017 Наниматель: Савин Артур Аттобулатович</t>
  </si>
  <si>
    <t>Договор соц.найма № 10/2017 от 17.01.2017 Наниматель: Виноградова Оксана Александровна</t>
  </si>
  <si>
    <t>Договор соц.найма № 71/2017 от 07.03.2017 Наниматель: Окунькова Альбина Николаевна</t>
  </si>
  <si>
    <t>Договор соц.найма№ 216/2017 от 22.12.2017 Наниматель: Алтухов Владимир Сергеевич</t>
  </si>
  <si>
    <t>Договор соц.найма№ 73/2017 от 07.03.2017 Наниматель: Бородин Юрий Евгеньевич</t>
  </si>
  <si>
    <t>Договор соц.найма№ 70/2017 от 07.03.2017 Наниматель: Поляничев Виктор Викторович</t>
  </si>
  <si>
    <t>кв.1 - площадь 91,6 кв.м.(Договор соц.найма№ 204/2017 от 20.11.2017 Наниматель: Колокин Виктор Дмитриевич)    кв.2 - площадь 91,2 (Договор соц.найма№ 213/2017 от 04.12.2017 Наниматель: Корнеева Пелагея Алексеевна)</t>
  </si>
  <si>
    <t>Договор соц.найма № 36/2017 от 16.02.2017 Наниматель: Щербаков Владимир Юрьевич</t>
  </si>
  <si>
    <t>Договор соц.найма № 14/2017 от 17.01.2017 Наниматель: Омельченко Леонид Владимирович</t>
  </si>
  <si>
    <t>Договор соц.найма № 105/2016 от 08.11.2016 Наниматель: Смирнова Лидия Алексеевна</t>
  </si>
  <si>
    <t>Договор соц.найма№ 104/2016 от 08.11.2016 Наниматель: Аникеева Наталья Ивановна</t>
  </si>
  <si>
    <t>Договор соц.найма № 39/2016 от 12.07.2016 г. Наниматель: Нарезин Николай Иванович</t>
  </si>
  <si>
    <t>Договор соц.найма № 15/2017 от 17.01.2017 Наниматель: Сафонова Татьяна Николаевна</t>
  </si>
  <si>
    <t>Договор соц.найма№ 211/2017 от 04.12.2017 Наниматель: Баранов Александр Евгеньевич</t>
  </si>
  <si>
    <t>Договор соц.найма № 49/2016 от 24.08.2016 Наниматель: Рябова Лилия Васильевна</t>
  </si>
  <si>
    <t>кв.2 (площадь-40,2; Договор соц.найма№ 180/20107 от 18.09.2017 Наниматель: Новичков Александр Владимирович)</t>
  </si>
  <si>
    <t>Договор соц.найма№ 119/2017 от 28.04.2017 Наниматель: Косененко Татьяна Владимировна</t>
  </si>
  <si>
    <t>Договор соц.найма№ 116/2017 от 28.04.2017 Наниматель: Акимов Владимир Михайлович</t>
  </si>
  <si>
    <t>Договор соц.найма № 45/2016 от 29.08.2016 Наниматель: Моисеенко Анна Федоровна</t>
  </si>
  <si>
    <t>Договор соц.найма№ 152/2017 от 30.05.2017 Наниматель: Смирнова Наталья Валентиновна</t>
  </si>
  <si>
    <t>Договор соц.найма№ 148/2017 от 30.05.2017 наниматель: Корж Татьяна Ивановна</t>
  </si>
  <si>
    <t>Договор соц.найма№ 155/2017 от 06.2017 Наниматель: Яковлев Сергей Васильевич.</t>
  </si>
  <si>
    <t>Договор соц.найма № 26/2016 от 19.05.2016 Наниматель: Тимошкин Виктор Иванович</t>
  </si>
  <si>
    <t>Договор соц.найма№ 120/2017 от 28.04.2017 Наниматель: Солодкий Александр Иванович</t>
  </si>
  <si>
    <t>Договор соц.найма№ 118/2017 от 28.04.2017 наниматель: Шероухова Надежда Викторовна</t>
  </si>
  <si>
    <t>Договор соц.найма№ 117/2017 от 28.04.2017 наниматель: Шероухов Игорь Александрович</t>
  </si>
  <si>
    <t>Договор соц.найма№ 162/2017 от 07.06.2017 Наниматель: Теплова Зинаида Ивановна</t>
  </si>
  <si>
    <t>Договор соц.найма № 34/2016 от 09.06.2016 Наниматель: Гейнц Наталья Михайловна</t>
  </si>
  <si>
    <t>Договор соц.найма№ 157/2017 от 07.06.2017 Наниматель: Жолобкова Алефтина Петровна</t>
  </si>
  <si>
    <t>Договор соц.найма№ 98/2017 от 30.03.2017 Наниматель: Токарев Иван Иванович</t>
  </si>
  <si>
    <t>Договор соц.найма№ 146/2017 от 30.05.2017 Наниматель: Чусов Виктор Алексеевич</t>
  </si>
  <si>
    <t>Договор соц.найма№ 149/2017 от 30.05.2017 Наниматель: Артемов Олег Сергеевич</t>
  </si>
  <si>
    <t>Договор соц.найма № 147/2017 от 30.05.2017 Наниматель: Куликова Наталья Михайловна</t>
  </si>
  <si>
    <t>Договор соц.найма№ 4/2018 от 02.03.2018 Наниматель: Девятов Андрей Михайлович</t>
  </si>
  <si>
    <t>Договор соц.найма № 40/2017 от 16.02.2017 наниматель: Зеленая Мария Ильинична</t>
  </si>
  <si>
    <t>Договор соц.найма № 47/2016 от 15.08.2016 Наниматель: Латунина Ольга Сергеевна</t>
  </si>
  <si>
    <t>Договор соц.найма № 100/2016 от 08.11.2016 Наниматель: Паршин Александр Иванович</t>
  </si>
  <si>
    <t>Договор соц.найма № 67/2016 от 27.09.2016 Наниматель: Куликова Надежда Анатольевна</t>
  </si>
  <si>
    <t>Договор соц.найма№ 160/2017 от 07.06.2017 Наниматель: Глушко Елена Анатольевна</t>
  </si>
  <si>
    <t>Договор соц.найма№ 38/2016 от 23.06.2016 Наниматель: Чумичев Николай Сергеевич</t>
  </si>
  <si>
    <t>Договор соц.найма № 39/2017 от 16.02.2017 Наниматель: Хлебнова Вера Юрьевна</t>
  </si>
  <si>
    <t>Договор соц.найма № 67/2017 от 07.03.2017 Наниматель: Воробьева Любовь Александровна</t>
  </si>
  <si>
    <t>Договор соц.найма № 3/2018 от 01.03.2018 Наниматель: Климкина Надежда Тимофеевна</t>
  </si>
  <si>
    <t>Договор соц.найма№ 150/2017 от 30.05.2017 Наниматель: Уколов Борис Васильевич</t>
  </si>
  <si>
    <t>Договор соц.найма№ 124/2017 от 28.04.2017 Наниматель: Шаухин Валентин Валентинович</t>
  </si>
  <si>
    <t>Договор соц.найма № 101/2016 от 08.11.2016 Наниматель: Кувшинова Анна Яковлевна</t>
  </si>
  <si>
    <t>Договор соц.найма№ 145/2017 от 30.05.2017 наниматель: Лавилегер Вера Ивановна</t>
  </si>
  <si>
    <t>Договор соц.найма № 8/2017 от 11.01.2017  Наниматель: Новичков Иван Иванович</t>
  </si>
  <si>
    <t>Договор соц.найма№ 161/2017 от 07.06.2017 Наниматель: Щетинин Виктор Иванович</t>
  </si>
  <si>
    <t>Договор соц.найма № 38/2017 от 16.02.2017 Наниматель: Седова Татьяна Николаевна</t>
  </si>
  <si>
    <t>Договор соц.найма№ 101/2017 от 30.03.2017 Наниматель: Огурцова Светлана Александровна</t>
  </si>
  <si>
    <t>Договор соц.найма № 126/2017 от 28.04.2017 Наниматель: Бирюков Александр Анатольевич</t>
  </si>
  <si>
    <t>Договор соц.найма № 112/2016 от 23.11.2016 Наниматель: Рыженкова Антонина Тимофеевна</t>
  </si>
  <si>
    <t>Договор соц.найма № 37/2017 от 16.02.2017 Наниматель: Синев Игорь Петрович</t>
  </si>
  <si>
    <t>Договор соц.найма № 52/2016 от 16.09.2016 Наниматель: Горбунова Гульнара Минилбаевна</t>
  </si>
  <si>
    <t>Договор соц.найма № 42/2017 от 16.02.2017 Наниматель: Матвеева Марина Алексеевна</t>
  </si>
  <si>
    <t>Договор соц.найма: 125/2017 от 04.04.2017 Наниматель: Петрунин Николай Иванович</t>
  </si>
  <si>
    <t>Договор соц. найма № 19/2017 от 30.01.2017 Наниматель: Притченко Валерий Николаевич</t>
  </si>
  <si>
    <t>кв. 1 (площадь-64,67, Договор соц.найма№ 163/2017 от 07.06.2017 наниматель: Ефремов Сергей Владимирович)    кв.2 - площадь 64,6 (Договор соц.найма№ 214/2017 от 07.12.2017 Наниматель: Дергачев Николай Александрович)</t>
  </si>
  <si>
    <t>Договор соц.найма№ 172/20107 от 30.08.2017 наниматель: Макарова Галина Николаевна</t>
  </si>
  <si>
    <t>кв.1 (Договор соц.найма № 130/2016 от 19.12.2016 Наниматель: Давыдов Александр Владимирович)</t>
  </si>
  <si>
    <t>Договор соц.найма № 51/2016 от 16.09.2016 Наниматель: Ефремова Нина Анатольевна</t>
  </si>
  <si>
    <t>Договор соц. найма № 127/2016 от 15.12.2016 Наниматель: Юдина Алевтина Васильевна</t>
  </si>
  <si>
    <t>Договор соц.найма № 2/2018 от 16.02.2018 Наниматель: Шаухин Александр Валентинович</t>
  </si>
  <si>
    <t>Договор соц.найма № 74/2016 от 30.09.2016 Наниматель : Майданюк Анатолий Михайлович</t>
  </si>
  <si>
    <t>Договор соц.найма № 61/2016 от 27.09.2016 Наниматель: Костев Иван Юрьевич</t>
  </si>
  <si>
    <t>Договор соц.найма № 131/2017 от 12.05.2017 Наниматель: Леднева Евгения Леонидовна</t>
  </si>
  <si>
    <t>Договор соц.найма№ 136/2017 от 12.05.2017 Наниматель: Исмаилова Алина Юрьевна</t>
  </si>
  <si>
    <t>Договор соц.найма№ 72/2017 от 07.03.2017 Наниматель: Макоед Мария Петровна</t>
  </si>
  <si>
    <t>Договор соц.найма№ 102/2017 от 30.03.2017 Наниматель: Илясова Нина Петровна</t>
  </si>
  <si>
    <t>Договор соц.найма № 125/2016 от 15.12.2016 Наниматель: Дианов Юрий Иванович</t>
  </si>
  <si>
    <t>Договор соц.найма № 46/2016 от 05.09.2016 Наниматель: Бартенев Александр Александрович</t>
  </si>
  <si>
    <t>Договор соц.найма№ 103/2017 от 30.03.2017 Наниматель: Антонова Лариса Леонидовна</t>
  </si>
  <si>
    <t>Договор соц.найма № 41/2017 от 16.02.2017 Наниматель: Мурзин Владимир Михайлович</t>
  </si>
  <si>
    <t>Договор соц.найма № 70/2016 от 27.09.2016 Наниматель: Ерасова Антонина Николаевна</t>
  </si>
  <si>
    <t>Договор соц.найма№ 12/2017 от 17.01.2017 Наниматель: Егоркина Татьяна Константиновна</t>
  </si>
  <si>
    <t>Договор соц.найма № 77/2016 от 13.10.2016 Наниматель: Колыванов Алексей Николаевич</t>
  </si>
  <si>
    <t>Договор соц.найма № 50/2017 от 03.03.2017 Наниматель: Пасхина Нина Геннадьевна</t>
  </si>
  <si>
    <t>Договор соц.найма№ 132/2017 от 12.05.2017 Наниматель: Конышев Валерий Евгеньевич</t>
  </si>
  <si>
    <t>Договор соц.найма № 116/2016 от 08.12.2016 Наниматель: Косьянова Людмила Евгеньевна</t>
  </si>
  <si>
    <t>Договор соц.найма№ 80/2017 от 17.03.2017 Наниматель: Кочетков Евгений Николаевич</t>
  </si>
  <si>
    <t>Договор соц.найма№ 207/2017 от 04.12.2017 Наниматель: Купецкая Галина Степановна</t>
  </si>
  <si>
    <t>Договор соц.найма№ 121/2017 от 28.04.2017 Наниматель: Кузнецова Елена Сергеевна</t>
  </si>
  <si>
    <t>Договор соц.найма№ 151/2017 от 30.05.2017 Наниматель: Барыкина Елена Владимировна</t>
  </si>
  <si>
    <t>Договор соц.найма№ 212/2017 от04.12.2017 Наниматель: Аксёнова Валентина Викторовна</t>
  </si>
  <si>
    <t>Договор соц.найма№ 209/2017 от 04.12.2017 Наниматель: Маслова Нина Николаевна</t>
  </si>
  <si>
    <t>Договор соц.найма№ 133/2017 от 12.05.2017 Наниматель: Лазаренко Галина Павловна</t>
  </si>
  <si>
    <t>Договор соц.найма№ 28/2017 от 08.02.2017 Наниматель: Белоусов Валерий Владимирович</t>
  </si>
  <si>
    <t>Договор соц.найма№ 210/2017 от 04.12.2017 Наниматель: Зенин Сергей Владимирович</t>
  </si>
  <si>
    <t>Договор соц.найма№ 107/20107 от 10.04.2017 Наниматель: Дмитриев Владимир Борисович</t>
  </si>
  <si>
    <t>Договор соц.найма№ 139/2017 от 15.05.2017 Наниматель: Рябова Евдокия Александровна</t>
  </si>
  <si>
    <t>Договор соц.найма № 48/2016 от 17.08.2016 Наниматель: Фролов Денис Валерьевич</t>
  </si>
  <si>
    <t>кв. 13 (площадь -25кв.м., Договор соц.найма№ 173/20107 от 31.07.2017 наниматель: Лободанова Виктория Витальевна)      кв. 1 (площадь-20,9; Договор соц.найма№ 177/20107 от 18.08.2017 наниматель: Казадаева Мария Сергеевна)</t>
  </si>
  <si>
    <t>Договор соц. найма№ 110/2017 от 19.04.2017 Наниматель: Нармуратова Алла Петровна (10,3кв.м)</t>
  </si>
  <si>
    <t>Договор соц.найма№ 198/2017 от 19.10.2017 Наниматель: Жадченко Юлия Александровна</t>
  </si>
  <si>
    <t>Договор соц.найма№ 195/2017 от 19.10.2017 Наниматель: Титашин Алексей Владимирович</t>
  </si>
  <si>
    <t>Договор соц.найма№ 197/2017 от 19.10.2017 Наниматель: Крутилин Константин Иванович</t>
  </si>
  <si>
    <t>Договор соц.найма№ 196/2017 от 19.10.2017 Наниматель: Старкова Марина Викторовна</t>
  </si>
  <si>
    <t>Детский городок ДГ-601, 01, рп Серебряные Пруды, м-рн Юбилейный, д. 1, 3, 13, 14</t>
  </si>
  <si>
    <t>Детский спортивный комплекс, рп серебряные пруды, м-рн Юбилейный, д.7, 10, 11</t>
  </si>
  <si>
    <t>50:39:0060503:307</t>
  </si>
  <si>
    <t>Технический паспорт здания от 05.03.2008г, инвентарный номер 272:077-1848. Кадастровый паспорт спортивного сооружения, инвентарный номер 272:077-1848, литера V. Выписка ЕГРН, регистрация права от 1712.2018г № 50:39:0000000:304-50/039/2018-1</t>
  </si>
  <si>
    <t>Технический паспорт здания от 05.03.2008г, инвентарный номер 272:077-1848. Кадастровый паспорт спортивного сооружения, инвентарный номер 272:077-1848, литера А. Выписка из ЕГРН, регистрация права от 17.12.2018г №50:39:0000000:299-50/039/2018-1</t>
  </si>
  <si>
    <t>Технический паспорт здания от 05.03.2008г, инвентарный номер 272:077-1848, литера 1. Выписка ЕГРН, регистрация права от 17.12.2018г №50:39:0000000:301-50/039/2018-1</t>
  </si>
  <si>
    <t>Технический паспорт здания от 05.03.2008г, инвентарный номер 272:077-1848, литера 2. Выписка ЕГРН, регистрация права от 17.12.2018г №50:39:0000000:305-50/039/2018-1</t>
  </si>
  <si>
    <t>Технический паспорт здания от 05.03.2008г, инвентарный номер 272:077-1848, литера III. Выписка ЕГРН, регистрация права от 17.12.2018г №20:39:0000000:306-50/039/2018-1</t>
  </si>
  <si>
    <t>Технический паспорт здания от 05.03.2008г, инвентарный номер 272:077-1848, литера II. Выписка из ЕГРН, регистрация права от 15.11.2018г №50:39:0000000:303-50/050/2018-1</t>
  </si>
  <si>
    <t>Договор №13/2018 передачи жилого помещения муниципального жилищного фонда в собственность граждан от 17.10.2018г. Регистрация права от 02.11.2018г №50:39:0050508:408-50/001/2018-6,7,8,9,10</t>
  </si>
  <si>
    <t>Договор соц.найма № 194/2017 от 19.10.2017 Наниматель: Чебыкин Виктор Павлович</t>
  </si>
  <si>
    <t>Земельный участок Категория земель -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назнкачения, ВРИ -для сельскохозяйственного использования</t>
  </si>
  <si>
    <t>Выписка из ЕГРН, регистрация права №50-50/039-50/999/001/2016-25974/1, Выписка из ЕГРН, регистрация права № 50:39:0030116:291-50/039/2017-2 от 03.03.2017г</t>
  </si>
  <si>
    <t>Является часть здания реестровый номер 124</t>
  </si>
  <si>
    <t>Исключено, является частью стр.1990</t>
  </si>
  <si>
    <t>Из спец. жил фонда (Договор найма от 15.01.2014г №4) исключена Постановлением от 07.12.2018г №1826. Договор соц. найма от 21.12.2018г №33/2018. Наниматель: Орлихина Юлия Николаевна</t>
  </si>
  <si>
    <t>Из спец. жил. Фонд (Договор найма от 01.12.2013г № 3) исключена Постановлением от 07.12.2018г № 1825. Договор соц.найма от 24.10.2018г №25/2018. Наниматель : Моргунова Александра Викторовна</t>
  </si>
  <si>
    <t>Договор соц.найма от 12.12.2018г № 28/2018. Наниматель Нагорников Владимир Михайлович</t>
  </si>
  <si>
    <t>Договор соц.найма от 14.11.2018г № 27/2018. нанматель Щетинников Сергей Викторович</t>
  </si>
  <si>
    <t>Московская область, Серебряно-Прудский район, р.п. серебряные Пруды, ул. Школьная</t>
  </si>
  <si>
    <t>50:39:0000000:3888</t>
  </si>
  <si>
    <t>Муниципальный контракт от 03.12.2018 № 0848600007418000353. Выписка ЕГРН, регистрация права  от 17.12.2018г № 50:39:0000000:3888-50/001/2018-6</t>
  </si>
  <si>
    <t>1.101.05.024</t>
  </si>
  <si>
    <t>05.12.2018г</t>
  </si>
  <si>
    <t>1.101.05.025</t>
  </si>
  <si>
    <t>1.101.05.026</t>
  </si>
  <si>
    <t>Мини-погрузчик с бортовым поворотом ANT 1000.01 с навесным оборудованием (ковш, щетка, шнекоротный снегоочиститель, траншеекопатель), заводской №1438, гос.номер 50 ХЕ 4554</t>
  </si>
  <si>
    <t>Трактор Беларус - 320.4, заводской № Y4U320Z03J1100812, гос. номер СВ 614940 с навесным оборудованием (оснастка фронтальная универсальная (стрела), отвал снегоуборочный, косилка, ковш погрузочный, щетка) и прицепом коммунальным комбинированным ПККД-20, заводской №111, гос.номер 50 ХЕ 614942</t>
  </si>
  <si>
    <t xml:space="preserve">Снегопогрузчик СнП-17, заводской №512, гос. Номер 50 ХЕ 4555 </t>
  </si>
  <si>
    <t xml:space="preserve">Оперативное управление МУ ФОСУ "физкультурно-оздоровительный комплекс имени С.А. Фирсова". Оперативное управление Постановление от 10.07.2018г №1043 </t>
  </si>
  <si>
    <t>Особо ценное имущество. Постановление администрации от 10.02.2017г № 298. Исключено из особо ценного имущества. Постановление от 11.12.2017г №2631</t>
  </si>
  <si>
    <t xml:space="preserve"> Особо ценное имущество. Постановление администрации от 10.02.2017г № 298. Исключено из особо ценного имущества. Постановление от 11.12.2017г №2631</t>
  </si>
  <si>
    <t xml:space="preserve">Автомобильная дорога (с  грунтовым покрытием), расположенная на земельном участке с кадастровым номером 50:39:0030301:48, протяженностью 554 м    </t>
  </si>
  <si>
    <t>Хозяйственное ведение МУП "РСО городского округа Серебряные Пруды". Постановление от 11.12.2018г №1842</t>
  </si>
  <si>
    <t>Фильтр сетчатый 1516-300, котельная №1, рп Серебряные пруды, ул. Механизаторов</t>
  </si>
  <si>
    <t>000000589</t>
  </si>
  <si>
    <t>Насос ЭЦВ 12-160-100 НПО с электродвигателем, ВЗУ 1-й подъем, Благодать</t>
  </si>
  <si>
    <t>000000592</t>
  </si>
  <si>
    <t>000000591</t>
  </si>
  <si>
    <t>000000590</t>
  </si>
  <si>
    <t>000000802</t>
  </si>
  <si>
    <t>Насос CD 80/18 с двигателем 11кВт, водоотведение, КНС №2. с. Узуново, ул. Советская</t>
  </si>
  <si>
    <t>Преобразователь частоты, ВЗУ 2 подъем, д. Благодать</t>
  </si>
  <si>
    <t>000000803</t>
  </si>
  <si>
    <t>Насос 2К100-80-60 с эл.двигателем, котельная, с. Глубокое</t>
  </si>
  <si>
    <t>00000007</t>
  </si>
  <si>
    <t>00000002</t>
  </si>
  <si>
    <t>Копмрессор 2АФ49Э52Ш, очистные сооружения, с. Узуново</t>
  </si>
  <si>
    <t xml:space="preserve">Копмрессор 2АФ49Э52Ш, очистные сооружения, с. Мягкое </t>
  </si>
  <si>
    <t>Котёл газовый настенный, THEMDUO50TA, котельная ЦДК Новоклёмово</t>
  </si>
  <si>
    <t>00000004</t>
  </si>
  <si>
    <t>00000005</t>
  </si>
  <si>
    <t>00000006</t>
  </si>
  <si>
    <t>Теплообменник тип JADxмодель 9.88, змеековый, вертикальный, котельная ЦДК Новоклёмово</t>
  </si>
  <si>
    <t>00000003</t>
  </si>
  <si>
    <t>00000030</t>
  </si>
  <si>
    <t>Насос ТР-50-60/2-A-F-A-BUBE, котельная с.Узуново, ул. Почтовая</t>
  </si>
  <si>
    <t>Насос ТР 40-360/2-А-F-B-BAQA40KW3*4010V50Hz (10013210/010718/001155718, Вентрия),  котельная с.Узуново, ул. Почтовая</t>
  </si>
  <si>
    <t>00000034</t>
  </si>
  <si>
    <t>Насос центробежный ТР, котельная школа п. Новоклёмово</t>
  </si>
  <si>
    <t>00000047</t>
  </si>
  <si>
    <t>00000048</t>
  </si>
  <si>
    <t>Бензогенератор Союз 6500 Вт ЭГС-87700Э, общепроизводственные</t>
  </si>
  <si>
    <t>00000025</t>
  </si>
  <si>
    <t>Системный блок Intel,  общепроизводственные</t>
  </si>
  <si>
    <t>00000022</t>
  </si>
  <si>
    <t>00000023</t>
  </si>
  <si>
    <t>Системный блок+монитор+МФУ,  общепроизводственные</t>
  </si>
  <si>
    <t>00000032</t>
  </si>
  <si>
    <t>00000033</t>
  </si>
  <si>
    <t>Монитор 23 Dell + системный блок Intel,  общепроизводственные</t>
  </si>
  <si>
    <t>00000031</t>
  </si>
  <si>
    <t>Товарная накладная от 04.06.2018г №97</t>
  </si>
  <si>
    <t>Товарная накладная от 02.04.2018г №33</t>
  </si>
  <si>
    <t>Товарная накладная от 06.12.2017г №351</t>
  </si>
  <si>
    <t>Товарная накладная от 08.12.2017г №250</t>
  </si>
  <si>
    <t>Товарная накладная от 07.05.2018г №89</t>
  </si>
  <si>
    <t>1.101.02.011</t>
  </si>
  <si>
    <t>17.11.2018г</t>
  </si>
  <si>
    <t xml:space="preserve">Акт о приеме передаче объектов нефинансовых активов от 17.11.2018г №000116 </t>
  </si>
  <si>
    <t>Оперативное управление МБУ "Благоустройство и дорожное хозяйство". Постановление от 14.12.2018г. №1865</t>
  </si>
  <si>
    <t>19.101.18.0083</t>
  </si>
  <si>
    <t>Договор №31705341296/2 от 14.08.2017г. Товарная накладная от 27.08.2017г №23</t>
  </si>
  <si>
    <t>Автономный модуль санитарного здания (общественный туалет)</t>
  </si>
  <si>
    <t>Оперативное управление МАУ "Парк культуры и отдыха го Серебряные Пруды "Серебряный". Постановление от 14.12.2018г №1866</t>
  </si>
  <si>
    <t>Тренажер комбинированный "Стойка для пресса"+"Жим от груди"</t>
  </si>
  <si>
    <t>19.101.28.0084</t>
  </si>
  <si>
    <t>Муниципальный контракт №08486000007418000177-0785204-02 от 01.06.2018г. Товарная накладная от 10.07.2018г № НВГ0000130</t>
  </si>
  <si>
    <t>Тренажер "Тяга сверху"</t>
  </si>
  <si>
    <t>19.101.28.0085</t>
  </si>
  <si>
    <t>Тренажёр "Жми от груди"</t>
  </si>
  <si>
    <t>19.101.28.0086</t>
  </si>
  <si>
    <t>Тренажер "Воздушный ходок"</t>
  </si>
  <si>
    <t>19.101.28.0087</t>
  </si>
  <si>
    <t>Ноутбук  с установленным програмным обеспечением (лицензионным), антивирусом</t>
  </si>
  <si>
    <t>19.101.34.0002</t>
  </si>
  <si>
    <t>31.10.2018г</t>
  </si>
  <si>
    <t>Контракт №315269 от 15.10.2018г. Товарная накладная от 31.10.2018г 3124</t>
  </si>
  <si>
    <t>Особо ценное имущество. Постановление от 10.02.2017г №296. Постановление от 14.12.2018г №1868</t>
  </si>
  <si>
    <t>Особо ценное имущество. Постановление от 10.10.2017г №2225. Постановление от 14.12.2018г №1868</t>
  </si>
  <si>
    <r>
      <t xml:space="preserve">Нежилое помещение площадью 130 кв.м. оперативное управление  </t>
    </r>
    <r>
      <rPr>
        <b/>
        <sz val="9"/>
        <color theme="1"/>
        <rFont val="Times New Roman"/>
        <family val="1"/>
        <charset val="204"/>
      </rPr>
      <t>МУК "Централизованная библиотечная система"</t>
    </r>
    <r>
      <rPr>
        <sz val="9"/>
        <color theme="1"/>
        <rFont val="Times New Roman"/>
        <family val="1"/>
        <charset val="204"/>
      </rPr>
      <t xml:space="preserve">. Постановление от 22.10.2008г № 1128. Помещение площадью 10,8 кв.м. Оперативное управление </t>
    </r>
    <r>
      <rPr>
        <b/>
        <sz val="9"/>
        <color theme="1"/>
        <rFont val="Times New Roman"/>
        <family val="1"/>
        <charset val="204"/>
      </rPr>
      <t xml:space="preserve">МАУ "МФЦ" </t>
    </r>
    <r>
      <rPr>
        <sz val="9"/>
        <color theme="1"/>
        <rFont val="Times New Roman"/>
        <family val="1"/>
        <charset val="204"/>
      </rPr>
      <t xml:space="preserve">Постановление от 03.03.2017г № 425. Нежилое помещение площадью 13,4 кв.м. безвозмездное пользование до 01.01.2029г </t>
    </r>
    <r>
      <rPr>
        <b/>
        <sz val="9"/>
        <color theme="1"/>
        <rFont val="Times New Roman"/>
        <family val="1"/>
        <charset val="204"/>
      </rPr>
      <t>ОМВД РФ по го Серебряные Пруды</t>
    </r>
    <r>
      <rPr>
        <sz val="9"/>
        <color theme="1"/>
        <rFont val="Times New Roman"/>
        <family val="1"/>
        <charset val="204"/>
      </rPr>
      <t>.  Решение Совета депутатов от 18.12.2018г №181/28. Помещения ООО УК,администрации</t>
    </r>
  </si>
  <si>
    <t>Помещение площадью 23кв.м. собственность ТУ Росимущества в МО, регистрация права от 20.08.2018г №50:39:0060306:778-50/026/2018-1</t>
  </si>
  <si>
    <t>18.12.2018г</t>
  </si>
  <si>
    <t>Распоряжение администрации от 18.12.2018г №946-р. Акт о списании от 24.12.2018г №0000-000005</t>
  </si>
  <si>
    <r>
      <t xml:space="preserve">Оперативное управление </t>
    </r>
    <r>
      <rPr>
        <b/>
        <sz val="9"/>
        <color theme="1"/>
        <rFont val="Times New Roman"/>
        <family val="1"/>
        <charset val="204"/>
      </rPr>
      <t xml:space="preserve">МУК "КДЦ Узуновское городского округа Серебряные Пруды Московской области". </t>
    </r>
    <r>
      <rPr>
        <sz val="9"/>
        <color theme="1"/>
        <rFont val="Times New Roman"/>
        <family val="1"/>
        <charset val="204"/>
      </rPr>
      <t>Постановление от 04.08.2017г №1685. Оперативное управление помещение 90 кв.м.</t>
    </r>
    <r>
      <rPr>
        <b/>
        <sz val="9"/>
        <color theme="1"/>
        <rFont val="Times New Roman"/>
        <family val="1"/>
        <charset val="204"/>
      </rPr>
      <t xml:space="preserve"> МУК "Централизованная библиотечная система".</t>
    </r>
    <r>
      <rPr>
        <sz val="9"/>
        <color theme="1"/>
        <rFont val="Times New Roman"/>
        <family val="1"/>
        <charset val="204"/>
      </rPr>
      <t xml:space="preserve"> Постановление от 22.10.2008г № 1128. . Помещение площадью 19,4 кв. аренда ПАО Сбербанк России до 11.02.2019г. Постановление от 18.12.2017г № 2697</t>
    </r>
  </si>
  <si>
    <t>Компрессор 2АФ5ЗЭ52С, очистные сооружения, д. Шеметово</t>
  </si>
  <si>
    <t>00-000009</t>
  </si>
  <si>
    <t>00-000008</t>
  </si>
  <si>
    <t>00-000010</t>
  </si>
  <si>
    <t>21.10.2016г</t>
  </si>
  <si>
    <t>Товарная накладная от 30.09.2016г №533, Товарная накладная от 21.10.2016г № 581</t>
  </si>
  <si>
    <t>27.10.2016г</t>
  </si>
  <si>
    <t>Договор №651/10 от 05.10.2016г, Договор №612/9 от 15.09.2016г. Товарная накладная от 27.10.2016г № 430, 431</t>
  </si>
  <si>
    <t>04.10.2016г</t>
  </si>
  <si>
    <t>Товарная накладная от 04.10.2016г № 536</t>
  </si>
  <si>
    <t>16.09.2016г</t>
  </si>
  <si>
    <t>Счет-фактура от 16.09.2016г №УТД000026634</t>
  </si>
  <si>
    <t>03.10.2017г</t>
  </si>
  <si>
    <t>Контракт №08483000418717000378-0862554-01, товарная накладная от 06.10.2017г №78</t>
  </si>
  <si>
    <t>Товарная накладная от 10.10.2017г №611</t>
  </si>
  <si>
    <t>Договор от 12.09.2017г №18. Товарная накладная от 12.09.2017г №293</t>
  </si>
  <si>
    <t>Договор от 12.09.2017г №17. Товарная накладная от 12.09.2017г №292</t>
  </si>
  <si>
    <t>18.04.2017г</t>
  </si>
  <si>
    <t>Муниципаный контракт от 18.04.2017г №12017. товарная накладная от 18.04.2017г №4</t>
  </si>
  <si>
    <t>23.01.2017г</t>
  </si>
  <si>
    <t>12.09.2017г</t>
  </si>
  <si>
    <t>Счет-фактура от 23.01.2017г №5173001</t>
  </si>
  <si>
    <t>28.09.2018г</t>
  </si>
  <si>
    <t>Товарная накладная от 28.05.2018г №41</t>
  </si>
  <si>
    <t>Товарная накладная от 14.09.2018г №41</t>
  </si>
  <si>
    <t>Счет-фактура от 16.07.2018г №14529</t>
  </si>
  <si>
    <t>Насос ЭЦВ 12-160-100 НРО с электродвигателем, ВЗУ 1-й подъем, Благодать</t>
  </si>
  <si>
    <t>Решение Совета Депутатов № 695/70. Выписка из ЕГРН, регистрация права от 28.12.2018г № 50:39:0000000:291-50/001/2018-1</t>
  </si>
  <si>
    <t>Автомобильная дорога общего пользования (асфальтобетон), протяженностью 102,0 м. Расположена на земельном участке 50:39:0050503:69</t>
  </si>
  <si>
    <t>Решение Совета Депутатов № 695/70. выписка из ЕГРН, регистрация права от 28.12.2018г № 50:39:0050201:8411-50/001/2018-1</t>
  </si>
  <si>
    <t xml:space="preserve">Решение Совета Депутатов № 695/70. Выписка из ЕГРН, регистрация права от 28.12.2018г № 50:39:0000000:738-50/001/2018-1 </t>
  </si>
  <si>
    <t>Решение Совета Депутатов № 695/70. Выписка из ЕГРН, регистрация права от 28.12.2018г № 50:39:0000000:1195-50/001/2018-1</t>
  </si>
  <si>
    <t>Решение Совета Депутатов № 695/70. Выписка из ЕГРН, регистрация права от 28.12.2018г №50:39:0000000:668-50/001/2018-1</t>
  </si>
  <si>
    <t>Автомобильная дорога общего пользования , протяженностью 390,90 м</t>
  </si>
  <si>
    <t>Автомобильная дорога общего пользования (асфальтобетон), протяженностью 76,8 м. Расположена на земельном участке 50:39:0050503:70</t>
  </si>
  <si>
    <t>Автомобильная дорога общего пользования (асфальтобетон), протяженностью 674 м. Расположена на земельном участке 50:39:0050503:72</t>
  </si>
  <si>
    <t>Автомобильная дорога общего пользования (асфальтобетон), протяженностью 72,5 м. Расположена на земельном участке 50:39:0050504:83</t>
  </si>
  <si>
    <t>Автомобильная дорога общего пользования, протяженностью 113,0 м. Расположена на земельном участке 50:39:0050503:687</t>
  </si>
  <si>
    <t>Автомобильная дорога общего пользования, протяженностью 294,0 м. Расположена на земельном участке 50:39:0050511:249</t>
  </si>
  <si>
    <t>Автомобильная дорога общего пользования, протяженностью 593,0 м</t>
  </si>
  <si>
    <t>Автомобильная дорога общего пользования, протяженностью 407,0 м. Расположена на земельном участке 50:39:0050102:207</t>
  </si>
  <si>
    <t>Автомобильная дорога общего пользования, протяженностью 130,0 м. Расположена на земельном участке 50:39:0050602:499</t>
  </si>
  <si>
    <t>Автомобильная дорога общего пользования, протяженностью 295,0 м. Расположена на земельном участке 50:39:0000000:4142</t>
  </si>
  <si>
    <t xml:space="preserve">Автомобильная дорога общего пользования, протяженностью 863,2 м. </t>
  </si>
  <si>
    <t>Автомобильная дорога общего пользования (грунтовое), протяженностью 453,2 м. расположена на земельном участке 50:39:0000000:3706</t>
  </si>
  <si>
    <t>Автомобильная дорога общего пользования (грунтовое), протяженностью 467 м. расположена на земельном участке 50:39:0000000:3706</t>
  </si>
  <si>
    <t>Автомобильная дорога общего пользования (грунтовое), протяженностью 307,3 м. расположена на земельном участке 50:39:0000000:3706</t>
  </si>
  <si>
    <t>Автомобильная дорога общего пользования, протяженностью 330,0 м. расположена на земельном участке 50:39:0070108:226</t>
  </si>
  <si>
    <t>Автомобильная дорога общего пользования, протяженностью 83,0 м. расположена на земельном участке 50:39:0050503:685</t>
  </si>
  <si>
    <t>Автомобильная дорога общего пользования, протяженностью 2207,0 м. расположена на земельном участке 50:39:0000000:4162</t>
  </si>
  <si>
    <t>Автомобильная дорога общего пользования. Протяженностью 1805,3 м</t>
  </si>
  <si>
    <t>Автомобильная дорога общего пользоания (грунтовое), протяженностью 1540,0 м. расположена на земельном участке 50:39:0000000:3964, 50:39:0000000:3686</t>
  </si>
  <si>
    <t>Автомобильная дорога общего пользования (асфальтобетон). Протяженностью 348м. Расположена на земельном участке 50:39:0050602:464</t>
  </si>
  <si>
    <t>Автомобильная дорога общего пользования  (а/б щебеночное), протяженностью 245 м. расположена на земельном участке 50:39:0050405:324</t>
  </si>
  <si>
    <t>Автомобильная дорога общего пользоания (грунтовое), протяженностью 858,70 м. расположена на земельном участке 50:39:0000000:3681</t>
  </si>
  <si>
    <t>Автомобильная дорога общего пользования (асфальтобетон), протяженностью 3,40 м</t>
  </si>
  <si>
    <t>Автомобильная дорога общего пользования (асфальтобетон), протяженностью 416,0 м. расположена на земельном участке 50:39:0050514:265</t>
  </si>
  <si>
    <t>Автомобильная дорога общего пользования (асфальтобетон), протяженностью 103,0 м. расположена на земельном участке 50:39:0050514:258</t>
  </si>
  <si>
    <t>Автомобильная дорога общего пользования. протяженностью 68,0 м. расположена на земельном участке 50:39:0050513:216</t>
  </si>
  <si>
    <t xml:space="preserve">Автомобильная дорога, общего пользования, протяженностью 247,3 м </t>
  </si>
  <si>
    <t>Автомобильная дорога общего пользования (асфальтобетон). Протяженностью 119,0 м. Расположена на земельном участке 50:39:0050502:62</t>
  </si>
  <si>
    <t>Автомобильная дорога общего пользования (асфальтобетон). Протяженностью 119,0 м. Расположена на земельном участке 50:39:0050502:63</t>
  </si>
  <si>
    <t>Автомобильная дорога общего пользования, протяженностью 81,0. Расположена на земельном участке 50:39:0050501:291</t>
  </si>
  <si>
    <t>Автомобильная дорога общего пользования, протяженностью 46,0. Расположена на земельном участке 50:39:0050502:95</t>
  </si>
  <si>
    <t>Автомобильная дорога общего пользования (асфальтобетон), протяженностью 204,0 м, расположенная на земельном участке 50:39:0050404:975</t>
  </si>
  <si>
    <t>Автомобильная дорога общего пользования (асфальтобетон), протяженностью 58 м. Расположена на земельном участке 50:39:0000000:3450</t>
  </si>
  <si>
    <t>Автомобильная дорога общего пользования, протяженностью 375,0. Расположена на земельном участке 50:39:0000000:3450</t>
  </si>
  <si>
    <t>Автомобильная дорога общего пользования, протяженностью 300,0 м</t>
  </si>
  <si>
    <t>Автомобильная дорога общего пользования (асфальтобетон), протяженностью 230,0 м. Расположен на земельном участке 50:39:0000000:3680</t>
  </si>
  <si>
    <t>Автомобильная дорога общего пользования (грунтовое), протяженностью 230,0 м. Расположен на земельном участке 50:39:0070103:491</t>
  </si>
  <si>
    <t>Автомобильная дорога общего пользования (грунтовое), протяженностью 720,0 м. Расположен на земельном участке 50:39:0070103:491</t>
  </si>
  <si>
    <t>Автомобильная дорога общего пользования (щебеночное), протяженоотью 300,0 м. Расположена на земельном участке 50:39:0000000:3682</t>
  </si>
  <si>
    <t>Автомобильная дорога общего пользования (щебеночное), протяженоотью 420,0 м. Расположена на земельном участке 50:39:0000000:3682</t>
  </si>
  <si>
    <t>Автомобильная дорога общего пользования (асфальтобетон), протяженностью 152,0м. Расположена на земельном участке 50:39:0070103:492</t>
  </si>
  <si>
    <t>Автомобильная дорога общего пользования, протяженностью 2100,0м. Расположена на земельном участке 50:39:0070103:516</t>
  </si>
  <si>
    <t>Автомобильная дорога общего пользования, протяженностью 2171,0м. Расположена на земельном участке 50:39:0000000:4143</t>
  </si>
  <si>
    <t>Автомобильная дорога общего пользования, протяженностью 176,0м. Расположена на земельном участке 50:39:0050510:59</t>
  </si>
  <si>
    <t>Автомобильная дорога общего пользования, протяженностью 23,3м</t>
  </si>
  <si>
    <t>Автомобильная дорога общего пользования (асфальтобетон), протяженностью 169,4 м. Расположена на земельном участке 50:39:0050507:46</t>
  </si>
  <si>
    <t>Автомобильная дорога общего пользования (асфальтобетон), протяженностью 34,3 м. Расположена на земельном участке 50:39:0050507:77</t>
  </si>
  <si>
    <t>Автомобильная дорога общего пользования (асфальтобетон), протяженностью 292 м. Расположена на земельном участке 50:39:0050504:86</t>
  </si>
  <si>
    <t>Автомобильная дорога общего пользования, протяженностью 450,0 м. Расположена на земельном участке 50:39:0050503:689</t>
  </si>
  <si>
    <t>Автомобильная дорога общего пользования, протяженностью 2495,0 м. Расположена на земельном участке 50:39:0050503:690</t>
  </si>
  <si>
    <t>Автомобильная дорога общего пользования, протяженностью 290,30 м. Расположена на земельном участке 50:39:0050404:976</t>
  </si>
  <si>
    <t>Автомобильная дорога общего пользования, протяженностью 121,0 м. Расположена на земельном участке 50:39:0050507:99</t>
  </si>
  <si>
    <t>Автомобильная дорога общего пользования, протяженностью 173,0 м. Расположена на земельном участке 50:39:0050504:360</t>
  </si>
  <si>
    <t xml:space="preserve">Автомобильная дорога общего пользования, протяженностью 130,70 м. </t>
  </si>
  <si>
    <t>Автомобильная дорога общего пользования (грунтовая), протяженностью 330,0 м. Расположена на земельном участке 50:39:0000000:3705</t>
  </si>
  <si>
    <t>Автомобильная дорога общего пользования (грунтовая), протяженностью 2257,30 м. Расположена на земельном участке 50:39:0000000:3705</t>
  </si>
  <si>
    <t>Автомобильная дорога, общего пользования (асфальтобетон), протяженностью 101,9 м. Расположена на земельном участке 50:39:0040203:3</t>
  </si>
  <si>
    <t>Автомобильная дорога, общего пользования (асфальтобетон), протяженностью 130,2 м. Расположена на земельном участке 50:39:0050302:33</t>
  </si>
  <si>
    <t xml:space="preserve">Автомобильная дорога общего пользования, протяженностью 668,0 м. Расположена на земельном участке 50:39:0050301:644 </t>
  </si>
  <si>
    <t xml:space="preserve">Автомобильная дорога общего пользования, протяженностью 2857,50 м. </t>
  </si>
  <si>
    <t>Автомобильная дорога с переходным типом покрытия к СНТ Лобаново. Протяженностью 3000м</t>
  </si>
  <si>
    <t>Автомобильная дорога с переходным типом покрытия к СНТ Родничек. Протяженностью 660м</t>
  </si>
  <si>
    <t>Автомобильная дорога с переходным типом покрытия к СНТ Вита. Протяженностью 610м</t>
  </si>
  <si>
    <t>Автомобильная дорога с переходным типом покрытия к СПК "Березинка -1", СНТ "Заречье. Протяженностью 1760м</t>
  </si>
  <si>
    <t>Автомобильная дорога с переходным типом покрытия к СНТ "Гришино". Протяженностью 1000м</t>
  </si>
  <si>
    <t>Плотина пруда №2 на притоке р. Истоминка (проезд автотранспорта)  объем  30 тыс.куб.м., площадь 20  тыс. кв.м., 1975г</t>
  </si>
  <si>
    <t>Плотина(проезд транспорта), инв. № 273:078-5356 , длина 43м, ширина 3,8м</t>
  </si>
  <si>
    <t>Московская область, Серебряно-Прудский район,   с.  Узуново, казарма №2 (у переезда)</t>
  </si>
  <si>
    <t>Московская область, Серебряно-Прудский район,   с.  Малынь, д.63</t>
  </si>
  <si>
    <t>Московская область, Серебряно-Прудский район,    д. Ларино, д.28</t>
  </si>
  <si>
    <t>Колодец для технических нужд (инв.№11013129617)</t>
  </si>
  <si>
    <t>Колодец питьевой воды (инв.№11013129616)</t>
  </si>
  <si>
    <t>Колодец питьевой воды (инв.№11013129615)</t>
  </si>
  <si>
    <t>Колодец питьевой воды (инв.№11013129614)</t>
  </si>
  <si>
    <t>Колодец питьевой воды (инв.№11013129613)</t>
  </si>
  <si>
    <t>Колодец питьевой воды (инв.№11013129582)</t>
  </si>
  <si>
    <t>Колодец питьевой воды (инв.№11013129583)</t>
  </si>
  <si>
    <t>Колодец питьевой воды (инв.№11013129585)</t>
  </si>
  <si>
    <t>Колодец питьевой воды (инв.№11013129587)</t>
  </si>
  <si>
    <t>Колодец питьевой воды (инв.№11013129588)</t>
  </si>
  <si>
    <t>Колодец питьевой воды (инв.№11013129589)</t>
  </si>
  <si>
    <t>Колодец питьевой воды (инв.№11013129590)</t>
  </si>
  <si>
    <t>Колодец питьевой воды (инв.№11013129591)</t>
  </si>
  <si>
    <t>Колодец питьевой воды (инв.№11013129593)</t>
  </si>
  <si>
    <t>Колодец питьевой воды (инв.№11013129594)</t>
  </si>
  <si>
    <t>Колодец питьевой воды (инв.№11013129595)</t>
  </si>
  <si>
    <t>Колодец питьевой воды (инв.№11013129596)</t>
  </si>
  <si>
    <t>Колодец питьевой воды (инв.№11013129597)</t>
  </si>
  <si>
    <t>Колодец питьевой воды (инв.№11013129598)</t>
  </si>
  <si>
    <t>Колодец питьевой воды (инв.№11013129600)</t>
  </si>
  <si>
    <t>Колодец для технических нужд (инв.№11013129605)</t>
  </si>
  <si>
    <t>Колодец питьевой воды (инв.№11013129606)</t>
  </si>
  <si>
    <t>Колодец питьевой воды (инв.№11013129608)</t>
  </si>
  <si>
    <t>Колодец питьевой воды (инв.№11013129609)</t>
  </si>
  <si>
    <t>Колодец питьевой воды (инв.№11013129610)</t>
  </si>
  <si>
    <t>Колодец питьевой воды (инв.№11013129611)</t>
  </si>
  <si>
    <t>Колодец питьевой воды (инв.№11013129612)</t>
  </si>
  <si>
    <t>Московская область, Серебряно-Прудский район,   с.  Мягкое , д.100</t>
  </si>
  <si>
    <t>Колодец для технических нужд (инв.№11013129624)</t>
  </si>
  <si>
    <t>Московская область, Серебряно-Прудский район,    д. Есипово, д.4</t>
  </si>
  <si>
    <t>Колодец для технических нужд (инв.№11013129632)</t>
  </si>
  <si>
    <t>Московская область, Серебряно-Прудский район,    д.  Беляево, д.10</t>
  </si>
  <si>
    <t>Московская область, Серебряно-Прудский район,    д.  Беляево, д.36</t>
  </si>
  <si>
    <t>Колодец для технических нужд (инв.№11013129641)</t>
  </si>
  <si>
    <t>Колодец для технических нужд (инв.№11013129645)</t>
  </si>
  <si>
    <t>Московская область, Серебряно-Прудский район,    д. Толстые, д.35</t>
  </si>
  <si>
    <t>Колодец для технических нужд (инв.№11013129649)</t>
  </si>
  <si>
    <t xml:space="preserve"> Колодец для технических нужд (инв.№11013129656)</t>
  </si>
  <si>
    <t>Колодец для технических нужд (инв.№11013129658)</t>
  </si>
  <si>
    <t>Колодец для технических нужд (инв.№11013129659)</t>
  </si>
  <si>
    <t>Московская область, Серебряно-Прудский район,    д. Малое Орехово, д.10</t>
  </si>
  <si>
    <t>Московская область, Серебряно-Прудский район,    д. Титеево, д.4</t>
  </si>
  <si>
    <t>Московская область, Серебряно-Прудский район,    д. Невежино, д.4</t>
  </si>
  <si>
    <t>Колодец для технических нужд (инв.№11013129663)</t>
  </si>
  <si>
    <t>Московская область, Серебряно-Прудский район,    д.  Мозалово, д.18</t>
  </si>
  <si>
    <t>Колодец для технических нужд (инв.№11013129664)</t>
  </si>
  <si>
    <t>Московская область, Серебряно-Прудский район,    д. Мозалово, д.11</t>
  </si>
  <si>
    <t>Московская область, Серебряно-Прудский район,    д.  Мозалово, д.6</t>
  </si>
  <si>
    <t>Московская область, Серебряно-Прудский район,    д. Мозалово, д.14</t>
  </si>
  <si>
    <t>Московская область, Серебряно-Прудский район,    д. Ларино, д.32</t>
  </si>
  <si>
    <t>Московская область, Серебряно-Прудский район,    д. Барыково (у дома Родионичевых)</t>
  </si>
  <si>
    <t>Московская область, Серебряно-Прудский район,    д. Барыково (родник у дороги на Лошатово)</t>
  </si>
  <si>
    <t>Московская область, Серебряно-Прудский район,    д. Барыково, д.46</t>
  </si>
  <si>
    <t>Колодец для технических нужд (инв.№11013129671)</t>
  </si>
  <si>
    <t>Колодец для технических нужд</t>
  </si>
  <si>
    <t>Московская область, Серебряно-Прудский район,   с. Колеймино, вблизи д.12 (за магазином в овраге)</t>
  </si>
  <si>
    <t>Родник (питьевой колодец)</t>
  </si>
  <si>
    <t xml:space="preserve">Колодец - родник для технических нужд </t>
  </si>
  <si>
    <t>Московская область, Серебряно-Прудский район,   п. новоклемово (в овраге у школы)</t>
  </si>
  <si>
    <t>Московская область, Серебряно-Прудский район,   д.  Песочное, д.16</t>
  </si>
  <si>
    <t xml:space="preserve">Колодец - родник питьевой воды </t>
  </si>
  <si>
    <t>Московская область, Серебряно-Прудский район,   с. Петрово (в овраге у школы)</t>
  </si>
  <si>
    <t>Колодец для технических нужд (инв.№11013129584)</t>
  </si>
  <si>
    <t>Колодец для технических нужд 1 шт.</t>
  </si>
  <si>
    <t xml:space="preserve">Московская область, городской округ Серебряные Пруды, д.Серково д.10             </t>
  </si>
  <si>
    <t xml:space="preserve">Московская область, городской округ Серебряные Пруды, д.Нижняя Пурловка (святой источник за деревней)  </t>
  </si>
  <si>
    <t xml:space="preserve">Московская область, городской округ Серебряные Пруды, д.Нижняя Пурловка д.5 </t>
  </si>
  <si>
    <t xml:space="preserve">Московская область, городской округ Серебряные Пруды, д.Митякино д.38 (возле реки)             </t>
  </si>
  <si>
    <t xml:space="preserve">Московская область, городской округ Серебряные Пруды, д.Митякино д.23       </t>
  </si>
  <si>
    <t xml:space="preserve">Колодец питьевой 1 шт. </t>
  </si>
  <si>
    <t xml:space="preserve">Московская область, городской округ Серебряные Пруды, п.Дмитриевский  (напротив ДК через дорогу) </t>
  </si>
  <si>
    <t xml:space="preserve">Московская область, городской округ Серебряные Пруды, п.Дмитриевский  (за плотиной) </t>
  </si>
  <si>
    <t xml:space="preserve">Колодец для технических нужд 1 шт. </t>
  </si>
  <si>
    <t>Московская область, городской округ Серебряные Пруды, п.Дмитриевский  у д.50</t>
  </si>
  <si>
    <t xml:space="preserve">Московская область, городской округ Серебряные Пруды, д.Дмитриевка д.27          </t>
  </si>
  <si>
    <t xml:space="preserve">Московская область, городской округ Серебряные Пруды, д.Дмитриевка д.10         </t>
  </si>
  <si>
    <t>Колодец шахтный для технических нужд</t>
  </si>
  <si>
    <t xml:space="preserve">Колодец для технических нужд </t>
  </si>
  <si>
    <t xml:space="preserve">Колодец шахтный для технических нужд </t>
  </si>
  <si>
    <t>Колодец шахтный питьевой</t>
  </si>
  <si>
    <t>Колодец для технических нужд, 1 шт</t>
  </si>
  <si>
    <t>142970 Московская область Серебряно-Прудский район, р.п. Серебряные Пруды ул.8 Марта д.17</t>
  </si>
  <si>
    <t>142970 Московская область Серебряно-Прудский р-айон, р.п. Серебряные Пруды ул. Большая Луговая  д.16</t>
  </si>
  <si>
    <t>142970 Московская область Серебряно-Прудский р-айон, р.п. Серебряные Пруды ул. Большая Луговая д.29</t>
  </si>
  <si>
    <t xml:space="preserve">Колодец  для технических нужд </t>
  </si>
  <si>
    <t>142970 Московская область Серебряно-Прудский р-айон, с. Дудино  д. 16</t>
  </si>
  <si>
    <t>Колодец  для технических нужд</t>
  </si>
  <si>
    <t>142970 Московская область Серебряно-Прудский р-айон, с. Дудино д.59</t>
  </si>
  <si>
    <t>142970 Московская область Серебряно-Прудский р-айон, с. Дудино д.62</t>
  </si>
  <si>
    <t>142970 Московская область Серебряно-Прудский р-айон, с. Дудино д.84</t>
  </si>
  <si>
    <t>142970 Московская область Серебряно-Прудский р-айон, с. Дудино  д.91</t>
  </si>
  <si>
    <t>142970 Московская область Серебряно-Прудский р-айон, с. Дудино (у ж/д станции)</t>
  </si>
  <si>
    <t>142970 Московская область Серебряно-П-рудский район, д.Семенково д.42</t>
  </si>
  <si>
    <t>Колодец питьевой воды,  шт</t>
  </si>
  <si>
    <t>142970 Московская область Серебряно-П-рудский район, д.Семенково д.70</t>
  </si>
  <si>
    <t>142970 Московская область Серебряно-Прудский район, д.Растрехаевка д.6.</t>
  </si>
  <si>
    <t>142970 Московская область Серебряно-Прудский район, д.Растрехаевка д.17</t>
  </si>
  <si>
    <t>142970 Московская область Серебряно-Прудский район, с. Красное  д.3</t>
  </si>
  <si>
    <t>142970 Московская область Серебряно-Прудский район, с. Красное д.25</t>
  </si>
  <si>
    <t>142970 Московская область Серебряно-Прудский район, с. Красное д.40</t>
  </si>
  <si>
    <t>Колодец  воды (инв.№11013129586)</t>
  </si>
  <si>
    <t>Колодец  воды (инв.№11013129599)</t>
  </si>
  <si>
    <t>Колодец воды (инв.№11013129635)</t>
  </si>
  <si>
    <t>142955 М.О. Серебряно-Прудский р-н, д. Александровка, д.15</t>
  </si>
  <si>
    <t>142970 Московская область Серебряно-Прудский район, д.Растрехаевка д.24</t>
  </si>
  <si>
    <t>Шахтный колодец питьевой (кол-во колец 11 шт.)</t>
  </si>
  <si>
    <t>Колодец питьевой ( кол-во колец 8 шт.)</t>
  </si>
  <si>
    <t>50:39:0050508:93</t>
  </si>
  <si>
    <t xml:space="preserve"> Решение СД Сер.-Пруд. Муниц. р-на МО  № 106/24. Выписка из ЕГРН, регистрация права от 16.01.2019г №50:39:0070104:565-50/001/2019-1</t>
  </si>
  <si>
    <t>29.05.2018г</t>
  </si>
  <si>
    <t>Товарная накладная от 03.10.2017г 3 7930</t>
  </si>
  <si>
    <t>Договор от 29.05.2018г №71, товарная накладная от 29.05.2018г №36</t>
  </si>
  <si>
    <t>08.12.2017г</t>
  </si>
  <si>
    <t>06.10.2017г</t>
  </si>
  <si>
    <t>16.07.2018г</t>
  </si>
  <si>
    <t>10.10.2017г</t>
  </si>
  <si>
    <t>Договор на поставку товара №1 от 08.12.2017г</t>
  </si>
  <si>
    <t>УАЗ - 452, 1984г, цвет хаки,  гос.номер К 678 РУ 750, водопотребление, с. Узуново</t>
  </si>
  <si>
    <t>23.01.2018г</t>
  </si>
  <si>
    <t>Товарная накладная от 23.01.2018г №3</t>
  </si>
  <si>
    <t>50:39:0040103:120</t>
  </si>
  <si>
    <t>Выписка из ЕГРН, регистрация права от 09.10.2017г № 50:39:0040103:120-50/039/2017-1 от 09.10.2017</t>
  </si>
  <si>
    <t>Земельный участок Категория земель - земли населенных пунктов ВРИ - общее пользование территории</t>
  </si>
  <si>
    <t>Московская область, городской округ Серебряные Пруды, рп Серебряные Пруды, снт Мягковские камушки уч. 57</t>
  </si>
  <si>
    <t>Московская область, Серебряно-Прудский район. С. Мочилы, ул. Школьная</t>
  </si>
  <si>
    <t>50:39:0000000:4268</t>
  </si>
  <si>
    <t>Выписка из ЕГРН, регистрация права от 17.01.2019г № 50:39:0000000:4268-50/036/2019-1</t>
  </si>
  <si>
    <t>Постановление администрации Серебряно-Прудского муниципального района МО №869. Выписка из ЕГРН, регистрация права от 13.12.2018г № 50:39:0000000:560-50/001/2018-1</t>
  </si>
  <si>
    <t>Нежилое здание, мастерская, 2-х этажное, инвентарный номер 272:077-2203</t>
  </si>
  <si>
    <t>Оперативное управление МФОСУ спорткомплекс "Молодёжный". Постановление от 15.08.2008г № 880. Свидетельство от 30.09.2008г 50-НВ №165987</t>
  </si>
  <si>
    <t>Оперативное управление МФОСУ спорткомплекс "Молодёжный". Постановление от 14.12.2018г №1867. Регистрация права от 25.01.2019г №50:39:0000000:300-50/001/2019-2</t>
  </si>
  <si>
    <t>Оперативное управление МФОСУ спорткомплекс "Молодёжный". Постановление от 14.12.2018г №1867. Регистрация права от 25.01.2019г №50:39:0000000:307-50/001/2019-2</t>
  </si>
  <si>
    <t>Оперативное управление МФОСУ спорткомплекс "Молодёжный". Постановление от 14.12.2018г №1867. Регистрация права от 25.01.2019г №50:39:0000000:308-50/001/2019-2</t>
  </si>
  <si>
    <t>Оперативное управление МФОСУ спорткомплекс "Молодёжный". Постановление от 14.12.2018г №1867. Регистрация права от 25.01.2019г №50:39:0000000:309-50/001/2019-2</t>
  </si>
  <si>
    <t>Оперативное управление МФОСУ спорткомплекс "Молодёжный". Постановление от 14.12.2018г №1867. Регистрация права от 25.01.2019г №50:39:0000000:302-50/001/2019-2</t>
  </si>
  <si>
    <t>Оперативное управление МФОСУ спорткомплекс "Молодёжный". Постановление от 09.01.2019г №20. Регистрация права от 25.01.2019г №50:39:0000000:304-50/001/2019-2</t>
  </si>
  <si>
    <t>Оперативное управление МФОСУ спорткомплекс "Молодёжный". Постановление от 09.01.2019г №20. Регистрация права от 25.01.2019г №50:39:0000000:299-50/001/2019-2</t>
  </si>
  <si>
    <t>Оперативное управление МФОСУ спорткомплекс "Молодёжный". Постановление от 09.01.2019г №20. Регистрация права от 25.01.2019г №50:39:0000000:306-50/001/2019-2</t>
  </si>
  <si>
    <t>Оперативное управление МФОСУ спорткомплекс "Молодёжный". Постановление от 14.12.2018г №1867. Регистрация права от 25.01.2019г №50:39:0000000:303-50/001/2019-2</t>
  </si>
  <si>
    <t>Оперативное управление МФОСУ спорткомплекс "Молодёжный". Постановление от 09.01.2019г №20. Регистрация права от 25.01.2019г №50:39:0000000:305-50/001/2019-2</t>
  </si>
  <si>
    <t>Оперативное управление МФОСУ спорткомплекс "Молодёжный". Постановление от 09.01.2019г №20. Регистрация права от 25.01.2019г №50:39:0000000:301-50/001/2019-2</t>
  </si>
  <si>
    <t>Договор соц.найма от 25.01.2019г №1/2019. наниматель Мацулева О.В.</t>
  </si>
  <si>
    <t>Договор соц.найма от 12.10.2018г №22/2018. Наниматель: Володина Татьяна Васильевна</t>
  </si>
  <si>
    <t>Решение Совета депутатов № 696/70. Выписка из ЕГРН, регистрация права от 29.01.2019г №50:39:0030120:215-50/039/2019-1</t>
  </si>
  <si>
    <t>335754539, 61 руб/ 163956733,20 руб.</t>
  </si>
  <si>
    <t>287 чел.</t>
  </si>
  <si>
    <t>22 чел.</t>
  </si>
  <si>
    <t>417 323 168,74 руб/ 224 031 882,10 руб</t>
  </si>
  <si>
    <t>24 542 762,23 руб /   4 329 460,18 руб</t>
  </si>
  <si>
    <t>482 923 358,67 руб/  9 886 616,38 руб</t>
  </si>
  <si>
    <t>34 447 720,69 руб/    7 877 466,89 руб</t>
  </si>
  <si>
    <t>11 221 387,46 руб/    4 365 163,97 руб</t>
  </si>
  <si>
    <t>27 923 133,41 руб/    4 007 001,76 руб</t>
  </si>
  <si>
    <t>15 954 982,02 руб/    3 697 746,66 руб</t>
  </si>
  <si>
    <t>21 120 963,93 руб/    5 543 657,13 руб</t>
  </si>
  <si>
    <t>26 584 412,11 руб/    5 759 245,11 руб</t>
  </si>
  <si>
    <t>24 110 589,21 руб/    6 322 951,81 руб</t>
  </si>
  <si>
    <t>24 290 254,82 руб/ 5762 792,44</t>
  </si>
  <si>
    <t>12 805 755,39 руб/    6 055 264,54 руб</t>
  </si>
  <si>
    <t>10 282 261,30 руб/    2 397 705,37 руб</t>
  </si>
  <si>
    <t>9 877 657,71 руб /     2 326 685,40 руб</t>
  </si>
  <si>
    <t>43 963 499,93 руб/  20 024 455,41 руб</t>
  </si>
  <si>
    <t xml:space="preserve">2 227 110,35 руб/   604 822,94 руб </t>
  </si>
  <si>
    <t xml:space="preserve"> 24 чел.</t>
  </si>
  <si>
    <t>8 214 369,59 руб/      2 257 703,23 руб.</t>
  </si>
  <si>
    <t>10 чел.</t>
  </si>
  <si>
    <t>14 338 445,84 руб/    3 012 899,34 руб</t>
  </si>
  <si>
    <t>10 567 203,70 руб/    2 848 596,18 руб</t>
  </si>
  <si>
    <t>12 821 479,18 руб /   7 761 725,50 руб.</t>
  </si>
  <si>
    <t>2 823 107,51 руб/      1 282 098,08 руб</t>
  </si>
  <si>
    <t>4 016 318,17 руб/      1 226 891,22 руб</t>
  </si>
  <si>
    <t>17 541 868,41 руб/    4 157 875, руб</t>
  </si>
  <si>
    <t>1 851 373,38 руб/ 146 279,12</t>
  </si>
  <si>
    <t>587 040,38 руб/        51 150,90 руб</t>
  </si>
  <si>
    <t>2 466 813,95 руб/  247 579,19 руб</t>
  </si>
  <si>
    <t>5 048 568,57 руб/  723 648,10 руб</t>
  </si>
  <si>
    <t>2 118 920,67 руб/  533 566,99 руб</t>
  </si>
  <si>
    <t>13 чел.</t>
  </si>
  <si>
    <t>1 932 875,44 руб/     34 874,64 руб</t>
  </si>
  <si>
    <t>1 184 149,67 руб/ 0,00 руб</t>
  </si>
  <si>
    <t>26 331 933,06 руб/ 18 289 534,07 руб</t>
  </si>
  <si>
    <t>14 480 678,26 руб/ 11 548 633,25 руб</t>
  </si>
  <si>
    <t>873 819,62 руб/     0,00 руб</t>
  </si>
  <si>
    <t>3 644 877,73 руб/  878 091,39 руб</t>
  </si>
  <si>
    <t>4 858 912,40 руб/      1 177 437,12 руб</t>
  </si>
  <si>
    <t>Муниципальное учреждение культуры "Культурно-досуговый центр Успенское" городского округа Серебряные Пруды Московской области"</t>
  </si>
  <si>
    <t>34 405 707,58 руб/  10 802 107,14 руб</t>
  </si>
  <si>
    <t>952 496,01 руб/       29 266,72 руб</t>
  </si>
  <si>
    <t>5 780 060,62 руб/      4 998 590,74 руб</t>
  </si>
  <si>
    <t>2 123 110,54 руб/ 816 500,30 руб</t>
  </si>
  <si>
    <t>4 343 679,37 руб/      1 498 411,98 руб</t>
  </si>
  <si>
    <t>32 чел.</t>
  </si>
  <si>
    <t>22 434 395,90 руб/    5 162 419,81 руб</t>
  </si>
  <si>
    <t>3 884 726,78 руб/      1 827 123,94 руб</t>
  </si>
  <si>
    <t>9 288 764,61 руб/      3 994 162,53 руб</t>
  </si>
  <si>
    <t>782 644,68 руб/     0,00 руб</t>
  </si>
  <si>
    <t>259 753,18 руб/     0,00 руб</t>
  </si>
  <si>
    <t>75 282 323,51 руб/  31 689 665,63 руб</t>
  </si>
  <si>
    <t>15 766 255,20 руб/    4 114 401,73 руб</t>
  </si>
  <si>
    <t>9 119 063,45 руб/      5 550 427,38 руб</t>
  </si>
  <si>
    <t>7 450 478,39 руб/      3 794 523,39 руб</t>
  </si>
  <si>
    <t>287 333 017,36 руб/ 207 124 546,45 руб</t>
  </si>
  <si>
    <t>36 771 859,38 руб/  14 455 512,40 руб</t>
  </si>
  <si>
    <t>814 662,63 руб/       83 827,33 руб</t>
  </si>
  <si>
    <t>11 354 020,95 руб/ 1 311 147,39 руб</t>
  </si>
  <si>
    <t>902 785,47 руб/     240 110,54 руб</t>
  </si>
  <si>
    <t>5 203 527,96 руб/ 331 614,77 руб</t>
  </si>
  <si>
    <t>52 чел.</t>
  </si>
  <si>
    <t>3 328 931,20 руб/    94 807,64 руб</t>
  </si>
  <si>
    <t>722 705,84 руб/ 9 522,16 руб</t>
  </si>
  <si>
    <t>355, 5 тыс. руб/ 345,4 тыс. руб</t>
  </si>
  <si>
    <t>12 166 389,68 руб/    2 665 408,64 руб</t>
  </si>
  <si>
    <t>45 чел.</t>
  </si>
  <si>
    <t>30.01.2019г</t>
  </si>
  <si>
    <t>Решение Совета депктатов №198/31</t>
  </si>
  <si>
    <t>Исключено на основании Акта инвентаризации от 30.10.2017г</t>
  </si>
  <si>
    <t>Изложено в новой редакции. Кадастровый номер, количество комнат и общая площадь уточнены на основании служебной записки нач. жилищного отдела от 30.11.2018г. Договор соц.найма от 21.01.2013г № 243. Наниматель: Заика Наталья Васильевна</t>
  </si>
  <si>
    <t>Изложено в новой редакции</t>
  </si>
  <si>
    <t>Изложено в новой редакции, уточнено назначение. Акт инвентаризации от 20.12.2018г</t>
  </si>
  <si>
    <t>Изложено в новой редакции, уточнен адрес. Акт инвентаризации от 20.12.2018г</t>
  </si>
  <si>
    <t>Изложено в новой редакции. Акт инвентаризации от 20.12.2018г.</t>
  </si>
  <si>
    <t>Изложено в новой редакции, уточнено назначение</t>
  </si>
  <si>
    <t>Изложено в новой редакции, уточнен адрес и назначение. Акт инвентаризации от 20.12.2018г</t>
  </si>
  <si>
    <t>Изложено в новой редакции, уточнен адрес и назанчение. Акт инвентаризации от 20.12.2018г</t>
  </si>
  <si>
    <t>Изложено в новой редакции. Акт инвентаризации от 20.12.2018г</t>
  </si>
  <si>
    <t>Изложено в новой редакции, уточнено назначение и адрес. Акт инвентаризации от 20.12.2018г</t>
  </si>
  <si>
    <t>Изложено в новой редакции, уточнено адрес. Акт инвентаризации от 20.12.2018г</t>
  </si>
  <si>
    <t>Изложено в новой редакции, уточнено назначение. Акт инвентаризации от 20.12.2018г.</t>
  </si>
  <si>
    <t>Изложено в новой редакции, уточнен адрес. Акт инвентаризации от 20.12.2018г.</t>
  </si>
  <si>
    <t>Изложено в новой редакции, изменено назначение. Акт инвентаризации от 20.12.2018г.</t>
  </si>
  <si>
    <t>Изложено в новой редакции, уточнен адрес и назначение. Акт инвентаризации от 20.12.2018г.</t>
  </si>
  <si>
    <t>Изложено в новой редакции уточнен адрес и назначение. Акт инвентаризации от 20.12.2018г.</t>
  </si>
  <si>
    <t>Изложено в новой редакции, уточнено назначение. Акт инвентразации от 20.12.2018г</t>
  </si>
  <si>
    <t>Решение Совета депутатов № 198/31</t>
  </si>
  <si>
    <t>Особо ценное имущество. Постановление от 11.10.2017г №2225. Исключено, включено в стр. 2714 на основании служебной записки от 12.11.2018г</t>
  </si>
  <si>
    <t>Оперативное управление МОУ "Серебряно-Прудская СОШ имени маршала В.И. Чуйкова" Постановление от 09.01.2019г №22</t>
  </si>
  <si>
    <t>Оперативное управление МОУ "Подхоженская средняя общеобразовательная школа". Постановление от 15.01.2019г №44</t>
  </si>
  <si>
    <t>Ноутбук с сертифицированными средствами защиты информации. Мышь оптическая. Гарнитура. Оптический носитель. Изготовленный на сертифицированном производстве и имеющий уникальный номер, с записанным сертифицированным дистрибутивом</t>
  </si>
  <si>
    <t>Акт приёма-передачи</t>
  </si>
  <si>
    <t>Акт о приёме-передачи объектов нефинансовых активов от 22.12.2017г №124/2</t>
  </si>
  <si>
    <t>Оперативное управление МОУ "Серебряно-Прудская средняя общеобразовательная школа имени маршала В.И.Чуйкова". Постановление от 17.01.2019г №61</t>
  </si>
  <si>
    <t>Акт о приёме-передачи объектов нефинансовых активов от 22.12.2017г №113</t>
  </si>
  <si>
    <t>15.12.2016г</t>
  </si>
  <si>
    <t>Акт о приёме-передачи объектов нефинансовых активов от 15.12.2016г №0000459</t>
  </si>
  <si>
    <t>Интерактивная доска Touch Board Plus 1088</t>
  </si>
  <si>
    <t>31.08.2018г</t>
  </si>
  <si>
    <t>Контракт № 084860000741800232-0102905-03 от 03.08.2018г. Товарная накладная от 31.08.2018г № ИНТ-2408/6-2018</t>
  </si>
  <si>
    <t>Панель и нтерактивная 55" LED Interactive TV в комплекте со специализированным крепежом</t>
  </si>
  <si>
    <t>Проектор Epson EB-685w в комплекте с комплектом коммутации и крепежа</t>
  </si>
  <si>
    <t>Автогородок, площадка размером 307 кв.м. с асфальтовым покрытием, ограждение 12 металлических решетчатых панелей с калиткой</t>
  </si>
  <si>
    <t>11.10.2018г</t>
  </si>
  <si>
    <t>Муниципальный контракт от 11.09.2018г № 0848600007418000272-0102905-01. Акт сдачи-приемки работ от 11.10.2018г</t>
  </si>
  <si>
    <t>03.10.2018г</t>
  </si>
  <si>
    <t>Муниципальный контракт от 16.07.2018г № 0848600007418000213. Акт сдачи-приемки работ по сносу аварийного дома от 03.10.2018г б/н</t>
  </si>
  <si>
    <t>Оперативное управление МОУ "Совхозная средняя общеобразовательная школа". Постановление от 15.01.2019г №39</t>
  </si>
  <si>
    <t>Тренажёр уличный МГН40-спорт.площадка</t>
  </si>
  <si>
    <t>10.11.2017г</t>
  </si>
  <si>
    <t>Муниципальный контракт от 28.08.2017г № 0848300041817000330. Акт о приеме-передачи объектов нефинансовых активов от 10.11.2017г №243</t>
  </si>
  <si>
    <t>Муниципальный контракт от 28.08.2017г № 0848300041817000330. Акт о приеме-передачи объектов нефинансовых активов от 10.11.2017г №244</t>
  </si>
  <si>
    <t>Тренажёр уличный ШЖ40-спорт.площадка</t>
  </si>
  <si>
    <t>Муниципальный контракт от 28.08.2017г № 0848300041817000330. Акт о приеме-передачи объектов нефинансовых активов от 10.11.2017г №242</t>
  </si>
  <si>
    <t>Муниципальный контракт от 28.08.2017г № 0848300041817000330. Акт о приеме-передачи объектов нефинансовых активов от 10.11.2017г №238</t>
  </si>
  <si>
    <t>Муниципальный контракт от 28.08.2017г № 0848300041817000330. Акт о приеме-передачи объектов нефинансовых активов от 10.11.2017г №240</t>
  </si>
  <si>
    <t>Муниципальный контракт от 28.08.2017г № 0848300041817000330. Акт о приеме-передачи объектов нефинансовых активов от 10.11.2017г №241</t>
  </si>
  <si>
    <t>Муниципальный контракт от 28.08.2017г № 0848300041817000330. Акт о приеме-передачи объектов нефинансовых активов от 10.11.2017г №239</t>
  </si>
  <si>
    <t>Акт о приеме-передачи объектов нефинансовых активов от 22.12.2017г №122</t>
  </si>
  <si>
    <t>Проектор Epson EB-680 со специализированным креплением</t>
  </si>
  <si>
    <t>Договор от 14.06.2018г №5. Универсальный передаточный документ от 17.09.2018г №ИД180917/41</t>
  </si>
  <si>
    <t>Интерактивная доска Touch Board Plus 1078</t>
  </si>
  <si>
    <t>Оперативное управление МДОУ "Детский сад комбинированного вида №5 "Журавушка". Постановление от 17.01.2019г №65</t>
  </si>
  <si>
    <t>Оперативное управление МДОУ "Детский сад общеразвивающего вида №13 "Звездочка". Постановление от 17.01.2019г №69</t>
  </si>
  <si>
    <t>Паравозик "Чебурашка" тип-1 с вагоном</t>
  </si>
  <si>
    <t xml:space="preserve">30.07.2018г </t>
  </si>
  <si>
    <t>Договор от 05.07.2018г №01/07/ДС2-2018. Товарная накладная от 30.07.2018г №30/07-01</t>
  </si>
  <si>
    <t>Игровой комплек "Виктория 1"</t>
  </si>
  <si>
    <t>Оперативное управление МОУ "Клёмовская средняя общеобразовательная школа". Постановление от 15.01.2019г №42</t>
  </si>
  <si>
    <t>Акт о приеме-передаче объектов нефинансовых активов от 22.12.2017г №118</t>
  </si>
  <si>
    <t>Оперативное управление МДОУ "ЦРР - детский сад №2 "Солнышко". Постановление от 15.01.2019г №43</t>
  </si>
  <si>
    <t>Игровой комплекс "Грузовик"</t>
  </si>
  <si>
    <t>Договор от 14.07.2017г №ИНТ-1407/14-2017.Универсальный передаточный документ от 21.12.2017г № ИНТ-2112/4-2017</t>
  </si>
  <si>
    <t>Беседка многофункциональная игровая "Дом" (250*173*194 см)</t>
  </si>
  <si>
    <t>Оперативное управление МУ ДО  "Серебряно-Прудская детско-юношеская спортивная школа "Юность". Постановление от 17.01.2019г №77</t>
  </si>
  <si>
    <t>18.1.25.0004</t>
  </si>
  <si>
    <t>Муниципальный контракт №0848600007418000317-0072205-01 от 29.10.2018г Товарная накладная от 28.11.2018г №80</t>
  </si>
  <si>
    <t>Автобус Foxbus модификация 22501В-01. паспорт 52 ОХ 355297, VIN X8922501BJ0ES1048</t>
  </si>
  <si>
    <t xml:space="preserve">Акт о приёме-передаче объектов нефинансовых активов от 22.12.2017г №116 </t>
  </si>
  <si>
    <t>Оперативное управление МОУ "Петровская средняя общеобразовательная школа". Постановление от 17.01.2019г №70</t>
  </si>
  <si>
    <t>Ограждение из металлических труб гобщей протяженностью 288,5 метров с двуми воротами и двумя калитками</t>
  </si>
  <si>
    <t>19.01.2018г</t>
  </si>
  <si>
    <t>Муниципальный контракт № 0848300041817000367-0102536-01 от 06.10.2017г. Акт об оприходовании основных средств от 19.01.2018г №1</t>
  </si>
  <si>
    <t>Оперативное управление МДОУ "Детский сад общеразвивающего вида "Малышок". Постановление от 17.01.2019г №72</t>
  </si>
  <si>
    <t>КП в сборе (Системный блок Intel P s 1150/500 Gb/8 Gb/DVD-RW, Монитор Dell 24"</t>
  </si>
  <si>
    <t>24.05.2017г</t>
  </si>
  <si>
    <t>Счет №А-00000103 от 24.05.2017г. Товарная накладная от 24.05.2017г №118</t>
  </si>
  <si>
    <t>Оперативное управление МДОУ "Детский сад д. Коровино". Постановление от 17.01.2019г №71</t>
  </si>
  <si>
    <t>Особо ценное движимое имущество. Постановление от 17.01.2019г №80</t>
  </si>
  <si>
    <t>Оперативное управление МУК "КДЦ Узуновское городского округа Серебряные Пруды Московской области". Постановление от 17.01.2019г №66</t>
  </si>
  <si>
    <t>10.10.2018г</t>
  </si>
  <si>
    <t>Контракт от 04.09.2018г № 0848600007418000258-0055668-01. Товарная накладная от 10.10.2018г №282</t>
  </si>
  <si>
    <t>08.10.2018г</t>
  </si>
  <si>
    <t>Контракт от 14.09.2018г №21. Акт сдачи-приемки услуг от 08.10.2018г б/н</t>
  </si>
  <si>
    <t>Громкоговорящая связь (усилитель мощн. Звуковой, уличн. громкоговорит, ИБП, кабель, микрофон)</t>
  </si>
  <si>
    <t>Металлообнаружитель стационарный однозонный, ширина прохода 1000 мм</t>
  </si>
  <si>
    <t xml:space="preserve">Металический гараж из оцинкованного листа, цвет металлик, размеры 5,54*3*2,50 </t>
  </si>
  <si>
    <t>ПК в сборе (системный блок Intel P s 1150/500Gb/8Gb/DVD-RW, монитор Dell 24")</t>
  </si>
  <si>
    <t>23.05.2017г</t>
  </si>
  <si>
    <t>Счет от 23.05.2017г №А-000000096, товарная накладная от 23.05.2017г №111</t>
  </si>
  <si>
    <t>Оперативное управление МДОУ "Детский сад общеразвивающего вида "Ягодка". Постановление от 15.01.2019г №36</t>
  </si>
  <si>
    <t>Компьютер в сборе (i3/500Gb/8Gb/DVD-RW, Win10 PRO, клавиатура, мышь, монитор Dell 22")</t>
  </si>
  <si>
    <t>14.1.34.0065</t>
  </si>
  <si>
    <t>06.03.2018г</t>
  </si>
  <si>
    <t>Счет  №А-000000024, товарная накладная от 06.03.2018г №26</t>
  </si>
  <si>
    <t>Оперативное управление Отдел культуры и делам молодежи администрации го Серебряные Пруды. Постановление от 17.01.2019г №62</t>
  </si>
  <si>
    <t>Исключить согласно Положению о порядке ведения Реестра, утвержденного Решение Совета депутатов от 21.07.2016г № 817/79</t>
  </si>
  <si>
    <t>Оперативное управление МУ "Централизованная бухгалтерия городского округа Серебряные Пруды "</t>
  </si>
  <si>
    <t>Оперативное управление МУ "Централизованная бухгалтерия городского округа Серебряные Пруды". Постановление от 13.07.2016г №1414</t>
  </si>
  <si>
    <t>Оперативное управление МУ "Централизованная бухгалтерия городского округа Серебряные Пруды"</t>
  </si>
  <si>
    <t>Оперативное управление МУК "КДЦ Мочильское городского округа Серебряные Пруды Московской области". Постановление от 17.01.2019г №79</t>
  </si>
  <si>
    <t>Узел управления и учета для центрального отопления</t>
  </si>
  <si>
    <t>Контракт от 21.07.2017г №0848300041817000279-0416742-02. Акт от 20.10.2017г № 362</t>
  </si>
  <si>
    <t>Радиосистема SNURE BLХ288/PG58</t>
  </si>
  <si>
    <t>02.11.2017г</t>
  </si>
  <si>
    <t>Договор от 01.11.2017г № 15. Товарная накладная от 02.11.2017г №28</t>
  </si>
  <si>
    <t>Оперативное управление МУ "Централизованная бухгалтерия городского округа Серебряные Пруды". Постановление от 17.01.2019г №67</t>
  </si>
  <si>
    <t>05.1040091</t>
  </si>
  <si>
    <t>05.1040024</t>
  </si>
  <si>
    <t>акт ввода в эксплуатации №000982</t>
  </si>
  <si>
    <t>Компьютер в сборе Intel Core</t>
  </si>
  <si>
    <t>05.1040105</t>
  </si>
  <si>
    <t>Компьютер в сборе Intel Core i3/DDR3 8Гб/ HDD 500 Гб/В</t>
  </si>
  <si>
    <t>05.1340002</t>
  </si>
  <si>
    <t>Компьютер в сборе Криста ПРО</t>
  </si>
  <si>
    <t>05.1040096</t>
  </si>
  <si>
    <t>Сервер Xeon E2600V3/Предустановочная система Microsoft</t>
  </si>
  <si>
    <t>Акт о приеме-передаче объектов нефинансовых активов от 23.05.2016г №000051</t>
  </si>
  <si>
    <t>МФУ HP LaserJet MFP M521dn</t>
  </si>
  <si>
    <t>Счет № А-0000213, товарная накладная от 20.11.2017г №231</t>
  </si>
  <si>
    <t>ПК в сборе (Системный блок i5/8Gb/500Gb/DVD-RW/Win 10Pro/клавиатура, мышь/, Монитор 24" Dell</t>
  </si>
  <si>
    <t>23.11.2017г</t>
  </si>
  <si>
    <t>Договор № 20 от 14.11.2017г, товарная накладная от 23.11.2017г №230</t>
  </si>
  <si>
    <t>23.10.2018г</t>
  </si>
  <si>
    <t>Контракт от 18.10.2018г №319716, товарная накладная от 23.10.2018г №149</t>
  </si>
  <si>
    <t>Оперативное управление МАУ "Парк культуры и отдыха го Серебряные Пруды "Серебряный". Постановление от 30.01.2019г №123</t>
  </si>
  <si>
    <t>Кабинка для переодевания</t>
  </si>
  <si>
    <t>19.101.18.0084</t>
  </si>
  <si>
    <t>19.101.18.0085</t>
  </si>
  <si>
    <t>Договор от 17.06.2017г № 31705092869. Акт сдачи-приемки работ от 17.07.2017г б/н</t>
  </si>
  <si>
    <t>Вышка для спасателей</t>
  </si>
  <si>
    <t>19.101.18.0086</t>
  </si>
  <si>
    <t>Причал для лодок</t>
  </si>
  <si>
    <t>19.101.18.0087</t>
  </si>
  <si>
    <t>Домик для спасателей</t>
  </si>
  <si>
    <t>19.101.18.0088</t>
  </si>
  <si>
    <t>Деревянная беседка (пляж)</t>
  </si>
  <si>
    <t>19.101.18.0089</t>
  </si>
  <si>
    <t>19.101.18.0090</t>
  </si>
  <si>
    <t>Деревянный настил (пляж)</t>
  </si>
  <si>
    <t>19.101.18.0091</t>
  </si>
  <si>
    <t>Уличная стационарная сцена</t>
  </si>
  <si>
    <t>19.101.18.0092</t>
  </si>
  <si>
    <t>Договор от 08.06.2017г № 31704963817. Акт сдачи-приемки работ от 21.07.2017г б/н</t>
  </si>
  <si>
    <t>Трибуна металлическая сборно-разборная на 430 мест</t>
  </si>
  <si>
    <t>19.101.18.0093</t>
  </si>
  <si>
    <t xml:space="preserve">Домик администрации </t>
  </si>
  <si>
    <t>19.101.18.0094</t>
  </si>
  <si>
    <t>20.06.2017г</t>
  </si>
  <si>
    <t>Договор от 22.05.2017г № 31704934319. Акт сдачи-приемки работ от 20.06.2017г б/н</t>
  </si>
  <si>
    <t>Деревянная беседка</t>
  </si>
  <si>
    <t>19.101.18.0095</t>
  </si>
  <si>
    <t>Ограждение детской площадки</t>
  </si>
  <si>
    <t>19.101.18.0096</t>
  </si>
  <si>
    <t>19.101.18.0097</t>
  </si>
  <si>
    <t>Договор от 09.06.2017г № 31705099139. Акт сдачи-приемки работ от 03.07.2017г б/н</t>
  </si>
  <si>
    <t>Спортивно-развивающий комплекс WorkOUT</t>
  </si>
  <si>
    <t>19.101.18.0074</t>
  </si>
  <si>
    <t>Акт о приеме-передаче объектов нефинансовых активов от 10.07.2018г №000066</t>
  </si>
  <si>
    <t>Сеть уличного освещения парка "Серебряный"</t>
  </si>
  <si>
    <t>19.101.24.0003</t>
  </si>
  <si>
    <t>31.10.2017г</t>
  </si>
  <si>
    <t>Договор от 08.09.2017г № 123168. Акт сдачи-приемки работ от 31.10.2017г б/н</t>
  </si>
  <si>
    <t>Автобус Форд Транзит 222702, 2013г</t>
  </si>
  <si>
    <t>Автомобус ПАЗ-32053</t>
  </si>
  <si>
    <t>Автомобильная дорога д. Барыково, участок 5. Протяженностью 181м</t>
  </si>
  <si>
    <t>Земельный участок, категория земли - земли сельскохозяйственного назначения, ВРИ - для сельскохозяйственного использования</t>
  </si>
  <si>
    <t>Географические координаты начала  и окончания дороги 54,559488 38,788391 - 54,560726 38,779937</t>
  </si>
  <si>
    <t>Географические координаты начала  и окончания дороги 54,560678 38,781978 - 54,561873 38,777665</t>
  </si>
  <si>
    <t>Географические координаты начала  и окончания дороги 54,564647 38,799037 - 54,566264 38,791591</t>
  </si>
  <si>
    <t>Географические координаты начала  и окончания дороги 54,518722 38,503199 - 54,520054 38,499959</t>
  </si>
  <si>
    <t>Географические координаты начала  и окончания дороги 54,525185 38,498156 - 54,526206 38,496311</t>
  </si>
  <si>
    <t>Географические координаты начала  и окончания дороги 54,527651 38,504357 - 54,529338 38,50646</t>
  </si>
  <si>
    <t>Изменения внесены на основании служебной записки б/н от 14.06.2018г. Географические координаты начала  и окончания дороги 54,528155 38,505725 - 54,52762 38,506777</t>
  </si>
  <si>
    <t>Географические координаты начала  и окончания дороги 54,524033 38,502142 - 54,52648 38,506358</t>
  </si>
  <si>
    <t xml:space="preserve">Географические координаты начала  и окончания дороги 54,519537 38,504052 - 54,521468 38,504846  </t>
  </si>
  <si>
    <t xml:space="preserve">Географические координаты начала  и окончания дороги 54,528715 38,43543 - 54,528554 38,432362 </t>
  </si>
  <si>
    <t xml:space="preserve">Географические координаты начала  и окончания дороги 54,548087 38,736418 - 54,550116 38,744229 </t>
  </si>
  <si>
    <t xml:space="preserve">Географические координаты начала  и окончания дороги 54,546575 38,737705 - 54,547708 38,739894 </t>
  </si>
  <si>
    <t xml:space="preserve">Географические координаты начала  и окончания дороги 54,521404 38,428519 - 54,523764 38,427755 </t>
  </si>
  <si>
    <t xml:space="preserve">Географические координаты начала  и окончания дороги 54,511125 38,560006 - 54,511113 38,55668 </t>
  </si>
  <si>
    <t xml:space="preserve">Географические координаты начала  и окончания дороги 54,508223 38,563869 - 54,505407 38,562367 </t>
  </si>
  <si>
    <t xml:space="preserve">Географические координаты начала  и окончания дороги 54,508061 38,56404 - 54,506154 38,577666 </t>
  </si>
  <si>
    <t xml:space="preserve">Географические координаты начала  и окончания дороги  54,507509 38,565006 - 54,505179 38,575456 </t>
  </si>
  <si>
    <t xml:space="preserve">Географические координаты начала  и окончания дороги 54,507789 38,565059 - 54,506126 38,563933 </t>
  </si>
  <si>
    <t xml:space="preserve">Географические координаты начала  и окончания дороги 54,51223 38,561487 - 54,512087 38,563783 </t>
  </si>
  <si>
    <t xml:space="preserve">Географические координаты начала  и окончания дороги 54,513551 38,566293 - 54,51385 38,57257 </t>
  </si>
  <si>
    <t xml:space="preserve">Географические координаты начала  и окончания дороги 54,513027 38,575295 - 54,513401 38,57404 </t>
  </si>
  <si>
    <t xml:space="preserve">Географические координаты начала  и окончания дороги 54,512037 38,575885 - 54,51347 38,575402 </t>
  </si>
  <si>
    <t xml:space="preserve">Географические координаты начала  и окончания дороги 54,511919 38,572205 - 54,510648 38,572023 </t>
  </si>
  <si>
    <t xml:space="preserve">Географические координаты начала  и окончания дороги 54,511751 38,574329 - 54,509483 38,574351 </t>
  </si>
  <si>
    <t xml:space="preserve">Географические координаты начала  и окончания дороги 54,476532 38,417573 - 54,489743 38,420085 </t>
  </si>
  <si>
    <t xml:space="preserve">Географические координаты начала  и окончания дороги 54,487347 38,416169 - 54,488238 38,414581 </t>
  </si>
  <si>
    <t xml:space="preserve">Географические координаты начала  и окончания дороги 54,476801 38,41737 - 54,477175 38,425374 </t>
  </si>
  <si>
    <t xml:space="preserve">Географические координаты начала  и окончания дороги 54,4769 38,426146 - 54,475492 38,42591 </t>
  </si>
  <si>
    <t xml:space="preserve">Географические координаты начала  и окончания дороги 54,47624 38,427133 - 54,477723 38,43076 </t>
  </si>
  <si>
    <t xml:space="preserve"> Географические координаты начала  и окончания дороги  54,477761 38,427949 - 54,477125 38,429236</t>
  </si>
  <si>
    <t xml:space="preserve">Географические координаты начала  и окончания дороги 54,477736 38,428099 - 54,478135 38,429665 </t>
  </si>
  <si>
    <t xml:space="preserve">Географические координаты начала  и окончания дороги 54,522118 38,399143 - 54,524808 38,396526  </t>
  </si>
  <si>
    <t xml:space="preserve">Географические координаты начала  и окончания дороги 54,563191 38,505322 - 54,562973 38,501481 </t>
  </si>
  <si>
    <t>Географические координаты начала  и окончания дороги 54,562853 38,509481 - 54,565646 38,510039</t>
  </si>
  <si>
    <t>Географические координаты начала  и окончания дороги 54,562221 38,510933 - 54,560317 38,510772</t>
  </si>
  <si>
    <t>Географические координаты начала  и окончания дороги 54,568209 38,507325 - 54,55443 38,509814</t>
  </si>
  <si>
    <t>Географические координаты начала  и окончания дороги 54,293265 38,677951 - 54,293403 38,675268</t>
  </si>
  <si>
    <t>Географические координаты начала  и окончания дороги 54,494184 38,628729 - 54,494196 38,626819</t>
  </si>
  <si>
    <t>Географические координаты начала  и окончания дороги 54,491875 38,639608 - 54,493284 38,64877</t>
  </si>
  <si>
    <t>Географические координаты начала  и окончания дороги 54,494306 38,651383 - 54,494664 38,653003</t>
  </si>
  <si>
    <t>Географические координаты начала  и окончания дороги 54,495097 38,658716 - 54,4961 38,658802</t>
  </si>
  <si>
    <t>Географические координаты начала  и окончания дороги 54,493981 38,642923 - 54,492193 38,644554</t>
  </si>
  <si>
    <t>Географические координаты начала  и окончания дороги 54,49271 38,644125 - 54,492567 38,638943</t>
  </si>
  <si>
    <t>Географические координаты начала  и окончания дороги 54,492729 38,644243 - 54,493826 38,648384</t>
  </si>
  <si>
    <t>Географические координаты начала  и окончания дороги 54,493421 38,643524 - 54,494468 38,647687</t>
  </si>
  <si>
    <t>Географические координаты начала  и окончания дороги 54,574748 38,515822 - 54,578466 38,522045</t>
  </si>
  <si>
    <t>Географические координаты начала  и окончания дороги 54,460482 38,494847 - 54,461006 38,499836</t>
  </si>
  <si>
    <t>Географические координаты начала  и окончания дороги 54,460999 38,500351 - 54,462509 38,501585</t>
  </si>
  <si>
    <t xml:space="preserve">Географические координаты начала  и окончания дороги 54,461636 38,501724 - 54,456621 38,502303 </t>
  </si>
  <si>
    <t>Географические координаты начала  и окончания дороги 54,457143 38,498873 - 54,456993 38,495751</t>
  </si>
  <si>
    <t>Географические координаты начала  и окончания дороги 54,457735 38,495697 - 54,457928 38,493058</t>
  </si>
  <si>
    <t>Географические координаты начала  и окончания дороги 54,479323 38,493145 - 54,479217 38,50072</t>
  </si>
  <si>
    <t>Географические координаты начала  и окончания дороги 54,47931 38,500774 - 54,47931 38,502994</t>
  </si>
  <si>
    <t>Географические координаты начала  и окончания дороги 54,479204 38,500741 - 54,478762 38,499218</t>
  </si>
  <si>
    <t>Географические координаты начала  и окончания дороги 54,613027 38,525556 - 54,614118 38,52944</t>
  </si>
  <si>
    <t>Географические координаты начала  и окончания дороги 54,57736 38,714496 - 54,576194 38,715713</t>
  </si>
  <si>
    <t>Географические координаты начала  и окончания дороги 54,580892 38,691017 - 54,581657 38,687938</t>
  </si>
  <si>
    <t>Географические координаты начала  и окончания дороги 54,589224 38,680181 - 54,587141 38,684945</t>
  </si>
  <si>
    <t>Географические координаты начала  и окончания дороги 54,593451 38,681501 - 54,594153 38,683067</t>
  </si>
  <si>
    <t>Географические координаты начала  и окончания дороги 54,593457 38,681179 - 54,592885 38,678260</t>
  </si>
  <si>
    <t>Географические координаты начала  и окончания дороги 54,580918 38,690823 - 54,5784 38,688484</t>
  </si>
  <si>
    <t>Географические координаты начала  и окончания дороги 54,584245 38,694814 - 54,579357 38,690254</t>
  </si>
  <si>
    <t>Географические координаты начала  и окончания дороги 54,583766 38,694395 - 54,585843 38,696863</t>
  </si>
  <si>
    <t>Географические координаты начала  и окончания дороги 54,585855 38,69682 - 54,587583 38,697195</t>
  </si>
  <si>
    <t>Географические координаты начала  и окончания дороги 54,587714 38,688881 - 54,588547 38,687947</t>
  </si>
  <si>
    <t>Географические координаты начала  и окончания дороги 54,5877161 38,685040 - 54,588043 38,686209</t>
  </si>
  <si>
    <t>Географические координаты начала  и окончания дороги 54,586943 38,689557 - 54,586943 38,691595</t>
  </si>
  <si>
    <t>Географические координаты начала  и окончания дороги 54,58772 39,689117 - 54,587745 38,695779</t>
  </si>
  <si>
    <t>Географические координаты начала  и окончания дороги 54,587807 38,688301 - 54,588298 38,685126</t>
  </si>
  <si>
    <t>Географические координаты начала  и окончания дороги 54,53756 38,533022 - 54,531740 38,531295</t>
  </si>
  <si>
    <t>Географические координаты начала  и окончания дороги 54,539639 38,532647 - 54,538096 38,533956</t>
  </si>
  <si>
    <t>Географические координаты начала  и окончания дороги 54,540735 38,529922 - 54,542876 38,528248</t>
  </si>
  <si>
    <t>Географические координаты начала  и окончания дороги 54,544519 38,533548 - 54,543125 38,526896</t>
  </si>
  <si>
    <t>Географические координаты начала  и окончания дороги 54,543261 38,533613 - 54,547506 38,533720</t>
  </si>
  <si>
    <t>Географические координаты начала  и окончания дороги 54,536303 38,544577 - 54,53649 38,545264</t>
  </si>
  <si>
    <t>Географические координаты начала  и окончания дороги 54,514411 38,426152 - 54,51481 38,426291</t>
  </si>
  <si>
    <t>Географические координаты начала  и окончания дороги 54.515582 38,429864 - 54,514741 38,428673</t>
  </si>
  <si>
    <t>Географические координаты начала  и окончания дороги 54.516432 38,427612 - 54,515947 38,426931</t>
  </si>
  <si>
    <t>Географические координаты начала  и окончания дороги 54,520104 38,426496 - 54,521352 38,428481</t>
  </si>
  <si>
    <t>Географические координаты начала  и окончания дороги 54,512438 38,420893 - 54,506906 38,427331</t>
  </si>
  <si>
    <t>Географические координаты начала  и окончания дороги 54,510929 38,421052 - 54,507787 38,427185</t>
  </si>
  <si>
    <t>Географические координаты начала  и окончания дороги 54,477663 38,537784 - 54,480038 38,538567</t>
  </si>
  <si>
    <t>Географические координаты начала  и окончания дороги  54,481437 38,552547 - 54,482706 38,549919</t>
  </si>
  <si>
    <t>Географические координаты начала  и окончания дороги 54,482718 38,549929 - 54,484482 38,548309</t>
  </si>
  <si>
    <t>Географические координаты начала  и окончания дороги 54,484133 38,548481 - 54,485242 38,545133</t>
  </si>
  <si>
    <t>Географические координаты начала  и окончания дороги 54,481964 38,547097 - 54,483803 38,545541</t>
  </si>
  <si>
    <t>Географические координаты начала  и окончания дороги 54,482814 38,546413 - 54,48101 38,547540</t>
  </si>
  <si>
    <t>Географические координаты начала  и окончания дороги 54,483631 38,545684 - 54,482191 38,539558</t>
  </si>
  <si>
    <t>Географические координаты начала  и окончания дороги 54,480992 38,540381 - 54,482151 38,539372</t>
  </si>
  <si>
    <t>Географические координаты начала  и окончания дороги 54,480187 38,538857 - 54,482444 38,537022</t>
  </si>
  <si>
    <t>Географические координаты начала  и окончания дороги 54,396321 38,583350 - 54,372425 38,571591</t>
  </si>
  <si>
    <t>Географические координаты начала  и окончания дороги 54,381394 38,572278 - 54,381895 38,581,290</t>
  </si>
  <si>
    <t>Географические координаты начала  и окончания дороги 54,375732 38,570389 - 54,377336 38,564381</t>
  </si>
  <si>
    <t>Географические координаты начала  и окончания дороги 54,394858 38,602224 - 54,387493 38,604241</t>
  </si>
  <si>
    <t>Географические координаты начала  и окончания дороги 54,485804 38,707610 - 54,489351 38,681809</t>
  </si>
  <si>
    <t>Географические координаты начала  и окончания дороги 54,519326 38,507864 - 54,506682 38,532025</t>
  </si>
  <si>
    <t>Географические координаты начала  и окончания дороги 54,460294 38,673121 - 54,465944 38,685867</t>
  </si>
  <si>
    <t>Географические координаты начала  и окончания дороги 54,593730 38,623036 - 54,588509 38,610279</t>
  </si>
  <si>
    <t>Географические координаты начала  и окончания дороги 54,627215 38,553685 - 54,636166 38,536526</t>
  </si>
  <si>
    <t>Географические координаты начала  и окончания дороги 54,616384 38,664846 - 54,626893 38,706388</t>
  </si>
  <si>
    <t>Географические координаты начала  и окончания дороги 54,627267 38,696990 - 54,624478 38,700187</t>
  </si>
  <si>
    <t>Географические координаты начала  и окончания дороги 54,582313 38,761049 - 54,575507 38,753668</t>
  </si>
  <si>
    <t>Географические координаты начала  и окончания дороги 54,422069 38,892005 - 54,415242 38,888843</t>
  </si>
  <si>
    <t>Географические координаты 54.49078 38.46475</t>
  </si>
  <si>
    <t>Географические координаты 54.45564 38.68092</t>
  </si>
  <si>
    <t>Географические координаты 54.417808 38.741698</t>
  </si>
  <si>
    <t>Географические координаты 54.526027 38.443765</t>
  </si>
  <si>
    <t>Географические координаты 54.445477 38.659235</t>
  </si>
  <si>
    <t>Географические координаты 54.409094 38.709559</t>
  </si>
  <si>
    <t>Географические координаты 54.502998 38.595024</t>
  </si>
  <si>
    <t>Географические координаты 54.535277 38.513059</t>
  </si>
  <si>
    <t>Географические координаты начала  и окончания дороги 54,565589 38,762169 - 54,565717 38,760466</t>
  </si>
  <si>
    <t>Географические координаты начала  и окончания дороги 54,565717 38,760629 - 54,564979 38,761892</t>
  </si>
  <si>
    <t>Географические координаты начала  и окончания дороги 54,565679 38,760476 - 54,565001 38,759319</t>
  </si>
  <si>
    <t>Географические координаты начала  и окончания дороги 54,597670 38,742839 - 54,597017 38,744277</t>
  </si>
  <si>
    <t>Географические координаты начала  и окончания дороги 54,59767 38,742785 - 54,596228 38,740232</t>
  </si>
  <si>
    <t>Географические координаты начала  и окончания дороги 54,596309 39,742539 - 54,596004 38,744384</t>
  </si>
  <si>
    <t>Географические координаты начала  и окончания дороги 54,597564 39,738462 - 54,596551 38,738483</t>
  </si>
  <si>
    <t>Географические координаты начала  и окончания дороги 54,59767 38,738569 - 54,596489 38,734020</t>
  </si>
  <si>
    <t>Географические координаты начала  и окончания дороги 54,609937 38,743333 - 54,605010 38,739406</t>
  </si>
  <si>
    <t>Географические координаты начала  и окончания дороги 54,604923 38,739416 - 54,603288 38,740328</t>
  </si>
  <si>
    <t>Географические координаты начала  и окончания дороги 54,602139 38,745993 - 54,601922 38,743012</t>
  </si>
  <si>
    <t>Географические координаты начала  и окончания дороги 54,489299 38,465973 - 54,488757 38,462905</t>
  </si>
  <si>
    <t>Географические координаты начала  и окончания дороги 54,488919 38,469331 - 54,489068 38,471499</t>
  </si>
  <si>
    <t>Географические координаты начала  и окончания дороги 54,489168 38,471155 - 54,489959 38,471466</t>
  </si>
  <si>
    <t>Географические координаты начала  и окончания дороги 54,492458 38,462690 - 54,491517 38,459901</t>
  </si>
  <si>
    <t>Географические координаты начала  и окончания дороги 54,496857 38,456811 - 54,498153 38,459514</t>
  </si>
  <si>
    <t>Географические координаты начала  и окончания дороги 54,462159 38,488154 - 54,464017 38,486159</t>
  </si>
  <si>
    <t>Географические координаты начала  и окончания дороги 54,462558 38,485472 - 54,462084 38,485193</t>
  </si>
  <si>
    <t>Географические координаты начала  и окончания дороги 54,462982 38,488776 - 54,460919 38,487710</t>
  </si>
  <si>
    <t>Географические координаты начала  и окончания дороги 54,533815 38,458566 - 54,534773 38,460518</t>
  </si>
  <si>
    <t>Географические координаты начала  и окончания дороги 54,575499 38,809138 - 54,575642 38,807367</t>
  </si>
  <si>
    <t>Географические координаты начала  и окончания дороги 54,57562 38,807367 - 54,576513 38,809180</t>
  </si>
  <si>
    <t>Географические координаты начала  и окончания дороги 54,622767 38,558688 - 54,621811 38,556263</t>
  </si>
  <si>
    <t>Географические координаты начала  и окончания дороги 54,370239 38,733094 - 54,371251 38,728416</t>
  </si>
  <si>
    <t>Географические координаты начала  и окончания дороги 54,365301 38,738866 - 54,366551 38,743672</t>
  </si>
  <si>
    <t>Географические координаты начала  и окончания дороги 54.270682 38,673912 - 54,269942 38,673655</t>
  </si>
  <si>
    <t>Географические координаты начала  и окончания дороги 54,27399 38,677496 - 54,273319 38,678054</t>
  </si>
  <si>
    <t>Географические координаты начала  и окончания дороги 54,290134 38,643901 - 54,29165 38,642549</t>
  </si>
  <si>
    <t>Географические координаты начала  и окончания дороги 54,378836 38,671837 - 54,378874 38,673854</t>
  </si>
  <si>
    <t>Географические координаты начала  и окончания дороги 54,377774 38,664155 - 54,377961 38,666516</t>
  </si>
  <si>
    <t>Географические координаты начала  и окончания дороги 54.358812 38,723742 - 54,359524 38,725330</t>
  </si>
  <si>
    <t>Географические координаты начала  и окончания дороги 54,5354 38,827939 - 54,528951 38,832681</t>
  </si>
  <si>
    <t>Географические координаты начала  и окончания дороги 54,53057 38,845363 - 54,530246 38,845298</t>
  </si>
  <si>
    <t>Географические координаты начала  и окончания дороги 54,616622 38,606562 - 54,609601 38,611476</t>
  </si>
  <si>
    <t>Географические координаты начала  и окончания дороги 54,613665 38,607506 - 54,609328 38,610575</t>
  </si>
  <si>
    <t>Географические координаты начала  и окончания дороги 54,609204 38,61039 - 54,610225 38,613083</t>
  </si>
  <si>
    <t>Географические координаты начала  и окончания дороги 54.61632 38,609242 - 54,616655 38,613040</t>
  </si>
  <si>
    <t>Географические координаты начала  и окончания дороги 54.616419 38,609017 - 54.615959 38,607064</t>
  </si>
  <si>
    <t>Географические координаты начала  и окончания дороги 54,614561 38,611216 - 54,614443 38,61245</t>
  </si>
  <si>
    <t>Географические координаты начала  и окончания дороги 54,609429 38,613437 - 54,60979 38,616827</t>
  </si>
  <si>
    <t>Географические координаты 54.38578 38.77239</t>
  </si>
  <si>
    <t>Географические координаты 54.54568 38.46307</t>
  </si>
  <si>
    <t>Географические координаты 54.63086 38.60931</t>
  </si>
  <si>
    <t>Географические координаты 54.615524 38.550786</t>
  </si>
  <si>
    <t>Географические координаты 54.536052 38.812457</t>
  </si>
  <si>
    <t>Географические координаты 54.538853 38.661779</t>
  </si>
  <si>
    <t>Географические координаты 54.368466 38.733772</t>
  </si>
  <si>
    <t>Географические координаты 54.33422 38.67828</t>
  </si>
  <si>
    <t>Соглашение от 13.02.2019г №8 о размещении системы в здании Каширского территориального управления Силами и Средствами ГКУ МО Мособлпожспас  до 12.02.2020г</t>
  </si>
  <si>
    <t>Московская область, Серебряно-Прудский район, с/о Дмитриевский, снт Гришино, уч-к 65</t>
  </si>
  <si>
    <t>50:39:0080211:370</t>
  </si>
  <si>
    <t>Московская область, Серебряно-Прудский район, снт "Южный", уч.36</t>
  </si>
  <si>
    <t>50:39:0060205:73</t>
  </si>
  <si>
    <t>Свидетельство о государственной регистрации права от 28.04.2016г 50-БА 518244, регистрация права № 50-50/039-50/039/008/2016-1534/2</t>
  </si>
  <si>
    <t>Выписка из ЕГРН, регистрация права от 07.11.2016г №50-50/039-50/039/008/2016-5090/2</t>
  </si>
  <si>
    <t>Московская область, Серебряно-Прудский район, с/о Дмитриевский, снт Гришино, уч-к 42</t>
  </si>
  <si>
    <t>50:39:0080211:403</t>
  </si>
  <si>
    <t>Выписка из ЕГРН, регистрация права от 20.12.2016г №50-50/039-50/039/008/2016-6177/2</t>
  </si>
  <si>
    <t>Московская область, Серебряно-Прудский район, с/о Подхоженский, снт Лобаново, уч-к 15</t>
  </si>
  <si>
    <t>50:39:0060203:31</t>
  </si>
  <si>
    <t>Выписка из ЕГРН, регистрация права от 30.01.2017г №50:39:0060203:31-50/039/2017-1</t>
  </si>
  <si>
    <t>Московская область, Серебряно-Прудский район, с/о Подхоженский, снт Лобаново, уч-к 16</t>
  </si>
  <si>
    <t>50:39:0060203:32</t>
  </si>
  <si>
    <t>Выписка из ЕГРН, регистрация права от 30.01.2017г №50:39:0060203:32-50/039/2017-1</t>
  </si>
  <si>
    <t>Московская область, Серебряно-Прудский район, снт мягковские камушки, уч-к 179</t>
  </si>
  <si>
    <t>50:39:0040103:69</t>
  </si>
  <si>
    <t>Выписка из ЕГРН, регистрация права от 21.08.2017г №50:39:0040103:69-50/039/2017-1</t>
  </si>
  <si>
    <t xml:space="preserve"> Мосоквская область, городской округ Серебряные Пруды, с/о Пестровский СНТ "Титеево" уч-к 85</t>
  </si>
  <si>
    <t>50:39:0010205:84</t>
  </si>
  <si>
    <t>Выписка из ЕГРН, регистрация права от 29.03.2017г №50:39:0010205:84-50/039/2017-1</t>
  </si>
  <si>
    <t xml:space="preserve">  Здание нежилое (мастерская)</t>
  </si>
  <si>
    <t>МО, городской округ Серебряные Пруды, п. Успенский, ул. Трудовая вблизи д.14</t>
  </si>
  <si>
    <t>Часть здания (нежилые помещения)</t>
  </si>
  <si>
    <t>Часть здания  (нежилые помещения - амбулатория)</t>
  </si>
  <si>
    <t>Московская область, городской округ Серебряные Пруды, с. Мочилы</t>
  </si>
  <si>
    <t>Московская область, городской округ Серебряные Пруды,рп Серебряные пруды, ул. 50 лет ВЛКСМ, д.12</t>
  </si>
  <si>
    <t>Жилой фонд (муниципальные квартиры)</t>
  </si>
  <si>
    <t>50:39:0020314:524</t>
  </si>
  <si>
    <t>Решение Совета депутатов № 696/70. Выписка ЕГРН, регистрация права от 20.05.2016г №50-50/039-50/039/008/2016-1951/2</t>
  </si>
  <si>
    <t>Московская область, городской округ Серебряные Пруды, д. Есипово,  д.25</t>
  </si>
  <si>
    <t>Свидет-во о регистрации права 50-НВ № 165853. выписка ЕГРН, регистрация права от 20.05.2016г №50-50/039-50/039/008/2016-1949/2</t>
  </si>
  <si>
    <t xml:space="preserve"> 50:39:0000000:1439</t>
  </si>
  <si>
    <t>Договор №22/2018 передачи жилого помещения муниципального жилого фонда в собственность граждан от 26.10.2018г. Регистрация права от 30.01.2019г №50:39:0050508:784-50/001/2019-4</t>
  </si>
  <si>
    <t>23.01.2019г</t>
  </si>
  <si>
    <t>договор №21/2018 передачи жилого помещения муниципального жилищного фонда в собственность граждан от 21.12.2018г.  Регистрация права от 23.01.2019г № 0:39:0080207:352-50/001/2019-4</t>
  </si>
  <si>
    <t>Детская игровая площадка, расположенная по адресу: с. Мочилы, ул. Юбилейная д.5,8,9 (Игровой комплекс Подворье, игровой комплекс Околица, Качели с веревочными элементами, балансир, песочный дворик, карусель, скамейка 5шт, урна с ведром 5 шт, ограждение газонное металлическая конструкция 46 секций 77 м.п, поверхность - резиновая крошка)</t>
  </si>
  <si>
    <t>Детская площадка, с.Мочилы, ул.Юбилейная. Площадью 400 кв.м.</t>
  </si>
  <si>
    <t>Детская площадка, с.Мочилы ул.Юбилейная д.10. Площадью 280 кв.м.</t>
  </si>
  <si>
    <t>Детская площадка, с.Подхожее, м-н Юбилейный, д.3, 9.  (Песочница ПС001-1шт, качели двухместные деревянные КЧ028.02 - 1шт, карусель 4-х местная "Малыш" КР001.02 - 1шт, детский спортивный комплекс СР0230.01 - 1шт, качели на пружине "Петушок" КЧ058 - 1шт, горка - 1шт, качалка-балансир КЧ001 - 1шт, информационный стенд - 1шт, ограждение металлическая конструкция 4 секции, урна - 1шт, скамейка - 4шт, площадью 600 кв.м.)</t>
  </si>
  <si>
    <t>Детская площадка, с.Подхожее, м-н Юбилейный, д.6, 7. (Детский спортивный комплекс - 1шт, информационный стенд - 1шт. Урна - 1шт, скамейка - 3шт, площадью 600 кв.м.)</t>
  </si>
  <si>
    <t>Детская игровой комплекс, расположенный по адресу: с. Узуново, м-н Северный, д.1а, 2,3,4, 5,6(Игровой комплекс Подворье, игровой комплекс Околица, Качели с веревочными элементами, балансир, песочный дворик, карусель, скамейка 5шт, урна с ведром 5 шт, ограждение газонное 77 м.п)</t>
  </si>
  <si>
    <t>Балансовая стоимость указана на основании отчета об оценке от 30.11.2018г  №102-2018/2(без учета НДС)</t>
  </si>
  <si>
    <t>Балансовая стоимость указана на основании отчета об оценке от 30.11.2018г №102-2018/3(без учета НДС)</t>
  </si>
  <si>
    <t>Общедолевая собственность, доля в праве 1/3. Решение суда от 10.12.2010г в пользование выделена комната №2, жилой площадью 11,9 кв.м. Балансовая стоимость указана на основании отчета от оценке от 04.12.2018г №102-2018/4</t>
  </si>
  <si>
    <t xml:space="preserve">Детское игровое оборудование, Московская область, Серебряно-Прудский район,  с. Узуново,мкр-н Южный, д. № 30,                   В-004  (двойные качели) </t>
  </si>
  <si>
    <t>задвоено со стр. 1553</t>
  </si>
  <si>
    <t>задвоено со стр.3</t>
  </si>
  <si>
    <t>Оперативное управление МУК "КДЦ Узуновское го Сернбряные пруды МО". Постановление от 12.02.2019г №203. Регистрация права от 11.03.2019г № 50:39:0040202:714-50/001/2019-4</t>
  </si>
  <si>
    <t>Оперативное управление МУК "КДЦ Узуновское го Сернбряные пруды МО". Постановление от 12.02.2019г №203. Регистрация права от 11.03.2019г № 50:39:0040202:713-50/001/2019-4</t>
  </si>
  <si>
    <t>Оперативное управление МДОУ "Детский сад общеразвивающего вида №13 "Звёздочка". Постановление от 13.02.2019г №210. Регистрация права от 12.03.2019г №50:39:0060501:174-50/036/2019-4</t>
  </si>
  <si>
    <t xml:space="preserve">Прекращено право оперативного управления МДОУ "Детский сад общеразвивающего вида "Звёздочка" Постановление от </t>
  </si>
  <si>
    <t>50:39:0080207:338</t>
  </si>
  <si>
    <t>Комната, общей площадью 11.1 кв.м собственность Перепонова Алексея Николаевича. Регистрация права от 04.08.2014г 350-50-39/009/2014-163</t>
  </si>
  <si>
    <t>26.12.2018г</t>
  </si>
  <si>
    <t>Договор №17/2017 передпчи жилого помещения муниципального жилищного фонда в собственность граждан от 13.03.2017г. Регистрация права от 26.12.2018г №50:39:0070207:416-50/001/2018-3</t>
  </si>
  <si>
    <t>Генератор Masuta MM-5500 AUTO</t>
  </si>
  <si>
    <t>Акт о приеме-передаче объектов нефинансовых активов от 19.07.2018г №14</t>
  </si>
  <si>
    <t>19.07.2018г</t>
  </si>
  <si>
    <t>Персональный компьютер (системный блок, монитор, клавиатура, мышь, бесперебойник)</t>
  </si>
  <si>
    <t>Аппаратно-программный комплекс с сертифицированными средствами защиты информации</t>
  </si>
  <si>
    <t>08.1.34.0160</t>
  </si>
  <si>
    <t>12.12.2018г</t>
  </si>
  <si>
    <t>Контракт 355332 от 26.11.2018г, товарная накладная от 07.12.2018г №1183. Контракт от 26.11.2018г №355329, товарная накладная от 12.12.2018г №549883</t>
  </si>
  <si>
    <t>Оперативное управление МБО ДО  "Серебряно-Прудская школа искусств им. П.Н.Новикова". Постановление от 11.02.2019г №189</t>
  </si>
  <si>
    <t>Имущество МУП "ККБХ" в связи с ликвидацией 21.01.2019г предприятия по решению налогового органа принято в казну распоряжением от 28.02.2019г №111-р. Отнести на стоимость бани 50 лет ВЛКСМ</t>
  </si>
  <si>
    <t>Имущество МУП "ККБХ" в связи с ликвидацией 21.01.2019г предприятия по решению налогового органа принято в казну распоряжением от 28.02.2019г №111-р. Списать</t>
  </si>
  <si>
    <t>Кассовый аппарат АМС-100Ф</t>
  </si>
  <si>
    <t>Оперативное управление МКУ «Служба обеспечения». Постановление администрации от 28.02.2019г №280</t>
  </si>
  <si>
    <t>Автомобиль Ford Fokus VIN X6F4XXEEC4JJ53769, гос. номер А Н 949 СХ 750, цвет белый</t>
  </si>
  <si>
    <t>30.08.2018г</t>
  </si>
  <si>
    <t>Муниципальный контракт от 28.08.2018г №0848600007418000251-0677638-01. Акт приема-передачи б/н от 30.08.2018г</t>
  </si>
  <si>
    <t>Выписка ЕГРН, подтверждающая отсутствие прав. Постановление администрации от 16.03.2018г №376</t>
  </si>
  <si>
    <t>Постоянное (бессрочное) пользование прекращено</t>
  </si>
  <si>
    <t>Собственность прекращена</t>
  </si>
  <si>
    <t>Акт инвентаризации б/н от 12.07.2018</t>
  </si>
  <si>
    <t>41012600009</t>
  </si>
  <si>
    <t>Грунтовая автомобильная дорога д.Яблонево, уч.2. Протяженность 130м</t>
  </si>
  <si>
    <t>Автомобильная дорога с грунтовым покрытием, кадастровый номер земельного участка 50:39:0000000:208, Протяженность 3580 м</t>
  </si>
  <si>
    <r>
      <t>Кадастровый номер дома 50:39:0020314:389, общая площадь 354,3 кв.м; квартира №1 кадастровый номер 50:39:0020314:519, площадью 38,1 кв.м.; квартира №2 кадастровый номер 50:39:0020314:520, площадью 76,8 кв.м.</t>
    </r>
    <r>
      <rPr>
        <u/>
        <sz val="9"/>
        <color theme="1"/>
        <rFont val="Times New Roman"/>
        <family val="1"/>
        <charset val="204"/>
      </rPr>
      <t xml:space="preserve"> </t>
    </r>
    <r>
      <rPr>
        <sz val="9"/>
        <color theme="1"/>
        <rFont val="Times New Roman"/>
        <family val="1"/>
        <charset val="204"/>
      </rPr>
      <t>квартира №3 кадастровый номер 50:39:0020314:521, площадью 38,4 кв.м.; квартира №4 кадастровый номер 50:39:0020314:522, площадью 37,6 кв.м.</t>
    </r>
  </si>
  <si>
    <t>Договор №17/2018 передачи жилого помещения муниципального жилищного фонда в собственность граждан14.11.2018г. Регистрация права от 01.03.2019г №50:39:0050101:715-50/036/2019-3</t>
  </si>
  <si>
    <t>50:39:0050101:715</t>
  </si>
  <si>
    <t>50:39:0050503:821</t>
  </si>
  <si>
    <t>06.03.2019г</t>
  </si>
  <si>
    <t>Договор №19/2018 передачи жилого помещения муниципального жилищного фонда в собственность граждан от 21.12.2018г. Регистрация права от 06.03.2019г №50:39:0050503:821-50/001/2019-3,4</t>
  </si>
  <si>
    <t>Каркасно-щитовой домик на спортивной площадке мкр.Западный р.п.Серебряные Пруды Московской области, площадь 12 кв.м.</t>
  </si>
  <si>
    <t xml:space="preserve">Водопроводные сети, инв. 1.101.12.001, Протяженность 1403м. </t>
  </si>
  <si>
    <t>МО, городской округ Серебряные Пруды, с. Крутое, мкр. Молодежный</t>
  </si>
  <si>
    <t>21.12.2018г</t>
  </si>
  <si>
    <t>Муниципальный контракт от 19.11.2018 № 0848600007418000336-0126220-01. Акт приемки законченного строительством объекта приемочной комиссией б/н от 31.12.2018г</t>
  </si>
  <si>
    <t>Московская область, Серебряно-Прудский район, снт мягковские камушки, уч-к 111</t>
  </si>
  <si>
    <t>50:39:0040103:41</t>
  </si>
  <si>
    <t>Уведомление о государственной регистрации права собственности муниципального образования, регистрация права от 21.08.2017г №50:39:0040103:41-50/036/2019-5</t>
  </si>
  <si>
    <t>50:39:00505036720</t>
  </si>
  <si>
    <t>Договор №1/2019 передачи жилого помещения муниципального жилищного фонда в собственность граждан от 25.01.2019г. Регистрация права от 19.03.2019г №50:39:0050503:720-50/036/2019-3,4</t>
  </si>
  <si>
    <t>Диван парковый, с. Узуново, мкр-н Южный, д.34</t>
  </si>
  <si>
    <t>Диван парковый, с. Узуново, с. Петрово, д.5</t>
  </si>
  <si>
    <t>Диван парковый, р.п. Серебряные Пруды, ул. Первомайская, д. 1а</t>
  </si>
  <si>
    <t>Ограждение газонное, с. Мочилы, ул. Юбилейная, д.1, 7, 10, 34 элемента</t>
  </si>
  <si>
    <t>Урна, п. Успенский, ул. Советкая, д.12, 2 шт</t>
  </si>
  <si>
    <t>Урна, п. Успенский, ул. 50 лет Октября, д.7-9, 2 шт</t>
  </si>
  <si>
    <t>Урна, с. Узуново, мкр. Южный, д.34, 2 шт</t>
  </si>
  <si>
    <t>Урна, с. Петрово, д.5, 1 шт</t>
  </si>
  <si>
    <t>Урна, рп Серебряные Пруды, ул. Ленина, д.53, 1 шт</t>
  </si>
  <si>
    <t>Информационный щит, с. Мочилы, ул. Юбилейная, д.1, 7, 10</t>
  </si>
  <si>
    <t>Информационный щит, п. Успенский, ул. Советская, д.12</t>
  </si>
  <si>
    <t>Информационный щит, п. Успенский, ул. 50 лет Октября, д.3, д.5</t>
  </si>
  <si>
    <t>Информационный щит, п. Успенский, ул. 50 лет Октября, д.7, д.9</t>
  </si>
  <si>
    <t>Информационный щит, с. Узуново, мкр южный, д.34</t>
  </si>
  <si>
    <t>Ограждение газонное, рп Серебряные Пруды, ул. Первомайская, д.1а, 20 элементов</t>
  </si>
  <si>
    <t>Ограждение газонное, рп Серебряные Пруды, ул. Коровушкина, 20 элементов</t>
  </si>
  <si>
    <t>Ограждение газонное, рп Серебряные Пруды, ул. Привокзальная, д.26, 46 элементов</t>
  </si>
  <si>
    <t>Ограждение газонное, рп Серебряные Пруды, ул. Ленина, д.53, 30 элементов</t>
  </si>
  <si>
    <t>Столбик ограждения металлического, с. Мочилы, ул. Юбилейная, д.1, 7, 10, 10 штук</t>
  </si>
  <si>
    <t>Информационный щит, рп Серебряные Пруды, ул. Коровушкина</t>
  </si>
  <si>
    <t>Информационный щит, п. Успенский, ул.Запрудная, д.9, д.11</t>
  </si>
  <si>
    <t>Информационный щит, рп Серебряные Пруды, ул. Привокзальная, д.26</t>
  </si>
  <si>
    <t>Тренажер "Воздушный ходок", п. Успенский, ул. 50 лет Октября, д.7, д.9</t>
  </si>
  <si>
    <t>Тренажер "Воздушный ходок", с. Узуново, мкр. Южный, д.34</t>
  </si>
  <si>
    <t>Тренажер "Жим от груди" (одинарный)</t>
  </si>
  <si>
    <t>Тренажер "Жим от груди" (одинарный), с. Узуново, мкр. Южный, д.34</t>
  </si>
  <si>
    <t>Тренажер "Орбитрек", п. Успенский, ул. 50 лет Октября, д.7, д.9</t>
  </si>
  <si>
    <t>Тренажер "Орбитрек", с. Узуново, мкр. Южный, д.34</t>
  </si>
  <si>
    <t>Тренажер, п. Успенский, ул. 50 лет Октября, д.7, д.9</t>
  </si>
  <si>
    <t>Тренажер, с. Узуново, мкр. Южный, д.34</t>
  </si>
  <si>
    <t>Спортивно-развивающий комплекс, п. Успенский, ул. 50 лет Октября, д.7, д.9</t>
  </si>
  <si>
    <t>Спортивно-развивающий комплекс, п. Успенский, ул. Советская, д.12</t>
  </si>
  <si>
    <t>Горка ледянка, рп Серебряные пруды, ул. Привокзальная, д.26</t>
  </si>
  <si>
    <t>Урна, с. Мочилы, ул. Юбилейная, д.1, 7, 10, 2 шт</t>
  </si>
  <si>
    <t>Урна, рп Серебряные Пруды, ул. Привокзальная, д.26, 20 шт.</t>
  </si>
  <si>
    <t>Оперативное управление МБУ "Благоустройство и дорожное хозяйство". Постановление от 04.10.2018г №1517</t>
  </si>
  <si>
    <t>Муниципальный контракт от 11.05.2018г №04886000007418000130-0711536-02. Товарная накладная от 01.06.2018г №НВ000147</t>
  </si>
  <si>
    <t>Горка Fantasy, высота спуска 1,5 м, с. Петрово, д.8</t>
  </si>
  <si>
    <t>Детский городок ГМ030.11.01.17 Ethnic, п. Успенкий, ул. 50 лет Октября, д.3, д.5</t>
  </si>
  <si>
    <t>Детский городок ГМ030.11.01.17 Ethnic, п. Успенкий, ул. Советская, д.12</t>
  </si>
  <si>
    <t>Детский городок ГМ030.11.01.17 Ethnic, с. Мочилы, ул. Юбилейная, д.1, 7, 10</t>
  </si>
  <si>
    <t>Детский городок ГМ030.11.01.17 Ethnic, с. Узуново, мкр. Южный, д.34</t>
  </si>
  <si>
    <t>Детский городок ГМ030.11.01.17 Ethnic, рп Серебряные Пруды, ул. Коровушкина</t>
  </si>
  <si>
    <t>Детский городок ГМ030.11.01.17 Ethnic, с. Петрово, д.12</t>
  </si>
  <si>
    <t>Качели 2-х секционные деревянные КЧ028.02.01.17 Ethnic, п. Успенский, ул. Советская, д.12</t>
  </si>
  <si>
    <t>Качели 2-х секционные деревянные КЧ028.02.01.17 Ethnic, п. Успенский, ул. 50 лет Октября, д.7, д.9</t>
  </si>
  <si>
    <t>Качели 2-х секционные деревянные КЧ028.02.01.17 Ethnic, п. Успенский, ул. 50 лет Октября, д.3, д.5</t>
  </si>
  <si>
    <t>Качели 2-х секционные деревянные КЧ028.02.01.17 Ethnic, п. Успенский, ул. Советская, д.10</t>
  </si>
  <si>
    <t>Качели 2-х секционные деревянные КЧ028.02.01.17 Ethnic, с. Узуново, мкр. Южный, д.34</t>
  </si>
  <si>
    <t>Песочница малая ПС000.11.01.01 Ethnic, с. Узуново, мкр. Южный, д.34</t>
  </si>
  <si>
    <t>Песочница малая ПС000.11.01.01 Ethnic, п. Успенский, ул. Запрудная, д.9, д.11</t>
  </si>
  <si>
    <t>Карусель четырёхместная "Малыш" КР001.02, п. Успенкий, ул. 50 лет Октября, д .3. д.5</t>
  </si>
  <si>
    <t>Карусель четырёхместная "Малыш" КР001.02, п. Успенкий, ул. Советская, д.12</t>
  </si>
  <si>
    <t>Качели-балансир КЧ000.11.01.17 Ethnic, пос. Успенский, ул. Запрудная, д.9, д.11</t>
  </si>
  <si>
    <t>Качели-балансир КЧ000.11.01.17 Ethnic, пос. Успенский, ул. Советская, д.12</t>
  </si>
  <si>
    <t>Качели-балансир КЧ000.11.01.17 Ethnic, пос. Успенский, ул. 50 лет Октября, д.3, д.5</t>
  </si>
  <si>
    <t>Качели-балансир КЧ000.11.01.17 Ethnic, пос. Успенский, ул. Советская, д.10</t>
  </si>
  <si>
    <t>Качели-балансир КЧ000.11.01.17 Ethnic, с. Мочилы, ул. Юбилейная, д.1, 7, 10</t>
  </si>
  <si>
    <t>Необходимо заявление руководителя об отнесении к особо ценному имуществу.</t>
  </si>
  <si>
    <t>Муниципальный контракт от 11.09.2018г № Ф.218.415914, товарная накладная от 05.12.2018г №125</t>
  </si>
  <si>
    <t>Муниципальный контракт от 11.09.2018г № Ф.218.415914, товарная накладная от 05.12.2018г №126</t>
  </si>
  <si>
    <t>Муниципальный контракт от 11.09.2018г № Ф.218.415914, товарная накладная от 05.12.2018г №112</t>
  </si>
  <si>
    <t>Спец.жил.фонд. Договор найма от 19.05.2016г №2-2016-05 Орлова Майя Николаевна</t>
  </si>
  <si>
    <t>Служебное жилое помещение специализированного фонда. Постановление от 22.03.2019г №394</t>
  </si>
  <si>
    <t>Договор №21/2018 передачи жилого помещения муниципального жилищного фонда в собственность граждан от 21.12.2018г.  Регистрация права от 23.01.2019г № 0:39:0080207:352-50/001/2019-4</t>
  </si>
  <si>
    <t>Договор соц.найма от 01.02.2019г №2/2019. Наниматель: Андросова Полина Михайловна</t>
  </si>
  <si>
    <t>Договор соц.найма от 14.03.2019г №10/2019. Наниматель: Матюх Александр Михайлович</t>
  </si>
  <si>
    <t>Договор соц.найма от 01.02.2019г №6/2019. Наниматель: Юдаева Ольга Васильевна</t>
  </si>
  <si>
    <t>Договор соц.найма от 01.02.2019г №5/2019. Наниматель: Лейхнер Любовь Васильевна</t>
  </si>
  <si>
    <t>Договор соц.найма от 01.02.2019г №4/2019. Наниматель: Неклюдова Елена Васильевна</t>
  </si>
  <si>
    <t>Договор соц.найма от 01.02.2019г №3/2019. Наниматель: Лейхнер Александр Геннадьевич</t>
  </si>
  <si>
    <t>Договор соц.найма от 22.02.2019г №7/2019. Наниматель: Рязанов Владимир Викторович</t>
  </si>
  <si>
    <t>Договор соц.найма от 14.03.2019г №11/2019. Наниматель: Окунькова Наталья Александровна</t>
  </si>
  <si>
    <t>Оперативное управление МБУ ДО  "Узуновская школа искусств". Постановление от 15.03.2019г №361</t>
  </si>
  <si>
    <t>03.4.24.0046</t>
  </si>
  <si>
    <t>Ноутбук с сертифицированными средствами защиты информации</t>
  </si>
  <si>
    <t>Контракт от 29.11.2018г №359651, товарная накладная от 12.12.2018г №1269</t>
  </si>
  <si>
    <t>Изложить в новой редакции. Особо ценное имущество. Постановление от 15.03.2019г №359</t>
  </si>
  <si>
    <t>22.03.2019г</t>
  </si>
  <si>
    <t>Распоряжение администрации о списании №144-р</t>
  </si>
  <si>
    <t>11.1.04.0100</t>
  </si>
  <si>
    <t>Оперативное управление МБУ ДО"Школа искуств имени А.Д.Кившенко". Постановление от 28.03.2019г №429</t>
  </si>
  <si>
    <t>Изложить в новой редакции. Особо ценное имущество. Постановление от 28.03.2019г №431</t>
  </si>
  <si>
    <t>15.1.24.0048</t>
  </si>
  <si>
    <t xml:space="preserve">Ноутбук с сертифицированными средствами защиты информации. </t>
  </si>
  <si>
    <t>Контракт от 04.12.2018г №41081, товарная накладная от 12.12.2018г №1270, контракт от 04.12.208г №410107, товарная накладная от 12.12.2018г №134</t>
  </si>
  <si>
    <t>Оперативное управление МБУ "Благоустройство и дорожное хозяйство". Постановление от 15.03.2019г №360</t>
  </si>
  <si>
    <t>Автомобиль Niva Chevrole 212300-55, VIN X9L212300D0489008, гос.номер О 514 УА 750</t>
  </si>
  <si>
    <t>Машина закреплена за Косоноговым А.Ф.</t>
  </si>
  <si>
    <t xml:space="preserve"> Автомобильная дорога общего пользования с грунтовым покрытием, кадасровый номер земельного участка 50:39:0070201:112; 50:39:0070204:53, протяженность 870м</t>
  </si>
  <si>
    <t>Московская область, Серебряно-Прудский район, с. Подхожее м-н Юбилейный д. 12/1</t>
  </si>
  <si>
    <t>Здание создано путём раздела здания с кадастровым номером 50:3960060501:71 площадью 3678,8 кв.м.  Адрес уточнен постановлением администрации от 27.03.2019г №413</t>
  </si>
  <si>
    <t>Здание создано путём раздела здания с кадастровым номером 50:3960060501:71 площадью 3678,8 кв.м. Адрес уточнен постановлением администрации от 27.03.2019г №414</t>
  </si>
  <si>
    <t>Оперативное управленние МБУ "Благоустройство и дорожное хозяйство". Постановление от 30.11.2018г №1788. Регистрация права от 20.03.2019г № 50:39:0050513:225-50/036/2019-4</t>
  </si>
  <si>
    <t>Договор №18/2018 передачи жилого помещения муниципального жилищного фонда в собственность граждан от 21.12.2018г. Регистрация № 50:39:0050508:559-50/036/2019-3,4,5,6 от 12.03.2019г</t>
  </si>
  <si>
    <t>12.03.2019г</t>
  </si>
  <si>
    <t>Договор №14/2018 передачи жилого помещения муниципального жилищного фонда в собственность граждан от 26.10.2018г. Регистрация права №50:39:0050101:718-50/036/2019-3</t>
  </si>
  <si>
    <t>Договор соц.найма №9/2019 Наниматель: Пузырей Ольга Рахимовна</t>
  </si>
  <si>
    <t>Распоряжение Правительства Московской области от 13.04.2018г №192-рп, Передаточный акт №192-рп от 04.05.2018г, выписка ЕГРН, регистрация права от 06.06.2018г №50:39:0020106:277-50/039/2018-3</t>
  </si>
  <si>
    <t>ОГРН 1025007732584 от 11.03.2008г. Исключено из ЕГРЮЛ по решению налогового органа как недействующее юр.лицо 14.01.2019г</t>
  </si>
  <si>
    <t>ОГРН 1065019001706 от 10.02.2006г. Исключено из ЕГРЮЛ по решению налогового органа 21.01.2019г</t>
  </si>
  <si>
    <t>Договор соц.найма от 26.06.2016г №441 Наниматель: Башкина Татьяна Георгиевна. Площадь помещения уточнена на основании тех.паспорта от 07.11.2018г</t>
  </si>
  <si>
    <t>Московская область, Серебряно-Прудский район,    д. Есипово, между д.21 и д.22</t>
  </si>
  <si>
    <t xml:space="preserve">Изложить в новой редакции. На основании служебной записки от Торбиной М.А. </t>
  </si>
  <si>
    <t>Колодец питьевой воды (инв.№11013129634)</t>
  </si>
  <si>
    <t xml:space="preserve">Нежилое здание гаража на 2 а/м. </t>
  </si>
  <si>
    <t>МФУ для нужд организации</t>
  </si>
  <si>
    <t>1.101.04.3012</t>
  </si>
  <si>
    <t>07.11.2018г</t>
  </si>
  <si>
    <t>Контракт № 325728 от 29.10.2018г. Товарная накладная от 07.11.2018г №156</t>
  </si>
  <si>
    <t>Изложить в новой редакции. Сектор субсидий</t>
  </si>
  <si>
    <t>Ноутбук Dell Ins 5379 i5</t>
  </si>
  <si>
    <t>1.101.04.3023</t>
  </si>
  <si>
    <t>25.12.2018г</t>
  </si>
  <si>
    <t>Изложить в новой редакции. Отдел по земельным отношениям</t>
  </si>
  <si>
    <t>Товарная накладная от 25.12.2018г № 0LW/2874479</t>
  </si>
  <si>
    <t>Автоматизир. Рабочее место (сист. блок Intel 3,5 Гц/8Gb/500 Gb/DVD-RW/Win. Монитор 23 l)</t>
  </si>
  <si>
    <t>1.101.04.3013</t>
  </si>
  <si>
    <t>Изложить в новой редакции. Сектор сельского хозяйства</t>
  </si>
  <si>
    <t>04.10.2018г</t>
  </si>
  <si>
    <t>Контракт № 264696 от 17.09.2018г. Товарная накладная от 04.10.2018г №133</t>
  </si>
  <si>
    <t>Пешеходное ограждение автом. дороги 200м. п. Новоклемово - д.Ливадия</t>
  </si>
  <si>
    <t>1.101.38.1014</t>
  </si>
  <si>
    <t>16.11.2018г</t>
  </si>
  <si>
    <t xml:space="preserve">Контракт от 04.10.2018г №307041. товарная накладная от 16.11.2018г №900. Контрак №307028 от 04.10.2018г. Товарная накладная от 16.11.2018г №899. Контракт от 04.12.2018г №433669, акт о приемке рабоот от 15.12.2018г.  Контракт от 04.12.2018г №433984, акт о приемке рабоот от 15.12.2018г </t>
  </si>
  <si>
    <t>Изложить в новой редакции. Отдел по строительству, дорожному хозяйству и ЖКХ</t>
  </si>
  <si>
    <t>Основание под детскую игровую площадку п. Новоклёмово д.21</t>
  </si>
  <si>
    <t>1.101.38.1013</t>
  </si>
  <si>
    <t>Изложить в новой редакции. Отдел ЖКХ</t>
  </si>
  <si>
    <t>06.12.2018г</t>
  </si>
  <si>
    <t>Контракт от 04.12.2018г № 0848600007418000351-0126220-01. Акт сдачи-приемки работ б/н от 06.12.2018г</t>
  </si>
  <si>
    <t>Основание под детскую игровую площадку с. Узуново, мкр. Южный д.32</t>
  </si>
  <si>
    <t>1.101.38.1012</t>
  </si>
  <si>
    <t>Контракт от 04.12.2018г № 0848600007418000350-0126220-01. Акт сдачи-приемки работ б/н от 06.12.2018г</t>
  </si>
  <si>
    <t>Муниципальный контракт от 15.10.2018г № 0848600007418000304-0126220-01. Акт сдачи-приемки работ №50 от 24.10.2018г</t>
  </si>
  <si>
    <t>Исключить, не объект кап. Строительства. Демонтировано при доведении контейнерных площадок до установленного стандарта.</t>
  </si>
  <si>
    <t>1.101.02.041</t>
  </si>
  <si>
    <t>1.101.02.042</t>
  </si>
  <si>
    <t>1.101.02.043</t>
  </si>
  <si>
    <t>1.101.02.044</t>
  </si>
  <si>
    <t>1.101.02.045</t>
  </si>
  <si>
    <t>1.101.02.046</t>
  </si>
  <si>
    <t>1.101.02.047</t>
  </si>
  <si>
    <t>1.101.02.048</t>
  </si>
  <si>
    <t>1.101.02.049</t>
  </si>
  <si>
    <t>1.101.02.050</t>
  </si>
  <si>
    <t>1.101.02.051</t>
  </si>
  <si>
    <t>1.101.02.052</t>
  </si>
  <si>
    <t>1.101.02.053</t>
  </si>
  <si>
    <t>1.101.02.054</t>
  </si>
  <si>
    <t>1.101.02.055</t>
  </si>
  <si>
    <t>1.101.02.056</t>
  </si>
  <si>
    <t>1.101.02.057</t>
  </si>
  <si>
    <t>1.101.02.058</t>
  </si>
  <si>
    <t>1.101.02.059</t>
  </si>
  <si>
    <t>1.101.02.060</t>
  </si>
  <si>
    <t>1.101.02.061</t>
  </si>
  <si>
    <t>1.101.02.062</t>
  </si>
  <si>
    <t>1.101.02.063</t>
  </si>
  <si>
    <t>1.101.02.064</t>
  </si>
  <si>
    <t>1.101.02.065</t>
  </si>
  <si>
    <t>1.101.02.066</t>
  </si>
  <si>
    <t>1.101.02.067</t>
  </si>
  <si>
    <t>1.101.02.068</t>
  </si>
  <si>
    <t>1.101.02.069</t>
  </si>
  <si>
    <t>1.101.02.070</t>
  </si>
  <si>
    <t>1.101.02.071</t>
  </si>
  <si>
    <t>25.10.2018г</t>
  </si>
  <si>
    <t>Муниципальный контракт от 15.10.2018г № 0848600007418000303-0126220-01. Акт сдачи-приемки работ №51 от 25.10.2018г</t>
  </si>
  <si>
    <t>1.101.02.012</t>
  </si>
  <si>
    <t>1.101.02.013</t>
  </si>
  <si>
    <t>1.101.02.014</t>
  </si>
  <si>
    <t>1.101.02.015</t>
  </si>
  <si>
    <t>1.101.02.016</t>
  </si>
  <si>
    <t>1.101.02.017</t>
  </si>
  <si>
    <t>1.101.02.018</t>
  </si>
  <si>
    <t>1.101.02.019</t>
  </si>
  <si>
    <t>1.101.02.020</t>
  </si>
  <si>
    <t>1.101.02.021</t>
  </si>
  <si>
    <t>1.101.02.022</t>
  </si>
  <si>
    <t>1.101.02.023</t>
  </si>
  <si>
    <t>1.101.02.024</t>
  </si>
  <si>
    <t>1.101.02.025</t>
  </si>
  <si>
    <t>1.101.02.026</t>
  </si>
  <si>
    <t>1.101.02.027</t>
  </si>
  <si>
    <t>1.101.02.028</t>
  </si>
  <si>
    <t>1.101.02.029</t>
  </si>
  <si>
    <t>1.101.02.030</t>
  </si>
  <si>
    <t>1.101.02.031</t>
  </si>
  <si>
    <t>1.101.02.032</t>
  </si>
  <si>
    <t>1.101.02.033</t>
  </si>
  <si>
    <t>1.101.02.034</t>
  </si>
  <si>
    <t>1.101.02.035</t>
  </si>
  <si>
    <t>1.101.02.036</t>
  </si>
  <si>
    <t>1.101.02.037</t>
  </si>
  <si>
    <t>1.101.02.038</t>
  </si>
  <si>
    <t>1.101.02.039</t>
  </si>
  <si>
    <t>1.101.02.040</t>
  </si>
  <si>
    <t>Контейнерная площадка для раздельного сбора мусора, площадью 16 кв.м., рп Серебряные Пруды. мкр. Юбилейный, д.3</t>
  </si>
  <si>
    <t>Контейнерная площадка для раздельного сбора мусора, площадью 16 кв.м., рп Серебряные Пруды, мкр. Юбилейный, д.14</t>
  </si>
  <si>
    <t>Контейнерная площадка для раздельного сбора мусора, площадью 16 кв.м., рп Серебряные Пруды, мкр. Юбилейный, д.10</t>
  </si>
  <si>
    <t>Контейнерная площадка для раздельного сбора мусора, площадью 16 кв.м., рп Серебряные Пруды, мкр. Юбилейный, д.6</t>
  </si>
  <si>
    <t>Контейнерная площадка для раздельного сбора мусора, площадью 16 кв.м., рп Серебряные Пруды, мкр. Юбилейный, д.5</t>
  </si>
  <si>
    <t>Контейнерная площадка для раздельного сбора мусора, площадью 16 кв.м., рп Серебряные Пруды, ул. Первомайская, д.9</t>
  </si>
  <si>
    <t>Контейнерная площадка для раздельного сбора мусора, площадью 16 кв.м., рп Серебряные Пруды, ул. Первомайская, д.2</t>
  </si>
  <si>
    <t>Контейнерная площадка для раздельного сбора мусора, площадью 16 кв.м., рп Серебряные Пруды, ул. Первомайская, д.1</t>
  </si>
  <si>
    <t>Контейнерная площадка для раздельного сбора мусора, площадью 16 кв.м., рп Серебряные Пруды, мкр. Западный, д.33</t>
  </si>
  <si>
    <t>Контейнерная площадка для раздельного сбора мусора, площадью 16 кв.м., рп Серебряные Пруды, мкр. Западный, д.47</t>
  </si>
  <si>
    <t>Контейнерная площадка для раздельного сбора мусора, площадью 16 кв.м., рп Серебряные Пруды, мкр. Западный, д.38</t>
  </si>
  <si>
    <t>Контейнерная площадка для раздельного сбора мусора, площадью 16 кв.м., рп Серебряные Пруды, ул. Механизаторов, д.19</t>
  </si>
  <si>
    <t>Контейнерная площадка для раздельного сбора мусора, площадью 16 кв.м., рп Серебряные Пруды, ул. Ленина, д.53</t>
  </si>
  <si>
    <t>Контейнерная площадка для раздельного сбора мусора, площадью 16 кв.м., рп Серебряные Пруды, ул. Б.Луговая, д.1</t>
  </si>
  <si>
    <t>Контейнерная площадка для раздельного сбора мусора, площадью 16 кв.м., рп Серебряные Пруды, мкр. Центральный, д.8</t>
  </si>
  <si>
    <t>Контейнерная площадка для раздельного сбора мусора, площадью 16 кв.м., рп Серебряные Пруды, ПТУ, д.7Б</t>
  </si>
  <si>
    <t>Контейнерная площадка для раздельного сбора мусора, площадью 16 кв.м., рп Серебряные Пруды, с-з Осетровский, д.101</t>
  </si>
  <si>
    <t>Контейнерная площадка для раздельного сбора мусора, площадью 16 кв.м., рп Серебряные Пруды, ул. Набережная, д.89</t>
  </si>
  <si>
    <t>Контейнерная площадка для раздельного сбора мусора, площадью 16 кв.м., рп Серебряные Пруды, пер. Комсомольский, д.1</t>
  </si>
  <si>
    <t>Контейнерная площадка для раздельного сбора мусора, площадью 16 кв.м., рп Серебряные Пруды, ул. Колхозная, д.13</t>
  </si>
  <si>
    <t>Контейнерная площадка для раздельного сбора мусора, площадью 16 кв.м., рп Серебряные Пруды, ул. Комсомольская (напротив котельной)</t>
  </si>
  <si>
    <t>Контейнерная площадка для раздельного сбора мусора, площадью 16 кв.м., рп Серебряные Пруды, ул. Петра Романова, д.3</t>
  </si>
  <si>
    <t>Контейнерная площадка для раздельного сбора мусора, площадью 16 кв.м., рп Серебряные Пруды, Восточная (съезд на ул. Октябрьская)</t>
  </si>
  <si>
    <t>Контейнерная площадка для раздельного сбора мусора, площадью 16 кв.м., рп Серебряные Пруды, ул. Октябрьская, д.41</t>
  </si>
  <si>
    <t>Контейнерная площадка для раздельного сбора мусора, площадью 16 кв.м., рп Серебряные Пруды, ул. И.Садофьева, д.8</t>
  </si>
  <si>
    <t>Контейнерная площадка для раздельного сбора мусора, площадью 16 кв.м., рп Серебряные Пруды, ул. Почтовая, д.1</t>
  </si>
  <si>
    <t>Контейнерная площадка для раздельного сбора мусора, площадью 16 кв.м., рп Серебряные Пруды, ул. Заречная, д.5</t>
  </si>
  <si>
    <t>Контейнерная площадка для раздельного сбора мусора, площадью 16 кв.м., рп Серебряные Пруды, ул. Садовая (возле здания мировых судей д.31)</t>
  </si>
  <si>
    <t>Контейнерная площадка для раздельного сбора мусора, площадью 16 кв.м., рп Серебряные Пруды, ул. Почтовая, д.39</t>
  </si>
  <si>
    <t>Контейнерная площадка для раздельного сбора мусора, площадью 16 кв.м., го Серебряные Пруды, п. Успенский, ул. Запрудная, д.12</t>
  </si>
  <si>
    <t>Контейнерная площадка для раздельного сбора мусора, площадью 10 кв.м., рп Серебряные Пруды, ул. Механизаторов д.16</t>
  </si>
  <si>
    <t>Контейнерная площадка для раздельного сбора мусора, площадью 10 кв.м., рп Серебряные Пруды, Школьный пер. д.3</t>
  </si>
  <si>
    <t>Контейнерная площадка для раздельного сбора мусора, площадью 10 кв.м., рп Серебряные Пруды, ул. Школьная, д.10</t>
  </si>
  <si>
    <t>Контейнерная площадка для раздельного сбора мусора, площадью 10 кв.м., рп Серебряные Пруды, ул. М.Чуйкова, д.53</t>
  </si>
  <si>
    <t>Контейнерная площадка для раздельного сбора мусора, площадью 10 кв.м., рп Серебряные Пруды, ул. Мичурина, д.5</t>
  </si>
  <si>
    <t>Контейнерная площадка для раздельного сбора мусора, площадью 10 кв.м., рп Серебряные Пруды, ул. Колхозная, д.13</t>
  </si>
  <si>
    <t>Контейнерная площадка для раздельного сбора мусора, площадью 10 кв.м., рп Серебряные Пруды, мкр. Северный, д.141</t>
  </si>
  <si>
    <t>Контейнерная площадка для раздельного сбора мусора, площадью 10 кв.м., рп Серебряные Пруды, мкр. Северный, д.51</t>
  </si>
  <si>
    <t>Контейнерная площадка для раздельного сбора мусора, площадью 10 кв.м., рп Серебряные Пруды, ул. Коммунальная, д.1</t>
  </si>
  <si>
    <t>Контейнерная площадка для раздельного сбора мусора, площадью 10 кв.м., рп Серебряные Пруды, ул. Коммунальная (у кладбища)</t>
  </si>
  <si>
    <t>Контейнерная площадка для раздельного сбора мусора, площадью 10 кв.м., рп Серебряные Пруды, ул. М.Чуйкова, д.8А</t>
  </si>
  <si>
    <t>Контейнерная площадка для раздельного сбора мусора, площадью 10 кв.м., рп Серебряные Пруды, ул. Полевая, д.21</t>
  </si>
  <si>
    <t>Контейнерная площадка для раздельного сбора мусора, площадью 10 кв.м., рп Серебряные Пруды, ул. Полевая, д.16</t>
  </si>
  <si>
    <t>Контейнерная площадка для раздельного сбора мусора, площадью 10 кв.м., рп Серебряные Пруды, ул. Привокзальная (старые склады)</t>
  </si>
  <si>
    <t>Контейнерная площадка для раздельного сбора мусора, площадью 10 кв.м., рп Серебряные Пруды, ул. Красноармейская, д.1</t>
  </si>
  <si>
    <t>Контейнерная площадка для раздельного сбора мусора, площадью 10 кв.м., рп Серебряные Пруды, ул. Коровушкина (на перекрестке с ул. Трудовой)</t>
  </si>
  <si>
    <t>Контейнерная площадка для раздельного сбора мусора, площадью 10 кв.м., рп Серебряные Пруды, ул. Трудовая, д.53</t>
  </si>
  <si>
    <t>Контейнерная площадка для раздельного сбора мусора, площадью 10 кв.м., рп Серебряные Пруды, ул. П.Романова (возле церкви)</t>
  </si>
  <si>
    <t>Контейнерная площадка для раздельного сбора мусора, площадью 10 кв.м., рп Серебряные Пруды, ул. Пролетарская, д.22</t>
  </si>
  <si>
    <t>Контейнерная площадка для раздельного сбора мусора, площадью 10 кв.м., рп Серебряные Пруды, ул. Пролетарская, д.50</t>
  </si>
  <si>
    <t>Контейнерная площадка для раздельного сбора мусора, площадью 10 кв.м., рп Серебряные Пруды, ул. И.Садофьева (бывший швейный цех)</t>
  </si>
  <si>
    <t>Контейнерная площадка для раздельного сбора мусора, площадью 10 кв.м., рп Серебряные Пруды, ул. Свободная (возле кладбища)</t>
  </si>
  <si>
    <t>Контейнерная площадка для раздельного сбора мусора, площадью 10 кв.м., рп Серебряные Пруды, ул. Свободная (наверху)</t>
  </si>
  <si>
    <t>Контейнерная площадка для раздельного сбора мусора, площадью 10 кв.м., рп Серебряные Пруды, ул. М.Луговая, д.4</t>
  </si>
  <si>
    <t>Контейнерная площадка для раздельного сбора мусора, площадью 10 кв.м., рп Серебряные Пруды, ул. С.Фирсова, д.12</t>
  </si>
  <si>
    <t>Контейнерная площадка для раздельного сбора мусора, площадью 10 кв.м., рп Серебряные Пруды, ул. Южная, д.4</t>
  </si>
  <si>
    <t>Контейнерная площадка для раздельного сбора мусора, площадью 10 кв.м., рп Серебряные Пруды, ул. 8-е Марта, д.8</t>
  </si>
  <si>
    <t>Контейнерная площадка для раздельного сбора мусора, площадью 10 кв.м., рп Серебряные Пруды, пл. Советская (вблизи ресторана Венеция)</t>
  </si>
  <si>
    <t>Контейнерная площадка для раздельного сбора мусора, площадью 10 кв.м., рп Серебряные Пруды, ул. Восточная, д.12</t>
  </si>
  <si>
    <t>Муниципальный контракт от 14.12.2018г № 0848600007418000355-0126220-01. Акт сдачи-приемки работ №33 от 18.12.2018г</t>
  </si>
  <si>
    <t>1.101.02.082</t>
  </si>
  <si>
    <t>1.101.02.083</t>
  </si>
  <si>
    <t>1.101.02.085</t>
  </si>
  <si>
    <t>1.101.02.084</t>
  </si>
  <si>
    <t>1.101.02.086</t>
  </si>
  <si>
    <t>1.101.02.087</t>
  </si>
  <si>
    <t>1.101.02.088</t>
  </si>
  <si>
    <t>1.101.02.089</t>
  </si>
  <si>
    <t>1.101.02.090</t>
  </si>
  <si>
    <t>1.101.02.091</t>
  </si>
  <si>
    <t>1.101.02.092</t>
  </si>
  <si>
    <t>1.101.02.093</t>
  </si>
  <si>
    <t>1.101.02.094</t>
  </si>
  <si>
    <t>1.101.02.095</t>
  </si>
  <si>
    <t>1.101.02.096</t>
  </si>
  <si>
    <t>1.101.02.097</t>
  </si>
  <si>
    <t>1.101.02.106</t>
  </si>
  <si>
    <t>1.101.02.098</t>
  </si>
  <si>
    <t>1.101.02.099</t>
  </si>
  <si>
    <t>1.101.02.100</t>
  </si>
  <si>
    <t>1.101.02.101</t>
  </si>
  <si>
    <t>1.101.02.102</t>
  </si>
  <si>
    <t>1.101.02.103</t>
  </si>
  <si>
    <t>1.101.02.104</t>
  </si>
  <si>
    <t>1.101.02.105</t>
  </si>
  <si>
    <t>Контейнерная площадка для раздельного сбора мусора, площадью 10 кв.м., го Серебряные Пруды, п. Успенский, ул. Садовая (частный сектор)</t>
  </si>
  <si>
    <t>Контейнерная площадка для раздельного сбора мусора, площадью 10 кв.м., го Серебряные Пруды, п. Успенский, ул. Заводская, д.5</t>
  </si>
  <si>
    <t>Контейнерная площадка для раздельного сбора мусора, площадью 10 кв.м., го Серебряные Пруды, п. Успенский, ул. 50 лет Октября д.9</t>
  </si>
  <si>
    <t>Контейнерная площадка для раздельного сбора мусора, площадью 10 кв.м., го Серебряные Пруды, п. Успенский, ул. Луговая, д.2</t>
  </si>
  <si>
    <t>Контейнерная площадка для раздельного сбора мусора, площадью 10 кв.м., го Серебряные Пруды, п. Успенский, ул. Советская, д.2</t>
  </si>
  <si>
    <t>Контейнерная площадка для раздельного сбора мусора, площадью 10 кв.м., го Серебряные Пруды, п. Успенский. Ул. Советская, д.10</t>
  </si>
  <si>
    <t>Контейнерная площадка для раздельного сбора мусора, площадью 10 кв.м., го Серебряные Пруды, п. Дмитриевский, д.11-12</t>
  </si>
  <si>
    <t>Контейнерная площадка для раздельного сбора мусора, площадью 10 кв.м., го Серебряные Пруды, п. Дмитриевский, д.9</t>
  </si>
  <si>
    <t>Контейнерная площадка для раздельного сбора мусора, площадью 10 кв.м., го Серебряные Пруды, п. Дмитриевский, д.8</t>
  </si>
  <si>
    <t>Контейнерная площадка для раздельного сбора мусора, площадью 10 кв.м., го Серебряные Пруды, д. Нижняя Пурловка</t>
  </si>
  <si>
    <t>Контейнерная площадка для раздельного сбора мусора, площадью 10 кв.м., го Серебряные Пруды, д. Красновские Выселки, ул. Школьная, д.5</t>
  </si>
  <si>
    <t>Контейнерная площадка для раздельного сбора мусора, площадью 10 кв.м., го Серебряные Пруды, д. Красновские Выселки, ул. Центральная</t>
  </si>
  <si>
    <t>Контейнерная площадка для раздельного сбора мусора, площадью 10 кв.м., го Серебряные Пруды, с. Мочилы, ул. Школьная, д.9</t>
  </si>
  <si>
    <t>Контейнерная площадка для раздельного сбора мусора, площадью 10 кв.м., го Серебряные Пруды, с. Мочилы, ул. Лесная, д.9</t>
  </si>
  <si>
    <t>Контейнерная площадка для раздельного сбора мусора, площадью 10 кв.м., го Серебряные Пруды, с. Подхожее, мкр. Восточный, д.32</t>
  </si>
  <si>
    <t>Контейнерная площадка для раздельного сбора мусора, площадью 10 кв.м., го Серебряные Пруды, д. Шеметово, д.1</t>
  </si>
  <si>
    <t>Контейнерная площадка для раздельного сбора мусора, площадью 10 кв.м., го Серебряные Пруды, д. Шеметово, д.8</t>
  </si>
  <si>
    <t>Контейнерная площадка для раздельного сбора мусора, площадью 10 кв.м., го Серебряные Пруды, с. Дудино, д.16</t>
  </si>
  <si>
    <t>Контейнерная площадка для раздельного сбора мусора, площадью 10 кв.м., го Серебряные Пруды, с. Дудино, д.36</t>
  </si>
  <si>
    <t>Контейнерная площадка для раздельного сбора мусора, площадью 10 кв.м., го Серебряные Пруды, с. Дудино (рядом с ж/д)</t>
  </si>
  <si>
    <t>Контейнерная площадка для раздельного сбора мусора, площадью 10 кв.м., го Серебряные Пруды, с. Дудино, д.69</t>
  </si>
  <si>
    <t>Контейнерная площадка для раздельного сбора мусора, площадью 10 кв.м., го Серебряные Пруды, с. Дудино, д.28</t>
  </si>
  <si>
    <t>Контейнерная площадка для раздельного сбора мусора, площадью 10 кв.м., го Серебряные Пруды, с. Мочилы, ул. Садовая, д.16</t>
  </si>
  <si>
    <t>Контейнерная площадка для раздельного сбора мусора, площадью 10 кв.м., го Серебряные Пруды, с. Мочилы, ул. Южная, д.12а</t>
  </si>
  <si>
    <t>Контейнерная площадка для раздельного сбора мусора, площадью 16 кв.м., го Серебряные Пруды, п. Успенский, ул. Запрудная, д.10</t>
  </si>
  <si>
    <t>Контейнерная площадка для раздельного сбора мусора, площадью 16 кв.м., го Серебряные Пруды, п. Успенский, ул. Садовая, д.2</t>
  </si>
  <si>
    <t>Контейнерная площадка для раздельного сбора мусора, площадью 16 кв.м., го Серебряные Пруды, п. Успенский, ул. Луговая, д.8</t>
  </si>
  <si>
    <t>Контейнерная площадка для раздельного сбора мусора, площадью 16 кв.м., го Серебряные Пруды, с. Мочилы, ул. Юбилейная, д.7</t>
  </si>
  <si>
    <t>Контейнерная площадка для раздельного сбора мусора, площадью 16 кв.м., го Серебряные Пруды, с. Мочилы, ул. Юбилейная, д.9</t>
  </si>
  <si>
    <t>Контейнерная площадка для раздельного сбора мусора, площадью 16 кв.м., го Серебряные Пруды, с. Подхожее, мкр. Юбилейный, д.1</t>
  </si>
  <si>
    <t>Контейнерная площадка для раздельного сбора мусора, площадью 16 кв.м., го Серебряные Пруды, с. Подхожее, мкр. Юбилейный, д.4</t>
  </si>
  <si>
    <t>Контейнерная площадка для раздельного сбора мусора, площадью 16 кв.м., го Серебряные Пруды, д. Шеметово, д.12</t>
  </si>
  <si>
    <t>Контейнерная площадка для раздельного сбора мусора, площадью 16 кв.м., го Серебряные Пруды, д. Шеметово, д.13</t>
  </si>
  <si>
    <t>Контейнерная площадка для раздельного сбора мусора, площадью 16 кв.м., го Серебряные Пруды, п. Успенский, ул. Советская, д.12</t>
  </si>
  <si>
    <t>Муниципальный контракт от 14.12.2018г № 0848600007418000356-0126220-01. Акт сдачи-приемки работ №34 от 18.12.2018г</t>
  </si>
  <si>
    <t>Решение Совета депутатов городского округа от 27.12.2016г № 895/91. Регистрация права от 15.04.2019г № 50:39:0050301:681-50/036/2019-1</t>
  </si>
  <si>
    <t>50:39:0080105:337</t>
  </si>
  <si>
    <t>Выписка из ЕГРП, регистрация права от 12.03.2019г № 50:39:0080105:337-50/001/2019-2</t>
  </si>
  <si>
    <t>50:39:0080105:432</t>
  </si>
  <si>
    <t>08.04.2019г</t>
  </si>
  <si>
    <t>Выписка из ЕГРП, регистрация права от 11.03.2019г № 50:39:0080105:432-50/001/2019-4</t>
  </si>
  <si>
    <t>Вклад в устаный капитал ООО "СиП"</t>
  </si>
  <si>
    <t>Погрузочно-уборочная машина на базе трактора Беларус 82.1), ПУМ-4853, год производства 2018, идентификационный номер машины (VIN или PIN) 784 (82022135), регистрационный знак 50 ХЕ 4348</t>
  </si>
  <si>
    <t xml:space="preserve">Автомобиль УАЗ 39099, VIN XTT390990W0049702, 1998 год, гос. номер У 733 ТР 750 (предыдущий У 165 ЕВ 190) </t>
  </si>
  <si>
    <t>Муниципальный контракт от 20.08.2018г №0848600007418000249-0711536-01. Акт приема-передачи б/н от 23.08.2018г. Договор дарения от 24.12.2018г №341. Акт приема-передачи б/н от 19.04.2019г</t>
  </si>
  <si>
    <t>Оперативное управление МБУ "Благоустройство и дорожное хозяйство". Постановление от 18.10.2016г №2147</t>
  </si>
  <si>
    <t>Автомашина УАЗ-390902, VIN XTT39090250422718 год выпуска 2005, цвет защитный</t>
  </si>
  <si>
    <t>Автомашина УАЗ-390902, грузовой пассажирский фургон, VIN XTT39090250422718, 2005г выпуска, двигатель ЗМЗ-40210L N, 50005014, шасси 37410050443826, гос. номер К 960 МЕ 150</t>
  </si>
  <si>
    <t>Автомобиль ГАЗ 310200-00581, гос. номер М 535 МУ 190, 2007 год</t>
  </si>
  <si>
    <t>Земельный участок. Категория земель - земли промышленности, энергетики, транспорта, связи, радиовещания, телевидения, информатики, земли для обеспечения космичесой деятельности, земли обороны, безопасности и земли иного специального назначенияю. ВРИ - под кладбище</t>
  </si>
  <si>
    <t>Земельный участок. Категория земель - земли промышленности, энергетики, транспорта, связи, радиовещания, телевидения, информатики, земли для обеспечения космичесой деятельности, земли обороны, безопасности и земли иного специального назначенияю. ВРИ - размещение кладбища</t>
  </si>
  <si>
    <t>МО, городской округ Серебряные Пруды, Кузьминки</t>
  </si>
  <si>
    <t>Договор соц.найма от 17.04.2019г №12/2019. Наниматель: Баринов Виталий Вениаминович</t>
  </si>
  <si>
    <t>Договор соц.найма от 29.04.2019г №14/2019. Наниматель: Александрова Надежда Анатольевна</t>
  </si>
  <si>
    <t>50:39:0050508:528</t>
  </si>
  <si>
    <t>Договор соц.найма от 03.04.2009г № 61/СП. Наниматель: Михайлова А.Г.</t>
  </si>
  <si>
    <t>08.05.2019г</t>
  </si>
  <si>
    <t xml:space="preserve">Договор №4/2019 передачи жилого помещения муниципального жилищного фонда в собственность граждан от 16.04.2019г. Регистрация права от 08.05.2019г №50:39:0050508:528-50/001/2019-3 </t>
  </si>
  <si>
    <t>Изложено в новой редакции Географические координаты начала  и окончания дороги 54,161852 38,786272 - 54,563099 38,786159</t>
  </si>
  <si>
    <t xml:space="preserve">Постановление от 15.04.2019г №510. Хоз. Ведение МУП "РСО городского округа Серебряные Пруды"  </t>
  </si>
  <si>
    <t>16.04.2019г</t>
  </si>
  <si>
    <t>Распоряжение администрации городского округа Серебряные Пруды Московской области № 204-р</t>
  </si>
  <si>
    <t>Хоз. ведение МУП "РСО". Постановление администрации от 19.04.2019г №544</t>
  </si>
  <si>
    <t>Оперативное управление МБУ "Благоустройство и дорожное хозяйство". Постановление от 19.04.2019г №545</t>
  </si>
  <si>
    <r>
      <t xml:space="preserve"> Помещение площадью 9,0 кв.м. Оперативное управление </t>
    </r>
    <r>
      <rPr>
        <b/>
        <sz val="9"/>
        <color theme="1"/>
        <rFont val="Times New Roman"/>
        <family val="1"/>
        <charset val="204"/>
      </rPr>
      <t xml:space="preserve">МАУ "МФЦ" </t>
    </r>
    <r>
      <rPr>
        <sz val="9"/>
        <color theme="1"/>
        <rFont val="Times New Roman"/>
        <family val="1"/>
        <charset val="204"/>
      </rPr>
      <t xml:space="preserve">Постановление от 03.03.2017г № 425. Помещение площадью 7,7 кв.м. аренда </t>
    </r>
    <r>
      <rPr>
        <b/>
        <sz val="9"/>
        <color theme="1"/>
        <rFont val="Times New Roman"/>
        <family val="1"/>
        <charset val="204"/>
      </rPr>
      <t xml:space="preserve">ООО "Белстройтрест" </t>
    </r>
    <r>
      <rPr>
        <sz val="9"/>
        <color theme="1"/>
        <rFont val="Times New Roman"/>
        <family val="1"/>
        <charset val="204"/>
      </rPr>
      <t xml:space="preserve">до 19.04.2022г. Постановление от 19.04.201г №546. Помещение площадью 12,4 кв.м. безвозмездное пользование </t>
    </r>
    <r>
      <rPr>
        <b/>
        <sz val="9"/>
        <color theme="1"/>
        <rFont val="Times New Roman"/>
        <family val="1"/>
        <charset val="204"/>
      </rPr>
      <t>ООО "УК Серебряные Пруды"</t>
    </r>
    <r>
      <rPr>
        <sz val="9"/>
        <color theme="1"/>
        <rFont val="Times New Roman"/>
        <family val="1"/>
        <charset val="204"/>
      </rPr>
      <t xml:space="preserve"> до 10.07.2021г. Постановление от 11.07.2018г № 1052. Помещение площадью 12,0 кв.м. аренда </t>
    </r>
    <r>
      <rPr>
        <b/>
        <sz val="9"/>
        <color theme="1"/>
        <rFont val="Times New Roman"/>
        <family val="1"/>
        <charset val="204"/>
      </rPr>
      <t xml:space="preserve">ООО "Серебрянопрудская зерновая компания" </t>
    </r>
    <r>
      <rPr>
        <sz val="9"/>
        <color theme="1"/>
        <rFont val="Times New Roman"/>
        <family val="1"/>
        <charset val="204"/>
      </rPr>
      <t>до 12.02.2020г. Постановление от 12.03.2019г №337</t>
    </r>
  </si>
  <si>
    <t>Оперативное управление МБУ "Благоустройство и дорожное хозяйство". Постановление от 19.04.2019г №547</t>
  </si>
  <si>
    <t>Особо ценное движимое имущество. Постановление от 19.04.2019г №549</t>
  </si>
  <si>
    <t>Оперативное управление МОУ "Совхозная средняя общеобразовательная школа". Постановление от 26.04.2019г №588</t>
  </si>
  <si>
    <t xml:space="preserve">Почтовый сканер Epson </t>
  </si>
  <si>
    <t>26.03.2019г</t>
  </si>
  <si>
    <t>Особо ценное движимое имущество. Постановление от 26.04.2019г №586</t>
  </si>
  <si>
    <t>Контракт №08486000074190000370002 от 22.03.2019г. Товарная накладная от 26.03.2019г №20</t>
  </si>
  <si>
    <t>Ноутбук LENOVO 15/6, intel. DVD-RW, Windows 10 Professional, антивирус Касперский, мышь</t>
  </si>
  <si>
    <t xml:space="preserve">Ноутбук LENOVO 15/6, intel. DVD-RW, Windows 10 Professional, антивирус Касперский, мышь </t>
  </si>
  <si>
    <r>
      <t xml:space="preserve">Помещение 14,9 кв.м. безвозмездное пользование до 01.01.2021г </t>
    </r>
    <r>
      <rPr>
        <b/>
        <sz val="9"/>
        <color theme="1"/>
        <rFont val="Times New Roman"/>
        <family val="1"/>
        <charset val="204"/>
      </rPr>
      <t>ООО "УК Серебряные Пруды"</t>
    </r>
    <r>
      <rPr>
        <sz val="9"/>
        <color theme="1"/>
        <rFont val="Times New Roman"/>
        <family val="1"/>
        <charset val="204"/>
      </rPr>
      <t xml:space="preserve"> Постановление от 08.12.2017г №2625. Помещения 2, 3, 4 общей площадью 92,6 кв.м. оперативное управление МБУ "Благоустройство и дорожное хозяйство". Постановление от 26.04.2019г №587</t>
    </r>
  </si>
  <si>
    <t>Изложено в новой редакции. Совет депутатов от 14.05.2019г №227/38</t>
  </si>
  <si>
    <t>Изложено в новой редакции по представлению КСП. Решение Совета депутатов от 14.05.2019г №227/38.  Договор соц.найма № 20 от 25.03.2009 г. Наниматель: Абашкин Михаил Евгеньевич</t>
  </si>
  <si>
    <t xml:space="preserve">Изложено в новой редакции по представлению КСП. Решение Совета депутатов от 14.05.2019г №227/38. </t>
  </si>
  <si>
    <t>Изложено в новой редакции по представлению КСП. Решение Совета депутатов от 14.05.2019г №227/38.  Договор соц.найма№ 182/20107 от 18.09.2017 Наниматель: Калашникова Оксана Андреевна</t>
  </si>
  <si>
    <t>Изложено в новой редакции по представлению КСП. Решение Совета депутатов от 14.05.2019г №227/38.  Договор соц.найма № 179У от 19.02.2013 г.</t>
  </si>
  <si>
    <t>ИИзложено в новой редакции по представлению КСП. Решение Совета депутатов от 14.05.2019г №227/38.   Договор соц.найма № 281/У от 07.10.2013 г. Наниматель: Харитонова Татьяна Дмитриевна</t>
  </si>
  <si>
    <t>Изложено в новой редакции по представлению КСП. Решение Совета депутатов от 14.05.2019г №227/38.   Договор соц.найма № 237/У от 07.10.2013 г.</t>
  </si>
  <si>
    <t>Изложено в новой редакции по представлению КСП. Решение Совета депутатов от 14.05.2019г №227/38.  Договор соц.найма № 236/У от 07.10.2013 г.</t>
  </si>
  <si>
    <t>Изложено в новой редакции по представлению КСП. Решение Совета депутатов от 14.05.2019г №227/38.  Договор соц.найма от 25.10.2018г №24/2018. Наниматель: Солпанов Евгений Владимирович</t>
  </si>
  <si>
    <t xml:space="preserve">Изложено в новой редакции по представлению КСП. Решение Совета депутатов от 14.05.2019г №227/38.  </t>
  </si>
  <si>
    <t>Исключено, на основании Служебной записки главного бухгалтера Малихиной Е.А от 21.03.2019г перенесено в Раздел 2</t>
  </si>
  <si>
    <t>14.05.2019г</t>
  </si>
  <si>
    <t>Решение Совета депутатов городского округа от 14.05.2019г №227/38</t>
  </si>
  <si>
    <t>Решение Совета депутатов от 14.05.2019г №227/38</t>
  </si>
  <si>
    <t>Исключено, задвоено со стр.10202</t>
  </si>
  <si>
    <t>Особо ценное движимое имущество. Постановление от 04.10.2018г №1516</t>
  </si>
  <si>
    <t>Особо ценное имущество. Постановление от 17.12.2018г №1878</t>
  </si>
  <si>
    <t xml:space="preserve"> Особо ценное имущество. Постановление от 17.12.2018г №1878</t>
  </si>
  <si>
    <t>Особо ценное имущество. Постановление от 30.01.2019г №120</t>
  </si>
  <si>
    <t xml:space="preserve"> Особо ценное имущество. Постановление от 30.01.2019г №120</t>
  </si>
  <si>
    <t xml:space="preserve"> Особо ценное движимое имущество. Постановление от 04.10.2018г №1516</t>
  </si>
  <si>
    <t>Особо ценное движимое имущество. Постановление от 15.01.2019г №41</t>
  </si>
  <si>
    <t xml:space="preserve"> Особо ценное имущество. Постановление от 11.02.2019г №190</t>
  </si>
  <si>
    <t>Особо ценное движимое имущество. Постановление от 17.01.2019г №74</t>
  </si>
  <si>
    <t xml:space="preserve">Особо ценное движимое имущество. На основании Служебной записки главного бухгалтера Малихиной Е.А от 21.03.2019г перенесено из Раздела 1 </t>
  </si>
  <si>
    <t>Особо ценное имущество. Постановление от 28.11.2018г № 1775</t>
  </si>
  <si>
    <t xml:space="preserve"> Особо ценное имущество. Постановление от 17.01.2019г №76</t>
  </si>
  <si>
    <t xml:space="preserve"> Особо ценное имущество. Постановление от 17.01.2019г №78</t>
  </si>
  <si>
    <t xml:space="preserve"> Особо ценное имущество. Постановление от 17.01.2019г №75</t>
  </si>
  <si>
    <t>Особо ценное движимое имущество. Постановление от 15.01.2019г №37</t>
  </si>
  <si>
    <t>Особо ценное движимое имущество. Постановление от 17.01.2019г №68</t>
  </si>
  <si>
    <t xml:space="preserve"> Особо ценное движимое имущество. Постановление от 17.01.2019г №68</t>
  </si>
  <si>
    <t>Особо ценное движимое имущество. Постановление от 17.01.2019г №64</t>
  </si>
  <si>
    <t>Особо ценное движимое имущество. Постановление от 17.01.2019г №73</t>
  </si>
  <si>
    <t xml:space="preserve"> Особо ценное движимое имущество. Постановление от 15.01.2019г №35</t>
  </si>
  <si>
    <t>Особо ценное движимое имущество. Постановление от 17.01.2019г №63</t>
  </si>
  <si>
    <t xml:space="preserve"> Особо ценное движимое имущество. Постановление от 17.01.2019г №63</t>
  </si>
  <si>
    <t>Особо ценное движимое имущество. Постановление от 15.01.2019г №38</t>
  </si>
  <si>
    <t>Особо ценнон движимое имущество. Постановление от 22.03.2018г №402</t>
  </si>
  <si>
    <t>Особо ценнон движимое имущество. Постановление от 17.01.2019г №80</t>
  </si>
  <si>
    <t>28.05.2019г</t>
  </si>
  <si>
    <t>Договор купли-продажи доли в праве общей долевой собственности на квартиру от 23.05.2019г, удостовереный нотариусрм Бурукиным С.А., зарегистрировано в реестре №50/432-н/50-2019-1-390. Регистрация права от 28.05.2019г № 50:39:0060306:618-50/039/2019-4</t>
  </si>
  <si>
    <t>Московская область, Серебряно-Прудский район, р.п. Серебряные Пруды, ПТУ, д.7б, кв.15</t>
  </si>
  <si>
    <t>50:39:0050101:560</t>
  </si>
  <si>
    <t>03.06.2019г</t>
  </si>
  <si>
    <t>Московская область, Серебряно-Прудский район, р.п. Серебряные Пруды, мкр-н Центральный, д.13. кв.17</t>
  </si>
  <si>
    <t>50:39:0050506:144</t>
  </si>
  <si>
    <t xml:space="preserve">Решение Серебряно-Прудского районного суда Московской области от 07.11.2016г, дело № 2-754/2016, дело № 2-755/2016. ст.36 ЖК РФ. Уведомление о регистрации пркращения права собственности от 25.05.2019г №50/39/008/2019-1201 </t>
  </si>
  <si>
    <t>Плотина нижнего пруда на р. Свинка</t>
  </si>
  <si>
    <t>50:39:0000000:4359</t>
  </si>
  <si>
    <t>21.05.2019г</t>
  </si>
  <si>
    <t>Решение суда от 22.03.2019г №2-143/2019 принята из бесхозяйной в муниципальную собственность. Регистрация права от 21.05.2019г №50:39:0000000:4359-50/036/2019-3</t>
  </si>
  <si>
    <t>Географические координаты 54.39574 38.56929</t>
  </si>
  <si>
    <t>Плотина пруда на прит. р. Полосня</t>
  </si>
  <si>
    <t>50:39:0060201:119</t>
  </si>
  <si>
    <t>Решение суда от 05.03.2019г №2-135/2019 принята из бесхозяйной в муниципальную собственность. Регистрация права от 07.05.2019г №50:39:0060202:119-50/036/2019-3</t>
  </si>
  <si>
    <t>Географические координаты 54.347092 38.539513</t>
  </si>
  <si>
    <t>Плотина пруда, балка Заблудино - Пчельник, руч. Солоница</t>
  </si>
  <si>
    <t>50:39:0060114:162</t>
  </si>
  <si>
    <t>Решением суда от 12.03.2019г №2-134/2019 принята из бесхозяйной в муниципальную собственность. Регистрация права от 25.04.2019г №50:39:0060114:162-50/001/2019-4</t>
  </si>
  <si>
    <t>Географические координаты 54.417512  38.584964</t>
  </si>
  <si>
    <r>
      <t xml:space="preserve">Помещение площадью 30,9 кв.м аренда </t>
    </r>
    <r>
      <rPr>
        <b/>
        <sz val="9"/>
        <color theme="1"/>
        <rFont val="Times New Roman"/>
        <family val="1"/>
        <charset val="204"/>
      </rPr>
      <t>ИП Иванов Я.П.</t>
    </r>
    <r>
      <rPr>
        <sz val="9"/>
        <color theme="1"/>
        <rFont val="Times New Roman"/>
        <family val="1"/>
        <charset val="204"/>
      </rPr>
      <t xml:space="preserve"> до 16.08.2020г. Договор №2 от 17.08.2015г. Помещение площадью 4,10 кв.м аренда</t>
    </r>
    <r>
      <rPr>
        <b/>
        <sz val="9"/>
        <color theme="1"/>
        <rFont val="Times New Roman"/>
        <family val="1"/>
        <charset val="204"/>
      </rPr>
      <t xml:space="preserve"> ИП Ряковская С.В. </t>
    </r>
    <r>
      <rPr>
        <sz val="9"/>
        <color theme="1"/>
        <rFont val="Times New Roman"/>
        <family val="1"/>
        <charset val="204"/>
      </rPr>
      <t>До 16.06.2019г. Постановление администрации от 13.06.2018г №887. Помещение площадью 6,61 кв.м. оперативное управление</t>
    </r>
    <r>
      <rPr>
        <b/>
        <sz val="9"/>
        <color theme="1"/>
        <rFont val="Times New Roman"/>
        <family val="1"/>
        <charset val="204"/>
      </rPr>
      <t xml:space="preserve"> МКУ "Служба обеспечения"</t>
    </r>
    <r>
      <rPr>
        <sz val="9"/>
        <color theme="1"/>
        <rFont val="Times New Roman"/>
        <family val="1"/>
        <charset val="204"/>
      </rPr>
      <t>. Постановление от 20.03.2019г №383. Помещение площадью 5,53 кв.м аренда ИП Ряковская С.В. до 31.05.2024г. постановление от 31.05.2019г №805.</t>
    </r>
  </si>
  <si>
    <t>Оперативное управление МБУ "Благоустройство и дорожное хозяйство". Постановление от 21.05.2019г №694</t>
  </si>
  <si>
    <t>Особо ценное движимое имущество. Постановление от 21.05.2019г №693</t>
  </si>
  <si>
    <t>Нежилое здание (Детский сад №1 "Ручеек)", нежилое, 2-этажное, инв. 1051 лит А</t>
  </si>
  <si>
    <r>
      <t xml:space="preserve">Помещение общей площадью 19,8 кв.м. аренда </t>
    </r>
    <r>
      <rPr>
        <b/>
        <sz val="9"/>
        <color theme="1"/>
        <rFont val="Times New Roman"/>
        <family val="1"/>
        <charset val="204"/>
      </rPr>
      <t>ООО "Серебряно-Прудский АБЗ"</t>
    </r>
    <r>
      <rPr>
        <sz val="9"/>
        <color theme="1"/>
        <rFont val="Times New Roman"/>
        <family val="1"/>
        <charset val="204"/>
      </rPr>
      <t>.</t>
    </r>
    <r>
      <rPr>
        <b/>
        <sz val="9"/>
        <color theme="1"/>
        <rFont val="Times New Roman"/>
        <family val="1"/>
        <charset val="204"/>
      </rPr>
      <t xml:space="preserve"> </t>
    </r>
    <r>
      <rPr>
        <sz val="9"/>
        <color theme="1"/>
        <rFont val="Times New Roman"/>
        <family val="1"/>
        <charset val="204"/>
      </rPr>
      <t xml:space="preserve">Постановление от 21.05.2019г №692. Помещение общей площадью 19,72 кв.м. аренда </t>
    </r>
    <r>
      <rPr>
        <b/>
        <sz val="9"/>
        <color theme="1"/>
        <rFont val="Times New Roman"/>
        <family val="1"/>
        <charset val="204"/>
      </rPr>
      <t>ООО "Консалидация"</t>
    </r>
    <r>
      <rPr>
        <sz val="9"/>
        <color theme="1"/>
        <rFont val="Times New Roman"/>
        <family val="1"/>
        <charset val="204"/>
      </rPr>
      <t xml:space="preserve">. Постановление от 21.05.2019г №691. Помещение общей площадью 19,77 кв.м. аренда </t>
    </r>
    <r>
      <rPr>
        <b/>
        <sz val="9"/>
        <color theme="1"/>
        <rFont val="Times New Roman"/>
        <family val="1"/>
        <charset val="204"/>
      </rPr>
      <t>ООО "Серебряно-Прудский Кварцит"</t>
    </r>
    <r>
      <rPr>
        <sz val="9"/>
        <color theme="1"/>
        <rFont val="Times New Roman"/>
        <family val="1"/>
        <charset val="204"/>
      </rPr>
      <t xml:space="preserve">. Постановление от 21.05.2019г №690. </t>
    </r>
  </si>
  <si>
    <t>Договор соц.найма от 13.04.2012г №5-2012. Наниматель: Старостина Надежда Сергеевна</t>
  </si>
  <si>
    <t>50:39:0010108:652</t>
  </si>
  <si>
    <t>Площадь квартиры уточнена на основании Служебной записки начальника жилдищного отдела от 28.06.2019г</t>
  </si>
  <si>
    <t>Земельный участок Категория земель - 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 ВРИ - коммунальное обслуживание (под котельной)</t>
  </si>
  <si>
    <t>Московская область, Серебряно-Прудский район, вблизи п. Успенский</t>
  </si>
  <si>
    <t>50:39:0070304:47</t>
  </si>
  <si>
    <t>18.06.2019г</t>
  </si>
  <si>
    <t>Выписка из ЕГРП, регистрация права от 18.06.2019г №50:39:0070304:47-50/001/2019-1</t>
  </si>
  <si>
    <t>Земельный участок Категория земель - земли населённых пунктов ВРИ - коммунальное обслуживание (под котельной)</t>
  </si>
  <si>
    <t>50:39:0050301:657</t>
  </si>
  <si>
    <t>Выписка из ЕГРП, регистрация права от 18.06.2019г №50:39:0050301:657-50/001/2019-1</t>
  </si>
  <si>
    <t>50:39:0060306:1036</t>
  </si>
  <si>
    <t>Выписка из ЕГРП, регистрация права от 18.06.2019г №50:39:0060306:1036-50/001/2019-1</t>
  </si>
  <si>
    <t>50:39:0060104:719</t>
  </si>
  <si>
    <t>Выписка из ЕГРП, регистрация права от 18.06.2019г №50:39:0060104:719-50/001/2019-1</t>
  </si>
  <si>
    <t>Московская область, Серебряно-Прудский район, с.Подхожее</t>
  </si>
  <si>
    <t>50:39:0060501:162</t>
  </si>
  <si>
    <t>Выписка из ЕГРП, регистрация права от 18.06.2019г №50:39:0060501:162-50/001/2019-1</t>
  </si>
  <si>
    <t>50:39:0050404:1000</t>
  </si>
  <si>
    <t>Выписка из ЕГРП, регистрация права от 18.06.2019г №50:39:0050404:1000-50/001/2019-1</t>
  </si>
  <si>
    <t>50:39:0050513:222</t>
  </si>
  <si>
    <t>Выписка из ЕГРП, регистрация права от 18.06.2019г №50:39:0050513:222-50/001/2019-1</t>
  </si>
  <si>
    <t>Исключено на основании Акта инвентаризации от 30.10.2017г . Изложить в новой редакции на основании служебной записки С.Н. Калашниковой</t>
  </si>
  <si>
    <t xml:space="preserve">Московская область, городской округ Серебряные Пруды, д.Кораблёвка (вблизи д.12)         </t>
  </si>
  <si>
    <t>15.1.36.0027</t>
  </si>
  <si>
    <t>15.2.34.0043</t>
  </si>
  <si>
    <t>15.2.34.0042</t>
  </si>
  <si>
    <t>15.1.04.0033</t>
  </si>
  <si>
    <t>15.1.04.0003</t>
  </si>
  <si>
    <t>15.1.04.0011</t>
  </si>
  <si>
    <t>15.1.06.0015/6</t>
  </si>
  <si>
    <t>15.1.06.0021</t>
  </si>
  <si>
    <t>15.1.06.0015/2</t>
  </si>
  <si>
    <t>15.1.06.0003</t>
  </si>
  <si>
    <t>15.1.06.0007/3</t>
  </si>
  <si>
    <t>15.1.06.0012</t>
  </si>
  <si>
    <t>15.1.06.0015/5</t>
  </si>
  <si>
    <t>15.1.06.0001</t>
  </si>
  <si>
    <t>15.1.06.0007/2</t>
  </si>
  <si>
    <t>15.1.06.0006/3</t>
  </si>
  <si>
    <t>15.1.06.0015/7</t>
  </si>
  <si>
    <t>15.1.06.0007</t>
  </si>
  <si>
    <t>15.1.06.0015/3</t>
  </si>
  <si>
    <t>15.1.06.0015/4</t>
  </si>
  <si>
    <t>15.1.06.0007/5</t>
  </si>
  <si>
    <t>15.1.36.0028</t>
  </si>
  <si>
    <t>15.1.06.0005</t>
  </si>
  <si>
    <t>15.1.06.0006</t>
  </si>
  <si>
    <t>15.1.06.0007/4</t>
  </si>
  <si>
    <t>15.1.36.0026</t>
  </si>
  <si>
    <t>15.1.06.0020</t>
  </si>
  <si>
    <t>15.1.06.0002</t>
  </si>
  <si>
    <t>15.1.06.0015</t>
  </si>
  <si>
    <t>15.1.06.0006/2</t>
  </si>
  <si>
    <t>15.1.34.0037</t>
  </si>
  <si>
    <t>15.1.34.0036</t>
  </si>
  <si>
    <t>15.1.36.0029</t>
  </si>
  <si>
    <t>15.1.34.0038</t>
  </si>
  <si>
    <t>15.1.38.0012</t>
  </si>
  <si>
    <t>15.1.38.0004</t>
  </si>
  <si>
    <t>15.1.38.0003</t>
  </si>
  <si>
    <t>15.1.38.0005</t>
  </si>
  <si>
    <t>15.1.38.0013</t>
  </si>
  <si>
    <t>15.1.38.0009</t>
  </si>
  <si>
    <t>15.1.38.0017</t>
  </si>
  <si>
    <t>15.1.38.0006</t>
  </si>
  <si>
    <t>15.1.38.0001</t>
  </si>
  <si>
    <t>15.1.38.0011</t>
  </si>
  <si>
    <t>15.1.38.0018</t>
  </si>
  <si>
    <t>15.1.38.0016</t>
  </si>
  <si>
    <t>15.1.38.0008</t>
  </si>
  <si>
    <t>15.1.38.0007</t>
  </si>
  <si>
    <t>15.1.38.0015</t>
  </si>
  <si>
    <t>15.1.38.0002</t>
  </si>
  <si>
    <t>15.1.38.0014</t>
  </si>
  <si>
    <t>15.1.38.0019</t>
  </si>
  <si>
    <t>15.1.38.0010</t>
  </si>
  <si>
    <t>Оперативное управление МОУ "Крутовская средняя общеобразовательная школа". Постановление от 27.11.2017г №2531</t>
  </si>
  <si>
    <t>Автоматиз. узел управления и коммерч-х приборов учёта для системы центр. отопления</t>
  </si>
  <si>
    <t>Муниципальный контракт от 23.05.2019г №Ф.2019.232470. Выписка из ЕГРН, регистрация права от 03.06.2019г №50:39:0050101:560-50/001/2019-3</t>
  </si>
  <si>
    <t>Муниципальный контракт от 23.05.2019г №Ф.2019.232330. Выписка из ЕГРН, регистрация права от 03.06.2019г №50:39:0050506:144-50/001/2019-2</t>
  </si>
  <si>
    <t>Проектор EPSON EB-X27</t>
  </si>
  <si>
    <t xml:space="preserve">Оперативное управление МДОУ "Детский сад комбинированного вида №5 "Журавушка". </t>
  </si>
  <si>
    <t>Проектор Epson EB-670 со специальным креплением</t>
  </si>
  <si>
    <t>15.04.2019г</t>
  </si>
  <si>
    <t xml:space="preserve">Распоряжение Территориального управления Федерального агенства по управлению государтвенным имуществом в Московской области (ТУ Росимущества по МО) от 07.03.2019г №69-р. Акт приема-передачи от 15.04.2019г №4507. Регистрация права от 15.04.2019г № 50:39:0000000:4507-50/039/2019-1 </t>
  </si>
  <si>
    <t>Договор соц.найма №19/2019 от 03.07.2019г. Наниматель: Самохин Александр Анатольевич</t>
  </si>
  <si>
    <t>Договор соц.найма№ 20/2019 от 17.07.2019г Наниматель: Соловьева Надежда Сергеевна</t>
  </si>
  <si>
    <t xml:space="preserve">Проектор Epson </t>
  </si>
  <si>
    <t>1.101.04.3519</t>
  </si>
  <si>
    <t>19.06.2019г</t>
  </si>
  <si>
    <t>Муниципальный контракт от 23.05.2019г №Ф.2019.255039. Товарная накладная от 19.06.2019г №191</t>
  </si>
  <si>
    <t>Стабилизатор Zhiyun</t>
  </si>
  <si>
    <t>1.101.04.3520</t>
  </si>
  <si>
    <t>Изложить в новой редакции. Отдел ИТ, Прошин В.А.</t>
  </si>
  <si>
    <t>1.10.38.3510</t>
  </si>
  <si>
    <t>Металлические пешеходные ограждения перильного типа, оцинкованное 2 шт по 100м, п. Дмитриевский (вблизи общеобразовательной школы)</t>
  </si>
  <si>
    <t>Контракт от 07.05.2019г №Ф.2019.232311, Акт о приемке выполненных работ №1 от 28.05.2019г</t>
  </si>
  <si>
    <t>Изложить в новой редакции. Отдел по строительству, дорожному хозяйству и ЖКХ, Журавлев А.С.</t>
  </si>
  <si>
    <t>1.101.38.3511</t>
  </si>
  <si>
    <t>Светофор транспортный светодиодный тип Е.7 в комплекте  с солнечной батареей. Установленный на светофорной колонке транспортная (труба диаметр 108 мм, высота 6м) 2шт</t>
  </si>
  <si>
    <t>25.07.2019г</t>
  </si>
  <si>
    <t xml:space="preserve">Договор № 3/2019 передачи жилого помещения муниципального жилищного фонда в собственность граждан от 05.04.2019г. Регистрация права от 25.07.2019г №50:39:0050508:893-50/036/2019-3,4 </t>
  </si>
  <si>
    <t>01.03.2019г</t>
  </si>
  <si>
    <t>Распоряжение Правительства Московской области от 28.12.2018г №844-РП, Передаточный акт от 01.03.2019г № 844-РП</t>
  </si>
  <si>
    <t>Пианино модель 3, рп Серебряные Пруды, мкр. Центральный, д.1</t>
  </si>
  <si>
    <t>Пианино модель 3, рп Серебряные Пруды, мкр. Западный, д.10</t>
  </si>
  <si>
    <t>Пианино модель 3, с. Узуново. Ул. Садовая, д.62</t>
  </si>
  <si>
    <t>Детская площадка, с.Мочилы, ул.Юбилейная, д.1,7,9. ( Детский городок ГМОЗО.11.01.17 - 1шт, качели - балансир КЧ000.11.01.17 - 1шт, Качели 1 шт, Песочница ПС0002 - 1 шт, информационный стенд, оргаждение металличекая конструкция 28 секций, урна - 2 шт, скамейка - 4 шт, площадью 150 кв.м.)</t>
  </si>
  <si>
    <t>Детская площадка, с.Мочилы, ул.Юбилейная, д.2,3,4. (Антивандальный ДИК - 1шт, качалка-балансир - 1шт, песочница 1шт, информационный щит - 1шт, урна - 1шт, скамейка - 8 шт, площадью 400 кв.м.)</t>
  </si>
  <si>
    <t>Детская площадка, д.Шеметово, д.4,6,7,8. (Горка - 1шт, качели на металлических стойках КЧ027.01 - 1шт, карусель 4-х местная "Малыш" КР001.02. - 1шт, качелпи на пружине "Петушок" КЧ058 - 1шт, качели - балансир - 1шт, песочница ПС000.11.01 - 1шт, информационный щит - 1шт, урна - 1шт, скамейка - 2шт, площадью 400 кв.м.)</t>
  </si>
  <si>
    <t>Детская игровая площадка по адресу: Московская область, го Серебряные Пруды, д. Шеметово, д.1,2,3,4,11,13,50 (скамья парковая - 5шт, урна -5шт, тренажёр ТР-3.10 -1шт,  тренажёр ТР-3.11 -1шт,  тренажёр ТР-3.12 -1шт, тренажер двойной ТР-3.13 - 1шт, тренажер двойной ТР-3.14 - 1шт, Игровой комплекс ИКС -1.36 -1шт, Качели-гнездо - 1шт, Элемент для лазания СП-1.94 - 1шт, карусель - 1шт, Спортивный комплекс W-05-010 - 1шт, качалка -1шт, качели двойные - 1шт, Спортивный комплекс СП -1.100 - 1шт, песочница - 1шт, стенд информационный -1шт, 3D фигура СП-1.67 -1шт, 3D фигура СП-1.68 -1шт, металлическое ограждение, резиновое покрытие)</t>
  </si>
  <si>
    <t>Детская площадка, д. Шеметово, д.9,10,12. (Горка - 1шт, карусель 4-х местная "Малыш" КР001.02-1шт, Качели на пружине "Петушок" КЧ058-1шт, Качели-балансир-1шт, Песочница ПС000.11.01-1шт,Шведская стенка-1шт, информационный стенд-1шт, урна-1шт,скамейка-3шт, площадью 600 кв.м.)</t>
  </si>
  <si>
    <t xml:space="preserve">Перенесено из Раздела 1. Недвижимое имущество. </t>
  </si>
  <si>
    <t>Плотина пруда №2 на ручье Мочилка притоке р. Прони</t>
  </si>
  <si>
    <t>50:39:0060306:1073</t>
  </si>
  <si>
    <t>Решение суда от 13.06.2019г №2-308/2019 принята из бесхозяйной в муниципальную собственность. Регистрация права от 25.07.2019г №50:39:0060306:1073-50/001/2019-3</t>
  </si>
  <si>
    <t>Географические координаты 54.327876 38.677195. Наложение координат при кадастрировании с муниципальной плотиной 50:39:0060306:1013. Заключен контракт на исправление технической ошибки с ПЦН</t>
  </si>
  <si>
    <t>Нежилое здание, гаражи 6 шт, год ввода 1965, стены кирпичные</t>
  </si>
  <si>
    <t>Московская область, Серебряно-Прудский район, рп Серебряные Пруды, ул. 8 Марта</t>
  </si>
  <si>
    <t>50:39:0050502:100</t>
  </si>
  <si>
    <t>Решение суда от 13.06.2019г №2-309/2019.  Регистрация права от 25.07.2019г №50:39:0050502:100-50/001/2019-3</t>
  </si>
  <si>
    <r>
      <t xml:space="preserve">Оперативное управление помещение 52 кв.м. </t>
    </r>
    <r>
      <rPr>
        <b/>
        <sz val="9"/>
        <color theme="1"/>
        <rFont val="Times New Roman"/>
        <family val="1"/>
        <charset val="204"/>
      </rPr>
      <t>МУК "Централизованная библиотечная система"</t>
    </r>
    <r>
      <rPr>
        <sz val="9"/>
        <color theme="1"/>
        <rFont val="Times New Roman"/>
        <family val="1"/>
        <charset val="204"/>
      </rPr>
      <t>. Постановление от 22.10.2008г № 1128. Помещение площадью 90,6 кв.м. безвозмездное пользование</t>
    </r>
    <r>
      <rPr>
        <b/>
        <sz val="9"/>
        <color theme="1"/>
        <rFont val="Times New Roman"/>
        <family val="1"/>
        <charset val="204"/>
      </rPr>
      <t xml:space="preserve"> ГБУ здравоохранения МО "Серебряно-Прудская ЦРБ</t>
    </r>
    <r>
      <rPr>
        <sz val="9"/>
        <color theme="1"/>
        <rFont val="Times New Roman"/>
        <family val="1"/>
        <charset val="204"/>
      </rPr>
      <t>". Решение Совета депутатов от 01.06.2018г №115/17</t>
    </r>
  </si>
  <si>
    <r>
      <t>Безвозмездное пользование</t>
    </r>
    <r>
      <rPr>
        <b/>
        <sz val="9"/>
        <color theme="1"/>
        <rFont val="Times New Roman"/>
        <family val="1"/>
        <charset val="204"/>
      </rPr>
      <t xml:space="preserve"> ГБУ здравоохранения МО "Серебряно-Прудская ЦРБ"</t>
    </r>
    <r>
      <rPr>
        <sz val="9"/>
        <color theme="1"/>
        <rFont val="Times New Roman"/>
        <family val="1"/>
        <charset val="204"/>
      </rPr>
      <t>. Решение Совета депутатов от 01.06.2018г №115/17</t>
    </r>
  </si>
  <si>
    <r>
      <t xml:space="preserve">Безвозмездное пользование </t>
    </r>
    <r>
      <rPr>
        <b/>
        <sz val="9"/>
        <color theme="1"/>
        <rFont val="Times New Roman"/>
        <family val="1"/>
        <charset val="204"/>
      </rPr>
      <t>ГБУ здравоохранения МО "Серебряно-Прудская ЦРБ"</t>
    </r>
    <r>
      <rPr>
        <sz val="9"/>
        <color theme="1"/>
        <rFont val="Times New Roman"/>
        <family val="1"/>
        <charset val="204"/>
      </rPr>
      <t>. Решение Совета депутатов от 01.06.2018г №115/17</t>
    </r>
  </si>
  <si>
    <t>Московская область, городской округ Серебряные Пруды, д.   Косяево,  д.6</t>
  </si>
  <si>
    <t>Исключить, является частью стр 378</t>
  </si>
  <si>
    <r>
      <t xml:space="preserve">Помещение площадью 32,5 кв.м. безвозмездное пользование </t>
    </r>
    <r>
      <rPr>
        <b/>
        <sz val="9"/>
        <color theme="1"/>
        <rFont val="Times New Roman"/>
        <family val="1"/>
        <charset val="204"/>
      </rPr>
      <t>ГБУ здравоохранения МО "Серебряно-Прудская ЦРБ"</t>
    </r>
    <r>
      <rPr>
        <sz val="9"/>
        <color theme="1"/>
        <rFont val="Times New Roman"/>
        <family val="1"/>
        <charset val="204"/>
      </rPr>
      <t>. Решение Совета депутатов от 01.06.2018г №115/17</t>
    </r>
  </si>
  <si>
    <t xml:space="preserve">Распоряжение о списании движимого имущества от 02.07.2019г №374-р </t>
  </si>
  <si>
    <t xml:space="preserve">1.101040293                   </t>
  </si>
  <si>
    <t>1.10106.0274</t>
  </si>
  <si>
    <t>Кресло офисное Т898</t>
  </si>
  <si>
    <t>24.06.2009г</t>
  </si>
  <si>
    <t xml:space="preserve">Кресло офисное СН-272 РР серый </t>
  </si>
  <si>
    <t>1.10106.0070</t>
  </si>
  <si>
    <t>20.12.2006г</t>
  </si>
  <si>
    <t>Монитор 17" Acer AL 1717AS</t>
  </si>
  <si>
    <t>1.10104.0061</t>
  </si>
  <si>
    <t>Телефон Panasonik</t>
  </si>
  <si>
    <t>1.101.04.114</t>
  </si>
  <si>
    <t>30.06.2008г</t>
  </si>
  <si>
    <t>19.09.2007г</t>
  </si>
  <si>
    <t>Изложить в новой редакции. Принято в казну постановлением от 02.07.2019г №999</t>
  </si>
  <si>
    <t>Ноутбук LENOVO 15/6 intel</t>
  </si>
  <si>
    <t>20.05.2019г</t>
  </si>
  <si>
    <t>Муниципальный контракт от 06.05.2019г №08486000074190001050002. Товарная накладная от 20.05.2019г №69</t>
  </si>
  <si>
    <t>Особо ценное имущество. Постановление  от 08.07.2019г №1031</t>
  </si>
  <si>
    <t>Детский игровой комплекс, рп Серебряные пруды, ул. Ленина, д.53</t>
  </si>
  <si>
    <t>Акт о приеме-передаче объектов нефинансовых активов от 01.09.2018г №68</t>
  </si>
  <si>
    <t>Оперативное управление МБУ "Благоустройство и дорожное хозяйство". Постановление от 08.07.2019г №1032</t>
  </si>
  <si>
    <t>Ель, цвет зелёный, хвоя - пленка, высота 12 метров, рп Серебряные Пруды, ул. Привокзальная, ангар</t>
  </si>
  <si>
    <t>Акт о приеме-передаче объектов нефинансовых активов от 14.11.2018г №70</t>
  </si>
  <si>
    <t>Макушка "Роза ветров", 1м, рп Серебряные Пруды, ул. Привокзальная, ангар</t>
  </si>
  <si>
    <t>Акт о приеме-передаче объектов нефинансовых активов от 14.11.2018г №71</t>
  </si>
  <si>
    <t>Качели 2-х, на металлических стойках, с декоративными элементами КЧ027.02, с. Дудино, д.36</t>
  </si>
  <si>
    <t>Акт о приеме-передаче объектов нефинансовых активов от 05.07.2017г</t>
  </si>
  <si>
    <t>Качели 2-х, на металлических стойках, с декоративными элементами КЧ027.02, рп Серебряные Пруды, м-н Юбилейный, д.3</t>
  </si>
  <si>
    <t>Качели 2-х, на металлических стойках, с декоративными элементами КЧ027.02, рп Серебряные Пруды, м-н Западный, д.8</t>
  </si>
  <si>
    <t>Качели-балансир КЧ000.11.17, рп Серебряные Пруды, ул.Октябрьская, д.98</t>
  </si>
  <si>
    <t>Качели-балансир КЧ000.11.17, рп Серебряные Пруды, м-н Западный, д.8</t>
  </si>
  <si>
    <t>Качели-балансир КЧ000.11.17, рп Серебряные Пруды, ул. Набережная, д.93</t>
  </si>
  <si>
    <t>Качели-балансир КЧ000.11.17, рп Серебряные Пруды, м-н Юбилейный, д.3</t>
  </si>
  <si>
    <t>Качели-балансир КЧ000.11.17, рп Серебряные Пруды, ул. Первомайская, д.6</t>
  </si>
  <si>
    <t>Песочница ПС000.11.02, рп Серебряные Пруды, м-н Юбилейный, д.3</t>
  </si>
  <si>
    <t>Песочница ПС000.11.02, рп Серебряные Пруды, м-н Западный, д.8</t>
  </si>
  <si>
    <t>Карусель 4-х местная КР003.11, рп Серебряные Пруды, м-н Западный, д.8</t>
  </si>
  <si>
    <t>Карусель 4-х местная КР003.11, рп Серебряные Пруды, ул. Первомайская, д.6</t>
  </si>
  <si>
    <t>Карусель 4-х местная КР003.11, рп Серебряные Пруды, м-н Юбилейный, д.3</t>
  </si>
  <si>
    <t>Качели на пружине "Мотоцикл", рп Серебряные Пруды, ул. Первомайская, д.6</t>
  </si>
  <si>
    <t>Качели 2-х секционные деревянные, с. Узуново, д.9, 12</t>
  </si>
  <si>
    <t>Качели 2-х секционные деревянные, с. Петрово, д.6</t>
  </si>
  <si>
    <t>Качели 2-х секционные деревянные, с. Глубокое, д.37</t>
  </si>
  <si>
    <t>Качели односекционные. На металлических стойках. С декоративными элементами КЧ027.01, с. Петрово, д.8</t>
  </si>
  <si>
    <t>Песочница ПС000.11.01, с. Крутое, д.12</t>
  </si>
  <si>
    <t>Песочница ПС000.11.01, с. Узуново, ул. Почтовая, д.9а</t>
  </si>
  <si>
    <t>Песочница ПС000.11.01, п. Новоклемово, д.26, 27</t>
  </si>
  <si>
    <t>Качели 2-х секционные деревянные, п. Новоклёмово, д.23</t>
  </si>
  <si>
    <t>Качели 2-х секционные деревянные, п. Новоклёмово, д.19, 63</t>
  </si>
  <si>
    <t>Качели 2-х секционные деревянные, п. Новоклёмово, д.26, 27</t>
  </si>
  <si>
    <t>Песочница ПС000.11.01, п. Новоклемово, д.23</t>
  </si>
  <si>
    <t>Песочница ПС000.11.01, с. Узуново, м-н Северный, д.12</t>
  </si>
  <si>
    <t>Качели-балансир КЧ000.11.17. п. Новоклемово, д.23</t>
  </si>
  <si>
    <t>Песочница "Ромашка", с. Глубокое, д.37</t>
  </si>
  <si>
    <t>Качели 2-х секционные, деревянные, п. Новоклемово, д.17, 22</t>
  </si>
  <si>
    <t>Качели 2-х секционные, деревянные, п. Успенский, ул. Советская, д.12</t>
  </si>
  <si>
    <t>Песочница ПС000.11.01, с. Подхожее, м-н Юбилейный, д.9</t>
  </si>
  <si>
    <t>Качели односекционные "Малыш", п. Успенский, ул. Садовая, д.1а</t>
  </si>
  <si>
    <t>Качели "Весы", п. Успенский, ул. Садовая, д.1а</t>
  </si>
  <si>
    <t>Качели на пружине "Черепаха", п. Успенский, ул. Садовая, д.1а</t>
  </si>
  <si>
    <t>Качели на пружине "Петушок", с. Подхожее, м-н Юбилейный, д.9</t>
  </si>
  <si>
    <t>Качели на пружине "Петушок", д. Шеметово, д.8</t>
  </si>
  <si>
    <t>Акт о приеме-передаче объектов нефинансовых активов от 17.10.2018г №69</t>
  </si>
  <si>
    <t>Навесной быстросъемный погрузчик Hauer HL-S 70 или эквивалент</t>
  </si>
  <si>
    <t>Изложить в новой редакции. Особо ценное движимое имущество. Постановление от 08.07.2019г №1033</t>
  </si>
  <si>
    <t>Особоценное движимое имущество. Постановление от 08.07.2019г №1033</t>
  </si>
  <si>
    <t>Лабиринт «Зиг-заг», рп Серебряные Пруды, мкр-н Западный, д.11-12</t>
  </si>
  <si>
    <t>Компьютер в сборе: Процессор Intel/SS250Gb/DVD-RW/Win 10 Professional 64bit/клавиатура/мышь/монитор 23*</t>
  </si>
  <si>
    <t>Контракт от 11.06.2019г №08486000074190001610004, товарная накладная от 19.06.2019г №80</t>
  </si>
  <si>
    <t>Оперативное управление МОУ "Клёмовская средняя общеобразовательная школа". Постановление от 15.07.2019г №1067</t>
  </si>
  <si>
    <t>Особо ценное движимое имущество. Постановление от 15.07.2019г №1068</t>
  </si>
  <si>
    <t>Пожарный гидрант ГП-Н 1,5 м (чугун)</t>
  </si>
  <si>
    <t>1.101.04.3516</t>
  </si>
  <si>
    <t>1.101.04.3529</t>
  </si>
  <si>
    <t>Контракт от 17.04.2019г №Ф.2019.159548, товарная накладная от 15.05.2019г №3</t>
  </si>
  <si>
    <t>Хозяйственное ведение МУП "РСО городского округа Серебряные Пруды". Постановление от 15.07.2019г №1069</t>
  </si>
  <si>
    <t>Программно-аппаратный комплекс в сборе: Монитор 23"/процессор Intel/500Gb/4Gb/DVD-RW/Win 10 Professional 64 bit/ клавиатура/мышь/МФУ</t>
  </si>
  <si>
    <t>Контракт от 17.06.2019г №08486000074190001660002, товарная накладная от 08.07.2019г №92</t>
  </si>
  <si>
    <t>Оперативное управление МОУ "Глубоковская основная общеобразовательная школа". Постановление от 06.08.2019г №1184</t>
  </si>
  <si>
    <t xml:space="preserve"> Особо ценное движимое имущество. Постановление от 05.08.2019г № 1162</t>
  </si>
  <si>
    <r>
      <t xml:space="preserve">Оперативное управление </t>
    </r>
    <r>
      <rPr>
        <b/>
        <sz val="9"/>
        <color theme="1"/>
        <rFont val="Times New Roman"/>
        <family val="1"/>
        <charset val="204"/>
      </rPr>
      <t>МУК "КДЦ Узуновское го Серебряные Пруды МО"</t>
    </r>
    <r>
      <rPr>
        <sz val="9"/>
        <color theme="1"/>
        <rFont val="Times New Roman"/>
        <family val="1"/>
        <charset val="204"/>
      </rPr>
      <t>. Постановление от 05.08.2019г №1163</t>
    </r>
  </si>
  <si>
    <t xml:space="preserve">Изложить в новой редакции. Принято в казну постановлением от 02.07.2019г №999. </t>
  </si>
  <si>
    <t xml:space="preserve">Включено в перечень муниципального имущества, предназначенного для предоставления СМСП. Решение Совета депутатов го Серебряные пруды от 05.08.2019г №244/42 </t>
  </si>
  <si>
    <t>Комплекс обеспечения по сбору и передачи информационных данных (Видеонаблюдение по программе "Безопасный регион"</t>
  </si>
  <si>
    <t>23.04.2019г</t>
  </si>
  <si>
    <t>Контракт от 19.03.2019г №08486000074190000130001, Акт сдачи-приемки работ №1 от 23.04.2019г</t>
  </si>
  <si>
    <t xml:space="preserve">Оперативное управление МОУ "Подхоженская средняя общеобразовательная школа". Постановление от 06.08.2019г №1183 </t>
  </si>
  <si>
    <t xml:space="preserve">особо ценное движимое имущество. Постановление от 06.08.2019г №1179 </t>
  </si>
  <si>
    <t>Программно-аппаратный  комплекс в сборе (ноутбук Lenovo 15/6, Intel, DVD-RW, Win 10 Professional, принтер hp LaserJet A4, USB, ЖК-панель LAN)</t>
  </si>
  <si>
    <t>Контракт №08486000074190001660003 от 17.06.2019г. Товарная накладная от 08.07.2019г №85</t>
  </si>
  <si>
    <t>Оперативное управление МОУ "Совхозная средняя общеобразовательная школа". Постановление от 06.08.2019г №1182</t>
  </si>
  <si>
    <t>Изложить в новой редакции. Особо ценное имущество. Постановление от 06.08.2019г №1181</t>
  </si>
  <si>
    <t>Ноутбук LENOVO 15/6, Intel, DVD-RW, Win 10 Professional</t>
  </si>
  <si>
    <t>Оперативное управление МОУ "Совхозная средняя общеобразовательная школа". Постановление от 26.08.2019г №1283</t>
  </si>
  <si>
    <t>Изложить в новой редакции. Особо ценное имущество. Постановление от 26.08.2019г №1286</t>
  </si>
  <si>
    <t>Контракт от 17.06.2019г №08486000074190001660003, товарная накладная от 08.07.2019г №85</t>
  </si>
  <si>
    <t>Металлический пандус</t>
  </si>
  <si>
    <t>01.08.2019г</t>
  </si>
  <si>
    <t>Контракт от 17.07.2019г №774317, товарная накладная от 01.08.2019г №15</t>
  </si>
  <si>
    <t>Оперативное управление МУК "КДЦ Мочильское городского округа Серебряные Пруды Московской области". Постановление от 26.08.2019г №1284</t>
  </si>
  <si>
    <t>Изложить в новой редакции. Особо ценнон движимое имущество. Постановление от 26.08.2019г №1285</t>
  </si>
  <si>
    <t xml:space="preserve">Оперативное управление МУ ДО "Серебряно-Прудский Дом детского творчества". Постановление от 09.07.2019г №1047 </t>
  </si>
  <si>
    <t>1.101.06.026</t>
  </si>
  <si>
    <t>Стол заседаний</t>
  </si>
  <si>
    <t>1.101.06.027</t>
  </si>
  <si>
    <t>Земельный участок Категория земель - промышленности. Энергетики, транспорта, связи, радиовещания, телевидения, информатики, земли для обеспечения космической днятельности, земли обороны, безопасности и земли иного специального назначения. ВРИ - коммунальное обслуживание</t>
  </si>
  <si>
    <t>50:39:0080105:906</t>
  </si>
  <si>
    <t>Выписка из ЕГРП, регистрация права от 06.08.2019г № 50:39:0080105:906-50/036/2019-1</t>
  </si>
  <si>
    <t>Отнесена к жилым помещениям маневренного жилищного фонда городского округа Серебряные Пруды Московской области, постановление администрации городского округа от 01.08.2019г №1145</t>
  </si>
  <si>
    <t>50:39:0030305:815</t>
  </si>
  <si>
    <t>Изложить в новой редакции. Внесены изменения о кадастровом номере и площади на основании служебной записки жилищного отдела от 09.08.2019г. Договор соц.найма № 94/2016 от 02.11.2016 Наниматель: Губин Сергей Сергеевич</t>
  </si>
  <si>
    <t>Жилой дом (муниципальный жилой фонд)</t>
  </si>
  <si>
    <t>Изложено в новой редакции На основании служебной записки отбела бухучета от 29.08.2019г внесены изменения в балансовую стоимость и сумму амортизации</t>
  </si>
  <si>
    <t>Склад, здание нежилое, 1-о этажное,год завершения строительства 1973</t>
  </si>
  <si>
    <t>Склад, здание нежилое, 1-о этажное,год завершения строительства 1974</t>
  </si>
  <si>
    <t>50:39:0040103:117</t>
  </si>
  <si>
    <t>Выписка из ЕГРН, регистрация права от 09.07.2019г №50:39:0040103:117-50/001/2019-3</t>
  </si>
  <si>
    <t>Земельный участок Категория земель - земли сельскохозяйственного назначения, ВРИ - для ведения коллективного садоводства организаций и предприятий г. Москвы</t>
  </si>
  <si>
    <t>Московская область, Серебряно-Прудский район, снт Мягковские камушки, уч-к 172</t>
  </si>
  <si>
    <t>Московская область, Серебряно-Прудский район, вблизи д.Кораблевка, в границах СНТ "Кораблевка-3"</t>
  </si>
  <si>
    <t>50:39:0080105:892</t>
  </si>
  <si>
    <t>Выписка из ЕГРН, регистрация права от 15.04.2019г №50:39:0080105:892-50/036/2019-3</t>
  </si>
  <si>
    <t>Московская область, Серебряно-Прудский район, вблизи д.Кораблевка, СНТ "Кораблевка-3", уч.129</t>
  </si>
  <si>
    <t>50:39:0080105:924</t>
  </si>
  <si>
    <t>Выписка из ЕГРН, регистрация права от 15.04.2019г №50:39:0080105:924-50/001/2019-5</t>
  </si>
  <si>
    <t>Спец.жил.фонд. Постановление от 02.07.2019г №1000.</t>
  </si>
  <si>
    <t xml:space="preserve"> Московская область, городской округ Серебряные Пруды, п. Успенский дом  №11 ул.Советская, кв.50</t>
  </si>
  <si>
    <t>50:39:0000000:3170</t>
  </si>
  <si>
    <t>06.08.2019г</t>
  </si>
  <si>
    <t>Спец.жил.фонд. Постановление от 02.07.2019г №1001. Шаухина Алина Алексеевна. Постановление от 05.07.2019г №1030</t>
  </si>
  <si>
    <t>1/3 часть нежилого здания Автостанции (32,8 кв.м.)</t>
  </si>
  <si>
    <t>50:39:0000000:1188</t>
  </si>
  <si>
    <t>Московская область, городской округ Серебряные Пруды, рп Серебряные Пруды, пл. Советская, д.2А</t>
  </si>
  <si>
    <t xml:space="preserve"> 10.02.2001г</t>
  </si>
  <si>
    <t>Договор о долевом участии в строительстве автостанции в районном центре Серебряные Пруды от 10.09.1999г б/н. распоряжение Главы Серебряно-прудского района Московской области от 4.12.2001г №686-р. Разделительная ведомость от 17.01.2001г Акт приема - передачи от 10.02.2001г</t>
  </si>
  <si>
    <r>
      <t xml:space="preserve">Безвозмездное пользование </t>
    </r>
    <r>
      <rPr>
        <b/>
        <sz val="9"/>
        <color theme="1"/>
        <rFont val="Times New Roman"/>
        <family val="1"/>
        <charset val="204"/>
      </rPr>
      <t>АО "Мострансавто"</t>
    </r>
    <r>
      <rPr>
        <sz val="9"/>
        <color theme="1"/>
        <rFont val="Times New Roman"/>
        <family val="1"/>
        <charset val="204"/>
      </rPr>
      <t xml:space="preserve"> до 10.09.2029г. Постановление от 10.09.2019г №1359</t>
    </r>
  </si>
  <si>
    <t>Нежилое помещение</t>
  </si>
  <si>
    <t>Решение Серебряно-Прудского районного суда Московской области от 22.11.2016г, Выписка из ЕГРН, регистрация права № 50:39:0070104:330-50/039/2017-2 от 23.01.2017г. Технический паспорт от 18.04.2006г. Инв.№272:078-3980</t>
  </si>
  <si>
    <t>Решение Серебряно-Прудского районного суда Московской области от 22.11.2016г, Выписка из ЕГРН, регистрация права № 50:39:0070104:330-50/039/2017-2 от 23.01.2017г. Технический паспорт от 18.04.2006г. Инв.№272:078-3981</t>
  </si>
  <si>
    <t>Решение Серебряно-Прудского районного суда Московской области от 22.11.2016г, Выписка из ЕГРН, регистрация права № 50:39:0070104:330-50/039/2017-2 от 23.01.2017г. Технический паспорт от 18.04.2006г. Инв.№272:078-3982</t>
  </si>
  <si>
    <t>Решение Серебряно-Прудского районного суда Московской области от 22.11.2016г, Выписка из ЕГРН, регистрация права № 50:39:0070104:330-50/039/2017-2 от 23.01.2017г. Технический паспорт от 18.04.2006г. Инв.№272:078-3983</t>
  </si>
  <si>
    <t>Решение Серебряно-Прудского районного суда Московской области от 22.11.2016г, Выписка из ЕГРН, регистрация права № 50:39:0070104:330-50/039/2017-2 от 23.01.2017г. Технический паспорт от 18.04.2006г. Инв.№272:078-3984</t>
  </si>
  <si>
    <t>Решение Серебряно-Прудского районного суда Московской области от 22.11.2016г, Выписка из ЕГРН, регистрация права № 50:39:0070104:330-50/039/2017-2 от 23.01.2017г. Технический паспорт от 18.04.2006г. Инв.№272:078-3985</t>
  </si>
  <si>
    <t>Решение Серебряно-Прудского районного суда Московской области от 22.11.2016г, Выписка из ЕГРН, регистрация права № 50:39:0070104:330-50/039/2017-2 от 23.01.2017г. Технический паспорт от 18.04.2006г. Инв.№272:078-3986</t>
  </si>
  <si>
    <t>Московская область, Серебряно-Прудский район, с. Дудино, д.77, кв.1</t>
  </si>
  <si>
    <t>Московская область, Серебряно-Прудский район, с. Дудино, д.77, кв.2</t>
  </si>
  <si>
    <t>Московская область, Серебряно-Прудский район, с. Дудино, д.77, кв.3</t>
  </si>
  <si>
    <t>Московская область, Серебряно-Прудский район, с. Дудино, д.77, кв.4</t>
  </si>
  <si>
    <t>Московская область, Серебряно-Прудский район, с. Дудино, д.77, кв.5</t>
  </si>
  <si>
    <t>Московская область, Серебряно-Прудский район, с. Дудино, д.77, кв.6</t>
  </si>
  <si>
    <t>Московская область, Серебряно-Прудский район, с. Дудино, д.77, кв.7</t>
  </si>
  <si>
    <t>4-х комнатная квартира</t>
  </si>
  <si>
    <t>2963.1</t>
  </si>
  <si>
    <t>2963.2</t>
  </si>
  <si>
    <t>2963.3</t>
  </si>
  <si>
    <t>2963.4</t>
  </si>
  <si>
    <t>2963.5</t>
  </si>
  <si>
    <t>2963.6</t>
  </si>
  <si>
    <t>2963.7</t>
  </si>
  <si>
    <t>Многоквартирный жилой дом, количество -этажей 1 (муниципальный жилой фонд), в том числе:</t>
  </si>
  <si>
    <t>Дополнить Реестр</t>
  </si>
  <si>
    <t>Детское игровое оборудование, Московская область, Серебряно-Прудский район,   с.Узуново, мкр-н Северный, д.2 (Качели двойные - 1шт, качели-балансир "Дружок" - 1шт, песочница "Стандарт тип 2" - 1шт, карусель "Ромашка" - 1шт, ДИК 3.113 - 1шт, ДИК 1.093 - 1шт, урна  - 4шт, скамейка - 5шт, металлическое ограждение - 40 секций, информационный щит)</t>
  </si>
  <si>
    <t>Детская игровая площадка, Московская область, Серебряно-Прудский район,  с. Узуново, мкр-н Северный, д. 5а (Песочница - 1шт, Горка - 1 шт, качели - 1шт, качели - балансир - 1шт, информвционный щит, урна - 1 шт)</t>
  </si>
  <si>
    <t xml:space="preserve">Детское игровое оборудование, Московская область, Серебряно-Прудский район,  с. Узуново,мкр-н Северный, д. 12 (Песочница - 1шт, качели двойные - 1шт, информациооный щит, скамейка - 2шт)  </t>
  </si>
  <si>
    <t>Песочница на балансе МБУ (стр. 394) как особо ценное имущество</t>
  </si>
  <si>
    <t>Детская игровая площадка, Московская область, Серебряно-Прудский район,  с. Узуново, ул. Почтовая, д. ЭЧК-69 (Горка - 1шт, качели - балансир - 1шт, песочница с грибом  - 1шт, качели двойные - 1шт, баскетбольная тройка - 1шт, информационный щит, урна - 1шт, скамейка - 1шт, металлическое ограждение - 8 секций)</t>
  </si>
  <si>
    <t>Баскетбольная тройка на балансе МБУ (стр.10997) как особо ценное имущество, писочница - имущество казны (стр. 10902)</t>
  </si>
  <si>
    <t xml:space="preserve">Детское игровое оборудование, Московская область, Серебряно-Прудский район,  с. Узуново,ул. Почтовая, д. № 9а,  А-019 </t>
  </si>
  <si>
    <t xml:space="preserve">Детское игровое оборудование, Московская область, Серебряно-Прудский район,  с. Узуново,ул. Почтовая, д. № 9а, Д-0022   </t>
  </si>
  <si>
    <t>Оперативное управление МБУ "Благоустройство и дорожное хозяйство". Постановление от 10.09.2019г №1365</t>
  </si>
  <si>
    <t>Особо ценное движимое имущество. Постановление от 10.09.2019г №1368</t>
  </si>
  <si>
    <t>Ноутбук LENOVO 15/6 Intel DVD-RW. Windows 10 Professional, мышь</t>
  </si>
  <si>
    <t xml:space="preserve">Програмно-аппаратный комплекс в сборе: Ноутбук LENOVO 15/6 Intel DVD-RW. Windows 10 Professional, мышь, проектор Acer </t>
  </si>
  <si>
    <t>08.07.2019г</t>
  </si>
  <si>
    <t>Контракт от 17.06.2019г №08486000074190001660006, товарная накладная от 08.07.2019г №86</t>
  </si>
  <si>
    <t>Оперативное управление МОУ "Шеметовская средняя общеобразовательная школа". Постановление от 17.09.2019г №1423</t>
  </si>
  <si>
    <t>Изложить в новой редакции. Особо ценнон движимое имущество. Постановление от 17.09.2019г №1423</t>
  </si>
  <si>
    <t>Изложить в новой редакции. Особо ценное движимое имущество. Постановление от 17.09.2019г №1429</t>
  </si>
  <si>
    <t>Металлодетектор арочный Блокпост РС-600</t>
  </si>
  <si>
    <t>19.08.2019г</t>
  </si>
  <si>
    <t>Контракт от 12.08.2019г 332. Товарная накладная от 12.08.2019г 31442</t>
  </si>
  <si>
    <t>Оперативное управление МОУ "Клёмовская средняя общеобразовательная школа". Постановление от 17.09.2019г №1424</t>
  </si>
  <si>
    <t>1.101.04.1317</t>
  </si>
  <si>
    <t>Видеорегистратор DS-7604NI-E1/4P ( в т.ч. Видеокамера DS-2D2642FWD-IS)</t>
  </si>
  <si>
    <t>Акт о приемке-передаче объектов нефинансовых активов от 03.11.2017г №34</t>
  </si>
  <si>
    <t>Оперативное управление МУ "Центральный дом культуры городского округа Серебряные Пруды Московской области". Постановление от 10.09.2019г №1361</t>
  </si>
  <si>
    <t>Изложить в новой редакции. Особо ценное имущество. Постановление от 10.09.2019г №1369</t>
  </si>
  <si>
    <t>Оперативное управление МБУ "Благоустройство Серебряные Пруды". Постановление администрации городского округа Серебряные Пруды МО от 10.09.2019г №1366</t>
  </si>
  <si>
    <t>Изложить в новой редакции. Особо ценное имущество. Постановление от 17.09.2019г №1425</t>
  </si>
  <si>
    <t>Оперативное управление МДОУ "Детский сад №12 "Осетрёнок". Постановление от 17.09.2019г №1426</t>
  </si>
  <si>
    <t>Программно-аппаратный комплекс в сборе (Монитор 23*/проц-р Intel/50Gb/8Gb/DVD-RW/Win 10 Proffessional 64 bit/клавиатура/мышь</t>
  </si>
  <si>
    <t>21.08.2019г</t>
  </si>
  <si>
    <t>Контракт от 19.08.2019г № 08486000074190002410002, товарная накладная от 21.08.2019г № 110</t>
  </si>
  <si>
    <t>Изложить в новой редакции. Особо ценное движимое имущество. Постановление от 25.09.2019г №1479</t>
  </si>
  <si>
    <t>Оперативное управление МОУ "Серебряно-Прудская СОШ им. маршала В.И.Чуйкова". Постановление от 25.09.2019г №1474</t>
  </si>
  <si>
    <t>Документ-камера Epson ELP-DC21</t>
  </si>
  <si>
    <t>24.08.2018г</t>
  </si>
  <si>
    <t>Мобильный звукоусилитель Fender Passport Venue</t>
  </si>
  <si>
    <t>Радиосистема микрофонная с ручными передатчиками SHURE BLX288E/SM58 в комплекте со стойками для микрофонных акустических систем</t>
  </si>
  <si>
    <t>Системный блок USN Core i5 7400 8Gb/HDD в комплекте с клавиатурой, мышью и ИБП</t>
  </si>
  <si>
    <t>Поточный сканер Epson или эквивалент</t>
  </si>
  <si>
    <t xml:space="preserve">26.03.2019г </t>
  </si>
  <si>
    <t>Контракт от 22.03.2019г №08486000074190000370001. Товарная накладная от 26.03.2019г №21</t>
  </si>
  <si>
    <t>Комплект (Ноутбук Lenovo, 15.6, intel, DVD-RW, Win 10 Professional, Антивирус, мышь)</t>
  </si>
  <si>
    <t>Програмно-аппаратный комплекс в сборе (Мониор, клавиатура, мышь, МФУ)</t>
  </si>
  <si>
    <t>Оперативное управление МОУ "Серебряно-Прудская СОШ им. маршала В.И.Чуйкова". Постановление от 25.09.2019г №1475</t>
  </si>
  <si>
    <t>Изложить в новой редакции. Особо ценное движимое имущество. Постановление от 25.09.2019г №1480</t>
  </si>
  <si>
    <t>Контракт от 11.06.2019г №08486000074190001610002, товарная накладная от 19.06.2019г №78</t>
  </si>
  <si>
    <t>Контракт от 11.06.2019г №08486000074190001610002, товарная накладная от 19.06.2019г №79</t>
  </si>
  <si>
    <t>Контракт от 11.06.2019г №08486000074190001610002, товарная накладная от 19.06.2019г №80</t>
  </si>
  <si>
    <t>Цифровое пианино YAMAHA YDP-143B в комплекте с аксесуарами</t>
  </si>
  <si>
    <t>17.09.2018г</t>
  </si>
  <si>
    <t>Договор от 14.06.2018г №19. Универсальный передаточный докуммент от 17.09.2018г №ИД180917/44</t>
  </si>
  <si>
    <t>Оперативное управление МДОУ "Детский сад общеразвивающего вида "Малышок". Постановление 25.09.2019г №1477</t>
  </si>
  <si>
    <t>Изложить в новой редакции. Особо ценное имущество. Постановление от 25.09.2019г №1475</t>
  </si>
  <si>
    <t>Оперативное управление МДОУ "Детский сад комбинированного вида №5 "Журавушка". Постановление от 25.09.2019г №1476</t>
  </si>
  <si>
    <t>Изложить в новой редакции. Особо ценное имущество. Постановление от 25.09.2019г №1478</t>
  </si>
  <si>
    <t>Специализированный мобильный програмно-аппаратный комплекс RAYbook Si151 с предустановленным програмно-методическим комплексом дл дошкольников</t>
  </si>
  <si>
    <t>Решение Совета депутатов № 696/70. Регистрация права от 17.10.2019 г №50:39:0030107:337-50/001/2019-1</t>
  </si>
  <si>
    <t>Договор №10/2019 передачи жилого помещения муниципального жилищного фонда в собственность граждан от 16.08.2019г. Регистрация права от 15.10.2019г №50:39:0030305:815-50/039/2019-3,4,5</t>
  </si>
  <si>
    <t>Договор №9/2019 передачи жилого помещения муниципального жилищного фонда в собственность граждан от 13.08.2019г. Регистрация права от 09.10.2019г №50:39:0010108:1128-50/001/2019-3</t>
  </si>
  <si>
    <t>50:39:0010108:1128</t>
  </si>
  <si>
    <t>50:39:0020106:564</t>
  </si>
  <si>
    <t>Договор №12/2019 передачи жилого помещения муниципального жилищного фонда в собственность граждан от 05.09.2019г. Регистрация права от 02.10.2019г №50:39:0020106:564-50/001/2019-3,4,5,6,7</t>
  </si>
  <si>
    <t>07.10.2019г</t>
  </si>
  <si>
    <t>Договор №2/2019 передачи жилого помещения муниципального жилищного фонда в собственность граждан от 27.02.2019г. Регистрация права от 07.10.2019г №50:39:0050503:827-50/036/2019-3</t>
  </si>
  <si>
    <t>50:39:0050503:827</t>
  </si>
  <si>
    <t>Изложить в новой редакции. Изменена балансовая стоимость и сумма начисленной амортизации на основании Справки МУП РСО от 26.09.2019г №738</t>
  </si>
  <si>
    <t>Муниципальный контракт от 29.06.2019г №08486000074190002190001. Выписка ЕГРН, регистрация права от 06.08.2019г №50:39:0000000:3170-50/036/2019-2</t>
  </si>
  <si>
    <t>Спец.жил.фонд. Постановление от 09.09.2019 № 1352.  Никулина Кристина Сергеевна. Постановление от 09.09.2019г №1353</t>
  </si>
  <si>
    <t xml:space="preserve"> Московская область, городской округ Серебряные Пруды, с.Узуново, ул. Почтовая, д.6, кв. 1</t>
  </si>
  <si>
    <t>50:39:0030302:737</t>
  </si>
  <si>
    <t>Муниципальный контракт от 06.08.2019г №0848600007419000219000234. Выписка ЕГРН, регистрация права от 28.08.2019г №50:39:0030302:737-50/001/2019-2</t>
  </si>
  <si>
    <t>Спец.жил.фонд. Постановление от 17.10.2019 № 1578.  Забавин Евгений Викторович. Постановление от 21.10.2019г №1579</t>
  </si>
  <si>
    <t xml:space="preserve">Изложить в новой редакции. </t>
  </si>
  <si>
    <t>Бюст Дохтурова Д.С. 1 шт (материал - литьевой гранит, цвет под бронзу)</t>
  </si>
  <si>
    <t>27.09.2019г</t>
  </si>
  <si>
    <t>Договор безвозмездного пожертвования от 27.09.2019г №341</t>
  </si>
  <si>
    <t>Оперативное управление МУК "КДЦ Успенское городского округа Серебряные Пруды Московской области". Постановление от 27.07.2017г №1628</t>
  </si>
  <si>
    <t xml:space="preserve">Изложить в новой редакции. Сведения о балансовой стоимости внесены на основании Отчета об оценке рыночной стоимости от 02.08.2019г №3347/19 </t>
  </si>
  <si>
    <t>26.10.2019г</t>
  </si>
  <si>
    <t>Договор №27/2017 передачи жилого плмещения муниципального жилищного фонда в собственность граждан от 10.07.2017г. Регистрация права от 26.10.2019г №50:39:0050301:725-50/036/2019-3,4</t>
  </si>
  <si>
    <t>50:39:0050301:725</t>
  </si>
  <si>
    <t>Спотривный игровой комплекс</t>
  </si>
  <si>
    <t>25.09.2019г</t>
  </si>
  <si>
    <t>Контракт от 23.09.2019г №28. Товарная накладная от 25.09.2019г №25/09-01</t>
  </si>
  <si>
    <t>Контракт от 17.06.2019г №08486000074190001660008, товарная накладная от 08.07.2019г №87</t>
  </si>
  <si>
    <t>Оперативное управление МОУ "Петровская средняя общеобразовательная школа". Постановление от 10.10.2019г №1554</t>
  </si>
  <si>
    <t>Изложить в новой редакции. Особо ценное движимое имущество. Постановление от 10.10.2019г №1556</t>
  </si>
  <si>
    <t>Громкоговорящая связь СОУЭ</t>
  </si>
  <si>
    <t>23.07.2019г</t>
  </si>
  <si>
    <t>Контракт от 05.07.2019г №35, товарная накладная от 23.07.2019г №1</t>
  </si>
  <si>
    <r>
      <t xml:space="preserve">Помещения № 4,6,8,9,10 1 этаж, общей площадью 140,1 кв.м Оперативное управление </t>
    </r>
    <r>
      <rPr>
        <b/>
        <sz val="9"/>
        <color theme="1"/>
        <rFont val="Times New Roman"/>
        <family val="1"/>
        <charset val="204"/>
      </rPr>
      <t>МУК "КДЦ Узуновское"</t>
    </r>
    <r>
      <rPr>
        <sz val="9"/>
        <color theme="1"/>
        <rFont val="Times New Roman"/>
        <family val="1"/>
        <charset val="204"/>
      </rPr>
      <t xml:space="preserve">. Постановление от 11.04.2017г № 782. Помещение №13 общей площадью 10,6 кв. м. аренда до 02.04.2019г </t>
    </r>
    <r>
      <rPr>
        <b/>
        <sz val="9"/>
        <color theme="1"/>
        <rFont val="Times New Roman"/>
        <family val="1"/>
        <charset val="204"/>
      </rPr>
      <t>ООО "Водпромкомплект</t>
    </r>
    <r>
      <rPr>
        <sz val="9"/>
        <color theme="1"/>
        <rFont val="Times New Roman"/>
        <family val="1"/>
        <charset val="204"/>
      </rPr>
      <t xml:space="preserve">". Постановление от 30.03.2018г №470. Помещение №17, 18, 19 общей площадью 25,3 кв.м безвозмездное пользование </t>
    </r>
    <r>
      <rPr>
        <b/>
        <sz val="9"/>
        <color theme="1"/>
        <rFont val="Times New Roman"/>
        <family val="1"/>
        <charset val="204"/>
      </rPr>
      <t>ОМВД РФ</t>
    </r>
    <r>
      <rPr>
        <sz val="9"/>
        <color theme="1"/>
        <rFont val="Times New Roman"/>
        <family val="1"/>
        <charset val="204"/>
      </rPr>
      <t xml:space="preserve"> до 28.09.2022г. Решение СД от 28.09.2017г № 13/2. Помещение №32 площадью 15.1 кв.м. аренда</t>
    </r>
    <r>
      <rPr>
        <b/>
        <sz val="9"/>
        <color theme="1"/>
        <rFont val="Times New Roman"/>
        <family val="1"/>
        <charset val="204"/>
      </rPr>
      <t xml:space="preserve"> ООО "ТРАСТ КВАДРО"</t>
    </r>
    <r>
      <rPr>
        <sz val="9"/>
        <color theme="1"/>
        <rFont val="Times New Roman"/>
        <family val="1"/>
        <charset val="204"/>
      </rPr>
      <t xml:space="preserve"> до 30.10.2020г. Постановление от 28.10.2019г №1631</t>
    </r>
  </si>
  <si>
    <t>Аппаратно-програмный комплекс в сборе (ноутбук, мышь, МФУ, проектор Acer)</t>
  </si>
  <si>
    <t>Контракт от 17.06.2019г №08486000074190001660001, накладная от 08.07.2019г №91</t>
  </si>
  <si>
    <t>Оперативное управление МДОУ "Детский сад общеразвивающего вида "Светлячок". Постановление от 28.10.2019г №1640</t>
  </si>
  <si>
    <t>Изложить в новой редакции. Особо ценное имущество. Постановление от 28.10.2019г №1632</t>
  </si>
  <si>
    <t>Модуль игровой для организации тематических игровых развивающих занятий на открытых площадках "Внедорожник"</t>
  </si>
  <si>
    <t>24.09.2019г</t>
  </si>
  <si>
    <t>Контракт от 28.06.2019г №08486000074190001810001. Товарная накладная от 24.09.2019г №2019-240903</t>
  </si>
  <si>
    <t>Оперативное управление МДОУ "Детский сад комбинированного вида №5 "Журавушка". Постановление от 28.10.2019г №1633</t>
  </si>
  <si>
    <t>Изложить в новой редакции. Особо ценное движимое имущество. Постановление от 28.10.2019г №1635</t>
  </si>
  <si>
    <t>Модуль уличный игровой "Машина ДПС"</t>
  </si>
  <si>
    <t>Модуль уличный игровой "Машина скорой помощи"</t>
  </si>
  <si>
    <t>Програмно-аппаратный комплекс в сборе (Мониор, клавиатура, мышь, принтер)</t>
  </si>
  <si>
    <t>Контракт от 17.06.2019г №08486000074190001660007, товарная накладная от 08.07.2019г №90</t>
  </si>
  <si>
    <t>Изложить в новой редакции. Особо ценное движимое имущество. Постановление от 28.10.2019г №1634</t>
  </si>
  <si>
    <t>Уличное игровое оборудование паравозик с вагоном "Чебурашка"</t>
  </si>
  <si>
    <t>Контракт от 23.09.2019г №10. Товарная накладная от 25.09.2019г №2509</t>
  </si>
  <si>
    <t>Металлический пандус с оцинкованным решетчатым настилом (ширина 1,1м)</t>
  </si>
  <si>
    <t>02.08.2019г</t>
  </si>
  <si>
    <t>Контракт от 16.07.2019г №772296, товарная накладная от 02.08.2019г №16</t>
  </si>
  <si>
    <t>Изложить в новой редакции. Особо ценное движимое имущество. Постановление от 28.10.2019г №1637</t>
  </si>
  <si>
    <t>Оперативное управление МУК "КДЦ Успенское городского округа Серебряные Пруды Московской области". Постановление от 28.10.2019г №1638</t>
  </si>
  <si>
    <t>50:39:0060114:164</t>
  </si>
  <si>
    <t>21.11.2019г</t>
  </si>
  <si>
    <t>Решением суда от 25.09.2019г №2-555/2019 принята из бесхозяйной в муниципальную собственность. Регистрация права от 21.11.2019г №50:39:0060114:164-50/039/2019-3</t>
  </si>
  <si>
    <t>Географические координаты 54.40797 38.65611</t>
  </si>
  <si>
    <t>Плотина пруда на притоке р. Полосня</t>
  </si>
  <si>
    <t>50:39:0000000:4446</t>
  </si>
  <si>
    <t>25.11.2019г</t>
  </si>
  <si>
    <t>Решением суда от 09.10.2019г №2-537/2019 принята из бесхозяйной в муниципальную собственность. Регистрация права от 25.11.2019г №50:39:0000000:4446-50/039/2019-3</t>
  </si>
  <si>
    <t>Географические координаты 54.32594 38.56331</t>
  </si>
  <si>
    <t>Кабельная линия электропередачи 10кВт протяженностью 600 метров. с. Узуново от ЗТП-260 расположенного на территории зеонового двора Московской селекционной станции на улице Советская, через зерновой двор в сторону железнодорожного полотна, пересекая железнодорожное полотно до РП-8, расположенном в микрорайоне Школьный</t>
  </si>
  <si>
    <t>23.10.2019г</t>
  </si>
  <si>
    <t>Решение Серебряно-Прудского районного суда Московской области дело №2-580/2019</t>
  </si>
  <si>
    <t xml:space="preserve">Изложить в новой редакции, внесены изменения в наименование и адрес на основании служебной записки жилищного отдела от 12.08.2019г. Договор соц.найма от 13.08.2019г №21/2019. Наниматель: Чечина Любовь Алексеевна На основании служебной записка жилищного отдела от 08.11.2019г и техплана внесены изменения в площадь </t>
  </si>
  <si>
    <t>Отнесена к жилым помещениям маневренного жилищного фонда городского округа Серебряные Пруды Московской области, постановление администрации городского округа от 25.10.2019г №1620</t>
  </si>
  <si>
    <t xml:space="preserve"> Изложить в новой редакции. Балансовая стоимость внесена на основании оценки. Кадастровая стоимость согласно выпискпи ЕГРН от 06.05.2018г</t>
  </si>
  <si>
    <t>Договор соц.найма от 12.11.2019г №25/2019. Наниматель Ивазова Ольга Алексеевна</t>
  </si>
  <si>
    <t>2962.1</t>
  </si>
  <si>
    <t>2962.2</t>
  </si>
  <si>
    <t>2962.3</t>
  </si>
  <si>
    <t>2962.4</t>
  </si>
  <si>
    <t>2962.5</t>
  </si>
  <si>
    <t>Жилой дом, количество -этажей 1 (муниципальный жилой фонд), в том числе:</t>
  </si>
  <si>
    <t>2962.6</t>
  </si>
  <si>
    <t>Московская область, Серебряно-Прудский район, р.п. Серебряные Пруды, ул. Маршала Чуйкова, д.49, кв.1</t>
  </si>
  <si>
    <t>Московская область, Серебряно-Прудский район, р.п. Серебряные Пруды, ул. Маршала Чуйкова, д.49, кв.2</t>
  </si>
  <si>
    <t>Московская область, Серебряно-Прудский район, р.п. Серебряные Пруды, ул. Маршала Чуйкова, д.49, кв.3</t>
  </si>
  <si>
    <t>Московская область, Серебряно-Прудский район, р.п. Серебряные Пруды, ул. Маршала Чуйкова, д.49, кв.4</t>
  </si>
  <si>
    <t>Московская область, Серебряно-Прудский район, р.п. Серебряные Пруды, ул. Маршала Чуйкова, д.49, кв.5</t>
  </si>
  <si>
    <t>Московская область, Серебряно-Прудский район, р.п. Серебряные Пруды, ул. Маршала Чуйкова, д.49, кв.6</t>
  </si>
  <si>
    <t>Решение Серебряно-Прудского районного суда Московской области от 06.12.2016г</t>
  </si>
  <si>
    <t>50:39:0050203:290</t>
  </si>
  <si>
    <t>50:39:0050203:291</t>
  </si>
  <si>
    <t>50:39:0050203:293</t>
  </si>
  <si>
    <t>50:39:0050203:292</t>
  </si>
  <si>
    <t>50:39:0050203:294</t>
  </si>
  <si>
    <t>50:39:0050203:295</t>
  </si>
  <si>
    <t>Автомобильная дорога с твердым покрытием. Протяженность 2191м (участок 1, 2, 3, 4, 5, 6, 7, 8, 9, 10)</t>
  </si>
  <si>
    <t xml:space="preserve"> Московская область, городской округ Серебряные Пруды, с.Узуново, ул. Юбилейная</t>
  </si>
  <si>
    <t>28.11.2019г</t>
  </si>
  <si>
    <t>Акт инвентаризации б/н от 28.11.2019г</t>
  </si>
  <si>
    <t>Автомобильная дорога с твердым покрытием. Протяженность 113м (участок 3)</t>
  </si>
  <si>
    <t xml:space="preserve"> Московская область, городской округ Серебряные Пруды, п. Успенский, ул. Трудовая</t>
  </si>
  <si>
    <t>07.11.2019г</t>
  </si>
  <si>
    <t>Договор №13/2019 передачи жилого помещения муниципального жилищного фонда в собственность граждан от 20.09.2019г. Регистрация права от 07.11.2019г №50:39:0040202:557-50/036/2019-3</t>
  </si>
  <si>
    <t>50:39:0040202:557</t>
  </si>
  <si>
    <t>50:39:0070207:230</t>
  </si>
  <si>
    <t>01.07.2019г</t>
  </si>
  <si>
    <t>Договор №6/2019 передачи жилого помещения муниципального жилищного фонда в собственность граждан от 16.05.2019г. Регистрация права от 01.07.2019г №50:39:0070207:50/001/2019-2</t>
  </si>
  <si>
    <t>50:39:0030303:377</t>
  </si>
  <si>
    <t>Договор №20/2018 передачи жилого помещения муниципального жилищного фонда в собственность граждан от 21.12.2018г. Регистрация права от 30.01.2019г № 50:39:0030303:337-50/001/2019-3,4</t>
  </si>
  <si>
    <t>Дополнить Реестр. Договор соц найма №26/2019 от 14.11.2019г. Наниматель: Хамидуллина Гульзихан Зиаевна</t>
  </si>
  <si>
    <t>Дополнить Реестр. Договор соц.найма №24/2019 от 30.09.2019г. Наниматель Павлихина Татьяна Михайловна</t>
  </si>
  <si>
    <t>Договор соц.найма №23/2019 от 19.09.2019г. Наниматель Рогожкина Лариса Васильевна</t>
  </si>
  <si>
    <t>1.101.38.3666</t>
  </si>
  <si>
    <t>09.10.2019г</t>
  </si>
  <si>
    <t>Муниципальный контрак от 10.06.2019г № 0848600007419000158, акт о приемке выполненных работ от 18.06.2019г, Муниципальный контракт от 05.08.2019г 3 0148200005419000273-СП, акт о приемке выполненных работ от 23.09.2019г №20.1, акт проверки выполнения условий муниципального контакта от 09.10.2019г</t>
  </si>
  <si>
    <t>Детская игровая площадка, расположенная по адресу: с. Узуново, ул. Почтовая, д.9а, д.11а (основание резиновая крошка, металлическое ограждение, Игровой комплекс КИК-011м - 1шт, Качалка на пружине "Облака-3" - 1шт, Песочный дворик "Веранда" тип-2 - 1шт, Гимнастический комплекс "Шагоход" - 1шт, канатный лабиринт "Пятнашки" - 1шт, лавочка "Бульвар" - 1шт, лавочка "Сквер" - 4шт, урна - 3шт, информационный стенд - 1шт, качели "Емеля" - 1шт, карусель "Паучок" - 1шт, гимнастический комплекс СП-011 - 1шт, качели-балансир "Дружок" тип-3 - 1шт, качели "Гнездо" тип-1 - 1шт, гимнастический комплекс ГК-014 - 1шт, уличный тренажер УТ-001 - 1шт, уличный тренажер УТ-009 - 1шт, качели на пружине КНП-043 - 1шт, уличный тренажер УТ-015 - 1шт)</t>
  </si>
  <si>
    <t>Детская игровая площадка, расположенная по адресу: п. Успенский, ул. Луговая д.2, д.6,  (основание резиновая крошка, металлическое ограждение, Игровой комплекс МИК-011м - 1шт, качели "Соловей разбойник" - 1шт, карусель "Улыбка" - 1шт, канатный лабиринт "Пирамида" тип-1 - 1шт, песочный дворик "Веранда" тип-2 - 1шт, качалка на пружине "Парус" - 1шт, детский элемент "Кселофон" - 1шт, детский элемент "Барабаны" - 1шт, качалка на пружине КНП-040 - 1шт,  лавочка "Бульвар" - 1шт, лавочка "Сквер" - 4шт, урна - 3шт, информационный стенд - 1шт, качели-балансир "Спутник" - 1шт, качкли "Гнездо" тип-1 - 1шт, гимнастический комплекс ГК-014 - 1шт, уличный тренажер УТ-001 - 1шт, уличный тренажер УТ-009 - 1шт, качели на пружине КНП-043 - 1шт, уличный тренажер УТ-015 - 1шт)</t>
  </si>
  <si>
    <t>1.108.52.3668</t>
  </si>
  <si>
    <t>31.10.2019г</t>
  </si>
  <si>
    <t>Договр №2 пожертвования имущества от 21.10.2019г, акт безвозмездного приема-передачи детской игровой площадки от 31.10.2019г. Муниципальный контракт от 21.10.2019г №0848600007419000287, акт о приемке выполненных работ от 25.10.2019г</t>
  </si>
  <si>
    <t xml:space="preserve">Оперативное управление МОУ "Мочильская средняя общеобразовательная школа". Постановление от 01.11.2019г №1663 </t>
  </si>
  <si>
    <r>
      <rPr>
        <b/>
        <sz val="9"/>
        <color theme="1"/>
        <rFont val="Times New Roman"/>
        <family val="1"/>
        <charset val="204"/>
      </rPr>
      <t xml:space="preserve">Помещения 742.1 </t>
    </r>
    <r>
      <rPr>
        <sz val="9"/>
        <color theme="1"/>
        <rFont val="Times New Roman"/>
        <family val="1"/>
        <charset val="204"/>
      </rPr>
      <t xml:space="preserve">- оперативное управление Финансовое управление администрации. Постановление от 15.02.2016г № 228. </t>
    </r>
    <r>
      <rPr>
        <b/>
        <sz val="9"/>
        <color theme="1"/>
        <rFont val="Times New Roman"/>
        <family val="1"/>
        <charset val="204"/>
      </rPr>
      <t>Помещение 742.2, 742.4</t>
    </r>
    <r>
      <rPr>
        <sz val="9"/>
        <color theme="1"/>
        <rFont val="Times New Roman"/>
        <family val="1"/>
        <charset val="204"/>
      </rPr>
      <t xml:space="preserve"> - оперативное управление МКУ "Единая дежурно-диспетчерская служба го Серебряные Пруды". Постановление от 05.12.2017г №2604; </t>
    </r>
    <r>
      <rPr>
        <b/>
        <sz val="9"/>
        <color theme="1"/>
        <rFont val="Times New Roman"/>
        <family val="1"/>
        <charset val="204"/>
      </rPr>
      <t>Помещение 742.3</t>
    </r>
    <r>
      <rPr>
        <sz val="9"/>
        <color theme="1"/>
        <rFont val="Times New Roman"/>
        <family val="1"/>
        <charset val="204"/>
      </rPr>
      <t xml:space="preserve"> - администрация го Серебряные Пруды (казна - отдел ЖКХ);</t>
    </r>
    <r>
      <rPr>
        <b/>
        <sz val="9"/>
        <color theme="1"/>
        <rFont val="Times New Roman"/>
        <family val="1"/>
        <charset val="204"/>
      </rPr>
      <t xml:space="preserve"> Помещение 742.6, 742.7</t>
    </r>
    <r>
      <rPr>
        <sz val="9"/>
        <color theme="1"/>
        <rFont val="Times New Roman"/>
        <family val="1"/>
        <charset val="204"/>
      </rPr>
      <t xml:space="preserve"> - администрация го Серебряные Пруды (отдел по жилищным вопросам, отдел архитектуры и градостроительства)</t>
    </r>
  </si>
  <si>
    <r>
      <t xml:space="preserve">Помещения 256,6 кв.м в безвозмездном пользовании у </t>
    </r>
    <r>
      <rPr>
        <b/>
        <sz val="9"/>
        <color theme="1"/>
        <rFont val="Times New Roman"/>
        <family val="1"/>
        <charset val="204"/>
      </rPr>
      <t>Управления Федеральной службы Росреестра</t>
    </r>
    <r>
      <rPr>
        <sz val="9"/>
        <color theme="1"/>
        <rFont val="Times New Roman"/>
        <family val="1"/>
        <charset val="204"/>
      </rPr>
      <t xml:space="preserve"> до 01.09.2020г. Решение СД от 17.08.2015г № 586/57. Помещение площадью 22,5 кв.м. безвозмездное пользование </t>
    </r>
    <r>
      <rPr>
        <b/>
        <sz val="9"/>
        <color theme="1"/>
        <rFont val="Times New Roman"/>
        <family val="1"/>
        <charset val="204"/>
      </rPr>
      <t xml:space="preserve">Управление Федеральной службы исполнения наказаний МО </t>
    </r>
    <r>
      <rPr>
        <sz val="9"/>
        <color theme="1"/>
        <rFont val="Times New Roman"/>
        <family val="1"/>
        <charset val="204"/>
      </rPr>
      <t xml:space="preserve">до 26.08.2024г. Постановление от 26.08.2019г №1287.  Помещение площадью 18,3 кв.м. безвозмездное пользование </t>
    </r>
    <r>
      <rPr>
        <b/>
        <sz val="9"/>
        <color theme="1"/>
        <rFont val="Times New Roman"/>
        <family val="1"/>
        <charset val="204"/>
      </rPr>
      <t>Главное управление государственного адм.тех. надзора Московской области.</t>
    </r>
    <r>
      <rPr>
        <sz val="9"/>
        <color theme="1"/>
        <rFont val="Times New Roman"/>
        <family val="1"/>
        <charset val="204"/>
      </rPr>
      <t xml:space="preserve"> Решение СД от 23.09.2016г № 846/83. Помещения площадью 48,1 кв.м плюс 18,8 вспомогательная площадь=66,9 кв.м безвозмездное пользование </t>
    </r>
    <r>
      <rPr>
        <b/>
        <sz val="9"/>
        <color theme="1"/>
        <rFont val="Times New Roman"/>
        <family val="1"/>
        <charset val="204"/>
      </rPr>
      <t>КСП го Серебряные Пруды</t>
    </r>
    <r>
      <rPr>
        <sz val="9"/>
        <color theme="1"/>
        <rFont val="Times New Roman"/>
        <family val="1"/>
        <charset val="204"/>
      </rPr>
      <t>.Решение СД от 20.09.2013г №216/25. Помещение площадью 39,6 кв.м безвозмездноен пользование</t>
    </r>
    <r>
      <rPr>
        <b/>
        <sz val="9"/>
        <color theme="1"/>
        <rFont val="Times New Roman"/>
        <family val="1"/>
        <charset val="204"/>
      </rPr>
      <t xml:space="preserve"> Отделение политической партии "КПРФ"</t>
    </r>
    <r>
      <rPr>
        <sz val="9"/>
        <color theme="1"/>
        <rFont val="Times New Roman"/>
        <family val="1"/>
        <charset val="204"/>
      </rPr>
      <t xml:space="preserve"> до 31.12.2020г. Постановление от 13.11.2019г №1738.  Помещение площадью 17,02 кв.м. безвозмездное пользование </t>
    </r>
    <r>
      <rPr>
        <b/>
        <sz val="9"/>
        <color theme="1"/>
        <rFont val="Times New Roman"/>
        <family val="1"/>
        <charset val="204"/>
      </rPr>
      <t>Управление ФСБ по г. Москве и МО</t>
    </r>
    <r>
      <rPr>
        <sz val="9"/>
        <color theme="1"/>
        <rFont val="Times New Roman"/>
        <family val="1"/>
        <charset val="204"/>
      </rPr>
      <t xml:space="preserve"> до 30.12.2020г. Постановление от 01.11.2019г №1664. Помещение площадью 9,4 кв.м. аренда </t>
    </r>
    <r>
      <rPr>
        <b/>
        <sz val="9"/>
        <color theme="1"/>
        <rFont val="Times New Roman"/>
        <family val="1"/>
        <charset val="204"/>
      </rPr>
      <t>ИП Мохова И.В.</t>
    </r>
    <r>
      <rPr>
        <sz val="9"/>
        <color theme="1"/>
        <rFont val="Times New Roman"/>
        <family val="1"/>
        <charset val="204"/>
      </rPr>
      <t xml:space="preserve"> до 12.02.2020г. Постановление от 12.03.2019г №335. Помещения №16, 16а, 16б, 19, 19а, 15, 15а, 15б, 14, 14а, 14б, 13, 13а, 13б. 13в, 9, 9а, 9б, 9в, 8, 8а, 8б общей площадью 112,9 кв.м. безвозмездное пользование</t>
    </r>
    <r>
      <rPr>
        <b/>
        <sz val="9"/>
        <color theme="1"/>
        <rFont val="Times New Roman"/>
        <family val="1"/>
        <charset val="204"/>
      </rPr>
      <t xml:space="preserve"> ГАУ МО "Информагенство Серебряно-Прудского района МО"</t>
    </r>
    <r>
      <rPr>
        <sz val="9"/>
        <color theme="1"/>
        <rFont val="Times New Roman"/>
        <family val="1"/>
        <charset val="204"/>
      </rPr>
      <t>. Постановление от 25.06.2019г №931</t>
    </r>
  </si>
  <si>
    <t>Оперативное управление МДОУ "Детский сад общеразвивающего вида "Светлячок". Постановление от 14.11.2019г №1756</t>
  </si>
  <si>
    <t>Оперативное управление МДОУ "Светлячок"". Постановление от 14.11.2019г №1756</t>
  </si>
  <si>
    <t xml:space="preserve">Изложить в новой редакции. Передано от д/с "Журавушка". Особо ценное движимое имущество. Постановление от 14.11.2019г №1761 </t>
  </si>
  <si>
    <t>Изложить в новой редакции. Передано от д/с "Колосок". Особо ценное движимое имущество. Постановление от 14.11.2019г №1761</t>
  </si>
  <si>
    <t>21.10.2019г</t>
  </si>
  <si>
    <t>Контракт от 15.10.2019г №64. Товарная накладная от 21.10.2019г №55</t>
  </si>
  <si>
    <t>Оперативное управление МОУ "Серебряно-Прудская средняя общеобразовательная школа имени маршала В.И.Чуйкова" от 14.11.2019г №1758</t>
  </si>
  <si>
    <t>Изложить в новой редакции. Особо ценное движимое имущество. Постановление от 14.11.2019г №1762</t>
  </si>
  <si>
    <t>14.11.2019г</t>
  </si>
  <si>
    <t>Распоряжение администрации о списании от 14.11.2019г №720-р</t>
  </si>
  <si>
    <t>Распоряжение администрации о списании от 14.11.2019г №721-р</t>
  </si>
  <si>
    <t>Задвоено со стр. 29. Особо ценное имущество. Постановление от 03.04.2017г № 735</t>
  </si>
  <si>
    <t>Распоряжение администрации от 14.11.2019г №721-р</t>
  </si>
  <si>
    <r>
      <t xml:space="preserve">  Помещение 43,7 кв.м безвозмездное пользование МИФНС №18 по МО. Решение СД от 30.08.2017г № 983/102. Помещение площадью 7,8 кв.м безвозмездное пользование </t>
    </r>
    <r>
      <rPr>
        <b/>
        <sz val="9"/>
        <color theme="1"/>
        <rFont val="Times New Roman"/>
        <family val="1"/>
        <charset val="204"/>
      </rPr>
      <t>Общественное учреждение "Добровольная пожарная дружина"</t>
    </r>
    <r>
      <rPr>
        <sz val="9"/>
        <color theme="1"/>
        <rFont val="Times New Roman"/>
        <family val="1"/>
        <charset val="204"/>
      </rPr>
      <t xml:space="preserve">  до 21.05.2020г. Постановление от 21.05.2019г №689. Помещение площадью 18.57 кв.м. аренда </t>
    </r>
    <r>
      <rPr>
        <b/>
        <sz val="9"/>
        <color theme="1"/>
        <rFont val="Times New Roman"/>
        <family val="1"/>
        <charset val="204"/>
      </rPr>
      <t>ИП Калюбин С.В.</t>
    </r>
    <r>
      <rPr>
        <sz val="9"/>
        <color theme="1"/>
        <rFont val="Times New Roman"/>
        <family val="1"/>
        <charset val="204"/>
      </rPr>
      <t xml:space="preserve"> до 29.03.2020г. Постановление от 12.03.2019г №336. Помещение площадью 6,3 кв.м. аренда </t>
    </r>
    <r>
      <rPr>
        <b/>
        <sz val="9"/>
        <color theme="1"/>
        <rFont val="Times New Roman"/>
        <family val="1"/>
        <charset val="204"/>
      </rPr>
      <t>ООО "ДАФ-АГРО"</t>
    </r>
    <r>
      <rPr>
        <sz val="9"/>
        <color theme="1"/>
        <rFont val="Times New Roman"/>
        <family val="1"/>
        <charset val="204"/>
      </rPr>
      <t xml:space="preserve">. до 28.10.2020г. Постановление от 28.11.2019г №1819 </t>
    </r>
  </si>
  <si>
    <t>Оперативное управление МУСК "Серебряные Пруды". Постановление от 28.11.2019г №1820</t>
  </si>
  <si>
    <t>Стиральная машина Vestfost VFWM 1460 WT</t>
  </si>
  <si>
    <t>Контракт от 17.10.2019г №33, Товарная накладная от 31.10.2019г №91</t>
  </si>
  <si>
    <t>Оперативное управление МДОУ "Детский сад общеразвивающего вида №13 "Звездочка". Постановление от 28.11.2019г №1822</t>
  </si>
  <si>
    <t>Изложить в новой редакции. Особо ценное движимое имущество. Постановление от 28.11.2019г №1823.</t>
  </si>
  <si>
    <r>
      <t xml:space="preserve">Помещение площадью 15,9 кв.м. безвозмездное пользование  </t>
    </r>
    <r>
      <rPr>
        <b/>
        <sz val="9"/>
        <color theme="1"/>
        <rFont val="Times New Roman"/>
        <family val="1"/>
        <charset val="204"/>
      </rPr>
      <t>Комитет по архитектуре и градостроительству МО</t>
    </r>
    <r>
      <rPr>
        <sz val="9"/>
        <color theme="1"/>
        <rFont val="Times New Roman"/>
        <family val="1"/>
        <charset val="204"/>
      </rPr>
      <t xml:space="preserve"> до 31.12.2020г. Постановление от 28.11.2019г №1824.  Помещение площадью 13,1 кв.м аренда до 30.12.2020г</t>
    </r>
    <r>
      <rPr>
        <b/>
        <sz val="9"/>
        <color theme="1"/>
        <rFont val="Times New Roman"/>
        <family val="1"/>
        <charset val="204"/>
      </rPr>
      <t xml:space="preserve"> отделение политической партии "Едина Россия"</t>
    </r>
    <r>
      <rPr>
        <sz val="9"/>
        <color theme="1"/>
        <rFont val="Times New Roman"/>
        <family val="1"/>
        <charset val="204"/>
      </rPr>
      <t xml:space="preserve">. Постановление от 13.11.2019г. №1737.  Помещение площадью 98,1 кв.м. аренда </t>
    </r>
    <r>
      <rPr>
        <b/>
        <sz val="9"/>
        <color theme="1"/>
        <rFont val="Times New Roman"/>
        <family val="1"/>
        <charset val="204"/>
      </rPr>
      <t>ИП Вишкин М.В.</t>
    </r>
    <r>
      <rPr>
        <sz val="9"/>
        <color theme="1"/>
        <rFont val="Times New Roman"/>
        <family val="1"/>
        <charset val="204"/>
      </rPr>
      <t xml:space="preserve"> до 27.06.2022г. Постановление от 27.03.2017г №1417</t>
    </r>
  </si>
  <si>
    <t>1.108.52.3673</t>
  </si>
  <si>
    <t>Канализационные сети (трассы) протяженность 1332 м, инв. № 1.108.51.3674</t>
  </si>
  <si>
    <t>2-х комнатная квартира, инв №1.108.51.3690</t>
  </si>
  <si>
    <t>1-о комнатная квартира, инв №1.108.51.3689</t>
  </si>
  <si>
    <t>Автомобильная дорога общего пользования с грунтовым покрытием, кадастровый номер земельного участка 50:39:0000000:4240, протяженность 1070м (участок 2, 3, 4)</t>
  </si>
  <si>
    <t>Автомобильная дорога общего пользования с твёрдым покрытием, кадастровый номер земельного участка 50:39:0060115:20 50:39:0060115:235, протяженность 727 м (участок 1)</t>
  </si>
  <si>
    <t>Автомобильная дорога общего пользования с твёрдым покрытием, кадастровый номер земельного участка 50:39:0060115:20, протяженность 478 м (участок 1)</t>
  </si>
  <si>
    <t>Автомобильная дорога общего пользования с твёрдым покрытием, кадастровый номер земельного участка 50:39:0070206:46, протяженность 450 м (участок 1)</t>
  </si>
  <si>
    <t>Автомобильная дорога общего пользования с твёрдым покрытием, кадастровый номер земельного участка 50:39:000000:112, протяженность 1998 м (участок 2, 3, 4, 7, 8, 12)</t>
  </si>
  <si>
    <t>Автомобильная дорога общего пользования с твёрдым покрытием, кадастровый номер земельного участка 50:39:0080106:227; 50:39:000000:4231; 50:39:0000000:4239, протяженность 5850 м, в том числе:</t>
  </si>
  <si>
    <t>1793.1</t>
  </si>
  <si>
    <t>Автомобильная дорога общего пользования до СНТ Прилучье" СНТ "Прилучье-1", СНТ "Гришино" кадастровый номер земельного участка 50:39:0000000:4239, протяженностью 3200</t>
  </si>
  <si>
    <t>Внутриквартальная автомобильная дорога с твёрдым покрытием, кадастровый номер земельного участка 50:39:000000:110, протяженностью 826м (участок 1)</t>
  </si>
  <si>
    <t>Автомобильная дорога с  твердым покрытием, кадастровый номер земельного участка 50:39:0060104:700, Протяженность 1957м (участок 2, 3, 4, 5, 6, 7, 8, 9)</t>
  </si>
  <si>
    <t xml:space="preserve"> Автомобильная дорога  (с твердым покрытием),  расположенная на земельном участке с кадастровым номером 50:39:0000000:106, протяженностью 8000 м (участок 1)</t>
  </si>
  <si>
    <t>Автомобильная дорога (с  твердым покрытием), расположенная на земельном участке с кадастровым номером 50:39:0030305:114, протяженностью 6780 м (участок 2, 3, 4, 5, 6, 7, 8, 9, 10, 11, 12, 17, 18)</t>
  </si>
  <si>
    <t>Автомобильная дорога (с  твердым покрытием), расположенная на земельном участке с кадастровым номером 50:39:0030107:166, протяженностью 988м (участок 4, 9)</t>
  </si>
  <si>
    <t>Автомобильная дорога (с твердым покрытием), расположенная на земельном участке с кадастровым номером 50:39:0000000:4055, протяженностью 2000 м (участок 2)</t>
  </si>
  <si>
    <t>Автомобильная дорога общего пользования местного значения (асфальтобетон),  расположенная на земельном участке с кадастровым номером 50:39:0030304:158, протяженностью 716 м  (участок 1)</t>
  </si>
  <si>
    <t>Московская область, городской округ Серебряные Пруды,  с. Узуново, мкр. Школьный (объездная)</t>
  </si>
  <si>
    <t>Автомобильная дорога общего пользования (асфальтобетон), протяженностью 397 м. Расположена на земельном участке 50:39:0050503:73 (участок 2, 3, 4, 5)</t>
  </si>
  <si>
    <t>Автомобильная дорога общего пользования , протяженностью 290м. Расположена на земельном участке 50:39:0000000:3685 (участок 5)</t>
  </si>
  <si>
    <t>Автомобильная дорога общего пользования, протяженностью 493,10м., кадастровый номер земельного участка 50:39:0050201:832 (участок 1)</t>
  </si>
  <si>
    <t>Автомобильная дорога с твердым покрытием к СНТ Березовка-1, СНТ "Березовка-2", СНТ "Раздолье", СНТ "Родник", СНТ "Бирюса". Протяженностью1277м</t>
  </si>
  <si>
    <t>Автомобильная дорога общего пользования (асфальтобетон), протяженностью 815,0м. Расположена на земельном участке 50:39:0050508:40 (участок 1, 2, 3, 4, 5, 6)</t>
  </si>
  <si>
    <t xml:space="preserve"> Московская область, городской округ Серебряные Пруды, рп Серебряные Пруды, мкр. Центральный, д.2, кв.41</t>
  </si>
  <si>
    <t>50:39:0050503:774</t>
  </si>
  <si>
    <t>Муниципальный контракт от 14.10.2019г №0848600007419000262. Выписка ЕГРН, регистрация права от 23.10.2019г №50:39:0050503:774-50/039/2019-3</t>
  </si>
  <si>
    <t xml:space="preserve"> Московская область, городской округ Серебряные Пруды, рп Серебряные Пруды, мкр. Центральный, д.2, кв.33</t>
  </si>
  <si>
    <t>50:39:0050503:750</t>
  </si>
  <si>
    <t>Муниципальный контракт от 30.09.2019г №0848600007419000281. Выписка ЕГРН, регистрация права от 09.10.2019г №50:39:0050503:750-50/001/2019-3</t>
  </si>
  <si>
    <t xml:space="preserve"> Московская область, городской округ Серебряные Пруды, рп Серебряные Пруды, мкр. Центральный, д.2, кв.10</t>
  </si>
  <si>
    <t>50:39:0050503:767</t>
  </si>
  <si>
    <t>Муниципальный контракт от 14.10.2019г №0848600007419000268. Выписка ЕГРН, регистрация права от 23.10.2019г №50:39:0050503:767-50/039/2019-3</t>
  </si>
  <si>
    <t xml:space="preserve"> Московская область, городской округ Серебряные Пруды, рп Серебряные Пруды, мкр. Центральный, д.13, кв.41</t>
  </si>
  <si>
    <t>50:39:0050506:272</t>
  </si>
  <si>
    <t>20.11.2019г</t>
  </si>
  <si>
    <t>Муниципальный контракт от 16.10.2019г №0848600007419000265. Выписка ЕГРН, регистрация права от 20.11.2019г №50:39:0050506:272-50/039/2019-2</t>
  </si>
  <si>
    <t xml:space="preserve"> Московская область, городской округ Серебряные Пруды, рп Серебряные Пруды, мкр. Западный, д.9, кв.10</t>
  </si>
  <si>
    <t>50:39:0050404:933</t>
  </si>
  <si>
    <t>Муниципальный контракт от 14.10.2019г №0848600007419000255. Выписка ЕГРН, регистрация права от 23.10.2019г №50:39:0050404:933-50/001/2019-3</t>
  </si>
  <si>
    <t xml:space="preserve"> Московская область, городской округ Серебряные Пруды, рп Серебряные Пруды, мкр. Западный, д.32, кв.15</t>
  </si>
  <si>
    <t>50:39:0050404:556</t>
  </si>
  <si>
    <t>Муниципальный контракт от 14.10.2019г №0848600007419000256. Выписка ЕГРН, регистрация права от 23.10.2019г №50:39:0050404:556-50/039/2019-2</t>
  </si>
  <si>
    <t xml:space="preserve"> Московская область, городской округ Серебряные Пруды, рп Серебряные Пруды, ул. Первомайская, д.6, кв.66</t>
  </si>
  <si>
    <t>50:39:0050503:144</t>
  </si>
  <si>
    <t>Муниципальный контракт от 30.09.2019г №0848600007419000280. Выписка ЕГРН, регистрация права от 09.10.2019г №50:39:0050503:144-50/001/2019-3</t>
  </si>
  <si>
    <t xml:space="preserve"> Московская область, городской округ Серебряные Пруды, рп Серебряные Пруды, ул. Первомайская, д.9, кв.23</t>
  </si>
  <si>
    <t>50:39:0050503:443</t>
  </si>
  <si>
    <t>Муниципальный контракт от 14.10.2019г №0848600007419000267. Выписка ЕГРН, регистрация права от 23.10.2019г №50:39:0050503:443-50/036/2019-2</t>
  </si>
  <si>
    <t xml:space="preserve"> Московская область, городской округ Серебряные Пруды, рп Серебряные Пруды, ул. ПТУ, д.7В, кв.46</t>
  </si>
  <si>
    <t>50:39:0050101:534</t>
  </si>
  <si>
    <t>08.10.2019г</t>
  </si>
  <si>
    <t>Муниципальный контракт от 30.09.2019г №0848600007419000283. Выписка ЕГРН, регистрация права от 08.10.2019г №50:39:0050101:534-50/036/2019-6</t>
  </si>
  <si>
    <t xml:space="preserve"> Московская область, городской округ Серебряные Пруды, рп Серебряные Пруды, ул. ПТУ, д.7В, кв.79</t>
  </si>
  <si>
    <t>50:39:0050101:599</t>
  </si>
  <si>
    <t>06.11.2019г</t>
  </si>
  <si>
    <t>Муниципальный контракт от 22.10.2019г №0848600007419000283. Выписка ЕГРН, регистрация права от 06.11.2019г №50:39:0050101:599-50/001/2019-4</t>
  </si>
  <si>
    <t xml:space="preserve"> Московская область, городской округ Серебряные Пруды, рп Серебряные Пруды,мкр-н Юбилейный, д.5, кв.13</t>
  </si>
  <si>
    <t>50:39:0050508:420</t>
  </si>
  <si>
    <t>02.10.2019г</t>
  </si>
  <si>
    <t>Муниципальный контракт от 23.09.2019г №0848600007419000257. Выписка ЕГРН, регистрация права от 02.10.2019г №50:39:0050508:420-50/001/2019-2</t>
  </si>
  <si>
    <t xml:space="preserve"> Московская область, городской округ Серебряные Пруды, пос. Успенский, ул. Запрудная, д.10, кв.14</t>
  </si>
  <si>
    <t>50:39:0070303:185</t>
  </si>
  <si>
    <t>Муниципальный контракт от 23.09.2019г №0848600007419000259. Выписка ЕГРН, регистрация права от 02.10.2019г №50:39:0070303:185-50/039/2019-4</t>
  </si>
  <si>
    <t xml:space="preserve"> Московская область, городской округ Серебряные Пруды, пос. Успенский, ул. Луговая, д.2, кв.11</t>
  </si>
  <si>
    <t>50:39:0000000:2664</t>
  </si>
  <si>
    <t>Муниципальный контракт от 23.09.2019г №0848600007419000261. Выписка ЕГРН, регистрация права от 02.10.2019г №50:39:0000000:2664-50/039/2019-2</t>
  </si>
  <si>
    <t xml:space="preserve"> Московская область, городской округ Серебряные Пруды, пос. Дмитриевский, д.3, кв.4</t>
  </si>
  <si>
    <t>50:39:0080207:340</t>
  </si>
  <si>
    <t>01.10.2019г</t>
  </si>
  <si>
    <t>Муниципальный контракт от 23.09.2019г №0848600007419000260. Выписка ЕГРН, регистрация права от 01.10.2019г №50:39:0080207:340-50/001/2019-6</t>
  </si>
  <si>
    <t xml:space="preserve"> Московская область, городской округ Серебряные Пруды, пос. Дмитриевский, д.3, кв.22</t>
  </si>
  <si>
    <t>50:39:0080207:480</t>
  </si>
  <si>
    <t>Муниципальный контракт от 23.09.2019г №0848600007419000266. Выписка ЕГРН, регистрация права от 01.10.2019г №50:39:0080207:480-50/039/2019-2</t>
  </si>
  <si>
    <t>09.12.2019г</t>
  </si>
  <si>
    <t>Договор №11/2019 передачи жилого помещениямуниципального жилищного фонда в собственность граждан от 22.08.2019г Регистрация права от 09.12.2019г №50:39:0060104:763-50/001/2019-3,4</t>
  </si>
  <si>
    <t>10.12.2019г</t>
  </si>
  <si>
    <t>Договор №17/2019 передачи жилого помещения муниципального жилищного фонда в собственность граждан от 12.11.2019г Регистрация права от 10.12.2019г №50:39:0030120:363-50/001/2019-3</t>
  </si>
  <si>
    <t>12.12.2019г</t>
  </si>
  <si>
    <t>Распоряжение администрации о списании от 12.12.2019г №829-р</t>
  </si>
  <si>
    <t>Контейнерная площадка 16 кв.м. с.Узуново, м-н Южный д.1 (пожарное депо)</t>
  </si>
  <si>
    <t>Контейнерная площадка 16 кв.м. с.Глубокое, д.11</t>
  </si>
  <si>
    <t>Контейнерная площадка 16 кв.м. с.Узуново, ул. Почтовая, д.5</t>
  </si>
  <si>
    <t>Контейнерная площадка 16 кв.м. с.Узуново, м-н Южный д.5</t>
  </si>
  <si>
    <t>Контейнерная площадка 10 кв.м. с.Дудино, д.2</t>
  </si>
  <si>
    <t>Контейнерная площадка 16 кв.м. с.Узуново, м-н Северный (около кладбища №1)</t>
  </si>
  <si>
    <t>1.101.38.3624</t>
  </si>
  <si>
    <t>1.101.38.3623</t>
  </si>
  <si>
    <t>1.101.38.3625</t>
  </si>
  <si>
    <t>1.101.38.3622</t>
  </si>
  <si>
    <t>1.101.38.3627</t>
  </si>
  <si>
    <t>1.101.38.3628</t>
  </si>
  <si>
    <t>Договор подряда от 17.09.2019г №822167, Акт о приемке выполненных работ от 24.09.2019г №1</t>
  </si>
  <si>
    <t>Изложить в новой редакции. Отдел по жилищным вопросам</t>
  </si>
  <si>
    <t>Договор подряда от 17.09.2019г №822163, Акт о приемке выполненных работ от 24.09.2019г №1</t>
  </si>
  <si>
    <t>Договор подряда от 17.09.2019г №822158, Акт о приемке выполненных работ от 24.09.2019г №1</t>
  </si>
  <si>
    <t>Договор подряда от 17.09.2019г №822176, Акт о приемке выполненных работ от 24.09.2019г №1</t>
  </si>
  <si>
    <t>30.09.2019г</t>
  </si>
  <si>
    <t>Договор подряда от 24.09.2019г №835721, Акт о приемке выполненных работ от 30.09.2019г №1</t>
  </si>
  <si>
    <t>Договор подряда от 17.09.2019г №822153, Акт о приемке выполненных работ от 24.09.2019г №1</t>
  </si>
  <si>
    <t>50:39:0060306:1100</t>
  </si>
  <si>
    <t>Решение Совета депутатов № 696/70. выписка ЕГРН, регистрация права от 12.12.2019г №50:39:0060306:1100-50/001/2019-1</t>
  </si>
  <si>
    <t>50:39:0080105:1076</t>
  </si>
  <si>
    <t>Распоряжение администрации Серебряно-Прудского муниципального района 278-р. Выписка ЕГРН, регистрация права от 12.12.2019г №50:39:0080105:1076-50/001/2019-1</t>
  </si>
  <si>
    <t>50:39:0070207:487</t>
  </si>
  <si>
    <t>Постановление администрации Серебряно-Прудского муниципального района МО №869. Выписка из ЕГРН, регистрация права от 12.12.2019г № 50:39:0070207:487-50/001/2019-1</t>
  </si>
  <si>
    <t>27.11.2019г</t>
  </si>
  <si>
    <t>50:39:0030302:248</t>
  </si>
  <si>
    <t>Договор №15/2019 передачи жилого помещения муниципального жилищного фонда в собственность граждан. Регистрация права от 27.11.2019г №50:39:0030302:248-50/001/2019-3,4,5,6,7</t>
  </si>
  <si>
    <t>Договор соц.найм № 18/2019 от 02.07.2016 Наниматель: Кращенко Дмитрий Вячеславович</t>
  </si>
  <si>
    <t>Договор №16/2019 передачи жилого помещения муниципального жилищного фонда в собственность граждан от 23.10.2019г.  Регистрация права от 28.11.2019г №50:39:0050101:513-50/001/2019-2.</t>
  </si>
  <si>
    <t>Московская область, городской округ Серебряные Пруды, д.   Косяево,  д.4</t>
  </si>
  <si>
    <t>Изложить в новой редации. На основании служебной записки жилищного отдела от 17.12.2019г внесены изменения в наименование, адрес и площадь Договор соц.найма№ 90/2017 от 17.03.2017 Наниматель: Самохин Сергей Анатольевич</t>
  </si>
  <si>
    <t>Изложить в новой редакции. На основании служебной записки жилищного отдела от 19.12.2019г внесены изменения в площадь. Договор соц.найма№ 142/2017 от 30.05.2017 Наниматель: Прохоров Сергей Васильевич</t>
  </si>
  <si>
    <t>Изложить в новой редакции. На основании служебной записки жилищного отдела от 19.12.2019г внесены изменения в площадь.</t>
  </si>
  <si>
    <t>Договор №7/2019 передачи жилого помещения муниципального жилищного фонда в собственность граждан от 02.07.2019г, регистрация права от 25.07.2019г №50:39:0010108:680-50/001/2019-4</t>
  </si>
  <si>
    <t>50:39:0010108:680</t>
  </si>
  <si>
    <t>Договор соц.найма от 07.11.2011г №15/2011. Наниматель: Сидорова Галина Геннадьевна</t>
  </si>
  <si>
    <t>Договор соц.найма от 20.11.2013г №б/н Наниматель: Хмелькова Нина Викторовна</t>
  </si>
  <si>
    <t>04.12.2019г</t>
  </si>
  <si>
    <t>Договор №7/2019 мены равноценных квартир от 26.11.2019г. Регистрация права от 04.12.2019г №50:39:0050503:622-50/001/2019-2</t>
  </si>
  <si>
    <t>Московская область. Серебряно-Прудский район, рп Серкебряные Пруды,  ул. Коровушкина</t>
  </si>
  <si>
    <t>Водопроводные сети. Инв. 1520155, Протяженность 1666 м. Диаметр трубы 100-150мм</t>
  </si>
  <si>
    <t>50:39:0030118:214</t>
  </si>
  <si>
    <t>Решение Совета депутатов № 696/70. Выписка из ЕГРН, регистрация права от 20.12.2019г №50:39:0030118:214-50/036/2019-1</t>
  </si>
  <si>
    <t xml:space="preserve">Водопроводные сети, инв. 1520141, Протяженность 4729м. Диаметр трубы 20-125мм </t>
  </si>
  <si>
    <t>50:39:0020208:1377</t>
  </si>
  <si>
    <t>Решение Совета депутатов № 696/70. выписка ЕГРН, регистрация права от 20.12.2019г №50:39:0020208:1377-50/001/2019-1</t>
  </si>
  <si>
    <t>50:39:0000000:4706</t>
  </si>
  <si>
    <t xml:space="preserve">Водопроводные сети, инв. 0000000563. Протяженность 5702м. Диаметр трубы 100-200мм </t>
  </si>
  <si>
    <t>Решение Совета депутатов № 696/70. выписка из ЕГРН, регистрация права от 26.12.2019г №50:39:0000000:4706-50/001/2019-1</t>
  </si>
  <si>
    <t>50:39:0020136:77</t>
  </si>
  <si>
    <t>Решение Совета депутатов № 696/70. выписка ЕГРН, регистрация права от 24.12.2019г №50:39:0020316:77-50/001/2019-1</t>
  </si>
  <si>
    <t xml:space="preserve">Водопроводные сети. Инв. 1200015. Протяженность 2107м. Диаметр трубы 50-100мм </t>
  </si>
  <si>
    <t>Нежилое здание амбулатории с квартирой для врача, год ввода 2015, 1-о этажное, из прочих материалов</t>
  </si>
  <si>
    <t xml:space="preserve"> Московская область, городской округ Серебряные Пруды, д. Шеметово</t>
  </si>
  <si>
    <t>50:39:0060104:766</t>
  </si>
  <si>
    <t>19.09.2019г</t>
  </si>
  <si>
    <t>Решение Арбитражного суда Московской области Дело №А41-11448/19. Выписка из ЕГРН, регистрация права от 20.12.2019г № 50:39:0060104:766-50/036/2019-1</t>
  </si>
  <si>
    <t>Является неотемлемой частью здания кадастровый номер 50:39:0000000:727, реестровый номер 1817</t>
  </si>
  <si>
    <t>50:39:0000000:4707</t>
  </si>
  <si>
    <t xml:space="preserve"> Решение СД Сер.-Пруд. Муниц. р-на МО  № 106/24. Выписка из ЕГРН, регистрация права от 27.12.2019г №50:39:0000000:4707-50/039/2019-1</t>
  </si>
  <si>
    <t>Нежилое здание (ДК Подхожее) здание 2-х этажное, общей площадью 1954,6 кв.м.. Инв. № 273:078-3025, лит. А</t>
  </si>
  <si>
    <t>Оперативное управление МУК "КДЦ Мочильское". Регистрация права от 04.09.2017г №50:39:0000000:727-50/039/2017-1</t>
  </si>
  <si>
    <t>Московская область, городской округ Серебряные Пруды, с. Подхожее, мкр-н Юбилейный, д. 10, пом.1</t>
  </si>
  <si>
    <t xml:space="preserve">Жилой дом </t>
  </si>
  <si>
    <t>50:39:0060504:195</t>
  </si>
  <si>
    <t>30.12.2019г</t>
  </si>
  <si>
    <t>Решение Совета депутатов го Серебряные Пруды МО от 05.08.2019г №243/42. Распоряжение Правительства МО от 02.10.2019г №814-рп. Передаточный акт от 25.11.2019г. Выписка из ЕГРН, регистрация права от 30.12.23019г №50:39:0060504:195-50/039/2019-2</t>
  </si>
  <si>
    <t xml:space="preserve"> Московская область, Серебряно-Прудский район, с. Подхожее, ул. Мира, д.17</t>
  </si>
  <si>
    <t>50:39:0000000:4698</t>
  </si>
  <si>
    <t>19.12.2019г</t>
  </si>
  <si>
    <t>50:39:0000000:4701</t>
  </si>
  <si>
    <t>24.12.2019г</t>
  </si>
  <si>
    <t>Договор №21/2019 передачи жилого помещения муниципального жилищного фонда в собственность граджан от 12.12.2019г. Регистрация права от 19.12.2019г № 50:39:0000000:4701-50/036/2019-3</t>
  </si>
  <si>
    <t>Договор №14/2019 передачи жилого помещения муниципального жилищного фонда в собственность граждан от 18.09.2019г. Регистрация права от 19.12.2019г № 50:39:0000000:4698-50/001/2019-3,4,5</t>
  </si>
  <si>
    <t>26.12.2019г</t>
  </si>
  <si>
    <t>Договор №19/2019 передачи жилого помещения муниципального жилищного фонда в собственность граждан от 10.12.2019г. Регистрация права от 26.12.2019г №50:39:0070303:176-50/039/2019-2,3</t>
  </si>
  <si>
    <t>50:39:0010109:201</t>
  </si>
  <si>
    <t>25.12.2019г</t>
  </si>
  <si>
    <t>Договор №20/2019 передачи жилого помещения муниципального жилищного фонда в собственность граждан от 12.12.2019г. Регистрация прва от 25.12.2019г №50:39:0010109:201-50/036/2019-3</t>
  </si>
  <si>
    <t>50:39:0050508:795</t>
  </si>
  <si>
    <t>Договор №289 на передачу квартиры в собственность граждан от 01.07.2014г Регистрация права от 26.12.2019г 50:39:0050508:795-50/039/2019-3</t>
  </si>
  <si>
    <t>Изложить в новой редакции, сведения о стоимости внесены на основании отчета об оценке от 15.08.2019г №6436/19</t>
  </si>
  <si>
    <t>Изложить в новой редакции, сведения о стоимости внесены на основании отчета об оценке от 15.08.2019г №6437/19</t>
  </si>
  <si>
    <t>Договор соц.наймй от 04.12.2019г №34/2019. Наниматель: Лободедова Светлана Викторовна</t>
  </si>
  <si>
    <t>Договор соц.найма от 04.12.2019г №33/2019. Наниматель:  Крачковская Елена Алексеевна</t>
  </si>
  <si>
    <t>Договор соц.найма от 04.12.2019г №32/2019. Наниматель:  Филлипова Кристина Игоревна</t>
  </si>
  <si>
    <t>1.108.52.3705</t>
  </si>
  <si>
    <t xml:space="preserve">Оперативное управление МУ "Центральныц ДК". Постановление оот 27.01.2009г № 72. Свидетельство 50-НГ №594360. </t>
  </si>
  <si>
    <t>50:39:0050507:50</t>
  </si>
  <si>
    <t>06.12.2019г</t>
  </si>
  <si>
    <t>Договор мены №8/2019 равноценных квартир от 26.11.2019г. Регистрация права от 06.12.2019г №50:39:0050404:556-50/001/2019-6</t>
  </si>
  <si>
    <t>Изложить в новой редакции в связи с процедурами по переселению из аварийного жилья</t>
  </si>
  <si>
    <t>Договор №8/2019 мены равноценных квартир от 26.11.2019г, регистрация права от 06.12.2019г № 50:39:0000000:4030-50/001/2019-2</t>
  </si>
  <si>
    <t xml:space="preserve">Мемориал односельчанам, погибшим в годы Великой Отечественной войны                          </t>
  </si>
  <si>
    <t>Договор №7/2019 мены равноценных квартир от 26.11.2019г. Регистрация права от 04.12.2019г №50:39:0050503:144-50/001/2019-7</t>
  </si>
  <si>
    <t>Договор №5/2019 мены равноценных квартир от 26.11.2019г. Регистрация права от 10.12.2019г №50:39:0000000:4647-50/039/2019-13</t>
  </si>
  <si>
    <t>50:39:0000000:4647</t>
  </si>
  <si>
    <t>50:39:0050503:622</t>
  </si>
  <si>
    <t>Договор № 5/2019 мены равноценных квартир от 26.11.2019г Регистрация права от 10.12.2019г №50:39:0050404:933-50/039/2019-8,9,10,11,12</t>
  </si>
  <si>
    <t>05.12.2019г</t>
  </si>
  <si>
    <t>Договор №6/2019 мены равноценных квартир от 26.11.2019г, Регистрация права от 05.12.2019г №50:39:0050503:767-50/036/2019-7</t>
  </si>
  <si>
    <t>Договор №6/2019 мены равноценных квартир от 26.11.2019г. Регистрация права от 05.12.2019г №50:39:0000000:2243-50/036/2019-2</t>
  </si>
  <si>
    <t>50:39:0000000:2243</t>
  </si>
  <si>
    <t>50:39:0000000:2244</t>
  </si>
  <si>
    <t>Договор №3/2019 мены равноценных квартир от 26.11.2019г. Регистрация права от 05.12.2019г №50:39:0000000:2244-50/039/2019-4</t>
  </si>
  <si>
    <t>Договор № 3/2019 мены равноценных квартир от 26.11.2019г, регистрация права от 05.12.2019г №50:39:0050101:534-50/039/2019-9</t>
  </si>
  <si>
    <t>Дублирует стр.763, в муниципальную собственность принято повторно, после приватизации на основании Договора от 20.01.2017г №37/2016</t>
  </si>
  <si>
    <t>Московская область, городской округ Серебряные Пруды, п.Дмитриевский, дом.№10, кв. 5</t>
  </si>
  <si>
    <t>50:39:0080207:386</t>
  </si>
  <si>
    <t>Договор №2/2019 мены равноценных квартир от 26.11.2019г Выписка из ЕГРН, регистрация права от 05.12.2019г №50:39:0080207:386-50/039/2019-2</t>
  </si>
  <si>
    <t>Договор №1/2019 мены равноценных квартир от 26.11.2019г. Регистрция права от 05.12.2019г №50:39:0080207:480-50/036/2019-6</t>
  </si>
  <si>
    <t>50:39:0080207:387</t>
  </si>
  <si>
    <t>Московская область, городской округ Серебряные Пруды, п.Дмитриевский, дом.№10, кв. 6</t>
  </si>
  <si>
    <t>Договор №1/2019 мены равноценных квартир от 26.11.2019г Выписка из ЕГРН, регистрация права от 05.12.2019г №50:39:0080207:387-50/036/2019-2</t>
  </si>
  <si>
    <t>Договор №2/2019 мены равноценных квартир от 26.11.2019г. Регистрация права от 05.12.2019г №50:39:0050508:420-50/039/2019-8</t>
  </si>
  <si>
    <t>Договор соц.найма от 26.11.2019г №27/2019. Наниматель: Лихачева Мария  Семеновна</t>
  </si>
  <si>
    <t xml:space="preserve">Договор соц.найма №28/2019 от 26.11.2019г. Наниматель:т Харитонова Татьяна Дмитриевна </t>
  </si>
  <si>
    <t>Договор соц.найма от 26.11.2019г №31/2019. Наниматель: Салпанов Евгений Владимирович</t>
  </si>
  <si>
    <t>Договор соц.найма от 26.11.2019г №30/2019. Наниматель: Ходенев Сергей Сергеевич</t>
  </si>
  <si>
    <t>Договор соц.найма от 26.11.2019г №29/2019. Наниматель: Тараканкина Валентина Ивановна</t>
  </si>
  <si>
    <t>Изложить в новой редакции. На основании служебной записки жилищного отдеда от 06.11.2019г и копии тех.паспорта внесены изменения в площадь</t>
  </si>
  <si>
    <t>Электрические сети уличное освещение, р.п. Серебряные Пруды, ул. Советская до плотины, площадь Советская, протяженность 1335м, 59 шт светильников</t>
  </si>
  <si>
    <t>Электрические сети уличное освещение, р.п. Серебряные Пруды, ул. Ленина, протяженность 850м, 21 шт светильников</t>
  </si>
  <si>
    <t>Линии уличного освещения д.Благодать, протяженность 1450м, 24 шт светильников</t>
  </si>
  <si>
    <t>Линии уличного освещения, гп Серебряные Пруды, 32000 м, в том числе:</t>
  </si>
  <si>
    <t>Линии уличного освещения с. Дудино, протяженность 2514м, 42 шт светильников</t>
  </si>
  <si>
    <t>10685.1</t>
  </si>
  <si>
    <t>Линии уличного освещения с. Дудино (проезд за перездом направо), протяженность 1120м, 15 шт светильников</t>
  </si>
  <si>
    <t>Линии уличного освещения с. Красное, протяженность 1400м, 16 шт светильников</t>
  </si>
  <si>
    <t>10685.2</t>
  </si>
  <si>
    <t>10685.3</t>
  </si>
  <si>
    <t>10685.4</t>
  </si>
  <si>
    <t>10685.5</t>
  </si>
  <si>
    <t>10685.6</t>
  </si>
  <si>
    <t>10685.7</t>
  </si>
  <si>
    <t>10685.8</t>
  </si>
  <si>
    <t>Линии уличного освещения рп Серебряные Пруды, ул. Железнодорожная, протяженность 680м, 15 шт светильников</t>
  </si>
  <si>
    <t>Линии уличного освещения рп Серебряные Пруды, ул. Полевая, протяженность 350м, 5 шт светильников</t>
  </si>
  <si>
    <t>Линии уличного освещения рп Серебряные Пруды, ул. Почтовая, протяженность 1700м, 21 шт светильников</t>
  </si>
  <si>
    <t>Линии уличного освещения рп Серебряные Пруды, ул. Колхозная, протяженность 460м, 7 шт светильников</t>
  </si>
  <si>
    <t>Линии уличного освещения рп Серебряные Пруды, ул. Комсомольский переулок, протяженность 200м, 7 шт светильников</t>
  </si>
  <si>
    <t>10685.9</t>
  </si>
  <si>
    <t>10685.10</t>
  </si>
  <si>
    <t>10685.11</t>
  </si>
  <si>
    <t>10685.12</t>
  </si>
  <si>
    <t>10685.13</t>
  </si>
  <si>
    <t>10685.14</t>
  </si>
  <si>
    <t>Линии уличного освещения рп Серебряные Пруды, ул. Комсомольская, протяженность 585м, 8 шт светильников</t>
  </si>
  <si>
    <t>Линии уличного освещения рп Серебряные Пруды, ул. Набережная, протяженность 1450м, 26 шт светильников</t>
  </si>
  <si>
    <t>Линии уличного освещения рп Серебряные Пруды, ул. Привокзальная, протяженность 2550м, 55 шт светильников</t>
  </si>
  <si>
    <t>Линии уличного освещения рп Серебряные Пруды, ул. Южная, протяженность 530м, 5 шт светильников</t>
  </si>
  <si>
    <t>Линии уличного освещения рп Серебряные Пруды, ул. Механизаторов, протяженность 830м, 13 шт светильников</t>
  </si>
  <si>
    <t>10685.15</t>
  </si>
  <si>
    <t>10685.16</t>
  </si>
  <si>
    <t>10685.17</t>
  </si>
  <si>
    <t>Линии уличного освещения рп Серебряные Пруды, ул. Мичурина, протяженность 390м, 10 шт светильников</t>
  </si>
  <si>
    <t>Линии уличного освещения рп Серебряные Пруды, ул. Садовая, протяженность 550м, 8 шт светильников</t>
  </si>
  <si>
    <t>Линии уличного освещения рп Серебряные Пруды, ул. Большая Луговая, протяженность 1250м, 28 шт светильников</t>
  </si>
  <si>
    <t>10685.18</t>
  </si>
  <si>
    <t>10685.19</t>
  </si>
  <si>
    <t>10685.20</t>
  </si>
  <si>
    <t>10685.21</t>
  </si>
  <si>
    <t>10685.22</t>
  </si>
  <si>
    <t>10685.23</t>
  </si>
  <si>
    <t>10685.24</t>
  </si>
  <si>
    <t>10685.25</t>
  </si>
  <si>
    <t>Линии уличного освещения рп Серебряные Пруды, ул. 50 лет ВЛКСМ, протяженность 795м, 23 шт светильников</t>
  </si>
  <si>
    <t>Линии уличного освещения рп Серебряные Пруды, ул. Ремесленная, протяженность 400м, 14 шт светильников</t>
  </si>
  <si>
    <t>Линии уличного освещения рп Серебряные Пруды, ул. Первомайская, протяженность 860м, 76 шт светильников</t>
  </si>
  <si>
    <t>Линии уличного освещения рп Серебряные Пруды, ул. Школьный переулок, протяженность 420м, 10 шт светильников</t>
  </si>
  <si>
    <t>Линии уличного освещения рп Серебряные Пруды, ул. Школьная, протяженность 1000м, 27 шт светильников</t>
  </si>
  <si>
    <t>Линии уличного освещения рп Серебряные Пруды, мкр-н Центральный, протяженность 1350м, 67 шт светильников</t>
  </si>
  <si>
    <t>Линии уличного освещения рп Серебряные Пруды, ул. 8 Марта, протяженность 1200м, 40 шт светильников</t>
  </si>
  <si>
    <t>10685.26</t>
  </si>
  <si>
    <t>10685.27</t>
  </si>
  <si>
    <t>10685.28</t>
  </si>
  <si>
    <t>10685.29</t>
  </si>
  <si>
    <t>10685.30</t>
  </si>
  <si>
    <t>10685.31</t>
  </si>
  <si>
    <t>10685.32</t>
  </si>
  <si>
    <t>10685.33</t>
  </si>
  <si>
    <t>10685.34</t>
  </si>
  <si>
    <t>10685.35</t>
  </si>
  <si>
    <t>10685.36</t>
  </si>
  <si>
    <t>10685.37</t>
  </si>
  <si>
    <t>10685.38</t>
  </si>
  <si>
    <t>10685.39</t>
  </si>
  <si>
    <t>Линии уличного освещения рп Серебряные Пруды, ул. Октябрьская, протяженность 1600м, 46 шт светильников</t>
  </si>
  <si>
    <t>Линии уличного освещения рп Серебряные Пруды, ул. Восточная + мкр-н Тополя, протяженность 1860м, 40 шт светильников</t>
  </si>
  <si>
    <t>Линии уличного освещения рп Серебряные Пруды, ул. Пролетарская, протяженность 970м, 21 шт светильников</t>
  </si>
  <si>
    <t>Линии уличного освещения рп Серебряные Пруды, ул. Маршала Чуйкова, протяженность 940м, 25 шт светильников</t>
  </si>
  <si>
    <t>Линии уличного освещения рп Серебряные Пруды, ул. Свободная, протяженность 780м, 18 шт светильников</t>
  </si>
  <si>
    <t>Линии уличного освещения рп Серебряные Пруды, ул. Коммунальная, протяженность 575м, 12 шт светильников</t>
  </si>
  <si>
    <t>Линии уличного освещения рп Серебряные Пруды, ул. Ильи Садофьева, протяженность 1130м, 23 шт светильников</t>
  </si>
  <si>
    <t>Линии уличного освещения рп Серебряные Пруды, ул. Заречная, протяженность  900м, 23 шт светильников</t>
  </si>
  <si>
    <t>Линии уличного освещения рп Серебряные Пруды, ул. Трудовая, протяженность 1350м, 28 шт светильников</t>
  </si>
  <si>
    <t>Линии уличного освещения рп Серебряные Пруды, ул. ПТУ, протяженность 550м, 10 шт светильников</t>
  </si>
  <si>
    <t>Линии уличного освещения рп Серебряные Пруды, ул. Полевая, д.4-9, протяженность 420м, 3 шт светильников</t>
  </si>
  <si>
    <t>Линии уличного освещения рп Серебряные Пруды, ул. Коровушкина, протяженность 270м, 9 шт светильников</t>
  </si>
  <si>
    <t>Линии уличного освещения рп Серебряные Пруды, мкр-н Юбилейный, протяженность 1875м, 63 шт светильников</t>
  </si>
  <si>
    <t>Линии уличного освещения рп Серебряные Пруды, мкр-н Западный, протяженность 2480м, 81 шт светильников</t>
  </si>
  <si>
    <t>Линии уличного освещения рп Серебряные Пруды, пл. Советская (от кафе "Венеция" до плотины), протяженность 200м, 5 шт светильников</t>
  </si>
  <si>
    <t>Линии уличного освещения д. Растряхаевка, протяженность 2450м, 39 шт светильников</t>
  </si>
  <si>
    <t>Колодец питьевой воды (инв.№ 11013129602)</t>
  </si>
  <si>
    <t>Колодец питьевой воды (инв.№ 11013129631)</t>
  </si>
  <si>
    <t>50:39:0050508:54</t>
  </si>
  <si>
    <t xml:space="preserve">Изложить в новой редакции. Здание включает в себя части 50:39:0040204:711 реестровый номер 2124, 50:39:0040202:714 реестровый номер 2111, 50:39:0040202:713 реестровый номер 2113 </t>
  </si>
  <si>
    <t>Нежилое здание Дома культуры, 1986г, инв. Номер 274:078-2559, 2-х этажное из прочих материалов</t>
  </si>
  <si>
    <t>Московская область, Серебряно-Прудский район, п. Новоклемово, д.61</t>
  </si>
  <si>
    <t>50:39:0040202:512</t>
  </si>
  <si>
    <t xml:space="preserve">Решение Совета депутатов № 696/70. Свидетельство о государственной ренистрации права от 28.12.2009г 50-НГ №940319.  Свидетельство о государственной ренистрации права от 20.07.2012г 50-АД №016609.  Свидетельство о государственной ренистрации права от 28.12.2009г 50-НГ №940315. Технический паспорт здания дома культуры от 26.06.1986г инвентарное дело № 274:078-2559  </t>
  </si>
  <si>
    <t>Оперативное управление МДОУ "Детский сад общеразвивающего вида "Колосок". Постановление от 11.12.2019г №1889</t>
  </si>
  <si>
    <t>Изложить в новой редакции.. Особо ценное движимое имущество. Постановление от 11.12.2019г №1897</t>
  </si>
  <si>
    <t>Контракт от 28.06.2019г №08486000074190001810003. Товарная накладная от 24.09.2019г № 2019-240906</t>
  </si>
  <si>
    <t>Комплекс игровой для организации тематических игр развивающих занятий на открытых площадках "Карета"</t>
  </si>
  <si>
    <t>Беседка игровая организации тематических игр развивающих занятий на открытых площадках "Дом"</t>
  </si>
  <si>
    <t>Модуль игровой для организации тематических игр развивающих занятий на открытых площадках "Внедорожник"</t>
  </si>
  <si>
    <t>Особо ценное имущество. Постановление от 10.07.2018г №1046</t>
  </si>
  <si>
    <t>Оперативное управление МАУ "Парк культуры и отдыха городского округа Серебряные Пруды "Серебряный" Постановление от 11.12.2019г №1890</t>
  </si>
  <si>
    <t xml:space="preserve"> </t>
  </si>
  <si>
    <t>Изложить в новой редакции. Особо ценное движимое имущество. Постановление от 11.12.2019г №1895</t>
  </si>
  <si>
    <t>Устройство для подсчета посетителей парка "Серебряный"</t>
  </si>
  <si>
    <t>Система оповещения парка культуры и отдыха "Серебряный"</t>
  </si>
  <si>
    <t>Система освещения велодорожки</t>
  </si>
  <si>
    <t>19.101.24.0005</t>
  </si>
  <si>
    <t>19.101.24.0006</t>
  </si>
  <si>
    <t>29.10.2019г</t>
  </si>
  <si>
    <t>Система наружного видеонаблюдения</t>
  </si>
  <si>
    <t>19.101.24.0007</t>
  </si>
  <si>
    <t>Библиотечный фонд (бюджет) 152094экз. + 515экз=152609экз - 8031экз=144578экз. - 7790экз.= 136788экз.-10196экз. + 1272экз. = 127864 экз. + 14экз = 127878экз. - 14402экз = 113476экз.+282 экз=113758 экз + 101экз + 1374экз = 115233 - 11084 = 104149экз + 335экз = 104484экз</t>
  </si>
  <si>
    <t>Особо ценное имущество. Постановление от 10.02.2017г №296 в редакции постановления от 11.10.2017г № 2225 (Распоряжение от 12.12.2017г №812-р, списано 8031экз, Распоряжение от 05.09.2018г №739-р, списано 7790экз. Служебная записка от 12.11.2018г внесены изменения. Распоряжение от 30.11.2018г №931-р списано 14402экз. Постановление от 14.12.2018г №1868. Постановление от 30.01.2019г №121. Постановление от 15.03.2019г №356. Постановление от 10.09.2019г №1364. Распоряжение от 28.11.2019г №802-р списано 11084экз. Постановление от 11.12.2019г №1896)</t>
  </si>
  <si>
    <t>Оперативное управление МДОУ "Детский сад д. Коровино". Постановление от 11.12.2019г №1892</t>
  </si>
  <si>
    <t>Изложить в новой редакции. Особо ценное движимое имущество. Постановление от 11.12.2019г №1893</t>
  </si>
  <si>
    <t>Электрическая плита ПЭП-0,48-ДШ-01</t>
  </si>
  <si>
    <t>18.10.2019г</t>
  </si>
  <si>
    <t>Контракт от 16.10.2019г №31. Товарная накладная от 18.10.2019г №76</t>
  </si>
  <si>
    <r>
      <t xml:space="preserve">Нежилые помещения 20, 15, 14, 13 общей площадью 73,5 кв.м. оперативное управление </t>
    </r>
    <r>
      <rPr>
        <b/>
        <sz val="9"/>
        <color theme="1"/>
        <rFont val="Times New Roman"/>
        <family val="1"/>
        <charset val="204"/>
      </rPr>
      <t>МУК "КДЦ Мочильское"</t>
    </r>
    <r>
      <rPr>
        <sz val="9"/>
        <color theme="1"/>
        <rFont val="Times New Roman"/>
        <family val="1"/>
        <charset val="204"/>
      </rPr>
      <t xml:space="preserve">. Постановление 25.08.2017г №1880. Нежилое помещение площадью 31 кв.м. оперативное управление  </t>
    </r>
    <r>
      <rPr>
        <b/>
        <sz val="9"/>
        <color theme="1"/>
        <rFont val="Times New Roman"/>
        <family val="1"/>
        <charset val="204"/>
      </rPr>
      <t>МУК "Централизованная библиотечная система"</t>
    </r>
    <r>
      <rPr>
        <sz val="9"/>
        <color theme="1"/>
        <rFont val="Times New Roman"/>
        <family val="1"/>
        <charset val="204"/>
      </rPr>
      <t>. Постановление от 22.10.2008г № 1128.  Нежилое помещение площадью 15,3 кв.м. безвозмездное пользование до 01.01.2029г</t>
    </r>
    <r>
      <rPr>
        <b/>
        <sz val="9"/>
        <color theme="1"/>
        <rFont val="Times New Roman"/>
        <family val="1"/>
        <charset val="204"/>
      </rPr>
      <t xml:space="preserve"> ОМВД РФ по го Серебряные Пруды</t>
    </r>
    <r>
      <rPr>
        <sz val="9"/>
        <color theme="1"/>
        <rFont val="Times New Roman"/>
        <family val="1"/>
        <charset val="204"/>
      </rPr>
      <t>. Решение Совета депутатов от 18.12.2018г №181/28.  Помещение площадью 93,6 кв.м. безвозмездное пользование</t>
    </r>
    <r>
      <rPr>
        <b/>
        <sz val="9"/>
        <color theme="1"/>
        <rFont val="Times New Roman"/>
        <family val="1"/>
        <charset val="204"/>
      </rPr>
      <t xml:space="preserve"> ГБУ здравоохранения МО "Серебряно-Прудская ЦРБ".</t>
    </r>
    <r>
      <rPr>
        <sz val="9"/>
        <color theme="1"/>
        <rFont val="Times New Roman"/>
        <family val="1"/>
        <charset val="204"/>
      </rPr>
      <t xml:space="preserve"> Решение Совета депутатов от 01.06.2018г №115/17. Нежилые помещения общей площадью 29.2 кв.м. аренда до 30.12.2020г </t>
    </r>
    <r>
      <rPr>
        <b/>
        <sz val="9"/>
        <color theme="1"/>
        <rFont val="Times New Roman"/>
        <family val="1"/>
        <charset val="204"/>
      </rPr>
      <t>ФГУП "Почта России"</t>
    </r>
    <r>
      <rPr>
        <sz val="9"/>
        <color theme="1"/>
        <rFont val="Times New Roman"/>
        <family val="1"/>
        <charset val="204"/>
      </rPr>
      <t>. Постановление от 11.12.2019г №1894</t>
    </r>
  </si>
  <si>
    <r>
      <t>Оперативное управление</t>
    </r>
    <r>
      <rPr>
        <b/>
        <sz val="9"/>
        <color theme="1"/>
        <rFont val="Times New Roman"/>
        <family val="1"/>
        <charset val="204"/>
      </rPr>
      <t xml:space="preserve"> МДОУ "Детский сад общеразвивающего вида "Ягодка"</t>
    </r>
    <r>
      <rPr>
        <sz val="9"/>
        <color theme="1"/>
        <rFont val="Times New Roman"/>
        <family val="1"/>
        <charset val="204"/>
      </rPr>
      <t xml:space="preserve">. Постановление от 18.04.2006г № 217. Помещение площадью 34,4 кв.м. до 30.12.2020г </t>
    </r>
    <r>
      <rPr>
        <b/>
        <sz val="9"/>
        <color theme="1"/>
        <rFont val="Times New Roman"/>
        <family val="1"/>
        <charset val="204"/>
      </rPr>
      <t>ФГУП "Почта России"</t>
    </r>
    <r>
      <rPr>
        <sz val="9"/>
        <color theme="1"/>
        <rFont val="Times New Roman"/>
        <family val="1"/>
        <charset val="204"/>
      </rPr>
      <t>. Постановление от 11.12.2019г №1894</t>
    </r>
  </si>
  <si>
    <r>
      <t xml:space="preserve">Помещение площадью 6,0 кв.м. аренда </t>
    </r>
    <r>
      <rPr>
        <b/>
        <sz val="9"/>
        <color theme="1"/>
        <rFont val="Times New Roman"/>
        <family val="1"/>
        <charset val="204"/>
      </rPr>
      <t xml:space="preserve"> ПАО "Ростелеком" </t>
    </r>
    <r>
      <rPr>
        <sz val="9"/>
        <color theme="1"/>
        <rFont val="Times New Roman"/>
        <family val="1"/>
        <charset val="204"/>
      </rPr>
      <t xml:space="preserve">до 30.12.2020г. Постановление от 28.10.2019г №1630. </t>
    </r>
  </si>
  <si>
    <r>
      <t xml:space="preserve">Оперативное управление помещение 54 кв.м. </t>
    </r>
    <r>
      <rPr>
        <b/>
        <sz val="9"/>
        <color theme="1"/>
        <rFont val="Times New Roman"/>
        <family val="1"/>
        <charset val="204"/>
      </rPr>
      <t xml:space="preserve">МУК "Централизованная библиотечная система". </t>
    </r>
    <r>
      <rPr>
        <sz val="9"/>
        <color theme="1"/>
        <rFont val="Times New Roman"/>
        <family val="1"/>
        <charset val="204"/>
      </rPr>
      <t xml:space="preserve">Постановление от 22.10.2008г № 1128. Помещение площадью 146,8 кв.м. безвозмездное пользование </t>
    </r>
    <r>
      <rPr>
        <b/>
        <sz val="9"/>
        <color theme="1"/>
        <rFont val="Times New Roman"/>
        <family val="1"/>
        <charset val="204"/>
      </rPr>
      <t>ГБУ здравоохранения МО "Серебряно-Прудская ЦРБ"</t>
    </r>
    <r>
      <rPr>
        <sz val="9"/>
        <color theme="1"/>
        <rFont val="Times New Roman"/>
        <family val="1"/>
        <charset val="204"/>
      </rPr>
      <t xml:space="preserve">. Решение Совета депутатов от 01.06.2018г №115/17. Помещение площадью 58,6 кв.м. до 30.12.2020г </t>
    </r>
    <r>
      <rPr>
        <b/>
        <sz val="9"/>
        <color theme="1"/>
        <rFont val="Times New Roman"/>
        <family val="1"/>
        <charset val="204"/>
      </rPr>
      <t>ФГУП "Почта России".</t>
    </r>
    <r>
      <rPr>
        <sz val="9"/>
        <color theme="1"/>
        <rFont val="Times New Roman"/>
        <family val="1"/>
        <charset val="204"/>
      </rPr>
      <t xml:space="preserve"> Постановление от 11.12.2019г №1894</t>
    </r>
  </si>
  <si>
    <r>
      <t xml:space="preserve">Помещение площадью 14,6 кв.м. аренда </t>
    </r>
    <r>
      <rPr>
        <b/>
        <sz val="9"/>
        <color theme="1"/>
        <rFont val="Times New Roman"/>
        <family val="1"/>
        <charset val="204"/>
      </rPr>
      <t xml:space="preserve">ФГУП "Почта России" </t>
    </r>
    <r>
      <rPr>
        <sz val="9"/>
        <color theme="1"/>
        <rFont val="Times New Roman"/>
        <family val="1"/>
        <charset val="204"/>
      </rPr>
      <t xml:space="preserve"> до 30.12.2020г. Постановление от 11.12.2019г №1894. Помещение площадью 24 кв.м. Оперативное управление </t>
    </r>
    <r>
      <rPr>
        <b/>
        <sz val="9"/>
        <color theme="1"/>
        <rFont val="Times New Roman"/>
        <family val="1"/>
        <charset val="204"/>
      </rPr>
      <t xml:space="preserve">МУК "Центролизованная библиотечная система го Серебряные Пруды МО" </t>
    </r>
    <r>
      <rPr>
        <sz val="9"/>
        <color theme="1"/>
        <rFont val="Times New Roman"/>
        <family val="1"/>
        <charset val="204"/>
      </rPr>
      <t>Постановление от 13.04.2017г №826. Помещение площадью 134,5 кв.м. безвозмездное пользование</t>
    </r>
    <r>
      <rPr>
        <b/>
        <sz val="9"/>
        <color theme="1"/>
        <rFont val="Times New Roman"/>
        <family val="1"/>
        <charset val="204"/>
      </rPr>
      <t xml:space="preserve"> ГБУ здравоохранения МО "Серебряно-Прудская ЦРБ"</t>
    </r>
    <r>
      <rPr>
        <sz val="9"/>
        <color theme="1"/>
        <rFont val="Times New Roman"/>
        <family val="1"/>
        <charset val="204"/>
      </rPr>
      <t>. Решение Совета депутатов от 01.06.2018г №115/17</t>
    </r>
  </si>
  <si>
    <t>Изложить в новой редакции. Особо ценное движимое имущество. Постановление от 11.12.2019г №1898</t>
  </si>
  <si>
    <t>Оперативное управление МАУ "МФЦ предосталения государственных и муниципальных услуг" городского округа Сереборяные Пруды Московской области. Постановление от 25.12.2019г №2036</t>
  </si>
  <si>
    <t>Коммутатор CiscoWS-C2960RX-48</t>
  </si>
  <si>
    <t>Контрак от 11.11.2019г №0848600007419000313. Товарная накладная от 12.11.2019г №26/2019</t>
  </si>
  <si>
    <t>12.11.2019г</t>
  </si>
  <si>
    <t>Автобус 222700 (16+1), VIN XUS222700E006473, гос номер В 438 ЕМ 750</t>
  </si>
  <si>
    <t>Автомашина ГАЗ 2757АО VIN X892757АО019ВВ9311, гос.№ Р 525 МР</t>
  </si>
  <si>
    <t>Автомашина ГАЗ 2752  Соболь, VIN ХТН27520010038872, гос.№ Р 517 МР</t>
  </si>
  <si>
    <t>Автобус HIGER KLQ6826Q, VIN LKLR1CSA4EA644927, гос. № В 531 ЕМ</t>
  </si>
  <si>
    <t>Оперативное управление МУ ДПО "Информационно-методический центр"</t>
  </si>
  <si>
    <t>Оперативное управление МУ ДПО"Информационно-методический центр". Постановление от 25.12.2019г №2035</t>
  </si>
  <si>
    <t>Передано от МУДО "Дом детского творчества"</t>
  </si>
  <si>
    <r>
      <t xml:space="preserve">Аренда помещение площадью 51,8 кв.м. </t>
    </r>
    <r>
      <rPr>
        <b/>
        <sz val="9"/>
        <color theme="1"/>
        <rFont val="Times New Roman"/>
        <family val="1"/>
        <charset val="204"/>
      </rPr>
      <t>ПАО "Ростелеком"</t>
    </r>
    <r>
      <rPr>
        <sz val="9"/>
        <color theme="1"/>
        <rFont val="Times New Roman"/>
        <family val="1"/>
        <charset val="204"/>
      </rPr>
      <t xml:space="preserve"> до 30.12.2020г. Постановление от 28.10.2019г №1630. Помещение площадью 19,3 кв.м. безвуозмездное бессрочное пользование </t>
    </r>
    <r>
      <rPr>
        <b/>
        <sz val="9"/>
        <color theme="1"/>
        <rFont val="Times New Roman"/>
        <family val="1"/>
        <charset val="204"/>
      </rPr>
      <t>Министерсво сельского хозяйства и продовольствия МО</t>
    </r>
    <r>
      <rPr>
        <sz val="9"/>
        <color theme="1"/>
        <rFont val="Times New Roman"/>
        <family val="1"/>
        <charset val="204"/>
      </rPr>
      <t>. Постановление от 31.12.2019г №2056</t>
    </r>
  </si>
  <si>
    <r>
      <t xml:space="preserve">Помещение площадью 276,1 кв.м. безвозмездное пользование </t>
    </r>
    <r>
      <rPr>
        <b/>
        <sz val="9"/>
        <color theme="1"/>
        <rFont val="Times New Roman"/>
        <family val="1"/>
        <charset val="204"/>
      </rPr>
      <t>ГБУ здравоохранения МО "Серебряно-Прудская ЦРБ"</t>
    </r>
    <r>
      <rPr>
        <sz val="9"/>
        <color theme="1"/>
        <rFont val="Times New Roman"/>
        <family val="1"/>
        <charset val="204"/>
      </rPr>
      <t>. Решение Совета депутатов от 01.06.2018г №115/17</t>
    </r>
  </si>
  <si>
    <t>Изменения в тип покрытия и протяженность внесены на основании служебной записки от Ильинской С.В. От 03.12.2019г. Географические координаты начала  и окончания дороги 54,534730 38,566659 - 54,525464 38,571414</t>
  </si>
  <si>
    <t xml:space="preserve">Изменения внесены на основании служебной записки от Ильинской С.В. От 03.12.2019г. </t>
  </si>
  <si>
    <t>Изменения внесены на основании служебной записки от Ильинской С.В. От 03.12.2019г. Географические координаты начала и окончания дороги 54,536385 38,614741 - 54,536028 38,610149</t>
  </si>
  <si>
    <t>Изменения внесены на основании служебной записки от Ильинской С.В. От 03.12.2019г. Географические координаты начала и окончания дороги 54,432344 38,710278 - 54,432765 38,710369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</si>
</sst>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#,##0.0"/>
    <numFmt numFmtId="166" formatCode="0.00;[Red]\-0.00"/>
    <numFmt numFmtId="167" formatCode="#,##0.00\ _₽"/>
  </numFmts>
  <fonts count="20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8"/>
      <name val="Arial"/>
      <family val="2"/>
    </font>
    <font>
      <sz val="9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u/>
      <sz val="9"/>
      <color theme="1"/>
      <name val="Times New Roman"/>
      <family val="1"/>
      <charset val="204"/>
    </font>
    <font>
      <sz val="9"/>
      <color rgb="FF333333"/>
      <name val="Calibri"/>
      <family val="2"/>
      <charset val="204"/>
      <scheme val="minor"/>
    </font>
    <font>
      <sz val="9"/>
      <color rgb="FF343434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99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5" fillId="0" borderId="0"/>
    <xf numFmtId="0" fontId="5" fillId="0" borderId="0"/>
    <xf numFmtId="0" fontId="12" fillId="0" borderId="0"/>
    <xf numFmtId="0" fontId="5" fillId="0" borderId="0"/>
    <xf numFmtId="0" fontId="15" fillId="0" borderId="0" applyNumberFormat="0" applyFill="0" applyBorder="0" applyAlignment="0" applyProtection="0"/>
  </cellStyleXfs>
  <cellXfs count="326">
    <xf numFmtId="0" fontId="0" fillId="0" borderId="0" xfId="0"/>
    <xf numFmtId="0" fontId="3" fillId="0" borderId="0" xfId="0" applyFont="1"/>
    <xf numFmtId="0" fontId="3" fillId="0" borderId="4" xfId="0" applyFont="1" applyFill="1" applyBorder="1" applyAlignment="1">
      <alignment horizontal="center" vertical="center" wrapText="1"/>
    </xf>
    <xf numFmtId="14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Border="1"/>
    <xf numFmtId="0" fontId="4" fillId="0" borderId="4" xfId="0" applyFont="1" applyFill="1" applyBorder="1" applyAlignment="1">
      <alignment horizontal="center" vertical="center" wrapText="1"/>
    </xf>
    <xf numFmtId="14" fontId="4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4" fontId="3" fillId="0" borderId="0" xfId="0" applyNumberFormat="1" applyFont="1" applyFill="1" applyBorder="1" applyAlignment="1">
      <alignment horizontal="center" vertical="center" wrapText="1"/>
    </xf>
    <xf numFmtId="0" fontId="9" fillId="0" borderId="4" xfId="1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 shrinkToFit="1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4" fontId="3" fillId="0" borderId="4" xfId="0" applyNumberFormat="1" applyFont="1" applyFill="1" applyBorder="1" applyAlignment="1">
      <alignment horizontal="center" vertical="center" wrapText="1" shrinkToFit="1"/>
    </xf>
    <xf numFmtId="4" fontId="7" fillId="0" borderId="4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4" fontId="8" fillId="0" borderId="4" xfId="0" applyNumberFormat="1" applyFont="1" applyFill="1" applyBorder="1" applyAlignment="1">
      <alignment horizontal="center" vertical="center"/>
    </xf>
    <xf numFmtId="4" fontId="3" fillId="0" borderId="4" xfId="0" applyNumberFormat="1" applyFont="1" applyFill="1" applyBorder="1" applyAlignment="1">
      <alignment horizontal="center" vertical="center"/>
    </xf>
    <xf numFmtId="14" fontId="3" fillId="0" borderId="4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 wrapText="1"/>
    </xf>
    <xf numFmtId="4" fontId="6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164" fontId="3" fillId="0" borderId="4" xfId="0" applyNumberFormat="1" applyFont="1" applyFill="1" applyBorder="1" applyAlignment="1">
      <alignment horizontal="center" vertical="center" wrapText="1"/>
    </xf>
    <xf numFmtId="165" fontId="3" fillId="0" borderId="4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 shrinkToFit="1"/>
    </xf>
    <xf numFmtId="4" fontId="3" fillId="3" borderId="4" xfId="0" applyNumberFormat="1" applyFont="1" applyFill="1" applyBorder="1" applyAlignment="1">
      <alignment horizontal="center" vertical="center" wrapText="1" shrinkToFit="1"/>
    </xf>
    <xf numFmtId="0" fontId="6" fillId="3" borderId="4" xfId="0" applyFont="1" applyFill="1" applyBorder="1" applyAlignment="1">
      <alignment horizontal="center" vertical="center" wrapText="1" shrinkToFit="1"/>
    </xf>
    <xf numFmtId="4" fontId="6" fillId="3" borderId="4" xfId="0" applyNumberFormat="1" applyFont="1" applyFill="1" applyBorder="1" applyAlignment="1">
      <alignment horizontal="center" vertical="center" wrapText="1" shrinkToFit="1"/>
    </xf>
    <xf numFmtId="0" fontId="3" fillId="0" borderId="4" xfId="0" applyFont="1" applyBorder="1" applyAlignment="1">
      <alignment horizontal="center" vertical="center" wrapText="1" shrinkToFit="1"/>
    </xf>
    <xf numFmtId="4" fontId="3" fillId="0" borderId="4" xfId="0" applyNumberFormat="1" applyFont="1" applyBorder="1" applyAlignment="1">
      <alignment horizontal="center" vertical="center" wrapText="1" shrinkToFit="1"/>
    </xf>
    <xf numFmtId="4" fontId="6" fillId="0" borderId="4" xfId="0" applyNumberFormat="1" applyFont="1" applyBorder="1" applyAlignment="1">
      <alignment horizontal="center" vertical="center" wrapText="1" shrinkToFit="1"/>
    </xf>
    <xf numFmtId="0" fontId="3" fillId="0" borderId="4" xfId="0" applyFont="1" applyBorder="1" applyAlignment="1">
      <alignment vertical="center" wrapText="1" shrinkToFit="1"/>
    </xf>
    <xf numFmtId="4" fontId="6" fillId="0" borderId="4" xfId="0" applyNumberFormat="1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 wrapText="1"/>
    </xf>
    <xf numFmtId="2" fontId="6" fillId="0" borderId="4" xfId="0" applyNumberFormat="1" applyFont="1" applyBorder="1" applyAlignment="1">
      <alignment horizontal="center" vertical="center"/>
    </xf>
    <xf numFmtId="4" fontId="6" fillId="0" borderId="4" xfId="0" applyNumberFormat="1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0" fontId="3" fillId="3" borderId="4" xfId="3" applyFont="1" applyFill="1" applyBorder="1" applyAlignment="1">
      <alignment horizontal="center" vertical="center" wrapText="1"/>
    </xf>
    <xf numFmtId="0" fontId="3" fillId="0" borderId="4" xfId="3" applyFont="1" applyFill="1" applyBorder="1" applyAlignment="1">
      <alignment horizontal="center" vertical="center" wrapText="1"/>
    </xf>
    <xf numFmtId="0" fontId="6" fillId="3" borderId="4" xfId="3" applyFont="1" applyFill="1" applyBorder="1" applyAlignment="1">
      <alignment horizontal="center" vertical="center" wrapText="1"/>
    </xf>
    <xf numFmtId="0" fontId="6" fillId="0" borderId="4" xfId="3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 wrapText="1"/>
    </xf>
    <xf numFmtId="2" fontId="6" fillId="0" borderId="4" xfId="0" applyNumberFormat="1" applyFont="1" applyFill="1" applyBorder="1" applyAlignment="1">
      <alignment horizontal="center" vertical="center"/>
    </xf>
    <xf numFmtId="0" fontId="3" fillId="0" borderId="4" xfId="0" applyFont="1" applyBorder="1"/>
    <xf numFmtId="0" fontId="3" fillId="2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4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3" fillId="0" borderId="4" xfId="0" applyFont="1" applyFill="1" applyBorder="1" applyAlignment="1">
      <alignment vertical="center" wrapText="1" shrinkToFit="1"/>
    </xf>
    <xf numFmtId="0" fontId="3" fillId="0" borderId="4" xfId="0" applyFont="1" applyFill="1" applyBorder="1" applyAlignment="1">
      <alignment horizontal="center" vertical="center" wrapText="1" shrinkToFit="1"/>
    </xf>
    <xf numFmtId="0" fontId="3" fillId="0" borderId="0" xfId="0" applyFont="1" applyAlignment="1">
      <alignment vertical="center"/>
    </xf>
    <xf numFmtId="0" fontId="3" fillId="0" borderId="9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 wrapText="1" shrinkToFit="1"/>
    </xf>
    <xf numFmtId="4" fontId="1" fillId="3" borderId="4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 shrinkToFit="1"/>
    </xf>
    <xf numFmtId="0" fontId="3" fillId="0" borderId="4" xfId="0" applyFont="1" applyBorder="1" applyAlignment="1">
      <alignment vertical="center"/>
    </xf>
    <xf numFmtId="0" fontId="3" fillId="0" borderId="4" xfId="0" applyNumberFormat="1" applyFont="1" applyBorder="1" applyAlignment="1">
      <alignment horizontal="center" vertical="center" wrapText="1"/>
    </xf>
    <xf numFmtId="14" fontId="3" fillId="0" borderId="4" xfId="0" applyNumberFormat="1" applyFont="1" applyFill="1" applyBorder="1" applyAlignment="1">
      <alignment horizontal="center" vertical="center" wrapText="1" shrinkToFit="1"/>
    </xf>
    <xf numFmtId="3" fontId="3" fillId="0" borderId="4" xfId="0" applyNumberFormat="1" applyFont="1" applyFill="1" applyBorder="1" applyAlignment="1">
      <alignment horizontal="center" vertical="center" wrapText="1" shrinkToFit="1"/>
    </xf>
    <xf numFmtId="0" fontId="3" fillId="0" borderId="1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 wrapText="1"/>
    </xf>
    <xf numFmtId="0" fontId="3" fillId="0" borderId="4" xfId="3" applyFont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3" fontId="3" fillId="0" borderId="4" xfId="0" applyNumberFormat="1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 shrinkToFit="1"/>
    </xf>
    <xf numFmtId="0" fontId="3" fillId="5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 vertical="center" wrapText="1" shrinkToFit="1"/>
    </xf>
    <xf numFmtId="164" fontId="3" fillId="0" borderId="4" xfId="0" applyNumberFormat="1" applyFont="1" applyBorder="1" applyAlignment="1">
      <alignment horizontal="center" vertical="center" wrapText="1" shrinkToFit="1"/>
    </xf>
    <xf numFmtId="164" fontId="3" fillId="0" borderId="4" xfId="0" applyNumberFormat="1" applyFont="1" applyFill="1" applyBorder="1" applyAlignment="1">
      <alignment horizontal="center" vertical="center"/>
    </xf>
    <xf numFmtId="2" fontId="3" fillId="0" borderId="4" xfId="0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6" fillId="0" borderId="4" xfId="4" applyNumberFormat="1" applyFont="1" applyBorder="1" applyAlignment="1">
      <alignment horizontal="center" vertical="center" wrapText="1"/>
    </xf>
    <xf numFmtId="4" fontId="6" fillId="0" borderId="4" xfId="4" applyNumberFormat="1" applyFont="1" applyFill="1" applyBorder="1" applyAlignment="1">
      <alignment horizontal="center" vertical="center"/>
    </xf>
    <xf numFmtId="4" fontId="10" fillId="0" borderId="4" xfId="0" applyNumberFormat="1" applyFont="1" applyBorder="1" applyAlignment="1">
      <alignment horizontal="center" vertical="center"/>
    </xf>
    <xf numFmtId="4" fontId="8" fillId="0" borderId="4" xfId="0" applyNumberFormat="1" applyFont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 wrapText="1" shrinkToFit="1"/>
    </xf>
    <xf numFmtId="4" fontId="8" fillId="0" borderId="11" xfId="0" applyNumberFormat="1" applyFont="1" applyBorder="1" applyAlignment="1">
      <alignment horizontal="center" vertical="center"/>
    </xf>
    <xf numFmtId="4" fontId="8" fillId="0" borderId="8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4" fontId="6" fillId="3" borderId="4" xfId="0" applyNumberFormat="1" applyFont="1" applyFill="1" applyBorder="1" applyAlignment="1">
      <alignment horizontal="center" vertical="center" wrapText="1"/>
    </xf>
    <xf numFmtId="4" fontId="3" fillId="3" borderId="4" xfId="0" applyNumberFormat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 shrinkToFit="1"/>
    </xf>
    <xf numFmtId="4" fontId="3" fillId="0" borderId="9" xfId="0" applyNumberFormat="1" applyFont="1" applyFill="1" applyBorder="1" applyAlignment="1">
      <alignment horizontal="center" vertical="center" wrapText="1"/>
    </xf>
    <xf numFmtId="0" fontId="3" fillId="0" borderId="4" xfId="3" applyFont="1" applyFill="1" applyBorder="1" applyAlignment="1" applyProtection="1">
      <alignment horizontal="center" vertical="center" wrapText="1"/>
      <protection locked="0"/>
    </xf>
    <xf numFmtId="3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 shrinkToFit="1"/>
    </xf>
    <xf numFmtId="2" fontId="3" fillId="0" borderId="4" xfId="0" applyNumberFormat="1" applyFont="1" applyBorder="1" applyAlignment="1">
      <alignment horizontal="center" vertical="center" wrapText="1" shrinkToFit="1"/>
    </xf>
    <xf numFmtId="4" fontId="3" fillId="0" borderId="4" xfId="0" applyNumberFormat="1" applyFont="1" applyBorder="1" applyAlignment="1">
      <alignment horizontal="center" vertical="center" shrinkToFit="1"/>
    </xf>
    <xf numFmtId="0" fontId="11" fillId="0" borderId="4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14" fontId="3" fillId="0" borderId="9" xfId="0" applyNumberFormat="1" applyFont="1" applyFill="1" applyBorder="1" applyAlignment="1">
      <alignment horizontal="center" vertical="center"/>
    </xf>
    <xf numFmtId="4" fontId="7" fillId="0" borderId="4" xfId="0" applyNumberFormat="1" applyFont="1" applyBorder="1" applyAlignment="1">
      <alignment horizontal="center" vertical="center" wrapText="1" shrinkToFit="1"/>
    </xf>
    <xf numFmtId="0" fontId="14" fillId="0" borderId="4" xfId="0" applyFont="1" applyBorder="1"/>
    <xf numFmtId="0" fontId="3" fillId="0" borderId="9" xfId="0" applyFont="1" applyBorder="1" applyAlignment="1">
      <alignment horizontal="center" vertical="center" wrapText="1" shrinkToFit="1"/>
    </xf>
    <xf numFmtId="4" fontId="7" fillId="6" borderId="4" xfId="0" applyNumberFormat="1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4" fontId="7" fillId="0" borderId="4" xfId="0" applyNumberFormat="1" applyFont="1" applyBorder="1" applyAlignment="1">
      <alignment horizontal="center" vertical="center"/>
    </xf>
    <xf numFmtId="4" fontId="8" fillId="0" borderId="13" xfId="0" applyNumberFormat="1" applyFont="1" applyBorder="1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3" fillId="0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 shrinkToFit="1"/>
    </xf>
    <xf numFmtId="49" fontId="6" fillId="0" borderId="4" xfId="0" applyNumberFormat="1" applyFont="1" applyFill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/>
    </xf>
    <xf numFmtId="0" fontId="16" fillId="0" borderId="4" xfId="0" applyFont="1" applyBorder="1"/>
    <xf numFmtId="3" fontId="3" fillId="3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 wrapText="1"/>
    </xf>
    <xf numFmtId="40" fontId="6" fillId="0" borderId="4" xfId="0" applyNumberFormat="1" applyFont="1" applyBorder="1" applyAlignment="1">
      <alignment horizontal="center" vertical="center" wrapText="1"/>
    </xf>
    <xf numFmtId="40" fontId="6" fillId="0" borderId="11" xfId="0" applyNumberFormat="1" applyFont="1" applyBorder="1" applyAlignment="1">
      <alignment horizontal="center" vertical="center" wrapText="1"/>
    </xf>
    <xf numFmtId="40" fontId="6" fillId="0" borderId="8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 wrapText="1" shrinkToFit="1"/>
    </xf>
    <xf numFmtId="4" fontId="3" fillId="0" borderId="4" xfId="3" applyNumberFormat="1" applyFont="1" applyFill="1" applyBorder="1" applyAlignment="1">
      <alignment horizontal="center" vertical="center" wrapText="1"/>
    </xf>
    <xf numFmtId="0" fontId="3" fillId="4" borderId="0" xfId="0" applyFont="1" applyFill="1" applyAlignment="1">
      <alignment vertical="center"/>
    </xf>
    <xf numFmtId="40" fontId="6" fillId="0" borderId="8" xfId="0" applyNumberFormat="1" applyFont="1" applyFill="1" applyBorder="1" applyAlignment="1">
      <alignment horizontal="center" vertical="center" wrapText="1"/>
    </xf>
    <xf numFmtId="40" fontId="6" fillId="0" borderId="4" xfId="0" applyNumberFormat="1" applyFont="1" applyFill="1" applyBorder="1" applyAlignment="1">
      <alignment horizontal="center" vertical="center" wrapText="1"/>
    </xf>
    <xf numFmtId="0" fontId="6" fillId="0" borderId="11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 wrapText="1" shrinkToFit="1"/>
    </xf>
    <xf numFmtId="165" fontId="6" fillId="0" borderId="4" xfId="0" applyNumberFormat="1" applyFont="1" applyFill="1" applyBorder="1" applyAlignment="1">
      <alignment horizontal="center" vertical="center" wrapText="1"/>
    </xf>
    <xf numFmtId="164" fontId="3" fillId="0" borderId="4" xfId="3" applyNumberFormat="1" applyFont="1" applyFill="1" applyBorder="1" applyAlignment="1">
      <alignment horizontal="center" vertical="center" wrapText="1"/>
    </xf>
    <xf numFmtId="164" fontId="6" fillId="0" borderId="4" xfId="3" applyNumberFormat="1" applyFont="1" applyFill="1" applyBorder="1" applyAlignment="1">
      <alignment horizontal="center" vertical="center" wrapText="1"/>
    </xf>
    <xf numFmtId="164" fontId="6" fillId="0" borderId="4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0" fontId="3" fillId="0" borderId="0" xfId="0" applyFont="1" applyBorder="1" applyAlignment="1">
      <alignment vertical="center"/>
    </xf>
    <xf numFmtId="0" fontId="6" fillId="4" borderId="0" xfId="0" applyFont="1" applyFill="1" applyAlignment="1">
      <alignment vertical="center"/>
    </xf>
    <xf numFmtId="164" fontId="3" fillId="0" borderId="4" xfId="0" applyNumberFormat="1" applyFont="1" applyBorder="1" applyAlignment="1">
      <alignment horizontal="center" vertical="center" wrapText="1"/>
    </xf>
    <xf numFmtId="4" fontId="3" fillId="0" borderId="9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 shrinkToFit="1"/>
    </xf>
    <xf numFmtId="0" fontId="3" fillId="0" borderId="8" xfId="0" applyFont="1" applyBorder="1" applyAlignment="1">
      <alignment vertical="center" wrapText="1" shrinkToFit="1"/>
    </xf>
    <xf numFmtId="40" fontId="6" fillId="0" borderId="7" xfId="0" applyNumberFormat="1" applyFont="1" applyBorder="1" applyAlignment="1">
      <alignment horizontal="center" vertical="center" wrapText="1"/>
    </xf>
    <xf numFmtId="0" fontId="3" fillId="0" borderId="4" xfId="3" applyFont="1" applyBorder="1" applyAlignment="1" applyProtection="1">
      <alignment horizontal="center" vertical="center" wrapText="1" shrinkToFit="1"/>
      <protection locked="0"/>
    </xf>
    <xf numFmtId="0" fontId="3" fillId="0" borderId="9" xfId="0" applyFont="1" applyBorder="1" applyAlignment="1">
      <alignment vertical="center" wrapText="1" shrinkToFit="1"/>
    </xf>
    <xf numFmtId="3" fontId="6" fillId="3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64" fontId="3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 shrinkToFit="1"/>
    </xf>
    <xf numFmtId="0" fontId="1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1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40" fontId="6" fillId="0" borderId="0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0" fontId="1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 shrinkToFit="1"/>
    </xf>
    <xf numFmtId="0" fontId="3" fillId="0" borderId="4" xfId="0" applyNumberFormat="1" applyFont="1" applyFill="1" applyBorder="1" applyAlignment="1">
      <alignment horizontal="center" vertical="center" wrapText="1" shrinkToFit="1"/>
    </xf>
    <xf numFmtId="4" fontId="8" fillId="0" borderId="11" xfId="0" applyNumberFormat="1" applyFont="1" applyFill="1" applyBorder="1" applyAlignment="1">
      <alignment horizontal="center" vertical="center"/>
    </xf>
    <xf numFmtId="4" fontId="8" fillId="0" borderId="8" xfId="0" applyNumberFormat="1" applyFont="1" applyFill="1" applyBorder="1" applyAlignment="1">
      <alignment horizontal="center" vertical="center"/>
    </xf>
    <xf numFmtId="0" fontId="6" fillId="0" borderId="4" xfId="2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16" fontId="3" fillId="0" borderId="4" xfId="0" applyNumberFormat="1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vertical="center"/>
    </xf>
    <xf numFmtId="4" fontId="6" fillId="0" borderId="4" xfId="0" applyNumberFormat="1" applyFont="1" applyFill="1" applyBorder="1" applyAlignment="1">
      <alignment horizontal="center" vertical="center"/>
    </xf>
    <xf numFmtId="14" fontId="6" fillId="0" borderId="4" xfId="0" applyNumberFormat="1" applyFont="1" applyFill="1" applyBorder="1" applyAlignment="1">
      <alignment horizontal="center" vertical="center"/>
    </xf>
    <xf numFmtId="0" fontId="3" fillId="8" borderId="4" xfId="0" applyFont="1" applyFill="1" applyBorder="1" applyAlignment="1">
      <alignment horizontal="center" vertical="center" wrapText="1"/>
    </xf>
    <xf numFmtId="0" fontId="3" fillId="0" borderId="4" xfId="0" applyNumberFormat="1" applyFont="1" applyBorder="1" applyAlignment="1">
      <alignment horizontal="center" vertical="center" wrapText="1" shrinkToFit="1"/>
    </xf>
    <xf numFmtId="0" fontId="3" fillId="0" borderId="4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 wrapText="1" shrinkToFit="1"/>
    </xf>
    <xf numFmtId="49" fontId="3" fillId="0" borderId="4" xfId="0" applyNumberFormat="1" applyFont="1" applyBorder="1" applyAlignment="1">
      <alignment horizontal="center" vertical="center" wrapText="1" shrinkToFit="1"/>
    </xf>
    <xf numFmtId="49" fontId="6" fillId="0" borderId="4" xfId="5" applyNumberFormat="1" applyFont="1" applyFill="1" applyBorder="1" applyAlignment="1">
      <alignment horizontal="center" vertical="center" wrapText="1" shrinkToFit="1"/>
    </xf>
    <xf numFmtId="49" fontId="7" fillId="0" borderId="4" xfId="0" applyNumberFormat="1" applyFont="1" applyFill="1" applyBorder="1" applyAlignment="1">
      <alignment horizontal="center" vertical="center" wrapText="1" shrinkToFit="1"/>
    </xf>
    <xf numFmtId="4" fontId="4" fillId="0" borderId="4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 shrinkToFit="1"/>
    </xf>
    <xf numFmtId="0" fontId="3" fillId="4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center" vertical="center" wrapText="1" shrinkToFit="1"/>
    </xf>
    <xf numFmtId="1" fontId="3" fillId="0" borderId="4" xfId="3" applyNumberFormat="1" applyFont="1" applyFill="1" applyBorder="1" applyAlignment="1" applyProtection="1">
      <alignment horizontal="center" vertical="center" wrapText="1"/>
      <protection locked="0"/>
    </xf>
    <xf numFmtId="0" fontId="3" fillId="0" borderId="8" xfId="3" applyFont="1" applyBorder="1" applyAlignment="1" applyProtection="1">
      <alignment horizontal="center" vertical="center" wrapText="1"/>
      <protection locked="0"/>
    </xf>
    <xf numFmtId="0" fontId="3" fillId="0" borderId="8" xfId="3" applyFont="1" applyFill="1" applyBorder="1" applyAlignment="1" applyProtection="1">
      <alignment horizontal="center" vertical="center" wrapText="1"/>
      <protection locked="0"/>
    </xf>
    <xf numFmtId="0" fontId="6" fillId="0" borderId="4" xfId="0" applyNumberFormat="1" applyFont="1" applyFill="1" applyBorder="1" applyAlignment="1">
      <alignment horizontal="center" vertical="center" wrapText="1" shrinkToFit="1"/>
    </xf>
    <xf numFmtId="0" fontId="6" fillId="0" borderId="9" xfId="0" applyNumberFormat="1" applyFont="1" applyBorder="1" applyAlignment="1">
      <alignment horizontal="center" vertical="center" wrapText="1"/>
    </xf>
    <xf numFmtId="40" fontId="6" fillId="0" borderId="9" xfId="0" applyNumberFormat="1" applyFont="1" applyBorder="1" applyAlignment="1">
      <alignment horizontal="center" vertical="center" wrapText="1"/>
    </xf>
    <xf numFmtId="40" fontId="6" fillId="0" borderId="12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 shrinkToFit="1"/>
    </xf>
    <xf numFmtId="0" fontId="3" fillId="0" borderId="11" xfId="0" applyFont="1" applyBorder="1" applyAlignment="1">
      <alignment horizontal="center" vertical="center" wrapText="1" shrinkToFit="1"/>
    </xf>
    <xf numFmtId="166" fontId="6" fillId="0" borderId="4" xfId="0" applyNumberFormat="1" applyFont="1" applyBorder="1" applyAlignment="1">
      <alignment horizontal="center" vertical="center" wrapText="1"/>
    </xf>
    <xf numFmtId="2" fontId="3" fillId="0" borderId="4" xfId="3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 shrinkToFit="1"/>
    </xf>
    <xf numFmtId="0" fontId="3" fillId="7" borderId="9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3" fillId="8" borderId="4" xfId="0" applyFont="1" applyFill="1" applyBorder="1" applyAlignment="1">
      <alignment horizontal="center" vertical="center" wrapText="1" shrinkToFit="1"/>
    </xf>
    <xf numFmtId="2" fontId="3" fillId="0" borderId="4" xfId="0" applyNumberFormat="1" applyFont="1" applyFill="1" applyBorder="1" applyAlignment="1">
      <alignment horizontal="center" vertical="center" wrapText="1" shrinkToFit="1"/>
    </xf>
    <xf numFmtId="164" fontId="6" fillId="0" borderId="4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6" fillId="4" borderId="4" xfId="0" applyNumberFormat="1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 shrinkToFit="1"/>
    </xf>
    <xf numFmtId="0" fontId="6" fillId="5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3" fontId="3" fillId="0" borderId="4" xfId="3" applyNumberFormat="1" applyFont="1" applyBorder="1" applyAlignment="1" applyProtection="1">
      <alignment horizontal="center" vertical="center" wrapText="1"/>
      <protection locked="0"/>
    </xf>
    <xf numFmtId="0" fontId="3" fillId="0" borderId="4" xfId="0" applyFont="1" applyFill="1" applyBorder="1" applyAlignment="1">
      <alignment horizontal="center" vertical="center" wrapText="1"/>
    </xf>
    <xf numFmtId="14" fontId="3" fillId="0" borderId="4" xfId="0" applyNumberFormat="1" applyFont="1" applyFill="1" applyBorder="1" applyAlignment="1">
      <alignment horizontal="center" vertical="center" wrapText="1"/>
    </xf>
    <xf numFmtId="4" fontId="3" fillId="0" borderId="4" xfId="0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 shrinkToFit="1"/>
    </xf>
    <xf numFmtId="0" fontId="3" fillId="0" borderId="4" xfId="0" applyFont="1" applyBorder="1" applyAlignment="1">
      <alignment horizontal="center" vertical="center" wrapText="1"/>
    </xf>
    <xf numFmtId="4" fontId="6" fillId="0" borderId="0" xfId="0" applyNumberFormat="1" applyFont="1" applyBorder="1" applyAlignment="1">
      <alignment horizontal="center" vertical="center"/>
    </xf>
    <xf numFmtId="4" fontId="8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" fontId="3" fillId="3" borderId="4" xfId="0" applyNumberFormat="1" applyFont="1" applyFill="1" applyBorder="1" applyAlignment="1">
      <alignment horizontal="center" vertical="center"/>
    </xf>
    <xf numFmtId="14" fontId="3" fillId="3" borderId="4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 shrinkToFit="1"/>
    </xf>
    <xf numFmtId="46" fontId="3" fillId="2" borderId="4" xfId="0" applyNumberFormat="1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3" fillId="2" borderId="4" xfId="3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Fill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 wrapText="1" shrinkToFit="1"/>
    </xf>
    <xf numFmtId="0" fontId="3" fillId="0" borderId="14" xfId="0" applyFont="1" applyFill="1" applyBorder="1" applyAlignment="1">
      <alignment horizontal="center" vertical="center" wrapText="1"/>
    </xf>
    <xf numFmtId="0" fontId="6" fillId="0" borderId="7" xfId="0" applyNumberFormat="1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/>
    </xf>
    <xf numFmtId="0" fontId="6" fillId="0" borderId="7" xfId="0" applyNumberFormat="1" applyFont="1" applyBorder="1" applyAlignment="1">
      <alignment horizontal="center" vertical="center" wrapText="1"/>
    </xf>
    <xf numFmtId="0" fontId="6" fillId="0" borderId="15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 shrinkToFit="1"/>
    </xf>
    <xf numFmtId="0" fontId="3" fillId="0" borderId="15" xfId="0" applyFont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3" fillId="0" borderId="7" xfId="3" applyFont="1" applyBorder="1" applyAlignment="1" applyProtection="1">
      <alignment horizontal="center" vertical="center" wrapText="1"/>
      <protection locked="0"/>
    </xf>
    <xf numFmtId="0" fontId="3" fillId="0" borderId="7" xfId="3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>
      <alignment vertical="center"/>
    </xf>
    <xf numFmtId="0" fontId="6" fillId="4" borderId="7" xfId="0" applyNumberFormat="1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 shrinkToFit="1"/>
    </xf>
    <xf numFmtId="0" fontId="7" fillId="3" borderId="7" xfId="0" applyFont="1" applyFill="1" applyBorder="1" applyAlignment="1">
      <alignment horizontal="center" vertical="center" wrapText="1" shrinkToFit="1"/>
    </xf>
    <xf numFmtId="0" fontId="6" fillId="0" borderId="14" xfId="0" applyNumberFormat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 wrapText="1"/>
    </xf>
    <xf numFmtId="22" fontId="3" fillId="2" borderId="4" xfId="0" applyNumberFormat="1" applyFont="1" applyFill="1" applyBorder="1" applyAlignment="1">
      <alignment horizontal="center" vertical="center"/>
    </xf>
    <xf numFmtId="0" fontId="3" fillId="2" borderId="4" xfId="4" applyNumberFormat="1" applyFont="1" applyFill="1" applyBorder="1" applyAlignment="1">
      <alignment horizontal="center" vertical="center" wrapText="1"/>
    </xf>
    <xf numFmtId="0" fontId="3" fillId="2" borderId="4" xfId="3" applyFont="1" applyFill="1" applyBorder="1" applyAlignment="1" applyProtection="1">
      <alignment horizontal="center" vertical="center" wrapText="1" shrinkToFit="1"/>
      <protection locked="0"/>
    </xf>
    <xf numFmtId="0" fontId="7" fillId="2" borderId="4" xfId="0" applyFont="1" applyFill="1" applyBorder="1" applyAlignment="1">
      <alignment horizontal="center" vertical="center"/>
    </xf>
    <xf numFmtId="4" fontId="3" fillId="9" borderId="4" xfId="0" applyNumberFormat="1" applyFont="1" applyFill="1" applyBorder="1" applyAlignment="1">
      <alignment horizontal="center" vertical="center" wrapText="1"/>
    </xf>
    <xf numFmtId="4" fontId="18" fillId="0" borderId="4" xfId="0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2" fontId="8" fillId="0" borderId="4" xfId="0" applyNumberFormat="1" applyFont="1" applyBorder="1" applyAlignment="1">
      <alignment horizontal="center" vertical="center"/>
    </xf>
    <xf numFmtId="167" fontId="3" fillId="0" borderId="4" xfId="0" applyNumberFormat="1" applyFont="1" applyFill="1" applyBorder="1" applyAlignment="1">
      <alignment horizontal="center" vertical="center" wrapText="1"/>
    </xf>
    <xf numFmtId="167" fontId="3" fillId="0" borderId="4" xfId="0" applyNumberFormat="1" applyFont="1" applyBorder="1" applyAlignment="1">
      <alignment horizontal="center" vertical="center"/>
    </xf>
    <xf numFmtId="167" fontId="3" fillId="0" borderId="4" xfId="0" applyNumberFormat="1" applyFont="1" applyFill="1" applyBorder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4" fontId="3" fillId="0" borderId="7" xfId="0" applyNumberFormat="1" applyFont="1" applyFill="1" applyBorder="1" applyAlignment="1">
      <alignment horizontal="center" vertical="center"/>
    </xf>
    <xf numFmtId="14" fontId="3" fillId="0" borderId="7" xfId="0" applyNumberFormat="1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 wrapText="1"/>
    </xf>
    <xf numFmtId="2" fontId="3" fillId="0" borderId="17" xfId="0" applyNumberFormat="1" applyFont="1" applyFill="1" applyBorder="1" applyAlignment="1">
      <alignment horizontal="center" vertical="center" wrapText="1" shrinkToFit="1"/>
    </xf>
    <xf numFmtId="0" fontId="7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 wrapText="1" shrinkToFit="1"/>
    </xf>
    <xf numFmtId="0" fontId="3" fillId="2" borderId="7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 shrinkToFit="1"/>
    </xf>
    <xf numFmtId="14" fontId="7" fillId="0" borderId="4" xfId="0" applyNumberFormat="1" applyFont="1" applyBorder="1" applyAlignment="1">
      <alignment horizontal="center" vertical="center"/>
    </xf>
    <xf numFmtId="0" fontId="3" fillId="0" borderId="9" xfId="3" applyFont="1" applyFill="1" applyBorder="1" applyAlignment="1" applyProtection="1">
      <alignment horizontal="center" vertical="center" wrapText="1"/>
      <protection locked="0"/>
    </xf>
    <xf numFmtId="1" fontId="3" fillId="0" borderId="9" xfId="3" applyNumberFormat="1" applyFont="1" applyFill="1" applyBorder="1" applyAlignment="1" applyProtection="1">
      <alignment horizontal="center" vertical="center" wrapText="1"/>
      <protection locked="0"/>
    </xf>
    <xf numFmtId="1" fontId="3" fillId="0" borderId="7" xfId="3" applyNumberFormat="1" applyFont="1" applyFill="1" applyBorder="1" applyAlignment="1" applyProtection="1">
      <alignment horizontal="center" vertical="center" wrapText="1"/>
      <protection locked="0"/>
    </xf>
    <xf numFmtId="0" fontId="6" fillId="0" borderId="15" xfId="0" applyNumberFormat="1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/>
    </xf>
    <xf numFmtId="0" fontId="3" fillId="0" borderId="9" xfId="3" applyFont="1" applyBorder="1" applyAlignment="1" applyProtection="1">
      <alignment horizontal="center" vertical="center" wrapText="1"/>
      <protection locked="0"/>
    </xf>
    <xf numFmtId="0" fontId="6" fillId="0" borderId="11" xfId="0" applyNumberFormat="1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 wrapText="1" shrinkToFit="1"/>
    </xf>
    <xf numFmtId="0" fontId="3" fillId="0" borderId="14" xfId="0" applyFont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 shrinkToFit="1"/>
    </xf>
    <xf numFmtId="0" fontId="3" fillId="0" borderId="8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 wrapText="1"/>
    </xf>
    <xf numFmtId="4" fontId="6" fillId="0" borderId="11" xfId="0" applyNumberFormat="1" applyFont="1" applyBorder="1" applyAlignment="1">
      <alignment horizontal="center" vertical="center"/>
    </xf>
    <xf numFmtId="4" fontId="6" fillId="0" borderId="8" xfId="0" applyNumberFormat="1" applyFont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 shrinkToFit="1"/>
    </xf>
    <xf numFmtId="0" fontId="4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</cellXfs>
  <cellStyles count="6">
    <cellStyle name="Гиперссылка" xfId="5" builtinId="8"/>
    <cellStyle name="Обычный" xfId="0" builtinId="0"/>
    <cellStyle name="Обычный 2" xfId="3"/>
    <cellStyle name="Обычный_Бухгалтерия" xfId="2"/>
    <cellStyle name="Обычный_Лист1" xfId="4"/>
    <cellStyle name="Обычный_Лист2" xfId="1"/>
  </cellStyles>
  <dxfs count="0"/>
  <tableStyles count="0" defaultTableStyle="TableStyleMedium2" defaultPivotStyle="PivotStyleLight16"/>
  <colors>
    <mruColors>
      <color rgb="FFFFC1C1"/>
      <color rgb="FFFFCCCC"/>
      <color rgb="FFFF9999"/>
      <color rgb="FFFFB7B7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344"/>
  <sheetViews>
    <sheetView tabSelected="1" zoomScaleNormal="100" workbookViewId="0">
      <selection activeCell="Q3323" sqref="Q3323"/>
    </sheetView>
  </sheetViews>
  <sheetFormatPr defaultColWidth="9.109375" defaultRowHeight="12" x14ac:dyDescent="0.3"/>
  <cols>
    <col min="1" max="1" width="7.44140625" style="5" customWidth="1"/>
    <col min="2" max="2" width="19.109375" style="5" customWidth="1"/>
    <col min="3" max="3" width="19.5546875" style="5" customWidth="1"/>
    <col min="4" max="4" width="16.33203125" style="5" customWidth="1"/>
    <col min="5" max="5" width="10.88671875" style="5" customWidth="1"/>
    <col min="6" max="6" width="11.88671875" style="168" customWidth="1"/>
    <col min="7" max="7" width="12.33203125" style="5" customWidth="1"/>
    <col min="8" max="8" width="12" style="5" customWidth="1"/>
    <col min="9" max="9" width="9.88671875" style="5" customWidth="1"/>
    <col min="10" max="10" width="21" style="5" customWidth="1"/>
    <col min="11" max="11" width="11.33203125" style="5" customWidth="1"/>
    <col min="12" max="12" width="22.109375" style="169" customWidth="1"/>
    <col min="13" max="13" width="19.88671875" style="5" customWidth="1"/>
    <col min="14" max="14" width="28.6640625" style="5" customWidth="1"/>
    <col min="15" max="15" width="20.6640625" style="110" customWidth="1"/>
    <col min="16" max="16384" width="9.109375" style="67"/>
  </cols>
  <sheetData>
    <row r="1" spans="1:21" x14ac:dyDescent="0.3">
      <c r="A1" s="320" t="s">
        <v>18591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</row>
    <row r="2" spans="1:21" x14ac:dyDescent="0.25">
      <c r="A2" s="319"/>
      <c r="B2" s="319"/>
      <c r="C2" s="319"/>
      <c r="D2" s="319"/>
      <c r="E2" s="319"/>
      <c r="F2" s="319"/>
      <c r="G2" s="319"/>
      <c r="H2" s="319"/>
      <c r="I2" s="319"/>
      <c r="J2" s="319"/>
      <c r="K2" s="319"/>
      <c r="L2" s="319"/>
      <c r="M2" s="319"/>
      <c r="N2" s="319"/>
    </row>
    <row r="3" spans="1:21" s="4" customFormat="1" ht="45.6" x14ac:dyDescent="0.3">
      <c r="A3" s="8" t="s">
        <v>16444</v>
      </c>
      <c r="B3" s="8" t="s">
        <v>0</v>
      </c>
      <c r="C3" s="8" t="s">
        <v>1</v>
      </c>
      <c r="D3" s="8" t="s">
        <v>2</v>
      </c>
      <c r="E3" s="8" t="s">
        <v>76</v>
      </c>
      <c r="F3" s="215" t="s">
        <v>94</v>
      </c>
      <c r="G3" s="8" t="s">
        <v>93</v>
      </c>
      <c r="H3" s="8" t="s">
        <v>3</v>
      </c>
      <c r="I3" s="8" t="s">
        <v>89</v>
      </c>
      <c r="J3" s="8" t="s">
        <v>90</v>
      </c>
      <c r="K3" s="8" t="s">
        <v>91</v>
      </c>
      <c r="L3" s="216" t="s">
        <v>92</v>
      </c>
      <c r="M3" s="8" t="s">
        <v>4</v>
      </c>
      <c r="N3" s="8" t="s">
        <v>5</v>
      </c>
      <c r="O3" s="218" t="s">
        <v>15080</v>
      </c>
    </row>
    <row r="4" spans="1:21" ht="12" customHeight="1" x14ac:dyDescent="0.25">
      <c r="A4" s="2">
        <v>1</v>
      </c>
      <c r="B4" s="2">
        <v>2</v>
      </c>
      <c r="C4" s="2">
        <v>3</v>
      </c>
      <c r="D4" s="242">
        <v>4</v>
      </c>
      <c r="E4" s="2">
        <v>5</v>
      </c>
      <c r="F4" s="27">
        <v>6</v>
      </c>
      <c r="G4" s="242">
        <v>7</v>
      </c>
      <c r="H4" s="2">
        <v>8</v>
      </c>
      <c r="I4" s="242">
        <v>9</v>
      </c>
      <c r="J4" s="2">
        <v>10</v>
      </c>
      <c r="K4" s="2">
        <v>11</v>
      </c>
      <c r="L4" s="66">
        <v>12</v>
      </c>
      <c r="M4" s="2">
        <v>13</v>
      </c>
      <c r="N4" s="2">
        <v>14</v>
      </c>
      <c r="O4" s="38">
        <v>15</v>
      </c>
    </row>
    <row r="5" spans="1:21" ht="72" customHeight="1" x14ac:dyDescent="0.3">
      <c r="A5" s="2">
        <v>1</v>
      </c>
      <c r="B5" s="2" t="s">
        <v>11545</v>
      </c>
      <c r="C5" s="2" t="s">
        <v>12825</v>
      </c>
      <c r="D5" s="242"/>
      <c r="E5" s="2"/>
      <c r="F5" s="11">
        <v>3799766</v>
      </c>
      <c r="G5" s="2"/>
      <c r="H5" s="2"/>
      <c r="I5" s="242" t="s">
        <v>11546</v>
      </c>
      <c r="J5" s="2" t="s">
        <v>11547</v>
      </c>
      <c r="K5" s="243">
        <v>42884</v>
      </c>
      <c r="L5" s="66" t="s">
        <v>18593</v>
      </c>
      <c r="M5" s="201" t="s">
        <v>12550</v>
      </c>
      <c r="N5" s="2"/>
      <c r="O5" s="38" t="s">
        <v>18880</v>
      </c>
      <c r="Q5" s="161"/>
      <c r="R5" s="161"/>
      <c r="S5" s="161"/>
      <c r="T5" s="161"/>
      <c r="U5" s="161"/>
    </row>
    <row r="6" spans="1:21" ht="72" customHeight="1" x14ac:dyDescent="0.3">
      <c r="A6" s="242">
        <v>2</v>
      </c>
      <c r="B6" s="242" t="s">
        <v>11179</v>
      </c>
      <c r="C6" s="242" t="s">
        <v>14454</v>
      </c>
      <c r="D6" s="242"/>
      <c r="E6" s="242"/>
      <c r="F6" s="244">
        <v>1418334</v>
      </c>
      <c r="G6" s="242"/>
      <c r="H6" s="242"/>
      <c r="I6" s="242" t="s">
        <v>11180</v>
      </c>
      <c r="J6" s="242" t="s">
        <v>11181</v>
      </c>
      <c r="K6" s="243">
        <v>42884</v>
      </c>
      <c r="L6" s="66" t="s">
        <v>18593</v>
      </c>
      <c r="M6" s="201" t="s">
        <v>12550</v>
      </c>
      <c r="N6" s="242"/>
      <c r="O6" s="38" t="s">
        <v>18880</v>
      </c>
      <c r="Q6" s="162"/>
      <c r="S6" s="67" t="s">
        <v>16901</v>
      </c>
    </row>
    <row r="7" spans="1:21" ht="104.4" customHeight="1" x14ac:dyDescent="0.3">
      <c r="A7" s="242">
        <v>3</v>
      </c>
      <c r="B7" s="242" t="s">
        <v>11409</v>
      </c>
      <c r="C7" s="242" t="s">
        <v>14455</v>
      </c>
      <c r="D7" s="87" t="s">
        <v>14029</v>
      </c>
      <c r="E7" s="242">
        <v>31.9</v>
      </c>
      <c r="F7" s="244"/>
      <c r="G7" s="242"/>
      <c r="H7" s="242"/>
      <c r="I7" s="243">
        <v>39197</v>
      </c>
      <c r="J7" s="242" t="s">
        <v>11479</v>
      </c>
      <c r="K7" s="242" t="s">
        <v>22545</v>
      </c>
      <c r="L7" s="66" t="s">
        <v>22670</v>
      </c>
      <c r="M7" s="201" t="s">
        <v>12550</v>
      </c>
      <c r="N7" s="242"/>
      <c r="O7" s="38" t="s">
        <v>22557</v>
      </c>
      <c r="Q7" s="163"/>
      <c r="S7" s="67" t="s">
        <v>15460</v>
      </c>
    </row>
    <row r="8" spans="1:21" ht="72" customHeight="1" x14ac:dyDescent="0.3">
      <c r="A8" s="2">
        <v>4</v>
      </c>
      <c r="B8" s="242" t="s">
        <v>11409</v>
      </c>
      <c r="C8" s="242" t="s">
        <v>14456</v>
      </c>
      <c r="D8" s="87" t="s">
        <v>11478</v>
      </c>
      <c r="E8" s="242">
        <v>31.9</v>
      </c>
      <c r="F8" s="25"/>
      <c r="G8" s="207"/>
      <c r="H8" s="242"/>
      <c r="I8" s="243">
        <v>39246</v>
      </c>
      <c r="J8" s="242" t="s">
        <v>11480</v>
      </c>
      <c r="K8" s="207" t="s">
        <v>19114</v>
      </c>
      <c r="L8" s="66" t="s">
        <v>19115</v>
      </c>
      <c r="M8" s="201" t="s">
        <v>12550</v>
      </c>
      <c r="N8" s="242"/>
      <c r="O8" s="38" t="s">
        <v>19116</v>
      </c>
      <c r="Q8" s="202"/>
      <c r="S8" s="67" t="s">
        <v>19083</v>
      </c>
    </row>
    <row r="9" spans="1:21" ht="72" customHeight="1" x14ac:dyDescent="0.3">
      <c r="A9" s="2">
        <v>5</v>
      </c>
      <c r="B9" s="2" t="s">
        <v>11408</v>
      </c>
      <c r="C9" s="2" t="s">
        <v>14457</v>
      </c>
      <c r="D9" s="87" t="s">
        <v>11407</v>
      </c>
      <c r="E9" s="2">
        <v>61.9</v>
      </c>
      <c r="F9" s="244">
        <f t="shared" ref="F9:F39" si="0">23602084/1588.4*E9</f>
        <v>919773.98614958441</v>
      </c>
      <c r="G9" s="2"/>
      <c r="H9" s="2"/>
      <c r="I9" s="3">
        <v>40161</v>
      </c>
      <c r="J9" s="2" t="s">
        <v>11440</v>
      </c>
      <c r="K9" s="3">
        <v>42528</v>
      </c>
      <c r="L9" s="66" t="s">
        <v>16195</v>
      </c>
      <c r="M9" s="201" t="s">
        <v>12550</v>
      </c>
      <c r="N9" s="2"/>
      <c r="O9" s="38"/>
    </row>
    <row r="10" spans="1:21" ht="72" customHeight="1" x14ac:dyDescent="0.3">
      <c r="A10" s="2">
        <v>6</v>
      </c>
      <c r="B10" s="2" t="s">
        <v>11409</v>
      </c>
      <c r="C10" s="2" t="s">
        <v>14458</v>
      </c>
      <c r="D10" s="87" t="s">
        <v>11410</v>
      </c>
      <c r="E10" s="2">
        <v>39.4</v>
      </c>
      <c r="F10" s="244">
        <f t="shared" si="0"/>
        <v>585445.80055401661</v>
      </c>
      <c r="G10" s="2"/>
      <c r="H10" s="2"/>
      <c r="I10" s="3">
        <v>40161</v>
      </c>
      <c r="J10" s="2" t="s">
        <v>11441</v>
      </c>
      <c r="K10" s="243">
        <v>42530</v>
      </c>
      <c r="L10" s="66" t="s">
        <v>16196</v>
      </c>
      <c r="M10" s="201" t="s">
        <v>12550</v>
      </c>
      <c r="N10" s="2"/>
      <c r="O10" s="38"/>
    </row>
    <row r="11" spans="1:21" ht="72" customHeight="1" x14ac:dyDescent="0.3">
      <c r="A11" s="2">
        <v>7</v>
      </c>
      <c r="B11" s="2" t="s">
        <v>11408</v>
      </c>
      <c r="C11" s="2" t="s">
        <v>14459</v>
      </c>
      <c r="D11" s="87" t="s">
        <v>11411</v>
      </c>
      <c r="E11" s="2">
        <v>62.6</v>
      </c>
      <c r="F11" s="244">
        <f t="shared" si="0"/>
        <v>930175.3074792244</v>
      </c>
      <c r="G11" s="2"/>
      <c r="H11" s="2"/>
      <c r="I11" s="3">
        <v>40161</v>
      </c>
      <c r="J11" s="2" t="s">
        <v>11442</v>
      </c>
      <c r="K11" s="2"/>
      <c r="L11" s="66"/>
      <c r="M11" s="201" t="s">
        <v>12550</v>
      </c>
      <c r="N11" s="2"/>
      <c r="O11" s="38"/>
    </row>
    <row r="12" spans="1:21" ht="72" customHeight="1" x14ac:dyDescent="0.3">
      <c r="A12" s="2">
        <v>8</v>
      </c>
      <c r="B12" s="2" t="s">
        <v>11408</v>
      </c>
      <c r="C12" s="2" t="s">
        <v>14460</v>
      </c>
      <c r="D12" s="87" t="s">
        <v>11412</v>
      </c>
      <c r="E12" s="2">
        <v>62.5</v>
      </c>
      <c r="F12" s="11">
        <f t="shared" si="0"/>
        <v>928689.40443213296</v>
      </c>
      <c r="G12" s="2"/>
      <c r="H12" s="2"/>
      <c r="I12" s="3">
        <v>40161</v>
      </c>
      <c r="J12" s="2" t="s">
        <v>11443</v>
      </c>
      <c r="K12" s="3">
        <v>42530</v>
      </c>
      <c r="L12" s="66" t="s">
        <v>16197</v>
      </c>
      <c r="M12" s="201" t="s">
        <v>12550</v>
      </c>
      <c r="N12" s="2"/>
      <c r="O12" s="38"/>
    </row>
    <row r="13" spans="1:21" ht="72" customHeight="1" x14ac:dyDescent="0.3">
      <c r="A13" s="2">
        <v>9</v>
      </c>
      <c r="B13" s="2" t="s">
        <v>11409</v>
      </c>
      <c r="C13" s="2" t="s">
        <v>12551</v>
      </c>
      <c r="D13" s="87" t="s">
        <v>11413</v>
      </c>
      <c r="E13" s="2">
        <v>39.1</v>
      </c>
      <c r="F13" s="11">
        <f t="shared" si="0"/>
        <v>580988.09141274239</v>
      </c>
      <c r="G13" s="2"/>
      <c r="H13" s="2"/>
      <c r="I13" s="3">
        <v>40161</v>
      </c>
      <c r="J13" s="2" t="s">
        <v>11444</v>
      </c>
      <c r="K13" s="3">
        <v>42528</v>
      </c>
      <c r="L13" s="66" t="s">
        <v>16198</v>
      </c>
      <c r="M13" s="201" t="s">
        <v>12550</v>
      </c>
      <c r="N13" s="2"/>
      <c r="O13" s="38"/>
    </row>
    <row r="14" spans="1:21" ht="72" customHeight="1" x14ac:dyDescent="0.3">
      <c r="A14" s="2">
        <v>10</v>
      </c>
      <c r="B14" s="2" t="s">
        <v>11409</v>
      </c>
      <c r="C14" s="2" t="s">
        <v>12552</v>
      </c>
      <c r="D14" s="87" t="s">
        <v>11414</v>
      </c>
      <c r="E14" s="2">
        <v>39.200000000000003</v>
      </c>
      <c r="F14" s="11">
        <f t="shared" si="0"/>
        <v>582473.99445983383</v>
      </c>
      <c r="G14" s="2"/>
      <c r="H14" s="2"/>
      <c r="I14" s="3">
        <v>40161</v>
      </c>
      <c r="J14" s="2" t="s">
        <v>11445</v>
      </c>
      <c r="K14" s="3">
        <v>42528</v>
      </c>
      <c r="L14" s="66" t="s">
        <v>16199</v>
      </c>
      <c r="M14" s="201" t="s">
        <v>12550</v>
      </c>
      <c r="N14" s="2"/>
      <c r="O14" s="38"/>
    </row>
    <row r="15" spans="1:21" ht="84" customHeight="1" x14ac:dyDescent="0.3">
      <c r="A15" s="2">
        <v>11</v>
      </c>
      <c r="B15" s="2" t="s">
        <v>11409</v>
      </c>
      <c r="C15" s="2" t="s">
        <v>12553</v>
      </c>
      <c r="D15" s="87" t="s">
        <v>11415</v>
      </c>
      <c r="E15" s="2">
        <v>39.200000000000003</v>
      </c>
      <c r="F15" s="11">
        <f t="shared" si="0"/>
        <v>582473.99445983383</v>
      </c>
      <c r="G15" s="2"/>
      <c r="H15" s="2"/>
      <c r="I15" s="3">
        <v>40161</v>
      </c>
      <c r="J15" s="2" t="s">
        <v>11446</v>
      </c>
      <c r="K15" s="2" t="s">
        <v>19342</v>
      </c>
      <c r="L15" s="66" t="s">
        <v>19343</v>
      </c>
      <c r="M15" s="201" t="s">
        <v>12550</v>
      </c>
      <c r="N15" s="2"/>
      <c r="O15" s="38"/>
    </row>
    <row r="16" spans="1:21" ht="72" customHeight="1" x14ac:dyDescent="0.3">
      <c r="A16" s="2">
        <v>12</v>
      </c>
      <c r="B16" s="2" t="s">
        <v>11408</v>
      </c>
      <c r="C16" s="2" t="s">
        <v>12554</v>
      </c>
      <c r="D16" s="87" t="s">
        <v>11416</v>
      </c>
      <c r="E16" s="2">
        <v>62.5</v>
      </c>
      <c r="F16" s="11">
        <f t="shared" si="0"/>
        <v>928689.40443213296</v>
      </c>
      <c r="G16" s="2"/>
      <c r="H16" s="2"/>
      <c r="I16" s="3">
        <v>40161</v>
      </c>
      <c r="J16" s="2" t="s">
        <v>11447</v>
      </c>
      <c r="K16" s="3">
        <v>42528</v>
      </c>
      <c r="L16" s="66" t="s">
        <v>16200</v>
      </c>
      <c r="M16" s="201" t="s">
        <v>12550</v>
      </c>
      <c r="N16" s="2"/>
      <c r="O16" s="38"/>
    </row>
    <row r="17" spans="1:17" ht="72" customHeight="1" x14ac:dyDescent="0.3">
      <c r="A17" s="2">
        <v>13</v>
      </c>
      <c r="B17" s="2" t="s">
        <v>11408</v>
      </c>
      <c r="C17" s="2" t="s">
        <v>12555</v>
      </c>
      <c r="D17" s="87" t="s">
        <v>11417</v>
      </c>
      <c r="E17" s="2">
        <v>62.4</v>
      </c>
      <c r="F17" s="11">
        <f t="shared" si="0"/>
        <v>927203.50138504151</v>
      </c>
      <c r="G17" s="2"/>
      <c r="H17" s="2"/>
      <c r="I17" s="3">
        <v>40161</v>
      </c>
      <c r="J17" s="2" t="s">
        <v>11448</v>
      </c>
      <c r="K17" s="3">
        <v>42530</v>
      </c>
      <c r="L17" s="66" t="s">
        <v>16201</v>
      </c>
      <c r="M17" s="201" t="s">
        <v>12550</v>
      </c>
      <c r="N17" s="2"/>
      <c r="O17" s="38"/>
    </row>
    <row r="18" spans="1:17" ht="72" customHeight="1" x14ac:dyDescent="0.3">
      <c r="A18" s="2">
        <v>14</v>
      </c>
      <c r="B18" s="2" t="s">
        <v>11409</v>
      </c>
      <c r="C18" s="2" t="s">
        <v>12556</v>
      </c>
      <c r="D18" s="87" t="s">
        <v>11418</v>
      </c>
      <c r="E18" s="2">
        <v>39.299999999999997</v>
      </c>
      <c r="F18" s="11">
        <f t="shared" si="0"/>
        <v>583959.89750692516</v>
      </c>
      <c r="G18" s="2"/>
      <c r="H18" s="2"/>
      <c r="I18" s="3">
        <v>40161</v>
      </c>
      <c r="J18" s="2" t="s">
        <v>11449</v>
      </c>
      <c r="K18" s="3">
        <v>42621</v>
      </c>
      <c r="L18" s="66" t="s">
        <v>16164</v>
      </c>
      <c r="M18" s="201" t="s">
        <v>12550</v>
      </c>
      <c r="N18" s="2"/>
      <c r="O18" s="38"/>
    </row>
    <row r="19" spans="1:17" ht="72" customHeight="1" x14ac:dyDescent="0.3">
      <c r="A19" s="2">
        <v>15</v>
      </c>
      <c r="B19" s="2" t="s">
        <v>11409</v>
      </c>
      <c r="C19" s="2" t="s">
        <v>12557</v>
      </c>
      <c r="D19" s="87" t="s">
        <v>11419</v>
      </c>
      <c r="E19" s="2">
        <v>39.6</v>
      </c>
      <c r="F19" s="11">
        <f t="shared" si="0"/>
        <v>588417.60664819949</v>
      </c>
      <c r="G19" s="2"/>
      <c r="H19" s="2"/>
      <c r="I19" s="3">
        <v>40161</v>
      </c>
      <c r="J19" s="2" t="s">
        <v>11450</v>
      </c>
      <c r="K19" s="3">
        <v>42530</v>
      </c>
      <c r="L19" s="66" t="s">
        <v>16202</v>
      </c>
      <c r="M19" s="201" t="s">
        <v>12550</v>
      </c>
      <c r="N19" s="2"/>
      <c r="O19" s="38"/>
    </row>
    <row r="20" spans="1:17" ht="72" customHeight="1" x14ac:dyDescent="0.3">
      <c r="A20" s="2">
        <v>16</v>
      </c>
      <c r="B20" s="2" t="s">
        <v>11408</v>
      </c>
      <c r="C20" s="2" t="s">
        <v>12558</v>
      </c>
      <c r="D20" s="87" t="s">
        <v>11420</v>
      </c>
      <c r="E20" s="2">
        <v>62.5</v>
      </c>
      <c r="F20" s="11">
        <f t="shared" si="0"/>
        <v>928689.40443213296</v>
      </c>
      <c r="G20" s="2"/>
      <c r="H20" s="2"/>
      <c r="I20" s="3">
        <v>40161</v>
      </c>
      <c r="J20" s="2" t="s">
        <v>11451</v>
      </c>
      <c r="K20" s="242"/>
      <c r="L20" s="66"/>
      <c r="M20" s="201" t="s">
        <v>12550</v>
      </c>
      <c r="N20" s="2"/>
      <c r="O20" s="38"/>
    </row>
    <row r="21" spans="1:17" ht="72" customHeight="1" x14ac:dyDescent="0.3">
      <c r="A21" s="2">
        <v>17</v>
      </c>
      <c r="B21" s="2" t="s">
        <v>11409</v>
      </c>
      <c r="C21" s="2" t="s">
        <v>12559</v>
      </c>
      <c r="D21" s="87" t="s">
        <v>11421</v>
      </c>
      <c r="E21" s="2">
        <v>39.299999999999997</v>
      </c>
      <c r="F21" s="11">
        <f t="shared" si="0"/>
        <v>583959.89750692516</v>
      </c>
      <c r="G21" s="2"/>
      <c r="H21" s="2"/>
      <c r="I21" s="3">
        <v>40161</v>
      </c>
      <c r="J21" s="2" t="s">
        <v>11452</v>
      </c>
      <c r="K21" s="3">
        <v>42528</v>
      </c>
      <c r="L21" s="66" t="s">
        <v>16203</v>
      </c>
      <c r="M21" s="201" t="s">
        <v>12550</v>
      </c>
      <c r="N21" s="2"/>
      <c r="O21" s="38"/>
      <c r="Q21" s="207"/>
    </row>
    <row r="22" spans="1:17" ht="72" customHeight="1" x14ac:dyDescent="0.3">
      <c r="A22" s="2">
        <v>18</v>
      </c>
      <c r="B22" s="2" t="s">
        <v>11409</v>
      </c>
      <c r="C22" s="2" t="s">
        <v>12560</v>
      </c>
      <c r="D22" s="87" t="s">
        <v>11422</v>
      </c>
      <c r="E22" s="2">
        <v>39.6</v>
      </c>
      <c r="F22" s="11">
        <f t="shared" si="0"/>
        <v>588417.60664819949</v>
      </c>
      <c r="G22" s="2"/>
      <c r="H22" s="2"/>
      <c r="I22" s="3">
        <v>40161</v>
      </c>
      <c r="J22" s="2" t="s">
        <v>11453</v>
      </c>
      <c r="K22" s="242"/>
      <c r="L22" s="66"/>
      <c r="M22" s="201" t="s">
        <v>12550</v>
      </c>
      <c r="N22" s="2"/>
      <c r="O22" s="38"/>
    </row>
    <row r="23" spans="1:17" ht="72" customHeight="1" x14ac:dyDescent="0.3">
      <c r="A23" s="2">
        <v>19</v>
      </c>
      <c r="B23" s="2" t="s">
        <v>11408</v>
      </c>
      <c r="C23" s="2" t="s">
        <v>12561</v>
      </c>
      <c r="D23" s="87" t="s">
        <v>11423</v>
      </c>
      <c r="E23" s="2">
        <v>62.5</v>
      </c>
      <c r="F23" s="11">
        <f t="shared" si="0"/>
        <v>928689.40443213296</v>
      </c>
      <c r="G23" s="2"/>
      <c r="H23" s="2"/>
      <c r="I23" s="3">
        <v>40161</v>
      </c>
      <c r="J23" s="2" t="s">
        <v>11454</v>
      </c>
      <c r="K23" s="3">
        <v>42528</v>
      </c>
      <c r="L23" s="66" t="s">
        <v>16204</v>
      </c>
      <c r="M23" s="201" t="s">
        <v>12550</v>
      </c>
      <c r="N23" s="2"/>
      <c r="O23" s="38"/>
    </row>
    <row r="24" spans="1:17" ht="84" customHeight="1" x14ac:dyDescent="0.3">
      <c r="A24" s="2">
        <v>20</v>
      </c>
      <c r="B24" s="2" t="s">
        <v>11409</v>
      </c>
      <c r="C24" s="2" t="s">
        <v>12562</v>
      </c>
      <c r="D24" s="87" t="s">
        <v>11424</v>
      </c>
      <c r="E24" s="2">
        <v>39.299999999999997</v>
      </c>
      <c r="F24" s="11">
        <f t="shared" si="0"/>
        <v>583959.89750692516</v>
      </c>
      <c r="G24" s="2"/>
      <c r="H24" s="2"/>
      <c r="I24" s="3">
        <v>40161</v>
      </c>
      <c r="J24" s="2" t="s">
        <v>11455</v>
      </c>
      <c r="K24" s="3">
        <v>43307</v>
      </c>
      <c r="L24" s="66" t="s">
        <v>21051</v>
      </c>
      <c r="M24" s="201" t="s">
        <v>12550</v>
      </c>
      <c r="N24" s="2"/>
      <c r="O24" s="38"/>
    </row>
    <row r="25" spans="1:17" ht="72" customHeight="1" x14ac:dyDescent="0.3">
      <c r="A25" s="2">
        <v>21</v>
      </c>
      <c r="B25" s="2" t="s">
        <v>11409</v>
      </c>
      <c r="C25" s="2" t="s">
        <v>12563</v>
      </c>
      <c r="D25" s="87" t="s">
        <v>11425</v>
      </c>
      <c r="E25" s="2">
        <v>39.299999999999997</v>
      </c>
      <c r="F25" s="11">
        <f t="shared" si="0"/>
        <v>583959.89750692516</v>
      </c>
      <c r="G25" s="2"/>
      <c r="H25" s="2"/>
      <c r="I25" s="3">
        <v>40161</v>
      </c>
      <c r="J25" s="2" t="s">
        <v>11456</v>
      </c>
      <c r="K25" s="3">
        <v>42530</v>
      </c>
      <c r="L25" s="66" t="s">
        <v>16205</v>
      </c>
      <c r="M25" s="201" t="s">
        <v>12550</v>
      </c>
      <c r="N25" s="2"/>
      <c r="O25" s="38"/>
    </row>
    <row r="26" spans="1:17" ht="72" customHeight="1" x14ac:dyDescent="0.3">
      <c r="A26" s="2">
        <v>22</v>
      </c>
      <c r="B26" s="2" t="s">
        <v>11408</v>
      </c>
      <c r="C26" s="2" t="s">
        <v>12564</v>
      </c>
      <c r="D26" s="87" t="s">
        <v>11426</v>
      </c>
      <c r="E26" s="2">
        <v>62.5</v>
      </c>
      <c r="F26" s="11">
        <f t="shared" si="0"/>
        <v>928689.40443213296</v>
      </c>
      <c r="G26" s="2"/>
      <c r="H26" s="2"/>
      <c r="I26" s="3">
        <v>40161</v>
      </c>
      <c r="J26" s="2" t="s">
        <v>11457</v>
      </c>
      <c r="K26" s="243">
        <v>42528</v>
      </c>
      <c r="L26" s="66" t="s">
        <v>16206</v>
      </c>
      <c r="M26" s="201" t="s">
        <v>12550</v>
      </c>
      <c r="N26" s="2"/>
      <c r="O26" s="38"/>
    </row>
    <row r="27" spans="1:17" ht="72" customHeight="1" x14ac:dyDescent="0.3">
      <c r="A27" s="2">
        <v>23</v>
      </c>
      <c r="B27" s="2" t="s">
        <v>11408</v>
      </c>
      <c r="C27" s="2" t="s">
        <v>12565</v>
      </c>
      <c r="D27" s="87" t="s">
        <v>11427</v>
      </c>
      <c r="E27" s="2">
        <v>62.5</v>
      </c>
      <c r="F27" s="11">
        <f t="shared" si="0"/>
        <v>928689.40443213296</v>
      </c>
      <c r="G27" s="2"/>
      <c r="H27" s="2"/>
      <c r="I27" s="3">
        <v>40161</v>
      </c>
      <c r="J27" s="2" t="s">
        <v>11458</v>
      </c>
      <c r="K27" s="3">
        <v>42621</v>
      </c>
      <c r="L27" s="66" t="s">
        <v>16163</v>
      </c>
      <c r="M27" s="201" t="s">
        <v>12550</v>
      </c>
      <c r="N27" s="2"/>
      <c r="O27" s="38"/>
    </row>
    <row r="28" spans="1:17" ht="72" customHeight="1" x14ac:dyDescent="0.3">
      <c r="A28" s="2">
        <v>24</v>
      </c>
      <c r="B28" s="2" t="s">
        <v>11409</v>
      </c>
      <c r="C28" s="2" t="s">
        <v>12566</v>
      </c>
      <c r="D28" s="87" t="s">
        <v>11428</v>
      </c>
      <c r="E28" s="2">
        <v>39.299999999999997</v>
      </c>
      <c r="F28" s="11">
        <f t="shared" si="0"/>
        <v>583959.89750692516</v>
      </c>
      <c r="G28" s="2"/>
      <c r="H28" s="2"/>
      <c r="I28" s="3">
        <v>40161</v>
      </c>
      <c r="J28" s="2" t="s">
        <v>11459</v>
      </c>
      <c r="K28" s="3">
        <v>42530</v>
      </c>
      <c r="L28" s="66" t="s">
        <v>16207</v>
      </c>
      <c r="M28" s="201" t="s">
        <v>12550</v>
      </c>
      <c r="N28" s="2"/>
      <c r="O28" s="38"/>
    </row>
    <row r="29" spans="1:17" ht="72" customHeight="1" x14ac:dyDescent="0.3">
      <c r="A29" s="2">
        <v>25</v>
      </c>
      <c r="B29" s="2" t="s">
        <v>11408</v>
      </c>
      <c r="C29" s="2" t="s">
        <v>12567</v>
      </c>
      <c r="D29" s="87" t="s">
        <v>11429</v>
      </c>
      <c r="E29" s="2">
        <v>62.5</v>
      </c>
      <c r="F29" s="11">
        <f t="shared" si="0"/>
        <v>928689.40443213296</v>
      </c>
      <c r="G29" s="2"/>
      <c r="H29" s="2"/>
      <c r="I29" s="3">
        <v>40161</v>
      </c>
      <c r="J29" s="2" t="s">
        <v>11460</v>
      </c>
      <c r="K29" s="3">
        <v>42530</v>
      </c>
      <c r="L29" s="66" t="s">
        <v>16208</v>
      </c>
      <c r="M29" s="201" t="s">
        <v>12550</v>
      </c>
      <c r="N29" s="2"/>
      <c r="O29" s="38"/>
    </row>
    <row r="30" spans="1:17" ht="72" customHeight="1" x14ac:dyDescent="0.3">
      <c r="A30" s="2">
        <v>26</v>
      </c>
      <c r="B30" s="2" t="s">
        <v>11408</v>
      </c>
      <c r="C30" s="2" t="s">
        <v>12568</v>
      </c>
      <c r="D30" s="87" t="s">
        <v>11430</v>
      </c>
      <c r="E30" s="2">
        <v>62.5</v>
      </c>
      <c r="F30" s="11">
        <f t="shared" si="0"/>
        <v>928689.40443213296</v>
      </c>
      <c r="G30" s="2"/>
      <c r="H30" s="2"/>
      <c r="I30" s="3">
        <v>40161</v>
      </c>
      <c r="J30" s="2" t="s">
        <v>11461</v>
      </c>
      <c r="K30" s="3">
        <v>42530</v>
      </c>
      <c r="L30" s="66" t="s">
        <v>16209</v>
      </c>
      <c r="M30" s="201" t="s">
        <v>12550</v>
      </c>
      <c r="N30" s="2"/>
      <c r="O30" s="38"/>
    </row>
    <row r="31" spans="1:17" ht="72" customHeight="1" x14ac:dyDescent="0.3">
      <c r="A31" s="2">
        <v>27</v>
      </c>
      <c r="B31" s="2" t="s">
        <v>11409</v>
      </c>
      <c r="C31" s="2" t="s">
        <v>12569</v>
      </c>
      <c r="D31" s="87" t="s">
        <v>11431</v>
      </c>
      <c r="E31" s="2">
        <v>39.299999999999997</v>
      </c>
      <c r="F31" s="11">
        <f t="shared" si="0"/>
        <v>583959.89750692516</v>
      </c>
      <c r="G31" s="2"/>
      <c r="H31" s="2"/>
      <c r="I31" s="3">
        <v>40161</v>
      </c>
      <c r="J31" s="2" t="s">
        <v>11462</v>
      </c>
      <c r="K31" s="243">
        <v>42528</v>
      </c>
      <c r="L31" s="66" t="s">
        <v>16210</v>
      </c>
      <c r="M31" s="201" t="s">
        <v>12550</v>
      </c>
      <c r="N31" s="2"/>
      <c r="O31" s="38"/>
    </row>
    <row r="32" spans="1:17" ht="72" customHeight="1" x14ac:dyDescent="0.3">
      <c r="A32" s="2">
        <v>28</v>
      </c>
      <c r="B32" s="2" t="s">
        <v>11409</v>
      </c>
      <c r="C32" s="2" t="s">
        <v>12570</v>
      </c>
      <c r="D32" s="87" t="s">
        <v>11432</v>
      </c>
      <c r="E32" s="2">
        <v>39.299999999999997</v>
      </c>
      <c r="F32" s="11">
        <f t="shared" si="0"/>
        <v>583959.89750692516</v>
      </c>
      <c r="G32" s="2"/>
      <c r="H32" s="2"/>
      <c r="I32" s="3">
        <v>40161</v>
      </c>
      <c r="J32" s="2" t="s">
        <v>11463</v>
      </c>
      <c r="K32" s="3">
        <v>42527</v>
      </c>
      <c r="L32" s="66" t="s">
        <v>16211</v>
      </c>
      <c r="M32" s="201" t="s">
        <v>12550</v>
      </c>
      <c r="N32" s="2"/>
      <c r="O32" s="38"/>
    </row>
    <row r="33" spans="1:26" ht="72" customHeight="1" x14ac:dyDescent="0.3">
      <c r="A33" s="2">
        <v>29</v>
      </c>
      <c r="B33" s="2" t="s">
        <v>11408</v>
      </c>
      <c r="C33" s="2" t="s">
        <v>12571</v>
      </c>
      <c r="D33" s="87" t="s">
        <v>11433</v>
      </c>
      <c r="E33" s="2">
        <v>62.5</v>
      </c>
      <c r="F33" s="11">
        <f t="shared" si="0"/>
        <v>928689.40443213296</v>
      </c>
      <c r="G33" s="2"/>
      <c r="H33" s="2"/>
      <c r="I33" s="3">
        <v>40161</v>
      </c>
      <c r="J33" s="2" t="s">
        <v>11464</v>
      </c>
      <c r="K33" s="3">
        <v>42528</v>
      </c>
      <c r="L33" s="66" t="s">
        <v>16212</v>
      </c>
      <c r="M33" s="201" t="s">
        <v>12550</v>
      </c>
      <c r="N33" s="2"/>
      <c r="O33" s="38"/>
    </row>
    <row r="34" spans="1:26" ht="72" customHeight="1" x14ac:dyDescent="0.3">
      <c r="A34" s="2">
        <v>30</v>
      </c>
      <c r="B34" s="2" t="s">
        <v>11408</v>
      </c>
      <c r="C34" s="2" t="s">
        <v>12572</v>
      </c>
      <c r="D34" s="87" t="s">
        <v>11434</v>
      </c>
      <c r="E34" s="2">
        <v>62.3</v>
      </c>
      <c r="F34" s="11">
        <f t="shared" si="0"/>
        <v>925717.59833795007</v>
      </c>
      <c r="G34" s="2"/>
      <c r="H34" s="2"/>
      <c r="I34" s="3">
        <v>40161</v>
      </c>
      <c r="J34" s="2" t="s">
        <v>11465</v>
      </c>
      <c r="K34" s="3">
        <v>42530</v>
      </c>
      <c r="L34" s="66" t="s">
        <v>16213</v>
      </c>
      <c r="M34" s="201" t="s">
        <v>12550</v>
      </c>
      <c r="N34" s="2"/>
      <c r="O34" s="38"/>
    </row>
    <row r="35" spans="1:26" ht="72" customHeight="1" x14ac:dyDescent="0.3">
      <c r="A35" s="2">
        <v>31</v>
      </c>
      <c r="B35" s="2" t="s">
        <v>11409</v>
      </c>
      <c r="C35" s="2" t="s">
        <v>12573</v>
      </c>
      <c r="D35" s="87" t="s">
        <v>11435</v>
      </c>
      <c r="E35" s="2">
        <v>39.200000000000003</v>
      </c>
      <c r="F35" s="11">
        <f t="shared" si="0"/>
        <v>582473.99445983383</v>
      </c>
      <c r="G35" s="2"/>
      <c r="H35" s="2"/>
      <c r="I35" s="3">
        <v>40161</v>
      </c>
      <c r="J35" s="2" t="s">
        <v>11466</v>
      </c>
      <c r="K35" s="3">
        <v>42530</v>
      </c>
      <c r="L35" s="66" t="s">
        <v>16214</v>
      </c>
      <c r="M35" s="201" t="s">
        <v>12550</v>
      </c>
      <c r="N35" s="2"/>
      <c r="O35" s="38"/>
    </row>
    <row r="36" spans="1:26" ht="72" customHeight="1" x14ac:dyDescent="0.3">
      <c r="A36" s="2">
        <v>32</v>
      </c>
      <c r="B36" s="2" t="s">
        <v>11408</v>
      </c>
      <c r="C36" s="2" t="s">
        <v>12574</v>
      </c>
      <c r="D36" s="87" t="s">
        <v>11436</v>
      </c>
      <c r="E36" s="2">
        <v>62.3</v>
      </c>
      <c r="F36" s="11">
        <f t="shared" si="0"/>
        <v>925717.59833795007</v>
      </c>
      <c r="G36" s="2"/>
      <c r="H36" s="2"/>
      <c r="I36" s="3">
        <v>40161</v>
      </c>
      <c r="J36" s="2" t="s">
        <v>11467</v>
      </c>
      <c r="K36" s="3">
        <v>42528</v>
      </c>
      <c r="L36" s="66" t="s">
        <v>16215</v>
      </c>
      <c r="M36" s="201" t="s">
        <v>12550</v>
      </c>
      <c r="N36" s="2"/>
      <c r="O36" s="38"/>
    </row>
    <row r="37" spans="1:26" ht="72" customHeight="1" x14ac:dyDescent="0.3">
      <c r="A37" s="2">
        <v>33</v>
      </c>
      <c r="B37" s="2" t="s">
        <v>11409</v>
      </c>
      <c r="C37" s="2" t="s">
        <v>12575</v>
      </c>
      <c r="D37" s="87" t="s">
        <v>11437</v>
      </c>
      <c r="E37" s="2">
        <v>39.200000000000003</v>
      </c>
      <c r="F37" s="11">
        <f t="shared" si="0"/>
        <v>582473.99445983383</v>
      </c>
      <c r="G37" s="2"/>
      <c r="H37" s="2"/>
      <c r="I37" s="3">
        <v>40161</v>
      </c>
      <c r="J37" s="2" t="s">
        <v>11468</v>
      </c>
      <c r="K37" s="3">
        <v>42528</v>
      </c>
      <c r="L37" s="66" t="s">
        <v>16216</v>
      </c>
      <c r="M37" s="201" t="s">
        <v>12550</v>
      </c>
      <c r="N37" s="2"/>
      <c r="O37" s="38"/>
    </row>
    <row r="38" spans="1:26" ht="72" customHeight="1" x14ac:dyDescent="0.3">
      <c r="A38" s="2">
        <v>34</v>
      </c>
      <c r="B38" s="2" t="s">
        <v>11408</v>
      </c>
      <c r="C38" s="2" t="s">
        <v>12576</v>
      </c>
      <c r="D38" s="87" t="s">
        <v>11438</v>
      </c>
      <c r="E38" s="2">
        <v>62.4</v>
      </c>
      <c r="F38" s="11">
        <f t="shared" si="0"/>
        <v>927203.50138504151</v>
      </c>
      <c r="G38" s="2"/>
      <c r="H38" s="2"/>
      <c r="I38" s="3">
        <v>40161</v>
      </c>
      <c r="J38" s="2" t="s">
        <v>11469</v>
      </c>
      <c r="K38" s="3">
        <v>42530</v>
      </c>
      <c r="L38" s="66" t="s">
        <v>16217</v>
      </c>
      <c r="M38" s="201" t="s">
        <v>12550</v>
      </c>
      <c r="N38" s="2"/>
      <c r="O38" s="38"/>
    </row>
    <row r="39" spans="1:26" ht="72" customHeight="1" x14ac:dyDescent="0.3">
      <c r="A39" s="2">
        <v>35</v>
      </c>
      <c r="B39" s="2" t="s">
        <v>11408</v>
      </c>
      <c r="C39" s="2" t="s">
        <v>12577</v>
      </c>
      <c r="D39" s="87" t="s">
        <v>11439</v>
      </c>
      <c r="E39" s="2">
        <v>62.4</v>
      </c>
      <c r="F39" s="11">
        <f t="shared" si="0"/>
        <v>927203.50138504151</v>
      </c>
      <c r="G39" s="2"/>
      <c r="H39" s="2"/>
      <c r="I39" s="3">
        <v>40161</v>
      </c>
      <c r="J39" s="2" t="s">
        <v>11470</v>
      </c>
      <c r="K39" s="243">
        <v>42530</v>
      </c>
      <c r="L39" s="66" t="s">
        <v>16218</v>
      </c>
      <c r="M39" s="201" t="s">
        <v>12550</v>
      </c>
      <c r="N39" s="2"/>
      <c r="O39" s="38"/>
    </row>
    <row r="40" spans="1:26" ht="72" customHeight="1" x14ac:dyDescent="0.3">
      <c r="A40" s="2">
        <v>36</v>
      </c>
      <c r="B40" s="2" t="s">
        <v>167</v>
      </c>
      <c r="C40" s="2" t="s">
        <v>12578</v>
      </c>
      <c r="D40" s="87" t="s">
        <v>11473</v>
      </c>
      <c r="E40" s="2">
        <v>30.9</v>
      </c>
      <c r="F40" s="39">
        <v>1024978.5</v>
      </c>
      <c r="G40" s="2"/>
      <c r="H40" s="2"/>
      <c r="I40" s="3">
        <v>40567</v>
      </c>
      <c r="J40" s="2" t="s">
        <v>11165</v>
      </c>
      <c r="K40" s="242"/>
      <c r="L40" s="66"/>
      <c r="M40" s="201" t="s">
        <v>12550</v>
      </c>
      <c r="N40" s="2"/>
      <c r="O40" s="38"/>
    </row>
    <row r="41" spans="1:26" ht="96" customHeight="1" x14ac:dyDescent="0.3">
      <c r="A41" s="2">
        <v>37</v>
      </c>
      <c r="B41" s="2" t="s">
        <v>167</v>
      </c>
      <c r="C41" s="2" t="s">
        <v>12579</v>
      </c>
      <c r="D41" s="87" t="s">
        <v>19357</v>
      </c>
      <c r="E41" s="2">
        <v>32.200000000000003</v>
      </c>
      <c r="F41" s="11">
        <v>1350000</v>
      </c>
      <c r="G41" s="2"/>
      <c r="H41" s="244"/>
      <c r="I41" s="3">
        <v>40823</v>
      </c>
      <c r="J41" s="2" t="s">
        <v>168</v>
      </c>
      <c r="K41" s="242"/>
      <c r="L41" s="66"/>
      <c r="M41" s="201" t="s">
        <v>12550</v>
      </c>
      <c r="N41" s="2"/>
      <c r="O41" s="38" t="s">
        <v>21499</v>
      </c>
      <c r="Q41" s="161"/>
      <c r="R41" s="161"/>
      <c r="S41" s="161"/>
      <c r="T41" s="161"/>
      <c r="U41" s="161"/>
      <c r="V41" s="161"/>
      <c r="W41" s="161"/>
      <c r="X41" s="161"/>
      <c r="Y41" s="161"/>
      <c r="Z41" s="161"/>
    </row>
    <row r="42" spans="1:26" s="161" customFormat="1" ht="96" customHeight="1" x14ac:dyDescent="0.3">
      <c r="A42" s="242">
        <v>38</v>
      </c>
      <c r="B42" s="242" t="s">
        <v>11254</v>
      </c>
      <c r="C42" s="242" t="s">
        <v>11256</v>
      </c>
      <c r="D42" s="85" t="s">
        <v>11255</v>
      </c>
      <c r="E42" s="2">
        <v>309</v>
      </c>
      <c r="F42" s="25">
        <v>1764227.06</v>
      </c>
      <c r="G42" s="244">
        <v>461376.56</v>
      </c>
      <c r="H42" s="2">
        <v>2817153</v>
      </c>
      <c r="I42" s="3">
        <v>42367</v>
      </c>
      <c r="J42" s="2" t="s">
        <v>12256</v>
      </c>
      <c r="K42" s="242"/>
      <c r="L42" s="66"/>
      <c r="M42" s="242" t="s">
        <v>13904</v>
      </c>
      <c r="N42" s="2" t="s">
        <v>19383</v>
      </c>
      <c r="O42" s="65"/>
      <c r="Q42" s="67"/>
      <c r="R42" s="67"/>
      <c r="S42" s="67"/>
      <c r="T42" s="67"/>
      <c r="U42" s="67"/>
      <c r="V42" s="67"/>
      <c r="W42" s="67"/>
      <c r="X42" s="67"/>
      <c r="Y42" s="67"/>
      <c r="Z42" s="67"/>
    </row>
    <row r="43" spans="1:26" ht="96" customHeight="1" x14ac:dyDescent="0.3">
      <c r="A43" s="242">
        <v>39</v>
      </c>
      <c r="B43" s="242" t="s">
        <v>12158</v>
      </c>
      <c r="C43" s="242" t="s">
        <v>11329</v>
      </c>
      <c r="D43" s="60" t="s">
        <v>11314</v>
      </c>
      <c r="E43" s="2"/>
      <c r="F43" s="11">
        <f>434571.12/4854*406+185364/11238*406+38853.77</f>
        <v>81899.046654560894</v>
      </c>
      <c r="G43" s="11">
        <v>63378.76</v>
      </c>
      <c r="H43" s="244">
        <v>139656</v>
      </c>
      <c r="I43" s="3" t="s">
        <v>12421</v>
      </c>
      <c r="J43" s="2" t="s">
        <v>12444</v>
      </c>
      <c r="K43" s="2"/>
      <c r="L43" s="66"/>
      <c r="M43" s="201" t="s">
        <v>12550</v>
      </c>
      <c r="N43" s="2" t="s">
        <v>19384</v>
      </c>
      <c r="O43" s="41"/>
    </row>
    <row r="44" spans="1:26" ht="84" customHeight="1" x14ac:dyDescent="0.3">
      <c r="A44" s="242">
        <v>40</v>
      </c>
      <c r="B44" s="242" t="s">
        <v>11932</v>
      </c>
      <c r="C44" s="242" t="s">
        <v>11312</v>
      </c>
      <c r="D44" s="60" t="s">
        <v>11313</v>
      </c>
      <c r="E44" s="242"/>
      <c r="F44" s="244">
        <f>242229+185364/11238*1031+73824</f>
        <v>333058.72023491724</v>
      </c>
      <c r="G44" s="244">
        <v>111019.77</v>
      </c>
      <c r="H44" s="244">
        <v>355014.6</v>
      </c>
      <c r="I44" s="243" t="s">
        <v>12421</v>
      </c>
      <c r="J44" s="242" t="s">
        <v>12443</v>
      </c>
      <c r="K44" s="242"/>
      <c r="L44" s="66"/>
      <c r="M44" s="201" t="s">
        <v>12550</v>
      </c>
      <c r="N44" s="242" t="s">
        <v>19384</v>
      </c>
      <c r="O44" s="41"/>
    </row>
    <row r="45" spans="1:26" ht="120" customHeight="1" x14ac:dyDescent="0.3">
      <c r="A45" s="242">
        <v>41</v>
      </c>
      <c r="B45" s="242" t="s">
        <v>11922</v>
      </c>
      <c r="C45" s="242" t="s">
        <v>11310</v>
      </c>
      <c r="D45" s="60" t="s">
        <v>11311</v>
      </c>
      <c r="E45" s="2"/>
      <c r="F45" s="11">
        <f>4609+132402+11234+185364/11238*2514</f>
        <v>189711.9065670048</v>
      </c>
      <c r="G45" s="11">
        <v>60749.88</v>
      </c>
      <c r="H45" s="50">
        <v>867028.2</v>
      </c>
      <c r="I45" s="3" t="s">
        <v>12437</v>
      </c>
      <c r="J45" s="2" t="s">
        <v>12438</v>
      </c>
      <c r="K45" s="2"/>
      <c r="L45" s="66"/>
      <c r="M45" s="201" t="s">
        <v>12550</v>
      </c>
      <c r="N45" s="2" t="s">
        <v>19384</v>
      </c>
      <c r="O45" s="41"/>
    </row>
    <row r="46" spans="1:26" ht="108" customHeight="1" x14ac:dyDescent="0.3">
      <c r="A46" s="242">
        <v>42</v>
      </c>
      <c r="B46" s="242" t="s">
        <v>11923</v>
      </c>
      <c r="C46" s="242" t="s">
        <v>11331</v>
      </c>
      <c r="D46" s="60" t="s">
        <v>11315</v>
      </c>
      <c r="E46" s="2"/>
      <c r="F46" s="11">
        <f>84085+42802+185364/11238*1093</f>
        <v>144915.37266417511</v>
      </c>
      <c r="G46" s="244">
        <v>48304.66</v>
      </c>
      <c r="H46" s="50">
        <v>376363.5</v>
      </c>
      <c r="I46" s="3" t="s">
        <v>12421</v>
      </c>
      <c r="J46" s="2" t="s">
        <v>12442</v>
      </c>
      <c r="K46" s="2"/>
      <c r="L46" s="66"/>
      <c r="M46" s="201" t="s">
        <v>12550</v>
      </c>
      <c r="N46" s="2" t="s">
        <v>19384</v>
      </c>
      <c r="O46" s="41"/>
    </row>
    <row r="47" spans="1:26" ht="72" customHeight="1" x14ac:dyDescent="0.3">
      <c r="A47" s="242">
        <v>43</v>
      </c>
      <c r="B47" s="242" t="s">
        <v>11924</v>
      </c>
      <c r="C47" s="242" t="s">
        <v>11330</v>
      </c>
      <c r="D47" s="60" t="s">
        <v>11316</v>
      </c>
      <c r="E47" s="242"/>
      <c r="F47" s="244">
        <f>2422+185364/11238*523</f>
        <v>11048.568072610786</v>
      </c>
      <c r="G47" s="244">
        <v>3682.72</v>
      </c>
      <c r="H47" s="50">
        <v>179901.6</v>
      </c>
      <c r="I47" s="243" t="s">
        <v>12421</v>
      </c>
      <c r="J47" s="242" t="s">
        <v>12431</v>
      </c>
      <c r="K47" s="242"/>
      <c r="L47" s="66"/>
      <c r="M47" s="201" t="s">
        <v>12550</v>
      </c>
      <c r="N47" s="242" t="s">
        <v>19384</v>
      </c>
      <c r="O47" s="41"/>
    </row>
    <row r="48" spans="1:26" ht="72" customHeight="1" x14ac:dyDescent="0.3">
      <c r="A48" s="242">
        <v>44</v>
      </c>
      <c r="B48" s="242" t="s">
        <v>11925</v>
      </c>
      <c r="C48" s="242" t="s">
        <v>11317</v>
      </c>
      <c r="D48" s="60" t="s">
        <v>11318</v>
      </c>
      <c r="E48" s="2"/>
      <c r="F48" s="11">
        <f>96634.83+185364/11238*542</f>
        <v>105574.79155899626</v>
      </c>
      <c r="G48" s="11">
        <v>58467.9</v>
      </c>
      <c r="H48" s="50">
        <v>186437.1</v>
      </c>
      <c r="I48" s="3" t="s">
        <v>12421</v>
      </c>
      <c r="J48" s="2" t="s">
        <v>12432</v>
      </c>
      <c r="K48" s="242"/>
      <c r="L48" s="66"/>
      <c r="M48" s="201" t="s">
        <v>12550</v>
      </c>
      <c r="N48" s="2" t="s">
        <v>19384</v>
      </c>
      <c r="O48" s="41"/>
    </row>
    <row r="49" spans="1:15" ht="72" customHeight="1" x14ac:dyDescent="0.3">
      <c r="A49" s="242">
        <v>45</v>
      </c>
      <c r="B49" s="242" t="s">
        <v>11926</v>
      </c>
      <c r="C49" s="242" t="s">
        <v>11320</v>
      </c>
      <c r="D49" s="60" t="s">
        <v>11319</v>
      </c>
      <c r="E49" s="242"/>
      <c r="F49" s="11">
        <f>373147+185364/11238*681</f>
        <v>384379.68232781632</v>
      </c>
      <c r="G49" s="11">
        <v>120352.73</v>
      </c>
      <c r="H49" s="50">
        <v>234372.9</v>
      </c>
      <c r="I49" s="3" t="s">
        <v>12421</v>
      </c>
      <c r="J49" s="2" t="s">
        <v>12440</v>
      </c>
      <c r="K49" s="2"/>
      <c r="L49" s="66"/>
      <c r="M49" s="201" t="s">
        <v>12550</v>
      </c>
      <c r="N49" s="2" t="s">
        <v>19384</v>
      </c>
      <c r="O49" s="41"/>
    </row>
    <row r="50" spans="1:15" ht="108" customHeight="1" x14ac:dyDescent="0.3">
      <c r="A50" s="242">
        <v>46</v>
      </c>
      <c r="B50" s="242" t="s">
        <v>11927</v>
      </c>
      <c r="C50" s="242" t="s">
        <v>11321</v>
      </c>
      <c r="D50" s="60" t="s">
        <v>11322</v>
      </c>
      <c r="E50" s="2"/>
      <c r="F50" s="244">
        <f>434571.12/4854*1229+14444+185364/11238*1229</f>
        <v>144746.08130161418</v>
      </c>
      <c r="G50" s="244">
        <v>79052.75</v>
      </c>
      <c r="H50" s="50">
        <v>423193.8</v>
      </c>
      <c r="I50" s="3" t="s">
        <v>12421</v>
      </c>
      <c r="J50" s="2" t="s">
        <v>12441</v>
      </c>
      <c r="K50" s="2"/>
      <c r="L50" s="66"/>
      <c r="M50" s="201" t="s">
        <v>12550</v>
      </c>
      <c r="N50" s="2" t="s">
        <v>19384</v>
      </c>
      <c r="O50" s="41"/>
    </row>
    <row r="51" spans="1:15" ht="72" customHeight="1" x14ac:dyDescent="0.3">
      <c r="A51" s="242">
        <v>47</v>
      </c>
      <c r="B51" s="242" t="s">
        <v>11928</v>
      </c>
      <c r="C51" s="242" t="s">
        <v>11323</v>
      </c>
      <c r="D51" s="60" t="s">
        <v>11324</v>
      </c>
      <c r="E51" s="2"/>
      <c r="F51" s="244">
        <f>434571.12/4854*269+185364/11238*269</f>
        <v>28520.146354869172</v>
      </c>
      <c r="G51" s="244">
        <v>16249.32</v>
      </c>
      <c r="H51" s="50">
        <v>92482.2</v>
      </c>
      <c r="I51" s="3" t="s">
        <v>12421</v>
      </c>
      <c r="J51" s="2" t="s">
        <v>12436</v>
      </c>
      <c r="K51" s="242"/>
      <c r="L51" s="66"/>
      <c r="M51" s="201" t="s">
        <v>12550</v>
      </c>
      <c r="N51" s="2" t="s">
        <v>19384</v>
      </c>
      <c r="O51" s="41"/>
    </row>
    <row r="52" spans="1:15" ht="72" customHeight="1" x14ac:dyDescent="0.3">
      <c r="A52" s="242">
        <v>48</v>
      </c>
      <c r="B52" s="242" t="s">
        <v>11929</v>
      </c>
      <c r="C52" s="242" t="s">
        <v>11325</v>
      </c>
      <c r="D52" s="60" t="s">
        <v>11326</v>
      </c>
      <c r="E52" s="2"/>
      <c r="F52" s="11">
        <f>434571.12/4854*1454+185364/11238*1454</f>
        <v>154157.22230475754</v>
      </c>
      <c r="G52" s="11">
        <v>87830.88</v>
      </c>
      <c r="H52" s="50">
        <v>500932.2</v>
      </c>
      <c r="I52" s="3" t="s">
        <v>12421</v>
      </c>
      <c r="J52" s="2" t="s">
        <v>12445</v>
      </c>
      <c r="K52" s="242"/>
      <c r="L52" s="66"/>
      <c r="M52" s="201" t="s">
        <v>12550</v>
      </c>
      <c r="N52" s="2" t="s">
        <v>19384</v>
      </c>
      <c r="O52" s="41"/>
    </row>
    <row r="53" spans="1:15" ht="108" customHeight="1" x14ac:dyDescent="0.3">
      <c r="A53" s="242">
        <v>49</v>
      </c>
      <c r="B53" s="242" t="s">
        <v>11930</v>
      </c>
      <c r="C53" s="242" t="s">
        <v>11327</v>
      </c>
      <c r="D53" s="60" t="s">
        <v>11328</v>
      </c>
      <c r="E53" s="2"/>
      <c r="F53" s="244">
        <f>434571.12/4854*1496+18657+185364/11238*1496</f>
        <v>177267.18195867763</v>
      </c>
      <c r="G53" s="244">
        <v>96587.47</v>
      </c>
      <c r="H53" s="50">
        <v>515401.8</v>
      </c>
      <c r="I53" s="3" t="s">
        <v>12421</v>
      </c>
      <c r="J53" s="2" t="s">
        <v>12439</v>
      </c>
      <c r="K53" s="242"/>
      <c r="L53" s="66"/>
      <c r="M53" s="201" t="s">
        <v>12550</v>
      </c>
      <c r="N53" s="2" t="s">
        <v>19384</v>
      </c>
      <c r="O53" s="41"/>
    </row>
    <row r="54" spans="1:15" ht="96" customHeight="1" x14ac:dyDescent="0.3">
      <c r="A54" s="242">
        <v>50</v>
      </c>
      <c r="B54" s="242" t="s">
        <v>11907</v>
      </c>
      <c r="C54" s="242" t="s">
        <v>11375</v>
      </c>
      <c r="D54" s="60" t="s">
        <v>17859</v>
      </c>
      <c r="E54" s="2"/>
      <c r="F54" s="244">
        <v>0.01</v>
      </c>
      <c r="G54" s="244">
        <v>0.01</v>
      </c>
      <c r="H54" s="28" t="s">
        <v>14</v>
      </c>
      <c r="I54" s="3">
        <v>40500</v>
      </c>
      <c r="J54" s="2" t="s">
        <v>19059</v>
      </c>
      <c r="K54" s="242"/>
      <c r="L54" s="66"/>
      <c r="M54" s="201" t="s">
        <v>12550</v>
      </c>
      <c r="N54" s="2" t="s">
        <v>19384</v>
      </c>
      <c r="O54" s="38"/>
    </row>
    <row r="55" spans="1:15" ht="168" customHeight="1" x14ac:dyDescent="0.3">
      <c r="A55" s="242">
        <v>51</v>
      </c>
      <c r="B55" s="242" t="s">
        <v>11911</v>
      </c>
      <c r="C55" s="242" t="s">
        <v>11235</v>
      </c>
      <c r="D55" s="60" t="s">
        <v>11236</v>
      </c>
      <c r="E55" s="2">
        <v>986</v>
      </c>
      <c r="F55" s="25">
        <v>218335.71</v>
      </c>
      <c r="G55" s="244">
        <v>50047.13</v>
      </c>
      <c r="H55" s="2">
        <v>494508.58</v>
      </c>
      <c r="I55" s="3">
        <v>42363</v>
      </c>
      <c r="J55" s="2" t="s">
        <v>12264</v>
      </c>
      <c r="K55" s="2"/>
      <c r="L55" s="66"/>
      <c r="M55" s="201" t="s">
        <v>12550</v>
      </c>
      <c r="N55" s="2" t="s">
        <v>19764</v>
      </c>
      <c r="O55" s="41"/>
    </row>
    <row r="56" spans="1:15" ht="96" customHeight="1" x14ac:dyDescent="0.3">
      <c r="A56" s="242">
        <v>52</v>
      </c>
      <c r="B56" s="242" t="s">
        <v>19698</v>
      </c>
      <c r="C56" s="242" t="s">
        <v>19696</v>
      </c>
      <c r="D56" s="60" t="s">
        <v>19697</v>
      </c>
      <c r="E56" s="242">
        <v>1326</v>
      </c>
      <c r="F56" s="244">
        <v>595575.23</v>
      </c>
      <c r="G56" s="244">
        <v>595575.23</v>
      </c>
      <c r="H56" s="28" t="s">
        <v>14</v>
      </c>
      <c r="I56" s="243">
        <v>40500</v>
      </c>
      <c r="J56" s="242" t="s">
        <v>20048</v>
      </c>
      <c r="K56" s="242"/>
      <c r="L56" s="66"/>
      <c r="M56" s="201" t="s">
        <v>12550</v>
      </c>
      <c r="N56" s="242" t="s">
        <v>19384</v>
      </c>
      <c r="O56" s="38"/>
    </row>
    <row r="57" spans="1:15" ht="109.2" customHeight="1" x14ac:dyDescent="0.3">
      <c r="A57" s="242">
        <v>53</v>
      </c>
      <c r="B57" s="242" t="s">
        <v>11855</v>
      </c>
      <c r="C57" s="242" t="s">
        <v>11856</v>
      </c>
      <c r="D57" s="60" t="s">
        <v>19521</v>
      </c>
      <c r="E57" s="242">
        <v>3863</v>
      </c>
      <c r="F57" s="244">
        <v>315801.15999999997</v>
      </c>
      <c r="G57" s="244">
        <v>315801.15999999997</v>
      </c>
      <c r="H57" s="28" t="s">
        <v>14</v>
      </c>
      <c r="I57" s="243">
        <v>40500</v>
      </c>
      <c r="J57" s="242" t="s">
        <v>19522</v>
      </c>
      <c r="K57" s="242"/>
      <c r="L57" s="66"/>
      <c r="M57" s="201" t="s">
        <v>12550</v>
      </c>
      <c r="N57" s="242" t="s">
        <v>19384</v>
      </c>
      <c r="O57" s="41"/>
    </row>
    <row r="58" spans="1:15" ht="89.4" customHeight="1" x14ac:dyDescent="0.3">
      <c r="A58" s="242">
        <v>54</v>
      </c>
      <c r="B58" s="242" t="s">
        <v>11837</v>
      </c>
      <c r="C58" s="242" t="s">
        <v>11302</v>
      </c>
      <c r="D58" s="60" t="s">
        <v>11308</v>
      </c>
      <c r="E58" s="2">
        <v>1346</v>
      </c>
      <c r="F58" s="25">
        <v>95739.09</v>
      </c>
      <c r="G58" s="11">
        <v>22084.35</v>
      </c>
      <c r="H58" s="2">
        <v>4250212.5</v>
      </c>
      <c r="I58" s="3">
        <v>42367</v>
      </c>
      <c r="J58" s="2" t="s">
        <v>12288</v>
      </c>
      <c r="K58" s="2"/>
      <c r="L58" s="66"/>
      <c r="M58" s="201" t="s">
        <v>12550</v>
      </c>
      <c r="N58" s="2" t="s">
        <v>19384</v>
      </c>
      <c r="O58" s="41"/>
    </row>
    <row r="59" spans="1:15" ht="88.95" customHeight="1" x14ac:dyDescent="0.3">
      <c r="A59" s="242">
        <v>55</v>
      </c>
      <c r="B59" s="242" t="s">
        <v>11921</v>
      </c>
      <c r="C59" s="242" t="s">
        <v>11920</v>
      </c>
      <c r="D59" s="60" t="s">
        <v>11303</v>
      </c>
      <c r="E59" s="2">
        <v>339</v>
      </c>
      <c r="F59" s="25">
        <v>572902.81000000006</v>
      </c>
      <c r="G59" s="244">
        <v>132151.29999999999</v>
      </c>
      <c r="H59" s="50">
        <v>9290508.5700000003</v>
      </c>
      <c r="I59" s="3">
        <v>42367</v>
      </c>
      <c r="J59" s="2" t="s">
        <v>12290</v>
      </c>
      <c r="K59" s="242"/>
      <c r="L59" s="66"/>
      <c r="M59" s="201" t="s">
        <v>12550</v>
      </c>
      <c r="N59" s="2" t="s">
        <v>19384</v>
      </c>
      <c r="O59" s="41"/>
    </row>
    <row r="60" spans="1:15" ht="91.95" customHeight="1" x14ac:dyDescent="0.3">
      <c r="A60" s="242">
        <v>56</v>
      </c>
      <c r="B60" s="242" t="s">
        <v>11307</v>
      </c>
      <c r="C60" s="242" t="s">
        <v>11305</v>
      </c>
      <c r="D60" s="60" t="s">
        <v>11306</v>
      </c>
      <c r="E60" s="2">
        <v>515</v>
      </c>
      <c r="F60" s="25">
        <v>844193.01</v>
      </c>
      <c r="G60" s="244">
        <v>193967.94</v>
      </c>
      <c r="H60" s="2">
        <v>6456812.5</v>
      </c>
      <c r="I60" s="3">
        <v>42367</v>
      </c>
      <c r="J60" s="2" t="s">
        <v>12287</v>
      </c>
      <c r="K60" s="242"/>
      <c r="L60" s="66"/>
      <c r="M60" s="2" t="s">
        <v>13904</v>
      </c>
      <c r="N60" s="2" t="s">
        <v>19385</v>
      </c>
      <c r="O60" s="41"/>
    </row>
    <row r="61" spans="1:15" ht="96" customHeight="1" x14ac:dyDescent="0.3">
      <c r="A61" s="242">
        <v>57</v>
      </c>
      <c r="B61" s="242" t="s">
        <v>11933</v>
      </c>
      <c r="C61" s="242" t="s">
        <v>11857</v>
      </c>
      <c r="D61" s="60" t="s">
        <v>11260</v>
      </c>
      <c r="E61" s="2">
        <v>17</v>
      </c>
      <c r="F61" s="11">
        <v>47095.38</v>
      </c>
      <c r="G61" s="11">
        <v>24706.36</v>
      </c>
      <c r="H61" s="2">
        <v>216282.5</v>
      </c>
      <c r="I61" s="3">
        <v>42367</v>
      </c>
      <c r="J61" s="2" t="s">
        <v>12255</v>
      </c>
      <c r="K61" s="2"/>
      <c r="L61" s="66"/>
      <c r="M61" s="2" t="s">
        <v>13904</v>
      </c>
      <c r="N61" s="242" t="s">
        <v>19386</v>
      </c>
      <c r="O61" s="41"/>
    </row>
    <row r="62" spans="1:15" ht="118.95" customHeight="1" x14ac:dyDescent="0.3">
      <c r="A62" s="242">
        <v>58</v>
      </c>
      <c r="B62" s="242" t="s">
        <v>20049</v>
      </c>
      <c r="C62" s="38" t="s">
        <v>19696</v>
      </c>
      <c r="D62" s="60" t="s">
        <v>20050</v>
      </c>
      <c r="E62" s="2">
        <v>20</v>
      </c>
      <c r="F62" s="244">
        <v>0.01</v>
      </c>
      <c r="G62" s="11">
        <v>0.01</v>
      </c>
      <c r="H62" s="28" t="s">
        <v>14</v>
      </c>
      <c r="I62" s="3">
        <v>40500</v>
      </c>
      <c r="J62" s="2" t="s">
        <v>20051</v>
      </c>
      <c r="K62" s="2"/>
      <c r="L62" s="66"/>
      <c r="M62" s="201" t="s">
        <v>12550</v>
      </c>
      <c r="N62" s="2" t="s">
        <v>19384</v>
      </c>
      <c r="O62" s="38"/>
    </row>
    <row r="63" spans="1:15" ht="91.2" customHeight="1" x14ac:dyDescent="0.3">
      <c r="A63" s="242">
        <v>59</v>
      </c>
      <c r="B63" s="242" t="s">
        <v>11304</v>
      </c>
      <c r="C63" s="242" t="s">
        <v>11302</v>
      </c>
      <c r="D63" s="60" t="s">
        <v>11243</v>
      </c>
      <c r="E63" s="2">
        <v>162</v>
      </c>
      <c r="F63" s="244">
        <v>649204.36</v>
      </c>
      <c r="G63" s="244">
        <v>149751.32999999999</v>
      </c>
      <c r="H63" s="242">
        <v>203075</v>
      </c>
      <c r="I63" s="3">
        <v>42367</v>
      </c>
      <c r="J63" s="2" t="s">
        <v>12289</v>
      </c>
      <c r="K63" s="2"/>
      <c r="L63" s="66"/>
      <c r="M63" s="201" t="s">
        <v>12550</v>
      </c>
      <c r="N63" s="2" t="s">
        <v>19384</v>
      </c>
      <c r="O63" s="41"/>
    </row>
    <row r="64" spans="1:15" ht="108.6" customHeight="1" x14ac:dyDescent="0.3">
      <c r="A64" s="242">
        <v>60</v>
      </c>
      <c r="B64" s="242" t="s">
        <v>11842</v>
      </c>
      <c r="C64" s="242" t="s">
        <v>7</v>
      </c>
      <c r="D64" s="60" t="s">
        <v>19545</v>
      </c>
      <c r="E64" s="242">
        <v>1965</v>
      </c>
      <c r="F64" s="244">
        <v>509252.5</v>
      </c>
      <c r="G64" s="244">
        <v>357266.54</v>
      </c>
      <c r="H64" s="28" t="s">
        <v>14</v>
      </c>
      <c r="I64" s="243">
        <v>40500</v>
      </c>
      <c r="J64" s="242" t="s">
        <v>19546</v>
      </c>
      <c r="K64" s="242"/>
      <c r="L64" s="66"/>
      <c r="M64" s="201" t="s">
        <v>12550</v>
      </c>
      <c r="N64" s="242" t="s">
        <v>19384</v>
      </c>
      <c r="O64" s="41"/>
    </row>
    <row r="65" spans="1:15" ht="72" customHeight="1" x14ac:dyDescent="0.3">
      <c r="A65" s="242">
        <v>61</v>
      </c>
      <c r="B65" s="242" t="s">
        <v>20053</v>
      </c>
      <c r="C65" s="242" t="s">
        <v>11286</v>
      </c>
      <c r="D65" s="60" t="s">
        <v>11288</v>
      </c>
      <c r="E65" s="242">
        <v>388</v>
      </c>
      <c r="F65" s="244">
        <v>399868.07</v>
      </c>
      <c r="G65" s="244">
        <v>83397.789999999994</v>
      </c>
      <c r="H65" s="242">
        <v>194593.64</v>
      </c>
      <c r="I65" s="243">
        <v>42367</v>
      </c>
      <c r="J65" s="242" t="s">
        <v>12274</v>
      </c>
      <c r="K65" s="242"/>
      <c r="L65" s="66"/>
      <c r="M65" s="201" t="s">
        <v>12550</v>
      </c>
      <c r="N65" s="242" t="s">
        <v>19384</v>
      </c>
      <c r="O65" s="38"/>
    </row>
    <row r="66" spans="1:15" ht="72" customHeight="1" x14ac:dyDescent="0.3">
      <c r="A66" s="242">
        <v>62</v>
      </c>
      <c r="B66" s="242" t="s">
        <v>11864</v>
      </c>
      <c r="C66" s="242" t="s">
        <v>11286</v>
      </c>
      <c r="D66" s="60" t="s">
        <v>11289</v>
      </c>
      <c r="E66" s="242">
        <v>28</v>
      </c>
      <c r="F66" s="244">
        <v>21615.8</v>
      </c>
      <c r="G66" s="244">
        <v>7376.23</v>
      </c>
      <c r="H66" s="242">
        <v>14042.84</v>
      </c>
      <c r="I66" s="243">
        <v>42367</v>
      </c>
      <c r="J66" s="242" t="s">
        <v>12273</v>
      </c>
      <c r="K66" s="242"/>
      <c r="L66" s="66"/>
      <c r="M66" s="201" t="s">
        <v>12550</v>
      </c>
      <c r="N66" s="242" t="s">
        <v>19384</v>
      </c>
      <c r="O66" s="41"/>
    </row>
    <row r="67" spans="1:15" ht="96" customHeight="1" x14ac:dyDescent="0.3">
      <c r="A67" s="242">
        <v>63</v>
      </c>
      <c r="B67" s="242" t="s">
        <v>20052</v>
      </c>
      <c r="C67" s="242" t="s">
        <v>11286</v>
      </c>
      <c r="D67" s="60" t="s">
        <v>11287</v>
      </c>
      <c r="E67" s="2">
        <v>105</v>
      </c>
      <c r="F67" s="11">
        <v>80985.14</v>
      </c>
      <c r="G67" s="11">
        <v>18753.919999999998</v>
      </c>
      <c r="H67" s="242">
        <v>52660.65</v>
      </c>
      <c r="I67" s="3">
        <v>42367</v>
      </c>
      <c r="J67" s="2" t="s">
        <v>12275</v>
      </c>
      <c r="K67" s="2"/>
      <c r="L67" s="66"/>
      <c r="M67" s="2" t="s">
        <v>13904</v>
      </c>
      <c r="N67" s="2" t="s">
        <v>19387</v>
      </c>
      <c r="O67" s="38"/>
    </row>
    <row r="68" spans="1:15" ht="108" customHeight="1" x14ac:dyDescent="0.3">
      <c r="A68" s="242">
        <v>64</v>
      </c>
      <c r="B68" s="242" t="s">
        <v>11914</v>
      </c>
      <c r="C68" s="242" t="s">
        <v>12580</v>
      </c>
      <c r="D68" s="60" t="s">
        <v>11290</v>
      </c>
      <c r="E68" s="242">
        <v>10</v>
      </c>
      <c r="F68" s="244">
        <f>(9546.34+212400)/79*10</f>
        <v>28094.473417721521</v>
      </c>
      <c r="G68" s="244">
        <v>11604.35</v>
      </c>
      <c r="H68" s="242">
        <v>5541.7</v>
      </c>
      <c r="I68" s="243">
        <v>42367</v>
      </c>
      <c r="J68" s="242" t="s">
        <v>17797</v>
      </c>
      <c r="K68" s="242"/>
      <c r="L68" s="66"/>
      <c r="M68" s="242" t="s">
        <v>13904</v>
      </c>
      <c r="N68" s="242" t="s">
        <v>19388</v>
      </c>
      <c r="O68" s="41"/>
    </row>
    <row r="69" spans="1:15" ht="108" customHeight="1" x14ac:dyDescent="0.3">
      <c r="A69" s="242">
        <v>65</v>
      </c>
      <c r="B69" s="242" t="s">
        <v>11915</v>
      </c>
      <c r="C69" s="242" t="s">
        <v>12580</v>
      </c>
      <c r="D69" s="60" t="s">
        <v>11291</v>
      </c>
      <c r="E69" s="242">
        <v>16</v>
      </c>
      <c r="F69" s="11">
        <f>(9546.34+212400)/79*16</f>
        <v>44951.157468354431</v>
      </c>
      <c r="G69" s="11">
        <v>18566.95</v>
      </c>
      <c r="H69" s="242">
        <v>8866.7199999999993</v>
      </c>
      <c r="I69" s="3">
        <v>42367</v>
      </c>
      <c r="J69" s="2" t="s">
        <v>17795</v>
      </c>
      <c r="K69" s="2"/>
      <c r="L69" s="66"/>
      <c r="M69" s="201" t="s">
        <v>12550</v>
      </c>
      <c r="N69" s="2" t="s">
        <v>19384</v>
      </c>
      <c r="O69" s="41"/>
    </row>
    <row r="70" spans="1:15" ht="72" customHeight="1" x14ac:dyDescent="0.3">
      <c r="A70" s="242">
        <v>66</v>
      </c>
      <c r="B70" s="242" t="s">
        <v>11916</v>
      </c>
      <c r="C70" s="242" t="s">
        <v>12580</v>
      </c>
      <c r="D70" s="60" t="s">
        <v>11292</v>
      </c>
      <c r="E70" s="242">
        <v>19</v>
      </c>
      <c r="F70" s="244">
        <f>(9546.34+212400)/79*19</f>
        <v>53379.49949367089</v>
      </c>
      <c r="G70" s="244">
        <v>22048.26</v>
      </c>
      <c r="H70" s="242">
        <v>10529.23</v>
      </c>
      <c r="I70" s="243">
        <v>42367</v>
      </c>
      <c r="J70" s="242" t="s">
        <v>12271</v>
      </c>
      <c r="K70" s="242"/>
      <c r="L70" s="66"/>
      <c r="M70" s="201" t="s">
        <v>12550</v>
      </c>
      <c r="N70" s="242" t="s">
        <v>19384</v>
      </c>
      <c r="O70" s="41"/>
    </row>
    <row r="71" spans="1:15" ht="108" customHeight="1" x14ac:dyDescent="0.3">
      <c r="A71" s="242">
        <v>67</v>
      </c>
      <c r="B71" s="242" t="s">
        <v>11917</v>
      </c>
      <c r="C71" s="242" t="s">
        <v>12580</v>
      </c>
      <c r="D71" s="60" t="s">
        <v>11293</v>
      </c>
      <c r="E71" s="2">
        <v>16</v>
      </c>
      <c r="F71" s="11">
        <f>(9546.34+212400)/79*16</f>
        <v>44951.157468354431</v>
      </c>
      <c r="G71" s="244">
        <v>18566.95</v>
      </c>
      <c r="H71" s="242">
        <v>8866.7199999999993</v>
      </c>
      <c r="I71" s="3">
        <v>42367</v>
      </c>
      <c r="J71" s="2" t="s">
        <v>17289</v>
      </c>
      <c r="K71" s="2"/>
      <c r="L71" s="66"/>
      <c r="M71" s="201" t="s">
        <v>12550</v>
      </c>
      <c r="N71" s="2" t="s">
        <v>19384</v>
      </c>
      <c r="O71" s="41"/>
    </row>
    <row r="72" spans="1:15" ht="108" customHeight="1" x14ac:dyDescent="0.3">
      <c r="A72" s="242">
        <v>68</v>
      </c>
      <c r="B72" s="242" t="s">
        <v>11918</v>
      </c>
      <c r="C72" s="242" t="s">
        <v>12580</v>
      </c>
      <c r="D72" s="60" t="s">
        <v>11294</v>
      </c>
      <c r="E72" s="2">
        <v>18</v>
      </c>
      <c r="F72" s="244">
        <f>(9546.34+212400)/79*18</f>
        <v>50570.052151898737</v>
      </c>
      <c r="G72" s="244">
        <v>20887.82</v>
      </c>
      <c r="H72" s="242">
        <v>9975.06</v>
      </c>
      <c r="I72" s="3">
        <v>42367</v>
      </c>
      <c r="J72" s="2" t="s">
        <v>17796</v>
      </c>
      <c r="K72" s="2"/>
      <c r="L72" s="66"/>
      <c r="M72" s="201" t="s">
        <v>12550</v>
      </c>
      <c r="N72" s="2" t="s">
        <v>19384</v>
      </c>
      <c r="O72" s="41"/>
    </row>
    <row r="73" spans="1:15" ht="72" customHeight="1" x14ac:dyDescent="0.3">
      <c r="A73" s="242">
        <v>69</v>
      </c>
      <c r="B73" s="242" t="s">
        <v>11499</v>
      </c>
      <c r="C73" s="242" t="s">
        <v>11531</v>
      </c>
      <c r="D73" s="60" t="s">
        <v>11530</v>
      </c>
      <c r="E73" s="242">
        <v>2974</v>
      </c>
      <c r="F73" s="244">
        <v>4602116.3</v>
      </c>
      <c r="G73" s="244"/>
      <c r="H73" s="244">
        <v>4602116.3</v>
      </c>
      <c r="I73" s="243">
        <v>42108</v>
      </c>
      <c r="J73" s="242" t="s">
        <v>16400</v>
      </c>
      <c r="K73" s="242"/>
      <c r="L73" s="66"/>
      <c r="M73" s="242" t="s">
        <v>15722</v>
      </c>
      <c r="N73" s="207"/>
      <c r="O73" s="66" t="s">
        <v>11937</v>
      </c>
    </row>
    <row r="74" spans="1:15" ht="192.6" customHeight="1" x14ac:dyDescent="0.3">
      <c r="A74" s="242">
        <v>70</v>
      </c>
      <c r="B74" s="242" t="s">
        <v>12311</v>
      </c>
      <c r="C74" s="242" t="s">
        <v>11498</v>
      </c>
      <c r="D74" s="60" t="s">
        <v>20546</v>
      </c>
      <c r="E74" s="2">
        <v>632.5</v>
      </c>
      <c r="F74" s="244"/>
      <c r="G74" s="244"/>
      <c r="H74" s="50">
        <v>6389293.6299999999</v>
      </c>
      <c r="I74" s="3">
        <v>40358</v>
      </c>
      <c r="J74" s="2" t="s">
        <v>20547</v>
      </c>
      <c r="K74" s="242" t="s">
        <v>23114</v>
      </c>
      <c r="L74" s="66" t="s">
        <v>23115</v>
      </c>
      <c r="M74" s="201" t="s">
        <v>12550</v>
      </c>
      <c r="N74" s="23"/>
      <c r="O74" s="41"/>
    </row>
    <row r="75" spans="1:15" ht="96" customHeight="1" x14ac:dyDescent="0.3">
      <c r="A75" s="242">
        <v>71</v>
      </c>
      <c r="B75" s="242" t="s">
        <v>11499</v>
      </c>
      <c r="C75" s="242" t="s">
        <v>11498</v>
      </c>
      <c r="D75" s="60" t="s">
        <v>11529</v>
      </c>
      <c r="E75" s="242">
        <v>2211</v>
      </c>
      <c r="F75" s="98">
        <v>3495480.45</v>
      </c>
      <c r="G75" s="244"/>
      <c r="H75" s="244">
        <v>3495480.45</v>
      </c>
      <c r="I75" s="243">
        <v>42108</v>
      </c>
      <c r="J75" s="242" t="s">
        <v>11532</v>
      </c>
      <c r="K75" s="242"/>
      <c r="L75" s="66"/>
      <c r="M75" s="242" t="s">
        <v>15722</v>
      </c>
      <c r="N75" s="207"/>
      <c r="O75" s="245" t="s">
        <v>11937</v>
      </c>
    </row>
    <row r="76" spans="1:15" ht="84" customHeight="1" x14ac:dyDescent="0.3">
      <c r="A76" s="242">
        <v>72</v>
      </c>
      <c r="B76" s="242" t="s">
        <v>11844</v>
      </c>
      <c r="C76" s="242" t="s">
        <v>12580</v>
      </c>
      <c r="D76" s="60" t="s">
        <v>18867</v>
      </c>
      <c r="E76" s="242"/>
      <c r="F76" s="244">
        <v>2961987.75</v>
      </c>
      <c r="G76" s="244">
        <v>604890.17000000004</v>
      </c>
      <c r="H76" s="28" t="s">
        <v>14</v>
      </c>
      <c r="I76" s="3">
        <v>40500</v>
      </c>
      <c r="J76" s="242" t="s">
        <v>18868</v>
      </c>
      <c r="K76" s="242"/>
      <c r="L76" s="66"/>
      <c r="M76" s="201" t="s">
        <v>12550</v>
      </c>
      <c r="N76" s="242" t="s">
        <v>19384</v>
      </c>
      <c r="O76" s="41"/>
    </row>
    <row r="77" spans="1:15" ht="72" customHeight="1" x14ac:dyDescent="0.3">
      <c r="A77" s="242">
        <v>73</v>
      </c>
      <c r="B77" s="2" t="s">
        <v>11908</v>
      </c>
      <c r="C77" s="242" t="s">
        <v>11909</v>
      </c>
      <c r="D77" s="242"/>
      <c r="E77" s="242">
        <v>623.5</v>
      </c>
      <c r="F77" s="244">
        <v>201291.37</v>
      </c>
      <c r="G77" s="244">
        <v>160769.07</v>
      </c>
      <c r="H77" s="242"/>
      <c r="I77" s="243">
        <v>40500</v>
      </c>
      <c r="J77" s="242" t="s">
        <v>11171</v>
      </c>
      <c r="K77" s="242"/>
      <c r="L77" s="66"/>
      <c r="M77" s="201" t="s">
        <v>12550</v>
      </c>
      <c r="N77" s="242" t="s">
        <v>19384</v>
      </c>
      <c r="O77" s="41"/>
    </row>
    <row r="78" spans="1:15" ht="96" customHeight="1" x14ac:dyDescent="0.3">
      <c r="A78" s="242">
        <v>74</v>
      </c>
      <c r="B78" s="242" t="s">
        <v>12040</v>
      </c>
      <c r="C78" s="242" t="s">
        <v>169</v>
      </c>
      <c r="D78" s="60" t="s">
        <v>170</v>
      </c>
      <c r="E78" s="242">
        <v>843.8</v>
      </c>
      <c r="F78" s="25">
        <f>6041454.98+275051.53</f>
        <v>6316506.5100000007</v>
      </c>
      <c r="G78" s="244">
        <v>4299918.74</v>
      </c>
      <c r="H78" s="244">
        <v>10211667.6</v>
      </c>
      <c r="I78" s="243">
        <v>42222</v>
      </c>
      <c r="J78" s="242" t="s">
        <v>12308</v>
      </c>
      <c r="K78" s="242"/>
      <c r="L78" s="66"/>
      <c r="M78" s="242" t="s">
        <v>13904</v>
      </c>
      <c r="N78" s="242" t="s">
        <v>19389</v>
      </c>
      <c r="O78" s="41"/>
    </row>
    <row r="79" spans="1:15" ht="72" customHeight="1" x14ac:dyDescent="0.3">
      <c r="A79" s="242">
        <v>75</v>
      </c>
      <c r="B79" s="242" t="s">
        <v>177</v>
      </c>
      <c r="C79" s="242" t="s">
        <v>12581</v>
      </c>
      <c r="D79" s="60" t="s">
        <v>178</v>
      </c>
      <c r="E79" s="242"/>
      <c r="F79" s="244">
        <v>13428263</v>
      </c>
      <c r="G79" s="244">
        <v>12891133</v>
      </c>
      <c r="H79" s="249" t="s">
        <v>20904</v>
      </c>
      <c r="I79" s="3">
        <v>42174</v>
      </c>
      <c r="J79" s="242" t="s">
        <v>12012</v>
      </c>
      <c r="K79" s="242"/>
      <c r="L79" s="66"/>
      <c r="M79" s="201" t="s">
        <v>12550</v>
      </c>
      <c r="N79" s="242"/>
      <c r="O79" s="41"/>
    </row>
    <row r="80" spans="1:15" ht="96" customHeight="1" x14ac:dyDescent="0.3">
      <c r="A80" s="242">
        <v>76</v>
      </c>
      <c r="B80" s="242" t="s">
        <v>19534</v>
      </c>
      <c r="C80" s="242" t="s">
        <v>8</v>
      </c>
      <c r="D80" s="60" t="s">
        <v>19535</v>
      </c>
      <c r="E80" s="242">
        <v>112</v>
      </c>
      <c r="F80" s="244">
        <v>9940.74</v>
      </c>
      <c r="G80" s="244">
        <v>9940.74</v>
      </c>
      <c r="H80" s="46" t="s">
        <v>20905</v>
      </c>
      <c r="I80" s="243">
        <v>40500</v>
      </c>
      <c r="J80" s="242" t="s">
        <v>19536</v>
      </c>
      <c r="K80" s="242"/>
      <c r="L80" s="66"/>
      <c r="M80" s="201" t="s">
        <v>12550</v>
      </c>
      <c r="N80" s="242" t="s">
        <v>19384</v>
      </c>
      <c r="O80" s="41"/>
    </row>
    <row r="81" spans="1:26" ht="108" customHeight="1" x14ac:dyDescent="0.3">
      <c r="A81" s="242">
        <v>77</v>
      </c>
      <c r="B81" s="242" t="s">
        <v>12041</v>
      </c>
      <c r="C81" s="242" t="s">
        <v>174</v>
      </c>
      <c r="D81" s="60" t="s">
        <v>175</v>
      </c>
      <c r="E81" s="2">
        <v>185.1</v>
      </c>
      <c r="F81" s="25">
        <f>1438781.98+1327.23</f>
        <v>1440109.21</v>
      </c>
      <c r="G81" s="11">
        <v>156213.18</v>
      </c>
      <c r="H81" s="207" t="s">
        <v>176</v>
      </c>
      <c r="I81" s="3">
        <v>41271</v>
      </c>
      <c r="J81" s="2" t="s">
        <v>12310</v>
      </c>
      <c r="K81" s="2"/>
      <c r="L81" s="66"/>
      <c r="M81" s="201" t="s">
        <v>12550</v>
      </c>
      <c r="N81" s="242" t="s">
        <v>19384</v>
      </c>
      <c r="O81" s="41"/>
    </row>
    <row r="82" spans="1:26" ht="96" customHeight="1" x14ac:dyDescent="0.3">
      <c r="A82" s="242">
        <v>78</v>
      </c>
      <c r="B82" s="242" t="s">
        <v>11836</v>
      </c>
      <c r="C82" s="242" t="s">
        <v>15351</v>
      </c>
      <c r="D82" s="60" t="s">
        <v>11241</v>
      </c>
      <c r="E82" s="2">
        <v>430.6</v>
      </c>
      <c r="F82" s="25">
        <v>2415415.67</v>
      </c>
      <c r="G82" s="11">
        <v>583530.75</v>
      </c>
      <c r="H82" s="68">
        <v>7621964.4800000004</v>
      </c>
      <c r="I82" s="3" t="s">
        <v>12259</v>
      </c>
      <c r="J82" s="2" t="s">
        <v>12260</v>
      </c>
      <c r="K82" s="242"/>
      <c r="L82" s="66"/>
      <c r="M82" s="242" t="s">
        <v>13904</v>
      </c>
      <c r="N82" s="242" t="s">
        <v>19390</v>
      </c>
      <c r="O82" s="41"/>
    </row>
    <row r="83" spans="1:26" ht="72" customHeight="1" x14ac:dyDescent="0.3">
      <c r="A83" s="242">
        <v>79</v>
      </c>
      <c r="B83" s="242" t="s">
        <v>11296</v>
      </c>
      <c r="C83" s="242" t="s">
        <v>11238</v>
      </c>
      <c r="D83" s="60" t="s">
        <v>11295</v>
      </c>
      <c r="E83" s="2">
        <v>92</v>
      </c>
      <c r="F83" s="25">
        <v>916374.03</v>
      </c>
      <c r="G83" s="11">
        <v>168812.24</v>
      </c>
      <c r="H83" s="50">
        <v>426710.72</v>
      </c>
      <c r="I83" s="3">
        <v>42367</v>
      </c>
      <c r="J83" s="2" t="s">
        <v>12263</v>
      </c>
      <c r="K83" s="242"/>
      <c r="L83" s="66"/>
      <c r="M83" s="201" t="s">
        <v>12550</v>
      </c>
      <c r="N83" s="242" t="s">
        <v>19384</v>
      </c>
      <c r="O83" s="41"/>
    </row>
    <row r="84" spans="1:26" ht="72" customHeight="1" x14ac:dyDescent="0.3">
      <c r="A84" s="242">
        <v>80</v>
      </c>
      <c r="B84" s="242" t="s">
        <v>11935</v>
      </c>
      <c r="C84" s="242" t="s">
        <v>15351</v>
      </c>
      <c r="D84" s="60" t="s">
        <v>11239</v>
      </c>
      <c r="E84" s="2"/>
      <c r="F84" s="11">
        <f>714774.78/2</f>
        <v>357387.39</v>
      </c>
      <c r="G84" s="242">
        <v>119192.74</v>
      </c>
      <c r="H84" s="50">
        <v>1855264</v>
      </c>
      <c r="I84" s="3">
        <v>42367</v>
      </c>
      <c r="J84" s="2" t="s">
        <v>12261</v>
      </c>
      <c r="K84" s="2"/>
      <c r="L84" s="66"/>
      <c r="M84" s="201" t="s">
        <v>12550</v>
      </c>
      <c r="N84" s="242" t="s">
        <v>19384</v>
      </c>
      <c r="O84" s="41"/>
    </row>
    <row r="85" spans="1:26" ht="96" customHeight="1" x14ac:dyDescent="0.3">
      <c r="A85" s="242">
        <v>81</v>
      </c>
      <c r="B85" s="242" t="s">
        <v>11834</v>
      </c>
      <c r="C85" s="242" t="s">
        <v>10</v>
      </c>
      <c r="D85" s="60" t="s">
        <v>171</v>
      </c>
      <c r="E85" s="242">
        <v>393</v>
      </c>
      <c r="F85" s="25">
        <v>55733.37</v>
      </c>
      <c r="G85" s="244">
        <v>25669.75</v>
      </c>
      <c r="H85" s="242">
        <v>4999942.5</v>
      </c>
      <c r="I85" s="243">
        <v>42223</v>
      </c>
      <c r="J85" s="242" t="s">
        <v>12309</v>
      </c>
      <c r="K85" s="242"/>
      <c r="L85" s="66"/>
      <c r="M85" s="242" t="s">
        <v>13904</v>
      </c>
      <c r="N85" s="242" t="s">
        <v>19391</v>
      </c>
      <c r="O85" s="41"/>
    </row>
    <row r="86" spans="1:26" ht="144" customHeight="1" x14ac:dyDescent="0.3">
      <c r="A86" s="242">
        <v>82</v>
      </c>
      <c r="B86" s="242" t="s">
        <v>11919</v>
      </c>
      <c r="C86" s="242" t="s">
        <v>11224</v>
      </c>
      <c r="D86" s="60" t="s">
        <v>12268</v>
      </c>
      <c r="E86" s="2">
        <v>904</v>
      </c>
      <c r="F86" s="244">
        <v>102584.5</v>
      </c>
      <c r="G86" s="11">
        <v>47095.39</v>
      </c>
      <c r="H86" s="242">
        <v>453383.12</v>
      </c>
      <c r="I86" s="3">
        <v>40500</v>
      </c>
      <c r="J86" s="2" t="s">
        <v>12269</v>
      </c>
      <c r="K86" s="2"/>
      <c r="L86" s="66"/>
      <c r="M86" s="201" t="s">
        <v>12550</v>
      </c>
      <c r="N86" s="242" t="s">
        <v>19767</v>
      </c>
      <c r="O86" s="41"/>
    </row>
    <row r="87" spans="1:26" ht="72" customHeight="1" x14ac:dyDescent="0.3">
      <c r="A87" s="242">
        <v>83</v>
      </c>
      <c r="B87" s="242" t="s">
        <v>11851</v>
      </c>
      <c r="C87" s="242" t="s">
        <v>11224</v>
      </c>
      <c r="D87" s="60" t="s">
        <v>11223</v>
      </c>
      <c r="E87" s="2">
        <v>308</v>
      </c>
      <c r="F87" s="25">
        <v>554199.14</v>
      </c>
      <c r="G87" s="11">
        <v>109748.33</v>
      </c>
      <c r="H87" s="242">
        <v>154471.24</v>
      </c>
      <c r="I87" s="3">
        <v>42367</v>
      </c>
      <c r="J87" s="245" t="s">
        <v>12267</v>
      </c>
      <c r="K87" s="2"/>
      <c r="L87" s="66"/>
      <c r="M87" s="201" t="s">
        <v>12550</v>
      </c>
      <c r="N87" s="242" t="s">
        <v>19384</v>
      </c>
      <c r="O87" s="41"/>
      <c r="Q87" s="192"/>
      <c r="R87" s="192"/>
      <c r="S87" s="192"/>
      <c r="T87" s="192"/>
      <c r="U87" s="192"/>
      <c r="V87" s="192"/>
      <c r="W87" s="192"/>
      <c r="X87" s="192"/>
      <c r="Y87" s="192"/>
      <c r="Z87" s="192"/>
    </row>
    <row r="88" spans="1:26" s="192" customFormat="1" ht="409.6" x14ac:dyDescent="0.3">
      <c r="A88" s="245">
        <v>84</v>
      </c>
      <c r="B88" s="245" t="s">
        <v>11488</v>
      </c>
      <c r="C88" s="245" t="s">
        <v>12</v>
      </c>
      <c r="D88" s="86" t="s">
        <v>11489</v>
      </c>
      <c r="E88" s="245" t="s">
        <v>13</v>
      </c>
      <c r="F88" s="20">
        <v>1377717.83</v>
      </c>
      <c r="G88" s="20">
        <v>457109.26</v>
      </c>
      <c r="H88" s="245"/>
      <c r="I88" s="75">
        <v>38768</v>
      </c>
      <c r="J88" s="66" t="s">
        <v>12013</v>
      </c>
      <c r="K88" s="245"/>
      <c r="L88" s="66"/>
      <c r="M88" s="201" t="s">
        <v>12550</v>
      </c>
      <c r="N88" s="245" t="s">
        <v>23496</v>
      </c>
      <c r="O88" s="41"/>
      <c r="Q88" s="67"/>
      <c r="R88" s="67"/>
      <c r="S88" s="67"/>
      <c r="T88" s="67"/>
      <c r="U88" s="67"/>
      <c r="V88" s="67"/>
      <c r="W88" s="67"/>
      <c r="X88" s="67"/>
      <c r="Y88" s="67"/>
      <c r="Z88" s="67"/>
    </row>
    <row r="89" spans="1:26" ht="72" customHeight="1" x14ac:dyDescent="0.3">
      <c r="A89" s="242">
        <v>85</v>
      </c>
      <c r="B89" s="242" t="s">
        <v>11845</v>
      </c>
      <c r="C89" s="242" t="s">
        <v>6</v>
      </c>
      <c r="D89" s="60" t="s">
        <v>11225</v>
      </c>
      <c r="E89" s="242">
        <v>233</v>
      </c>
      <c r="F89" s="25">
        <v>60750.82</v>
      </c>
      <c r="G89" s="244">
        <v>12806.85</v>
      </c>
      <c r="H89" s="68">
        <v>116856.49</v>
      </c>
      <c r="I89" s="3">
        <v>42367</v>
      </c>
      <c r="J89" s="66" t="s">
        <v>12265</v>
      </c>
      <c r="K89" s="242"/>
      <c r="L89" s="66"/>
      <c r="M89" s="201" t="s">
        <v>12550</v>
      </c>
      <c r="N89" s="242" t="s">
        <v>19384</v>
      </c>
      <c r="O89" s="41"/>
    </row>
    <row r="90" spans="1:26" ht="96" customHeight="1" x14ac:dyDescent="0.3">
      <c r="A90" s="242">
        <v>87</v>
      </c>
      <c r="B90" s="242" t="s">
        <v>21188</v>
      </c>
      <c r="C90" s="242" t="s">
        <v>12582</v>
      </c>
      <c r="D90" s="60" t="s">
        <v>11229</v>
      </c>
      <c r="E90" s="2"/>
      <c r="F90" s="244">
        <v>0.01</v>
      </c>
      <c r="G90" s="244">
        <v>0.01</v>
      </c>
      <c r="H90" s="50">
        <v>3319.55</v>
      </c>
      <c r="I90" s="243">
        <v>42363</v>
      </c>
      <c r="J90" s="242" t="s">
        <v>12284</v>
      </c>
      <c r="K90" s="242"/>
      <c r="L90" s="66"/>
      <c r="M90" s="242" t="s">
        <v>13904</v>
      </c>
      <c r="N90" s="242" t="s">
        <v>19392</v>
      </c>
      <c r="O90" s="38"/>
    </row>
    <row r="91" spans="1:26" ht="72" customHeight="1" x14ac:dyDescent="0.3">
      <c r="A91" s="242">
        <v>88</v>
      </c>
      <c r="B91" s="242" t="s">
        <v>11270</v>
      </c>
      <c r="C91" s="242" t="s">
        <v>12582</v>
      </c>
      <c r="D91" s="60" t="s">
        <v>11269</v>
      </c>
      <c r="E91" s="242">
        <v>125</v>
      </c>
      <c r="F91" s="11">
        <f>1219264.6/749*E91</f>
        <v>203482.07610146864</v>
      </c>
      <c r="G91" s="244">
        <v>83159.88</v>
      </c>
      <c r="H91" s="50">
        <v>20362.5</v>
      </c>
      <c r="I91" s="243">
        <v>42366</v>
      </c>
      <c r="J91" s="242" t="s">
        <v>12291</v>
      </c>
      <c r="K91" s="242"/>
      <c r="L91" s="66"/>
      <c r="M91" s="201" t="s">
        <v>12550</v>
      </c>
      <c r="N91" s="242" t="s">
        <v>19384</v>
      </c>
      <c r="O91" s="41"/>
    </row>
    <row r="92" spans="1:26" ht="72" customHeight="1" x14ac:dyDescent="0.3">
      <c r="A92" s="242">
        <v>89</v>
      </c>
      <c r="B92" s="242" t="s">
        <v>11271</v>
      </c>
      <c r="C92" s="242" t="s">
        <v>12582</v>
      </c>
      <c r="D92" s="60" t="s">
        <v>11272</v>
      </c>
      <c r="E92" s="242">
        <v>124</v>
      </c>
      <c r="F92" s="244">
        <f>1219264.6/749*E92</f>
        <v>201854.21949265688</v>
      </c>
      <c r="G92" s="244">
        <v>82494.61</v>
      </c>
      <c r="H92" s="50">
        <v>20199.599999999999</v>
      </c>
      <c r="I92" s="243">
        <v>42364</v>
      </c>
      <c r="J92" s="242" t="s">
        <v>12292</v>
      </c>
      <c r="K92" s="242"/>
      <c r="L92" s="66"/>
      <c r="M92" s="201" t="s">
        <v>12550</v>
      </c>
      <c r="N92" s="242" t="s">
        <v>19384</v>
      </c>
      <c r="O92" s="41"/>
    </row>
    <row r="93" spans="1:26" ht="72" customHeight="1" x14ac:dyDescent="0.3">
      <c r="A93" s="242">
        <v>90</v>
      </c>
      <c r="B93" s="242" t="s">
        <v>11274</v>
      </c>
      <c r="C93" s="242" t="s">
        <v>12582</v>
      </c>
      <c r="D93" s="60" t="s">
        <v>11275</v>
      </c>
      <c r="E93" s="2">
        <v>14</v>
      </c>
      <c r="F93" s="11">
        <f>1219264.6/749*E93</f>
        <v>22789.992523364486</v>
      </c>
      <c r="G93" s="11">
        <v>9313.91</v>
      </c>
      <c r="H93" s="50">
        <v>142931.46</v>
      </c>
      <c r="I93" s="3">
        <v>42363</v>
      </c>
      <c r="J93" s="2" t="s">
        <v>12294</v>
      </c>
      <c r="K93" s="2"/>
      <c r="L93" s="66"/>
      <c r="M93" s="201" t="s">
        <v>12550</v>
      </c>
      <c r="N93" s="242" t="s">
        <v>19384</v>
      </c>
      <c r="O93" s="41"/>
    </row>
    <row r="94" spans="1:26" ht="96" customHeight="1" x14ac:dyDescent="0.3">
      <c r="A94" s="242">
        <v>91</v>
      </c>
      <c r="B94" s="242" t="s">
        <v>11242</v>
      </c>
      <c r="C94" s="242" t="s">
        <v>12582</v>
      </c>
      <c r="D94" s="60" t="s">
        <v>11273</v>
      </c>
      <c r="E94" s="2">
        <v>486</v>
      </c>
      <c r="F94" s="11">
        <f>1219264.6/749*E94</f>
        <v>791138.31188251008</v>
      </c>
      <c r="G94" s="11">
        <v>323325.63</v>
      </c>
      <c r="H94" s="46" t="s">
        <v>20906</v>
      </c>
      <c r="I94" s="3">
        <v>42363</v>
      </c>
      <c r="J94" s="2" t="s">
        <v>12293</v>
      </c>
      <c r="K94" s="2"/>
      <c r="L94" s="66"/>
      <c r="M94" s="242" t="s">
        <v>13904</v>
      </c>
      <c r="N94" s="242" t="s">
        <v>19393</v>
      </c>
      <c r="O94" s="41"/>
    </row>
    <row r="95" spans="1:26" ht="84" customHeight="1" x14ac:dyDescent="0.3">
      <c r="A95" s="242">
        <v>92</v>
      </c>
      <c r="B95" s="242" t="s">
        <v>12314</v>
      </c>
      <c r="C95" s="242" t="s">
        <v>12583</v>
      </c>
      <c r="D95" s="60" t="s">
        <v>17831</v>
      </c>
      <c r="E95" s="2">
        <v>104.6</v>
      </c>
      <c r="F95" s="11">
        <v>21386.43</v>
      </c>
      <c r="G95" s="11">
        <v>2908.54</v>
      </c>
      <c r="H95" s="50">
        <v>784661.08</v>
      </c>
      <c r="I95" s="3" t="s">
        <v>205</v>
      </c>
      <c r="J95" s="2" t="s">
        <v>18172</v>
      </c>
      <c r="K95" s="2"/>
      <c r="L95" s="66"/>
      <c r="M95" s="201" t="s">
        <v>12550</v>
      </c>
      <c r="N95" s="242" t="s">
        <v>19765</v>
      </c>
      <c r="O95" s="38"/>
    </row>
    <row r="96" spans="1:26" ht="96" customHeight="1" x14ac:dyDescent="0.3">
      <c r="A96" s="242">
        <v>93</v>
      </c>
      <c r="B96" s="242" t="s">
        <v>11853</v>
      </c>
      <c r="C96" s="242" t="s">
        <v>12584</v>
      </c>
      <c r="D96" s="60" t="s">
        <v>11245</v>
      </c>
      <c r="E96" s="2">
        <v>361.1</v>
      </c>
      <c r="F96" s="11">
        <v>824992.52</v>
      </c>
      <c r="G96" s="11">
        <v>743572.37</v>
      </c>
      <c r="H96" s="50">
        <v>2295111.88</v>
      </c>
      <c r="I96" s="3">
        <v>40500</v>
      </c>
      <c r="J96" s="2" t="s">
        <v>11171</v>
      </c>
      <c r="K96" s="2"/>
      <c r="L96" s="66"/>
      <c r="M96" s="242" t="s">
        <v>13904</v>
      </c>
      <c r="N96" s="242" t="s">
        <v>19394</v>
      </c>
      <c r="O96" s="41"/>
    </row>
    <row r="97" spans="1:26" ht="72" customHeight="1" x14ac:dyDescent="0.3">
      <c r="A97" s="242">
        <v>94</v>
      </c>
      <c r="B97" s="242" t="s">
        <v>11276</v>
      </c>
      <c r="C97" s="242" t="s">
        <v>12584</v>
      </c>
      <c r="D97" s="60" t="s">
        <v>11285</v>
      </c>
      <c r="E97" s="242">
        <v>157</v>
      </c>
      <c r="F97" s="244">
        <f>76546.41/839*E97</f>
        <v>14323.94084624553</v>
      </c>
      <c r="G97" s="244">
        <v>3485.46</v>
      </c>
      <c r="H97" s="50">
        <v>25575.3</v>
      </c>
      <c r="I97" s="243">
        <v>42364</v>
      </c>
      <c r="J97" s="242" t="s">
        <v>12295</v>
      </c>
      <c r="K97" s="242"/>
      <c r="L97" s="66"/>
      <c r="M97" s="201" t="s">
        <v>12550</v>
      </c>
      <c r="N97" s="242" t="s">
        <v>19384</v>
      </c>
      <c r="O97" s="41"/>
    </row>
    <row r="98" spans="1:26" ht="96" customHeight="1" x14ac:dyDescent="0.3">
      <c r="A98" s="242">
        <v>95</v>
      </c>
      <c r="B98" s="242" t="s">
        <v>11277</v>
      </c>
      <c r="C98" s="242" t="s">
        <v>12584</v>
      </c>
      <c r="D98" s="60" t="s">
        <v>11278</v>
      </c>
      <c r="E98" s="242">
        <v>470</v>
      </c>
      <c r="F98" s="244">
        <f>76546.41/839*E98</f>
        <v>42880.587246722287</v>
      </c>
      <c r="G98" s="244">
        <v>10434.17</v>
      </c>
      <c r="H98" s="50">
        <v>216638.64</v>
      </c>
      <c r="I98" s="243">
        <v>42364</v>
      </c>
      <c r="J98" s="242" t="s">
        <v>12296</v>
      </c>
      <c r="K98" s="242"/>
      <c r="L98" s="66"/>
      <c r="M98" s="242" t="s">
        <v>13904</v>
      </c>
      <c r="N98" s="242" t="s">
        <v>19395</v>
      </c>
      <c r="O98" s="41"/>
    </row>
    <row r="99" spans="1:26" ht="72" customHeight="1" x14ac:dyDescent="0.3">
      <c r="A99" s="242">
        <v>96</v>
      </c>
      <c r="B99" s="242" t="s">
        <v>11279</v>
      </c>
      <c r="C99" s="242" t="s">
        <v>12584</v>
      </c>
      <c r="D99" s="60" t="s">
        <v>11280</v>
      </c>
      <c r="E99" s="242">
        <v>29</v>
      </c>
      <c r="F99" s="244">
        <f>76546.41/839*E99</f>
        <v>2645.8234684147797</v>
      </c>
      <c r="G99" s="244">
        <v>643.80999999999995</v>
      </c>
      <c r="H99" s="50">
        <v>184320.81</v>
      </c>
      <c r="I99" s="3">
        <v>42364</v>
      </c>
      <c r="J99" s="242" t="s">
        <v>12297</v>
      </c>
      <c r="K99" s="242"/>
      <c r="L99" s="66"/>
      <c r="M99" s="201" t="s">
        <v>12550</v>
      </c>
      <c r="N99" s="242" t="s">
        <v>19384</v>
      </c>
      <c r="O99" s="41"/>
    </row>
    <row r="100" spans="1:26" ht="72" customHeight="1" x14ac:dyDescent="0.3">
      <c r="A100" s="242">
        <v>97</v>
      </c>
      <c r="B100" s="242" t="s">
        <v>11281</v>
      </c>
      <c r="C100" s="242" t="s">
        <v>12584</v>
      </c>
      <c r="D100" s="60" t="s">
        <v>11282</v>
      </c>
      <c r="E100" s="242">
        <v>161</v>
      </c>
      <c r="F100" s="244">
        <f>76546.41/839*E100</f>
        <v>14688.882014302742</v>
      </c>
      <c r="G100" s="244">
        <v>3574.26</v>
      </c>
      <c r="H100" s="98">
        <v>26226.9</v>
      </c>
      <c r="I100" s="243">
        <v>42366</v>
      </c>
      <c r="J100" s="242" t="s">
        <v>12298</v>
      </c>
      <c r="K100" s="242"/>
      <c r="L100" s="66"/>
      <c r="M100" s="201" t="s">
        <v>12550</v>
      </c>
      <c r="N100" s="242" t="s">
        <v>19384</v>
      </c>
      <c r="O100" s="41"/>
    </row>
    <row r="101" spans="1:26" ht="72" customHeight="1" x14ac:dyDescent="0.3">
      <c r="A101" s="242">
        <v>98</v>
      </c>
      <c r="B101" s="242" t="s">
        <v>11283</v>
      </c>
      <c r="C101" s="242" t="s">
        <v>12584</v>
      </c>
      <c r="D101" s="60" t="s">
        <v>11284</v>
      </c>
      <c r="E101" s="242">
        <v>22</v>
      </c>
      <c r="F101" s="244">
        <f>76546.41/839*E101</f>
        <v>2007.1764243146604</v>
      </c>
      <c r="G101" s="244">
        <v>488.41</v>
      </c>
      <c r="H101" s="98">
        <v>139829.57999999999</v>
      </c>
      <c r="I101" s="243">
        <v>42366</v>
      </c>
      <c r="J101" s="242" t="s">
        <v>12299</v>
      </c>
      <c r="K101" s="242"/>
      <c r="L101" s="66"/>
      <c r="M101" s="201" t="s">
        <v>12550</v>
      </c>
      <c r="N101" s="242" t="s">
        <v>19384</v>
      </c>
      <c r="O101" s="41"/>
    </row>
    <row r="102" spans="1:26" ht="72" customHeight="1" x14ac:dyDescent="0.3">
      <c r="A102" s="242">
        <v>99</v>
      </c>
      <c r="B102" s="2" t="s">
        <v>77</v>
      </c>
      <c r="C102" s="2" t="s">
        <v>12584</v>
      </c>
      <c r="D102" s="242"/>
      <c r="E102" s="242">
        <v>400</v>
      </c>
      <c r="F102" s="242"/>
      <c r="G102" s="242"/>
      <c r="H102" s="244"/>
      <c r="I102" s="3">
        <v>35727</v>
      </c>
      <c r="J102" s="242" t="s">
        <v>12011</v>
      </c>
      <c r="K102" s="242"/>
      <c r="L102" s="66"/>
      <c r="M102" s="201" t="s">
        <v>12550</v>
      </c>
      <c r="N102" s="242"/>
      <c r="O102" s="41"/>
    </row>
    <row r="103" spans="1:26" ht="96" customHeight="1" x14ac:dyDescent="0.3">
      <c r="A103" s="242">
        <v>100</v>
      </c>
      <c r="B103" s="242" t="s">
        <v>14258</v>
      </c>
      <c r="C103" s="242" t="s">
        <v>12585</v>
      </c>
      <c r="D103" s="60" t="s">
        <v>11237</v>
      </c>
      <c r="E103" s="2"/>
      <c r="F103" s="11">
        <v>0.01</v>
      </c>
      <c r="G103" s="244">
        <v>0.01</v>
      </c>
      <c r="H103" s="98">
        <v>3604.08</v>
      </c>
      <c r="I103" s="3">
        <v>42366</v>
      </c>
      <c r="J103" s="2" t="s">
        <v>12283</v>
      </c>
      <c r="K103" s="2"/>
      <c r="L103" s="66"/>
      <c r="M103" s="242" t="s">
        <v>13904</v>
      </c>
      <c r="N103" s="2" t="s">
        <v>19396</v>
      </c>
      <c r="O103" s="4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</row>
    <row r="104" spans="1:26" s="161" customFormat="1" ht="96" customHeight="1" x14ac:dyDescent="0.3">
      <c r="A104" s="242">
        <v>101</v>
      </c>
      <c r="B104" s="242" t="s">
        <v>14232</v>
      </c>
      <c r="C104" s="242" t="s">
        <v>12586</v>
      </c>
      <c r="D104" s="60" t="s">
        <v>95</v>
      </c>
      <c r="E104" s="242">
        <v>586.4</v>
      </c>
      <c r="F104" s="28">
        <v>777082.45</v>
      </c>
      <c r="G104" s="11">
        <v>92347.89</v>
      </c>
      <c r="H104" s="242">
        <v>4735772.26</v>
      </c>
      <c r="I104" s="243">
        <v>42258</v>
      </c>
      <c r="J104" s="242" t="s">
        <v>12014</v>
      </c>
      <c r="K104" s="242"/>
      <c r="L104" s="66"/>
      <c r="M104" s="242" t="s">
        <v>13904</v>
      </c>
      <c r="N104" s="242" t="s">
        <v>19397</v>
      </c>
      <c r="O104" s="65"/>
      <c r="Q104" s="67"/>
      <c r="R104" s="67"/>
      <c r="S104" s="67"/>
      <c r="T104" s="67"/>
      <c r="U104" s="67"/>
      <c r="V104" s="67"/>
      <c r="W104" s="67"/>
      <c r="X104" s="67"/>
      <c r="Y104" s="67"/>
      <c r="Z104" s="67"/>
    </row>
    <row r="105" spans="1:26" ht="72" customHeight="1" x14ac:dyDescent="0.3">
      <c r="A105" s="242">
        <v>102</v>
      </c>
      <c r="B105" s="242" t="s">
        <v>11858</v>
      </c>
      <c r="C105" s="242" t="s">
        <v>12587</v>
      </c>
      <c r="D105" s="60" t="s">
        <v>11297</v>
      </c>
      <c r="E105" s="2">
        <v>166</v>
      </c>
      <c r="F105" s="11">
        <f>2046834.62/976*E105</f>
        <v>348129.65872950823</v>
      </c>
      <c r="G105" s="11">
        <v>215963.87</v>
      </c>
      <c r="H105" s="98">
        <v>27041.4</v>
      </c>
      <c r="I105" s="3">
        <v>42367</v>
      </c>
      <c r="J105" s="2" t="s">
        <v>12301</v>
      </c>
      <c r="K105" s="2"/>
      <c r="L105" s="66"/>
      <c r="M105" s="201" t="s">
        <v>12550</v>
      </c>
      <c r="N105" s="2" t="s">
        <v>19384</v>
      </c>
      <c r="O105" s="41"/>
    </row>
    <row r="106" spans="1:26" ht="96" customHeight="1" x14ac:dyDescent="0.3">
      <c r="A106" s="242">
        <v>103</v>
      </c>
      <c r="B106" s="242" t="s">
        <v>11859</v>
      </c>
      <c r="C106" s="242" t="s">
        <v>12587</v>
      </c>
      <c r="D106" s="60" t="s">
        <v>11298</v>
      </c>
      <c r="E106" s="2">
        <v>374</v>
      </c>
      <c r="F106" s="244">
        <f>2046834.62/976*E106</f>
        <v>784340.31545081967</v>
      </c>
      <c r="G106" s="11">
        <v>486569.21</v>
      </c>
      <c r="H106" s="98">
        <v>128581.2</v>
      </c>
      <c r="I106" s="3">
        <v>42367</v>
      </c>
      <c r="J106" s="2" t="s">
        <v>12303</v>
      </c>
      <c r="K106" s="2"/>
      <c r="L106" s="66"/>
      <c r="M106" s="242" t="s">
        <v>13904</v>
      </c>
      <c r="N106" s="2" t="s">
        <v>19398</v>
      </c>
      <c r="O106" s="41"/>
    </row>
    <row r="107" spans="1:26" ht="72" customHeight="1" x14ac:dyDescent="0.3">
      <c r="A107" s="242">
        <v>104</v>
      </c>
      <c r="B107" s="242" t="s">
        <v>11860</v>
      </c>
      <c r="C107" s="242" t="s">
        <v>12587</v>
      </c>
      <c r="D107" s="60" t="s">
        <v>11299</v>
      </c>
      <c r="E107" s="242">
        <v>23</v>
      </c>
      <c r="F107" s="11">
        <f>2046834.62/976*E107</f>
        <v>48234.832233606561</v>
      </c>
      <c r="G107" s="11">
        <v>29922.71</v>
      </c>
      <c r="H107" s="242">
        <v>78061.539999999994</v>
      </c>
      <c r="I107" s="243">
        <v>42367</v>
      </c>
      <c r="J107" s="242" t="s">
        <v>12302</v>
      </c>
      <c r="K107" s="242"/>
      <c r="L107" s="66"/>
      <c r="M107" s="201" t="s">
        <v>12550</v>
      </c>
      <c r="N107" s="242" t="s">
        <v>19384</v>
      </c>
      <c r="O107" s="41"/>
    </row>
    <row r="108" spans="1:26" ht="72" customHeight="1" x14ac:dyDescent="0.3">
      <c r="A108" s="242">
        <v>105</v>
      </c>
      <c r="B108" s="242" t="s">
        <v>11861</v>
      </c>
      <c r="C108" s="242" t="s">
        <v>12587</v>
      </c>
      <c r="D108" s="60" t="s">
        <v>11300</v>
      </c>
      <c r="E108" s="242">
        <v>16</v>
      </c>
      <c r="F108" s="244">
        <f>2046834.62/976*E108</f>
        <v>33554.665901639346</v>
      </c>
      <c r="G108" s="244">
        <v>20815.8</v>
      </c>
      <c r="H108" s="242">
        <v>54303.68</v>
      </c>
      <c r="I108" s="243">
        <v>42367</v>
      </c>
      <c r="J108" s="242" t="s">
        <v>12300</v>
      </c>
      <c r="K108" s="242"/>
      <c r="L108" s="66"/>
      <c r="M108" s="201" t="s">
        <v>12550</v>
      </c>
      <c r="N108" s="242" t="s">
        <v>19384</v>
      </c>
      <c r="O108" s="41"/>
    </row>
    <row r="109" spans="1:26" ht="72" customHeight="1" x14ac:dyDescent="0.3">
      <c r="A109" s="242">
        <v>106</v>
      </c>
      <c r="B109" s="242" t="s">
        <v>11862</v>
      </c>
      <c r="C109" s="242" t="s">
        <v>12587</v>
      </c>
      <c r="D109" s="60" t="s">
        <v>11301</v>
      </c>
      <c r="E109" s="2">
        <v>397</v>
      </c>
      <c r="F109" s="244">
        <f>2046834.62/976*E109</f>
        <v>832575.14768442628</v>
      </c>
      <c r="G109" s="11">
        <v>516491.92</v>
      </c>
      <c r="H109" s="2">
        <v>1347410.06</v>
      </c>
      <c r="I109" s="3">
        <v>42367</v>
      </c>
      <c r="J109" s="2" t="s">
        <v>12304</v>
      </c>
      <c r="K109" s="2"/>
      <c r="L109" s="66"/>
      <c r="M109" s="201" t="s">
        <v>12550</v>
      </c>
      <c r="N109" s="2" t="s">
        <v>19384</v>
      </c>
      <c r="O109" s="41"/>
    </row>
    <row r="110" spans="1:26" ht="72" customHeight="1" x14ac:dyDescent="0.3">
      <c r="A110" s="242">
        <v>107</v>
      </c>
      <c r="B110" s="242" t="s">
        <v>11264</v>
      </c>
      <c r="C110" s="242" t="s">
        <v>12588</v>
      </c>
      <c r="D110" s="60" t="s">
        <v>11263</v>
      </c>
      <c r="E110" s="242">
        <v>58</v>
      </c>
      <c r="F110" s="244">
        <f>377907.72/213*E110</f>
        <v>102904.44957746478</v>
      </c>
      <c r="G110" s="244">
        <v>42501.05</v>
      </c>
      <c r="H110" s="98">
        <v>9448.2000000000007</v>
      </c>
      <c r="I110" s="243">
        <v>42363</v>
      </c>
      <c r="J110" s="242" t="s">
        <v>12305</v>
      </c>
      <c r="K110" s="242"/>
      <c r="L110" s="66"/>
      <c r="M110" s="201" t="s">
        <v>12550</v>
      </c>
      <c r="N110" s="242" t="s">
        <v>19384</v>
      </c>
      <c r="O110" s="41"/>
    </row>
    <row r="111" spans="1:26" ht="72" customHeight="1" x14ac:dyDescent="0.3">
      <c r="A111" s="242">
        <v>108</v>
      </c>
      <c r="B111" s="242" t="s">
        <v>11266</v>
      </c>
      <c r="C111" s="242" t="s">
        <v>12588</v>
      </c>
      <c r="D111" s="60" t="s">
        <v>11265</v>
      </c>
      <c r="E111" s="242">
        <v>20</v>
      </c>
      <c r="F111" s="244">
        <f>377907.72/213*E111</f>
        <v>35484.292957746475</v>
      </c>
      <c r="G111" s="244">
        <v>14655.54</v>
      </c>
      <c r="H111" s="98">
        <v>3258</v>
      </c>
      <c r="I111" s="243">
        <v>42367</v>
      </c>
      <c r="J111" s="242" t="s">
        <v>12307</v>
      </c>
      <c r="K111" s="242"/>
      <c r="L111" s="66"/>
      <c r="M111" s="201" t="s">
        <v>12550</v>
      </c>
      <c r="N111" s="242" t="s">
        <v>19384</v>
      </c>
      <c r="O111" s="41"/>
    </row>
    <row r="112" spans="1:26" ht="96" customHeight="1" x14ac:dyDescent="0.3">
      <c r="A112" s="242">
        <v>109</v>
      </c>
      <c r="B112" s="242" t="s">
        <v>11268</v>
      </c>
      <c r="C112" s="242" t="s">
        <v>12588</v>
      </c>
      <c r="D112" s="60" t="s">
        <v>11267</v>
      </c>
      <c r="E112" s="242">
        <v>135</v>
      </c>
      <c r="F112" s="244">
        <f>377907.72/213*E112</f>
        <v>239518.97746478871</v>
      </c>
      <c r="G112" s="244">
        <v>989244.86</v>
      </c>
      <c r="H112" s="50">
        <v>21991.5</v>
      </c>
      <c r="I112" s="243">
        <v>42367</v>
      </c>
      <c r="J112" s="242" t="s">
        <v>12306</v>
      </c>
      <c r="K112" s="242"/>
      <c r="L112" s="66"/>
      <c r="M112" s="242" t="s">
        <v>13904</v>
      </c>
      <c r="N112" s="242" t="s">
        <v>19399</v>
      </c>
      <c r="O112" s="41"/>
    </row>
    <row r="113" spans="1:15" ht="72" customHeight="1" x14ac:dyDescent="0.3">
      <c r="A113" s="242">
        <v>110</v>
      </c>
      <c r="B113" s="242" t="s">
        <v>11852</v>
      </c>
      <c r="C113" s="242" t="s">
        <v>12588</v>
      </c>
      <c r="D113" s="60" t="s">
        <v>11228</v>
      </c>
      <c r="E113" s="242"/>
      <c r="F113" s="244">
        <v>22665.09</v>
      </c>
      <c r="G113" s="244">
        <v>22665.09</v>
      </c>
      <c r="H113" s="50">
        <v>3604.08</v>
      </c>
      <c r="I113" s="243">
        <v>42367</v>
      </c>
      <c r="J113" s="242" t="s">
        <v>12280</v>
      </c>
      <c r="K113" s="242"/>
      <c r="L113" s="66"/>
      <c r="M113" s="201" t="s">
        <v>12550</v>
      </c>
      <c r="N113" s="242" t="s">
        <v>19384</v>
      </c>
      <c r="O113" s="41"/>
    </row>
    <row r="114" spans="1:15" ht="96" customHeight="1" x14ac:dyDescent="0.3">
      <c r="A114" s="242">
        <v>111</v>
      </c>
      <c r="B114" s="242" t="s">
        <v>11848</v>
      </c>
      <c r="C114" s="242" t="s">
        <v>12589</v>
      </c>
      <c r="D114" s="60" t="s">
        <v>19590</v>
      </c>
      <c r="E114" s="242"/>
      <c r="F114" s="244">
        <v>0.01</v>
      </c>
      <c r="G114" s="244">
        <v>0.01</v>
      </c>
      <c r="H114" s="244" t="s">
        <v>14</v>
      </c>
      <c r="I114" s="243">
        <v>40500</v>
      </c>
      <c r="J114" s="242" t="s">
        <v>19591</v>
      </c>
      <c r="K114" s="242"/>
      <c r="L114" s="66"/>
      <c r="M114" s="201" t="s">
        <v>12550</v>
      </c>
      <c r="N114" s="242" t="s">
        <v>19384</v>
      </c>
      <c r="O114" s="41"/>
    </row>
    <row r="115" spans="1:15" ht="96" customHeight="1" x14ac:dyDescent="0.3">
      <c r="A115" s="242">
        <v>112</v>
      </c>
      <c r="B115" s="242" t="s">
        <v>11250</v>
      </c>
      <c r="C115" s="242" t="s">
        <v>12590</v>
      </c>
      <c r="D115" s="60" t="s">
        <v>11231</v>
      </c>
      <c r="E115" s="242"/>
      <c r="F115" s="98">
        <v>3035.01</v>
      </c>
      <c r="G115" s="242"/>
      <c r="H115" s="98">
        <v>3035.01</v>
      </c>
      <c r="I115" s="243">
        <v>42364</v>
      </c>
      <c r="J115" s="242" t="s">
        <v>12281</v>
      </c>
      <c r="K115" s="242"/>
      <c r="L115" s="66"/>
      <c r="M115" s="201" t="s">
        <v>12550</v>
      </c>
      <c r="N115" s="242" t="s">
        <v>19400</v>
      </c>
      <c r="O115" s="41"/>
    </row>
    <row r="116" spans="1:15" ht="96" customHeight="1" x14ac:dyDescent="0.3">
      <c r="A116" s="242">
        <v>113</v>
      </c>
      <c r="B116" s="242" t="s">
        <v>11249</v>
      </c>
      <c r="C116" s="242" t="s">
        <v>12591</v>
      </c>
      <c r="D116" s="60" t="s">
        <v>11232</v>
      </c>
      <c r="E116" s="242"/>
      <c r="F116" s="242">
        <v>0.01</v>
      </c>
      <c r="G116" s="242">
        <v>0</v>
      </c>
      <c r="H116" s="98">
        <v>3035.01</v>
      </c>
      <c r="I116" s="243">
        <v>42367</v>
      </c>
      <c r="J116" s="242" t="s">
        <v>12282</v>
      </c>
      <c r="K116" s="242"/>
      <c r="L116" s="66"/>
      <c r="M116" s="242" t="s">
        <v>13904</v>
      </c>
      <c r="N116" s="242" t="s">
        <v>19401</v>
      </c>
      <c r="O116" s="41"/>
    </row>
    <row r="117" spans="1:15" ht="131.4" customHeight="1" x14ac:dyDescent="0.3">
      <c r="A117" s="2">
        <v>114</v>
      </c>
      <c r="B117" s="242" t="s">
        <v>11867</v>
      </c>
      <c r="C117" s="242" t="s">
        <v>12588</v>
      </c>
      <c r="D117" s="60" t="s">
        <v>23620</v>
      </c>
      <c r="E117" s="242">
        <v>122.9</v>
      </c>
      <c r="F117" s="242"/>
      <c r="G117" s="242"/>
      <c r="H117" s="242"/>
      <c r="I117" s="243">
        <v>40500</v>
      </c>
      <c r="J117" s="242" t="s">
        <v>23621</v>
      </c>
      <c r="K117" s="242"/>
      <c r="L117" s="66"/>
      <c r="M117" s="201" t="s">
        <v>12550</v>
      </c>
      <c r="N117" s="242" t="s">
        <v>19384</v>
      </c>
      <c r="O117" s="41"/>
    </row>
    <row r="118" spans="1:15" ht="96" customHeight="1" x14ac:dyDescent="0.3">
      <c r="A118" s="242">
        <v>115</v>
      </c>
      <c r="B118" s="242" t="s">
        <v>11838</v>
      </c>
      <c r="C118" s="242" t="s">
        <v>12592</v>
      </c>
      <c r="D118" s="60" t="s">
        <v>19547</v>
      </c>
      <c r="E118" s="242" t="s">
        <v>18</v>
      </c>
      <c r="F118" s="25">
        <v>5618.86</v>
      </c>
      <c r="G118" s="244">
        <v>0</v>
      </c>
      <c r="H118" s="244">
        <v>2518913.27</v>
      </c>
      <c r="I118" s="243">
        <v>40500</v>
      </c>
      <c r="J118" s="66" t="s">
        <v>19548</v>
      </c>
      <c r="K118" s="242"/>
      <c r="L118" s="66"/>
      <c r="M118" s="201" t="s">
        <v>12550</v>
      </c>
      <c r="N118" s="242"/>
      <c r="O118" s="41"/>
    </row>
    <row r="119" spans="1:15" ht="72" customHeight="1" x14ac:dyDescent="0.3">
      <c r="A119" s="2">
        <v>116</v>
      </c>
      <c r="B119" s="242" t="s">
        <v>78</v>
      </c>
      <c r="C119" s="242" t="s">
        <v>12592</v>
      </c>
      <c r="D119" s="242"/>
      <c r="E119" s="242"/>
      <c r="F119" s="242"/>
      <c r="G119" s="242"/>
      <c r="H119" s="242"/>
      <c r="I119" s="243">
        <v>35727</v>
      </c>
      <c r="J119" s="242" t="s">
        <v>12011</v>
      </c>
      <c r="K119" s="242" t="s">
        <v>22180</v>
      </c>
      <c r="L119" s="66" t="s">
        <v>22181</v>
      </c>
      <c r="M119" s="201" t="s">
        <v>12550</v>
      </c>
      <c r="N119" s="242"/>
      <c r="O119" s="38" t="s">
        <v>22182</v>
      </c>
    </row>
    <row r="120" spans="1:15" ht="72" customHeight="1" x14ac:dyDescent="0.3">
      <c r="A120" s="2">
        <v>117</v>
      </c>
      <c r="B120" s="242" t="s">
        <v>11788</v>
      </c>
      <c r="C120" s="242" t="s">
        <v>12593</v>
      </c>
      <c r="D120" s="242"/>
      <c r="E120" s="242"/>
      <c r="F120" s="244">
        <v>1459.34</v>
      </c>
      <c r="G120" s="244">
        <v>1459.34</v>
      </c>
      <c r="H120" s="242"/>
      <c r="I120" s="243">
        <v>40500</v>
      </c>
      <c r="J120" s="242" t="s">
        <v>11171</v>
      </c>
      <c r="K120" s="242"/>
      <c r="L120" s="66"/>
      <c r="M120" s="201" t="s">
        <v>12550</v>
      </c>
      <c r="N120" s="242" t="s">
        <v>19384</v>
      </c>
      <c r="O120" s="41"/>
    </row>
    <row r="121" spans="1:15" ht="115.5" customHeight="1" x14ac:dyDescent="0.3">
      <c r="A121" s="2">
        <v>118</v>
      </c>
      <c r="B121" s="242" t="s">
        <v>11798</v>
      </c>
      <c r="C121" s="242" t="s">
        <v>12592</v>
      </c>
      <c r="D121" s="242"/>
      <c r="E121" s="242"/>
      <c r="F121" s="244">
        <v>349274</v>
      </c>
      <c r="G121" s="244">
        <v>16958.57</v>
      </c>
      <c r="H121" s="242"/>
      <c r="I121" s="243">
        <v>40500</v>
      </c>
      <c r="J121" s="242" t="s">
        <v>11171</v>
      </c>
      <c r="K121" s="242"/>
      <c r="L121" s="66"/>
      <c r="M121" s="201" t="s">
        <v>12550</v>
      </c>
      <c r="N121" s="242" t="s">
        <v>19384</v>
      </c>
      <c r="O121" s="38" t="s">
        <v>23386</v>
      </c>
    </row>
    <row r="122" spans="1:15" ht="84" customHeight="1" x14ac:dyDescent="0.3">
      <c r="A122" s="2">
        <v>119</v>
      </c>
      <c r="B122" s="2" t="s">
        <v>77</v>
      </c>
      <c r="C122" s="2" t="s">
        <v>12592</v>
      </c>
      <c r="D122" s="242"/>
      <c r="E122" s="2">
        <v>111</v>
      </c>
      <c r="F122" s="242"/>
      <c r="G122" s="2"/>
      <c r="H122" s="244"/>
      <c r="I122" s="3">
        <v>35727</v>
      </c>
      <c r="J122" s="2" t="s">
        <v>12011</v>
      </c>
      <c r="K122" s="243">
        <v>43300</v>
      </c>
      <c r="L122" s="66" t="s">
        <v>20908</v>
      </c>
      <c r="M122" s="201" t="s">
        <v>12550</v>
      </c>
      <c r="N122" s="2"/>
      <c r="O122" s="38" t="s">
        <v>20909</v>
      </c>
    </row>
    <row r="123" spans="1:15" ht="108" customHeight="1" x14ac:dyDescent="0.3">
      <c r="A123" s="242">
        <v>120</v>
      </c>
      <c r="B123" s="242" t="s">
        <v>20054</v>
      </c>
      <c r="C123" s="242" t="s">
        <v>12592</v>
      </c>
      <c r="D123" s="60" t="s">
        <v>12277</v>
      </c>
      <c r="E123" s="242"/>
      <c r="F123" s="244">
        <v>190000</v>
      </c>
      <c r="G123" s="244">
        <v>65866.320000000007</v>
      </c>
      <c r="H123" s="98">
        <v>3319.55</v>
      </c>
      <c r="I123" s="243">
        <v>42367</v>
      </c>
      <c r="J123" s="242" t="s">
        <v>12278</v>
      </c>
      <c r="K123" s="2"/>
      <c r="L123" s="66"/>
      <c r="M123" s="242" t="s">
        <v>13904</v>
      </c>
      <c r="N123" s="242" t="s">
        <v>19402</v>
      </c>
      <c r="O123" s="38"/>
    </row>
    <row r="124" spans="1:15" ht="96" customHeight="1" x14ac:dyDescent="0.3">
      <c r="A124" s="242">
        <v>121</v>
      </c>
      <c r="B124" s="242" t="s">
        <v>11839</v>
      </c>
      <c r="C124" s="242" t="s">
        <v>17</v>
      </c>
      <c r="D124" s="60" t="s">
        <v>11226</v>
      </c>
      <c r="E124" s="242">
        <v>555</v>
      </c>
      <c r="F124" s="244">
        <v>12029.78</v>
      </c>
      <c r="G124" s="244">
        <v>12029.78</v>
      </c>
      <c r="H124" s="242">
        <v>278349.15000000002</v>
      </c>
      <c r="I124" s="243">
        <v>42367</v>
      </c>
      <c r="J124" s="242" t="s">
        <v>12266</v>
      </c>
      <c r="K124" s="242"/>
      <c r="L124" s="66"/>
      <c r="M124" s="201" t="s">
        <v>12550</v>
      </c>
      <c r="N124" s="242" t="s">
        <v>19384</v>
      </c>
      <c r="O124" s="41"/>
    </row>
    <row r="125" spans="1:15" ht="72" customHeight="1" x14ac:dyDescent="0.3">
      <c r="A125" s="242">
        <v>122</v>
      </c>
      <c r="B125" s="242" t="s">
        <v>18444</v>
      </c>
      <c r="C125" s="242" t="s">
        <v>18445</v>
      </c>
      <c r="D125" s="60" t="s">
        <v>18446</v>
      </c>
      <c r="E125" s="242" t="s">
        <v>19</v>
      </c>
      <c r="F125" s="244">
        <v>4422934.71</v>
      </c>
      <c r="G125" s="244">
        <v>2538552.38</v>
      </c>
      <c r="H125" s="98">
        <v>9679942.9199999999</v>
      </c>
      <c r="I125" s="243">
        <v>40402</v>
      </c>
      <c r="J125" s="242" t="s">
        <v>18447</v>
      </c>
      <c r="K125" s="242"/>
      <c r="L125" s="66"/>
      <c r="M125" s="242" t="s">
        <v>13904</v>
      </c>
      <c r="N125" s="242" t="s">
        <v>18225</v>
      </c>
      <c r="O125" s="41"/>
    </row>
    <row r="126" spans="1:15" ht="72" customHeight="1" x14ac:dyDescent="0.3">
      <c r="A126" s="242">
        <v>123</v>
      </c>
      <c r="B126" s="242" t="s">
        <v>18408</v>
      </c>
      <c r="C126" s="242" t="s">
        <v>18409</v>
      </c>
      <c r="D126" s="60" t="s">
        <v>18410</v>
      </c>
      <c r="E126" s="242" t="s">
        <v>20</v>
      </c>
      <c r="F126" s="244">
        <v>947937.17</v>
      </c>
      <c r="G126" s="244">
        <v>556038.11</v>
      </c>
      <c r="H126" s="244"/>
      <c r="I126" s="243">
        <v>40402</v>
      </c>
      <c r="J126" s="242" t="s">
        <v>18411</v>
      </c>
      <c r="K126" s="242"/>
      <c r="L126" s="66"/>
      <c r="M126" s="242" t="s">
        <v>13904</v>
      </c>
      <c r="N126" s="242" t="s">
        <v>18478</v>
      </c>
      <c r="O126" s="41"/>
    </row>
    <row r="127" spans="1:15" ht="352.95" customHeight="1" x14ac:dyDescent="0.3">
      <c r="A127" s="242">
        <v>124</v>
      </c>
      <c r="B127" s="242" t="s">
        <v>18467</v>
      </c>
      <c r="C127" s="242" t="s">
        <v>12594</v>
      </c>
      <c r="D127" s="60" t="s">
        <v>19692</v>
      </c>
      <c r="E127" s="242">
        <v>734.8</v>
      </c>
      <c r="F127" s="244">
        <v>1178482.92</v>
      </c>
      <c r="G127" s="244">
        <v>387392.45</v>
      </c>
      <c r="H127" s="244">
        <v>12838425.6</v>
      </c>
      <c r="I127" s="243">
        <v>38964</v>
      </c>
      <c r="J127" s="242" t="s">
        <v>21157</v>
      </c>
      <c r="K127" s="242"/>
      <c r="L127" s="66"/>
      <c r="M127" s="242" t="s">
        <v>15722</v>
      </c>
      <c r="N127" s="242" t="s">
        <v>23836</v>
      </c>
      <c r="O127" s="41"/>
    </row>
    <row r="128" spans="1:15" ht="72" customHeight="1" x14ac:dyDescent="0.3">
      <c r="A128" s="2">
        <v>125</v>
      </c>
      <c r="B128" s="242" t="s">
        <v>12595</v>
      </c>
      <c r="C128" s="242" t="s">
        <v>12596</v>
      </c>
      <c r="D128" s="242"/>
      <c r="E128" s="242">
        <v>288</v>
      </c>
      <c r="F128" s="242"/>
      <c r="G128" s="242"/>
      <c r="H128" s="244"/>
      <c r="I128" s="243">
        <v>35727</v>
      </c>
      <c r="J128" s="242" t="s">
        <v>12011</v>
      </c>
      <c r="K128" s="242"/>
      <c r="L128" s="66"/>
      <c r="M128" s="201" t="s">
        <v>12550</v>
      </c>
      <c r="N128" s="242"/>
      <c r="O128" s="41"/>
    </row>
    <row r="129" spans="1:26" ht="108" customHeight="1" x14ac:dyDescent="0.3">
      <c r="A129" s="2">
        <v>126</v>
      </c>
      <c r="B129" s="2" t="s">
        <v>11843</v>
      </c>
      <c r="C129" s="2" t="s">
        <v>12597</v>
      </c>
      <c r="D129" s="242"/>
      <c r="E129" s="2"/>
      <c r="F129" s="242"/>
      <c r="G129" s="242"/>
      <c r="H129" s="242"/>
      <c r="I129" s="3">
        <v>40500</v>
      </c>
      <c r="J129" s="2" t="s">
        <v>11171</v>
      </c>
      <c r="K129" s="243">
        <v>41375</v>
      </c>
      <c r="L129" s="66" t="s">
        <v>12033</v>
      </c>
      <c r="M129" s="2" t="s">
        <v>14091</v>
      </c>
      <c r="N129" s="2"/>
      <c r="O129" s="245"/>
    </row>
    <row r="130" spans="1:26" ht="72" customHeight="1" x14ac:dyDescent="0.3">
      <c r="A130" s="2">
        <v>127</v>
      </c>
      <c r="B130" s="242" t="s">
        <v>79</v>
      </c>
      <c r="C130" s="242" t="s">
        <v>12596</v>
      </c>
      <c r="D130" s="242"/>
      <c r="E130" s="242">
        <v>35</v>
      </c>
      <c r="F130" s="242">
        <v>0.01</v>
      </c>
      <c r="G130" s="242">
        <v>0</v>
      </c>
      <c r="H130" s="242"/>
      <c r="I130" s="243">
        <v>35727</v>
      </c>
      <c r="J130" s="242" t="s">
        <v>12011</v>
      </c>
      <c r="K130" s="242"/>
      <c r="L130" s="66"/>
      <c r="M130" s="201" t="s">
        <v>12550</v>
      </c>
      <c r="N130" s="242"/>
      <c r="O130" s="41"/>
    </row>
    <row r="131" spans="1:26" ht="120" customHeight="1" x14ac:dyDescent="0.3">
      <c r="A131" s="242">
        <v>128</v>
      </c>
      <c r="B131" s="242" t="s">
        <v>80</v>
      </c>
      <c r="C131" s="242" t="s">
        <v>12597</v>
      </c>
      <c r="D131" s="242"/>
      <c r="E131" s="2">
        <v>108</v>
      </c>
      <c r="F131" s="242" t="s">
        <v>21</v>
      </c>
      <c r="G131" s="242"/>
      <c r="H131" s="242"/>
      <c r="I131" s="243">
        <v>35727</v>
      </c>
      <c r="J131" s="242" t="s">
        <v>12011</v>
      </c>
      <c r="K131" s="242" t="s">
        <v>20444</v>
      </c>
      <c r="L131" s="66" t="s">
        <v>20445</v>
      </c>
      <c r="M131" s="201" t="s">
        <v>12550</v>
      </c>
      <c r="N131" s="242"/>
      <c r="O131" s="245" t="s">
        <v>20446</v>
      </c>
    </row>
    <row r="132" spans="1:26" ht="96" customHeight="1" x14ac:dyDescent="0.3">
      <c r="A132" s="242">
        <v>129</v>
      </c>
      <c r="B132" s="242" t="s">
        <v>11854</v>
      </c>
      <c r="C132" s="242" t="s">
        <v>12596</v>
      </c>
      <c r="D132" s="60" t="s">
        <v>11247</v>
      </c>
      <c r="E132" s="242">
        <v>488.21</v>
      </c>
      <c r="F132" s="244">
        <v>2502746.7999999998</v>
      </c>
      <c r="G132" s="244">
        <v>2502746.7999999998</v>
      </c>
      <c r="H132" s="244"/>
      <c r="I132" s="243">
        <v>40500</v>
      </c>
      <c r="J132" s="242" t="s">
        <v>11171</v>
      </c>
      <c r="K132" s="242"/>
      <c r="L132" s="66"/>
      <c r="M132" s="242" t="s">
        <v>13904</v>
      </c>
      <c r="N132" s="242" t="s">
        <v>19403</v>
      </c>
      <c r="O132" s="4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</row>
    <row r="133" spans="1:26" s="161" customFormat="1" ht="72" customHeight="1" x14ac:dyDescent="0.3">
      <c r="A133" s="242">
        <v>130</v>
      </c>
      <c r="B133" s="242" t="s">
        <v>11217</v>
      </c>
      <c r="C133" s="242" t="s">
        <v>12596</v>
      </c>
      <c r="D133" s="60" t="s">
        <v>161</v>
      </c>
      <c r="E133" s="242"/>
      <c r="F133" s="244">
        <v>1424.01</v>
      </c>
      <c r="G133" s="244">
        <v>949.81</v>
      </c>
      <c r="H133" s="244"/>
      <c r="I133" s="3">
        <v>42366</v>
      </c>
      <c r="J133" s="242" t="s">
        <v>12254</v>
      </c>
      <c r="K133" s="242"/>
      <c r="L133" s="66"/>
      <c r="M133" s="201" t="s">
        <v>12550</v>
      </c>
      <c r="N133" s="242" t="s">
        <v>19384</v>
      </c>
      <c r="O133" s="65"/>
    </row>
    <row r="134" spans="1:26" s="161" customFormat="1" ht="145.5" customHeight="1" x14ac:dyDescent="0.3">
      <c r="A134" s="242">
        <v>131</v>
      </c>
      <c r="B134" s="242" t="s">
        <v>11218</v>
      </c>
      <c r="C134" s="242" t="s">
        <v>12596</v>
      </c>
      <c r="D134" s="253" t="s">
        <v>11244</v>
      </c>
      <c r="E134" s="242"/>
      <c r="F134" s="244">
        <v>2242097.88</v>
      </c>
      <c r="G134" s="244">
        <v>882016.83</v>
      </c>
      <c r="H134" s="244"/>
      <c r="I134" s="243">
        <v>42366</v>
      </c>
      <c r="J134" s="242" t="s">
        <v>12240</v>
      </c>
      <c r="K134" s="242"/>
      <c r="L134" s="66"/>
      <c r="M134" s="201" t="s">
        <v>12550</v>
      </c>
      <c r="N134" s="242" t="s">
        <v>19384</v>
      </c>
      <c r="O134" s="65"/>
    </row>
    <row r="135" spans="1:26" s="161" customFormat="1" ht="108" customHeight="1" x14ac:dyDescent="0.3">
      <c r="A135" s="242">
        <v>132</v>
      </c>
      <c r="B135" s="242" t="s">
        <v>11902</v>
      </c>
      <c r="C135" s="242" t="s">
        <v>12596</v>
      </c>
      <c r="D135" s="60" t="s">
        <v>12244</v>
      </c>
      <c r="E135" s="2"/>
      <c r="F135" s="244">
        <v>60496</v>
      </c>
      <c r="G135" s="11">
        <v>20165.599999999999</v>
      </c>
      <c r="H135" s="244"/>
      <c r="I135" s="3" t="s">
        <v>12245</v>
      </c>
      <c r="J135" s="2" t="s">
        <v>12246</v>
      </c>
      <c r="K135" s="2"/>
      <c r="L135" s="66"/>
      <c r="M135" s="201" t="s">
        <v>12550</v>
      </c>
      <c r="N135" s="242" t="s">
        <v>19384</v>
      </c>
      <c r="O135" s="65"/>
      <c r="Q135" s="67"/>
      <c r="R135" s="67"/>
      <c r="S135" s="67"/>
      <c r="T135" s="67"/>
      <c r="U135" s="67"/>
      <c r="V135" s="67"/>
      <c r="W135" s="67"/>
      <c r="X135" s="67"/>
      <c r="Y135" s="67"/>
      <c r="Z135" s="67"/>
    </row>
    <row r="136" spans="1:26" ht="108" customHeight="1" x14ac:dyDescent="0.3">
      <c r="A136" s="242">
        <v>133</v>
      </c>
      <c r="B136" s="2" t="s">
        <v>20649</v>
      </c>
      <c r="C136" s="2" t="s">
        <v>12597</v>
      </c>
      <c r="D136" s="242"/>
      <c r="E136" s="2">
        <v>35</v>
      </c>
      <c r="F136" s="242">
        <v>0.01</v>
      </c>
      <c r="G136" s="242">
        <v>0</v>
      </c>
      <c r="H136" s="242"/>
      <c r="I136" s="3">
        <v>35727</v>
      </c>
      <c r="J136" s="2" t="s">
        <v>12011</v>
      </c>
      <c r="K136" s="2"/>
      <c r="L136" s="66"/>
      <c r="M136" s="201" t="s">
        <v>12550</v>
      </c>
      <c r="N136" s="242" t="s">
        <v>18543</v>
      </c>
      <c r="O136" s="38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</row>
    <row r="137" spans="1:26" s="161" customFormat="1" ht="84" customHeight="1" x14ac:dyDescent="0.3">
      <c r="A137" s="242">
        <v>134</v>
      </c>
      <c r="B137" s="242" t="s">
        <v>19580</v>
      </c>
      <c r="C137" s="242" t="s">
        <v>12598</v>
      </c>
      <c r="D137" s="60" t="s">
        <v>19579</v>
      </c>
      <c r="E137" s="2" t="s">
        <v>22</v>
      </c>
      <c r="F137" s="11">
        <v>17770201.539999999</v>
      </c>
      <c r="G137" s="11">
        <v>12243292.35</v>
      </c>
      <c r="H137" s="11">
        <v>10845294.109999999</v>
      </c>
      <c r="I137" s="3" t="s">
        <v>11481</v>
      </c>
      <c r="J137" s="242" t="s">
        <v>20570</v>
      </c>
      <c r="K137" s="2"/>
      <c r="L137" s="66"/>
      <c r="M137" s="242" t="s">
        <v>14091</v>
      </c>
      <c r="N137" s="242" t="s">
        <v>21173</v>
      </c>
      <c r="O137" s="65"/>
    </row>
    <row r="138" spans="1:26" s="161" customFormat="1" ht="288" customHeight="1" x14ac:dyDescent="0.3">
      <c r="A138" s="242">
        <v>135</v>
      </c>
      <c r="B138" s="242" t="s">
        <v>11485</v>
      </c>
      <c r="C138" s="242" t="s">
        <v>18461</v>
      </c>
      <c r="D138" s="60" t="s">
        <v>21175</v>
      </c>
      <c r="E138" s="242" t="s">
        <v>23</v>
      </c>
      <c r="F138" s="244">
        <v>3118502.88</v>
      </c>
      <c r="G138" s="242">
        <v>2622076.9700000002</v>
      </c>
      <c r="H138" s="244">
        <v>12356391.6</v>
      </c>
      <c r="I138" s="3">
        <v>38583</v>
      </c>
      <c r="J138" s="242" t="s">
        <v>21296</v>
      </c>
      <c r="K138" s="242"/>
      <c r="L138" s="66"/>
      <c r="M138" s="201" t="s">
        <v>12550</v>
      </c>
      <c r="N138" s="245" t="s">
        <v>23411</v>
      </c>
      <c r="O138" s="41"/>
      <c r="Q138" s="67"/>
      <c r="R138" s="67"/>
      <c r="S138" s="67"/>
      <c r="T138" s="67"/>
      <c r="U138" s="67"/>
      <c r="V138" s="67"/>
      <c r="W138" s="67"/>
      <c r="X138" s="67"/>
      <c r="Y138" s="67"/>
      <c r="Z138" s="67"/>
    </row>
    <row r="139" spans="1:26" ht="72" customHeight="1" x14ac:dyDescent="0.3">
      <c r="A139" s="242">
        <v>136</v>
      </c>
      <c r="B139" s="242" t="s">
        <v>81</v>
      </c>
      <c r="C139" s="242" t="s">
        <v>12599</v>
      </c>
      <c r="D139" s="242"/>
      <c r="E139" s="242">
        <v>250</v>
      </c>
      <c r="F139" s="244">
        <v>1191029.28</v>
      </c>
      <c r="G139" s="244">
        <v>837311.49</v>
      </c>
      <c r="H139" s="242"/>
      <c r="I139" s="243">
        <v>35727</v>
      </c>
      <c r="J139" s="242" t="s">
        <v>12011</v>
      </c>
      <c r="K139" s="242"/>
      <c r="L139" s="66"/>
      <c r="M139" s="242" t="s">
        <v>14091</v>
      </c>
      <c r="N139" s="242" t="s">
        <v>19228</v>
      </c>
      <c r="O139" s="41"/>
    </row>
    <row r="140" spans="1:26" ht="72" customHeight="1" x14ac:dyDescent="0.3">
      <c r="A140" s="242">
        <v>137</v>
      </c>
      <c r="B140" s="242" t="s">
        <v>82</v>
      </c>
      <c r="C140" s="242" t="s">
        <v>12599</v>
      </c>
      <c r="D140" s="242"/>
      <c r="E140" s="242">
        <v>42</v>
      </c>
      <c r="F140" s="244">
        <v>254605.94</v>
      </c>
      <c r="G140" s="244">
        <v>191548.08</v>
      </c>
      <c r="H140" s="242"/>
      <c r="I140" s="243">
        <v>35727</v>
      </c>
      <c r="J140" s="242" t="s">
        <v>12011</v>
      </c>
      <c r="K140" s="242"/>
      <c r="L140" s="66"/>
      <c r="M140" s="242" t="s">
        <v>14091</v>
      </c>
      <c r="N140" s="242" t="s">
        <v>19228</v>
      </c>
      <c r="O140" s="41"/>
    </row>
    <row r="141" spans="1:26" ht="96" customHeight="1" x14ac:dyDescent="0.3">
      <c r="A141" s="242">
        <v>138</v>
      </c>
      <c r="B141" s="242" t="s">
        <v>11252</v>
      </c>
      <c r="C141" s="242" t="s">
        <v>12826</v>
      </c>
      <c r="D141" s="60" t="s">
        <v>11253</v>
      </c>
      <c r="E141" s="2"/>
      <c r="F141" s="2">
        <v>0.01</v>
      </c>
      <c r="G141" s="2">
        <v>0</v>
      </c>
      <c r="H141" s="244"/>
      <c r="I141" s="3">
        <v>42367</v>
      </c>
      <c r="J141" s="2" t="s">
        <v>12285</v>
      </c>
      <c r="K141" s="2"/>
      <c r="L141" s="66"/>
      <c r="M141" s="2" t="s">
        <v>13904</v>
      </c>
      <c r="N141" s="2" t="s">
        <v>19404</v>
      </c>
      <c r="O141" s="41"/>
    </row>
    <row r="142" spans="1:26" ht="60" customHeight="1" x14ac:dyDescent="0.3">
      <c r="A142" s="242">
        <v>139</v>
      </c>
      <c r="B142" s="242" t="s">
        <v>18374</v>
      </c>
      <c r="C142" s="242" t="s">
        <v>12600</v>
      </c>
      <c r="D142" s="60" t="s">
        <v>18375</v>
      </c>
      <c r="E142" s="44">
        <v>737.7</v>
      </c>
      <c r="F142" s="11">
        <v>297967.46000000002</v>
      </c>
      <c r="G142" s="11">
        <v>167164.96</v>
      </c>
      <c r="H142" s="11"/>
      <c r="I142" s="3">
        <v>38966</v>
      </c>
      <c r="J142" s="2" t="s">
        <v>18376</v>
      </c>
      <c r="K142" s="2"/>
      <c r="L142" s="66"/>
      <c r="M142" s="2" t="s">
        <v>14091</v>
      </c>
      <c r="N142" s="2" t="s">
        <v>18212</v>
      </c>
      <c r="O142" s="41"/>
    </row>
    <row r="143" spans="1:26" ht="85.2" customHeight="1" x14ac:dyDescent="0.3">
      <c r="A143" s="2">
        <v>140</v>
      </c>
      <c r="B143" s="2" t="s">
        <v>83</v>
      </c>
      <c r="C143" s="2" t="s">
        <v>19527</v>
      </c>
      <c r="D143" s="242"/>
      <c r="E143" s="2">
        <v>50</v>
      </c>
      <c r="F143" s="25">
        <v>22584.52</v>
      </c>
      <c r="G143" s="25">
        <v>22584.52</v>
      </c>
      <c r="H143" s="242"/>
      <c r="I143" s="3">
        <v>35727</v>
      </c>
      <c r="J143" s="2" t="s">
        <v>12011</v>
      </c>
      <c r="K143" s="243">
        <v>43300</v>
      </c>
      <c r="L143" s="66" t="s">
        <v>20908</v>
      </c>
      <c r="M143" s="201" t="s">
        <v>12550</v>
      </c>
      <c r="N143" s="2"/>
      <c r="O143" s="38" t="s">
        <v>20909</v>
      </c>
    </row>
    <row r="144" spans="1:26" ht="120" customHeight="1" x14ac:dyDescent="0.3">
      <c r="A144" s="242">
        <v>141</v>
      </c>
      <c r="B144" s="242" t="s">
        <v>23028</v>
      </c>
      <c r="C144" s="242" t="s">
        <v>24</v>
      </c>
      <c r="D144" s="60" t="s">
        <v>19559</v>
      </c>
      <c r="E144" s="2">
        <v>1024.3</v>
      </c>
      <c r="F144" s="11">
        <v>4050187.8</v>
      </c>
      <c r="G144" s="242">
        <v>4050187.8</v>
      </c>
      <c r="H144" s="244">
        <v>46243559.950000003</v>
      </c>
      <c r="I144" s="3">
        <v>38932</v>
      </c>
      <c r="J144" s="2" t="s">
        <v>21295</v>
      </c>
      <c r="K144" s="2"/>
      <c r="L144" s="66"/>
      <c r="M144" s="200" t="s">
        <v>12550</v>
      </c>
      <c r="N144" s="2" t="s">
        <v>23029</v>
      </c>
      <c r="O144" s="38"/>
    </row>
    <row r="145" spans="1:26" ht="72" customHeight="1" x14ac:dyDescent="0.3">
      <c r="A145" s="242">
        <v>142</v>
      </c>
      <c r="B145" s="242" t="s">
        <v>11934</v>
      </c>
      <c r="C145" s="242" t="s">
        <v>15350</v>
      </c>
      <c r="D145" s="60" t="s">
        <v>11240</v>
      </c>
      <c r="E145" s="242"/>
      <c r="F145" s="244">
        <f>714774.78/2</f>
        <v>357387.39</v>
      </c>
      <c r="G145" s="242">
        <v>119192.73</v>
      </c>
      <c r="H145" s="244"/>
      <c r="I145" s="3">
        <v>42367</v>
      </c>
      <c r="J145" s="242" t="s">
        <v>12262</v>
      </c>
      <c r="K145" s="242"/>
      <c r="L145" s="66"/>
      <c r="M145" s="201" t="s">
        <v>12550</v>
      </c>
      <c r="N145" s="242" t="s">
        <v>19384</v>
      </c>
      <c r="O145" s="41"/>
    </row>
    <row r="146" spans="1:26" ht="132" customHeight="1" x14ac:dyDescent="0.3">
      <c r="A146" s="242">
        <v>143</v>
      </c>
      <c r="B146" s="242" t="s">
        <v>18464</v>
      </c>
      <c r="C146" s="242" t="s">
        <v>18465</v>
      </c>
      <c r="D146" s="60" t="s">
        <v>18788</v>
      </c>
      <c r="E146" s="242">
        <v>1038.0999999999999</v>
      </c>
      <c r="F146" s="244"/>
      <c r="G146" s="244"/>
      <c r="H146" s="244">
        <v>34001989.689999998</v>
      </c>
      <c r="I146" s="3">
        <v>40007</v>
      </c>
      <c r="J146" s="242" t="s">
        <v>18789</v>
      </c>
      <c r="K146" s="242"/>
      <c r="L146" s="66"/>
      <c r="M146" s="2" t="s">
        <v>14091</v>
      </c>
      <c r="N146" s="242" t="s">
        <v>19048</v>
      </c>
      <c r="O146" s="41"/>
    </row>
    <row r="147" spans="1:26" ht="60" customHeight="1" x14ac:dyDescent="0.3">
      <c r="A147" s="242">
        <v>144</v>
      </c>
      <c r="B147" s="242" t="s">
        <v>18385</v>
      </c>
      <c r="C147" s="242" t="s">
        <v>18386</v>
      </c>
      <c r="D147" s="60" t="s">
        <v>23805</v>
      </c>
      <c r="E147" s="242" t="s">
        <v>25</v>
      </c>
      <c r="F147" s="244">
        <v>6612172.0199999996</v>
      </c>
      <c r="G147" s="244">
        <v>5532181.3899999997</v>
      </c>
      <c r="H147" s="242"/>
      <c r="I147" s="243">
        <v>38819</v>
      </c>
      <c r="J147" s="242" t="s">
        <v>18387</v>
      </c>
      <c r="K147" s="242"/>
      <c r="L147" s="66"/>
      <c r="M147" s="2" t="s">
        <v>14091</v>
      </c>
      <c r="N147" s="242" t="s">
        <v>18213</v>
      </c>
      <c r="O147" s="41"/>
    </row>
    <row r="148" spans="1:26" ht="108" customHeight="1" x14ac:dyDescent="0.3">
      <c r="A148" s="242">
        <v>145</v>
      </c>
      <c r="B148" s="242" t="s">
        <v>18383</v>
      </c>
      <c r="C148" s="242" t="s">
        <v>26</v>
      </c>
      <c r="D148" s="60" t="s">
        <v>18384</v>
      </c>
      <c r="E148" s="2" t="s">
        <v>27</v>
      </c>
      <c r="F148" s="11">
        <v>40190188.240000002</v>
      </c>
      <c r="G148" s="11">
        <v>20153083.52</v>
      </c>
      <c r="H148" s="11"/>
      <c r="I148" s="3">
        <v>38807</v>
      </c>
      <c r="J148" s="2" t="s">
        <v>11484</v>
      </c>
      <c r="K148" s="2"/>
      <c r="L148" s="66"/>
      <c r="M148" s="242" t="s">
        <v>14091</v>
      </c>
      <c r="N148" s="2" t="s">
        <v>18226</v>
      </c>
      <c r="O148" s="41"/>
    </row>
    <row r="149" spans="1:26" ht="60" customHeight="1" x14ac:dyDescent="0.3">
      <c r="A149" s="242">
        <v>146</v>
      </c>
      <c r="B149" s="242" t="s">
        <v>18388</v>
      </c>
      <c r="C149" s="242" t="s">
        <v>28</v>
      </c>
      <c r="D149" s="60" t="s">
        <v>18389</v>
      </c>
      <c r="E149" s="242" t="s">
        <v>29</v>
      </c>
      <c r="F149" s="244">
        <v>7078400</v>
      </c>
      <c r="G149" s="244">
        <v>4956768.2699999996</v>
      </c>
      <c r="H149" s="244"/>
      <c r="I149" s="243">
        <v>38819</v>
      </c>
      <c r="J149" s="242" t="s">
        <v>18390</v>
      </c>
      <c r="K149" s="242"/>
      <c r="L149" s="66"/>
      <c r="M149" s="242" t="s">
        <v>14091</v>
      </c>
      <c r="N149" s="242" t="s">
        <v>18223</v>
      </c>
      <c r="O149" s="4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</row>
    <row r="150" spans="1:26" s="161" customFormat="1" ht="132" customHeight="1" x14ac:dyDescent="0.3">
      <c r="A150" s="242">
        <v>147</v>
      </c>
      <c r="B150" s="242" t="s">
        <v>15052</v>
      </c>
      <c r="C150" s="242" t="s">
        <v>12601</v>
      </c>
      <c r="D150" s="60" t="s">
        <v>213</v>
      </c>
      <c r="E150" s="242">
        <v>190.7</v>
      </c>
      <c r="F150" s="244">
        <v>1011200</v>
      </c>
      <c r="G150" s="244">
        <v>591182.61</v>
      </c>
      <c r="H150" s="244">
        <v>5704771.4800000004</v>
      </c>
      <c r="I150" s="3">
        <v>38889</v>
      </c>
      <c r="J150" s="242" t="s">
        <v>12015</v>
      </c>
      <c r="K150" s="242" t="s">
        <v>18361</v>
      </c>
      <c r="L150" s="66" t="s">
        <v>23011</v>
      </c>
      <c r="M150" s="2" t="s">
        <v>14091</v>
      </c>
      <c r="N150" s="242"/>
      <c r="O150" s="65"/>
      <c r="Q150" s="67"/>
      <c r="R150" s="67"/>
      <c r="S150" s="67"/>
      <c r="T150" s="67"/>
      <c r="U150" s="67"/>
      <c r="V150" s="67"/>
      <c r="W150" s="67"/>
      <c r="X150" s="67"/>
      <c r="Y150" s="67"/>
      <c r="Z150" s="67"/>
    </row>
    <row r="151" spans="1:26" ht="60" customHeight="1" x14ac:dyDescent="0.3">
      <c r="A151" s="242">
        <v>148</v>
      </c>
      <c r="B151" s="242" t="s">
        <v>18427</v>
      </c>
      <c r="C151" s="242" t="s">
        <v>18416</v>
      </c>
      <c r="D151" s="60" t="s">
        <v>16129</v>
      </c>
      <c r="E151" s="242">
        <v>471.2</v>
      </c>
      <c r="F151" s="244">
        <f>608356.36/4553.3*E151</f>
        <v>62955.991661432359</v>
      </c>
      <c r="G151" s="244">
        <f>286370.51/4553.3*E151</f>
        <v>29635.162258581688</v>
      </c>
      <c r="H151" s="244"/>
      <c r="I151" s="243">
        <v>39296</v>
      </c>
      <c r="J151" s="242" t="s">
        <v>18428</v>
      </c>
      <c r="K151" s="242"/>
      <c r="L151" s="66"/>
      <c r="M151" s="242" t="s">
        <v>14091</v>
      </c>
      <c r="N151" s="242" t="s">
        <v>18210</v>
      </c>
      <c r="O151" s="41"/>
    </row>
    <row r="152" spans="1:26" ht="84" customHeight="1" x14ac:dyDescent="0.3">
      <c r="A152" s="242">
        <v>149</v>
      </c>
      <c r="B152" s="242" t="s">
        <v>18429</v>
      </c>
      <c r="C152" s="242" t="s">
        <v>18430</v>
      </c>
      <c r="D152" s="60" t="s">
        <v>18431</v>
      </c>
      <c r="E152" s="242">
        <v>1077.7</v>
      </c>
      <c r="F152" s="244">
        <f>608356.36/4553.3*E152</f>
        <v>143989.11760086092</v>
      </c>
      <c r="G152" s="244">
        <f>286370.51/4553.3*E152</f>
        <v>67779.741863483636</v>
      </c>
      <c r="H152" s="244"/>
      <c r="I152" s="243">
        <v>39296</v>
      </c>
      <c r="J152" s="242" t="s">
        <v>18432</v>
      </c>
      <c r="K152" s="242"/>
      <c r="L152" s="66"/>
      <c r="M152" s="242" t="s">
        <v>14091</v>
      </c>
      <c r="N152" s="242" t="s">
        <v>18567</v>
      </c>
      <c r="O152" s="41"/>
    </row>
    <row r="153" spans="1:26" ht="60" customHeight="1" x14ac:dyDescent="0.3">
      <c r="A153" s="242">
        <v>150</v>
      </c>
      <c r="B153" s="242" t="s">
        <v>18424</v>
      </c>
      <c r="C153" s="242" t="s">
        <v>18416</v>
      </c>
      <c r="D153" s="60" t="s">
        <v>18426</v>
      </c>
      <c r="E153" s="242">
        <v>2604.6</v>
      </c>
      <c r="F153" s="244">
        <f>608356.36/4553.3*E153</f>
        <v>347994.8554358377</v>
      </c>
      <c r="G153" s="244">
        <f>286370.51/4553.3*E153</f>
        <v>163811.00088858631</v>
      </c>
      <c r="H153" s="244"/>
      <c r="I153" s="243">
        <v>39296</v>
      </c>
      <c r="J153" s="242" t="s">
        <v>18425</v>
      </c>
      <c r="K153" s="242"/>
      <c r="L153" s="66"/>
      <c r="M153" s="242" t="s">
        <v>14091</v>
      </c>
      <c r="N153" s="242" t="s">
        <v>18211</v>
      </c>
      <c r="O153" s="41"/>
    </row>
    <row r="154" spans="1:26" ht="84" customHeight="1" x14ac:dyDescent="0.3">
      <c r="A154" s="242">
        <v>151</v>
      </c>
      <c r="B154" s="242" t="s">
        <v>18466</v>
      </c>
      <c r="C154" s="242" t="s">
        <v>18416</v>
      </c>
      <c r="D154" s="60" t="s">
        <v>21160</v>
      </c>
      <c r="E154" s="242">
        <v>375</v>
      </c>
      <c r="F154" s="244">
        <v>3904090.28</v>
      </c>
      <c r="G154" s="244">
        <f>286370.51/4553.3*E154</f>
        <v>23584.859607317769</v>
      </c>
      <c r="H154" s="244">
        <v>6174900</v>
      </c>
      <c r="I154" s="243">
        <v>40918</v>
      </c>
      <c r="J154" s="242" t="s">
        <v>21161</v>
      </c>
      <c r="K154" s="242"/>
      <c r="L154" s="66"/>
      <c r="M154" s="242" t="s">
        <v>14091</v>
      </c>
      <c r="N154" s="242" t="s">
        <v>18222</v>
      </c>
      <c r="O154" s="41"/>
    </row>
    <row r="155" spans="1:26" ht="60" customHeight="1" x14ac:dyDescent="0.3">
      <c r="A155" s="242">
        <v>152</v>
      </c>
      <c r="B155" s="242" t="s">
        <v>18420</v>
      </c>
      <c r="C155" s="242" t="s">
        <v>18421</v>
      </c>
      <c r="D155" s="60" t="s">
        <v>18422</v>
      </c>
      <c r="E155" s="242">
        <v>53.9</v>
      </c>
      <c r="F155" s="244">
        <f>608356.36/4553.3*E155</f>
        <v>7201.4599969253059</v>
      </c>
      <c r="G155" s="244">
        <f>286370.51/4553.3*E155</f>
        <v>3389.9304875584739</v>
      </c>
      <c r="H155" s="244"/>
      <c r="I155" s="243">
        <v>40931</v>
      </c>
      <c r="J155" s="242" t="s">
        <v>18423</v>
      </c>
      <c r="K155" s="242"/>
      <c r="L155" s="66"/>
      <c r="M155" s="242" t="s">
        <v>14091</v>
      </c>
      <c r="N155" s="242" t="s">
        <v>18734</v>
      </c>
      <c r="O155" s="41"/>
    </row>
    <row r="156" spans="1:26" ht="84" customHeight="1" x14ac:dyDescent="0.3">
      <c r="A156" s="242">
        <v>153</v>
      </c>
      <c r="B156" s="242" t="s">
        <v>21192</v>
      </c>
      <c r="C156" s="242" t="s">
        <v>18470</v>
      </c>
      <c r="D156" s="60" t="s">
        <v>18787</v>
      </c>
      <c r="E156" s="242">
        <v>3360</v>
      </c>
      <c r="F156" s="244">
        <v>206868985.91999999</v>
      </c>
      <c r="G156" s="244">
        <v>26086513.530000001</v>
      </c>
      <c r="H156" s="244">
        <v>43775424</v>
      </c>
      <c r="I156" s="243">
        <v>38316</v>
      </c>
      <c r="J156" s="242" t="s">
        <v>18786</v>
      </c>
      <c r="K156" s="242"/>
      <c r="L156" s="66"/>
      <c r="M156" s="242" t="s">
        <v>13904</v>
      </c>
      <c r="N156" s="242" t="s">
        <v>22096</v>
      </c>
      <c r="O156" s="38"/>
    </row>
    <row r="157" spans="1:26" ht="132" customHeight="1" x14ac:dyDescent="0.3">
      <c r="A157" s="242" t="s">
        <v>21191</v>
      </c>
      <c r="B157" s="242" t="s">
        <v>14361</v>
      </c>
      <c r="C157" s="242" t="s">
        <v>18470</v>
      </c>
      <c r="D157" s="60" t="s">
        <v>21193</v>
      </c>
      <c r="E157" s="242">
        <v>2590</v>
      </c>
      <c r="F157" s="244"/>
      <c r="G157" s="244"/>
      <c r="H157" s="244">
        <v>1719.9</v>
      </c>
      <c r="I157" s="243" t="s">
        <v>21194</v>
      </c>
      <c r="J157" s="242" t="s">
        <v>21372</v>
      </c>
      <c r="K157" s="242"/>
      <c r="L157" s="66"/>
      <c r="M157" s="242" t="s">
        <v>13904</v>
      </c>
      <c r="N157" s="242" t="s">
        <v>22097</v>
      </c>
      <c r="O157" s="38"/>
    </row>
    <row r="158" spans="1:26" ht="132" customHeight="1" x14ac:dyDescent="0.3">
      <c r="A158" s="242" t="s">
        <v>21195</v>
      </c>
      <c r="B158" s="242" t="s">
        <v>21203</v>
      </c>
      <c r="C158" s="242" t="s">
        <v>18470</v>
      </c>
      <c r="D158" s="60" t="s">
        <v>21204</v>
      </c>
      <c r="E158" s="242">
        <v>800</v>
      </c>
      <c r="F158" s="244"/>
      <c r="G158" s="244"/>
      <c r="H158" s="244">
        <v>410201.28</v>
      </c>
      <c r="I158" s="243" t="s">
        <v>21194</v>
      </c>
      <c r="J158" s="242" t="s">
        <v>21394</v>
      </c>
      <c r="K158" s="242"/>
      <c r="L158" s="66"/>
      <c r="M158" s="242" t="s">
        <v>13904</v>
      </c>
      <c r="N158" s="242" t="s">
        <v>22098</v>
      </c>
      <c r="O158" s="38"/>
    </row>
    <row r="159" spans="1:26" ht="132" customHeight="1" x14ac:dyDescent="0.3">
      <c r="A159" s="242" t="s">
        <v>21196</v>
      </c>
      <c r="B159" s="242" t="s">
        <v>14361</v>
      </c>
      <c r="C159" s="242" t="s">
        <v>18470</v>
      </c>
      <c r="D159" s="60" t="s">
        <v>21205</v>
      </c>
      <c r="E159" s="242">
        <v>8250</v>
      </c>
      <c r="F159" s="244"/>
      <c r="G159" s="244"/>
      <c r="H159" s="244">
        <v>1719.9</v>
      </c>
      <c r="I159" s="243" t="s">
        <v>21194</v>
      </c>
      <c r="J159" s="242" t="s">
        <v>21402</v>
      </c>
      <c r="K159" s="242"/>
      <c r="L159" s="66"/>
      <c r="M159" s="242" t="s">
        <v>13904</v>
      </c>
      <c r="N159" s="242" t="s">
        <v>22099</v>
      </c>
      <c r="O159" s="38"/>
    </row>
    <row r="160" spans="1:26" ht="132" customHeight="1" x14ac:dyDescent="0.3">
      <c r="A160" s="242" t="s">
        <v>21197</v>
      </c>
      <c r="B160" s="242" t="s">
        <v>21209</v>
      </c>
      <c r="C160" s="242" t="s">
        <v>18470</v>
      </c>
      <c r="D160" s="60" t="s">
        <v>21206</v>
      </c>
      <c r="E160" s="242">
        <v>1723</v>
      </c>
      <c r="F160" s="244"/>
      <c r="G160" s="244"/>
      <c r="H160" s="244">
        <v>25502695.039999999</v>
      </c>
      <c r="I160" s="243" t="s">
        <v>21194</v>
      </c>
      <c r="J160" s="242" t="s">
        <v>21763</v>
      </c>
      <c r="K160" s="242"/>
      <c r="L160" s="66"/>
      <c r="M160" s="242" t="s">
        <v>13904</v>
      </c>
      <c r="N160" s="242" t="s">
        <v>22103</v>
      </c>
      <c r="O160" s="38"/>
    </row>
    <row r="161" spans="1:15" ht="132" customHeight="1" x14ac:dyDescent="0.3">
      <c r="A161" s="242" t="s">
        <v>21198</v>
      </c>
      <c r="B161" s="242" t="s">
        <v>21208</v>
      </c>
      <c r="C161" s="242" t="s">
        <v>18470</v>
      </c>
      <c r="D161" s="60" t="s">
        <v>21207</v>
      </c>
      <c r="E161" s="242">
        <v>1269.2</v>
      </c>
      <c r="F161" s="244"/>
      <c r="G161" s="244"/>
      <c r="H161" s="244">
        <v>19123036.399999999</v>
      </c>
      <c r="I161" s="243" t="s">
        <v>21194</v>
      </c>
      <c r="J161" s="242" t="s">
        <v>21480</v>
      </c>
      <c r="K161" s="242"/>
      <c r="L161" s="66"/>
      <c r="M161" s="242" t="s">
        <v>13904</v>
      </c>
      <c r="N161" s="242" t="s">
        <v>22100</v>
      </c>
      <c r="O161" s="38"/>
    </row>
    <row r="162" spans="1:15" ht="132" customHeight="1" x14ac:dyDescent="0.3">
      <c r="A162" s="242" t="s">
        <v>21199</v>
      </c>
      <c r="B162" s="242" t="s">
        <v>21210</v>
      </c>
      <c r="C162" s="242" t="s">
        <v>18470</v>
      </c>
      <c r="D162" s="60" t="s">
        <v>21211</v>
      </c>
      <c r="E162" s="242">
        <v>75.599999999999994</v>
      </c>
      <c r="F162" s="244"/>
      <c r="G162" s="244"/>
      <c r="H162" s="244">
        <v>2833463.81</v>
      </c>
      <c r="I162" s="243" t="s">
        <v>21194</v>
      </c>
      <c r="J162" s="242" t="s">
        <v>21497</v>
      </c>
      <c r="K162" s="242"/>
      <c r="L162" s="66"/>
      <c r="M162" s="242" t="s">
        <v>13904</v>
      </c>
      <c r="N162" s="242" t="s">
        <v>22101</v>
      </c>
      <c r="O162" s="38"/>
    </row>
    <row r="163" spans="1:15" ht="132" customHeight="1" x14ac:dyDescent="0.3">
      <c r="A163" s="242" t="s">
        <v>21200</v>
      </c>
      <c r="B163" s="242" t="s">
        <v>21212</v>
      </c>
      <c r="C163" s="242" t="s">
        <v>18470</v>
      </c>
      <c r="D163" s="60" t="s">
        <v>21214</v>
      </c>
      <c r="E163" s="242">
        <v>199</v>
      </c>
      <c r="F163" s="244"/>
      <c r="G163" s="244"/>
      <c r="H163" s="244">
        <v>376017.84</v>
      </c>
      <c r="I163" s="243" t="s">
        <v>21194</v>
      </c>
      <c r="J163" s="242" t="s">
        <v>21762</v>
      </c>
      <c r="K163" s="242"/>
      <c r="L163" s="66"/>
      <c r="M163" s="242" t="s">
        <v>13904</v>
      </c>
      <c r="N163" s="242" t="s">
        <v>22102</v>
      </c>
      <c r="O163" s="38"/>
    </row>
    <row r="164" spans="1:15" ht="96" customHeight="1" x14ac:dyDescent="0.3">
      <c r="A164" s="242" t="s">
        <v>21201</v>
      </c>
      <c r="B164" s="242" t="s">
        <v>15445</v>
      </c>
      <c r="C164" s="242" t="s">
        <v>18470</v>
      </c>
      <c r="D164" s="60" t="s">
        <v>21215</v>
      </c>
      <c r="E164" s="242">
        <v>2040</v>
      </c>
      <c r="F164" s="244"/>
      <c r="G164" s="244"/>
      <c r="H164" s="244">
        <v>1416412.8</v>
      </c>
      <c r="I164" s="243" t="s">
        <v>21194</v>
      </c>
      <c r="J164" s="242" t="s">
        <v>21766</v>
      </c>
      <c r="K164" s="242"/>
      <c r="L164" s="66"/>
      <c r="M164" s="242" t="s">
        <v>13904</v>
      </c>
      <c r="N164" s="242" t="s">
        <v>22104</v>
      </c>
      <c r="O164" s="38"/>
    </row>
    <row r="165" spans="1:15" ht="132" customHeight="1" x14ac:dyDescent="0.3">
      <c r="A165" s="242" t="s">
        <v>21202</v>
      </c>
      <c r="B165" s="242" t="s">
        <v>21216</v>
      </c>
      <c r="C165" s="242" t="s">
        <v>18470</v>
      </c>
      <c r="D165" s="60" t="s">
        <v>21213</v>
      </c>
      <c r="E165" s="242">
        <v>1373</v>
      </c>
      <c r="F165" s="244"/>
      <c r="G165" s="244"/>
      <c r="H165" s="244">
        <v>1214833.2</v>
      </c>
      <c r="I165" s="243" t="s">
        <v>21194</v>
      </c>
      <c r="J165" s="242" t="s">
        <v>21767</v>
      </c>
      <c r="K165" s="242"/>
      <c r="L165" s="66"/>
      <c r="M165" s="242" t="s">
        <v>13904</v>
      </c>
      <c r="N165" s="242" t="s">
        <v>22105</v>
      </c>
      <c r="O165" s="38"/>
    </row>
    <row r="166" spans="1:15" ht="96" customHeight="1" x14ac:dyDescent="0.3">
      <c r="A166" s="242" t="s">
        <v>21306</v>
      </c>
      <c r="B166" s="242" t="s">
        <v>21307</v>
      </c>
      <c r="C166" s="242" t="s">
        <v>18470</v>
      </c>
      <c r="D166" s="60" t="s">
        <v>21309</v>
      </c>
      <c r="E166" s="2">
        <v>657.8</v>
      </c>
      <c r="F166" s="11"/>
      <c r="G166" s="11"/>
      <c r="H166" s="11">
        <v>61878</v>
      </c>
      <c r="I166" s="3" t="s">
        <v>21194</v>
      </c>
      <c r="J166" s="2" t="s">
        <v>21765</v>
      </c>
      <c r="K166" s="2"/>
      <c r="L166" s="66"/>
      <c r="M166" s="242" t="s">
        <v>13904</v>
      </c>
      <c r="N166" s="2" t="s">
        <v>22106</v>
      </c>
      <c r="O166" s="38"/>
    </row>
    <row r="167" spans="1:15" ht="96" customHeight="1" x14ac:dyDescent="0.3">
      <c r="A167" s="6" t="s">
        <v>21311</v>
      </c>
      <c r="B167" s="6" t="s">
        <v>21308</v>
      </c>
      <c r="C167" s="242" t="s">
        <v>18470</v>
      </c>
      <c r="D167" s="60" t="s">
        <v>21310</v>
      </c>
      <c r="E167" s="6">
        <v>1091</v>
      </c>
      <c r="F167" s="73"/>
      <c r="G167" s="73"/>
      <c r="H167" s="73">
        <v>102628.2</v>
      </c>
      <c r="I167" s="3" t="s">
        <v>21194</v>
      </c>
      <c r="J167" s="2" t="s">
        <v>21764</v>
      </c>
      <c r="K167" s="73"/>
      <c r="L167" s="73"/>
      <c r="M167" s="242" t="s">
        <v>13904</v>
      </c>
      <c r="N167" s="2" t="s">
        <v>22107</v>
      </c>
      <c r="O167" s="38"/>
    </row>
    <row r="168" spans="1:15" ht="60" customHeight="1" x14ac:dyDescent="0.3">
      <c r="A168" s="242">
        <v>154</v>
      </c>
      <c r="B168" s="242" t="s">
        <v>18412</v>
      </c>
      <c r="C168" s="242" t="s">
        <v>18413</v>
      </c>
      <c r="D168" s="60" t="s">
        <v>18366</v>
      </c>
      <c r="E168" s="242" t="s">
        <v>30</v>
      </c>
      <c r="F168" s="244">
        <v>255284583.31999999</v>
      </c>
      <c r="G168" s="244">
        <v>64219201.259999998</v>
      </c>
      <c r="H168" s="244"/>
      <c r="I168" s="243">
        <v>39533</v>
      </c>
      <c r="J168" s="242" t="s">
        <v>18367</v>
      </c>
      <c r="K168" s="242"/>
      <c r="L168" s="245"/>
      <c r="M168" s="2" t="s">
        <v>14091</v>
      </c>
      <c r="N168" s="242" t="s">
        <v>18368</v>
      </c>
      <c r="O168" s="41"/>
    </row>
    <row r="169" spans="1:15" ht="84" customHeight="1" x14ac:dyDescent="0.3">
      <c r="A169" s="242">
        <v>155</v>
      </c>
      <c r="B169" s="242" t="s">
        <v>18794</v>
      </c>
      <c r="C169" s="242" t="s">
        <v>18795</v>
      </c>
      <c r="D169" s="60" t="s">
        <v>18796</v>
      </c>
      <c r="E169" s="2">
        <v>111.4</v>
      </c>
      <c r="F169" s="11">
        <v>2430580</v>
      </c>
      <c r="G169" s="11">
        <v>778843.71</v>
      </c>
      <c r="H169" s="242">
        <v>788797.78</v>
      </c>
      <c r="I169" s="3">
        <v>39533</v>
      </c>
      <c r="J169" s="2" t="s">
        <v>18797</v>
      </c>
      <c r="K169" s="2"/>
      <c r="L169" s="66"/>
      <c r="M169" s="242" t="s">
        <v>13904</v>
      </c>
      <c r="N169" s="2" t="s">
        <v>18480</v>
      </c>
      <c r="O169" s="41"/>
    </row>
    <row r="170" spans="1:15" ht="60" customHeight="1" x14ac:dyDescent="0.3">
      <c r="A170" s="242">
        <v>156</v>
      </c>
      <c r="B170" s="242" t="s">
        <v>11533</v>
      </c>
      <c r="C170" s="242" t="s">
        <v>18416</v>
      </c>
      <c r="D170" s="60" t="s">
        <v>14906</v>
      </c>
      <c r="E170" s="2">
        <v>36.9</v>
      </c>
      <c r="F170" s="11">
        <v>21357898.66</v>
      </c>
      <c r="G170" s="242" t="s">
        <v>14908</v>
      </c>
      <c r="H170" s="178"/>
      <c r="I170" s="3">
        <v>40530</v>
      </c>
      <c r="J170" s="2" t="s">
        <v>18417</v>
      </c>
      <c r="K170" s="2"/>
      <c r="L170" s="66"/>
      <c r="M170" s="2" t="s">
        <v>14091</v>
      </c>
      <c r="N170" s="2" t="s">
        <v>18208</v>
      </c>
      <c r="O170" s="41"/>
    </row>
    <row r="171" spans="1:15" ht="60" customHeight="1" x14ac:dyDescent="0.3">
      <c r="A171" s="242">
        <v>157</v>
      </c>
      <c r="B171" s="242" t="s">
        <v>11534</v>
      </c>
      <c r="C171" s="242" t="s">
        <v>18414</v>
      </c>
      <c r="D171" s="60" t="s">
        <v>14907</v>
      </c>
      <c r="E171" s="2">
        <v>191.4</v>
      </c>
      <c r="F171" s="11">
        <v>1122188.68</v>
      </c>
      <c r="G171" s="11"/>
      <c r="H171" s="242" t="s">
        <v>14909</v>
      </c>
      <c r="I171" s="3">
        <v>40530</v>
      </c>
      <c r="J171" s="2" t="s">
        <v>18415</v>
      </c>
      <c r="K171" s="2"/>
      <c r="L171" s="66"/>
      <c r="M171" s="242" t="s">
        <v>14091</v>
      </c>
      <c r="N171" s="2" t="s">
        <v>18207</v>
      </c>
      <c r="O171" s="41"/>
    </row>
    <row r="172" spans="1:15" ht="84" customHeight="1" x14ac:dyDescent="0.3">
      <c r="A172" s="242">
        <v>158</v>
      </c>
      <c r="B172" s="242" t="s">
        <v>18790</v>
      </c>
      <c r="C172" s="242" t="s">
        <v>18791</v>
      </c>
      <c r="D172" s="60" t="s">
        <v>18792</v>
      </c>
      <c r="E172" s="30">
        <v>98</v>
      </c>
      <c r="F172" s="244">
        <v>2972240</v>
      </c>
      <c r="G172" s="244">
        <v>1328656.31</v>
      </c>
      <c r="H172" s="244">
        <v>1091339.76</v>
      </c>
      <c r="I172" s="3">
        <v>39533</v>
      </c>
      <c r="J172" s="242" t="s">
        <v>18793</v>
      </c>
      <c r="K172" s="242"/>
      <c r="L172" s="66"/>
      <c r="M172" s="242" t="s">
        <v>13904</v>
      </c>
      <c r="N172" s="242" t="s">
        <v>18479</v>
      </c>
      <c r="O172" s="41"/>
    </row>
    <row r="173" spans="1:15" ht="72" customHeight="1" x14ac:dyDescent="0.3">
      <c r="A173" s="242">
        <v>159</v>
      </c>
      <c r="B173" s="242" t="s">
        <v>11490</v>
      </c>
      <c r="C173" s="242" t="s">
        <v>31</v>
      </c>
      <c r="D173" s="60" t="s">
        <v>11491</v>
      </c>
      <c r="E173" s="2">
        <v>356.6</v>
      </c>
      <c r="F173" s="244">
        <v>2550747.2599999998</v>
      </c>
      <c r="G173" s="11">
        <v>1119516.25</v>
      </c>
      <c r="H173" s="242"/>
      <c r="I173" s="3">
        <v>39308</v>
      </c>
      <c r="J173" s="2" t="s">
        <v>11492</v>
      </c>
      <c r="K173" s="2"/>
      <c r="L173" s="66"/>
      <c r="M173" s="242" t="s">
        <v>14091</v>
      </c>
      <c r="N173" s="242" t="s">
        <v>19036</v>
      </c>
      <c r="O173" s="41"/>
    </row>
    <row r="174" spans="1:15" ht="72" customHeight="1" x14ac:dyDescent="0.3">
      <c r="A174" s="242">
        <v>160</v>
      </c>
      <c r="B174" s="242" t="s">
        <v>84</v>
      </c>
      <c r="C174" s="242" t="s">
        <v>85</v>
      </c>
      <c r="D174" s="87"/>
      <c r="E174" s="242" t="s">
        <v>32</v>
      </c>
      <c r="F174" s="242"/>
      <c r="G174" s="242"/>
      <c r="H174" s="242"/>
      <c r="I174" s="243">
        <v>35727</v>
      </c>
      <c r="J174" s="242" t="s">
        <v>12011</v>
      </c>
      <c r="K174" s="243">
        <v>39787</v>
      </c>
      <c r="L174" s="66" t="s">
        <v>20267</v>
      </c>
      <c r="M174" s="201" t="s">
        <v>12550</v>
      </c>
      <c r="N174" s="242"/>
      <c r="O174" s="38"/>
    </row>
    <row r="175" spans="1:15" ht="60" customHeight="1" x14ac:dyDescent="0.3">
      <c r="A175" s="242">
        <v>161</v>
      </c>
      <c r="B175" s="2" t="s">
        <v>34</v>
      </c>
      <c r="C175" s="2" t="s">
        <v>11789</v>
      </c>
      <c r="D175" s="242"/>
      <c r="E175" s="242">
        <v>282</v>
      </c>
      <c r="F175" s="242"/>
      <c r="G175" s="242"/>
      <c r="H175" s="242"/>
      <c r="I175" s="3">
        <v>35727</v>
      </c>
      <c r="J175" s="242" t="s">
        <v>12011</v>
      </c>
      <c r="K175" s="243">
        <v>41954</v>
      </c>
      <c r="L175" s="66" t="s">
        <v>11790</v>
      </c>
      <c r="M175" s="2" t="s">
        <v>14091</v>
      </c>
      <c r="N175" s="242"/>
      <c r="O175" s="41"/>
    </row>
    <row r="176" spans="1:15" ht="60" customHeight="1" x14ac:dyDescent="0.3">
      <c r="A176" s="242">
        <v>162</v>
      </c>
      <c r="B176" s="242" t="s">
        <v>11504</v>
      </c>
      <c r="C176" s="242" t="s">
        <v>11505</v>
      </c>
      <c r="D176" s="60" t="s">
        <v>11506</v>
      </c>
      <c r="E176" s="242">
        <v>2638.5</v>
      </c>
      <c r="F176" s="242"/>
      <c r="G176" s="242"/>
      <c r="H176" s="242"/>
      <c r="I176" s="243">
        <v>38786</v>
      </c>
      <c r="J176" s="242" t="s">
        <v>11507</v>
      </c>
      <c r="K176" s="243">
        <v>41955</v>
      </c>
      <c r="L176" s="66" t="s">
        <v>11791</v>
      </c>
      <c r="M176" s="2" t="s">
        <v>14091</v>
      </c>
      <c r="N176" s="242"/>
      <c r="O176" s="41"/>
    </row>
    <row r="177" spans="1:15" ht="60" customHeight="1" x14ac:dyDescent="0.3">
      <c r="A177" s="242">
        <v>163</v>
      </c>
      <c r="B177" s="242" t="s">
        <v>11535</v>
      </c>
      <c r="C177" s="242" t="s">
        <v>18418</v>
      </c>
      <c r="D177" s="60" t="s">
        <v>14905</v>
      </c>
      <c r="E177" s="242">
        <v>144.80000000000001</v>
      </c>
      <c r="F177" s="244">
        <v>1196516.6200000001</v>
      </c>
      <c r="G177" s="242"/>
      <c r="H177" s="242" t="s">
        <v>14910</v>
      </c>
      <c r="I177" s="3">
        <v>40530</v>
      </c>
      <c r="J177" s="242" t="s">
        <v>18419</v>
      </c>
      <c r="K177" s="242"/>
      <c r="L177" s="66"/>
      <c r="M177" s="2" t="s">
        <v>14091</v>
      </c>
      <c r="N177" s="242" t="s">
        <v>18209</v>
      </c>
      <c r="O177" s="41"/>
    </row>
    <row r="178" spans="1:15" ht="60" customHeight="1" x14ac:dyDescent="0.3">
      <c r="A178" s="242">
        <v>164</v>
      </c>
      <c r="B178" s="242" t="s">
        <v>11501</v>
      </c>
      <c r="C178" s="242" t="s">
        <v>12827</v>
      </c>
      <c r="D178" s="60" t="s">
        <v>11500</v>
      </c>
      <c r="E178" s="242" t="s">
        <v>11502</v>
      </c>
      <c r="F178" s="242"/>
      <c r="G178" s="242"/>
      <c r="H178" s="242"/>
      <c r="I178" s="3">
        <v>38786</v>
      </c>
      <c r="J178" s="2" t="s">
        <v>11503</v>
      </c>
      <c r="K178" s="243">
        <v>41955</v>
      </c>
      <c r="L178" s="66" t="s">
        <v>11791</v>
      </c>
      <c r="M178" s="242" t="s">
        <v>14091</v>
      </c>
      <c r="N178" s="242"/>
      <c r="O178" s="41"/>
    </row>
    <row r="179" spans="1:15" ht="312" customHeight="1" x14ac:dyDescent="0.3">
      <c r="A179" s="242">
        <v>165</v>
      </c>
      <c r="B179" s="242" t="s">
        <v>11548</v>
      </c>
      <c r="C179" s="242" t="s">
        <v>36</v>
      </c>
      <c r="D179" s="60" t="s">
        <v>37</v>
      </c>
      <c r="E179" s="242" t="s">
        <v>38</v>
      </c>
      <c r="F179" s="244">
        <v>1415081.18</v>
      </c>
      <c r="G179" s="244">
        <v>498211.74</v>
      </c>
      <c r="H179" s="244"/>
      <c r="I179" s="243">
        <v>41782</v>
      </c>
      <c r="J179" s="242" t="s">
        <v>12016</v>
      </c>
      <c r="K179" s="242"/>
      <c r="L179" s="66"/>
      <c r="M179" s="201" t="s">
        <v>12550</v>
      </c>
      <c r="N179" s="242" t="s">
        <v>18534</v>
      </c>
      <c r="O179" s="41"/>
    </row>
    <row r="180" spans="1:15" ht="72" customHeight="1" x14ac:dyDescent="0.3">
      <c r="A180" s="242">
        <v>166</v>
      </c>
      <c r="B180" s="242" t="s">
        <v>20266</v>
      </c>
      <c r="C180" s="242" t="s">
        <v>55</v>
      </c>
      <c r="D180" s="60" t="s">
        <v>56</v>
      </c>
      <c r="E180" s="242" t="s">
        <v>57</v>
      </c>
      <c r="F180" s="244">
        <v>3919392.24</v>
      </c>
      <c r="G180" s="244">
        <v>2486152.64</v>
      </c>
      <c r="H180" s="244"/>
      <c r="I180" s="243">
        <v>38901</v>
      </c>
      <c r="J180" s="242" t="s">
        <v>12017</v>
      </c>
      <c r="K180" s="242"/>
      <c r="L180" s="66"/>
      <c r="M180" s="201" t="s">
        <v>12550</v>
      </c>
      <c r="N180" s="242" t="s">
        <v>20133</v>
      </c>
      <c r="O180" s="41"/>
    </row>
    <row r="181" spans="1:15" ht="60" customHeight="1" x14ac:dyDescent="0.3">
      <c r="A181" s="242">
        <v>167</v>
      </c>
      <c r="B181" s="242" t="s">
        <v>11508</v>
      </c>
      <c r="C181" s="242" t="s">
        <v>11510</v>
      </c>
      <c r="D181" s="60" t="s">
        <v>11511</v>
      </c>
      <c r="E181" s="2" t="s">
        <v>11509</v>
      </c>
      <c r="F181" s="242"/>
      <c r="G181" s="2"/>
      <c r="H181" s="242"/>
      <c r="I181" s="3">
        <v>38908</v>
      </c>
      <c r="J181" s="2" t="s">
        <v>11507</v>
      </c>
      <c r="K181" s="243">
        <v>41955</v>
      </c>
      <c r="L181" s="66" t="s">
        <v>11791</v>
      </c>
      <c r="M181" s="242" t="s">
        <v>14091</v>
      </c>
      <c r="N181" s="2"/>
      <c r="O181" s="41"/>
    </row>
    <row r="182" spans="1:15" ht="60" customHeight="1" x14ac:dyDescent="0.3">
      <c r="A182" s="242">
        <v>168</v>
      </c>
      <c r="B182" s="242" t="s">
        <v>11516</v>
      </c>
      <c r="C182" s="242" t="s">
        <v>11512</v>
      </c>
      <c r="D182" s="60" t="s">
        <v>11513</v>
      </c>
      <c r="E182" s="242" t="s">
        <v>11514</v>
      </c>
      <c r="F182" s="244"/>
      <c r="G182" s="244"/>
      <c r="H182" s="242"/>
      <c r="I182" s="243">
        <v>38901</v>
      </c>
      <c r="J182" s="242" t="s">
        <v>11515</v>
      </c>
      <c r="K182" s="243">
        <v>41955</v>
      </c>
      <c r="L182" s="66" t="s">
        <v>11791</v>
      </c>
      <c r="M182" s="242" t="s">
        <v>14091</v>
      </c>
      <c r="N182" s="242"/>
      <c r="O182" s="41"/>
    </row>
    <row r="183" spans="1:15" ht="60" customHeight="1" x14ac:dyDescent="0.3">
      <c r="A183" s="242">
        <v>169</v>
      </c>
      <c r="B183" s="29" t="s">
        <v>11524</v>
      </c>
      <c r="C183" s="242" t="s">
        <v>11522</v>
      </c>
      <c r="D183" s="60" t="s">
        <v>11523</v>
      </c>
      <c r="E183" s="242">
        <v>2519.3000000000002</v>
      </c>
      <c r="F183" s="244"/>
      <c r="G183" s="244"/>
      <c r="H183" s="242"/>
      <c r="I183" s="3"/>
      <c r="J183" s="242"/>
      <c r="K183" s="243">
        <v>41955</v>
      </c>
      <c r="L183" s="66" t="s">
        <v>11791</v>
      </c>
      <c r="M183" s="2" t="s">
        <v>14091</v>
      </c>
      <c r="N183" s="242"/>
      <c r="O183" s="41"/>
    </row>
    <row r="184" spans="1:15" ht="60" customHeight="1" x14ac:dyDescent="0.3">
      <c r="A184" s="242">
        <v>170</v>
      </c>
      <c r="B184" s="242" t="s">
        <v>11517</v>
      </c>
      <c r="C184" s="242" t="s">
        <v>11518</v>
      </c>
      <c r="D184" s="60" t="s">
        <v>11519</v>
      </c>
      <c r="E184" s="242" t="s">
        <v>11520</v>
      </c>
      <c r="F184" s="242"/>
      <c r="G184" s="242"/>
      <c r="H184" s="242"/>
      <c r="I184" s="243">
        <v>38901</v>
      </c>
      <c r="J184" s="242" t="s">
        <v>11521</v>
      </c>
      <c r="K184" s="243">
        <v>41955</v>
      </c>
      <c r="L184" s="66" t="s">
        <v>11791</v>
      </c>
      <c r="M184" s="242" t="s">
        <v>14091</v>
      </c>
      <c r="N184" s="242"/>
      <c r="O184" s="41"/>
    </row>
    <row r="185" spans="1:15" ht="90.6" customHeight="1" x14ac:dyDescent="0.3">
      <c r="A185" s="242">
        <v>171</v>
      </c>
      <c r="B185" s="242" t="s">
        <v>18471</v>
      </c>
      <c r="C185" s="242" t="s">
        <v>12602</v>
      </c>
      <c r="D185" s="60" t="s">
        <v>20432</v>
      </c>
      <c r="E185" s="242">
        <v>287.3</v>
      </c>
      <c r="F185" s="244">
        <v>29064.1</v>
      </c>
      <c r="G185" s="244">
        <v>13851.5</v>
      </c>
      <c r="H185" s="244"/>
      <c r="I185" s="243">
        <v>38807</v>
      </c>
      <c r="J185" s="242" t="s">
        <v>20433</v>
      </c>
      <c r="K185" s="242"/>
      <c r="L185" s="66"/>
      <c r="M185" s="242" t="s">
        <v>14091</v>
      </c>
      <c r="N185" s="242" t="s">
        <v>18219</v>
      </c>
      <c r="O185" s="41"/>
    </row>
    <row r="186" spans="1:15" ht="72" customHeight="1" x14ac:dyDescent="0.3">
      <c r="A186" s="242">
        <v>172</v>
      </c>
      <c r="B186" s="242" t="s">
        <v>11402</v>
      </c>
      <c r="C186" s="242" t="s">
        <v>12828</v>
      </c>
      <c r="D186" s="60" t="s">
        <v>11406</v>
      </c>
      <c r="E186" s="2"/>
      <c r="F186" s="242"/>
      <c r="G186" s="242"/>
      <c r="H186" s="244"/>
      <c r="I186" s="3" t="s">
        <v>11403</v>
      </c>
      <c r="J186" s="2" t="s">
        <v>11404</v>
      </c>
      <c r="K186" s="2"/>
      <c r="L186" s="66"/>
      <c r="M186" s="201" t="s">
        <v>12550</v>
      </c>
      <c r="N186" s="2"/>
      <c r="O186" s="41"/>
    </row>
    <row r="187" spans="1:15" ht="144" customHeight="1" x14ac:dyDescent="0.3">
      <c r="A187" s="2">
        <v>173</v>
      </c>
      <c r="B187" s="242" t="s">
        <v>11405</v>
      </c>
      <c r="C187" s="242" t="s">
        <v>12829</v>
      </c>
      <c r="D187" s="242"/>
      <c r="E187" s="242"/>
      <c r="F187" s="242"/>
      <c r="G187" s="242"/>
      <c r="H187" s="242"/>
      <c r="I187" s="243"/>
      <c r="J187" s="242"/>
      <c r="K187" s="242" t="s">
        <v>19690</v>
      </c>
      <c r="L187" s="66" t="s">
        <v>19691</v>
      </c>
      <c r="M187" s="201" t="s">
        <v>12550</v>
      </c>
      <c r="N187" s="242"/>
      <c r="O187" s="41"/>
    </row>
    <row r="188" spans="1:15" ht="96" customHeight="1" x14ac:dyDescent="0.3">
      <c r="A188" s="242">
        <v>174</v>
      </c>
      <c r="B188" s="242" t="s">
        <v>18448</v>
      </c>
      <c r="C188" s="242" t="s">
        <v>18449</v>
      </c>
      <c r="D188" s="60" t="s">
        <v>20728</v>
      </c>
      <c r="E188" s="242">
        <v>3735.6</v>
      </c>
      <c r="F188" s="244">
        <v>1079385</v>
      </c>
      <c r="G188" s="244">
        <v>693730.12</v>
      </c>
      <c r="H188" s="244">
        <v>43268616</v>
      </c>
      <c r="I188" s="243">
        <v>35727</v>
      </c>
      <c r="J188" s="242" t="s">
        <v>21140</v>
      </c>
      <c r="K188" s="242"/>
      <c r="L188" s="66"/>
      <c r="M188" s="242" t="s">
        <v>14091</v>
      </c>
      <c r="N188" s="242" t="s">
        <v>21141</v>
      </c>
      <c r="O188" s="41"/>
    </row>
    <row r="189" spans="1:15" ht="120" customHeight="1" x14ac:dyDescent="0.3">
      <c r="A189" s="242">
        <v>175</v>
      </c>
      <c r="B189" s="242" t="s">
        <v>19043</v>
      </c>
      <c r="C189" s="242" t="s">
        <v>19097</v>
      </c>
      <c r="D189" s="60" t="s">
        <v>18784</v>
      </c>
      <c r="E189" s="242">
        <v>129.5</v>
      </c>
      <c r="F189" s="22">
        <v>1285168.1200000001</v>
      </c>
      <c r="G189" s="244">
        <v>12852168.119999999</v>
      </c>
      <c r="H189" s="244">
        <v>4822929.6500000004</v>
      </c>
      <c r="I189" s="243">
        <v>37246</v>
      </c>
      <c r="J189" s="242" t="s">
        <v>18785</v>
      </c>
      <c r="K189" s="242"/>
      <c r="L189" s="66"/>
      <c r="M189" s="2" t="s">
        <v>13904</v>
      </c>
      <c r="N189" s="242" t="s">
        <v>18589</v>
      </c>
      <c r="O189" s="41"/>
    </row>
    <row r="190" spans="1:15" ht="72" customHeight="1" x14ac:dyDescent="0.3">
      <c r="A190" s="242">
        <v>176</v>
      </c>
      <c r="B190" s="242" t="s">
        <v>39</v>
      </c>
      <c r="C190" s="242" t="s">
        <v>12603</v>
      </c>
      <c r="D190" s="242"/>
      <c r="E190" s="242">
        <v>16.5</v>
      </c>
      <c r="F190" s="244">
        <v>85669</v>
      </c>
      <c r="G190" s="244">
        <v>42113.4</v>
      </c>
      <c r="H190" s="242"/>
      <c r="I190" s="243">
        <v>35727</v>
      </c>
      <c r="J190" s="242" t="s">
        <v>12011</v>
      </c>
      <c r="K190" s="242"/>
      <c r="L190" s="66"/>
      <c r="M190" s="201" t="s">
        <v>12550</v>
      </c>
      <c r="N190" s="242"/>
      <c r="O190" s="41"/>
    </row>
    <row r="191" spans="1:15" ht="84" customHeight="1" x14ac:dyDescent="0.3">
      <c r="A191" s="242">
        <v>177</v>
      </c>
      <c r="B191" s="242" t="s">
        <v>18460</v>
      </c>
      <c r="C191" s="242" t="s">
        <v>18449</v>
      </c>
      <c r="D191" s="60" t="s">
        <v>18802</v>
      </c>
      <c r="E191" s="2">
        <v>64.5</v>
      </c>
      <c r="F191" s="11">
        <v>3220</v>
      </c>
      <c r="G191" s="11">
        <v>3220</v>
      </c>
      <c r="H191" s="11">
        <v>532496.52</v>
      </c>
      <c r="I191" s="3">
        <v>39680</v>
      </c>
      <c r="J191" s="2" t="s">
        <v>18803</v>
      </c>
      <c r="K191" s="2"/>
      <c r="L191" s="66"/>
      <c r="M191" s="2" t="s">
        <v>13904</v>
      </c>
      <c r="N191" s="2" t="s">
        <v>19221</v>
      </c>
      <c r="O191" s="41"/>
    </row>
    <row r="192" spans="1:15" ht="84" customHeight="1" x14ac:dyDescent="0.3">
      <c r="A192" s="242">
        <v>178</v>
      </c>
      <c r="B192" s="242" t="s">
        <v>18462</v>
      </c>
      <c r="C192" s="242" t="s">
        <v>18449</v>
      </c>
      <c r="D192" s="60" t="s">
        <v>18800</v>
      </c>
      <c r="E192" s="242">
        <v>91.2</v>
      </c>
      <c r="F192" s="244">
        <v>1311273</v>
      </c>
      <c r="G192" s="244">
        <v>1311273</v>
      </c>
      <c r="H192" s="244">
        <v>795839.47</v>
      </c>
      <c r="I192" s="243">
        <v>39680</v>
      </c>
      <c r="J192" s="242" t="s">
        <v>18801</v>
      </c>
      <c r="K192" s="242"/>
      <c r="L192" s="66"/>
      <c r="M192" s="242" t="s">
        <v>13904</v>
      </c>
      <c r="N192" s="242" t="s">
        <v>19221</v>
      </c>
      <c r="O192" s="41"/>
    </row>
    <row r="193" spans="1:26" ht="84" customHeight="1" x14ac:dyDescent="0.3">
      <c r="A193" s="242">
        <v>179</v>
      </c>
      <c r="B193" s="242" t="s">
        <v>18804</v>
      </c>
      <c r="C193" s="242" t="s">
        <v>18463</v>
      </c>
      <c r="D193" s="60" t="s">
        <v>18806</v>
      </c>
      <c r="E193" s="242">
        <v>436.5</v>
      </c>
      <c r="F193" s="244">
        <v>103078</v>
      </c>
      <c r="G193" s="244">
        <v>103078</v>
      </c>
      <c r="H193" s="244">
        <v>1398903.93</v>
      </c>
      <c r="I193" s="3">
        <v>39680</v>
      </c>
      <c r="J193" s="242" t="s">
        <v>18805</v>
      </c>
      <c r="K193" s="242"/>
      <c r="L193" s="66"/>
      <c r="M193" s="2" t="s">
        <v>13904</v>
      </c>
      <c r="N193" s="242" t="s">
        <v>19221</v>
      </c>
      <c r="O193" s="41"/>
    </row>
    <row r="194" spans="1:26" ht="84" customHeight="1" x14ac:dyDescent="0.3">
      <c r="A194" s="242">
        <v>180</v>
      </c>
      <c r="B194" s="242" t="s">
        <v>18451</v>
      </c>
      <c r="C194" s="242" t="s">
        <v>18452</v>
      </c>
      <c r="D194" s="60" t="s">
        <v>20567</v>
      </c>
      <c r="E194" s="242">
        <v>1743</v>
      </c>
      <c r="F194" s="244">
        <v>2745742.96</v>
      </c>
      <c r="G194" s="244">
        <v>1572168.83</v>
      </c>
      <c r="H194" s="244"/>
      <c r="I194" s="243">
        <v>38847</v>
      </c>
      <c r="J194" s="242" t="s">
        <v>20568</v>
      </c>
      <c r="K194" s="242"/>
      <c r="L194" s="66"/>
      <c r="M194" s="242" t="s">
        <v>14091</v>
      </c>
      <c r="N194" s="242" t="s">
        <v>21166</v>
      </c>
      <c r="O194" s="41"/>
    </row>
    <row r="195" spans="1:26" ht="60" customHeight="1" x14ac:dyDescent="0.3">
      <c r="A195" s="242">
        <v>181</v>
      </c>
      <c r="B195" s="242" t="s">
        <v>18391</v>
      </c>
      <c r="C195" s="242" t="s">
        <v>12604</v>
      </c>
      <c r="D195" s="60" t="s">
        <v>18392</v>
      </c>
      <c r="E195" s="2" t="s">
        <v>40</v>
      </c>
      <c r="F195" s="11">
        <v>155674.23999999999</v>
      </c>
      <c r="G195" s="11">
        <v>154119.24</v>
      </c>
      <c r="H195" s="11"/>
      <c r="I195" s="3">
        <v>38847</v>
      </c>
      <c r="J195" s="2" t="s">
        <v>18393</v>
      </c>
      <c r="K195" s="2"/>
      <c r="L195" s="66"/>
      <c r="M195" s="2" t="s">
        <v>14091</v>
      </c>
      <c r="N195" s="242" t="s">
        <v>18477</v>
      </c>
      <c r="O195" s="41"/>
    </row>
    <row r="196" spans="1:26" ht="85.95" customHeight="1" x14ac:dyDescent="0.3">
      <c r="A196" s="242">
        <v>182</v>
      </c>
      <c r="B196" s="242" t="s">
        <v>41</v>
      </c>
      <c r="C196" s="242" t="s">
        <v>20271</v>
      </c>
      <c r="D196" s="60" t="s">
        <v>20272</v>
      </c>
      <c r="E196" s="242">
        <v>13.4</v>
      </c>
      <c r="F196" s="244">
        <v>84460.479999999996</v>
      </c>
      <c r="G196" s="244">
        <v>34507.11</v>
      </c>
      <c r="H196" s="244"/>
      <c r="I196" s="3">
        <v>35727</v>
      </c>
      <c r="J196" s="242" t="s">
        <v>20273</v>
      </c>
      <c r="K196" s="242"/>
      <c r="L196" s="66"/>
      <c r="M196" s="2" t="s">
        <v>14091</v>
      </c>
      <c r="N196" s="242" t="s">
        <v>18477</v>
      </c>
      <c r="O196" s="38"/>
    </row>
    <row r="197" spans="1:26" ht="120" customHeight="1" x14ac:dyDescent="0.3">
      <c r="A197" s="242">
        <v>183</v>
      </c>
      <c r="B197" s="242" t="s">
        <v>18404</v>
      </c>
      <c r="C197" s="242" t="s">
        <v>18405</v>
      </c>
      <c r="D197" s="60" t="s">
        <v>18406</v>
      </c>
      <c r="E197" s="2" t="s">
        <v>42</v>
      </c>
      <c r="F197" s="11">
        <v>16424698.82</v>
      </c>
      <c r="G197" s="244">
        <v>11894160.18</v>
      </c>
      <c r="H197" s="244"/>
      <c r="I197" s="3">
        <v>38847</v>
      </c>
      <c r="J197" s="2" t="s">
        <v>18407</v>
      </c>
      <c r="K197" s="2"/>
      <c r="L197" s="66"/>
      <c r="M197" s="242" t="s">
        <v>14091</v>
      </c>
      <c r="N197" s="2" t="s">
        <v>23837</v>
      </c>
      <c r="O197" s="4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</row>
    <row r="198" spans="1:26" s="161" customFormat="1" ht="84" customHeight="1" x14ac:dyDescent="0.3">
      <c r="A198" s="242">
        <v>184</v>
      </c>
      <c r="B198" s="242" t="s">
        <v>18458</v>
      </c>
      <c r="C198" s="242" t="s">
        <v>12605</v>
      </c>
      <c r="D198" s="60" t="s">
        <v>21169</v>
      </c>
      <c r="E198" s="242" t="s">
        <v>43</v>
      </c>
      <c r="F198" s="244">
        <v>16118068.220000001</v>
      </c>
      <c r="G198" s="244">
        <v>11255785.550000001</v>
      </c>
      <c r="H198" s="242">
        <v>14147710.560000001</v>
      </c>
      <c r="I198" s="243">
        <v>38792</v>
      </c>
      <c r="J198" s="242" t="s">
        <v>21170</v>
      </c>
      <c r="K198" s="242"/>
      <c r="L198" s="66"/>
      <c r="M198" s="242" t="s">
        <v>14091</v>
      </c>
      <c r="N198" s="242" t="s">
        <v>21171</v>
      </c>
      <c r="O198" s="65"/>
      <c r="Q198" s="67"/>
      <c r="R198" s="67"/>
      <c r="S198" s="67"/>
      <c r="T198" s="67"/>
      <c r="U198" s="67"/>
      <c r="V198" s="67"/>
      <c r="W198" s="67"/>
      <c r="X198" s="67"/>
      <c r="Y198" s="67"/>
      <c r="Z198" s="67"/>
    </row>
    <row r="199" spans="1:26" ht="60" customHeight="1" x14ac:dyDescent="0.3">
      <c r="A199" s="242">
        <v>185</v>
      </c>
      <c r="B199" s="242" t="s">
        <v>18400</v>
      </c>
      <c r="C199" s="242" t="s">
        <v>18401</v>
      </c>
      <c r="D199" s="60" t="s">
        <v>18402</v>
      </c>
      <c r="E199" s="242" t="s">
        <v>44</v>
      </c>
      <c r="F199" s="244">
        <v>9481166.0399999991</v>
      </c>
      <c r="G199" s="244">
        <v>6568544.4299999997</v>
      </c>
      <c r="H199" s="244"/>
      <c r="I199" s="243">
        <v>38847</v>
      </c>
      <c r="J199" s="242" t="s">
        <v>18403</v>
      </c>
      <c r="K199" s="242"/>
      <c r="L199" s="66"/>
      <c r="M199" s="201" t="s">
        <v>12550</v>
      </c>
      <c r="N199" s="242"/>
      <c r="O199" s="41" t="s">
        <v>22562</v>
      </c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</row>
    <row r="200" spans="1:26" s="161" customFormat="1" ht="96" customHeight="1" x14ac:dyDescent="0.3">
      <c r="A200" s="242">
        <v>186</v>
      </c>
      <c r="B200" s="242" t="s">
        <v>18453</v>
      </c>
      <c r="C200" s="242" t="s">
        <v>18454</v>
      </c>
      <c r="D200" s="60" t="s">
        <v>11482</v>
      </c>
      <c r="E200" s="2" t="s">
        <v>45</v>
      </c>
      <c r="F200" s="11">
        <v>30878875.359999999</v>
      </c>
      <c r="G200" s="11">
        <v>22585392.109999999</v>
      </c>
      <c r="H200" s="242"/>
      <c r="I200" s="3">
        <v>38792</v>
      </c>
      <c r="J200" s="2" t="s">
        <v>11483</v>
      </c>
      <c r="K200" s="2" t="s">
        <v>20571</v>
      </c>
      <c r="L200" s="66" t="s">
        <v>20572</v>
      </c>
      <c r="M200" s="242" t="s">
        <v>14091</v>
      </c>
      <c r="N200" s="245" t="s">
        <v>18216</v>
      </c>
      <c r="O200" s="66" t="s">
        <v>20573</v>
      </c>
    </row>
    <row r="201" spans="1:26" s="161" customFormat="1" ht="191.4" customHeight="1" x14ac:dyDescent="0.3">
      <c r="A201" s="2">
        <v>187</v>
      </c>
      <c r="B201" s="2" t="s">
        <v>14580</v>
      </c>
      <c r="C201" s="38" t="s">
        <v>23662</v>
      </c>
      <c r="D201" s="60" t="s">
        <v>23658</v>
      </c>
      <c r="E201" s="2">
        <v>607.6</v>
      </c>
      <c r="F201" s="11">
        <v>392518.81</v>
      </c>
      <c r="G201" s="11">
        <v>123653.48</v>
      </c>
      <c r="H201" s="242"/>
      <c r="I201" s="3">
        <v>35727</v>
      </c>
      <c r="J201" s="2" t="s">
        <v>23659</v>
      </c>
      <c r="K201" s="2"/>
      <c r="L201" s="66"/>
      <c r="M201" s="242" t="s">
        <v>14091</v>
      </c>
      <c r="N201" s="2" t="s">
        <v>21859</v>
      </c>
      <c r="O201" s="245" t="s">
        <v>23657</v>
      </c>
      <c r="Q201" s="67"/>
      <c r="R201" s="67"/>
      <c r="S201" s="67"/>
      <c r="T201" s="67"/>
      <c r="U201" s="67"/>
      <c r="V201" s="67"/>
      <c r="W201" s="67"/>
      <c r="X201" s="67"/>
      <c r="Y201" s="67"/>
      <c r="Z201" s="67"/>
    </row>
    <row r="202" spans="1:26" ht="72" customHeight="1" x14ac:dyDescent="0.3">
      <c r="A202" s="2">
        <v>188</v>
      </c>
      <c r="B202" s="2" t="s">
        <v>47</v>
      </c>
      <c r="C202" s="2" t="s">
        <v>12584</v>
      </c>
      <c r="D202" s="242"/>
      <c r="E202" s="2">
        <v>1600</v>
      </c>
      <c r="F202" s="242"/>
      <c r="G202" s="242"/>
      <c r="H202" s="242"/>
      <c r="I202" s="3">
        <v>35727</v>
      </c>
      <c r="J202" s="2" t="s">
        <v>12011</v>
      </c>
      <c r="K202" s="2" t="s">
        <v>22180</v>
      </c>
      <c r="L202" s="66" t="s">
        <v>22181</v>
      </c>
      <c r="M202" s="201" t="s">
        <v>12550</v>
      </c>
      <c r="N202" s="2"/>
      <c r="O202" s="38" t="s">
        <v>22182</v>
      </c>
    </row>
    <row r="203" spans="1:26" ht="96" customHeight="1" x14ac:dyDescent="0.3">
      <c r="A203" s="242">
        <v>189</v>
      </c>
      <c r="B203" s="242" t="s">
        <v>11847</v>
      </c>
      <c r="C203" s="242" t="s">
        <v>12606</v>
      </c>
      <c r="D203" s="60" t="s">
        <v>11246</v>
      </c>
      <c r="E203" s="2">
        <v>389.1</v>
      </c>
      <c r="F203" s="11">
        <v>1406108.68</v>
      </c>
      <c r="G203" s="11">
        <v>202540.79999999999</v>
      </c>
      <c r="H203" s="11"/>
      <c r="I203" s="3">
        <v>40500</v>
      </c>
      <c r="J203" s="2" t="s">
        <v>11171</v>
      </c>
      <c r="K203" s="243"/>
      <c r="L203" s="66"/>
      <c r="M203" s="242" t="s">
        <v>13904</v>
      </c>
      <c r="N203" s="2" t="s">
        <v>19405</v>
      </c>
      <c r="O203" s="4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</row>
    <row r="204" spans="1:26" s="161" customFormat="1" ht="84" customHeight="1" x14ac:dyDescent="0.3">
      <c r="A204" s="242">
        <v>190</v>
      </c>
      <c r="B204" s="242" t="s">
        <v>18456</v>
      </c>
      <c r="C204" s="242" t="s">
        <v>18457</v>
      </c>
      <c r="D204" s="60" t="s">
        <v>20619</v>
      </c>
      <c r="E204" s="2">
        <v>3735.6</v>
      </c>
      <c r="F204" s="11">
        <v>19193113.199999999</v>
      </c>
      <c r="G204" s="244">
        <v>14971369.77</v>
      </c>
      <c r="H204" s="244"/>
      <c r="I204" s="243">
        <v>38817</v>
      </c>
      <c r="J204" s="242" t="s">
        <v>20620</v>
      </c>
      <c r="K204" s="242"/>
      <c r="L204" s="66"/>
      <c r="M204" s="242" t="s">
        <v>14091</v>
      </c>
      <c r="N204" s="242" t="s">
        <v>21168</v>
      </c>
      <c r="O204" s="65"/>
      <c r="Q204" s="67"/>
      <c r="R204" s="67"/>
      <c r="S204" s="67"/>
      <c r="T204" s="67"/>
      <c r="U204" s="67"/>
      <c r="V204" s="67"/>
      <c r="W204" s="67"/>
      <c r="X204" s="67"/>
      <c r="Y204" s="67"/>
      <c r="Z204" s="67"/>
    </row>
    <row r="205" spans="1:26" ht="120" customHeight="1" x14ac:dyDescent="0.3">
      <c r="A205" s="242">
        <v>191</v>
      </c>
      <c r="B205" s="242" t="s">
        <v>18468</v>
      </c>
      <c r="C205" s="242" t="s">
        <v>18469</v>
      </c>
      <c r="D205" s="60" t="s">
        <v>21158</v>
      </c>
      <c r="E205" s="2">
        <v>684.8</v>
      </c>
      <c r="F205" s="11">
        <v>7673306.3399999999</v>
      </c>
      <c r="G205" s="244">
        <v>3065730.09</v>
      </c>
      <c r="H205" s="242">
        <v>6136081.9199999999</v>
      </c>
      <c r="I205" s="243">
        <v>38792</v>
      </c>
      <c r="J205" s="242" t="s">
        <v>21159</v>
      </c>
      <c r="K205" s="242"/>
      <c r="L205" s="66"/>
      <c r="M205" s="201" t="s">
        <v>12550</v>
      </c>
      <c r="N205" s="242" t="s">
        <v>23152</v>
      </c>
      <c r="O205" s="4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</row>
    <row r="206" spans="1:26" s="161" customFormat="1" ht="143.4" customHeight="1" x14ac:dyDescent="0.3">
      <c r="A206" s="242">
        <v>192</v>
      </c>
      <c r="B206" s="242" t="s">
        <v>46</v>
      </c>
      <c r="C206" s="38" t="s">
        <v>16082</v>
      </c>
      <c r="D206" s="254" t="s">
        <v>16081</v>
      </c>
      <c r="E206" s="242">
        <v>459.8</v>
      </c>
      <c r="F206" s="244">
        <v>227477.52</v>
      </c>
      <c r="G206" s="244">
        <v>210037.58</v>
      </c>
      <c r="H206" s="242"/>
      <c r="I206" s="243">
        <v>35727</v>
      </c>
      <c r="J206" s="242" t="s">
        <v>12011</v>
      </c>
      <c r="K206" s="242"/>
      <c r="L206" s="66"/>
      <c r="M206" s="200" t="s">
        <v>12550</v>
      </c>
      <c r="N206" s="245" t="s">
        <v>21860</v>
      </c>
      <c r="O206" s="245"/>
      <c r="Q206" s="67"/>
      <c r="R206" s="67"/>
      <c r="S206" s="67"/>
      <c r="T206" s="67"/>
      <c r="U206" s="67"/>
      <c r="V206" s="67"/>
      <c r="W206" s="67"/>
      <c r="X206" s="67"/>
      <c r="Y206" s="67"/>
      <c r="Z206" s="67"/>
    </row>
    <row r="207" spans="1:26" ht="60" customHeight="1" x14ac:dyDescent="0.3">
      <c r="A207" s="242">
        <v>193</v>
      </c>
      <c r="B207" s="242" t="s">
        <v>18397</v>
      </c>
      <c r="C207" s="242" t="s">
        <v>12607</v>
      </c>
      <c r="D207" s="60" t="s">
        <v>18398</v>
      </c>
      <c r="E207" s="242" t="s">
        <v>48</v>
      </c>
      <c r="F207" s="242">
        <v>13459446.460000001</v>
      </c>
      <c r="G207" s="244">
        <v>9915125.2200000007</v>
      </c>
      <c r="H207" s="244"/>
      <c r="I207" s="243">
        <v>38807</v>
      </c>
      <c r="J207" s="242" t="s">
        <v>18399</v>
      </c>
      <c r="K207" s="242"/>
      <c r="L207" s="66"/>
      <c r="M207" s="242" t="s">
        <v>14091</v>
      </c>
      <c r="N207" s="23" t="s">
        <v>18214</v>
      </c>
      <c r="O207" s="41"/>
    </row>
    <row r="208" spans="1:26" ht="72" customHeight="1" x14ac:dyDescent="0.3">
      <c r="A208" s="242">
        <v>194</v>
      </c>
      <c r="B208" s="242" t="s">
        <v>18381</v>
      </c>
      <c r="C208" s="242" t="s">
        <v>12608</v>
      </c>
      <c r="D208" s="60" t="s">
        <v>18382</v>
      </c>
      <c r="E208" s="242">
        <v>325.60000000000002</v>
      </c>
      <c r="F208" s="244">
        <v>1534732.57</v>
      </c>
      <c r="G208" s="244">
        <v>432286.37</v>
      </c>
      <c r="H208" s="244">
        <v>5712665.9900000002</v>
      </c>
      <c r="I208" s="243">
        <v>40760</v>
      </c>
      <c r="J208" s="242" t="s">
        <v>18380</v>
      </c>
      <c r="K208" s="242"/>
      <c r="L208" s="66"/>
      <c r="M208" s="201" t="s">
        <v>12550</v>
      </c>
      <c r="N208" s="242" t="s">
        <v>23157</v>
      </c>
      <c r="O208" s="41"/>
    </row>
    <row r="209" spans="1:26" ht="120" customHeight="1" x14ac:dyDescent="0.3">
      <c r="A209" s="242">
        <v>195</v>
      </c>
      <c r="B209" s="242" t="s">
        <v>18377</v>
      </c>
      <c r="C209" s="242" t="s">
        <v>12608</v>
      </c>
      <c r="D209" s="60" t="s">
        <v>18378</v>
      </c>
      <c r="E209" s="2">
        <v>765.8</v>
      </c>
      <c r="F209" s="11">
        <v>10973839.42</v>
      </c>
      <c r="G209" s="11">
        <v>3812042.87</v>
      </c>
      <c r="H209" s="11"/>
      <c r="I209" s="3">
        <v>40760</v>
      </c>
      <c r="J209" s="2" t="s">
        <v>18379</v>
      </c>
      <c r="K209" s="2"/>
      <c r="L209" s="66"/>
      <c r="M209" s="2" t="s">
        <v>14091</v>
      </c>
      <c r="N209" s="2" t="s">
        <v>18197</v>
      </c>
      <c r="O209" s="41"/>
    </row>
    <row r="210" spans="1:26" ht="72" customHeight="1" x14ac:dyDescent="0.3">
      <c r="A210" s="242">
        <v>196</v>
      </c>
      <c r="B210" s="242" t="s">
        <v>18440</v>
      </c>
      <c r="C210" s="242" t="s">
        <v>18441</v>
      </c>
      <c r="D210" s="60" t="s">
        <v>18442</v>
      </c>
      <c r="E210" s="242">
        <v>1945.9</v>
      </c>
      <c r="F210" s="244">
        <v>21542561.5</v>
      </c>
      <c r="G210" s="244">
        <v>15176108.050000001</v>
      </c>
      <c r="H210" s="244"/>
      <c r="I210" s="243">
        <v>40528</v>
      </c>
      <c r="J210" s="242" t="s">
        <v>18443</v>
      </c>
      <c r="K210" s="242"/>
      <c r="L210" s="66"/>
      <c r="M210" s="242" t="s">
        <v>14091</v>
      </c>
      <c r="N210" s="242" t="s">
        <v>18227</v>
      </c>
      <c r="O210" s="41"/>
    </row>
    <row r="211" spans="1:26" ht="60" customHeight="1" x14ac:dyDescent="0.3">
      <c r="A211" s="242">
        <v>197</v>
      </c>
      <c r="B211" s="242" t="s">
        <v>11540</v>
      </c>
      <c r="C211" s="242" t="s">
        <v>12609</v>
      </c>
      <c r="D211" s="60" t="s">
        <v>11541</v>
      </c>
      <c r="E211" s="242">
        <v>1690</v>
      </c>
      <c r="F211" s="242"/>
      <c r="G211" s="242"/>
      <c r="H211" s="242"/>
      <c r="I211" s="243">
        <v>40528</v>
      </c>
      <c r="J211" s="242" t="s">
        <v>11542</v>
      </c>
      <c r="K211" s="243">
        <v>40607</v>
      </c>
      <c r="L211" s="66" t="s">
        <v>15463</v>
      </c>
      <c r="M211" s="242" t="s">
        <v>14091</v>
      </c>
      <c r="N211" s="242"/>
      <c r="O211" s="41"/>
    </row>
    <row r="212" spans="1:26" ht="84" customHeight="1" x14ac:dyDescent="0.3">
      <c r="A212" s="2">
        <v>198</v>
      </c>
      <c r="B212" s="242" t="s">
        <v>86</v>
      </c>
      <c r="C212" s="242" t="s">
        <v>12610</v>
      </c>
      <c r="D212" s="242"/>
      <c r="E212" s="242" t="s">
        <v>49</v>
      </c>
      <c r="F212" s="242"/>
      <c r="G212" s="242"/>
      <c r="H212" s="242"/>
      <c r="I212" s="243">
        <v>35727</v>
      </c>
      <c r="J212" s="242" t="s">
        <v>12011</v>
      </c>
      <c r="K212" s="242" t="s">
        <v>19052</v>
      </c>
      <c r="L212" s="66" t="s">
        <v>19053</v>
      </c>
      <c r="M212" s="242" t="s">
        <v>14091</v>
      </c>
      <c r="N212" s="242"/>
      <c r="O212" s="38"/>
    </row>
    <row r="213" spans="1:26" ht="60" customHeight="1" x14ac:dyDescent="0.3">
      <c r="A213" s="242">
        <v>199</v>
      </c>
      <c r="B213" s="242" t="s">
        <v>18433</v>
      </c>
      <c r="C213" s="242" t="s">
        <v>18434</v>
      </c>
      <c r="D213" s="60" t="s">
        <v>18435</v>
      </c>
      <c r="E213" s="242" t="s">
        <v>50</v>
      </c>
      <c r="F213" s="244">
        <v>8589881.7200000007</v>
      </c>
      <c r="G213" s="244">
        <v>6825631.2400000002</v>
      </c>
      <c r="H213" s="244"/>
      <c r="I213" s="243" t="s">
        <v>11831</v>
      </c>
      <c r="J213" s="242" t="s">
        <v>18436</v>
      </c>
      <c r="K213" s="242"/>
      <c r="L213" s="66"/>
      <c r="M213" s="242" t="s">
        <v>14091</v>
      </c>
      <c r="N213" s="242" t="s">
        <v>18215</v>
      </c>
      <c r="O213" s="41"/>
    </row>
    <row r="214" spans="1:26" ht="60" customHeight="1" x14ac:dyDescent="0.3">
      <c r="A214" s="2">
        <v>200</v>
      </c>
      <c r="B214" s="242" t="s">
        <v>11794</v>
      </c>
      <c r="C214" s="242" t="s">
        <v>12611</v>
      </c>
      <c r="D214" s="242"/>
      <c r="E214" s="242"/>
      <c r="F214" s="244">
        <v>18440.18</v>
      </c>
      <c r="G214" s="244">
        <v>18440.18</v>
      </c>
      <c r="H214" s="242"/>
      <c r="I214" s="243">
        <v>35728</v>
      </c>
      <c r="J214" s="242" t="s">
        <v>12018</v>
      </c>
      <c r="K214" s="242"/>
      <c r="L214" s="66"/>
      <c r="M214" s="242" t="s">
        <v>14091</v>
      </c>
      <c r="N214" s="242" t="s">
        <v>19291</v>
      </c>
      <c r="O214" s="41"/>
    </row>
    <row r="215" spans="1:26" ht="72" customHeight="1" x14ac:dyDescent="0.3">
      <c r="A215" s="242">
        <v>201</v>
      </c>
      <c r="B215" s="2" t="s">
        <v>87</v>
      </c>
      <c r="C215" s="2" t="s">
        <v>12612</v>
      </c>
      <c r="D215" s="242"/>
      <c r="E215" s="2">
        <v>225</v>
      </c>
      <c r="F215" s="242"/>
      <c r="G215" s="2"/>
      <c r="H215" s="242"/>
      <c r="I215" s="3">
        <v>35727</v>
      </c>
      <c r="J215" s="2" t="s">
        <v>12011</v>
      </c>
      <c r="K215" s="2"/>
      <c r="L215" s="66"/>
      <c r="M215" s="201" t="s">
        <v>12550</v>
      </c>
      <c r="N215" s="2"/>
      <c r="O215" s="4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</row>
    <row r="216" spans="1:26" s="161" customFormat="1" ht="84" customHeight="1" x14ac:dyDescent="0.3">
      <c r="A216" s="242">
        <v>202</v>
      </c>
      <c r="B216" s="242" t="s">
        <v>19575</v>
      </c>
      <c r="C216" s="242" t="s">
        <v>18459</v>
      </c>
      <c r="D216" s="60" t="s">
        <v>19574</v>
      </c>
      <c r="E216" s="242" t="s">
        <v>88</v>
      </c>
      <c r="F216" s="244">
        <v>1629798.44</v>
      </c>
      <c r="G216" s="244">
        <v>1490558.33</v>
      </c>
      <c r="H216" s="244"/>
      <c r="I216" s="243">
        <v>38807</v>
      </c>
      <c r="J216" s="242" t="s">
        <v>20566</v>
      </c>
      <c r="K216" s="242"/>
      <c r="L216" s="66"/>
      <c r="M216" s="242" t="s">
        <v>14091</v>
      </c>
      <c r="N216" s="242" t="s">
        <v>21165</v>
      </c>
      <c r="O216" s="65"/>
    </row>
    <row r="217" spans="1:26" s="161" customFormat="1" ht="84" customHeight="1" x14ac:dyDescent="0.3">
      <c r="A217" s="242">
        <v>203</v>
      </c>
      <c r="B217" s="242" t="s">
        <v>11833</v>
      </c>
      <c r="C217" s="242" t="s">
        <v>12830</v>
      </c>
      <c r="D217" s="60" t="s">
        <v>16167</v>
      </c>
      <c r="E217" s="242">
        <v>831.7</v>
      </c>
      <c r="F217" s="244">
        <v>3900499.5</v>
      </c>
      <c r="G217" s="244"/>
      <c r="H217" s="242">
        <v>578264.38</v>
      </c>
      <c r="I217" s="243" t="s">
        <v>14237</v>
      </c>
      <c r="J217" s="242" t="s">
        <v>16420</v>
      </c>
      <c r="K217" s="242"/>
      <c r="L217" s="66"/>
      <c r="M217" s="201" t="s">
        <v>12550</v>
      </c>
      <c r="N217" s="242" t="s">
        <v>19384</v>
      </c>
      <c r="O217" s="41"/>
    </row>
    <row r="218" spans="1:26" s="161" customFormat="1" ht="96" customHeight="1" x14ac:dyDescent="0.3">
      <c r="A218" s="242">
        <v>204</v>
      </c>
      <c r="B218" s="242" t="s">
        <v>11938</v>
      </c>
      <c r="C218" s="242" t="s">
        <v>12830</v>
      </c>
      <c r="D218" s="60" t="s">
        <v>172</v>
      </c>
      <c r="E218" s="242">
        <v>231</v>
      </c>
      <c r="F218" s="25">
        <v>3920137</v>
      </c>
      <c r="G218" s="244">
        <v>793361.1</v>
      </c>
      <c r="H218" s="207" t="s">
        <v>173</v>
      </c>
      <c r="I218" s="243">
        <v>40500</v>
      </c>
      <c r="J218" s="242" t="s">
        <v>11171</v>
      </c>
      <c r="K218" s="243"/>
      <c r="L218" s="66"/>
      <c r="M218" s="201" t="s">
        <v>12550</v>
      </c>
      <c r="N218" s="242" t="s">
        <v>19406</v>
      </c>
      <c r="O218" s="65"/>
      <c r="Q218" s="67"/>
      <c r="R218" s="67"/>
      <c r="S218" s="67"/>
      <c r="T218" s="67"/>
      <c r="U218" s="67"/>
      <c r="V218" s="67"/>
      <c r="W218" s="67"/>
      <c r="X218" s="67"/>
      <c r="Y218" s="67"/>
      <c r="Z218" s="67"/>
    </row>
    <row r="219" spans="1:26" ht="114.6" customHeight="1" x14ac:dyDescent="0.3">
      <c r="A219" s="2">
        <v>205</v>
      </c>
      <c r="B219" s="242" t="s">
        <v>22532</v>
      </c>
      <c r="C219" s="242" t="s">
        <v>22533</v>
      </c>
      <c r="D219" s="60" t="s">
        <v>23622</v>
      </c>
      <c r="E219" s="242">
        <v>69.3</v>
      </c>
      <c r="F219" s="244">
        <v>47213.23</v>
      </c>
      <c r="G219" s="244">
        <v>8434.52</v>
      </c>
      <c r="H219" s="242"/>
      <c r="I219" s="243">
        <v>41810</v>
      </c>
      <c r="J219" s="242" t="s">
        <v>23623</v>
      </c>
      <c r="K219" s="242"/>
      <c r="L219" s="66"/>
      <c r="M219" s="201" t="s">
        <v>12550</v>
      </c>
      <c r="N219" s="242" t="s">
        <v>19765</v>
      </c>
      <c r="O219" s="38"/>
    </row>
    <row r="220" spans="1:26" ht="72" customHeight="1" x14ac:dyDescent="0.3">
      <c r="A220" s="242">
        <v>206</v>
      </c>
      <c r="B220" s="242" t="s">
        <v>20944</v>
      </c>
      <c r="C220" s="242" t="s">
        <v>18568</v>
      </c>
      <c r="D220" s="60" t="s">
        <v>11221</v>
      </c>
      <c r="E220" s="242">
        <v>314.7</v>
      </c>
      <c r="F220" s="244">
        <v>12331519.220000001</v>
      </c>
      <c r="G220" s="244">
        <v>3538026.7</v>
      </c>
      <c r="H220" s="244"/>
      <c r="I220" s="243">
        <v>41585</v>
      </c>
      <c r="J220" s="242" t="s">
        <v>11222</v>
      </c>
      <c r="K220" s="242"/>
      <c r="L220" s="66"/>
      <c r="M220" s="201" t="s">
        <v>12550</v>
      </c>
      <c r="N220" s="242"/>
      <c r="O220" s="4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</row>
    <row r="221" spans="1:26" s="161" customFormat="1" ht="84" customHeight="1" x14ac:dyDescent="0.3">
      <c r="A221" s="242">
        <v>207</v>
      </c>
      <c r="B221" s="242" t="s">
        <v>19576</v>
      </c>
      <c r="C221" s="242" t="s">
        <v>12613</v>
      </c>
      <c r="D221" s="60" t="s">
        <v>19577</v>
      </c>
      <c r="E221" s="242">
        <v>4736.1000000000004</v>
      </c>
      <c r="F221" s="244">
        <v>22339928.100000001</v>
      </c>
      <c r="G221" s="244">
        <v>13646789.5</v>
      </c>
      <c r="H221" s="244"/>
      <c r="I221" s="243">
        <v>38817</v>
      </c>
      <c r="J221" s="242" t="s">
        <v>20565</v>
      </c>
      <c r="K221" s="242"/>
      <c r="L221" s="66"/>
      <c r="M221" s="242" t="s">
        <v>14091</v>
      </c>
      <c r="N221" s="242" t="s">
        <v>21174</v>
      </c>
      <c r="O221" s="65"/>
      <c r="Q221" s="67"/>
      <c r="R221" s="67"/>
      <c r="S221" s="67"/>
      <c r="T221" s="67"/>
      <c r="U221" s="67"/>
      <c r="V221" s="67"/>
      <c r="W221" s="67"/>
      <c r="X221" s="67"/>
      <c r="Y221" s="67"/>
      <c r="Z221" s="67"/>
    </row>
    <row r="222" spans="1:26" ht="60" customHeight="1" x14ac:dyDescent="0.3">
      <c r="A222" s="242">
        <v>208</v>
      </c>
      <c r="B222" s="2" t="s">
        <v>51</v>
      </c>
      <c r="C222" s="2" t="s">
        <v>12613</v>
      </c>
      <c r="D222" s="242"/>
      <c r="E222" s="2">
        <v>98.8</v>
      </c>
      <c r="F222" s="11">
        <v>446116.16</v>
      </c>
      <c r="G222" s="244">
        <v>198833.51</v>
      </c>
      <c r="H222" s="242"/>
      <c r="I222" s="3">
        <v>35727</v>
      </c>
      <c r="J222" s="2" t="s">
        <v>12011</v>
      </c>
      <c r="K222" s="2"/>
      <c r="L222" s="66"/>
      <c r="M222" s="242" t="s">
        <v>14091</v>
      </c>
      <c r="N222" s="2" t="s">
        <v>19290</v>
      </c>
      <c r="O222" s="41"/>
    </row>
    <row r="223" spans="1:26" ht="60" customHeight="1" x14ac:dyDescent="0.3">
      <c r="A223" s="242">
        <v>209</v>
      </c>
      <c r="B223" s="242" t="s">
        <v>18394</v>
      </c>
      <c r="C223" s="242" t="s">
        <v>18217</v>
      </c>
      <c r="D223" s="60" t="s">
        <v>18395</v>
      </c>
      <c r="E223" s="242" t="s">
        <v>52</v>
      </c>
      <c r="F223" s="244">
        <v>5887783.0999999996</v>
      </c>
      <c r="G223" s="244">
        <v>4656630.99</v>
      </c>
      <c r="H223" s="244"/>
      <c r="I223" s="243">
        <v>38807</v>
      </c>
      <c r="J223" s="242" t="s">
        <v>18396</v>
      </c>
      <c r="K223" s="242"/>
      <c r="L223" s="66"/>
      <c r="M223" s="242" t="s">
        <v>14091</v>
      </c>
      <c r="N223" s="242" t="s">
        <v>18218</v>
      </c>
      <c r="O223" s="41"/>
    </row>
    <row r="224" spans="1:26" ht="98.4" customHeight="1" x14ac:dyDescent="0.3">
      <c r="A224" s="242">
        <v>210</v>
      </c>
      <c r="B224" s="242" t="s">
        <v>18807</v>
      </c>
      <c r="C224" s="242" t="s">
        <v>12614</v>
      </c>
      <c r="D224" s="60" t="s">
        <v>18808</v>
      </c>
      <c r="E224" s="242" t="s">
        <v>53</v>
      </c>
      <c r="F224" s="244">
        <v>202999.17</v>
      </c>
      <c r="G224" s="244">
        <v>106685.42</v>
      </c>
      <c r="H224" s="244">
        <v>20177529.02</v>
      </c>
      <c r="I224" s="3">
        <v>38782</v>
      </c>
      <c r="J224" s="242" t="s">
        <v>18809</v>
      </c>
      <c r="K224" s="242"/>
      <c r="L224" s="66"/>
      <c r="M224" s="2" t="s">
        <v>13904</v>
      </c>
      <c r="N224" s="242" t="s">
        <v>18224</v>
      </c>
      <c r="O224" s="41"/>
    </row>
    <row r="225" spans="1:15" ht="72" customHeight="1" x14ac:dyDescent="0.3">
      <c r="A225" s="242">
        <v>211</v>
      </c>
      <c r="B225" s="2" t="s">
        <v>21217</v>
      </c>
      <c r="C225" s="2" t="s">
        <v>12615</v>
      </c>
      <c r="D225" s="87" t="s">
        <v>12028</v>
      </c>
      <c r="E225" s="2">
        <v>192.4</v>
      </c>
      <c r="F225" s="242"/>
      <c r="G225" s="242"/>
      <c r="H225" s="247">
        <v>3850466.57</v>
      </c>
      <c r="I225" s="3">
        <v>41453</v>
      </c>
      <c r="J225" s="2" t="s">
        <v>18194</v>
      </c>
      <c r="K225" s="2"/>
      <c r="L225" s="66"/>
      <c r="M225" s="201" t="s">
        <v>12550</v>
      </c>
      <c r="N225" s="242"/>
      <c r="O225" s="38" t="s">
        <v>21485</v>
      </c>
    </row>
    <row r="226" spans="1:15" ht="96" customHeight="1" x14ac:dyDescent="0.3">
      <c r="A226" s="242" t="s">
        <v>21220</v>
      </c>
      <c r="B226" s="2" t="s">
        <v>12490</v>
      </c>
      <c r="C226" s="2" t="s">
        <v>21218</v>
      </c>
      <c r="D226" s="87"/>
      <c r="E226" s="242">
        <v>155.1</v>
      </c>
      <c r="F226" s="242"/>
      <c r="G226" s="242"/>
      <c r="H226" s="244"/>
      <c r="I226" s="3">
        <v>41453</v>
      </c>
      <c r="J226" s="242" t="s">
        <v>21219</v>
      </c>
      <c r="K226" s="242"/>
      <c r="L226" s="66"/>
      <c r="M226" s="201" t="s">
        <v>12550</v>
      </c>
      <c r="N226" s="242"/>
      <c r="O226" s="38"/>
    </row>
    <row r="227" spans="1:15" ht="72" customHeight="1" x14ac:dyDescent="0.3">
      <c r="A227" s="242" t="s">
        <v>21221</v>
      </c>
      <c r="B227" s="242" t="s">
        <v>12490</v>
      </c>
      <c r="C227" s="242" t="s">
        <v>21222</v>
      </c>
      <c r="D227" s="87"/>
      <c r="E227" s="242">
        <v>177.9</v>
      </c>
      <c r="F227" s="242"/>
      <c r="G227" s="242"/>
      <c r="H227" s="244"/>
      <c r="I227" s="243">
        <v>41453</v>
      </c>
      <c r="J227" s="242" t="s">
        <v>21219</v>
      </c>
      <c r="K227" s="242"/>
      <c r="L227" s="66"/>
      <c r="M227" s="201" t="s">
        <v>12550</v>
      </c>
      <c r="N227" s="242"/>
      <c r="O227" s="38"/>
    </row>
    <row r="228" spans="1:15" ht="409.2" customHeight="1" x14ac:dyDescent="0.3">
      <c r="A228" s="242">
        <v>212</v>
      </c>
      <c r="B228" s="242" t="s">
        <v>18371</v>
      </c>
      <c r="C228" s="242" t="s">
        <v>20268</v>
      </c>
      <c r="D228" s="60" t="s">
        <v>18369</v>
      </c>
      <c r="E228" s="30">
        <v>847.4</v>
      </c>
      <c r="F228" s="244">
        <v>4217795.78</v>
      </c>
      <c r="G228" s="244">
        <v>2527169.35</v>
      </c>
      <c r="H228" s="244"/>
      <c r="I228" s="243">
        <v>40535</v>
      </c>
      <c r="J228" s="242" t="s">
        <v>18370</v>
      </c>
      <c r="K228" s="242"/>
      <c r="L228" s="66"/>
      <c r="M228" s="201" t="s">
        <v>12550</v>
      </c>
      <c r="N228" s="245" t="s">
        <v>20753</v>
      </c>
      <c r="O228" s="38" t="s">
        <v>20453</v>
      </c>
    </row>
    <row r="229" spans="1:15" ht="228" customHeight="1" x14ac:dyDescent="0.3">
      <c r="A229" s="242">
        <v>213</v>
      </c>
      <c r="B229" s="242" t="s">
        <v>11792</v>
      </c>
      <c r="C229" s="242" t="s">
        <v>54</v>
      </c>
      <c r="D229" s="242"/>
      <c r="E229" s="31" t="s">
        <v>11793</v>
      </c>
      <c r="F229" s="244" t="s">
        <v>17909</v>
      </c>
      <c r="G229" s="244" t="s">
        <v>17910</v>
      </c>
      <c r="H229" s="242"/>
      <c r="I229" s="243"/>
      <c r="J229" s="242"/>
      <c r="K229" s="243">
        <v>42884</v>
      </c>
      <c r="L229" s="66" t="s">
        <v>18593</v>
      </c>
      <c r="M229" s="201" t="s">
        <v>12550</v>
      </c>
      <c r="N229" s="242"/>
      <c r="O229" s="38" t="s">
        <v>18881</v>
      </c>
    </row>
    <row r="230" spans="1:15" ht="120" customHeight="1" x14ac:dyDescent="0.3">
      <c r="A230" s="242">
        <v>214</v>
      </c>
      <c r="B230" s="242" t="s">
        <v>12448</v>
      </c>
      <c r="C230" s="242" t="s">
        <v>11309</v>
      </c>
      <c r="D230" s="60" t="s">
        <v>15041</v>
      </c>
      <c r="E230" s="242">
        <v>1520</v>
      </c>
      <c r="F230" s="242"/>
      <c r="G230" s="242"/>
      <c r="H230" s="242"/>
      <c r="I230" s="243">
        <v>38926</v>
      </c>
      <c r="J230" s="242" t="s">
        <v>15042</v>
      </c>
      <c r="K230" s="242"/>
      <c r="L230" s="66"/>
      <c r="M230" s="242" t="s">
        <v>14091</v>
      </c>
      <c r="N230" s="242" t="s">
        <v>18228</v>
      </c>
      <c r="O230" s="41"/>
    </row>
    <row r="231" spans="1:15" ht="216" customHeight="1" x14ac:dyDescent="0.3">
      <c r="A231" s="242">
        <v>215</v>
      </c>
      <c r="B231" s="242" t="s">
        <v>18594</v>
      </c>
      <c r="C231" s="242" t="s">
        <v>11531</v>
      </c>
      <c r="D231" s="60" t="s">
        <v>12019</v>
      </c>
      <c r="E231" s="242">
        <v>2660.3</v>
      </c>
      <c r="F231" s="244">
        <v>1631647.96</v>
      </c>
      <c r="G231" s="244">
        <v>1527969.76</v>
      </c>
      <c r="H231" s="242"/>
      <c r="I231" s="243">
        <v>40500</v>
      </c>
      <c r="J231" s="242" t="s">
        <v>11539</v>
      </c>
      <c r="K231" s="242"/>
      <c r="L231" s="66"/>
      <c r="M231" s="242" t="s">
        <v>15722</v>
      </c>
      <c r="N231" s="242" t="s">
        <v>23516</v>
      </c>
      <c r="O231" s="38"/>
    </row>
    <row r="232" spans="1:15" ht="372" customHeight="1" x14ac:dyDescent="0.3">
      <c r="A232" s="242">
        <v>216</v>
      </c>
      <c r="B232" s="242" t="s">
        <v>19847</v>
      </c>
      <c r="C232" s="242" t="s">
        <v>11531</v>
      </c>
      <c r="D232" s="60" t="s">
        <v>20116</v>
      </c>
      <c r="E232" s="242" t="s">
        <v>19848</v>
      </c>
      <c r="F232" s="244" t="s">
        <v>19849</v>
      </c>
      <c r="G232" s="242"/>
      <c r="H232" s="242"/>
      <c r="I232" s="243"/>
      <c r="J232" s="242"/>
      <c r="K232" s="242"/>
      <c r="L232" s="66"/>
      <c r="M232" s="242" t="s">
        <v>15722</v>
      </c>
      <c r="N232" s="242" t="s">
        <v>23495</v>
      </c>
      <c r="O232" s="41"/>
    </row>
    <row r="233" spans="1:15" ht="60" customHeight="1" x14ac:dyDescent="0.3">
      <c r="A233" s="242">
        <v>217</v>
      </c>
      <c r="B233" s="242" t="s">
        <v>11538</v>
      </c>
      <c r="C233" s="242" t="s">
        <v>58</v>
      </c>
      <c r="D233" s="60" t="s">
        <v>11536</v>
      </c>
      <c r="E233" s="2">
        <v>125.4</v>
      </c>
      <c r="F233" s="242"/>
      <c r="G233" s="242"/>
      <c r="H233" s="242"/>
      <c r="I233" s="3">
        <v>40526</v>
      </c>
      <c r="J233" s="2" t="s">
        <v>11537</v>
      </c>
      <c r="K233" s="2"/>
      <c r="L233" s="66"/>
      <c r="M233" s="2" t="s">
        <v>14091</v>
      </c>
      <c r="N233" s="2" t="s">
        <v>22930</v>
      </c>
      <c r="O233" s="41"/>
    </row>
    <row r="234" spans="1:15" ht="120" customHeight="1" x14ac:dyDescent="0.3">
      <c r="A234" s="242">
        <v>218</v>
      </c>
      <c r="B234" s="242" t="s">
        <v>19560</v>
      </c>
      <c r="C234" s="242" t="s">
        <v>18450</v>
      </c>
      <c r="D234" s="60" t="s">
        <v>19561</v>
      </c>
      <c r="E234" s="242" t="s">
        <v>59</v>
      </c>
      <c r="F234" s="244">
        <v>5243606.04</v>
      </c>
      <c r="G234" s="244">
        <v>2667509.92</v>
      </c>
      <c r="H234" s="244">
        <v>10791648</v>
      </c>
      <c r="I234" s="3">
        <v>39650</v>
      </c>
      <c r="J234" s="242" t="s">
        <v>20569</v>
      </c>
      <c r="K234" s="242"/>
      <c r="L234" s="66"/>
      <c r="M234" s="2" t="s">
        <v>14091</v>
      </c>
      <c r="N234" s="242" t="s">
        <v>21172</v>
      </c>
      <c r="O234" s="41"/>
    </row>
    <row r="235" spans="1:15" ht="72" customHeight="1" x14ac:dyDescent="0.3">
      <c r="A235" s="242">
        <v>219</v>
      </c>
      <c r="B235" s="2" t="s">
        <v>73</v>
      </c>
      <c r="C235" s="2" t="s">
        <v>11176</v>
      </c>
      <c r="D235" s="87"/>
      <c r="E235" s="242">
        <v>53</v>
      </c>
      <c r="F235" s="244"/>
      <c r="G235" s="244"/>
      <c r="H235" s="242"/>
      <c r="I235" s="3">
        <v>39444</v>
      </c>
      <c r="J235" s="242" t="s">
        <v>11177</v>
      </c>
      <c r="K235" s="242"/>
      <c r="L235" s="66"/>
      <c r="M235" s="201" t="s">
        <v>12550</v>
      </c>
      <c r="N235" s="242"/>
      <c r="O235" s="38"/>
    </row>
    <row r="236" spans="1:15" ht="96" customHeight="1" x14ac:dyDescent="0.3">
      <c r="A236" s="242">
        <v>220</v>
      </c>
      <c r="B236" s="242" t="s">
        <v>11496</v>
      </c>
      <c r="C236" s="242" t="s">
        <v>60</v>
      </c>
      <c r="D236" s="60" t="s">
        <v>61</v>
      </c>
      <c r="E236" s="242" t="s">
        <v>62</v>
      </c>
      <c r="F236" s="244"/>
      <c r="G236" s="242"/>
      <c r="H236" s="244"/>
      <c r="I236" s="3">
        <v>39738</v>
      </c>
      <c r="J236" s="242" t="s">
        <v>11497</v>
      </c>
      <c r="K236" s="242"/>
      <c r="L236" s="66"/>
      <c r="M236" s="2" t="s">
        <v>14091</v>
      </c>
      <c r="N236" s="242" t="s">
        <v>19044</v>
      </c>
      <c r="O236" s="41"/>
    </row>
    <row r="237" spans="1:15" ht="120" customHeight="1" x14ac:dyDescent="0.3">
      <c r="A237" s="242">
        <v>221</v>
      </c>
      <c r="B237" s="242" t="s">
        <v>11486</v>
      </c>
      <c r="C237" s="242" t="s">
        <v>63</v>
      </c>
      <c r="D237" s="318" t="s">
        <v>23688</v>
      </c>
      <c r="E237" s="242" t="s">
        <v>64</v>
      </c>
      <c r="F237" s="244">
        <v>48658991.399999999</v>
      </c>
      <c r="G237" s="244">
        <v>22019015.27</v>
      </c>
      <c r="H237" s="242"/>
      <c r="I237" s="3">
        <v>39799</v>
      </c>
      <c r="J237" s="242" t="s">
        <v>11487</v>
      </c>
      <c r="K237" s="242"/>
      <c r="L237" s="66"/>
      <c r="M237" s="2" t="s">
        <v>14091</v>
      </c>
      <c r="N237" s="242" t="s">
        <v>23687</v>
      </c>
      <c r="O237" s="41"/>
    </row>
    <row r="238" spans="1:15" ht="84" customHeight="1" x14ac:dyDescent="0.3">
      <c r="A238" s="242">
        <v>222</v>
      </c>
      <c r="B238" s="32" t="s">
        <v>11493</v>
      </c>
      <c r="C238" s="242" t="s">
        <v>12020</v>
      </c>
      <c r="D238" s="255" t="s">
        <v>11494</v>
      </c>
      <c r="E238" s="32" t="s">
        <v>65</v>
      </c>
      <c r="F238" s="244"/>
      <c r="G238" s="244"/>
      <c r="H238" s="242"/>
      <c r="I238" s="243">
        <v>39973</v>
      </c>
      <c r="J238" s="242" t="s">
        <v>11495</v>
      </c>
      <c r="K238" s="242"/>
      <c r="L238" s="66"/>
      <c r="M238" s="242" t="s">
        <v>14091</v>
      </c>
      <c r="N238" s="242" t="s">
        <v>19045</v>
      </c>
      <c r="O238" s="41"/>
    </row>
    <row r="239" spans="1:15" ht="60" customHeight="1" x14ac:dyDescent="0.3">
      <c r="A239" s="242">
        <v>223</v>
      </c>
      <c r="B239" s="242" t="s">
        <v>19106</v>
      </c>
      <c r="C239" s="242" t="s">
        <v>18437</v>
      </c>
      <c r="D239" s="60" t="s">
        <v>18438</v>
      </c>
      <c r="E239" s="242">
        <v>1534.4</v>
      </c>
      <c r="F239" s="244">
        <v>18919368.57</v>
      </c>
      <c r="G239" s="244">
        <v>15619399.4</v>
      </c>
      <c r="H239" s="244"/>
      <c r="I239" s="243">
        <v>40358</v>
      </c>
      <c r="J239" s="242" t="s">
        <v>18439</v>
      </c>
      <c r="K239" s="242"/>
      <c r="L239" s="66"/>
      <c r="M239" s="242" t="s">
        <v>14091</v>
      </c>
      <c r="N239" s="242" t="s">
        <v>18220</v>
      </c>
      <c r="O239" s="41"/>
    </row>
    <row r="240" spans="1:15" ht="60" customHeight="1" x14ac:dyDescent="0.3">
      <c r="A240" s="242">
        <v>224</v>
      </c>
      <c r="B240" s="242" t="s">
        <v>19107</v>
      </c>
      <c r="C240" s="242" t="s">
        <v>12616</v>
      </c>
      <c r="D240" s="60" t="s">
        <v>18372</v>
      </c>
      <c r="E240" s="242">
        <v>327.8</v>
      </c>
      <c r="F240" s="244">
        <v>4041820.27</v>
      </c>
      <c r="G240" s="244">
        <v>3400119.17</v>
      </c>
      <c r="H240" s="244"/>
      <c r="I240" s="3">
        <v>40358</v>
      </c>
      <c r="J240" s="242" t="s">
        <v>18373</v>
      </c>
      <c r="K240" s="242"/>
      <c r="L240" s="66"/>
      <c r="M240" s="2" t="s">
        <v>14091</v>
      </c>
      <c r="N240" s="242" t="s">
        <v>18221</v>
      </c>
      <c r="O240" s="41"/>
    </row>
    <row r="241" spans="1:26" ht="72" customHeight="1" x14ac:dyDescent="0.3">
      <c r="A241" s="242">
        <v>225</v>
      </c>
      <c r="B241" s="242" t="s">
        <v>18200</v>
      </c>
      <c r="C241" s="242" t="s">
        <v>12617</v>
      </c>
      <c r="D241" s="60" t="s">
        <v>12030</v>
      </c>
      <c r="E241" s="242">
        <v>350.6</v>
      </c>
      <c r="F241" s="244">
        <v>559432.09</v>
      </c>
      <c r="G241" s="242">
        <v>435426.13</v>
      </c>
      <c r="H241" s="244"/>
      <c r="I241" s="3">
        <v>38807</v>
      </c>
      <c r="J241" s="242" t="s">
        <v>15459</v>
      </c>
      <c r="K241" s="242"/>
      <c r="L241" s="66"/>
      <c r="M241" s="201" t="s">
        <v>12550</v>
      </c>
      <c r="N241" s="242"/>
      <c r="O241" s="41"/>
    </row>
    <row r="242" spans="1:26" ht="96" customHeight="1" x14ac:dyDescent="0.3">
      <c r="A242" s="242">
        <v>226</v>
      </c>
      <c r="B242" s="242" t="s">
        <v>15694</v>
      </c>
      <c r="C242" s="242" t="s">
        <v>11248</v>
      </c>
      <c r="D242" s="60" t="s">
        <v>11912</v>
      </c>
      <c r="E242" s="242">
        <v>449.1</v>
      </c>
      <c r="F242" s="25">
        <f>907848.74+40706.42</f>
        <v>948555.16</v>
      </c>
      <c r="G242" s="244">
        <v>255050.56</v>
      </c>
      <c r="H242" s="242" t="s">
        <v>11913</v>
      </c>
      <c r="I242" s="243">
        <v>40500</v>
      </c>
      <c r="J242" s="66" t="s">
        <v>15693</v>
      </c>
      <c r="K242" s="242"/>
      <c r="L242" s="66"/>
      <c r="M242" s="201" t="s">
        <v>12550</v>
      </c>
      <c r="N242" s="242" t="s">
        <v>19407</v>
      </c>
      <c r="O242" s="41"/>
    </row>
    <row r="243" spans="1:26" ht="96" customHeight="1" x14ac:dyDescent="0.3">
      <c r="A243" s="242">
        <v>227</v>
      </c>
      <c r="B243" s="242" t="s">
        <v>11835</v>
      </c>
      <c r="C243" s="242" t="s">
        <v>11248</v>
      </c>
      <c r="D243" s="60" t="s">
        <v>19656</v>
      </c>
      <c r="E243" s="242">
        <v>72</v>
      </c>
      <c r="F243" s="25">
        <v>135177.14000000001</v>
      </c>
      <c r="G243" s="244">
        <v>48032.38</v>
      </c>
      <c r="H243" s="244"/>
      <c r="I243" s="3">
        <v>40500</v>
      </c>
      <c r="J243" s="66" t="s">
        <v>19537</v>
      </c>
      <c r="K243" s="242"/>
      <c r="L243" s="66"/>
      <c r="M243" s="201" t="s">
        <v>12550</v>
      </c>
      <c r="N243" s="242" t="s">
        <v>19384</v>
      </c>
      <c r="O243" s="41"/>
    </row>
    <row r="244" spans="1:26" ht="72" customHeight="1" x14ac:dyDescent="0.3">
      <c r="A244" s="2">
        <v>228</v>
      </c>
      <c r="B244" s="2" t="s">
        <v>11544</v>
      </c>
      <c r="C244" s="2" t="s">
        <v>12831</v>
      </c>
      <c r="D244" s="242"/>
      <c r="E244" s="2">
        <v>50.7</v>
      </c>
      <c r="F244" s="11">
        <v>3316740</v>
      </c>
      <c r="G244" s="11">
        <v>1101631.56</v>
      </c>
      <c r="H244" s="242"/>
      <c r="I244" s="3">
        <v>40000</v>
      </c>
      <c r="J244" s="2" t="s">
        <v>11543</v>
      </c>
      <c r="K244" s="2"/>
      <c r="L244" s="66"/>
      <c r="M244" s="201" t="s">
        <v>12550</v>
      </c>
      <c r="N244" s="242"/>
      <c r="O244" s="41"/>
    </row>
    <row r="245" spans="1:26" ht="72" customHeight="1" x14ac:dyDescent="0.3">
      <c r="A245" s="242">
        <v>229</v>
      </c>
      <c r="B245" s="242" t="s">
        <v>11251</v>
      </c>
      <c r="C245" s="242" t="s">
        <v>11233</v>
      </c>
      <c r="D245" s="60" t="s">
        <v>11234</v>
      </c>
      <c r="E245" s="242"/>
      <c r="F245" s="244">
        <v>0.01</v>
      </c>
      <c r="G245" s="244">
        <v>0</v>
      </c>
      <c r="H245" s="244"/>
      <c r="I245" s="243">
        <v>42367</v>
      </c>
      <c r="J245" s="242" t="s">
        <v>12286</v>
      </c>
      <c r="K245" s="242"/>
      <c r="L245" s="66"/>
      <c r="M245" s="201" t="s">
        <v>12550</v>
      </c>
      <c r="N245" s="242" t="s">
        <v>19384</v>
      </c>
      <c r="O245" s="4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</row>
    <row r="246" spans="1:26" s="161" customFormat="1" ht="84" customHeight="1" x14ac:dyDescent="0.3">
      <c r="A246" s="242">
        <v>230</v>
      </c>
      <c r="B246" s="242" t="s">
        <v>16106</v>
      </c>
      <c r="C246" s="242" t="s">
        <v>12581</v>
      </c>
      <c r="D246" s="60" t="s">
        <v>16108</v>
      </c>
      <c r="E246" s="242"/>
      <c r="F246" s="244">
        <v>96853.68</v>
      </c>
      <c r="G246" s="244">
        <v>96853.68</v>
      </c>
      <c r="H246" s="244"/>
      <c r="I246" s="243">
        <v>40500</v>
      </c>
      <c r="J246" s="242" t="s">
        <v>16410</v>
      </c>
      <c r="K246" s="242"/>
      <c r="L246" s="66"/>
      <c r="M246" s="201" t="s">
        <v>12550</v>
      </c>
      <c r="N246" s="242" t="s">
        <v>19384</v>
      </c>
      <c r="O246" s="41"/>
      <c r="Q246" s="67"/>
      <c r="R246" s="67"/>
      <c r="S246" s="67"/>
      <c r="T246" s="67"/>
      <c r="U246" s="67"/>
      <c r="V246" s="67"/>
      <c r="W246" s="67"/>
      <c r="X246" s="67"/>
      <c r="Y246" s="67"/>
      <c r="Z246" s="67"/>
    </row>
    <row r="247" spans="1:26" ht="84" customHeight="1" x14ac:dyDescent="0.3">
      <c r="A247" s="242">
        <v>231</v>
      </c>
      <c r="B247" s="242" t="s">
        <v>16107</v>
      </c>
      <c r="C247" s="242" t="s">
        <v>12581</v>
      </c>
      <c r="D247" s="60" t="s">
        <v>16109</v>
      </c>
      <c r="E247" s="242"/>
      <c r="F247" s="244">
        <v>96853.68</v>
      </c>
      <c r="G247" s="244">
        <v>96853.68</v>
      </c>
      <c r="H247" s="244"/>
      <c r="I247" s="243">
        <v>40500</v>
      </c>
      <c r="J247" s="242" t="s">
        <v>16409</v>
      </c>
      <c r="K247" s="242"/>
      <c r="L247" s="66"/>
      <c r="M247" s="201" t="s">
        <v>12550</v>
      </c>
      <c r="N247" s="242" t="s">
        <v>19384</v>
      </c>
      <c r="O247" s="41"/>
    </row>
    <row r="248" spans="1:26" ht="72" customHeight="1" x14ac:dyDescent="0.3">
      <c r="A248" s="242">
        <v>232</v>
      </c>
      <c r="B248" s="242" t="s">
        <v>17552</v>
      </c>
      <c r="C248" s="242" t="s">
        <v>12581</v>
      </c>
      <c r="D248" s="60" t="s">
        <v>17551</v>
      </c>
      <c r="E248" s="242"/>
      <c r="F248" s="244">
        <v>96853.68</v>
      </c>
      <c r="G248" s="244">
        <v>96853.68</v>
      </c>
      <c r="H248" s="244"/>
      <c r="I248" s="243">
        <v>40500</v>
      </c>
      <c r="J248" s="242" t="s">
        <v>11171</v>
      </c>
      <c r="K248" s="242"/>
      <c r="L248" s="66"/>
      <c r="M248" s="201" t="s">
        <v>12550</v>
      </c>
      <c r="N248" s="242" t="s">
        <v>19384</v>
      </c>
      <c r="O248" s="41"/>
    </row>
    <row r="249" spans="1:26" ht="96" customHeight="1" x14ac:dyDescent="0.3">
      <c r="A249" s="242">
        <v>233</v>
      </c>
      <c r="B249" s="242" t="s">
        <v>11840</v>
      </c>
      <c r="C249" s="242" t="s">
        <v>12618</v>
      </c>
      <c r="D249" s="60" t="s">
        <v>11230</v>
      </c>
      <c r="E249" s="2"/>
      <c r="F249" s="11">
        <v>0.01</v>
      </c>
      <c r="G249" s="11">
        <v>0.01</v>
      </c>
      <c r="H249"/>
      <c r="I249" s="3">
        <v>42367</v>
      </c>
      <c r="J249" s="2" t="s">
        <v>12276</v>
      </c>
      <c r="K249" s="2"/>
      <c r="L249" s="66"/>
      <c r="M249" s="201" t="s">
        <v>12550</v>
      </c>
      <c r="N249" s="242" t="s">
        <v>19408</v>
      </c>
      <c r="O249" s="41"/>
    </row>
    <row r="250" spans="1:26" ht="108" customHeight="1" x14ac:dyDescent="0.3">
      <c r="A250" s="242">
        <v>234</v>
      </c>
      <c r="B250" s="242" t="s">
        <v>11261</v>
      </c>
      <c r="C250" s="242" t="s">
        <v>12596</v>
      </c>
      <c r="D250" s="85" t="s">
        <v>11262</v>
      </c>
      <c r="E250" s="242">
        <v>13</v>
      </c>
      <c r="F250" s="244">
        <v>0.01</v>
      </c>
      <c r="G250" s="244">
        <v>0.01</v>
      </c>
      <c r="H250" s="244"/>
      <c r="I250" s="3">
        <v>42367</v>
      </c>
      <c r="J250" s="242" t="s">
        <v>12272</v>
      </c>
      <c r="K250" s="242"/>
      <c r="L250" s="66"/>
      <c r="M250" s="201" t="s">
        <v>12550</v>
      </c>
      <c r="N250" s="242" t="s">
        <v>19409</v>
      </c>
      <c r="O250" s="41"/>
    </row>
    <row r="251" spans="1:26" ht="96" customHeight="1" x14ac:dyDescent="0.3">
      <c r="A251" s="242">
        <v>235</v>
      </c>
      <c r="B251" s="242" t="s">
        <v>11841</v>
      </c>
      <c r="C251" s="242" t="s">
        <v>12619</v>
      </c>
      <c r="D251" s="85" t="s">
        <v>19519</v>
      </c>
      <c r="E251" s="242"/>
      <c r="F251" s="244">
        <v>0.01</v>
      </c>
      <c r="G251" s="244">
        <v>0.01</v>
      </c>
      <c r="H251" s="244"/>
      <c r="I251" s="243">
        <v>40500</v>
      </c>
      <c r="J251" s="242" t="s">
        <v>19520</v>
      </c>
      <c r="K251" s="242"/>
      <c r="L251" s="66"/>
      <c r="M251" s="201" t="s">
        <v>12550</v>
      </c>
      <c r="N251" s="242" t="s">
        <v>19384</v>
      </c>
      <c r="O251" s="41"/>
    </row>
    <row r="252" spans="1:26" ht="96" customHeight="1" x14ac:dyDescent="0.3">
      <c r="A252" s="242">
        <v>236</v>
      </c>
      <c r="B252" s="242" t="s">
        <v>11849</v>
      </c>
      <c r="C252" s="242" t="s">
        <v>12582</v>
      </c>
      <c r="D252" s="85" t="s">
        <v>163</v>
      </c>
      <c r="E252" s="2"/>
      <c r="F252" s="11">
        <f>19394.01+3252+3252</f>
        <v>25898.01</v>
      </c>
      <c r="G252" s="11">
        <v>17265.61</v>
      </c>
      <c r="H252" s="11"/>
      <c r="I252" s="3">
        <v>42364</v>
      </c>
      <c r="J252" s="2" t="s">
        <v>12250</v>
      </c>
      <c r="K252" s="2"/>
      <c r="L252" s="66"/>
      <c r="M252" s="201" t="s">
        <v>12550</v>
      </c>
      <c r="N252" s="242" t="s">
        <v>19384</v>
      </c>
      <c r="O252" s="41"/>
    </row>
    <row r="253" spans="1:26" ht="108" customHeight="1" x14ac:dyDescent="0.3">
      <c r="A253" s="242">
        <v>237</v>
      </c>
      <c r="B253" s="242" t="s">
        <v>11850</v>
      </c>
      <c r="C253" s="242" t="s">
        <v>12584</v>
      </c>
      <c r="D253" s="85" t="s">
        <v>162</v>
      </c>
      <c r="E253" s="2"/>
      <c r="F253" s="11">
        <f>13851.01+6504</f>
        <v>20355.010000000002</v>
      </c>
      <c r="G253" s="11">
        <v>13570.41</v>
      </c>
      <c r="H253" s="11"/>
      <c r="I253" s="3" t="s">
        <v>12251</v>
      </c>
      <c r="J253" s="2" t="s">
        <v>12252</v>
      </c>
      <c r="K253" s="2"/>
      <c r="L253" s="66"/>
      <c r="M253" s="201" t="s">
        <v>12550</v>
      </c>
      <c r="N253" s="242" t="s">
        <v>19384</v>
      </c>
      <c r="O253" s="41"/>
    </row>
    <row r="254" spans="1:26" ht="72" customHeight="1" x14ac:dyDescent="0.3">
      <c r="A254" s="242">
        <v>238</v>
      </c>
      <c r="B254" s="242" t="s">
        <v>11332</v>
      </c>
      <c r="C254" s="242" t="s">
        <v>11333</v>
      </c>
      <c r="D254" s="85" t="s">
        <v>11334</v>
      </c>
      <c r="E254" s="2"/>
      <c r="F254" s="11">
        <v>7715</v>
      </c>
      <c r="G254" s="11">
        <v>5143.2</v>
      </c>
      <c r="H254" s="11"/>
      <c r="I254" s="3">
        <v>42417</v>
      </c>
      <c r="J254" s="2" t="s">
        <v>14060</v>
      </c>
      <c r="K254" s="2"/>
      <c r="L254" s="66"/>
      <c r="M254" s="201" t="s">
        <v>12550</v>
      </c>
      <c r="N254" s="242" t="s">
        <v>19384</v>
      </c>
      <c r="O254" s="41"/>
    </row>
    <row r="255" spans="1:26" ht="72" customHeight="1" x14ac:dyDescent="0.3">
      <c r="A255" s="242">
        <v>239</v>
      </c>
      <c r="B255" s="242" t="s">
        <v>11335</v>
      </c>
      <c r="C255" s="242" t="s">
        <v>16</v>
      </c>
      <c r="D255" s="85" t="s">
        <v>11336</v>
      </c>
      <c r="E255" s="2"/>
      <c r="F255" s="11">
        <v>9572</v>
      </c>
      <c r="G255" s="11">
        <v>6381.6</v>
      </c>
      <c r="H255" s="11"/>
      <c r="I255" s="3" t="s">
        <v>12421</v>
      </c>
      <c r="J255" s="2" t="s">
        <v>12426</v>
      </c>
      <c r="K255" s="2"/>
      <c r="L255" s="66"/>
      <c r="M255" s="201" t="s">
        <v>12550</v>
      </c>
      <c r="N255" s="242" t="s">
        <v>19384</v>
      </c>
      <c r="O255" s="41"/>
    </row>
    <row r="256" spans="1:26" ht="98.25" customHeight="1" x14ac:dyDescent="0.3">
      <c r="A256" s="242">
        <v>240</v>
      </c>
      <c r="B256" s="242" t="s">
        <v>11337</v>
      </c>
      <c r="C256" s="242" t="s">
        <v>11338</v>
      </c>
      <c r="D256" s="85" t="s">
        <v>11339</v>
      </c>
      <c r="E256" s="242"/>
      <c r="F256" s="244">
        <v>361811</v>
      </c>
      <c r="G256" s="244">
        <v>18699.77</v>
      </c>
      <c r="H256" s="98">
        <v>1029268.01</v>
      </c>
      <c r="I256" s="3" t="s">
        <v>12421</v>
      </c>
      <c r="J256" s="242" t="s">
        <v>12425</v>
      </c>
      <c r="K256" s="242"/>
      <c r="L256" s="66"/>
      <c r="M256" s="201" t="s">
        <v>12550</v>
      </c>
      <c r="N256" s="242" t="s">
        <v>19384</v>
      </c>
      <c r="O256" s="38" t="s">
        <v>23386</v>
      </c>
    </row>
    <row r="257" spans="1:15" ht="96" customHeight="1" x14ac:dyDescent="0.3">
      <c r="A257" s="242">
        <v>241</v>
      </c>
      <c r="B257" s="242" t="s">
        <v>11866</v>
      </c>
      <c r="C257" s="242" t="s">
        <v>12581</v>
      </c>
      <c r="D257" s="85" t="s">
        <v>160</v>
      </c>
      <c r="E257" s="2"/>
      <c r="F257" s="11">
        <f>334086.89+19531+775891.25</f>
        <v>1129509.1400000001</v>
      </c>
      <c r="G257" s="11">
        <v>636287.51</v>
      </c>
      <c r="H257" s="244"/>
      <c r="I257" s="3">
        <v>42367</v>
      </c>
      <c r="J257" s="2" t="s">
        <v>12249</v>
      </c>
      <c r="K257" s="2"/>
      <c r="L257" s="66"/>
      <c r="M257" s="201" t="s">
        <v>12550</v>
      </c>
      <c r="N257" s="242" t="s">
        <v>19384</v>
      </c>
      <c r="O257" s="41"/>
    </row>
    <row r="258" spans="1:15" ht="84" customHeight="1" x14ac:dyDescent="0.3">
      <c r="A258" s="242">
        <v>242</v>
      </c>
      <c r="B258" s="242" t="s">
        <v>11906</v>
      </c>
      <c r="C258" s="242" t="s">
        <v>12620</v>
      </c>
      <c r="D258" s="85" t="s">
        <v>11212</v>
      </c>
      <c r="E258" s="2"/>
      <c r="F258" s="11">
        <f>5235+3252+3252+0.01</f>
        <v>11739.01</v>
      </c>
      <c r="G258" s="11">
        <v>7826.4</v>
      </c>
      <c r="H258" s="11"/>
      <c r="I258" s="3">
        <v>42367</v>
      </c>
      <c r="J258" s="2" t="s">
        <v>12253</v>
      </c>
      <c r="K258" s="2"/>
      <c r="L258" s="66"/>
      <c r="M258" s="201" t="s">
        <v>12550</v>
      </c>
      <c r="N258" s="242" t="s">
        <v>19384</v>
      </c>
      <c r="O258" s="41"/>
    </row>
    <row r="259" spans="1:15" ht="96" customHeight="1" x14ac:dyDescent="0.3">
      <c r="A259" s="242">
        <v>243</v>
      </c>
      <c r="B259" s="242" t="s">
        <v>17880</v>
      </c>
      <c r="C259" s="242" t="s">
        <v>17876</v>
      </c>
      <c r="D259" s="85" t="s">
        <v>17875</v>
      </c>
      <c r="E259" s="2"/>
      <c r="F259" s="244">
        <v>0.01</v>
      </c>
      <c r="G259" s="11">
        <v>0.01</v>
      </c>
      <c r="H259" s="244"/>
      <c r="I259" s="3">
        <v>40500</v>
      </c>
      <c r="J259" s="2" t="s">
        <v>18573</v>
      </c>
      <c r="K259" s="2"/>
      <c r="L259" s="66"/>
      <c r="M259" s="201" t="s">
        <v>12550</v>
      </c>
      <c r="N259" s="242" t="s">
        <v>19384</v>
      </c>
      <c r="O259" s="41"/>
    </row>
    <row r="260" spans="1:15" ht="96" customHeight="1" x14ac:dyDescent="0.3">
      <c r="A260" s="242">
        <v>244</v>
      </c>
      <c r="B260" s="242" t="s">
        <v>21186</v>
      </c>
      <c r="C260" s="242" t="s">
        <v>12620</v>
      </c>
      <c r="D260" s="85" t="s">
        <v>11227</v>
      </c>
      <c r="E260" s="2"/>
      <c r="F260" s="11">
        <v>23243.040000000001</v>
      </c>
      <c r="G260" s="11">
        <v>23243.03</v>
      </c>
      <c r="H260" s="11"/>
      <c r="I260" s="3">
        <v>42367</v>
      </c>
      <c r="J260" s="2" t="s">
        <v>12279</v>
      </c>
      <c r="K260" s="2"/>
      <c r="L260" s="66"/>
      <c r="M260" s="242" t="s">
        <v>13904</v>
      </c>
      <c r="N260" s="242" t="s">
        <v>19410</v>
      </c>
      <c r="O260" s="38"/>
    </row>
    <row r="261" spans="1:15" ht="84" customHeight="1" x14ac:dyDescent="0.3">
      <c r="A261" s="242">
        <v>245</v>
      </c>
      <c r="B261" s="242" t="s">
        <v>16174</v>
      </c>
      <c r="C261" s="242" t="s">
        <v>16181</v>
      </c>
      <c r="D261" s="85" t="s">
        <v>16115</v>
      </c>
      <c r="E261" s="242"/>
      <c r="F261" s="244">
        <v>0.01</v>
      </c>
      <c r="G261" s="244">
        <v>0.01</v>
      </c>
      <c r="H261" s="244"/>
      <c r="I261" s="3">
        <v>40500</v>
      </c>
      <c r="J261" s="242" t="s">
        <v>16435</v>
      </c>
      <c r="K261" s="242"/>
      <c r="L261" s="66"/>
      <c r="M261" s="201" t="s">
        <v>12550</v>
      </c>
      <c r="N261" s="242" t="s">
        <v>19384</v>
      </c>
      <c r="O261" s="41"/>
    </row>
    <row r="262" spans="1:15" ht="84" customHeight="1" x14ac:dyDescent="0.3">
      <c r="A262" s="242">
        <v>246</v>
      </c>
      <c r="B262" s="242" t="s">
        <v>16117</v>
      </c>
      <c r="C262" s="242" t="s">
        <v>16181</v>
      </c>
      <c r="D262" s="85" t="s">
        <v>16116</v>
      </c>
      <c r="E262" s="242"/>
      <c r="F262" s="244">
        <v>21934.25</v>
      </c>
      <c r="G262" s="11">
        <v>21934.25</v>
      </c>
      <c r="H262" s="244"/>
      <c r="I262" s="3">
        <v>40500</v>
      </c>
      <c r="J262" s="2" t="s">
        <v>16436</v>
      </c>
      <c r="K262" s="2"/>
      <c r="L262" s="66"/>
      <c r="M262" s="201" t="s">
        <v>12550</v>
      </c>
      <c r="N262" s="242" t="s">
        <v>19384</v>
      </c>
      <c r="O262" s="41"/>
    </row>
    <row r="263" spans="1:15" ht="96" customHeight="1" x14ac:dyDescent="0.3">
      <c r="A263" s="242">
        <v>247</v>
      </c>
      <c r="B263" s="242" t="s">
        <v>11901</v>
      </c>
      <c r="C263" s="242" t="s">
        <v>12582</v>
      </c>
      <c r="D263" s="85" t="s">
        <v>164</v>
      </c>
      <c r="E263" s="242"/>
      <c r="F263" s="244">
        <f>1188665.32+35307+38517</f>
        <v>1262489.32</v>
      </c>
      <c r="G263" s="244">
        <v>661370.21</v>
      </c>
      <c r="H263" s="244"/>
      <c r="I263" s="243">
        <v>42364</v>
      </c>
      <c r="J263" s="242" t="s">
        <v>12243</v>
      </c>
      <c r="K263" s="242"/>
      <c r="L263" s="66"/>
      <c r="M263" s="201" t="s">
        <v>12550</v>
      </c>
      <c r="N263" s="242" t="s">
        <v>19384</v>
      </c>
      <c r="O263" s="41"/>
    </row>
    <row r="264" spans="1:15" ht="68.400000000000006" customHeight="1" x14ac:dyDescent="0.3">
      <c r="A264" s="242">
        <v>248</v>
      </c>
      <c r="B264" s="242" t="s">
        <v>11257</v>
      </c>
      <c r="C264" s="242" t="s">
        <v>12582</v>
      </c>
      <c r="D264" s="85" t="s">
        <v>11258</v>
      </c>
      <c r="E264" s="242">
        <v>10</v>
      </c>
      <c r="F264" s="244"/>
      <c r="G264" s="244"/>
      <c r="H264" s="242">
        <v>66044.100000000006</v>
      </c>
      <c r="I264" s="243">
        <v>42364</v>
      </c>
      <c r="J264" s="242" t="s">
        <v>12257</v>
      </c>
      <c r="K264" s="242"/>
      <c r="L264" s="66"/>
      <c r="M264" s="201" t="s">
        <v>12550</v>
      </c>
      <c r="N264" s="242" t="s">
        <v>19384</v>
      </c>
      <c r="O264" s="41"/>
    </row>
    <row r="265" spans="1:15" ht="72" customHeight="1" x14ac:dyDescent="0.3">
      <c r="A265" s="242">
        <v>249</v>
      </c>
      <c r="B265" s="242" t="s">
        <v>11904</v>
      </c>
      <c r="C265" s="242" t="s">
        <v>12620</v>
      </c>
      <c r="D265" s="85" t="s">
        <v>11214</v>
      </c>
      <c r="E265" s="2"/>
      <c r="F265" s="11">
        <f>291053+67405+102713</f>
        <v>461171</v>
      </c>
      <c r="G265" s="11">
        <v>155073.60000000001</v>
      </c>
      <c r="H265" s="244"/>
      <c r="I265" s="3">
        <v>42367</v>
      </c>
      <c r="J265" s="2" t="s">
        <v>12248</v>
      </c>
      <c r="K265" s="2"/>
      <c r="L265" s="66"/>
      <c r="M265" s="201" t="s">
        <v>12550</v>
      </c>
      <c r="N265" s="2" t="s">
        <v>19384</v>
      </c>
      <c r="O265" s="41"/>
    </row>
    <row r="266" spans="1:15" ht="108" customHeight="1" x14ac:dyDescent="0.3">
      <c r="A266" s="242">
        <v>250</v>
      </c>
      <c r="B266" s="242" t="s">
        <v>11903</v>
      </c>
      <c r="C266" s="242" t="s">
        <v>12581</v>
      </c>
      <c r="D266" s="85" t="s">
        <v>165</v>
      </c>
      <c r="E266" s="242"/>
      <c r="F266" s="244">
        <f>1982583.54+327395+21666+56171</f>
        <v>2387815.54</v>
      </c>
      <c r="G266" s="244">
        <v>1131113.73</v>
      </c>
      <c r="H266" s="244"/>
      <c r="I266" s="243">
        <v>42367</v>
      </c>
      <c r="J266" s="242" t="s">
        <v>12247</v>
      </c>
      <c r="K266" s="242"/>
      <c r="L266" s="66"/>
      <c r="M266" s="201" t="s">
        <v>20945</v>
      </c>
      <c r="N266" s="242" t="s">
        <v>19384</v>
      </c>
      <c r="O266" s="41"/>
    </row>
    <row r="267" spans="1:15" ht="96" customHeight="1" x14ac:dyDescent="0.3">
      <c r="A267" s="242">
        <v>251</v>
      </c>
      <c r="B267" s="242" t="s">
        <v>11846</v>
      </c>
      <c r="C267" s="242" t="s">
        <v>12584</v>
      </c>
      <c r="D267" s="85" t="s">
        <v>11259</v>
      </c>
      <c r="E267" s="242">
        <v>27</v>
      </c>
      <c r="F267" s="25">
        <v>20346.46</v>
      </c>
      <c r="G267" s="25">
        <v>5749.23</v>
      </c>
      <c r="H267" s="242">
        <v>419029.2</v>
      </c>
      <c r="I267" s="26">
        <v>42363</v>
      </c>
      <c r="J267" s="245" t="s">
        <v>12258</v>
      </c>
      <c r="K267" s="242"/>
      <c r="L267" s="66"/>
      <c r="M267" s="2" t="s">
        <v>13904</v>
      </c>
      <c r="N267" s="242" t="s">
        <v>19411</v>
      </c>
      <c r="O267" s="41"/>
    </row>
    <row r="268" spans="1:15" ht="84" customHeight="1" x14ac:dyDescent="0.3">
      <c r="A268" s="242">
        <v>252</v>
      </c>
      <c r="B268" s="242" t="s">
        <v>11905</v>
      </c>
      <c r="C268" s="242" t="s">
        <v>12584</v>
      </c>
      <c r="D268" s="85" t="s">
        <v>166</v>
      </c>
      <c r="E268" s="242"/>
      <c r="F268" s="244">
        <v>391409</v>
      </c>
      <c r="G268" s="244">
        <v>130469.6</v>
      </c>
      <c r="H268" s="244"/>
      <c r="I268" s="3">
        <v>42363</v>
      </c>
      <c r="J268" s="242" t="s">
        <v>12242</v>
      </c>
      <c r="K268" s="242"/>
      <c r="L268" s="66"/>
      <c r="M268" s="201" t="s">
        <v>12550</v>
      </c>
      <c r="N268" s="242" t="s">
        <v>19384</v>
      </c>
      <c r="O268" s="41"/>
    </row>
    <row r="269" spans="1:15" ht="60" customHeight="1" x14ac:dyDescent="0.3">
      <c r="A269" s="242">
        <v>253</v>
      </c>
      <c r="B269" s="2" t="s">
        <v>11936</v>
      </c>
      <c r="C269" s="2" t="s">
        <v>12592</v>
      </c>
      <c r="D269" s="242"/>
      <c r="E269" s="2"/>
      <c r="F269" s="244">
        <v>0.01</v>
      </c>
      <c r="G269" s="11">
        <v>0.01</v>
      </c>
      <c r="H269" s="242"/>
      <c r="I269" s="3">
        <v>40500</v>
      </c>
      <c r="J269" s="2" t="s">
        <v>11171</v>
      </c>
      <c r="K269" s="2"/>
      <c r="L269" s="66"/>
      <c r="M269" s="201" t="s">
        <v>12550</v>
      </c>
      <c r="N269" s="242" t="s">
        <v>19384</v>
      </c>
      <c r="O269" s="41"/>
    </row>
    <row r="270" spans="1:15" ht="60" customHeight="1" x14ac:dyDescent="0.3">
      <c r="A270" s="2">
        <v>254</v>
      </c>
      <c r="B270" s="2" t="s">
        <v>11863</v>
      </c>
      <c r="C270" s="2" t="s">
        <v>12832</v>
      </c>
      <c r="D270" s="242"/>
      <c r="E270" s="242"/>
      <c r="F270" s="11">
        <v>686125.63</v>
      </c>
      <c r="G270" s="11">
        <v>686125.63</v>
      </c>
      <c r="H270" s="242"/>
      <c r="I270" s="3">
        <v>40500</v>
      </c>
      <c r="J270" s="2" t="s">
        <v>11171</v>
      </c>
      <c r="K270" s="2"/>
      <c r="L270" s="66"/>
      <c r="M270" s="201" t="s">
        <v>12550</v>
      </c>
      <c r="N270" s="2" t="s">
        <v>19384</v>
      </c>
      <c r="O270" s="41"/>
    </row>
    <row r="271" spans="1:15" ht="120" customHeight="1" x14ac:dyDescent="0.3">
      <c r="A271" s="242">
        <v>255</v>
      </c>
      <c r="B271" s="242" t="s">
        <v>16175</v>
      </c>
      <c r="C271" s="242" t="s">
        <v>11340</v>
      </c>
      <c r="D271" s="85" t="s">
        <v>11341</v>
      </c>
      <c r="E271" s="242"/>
      <c r="F271" s="244">
        <f>(807250.29+743064.38)/42036*825+9757</f>
        <v>40183.529706679983</v>
      </c>
      <c r="G271" s="244">
        <v>24919.55</v>
      </c>
      <c r="H271" s="244"/>
      <c r="I271" s="243">
        <v>40500</v>
      </c>
      <c r="J271" s="242" t="s">
        <v>16925</v>
      </c>
      <c r="K271" s="242"/>
      <c r="L271" s="66"/>
      <c r="M271" s="201" t="s">
        <v>12550</v>
      </c>
      <c r="N271" s="242" t="s">
        <v>19384</v>
      </c>
      <c r="O271" s="41"/>
    </row>
    <row r="272" spans="1:15" ht="84" customHeight="1" x14ac:dyDescent="0.3">
      <c r="A272" s="242">
        <v>256</v>
      </c>
      <c r="B272" s="242" t="s">
        <v>11910</v>
      </c>
      <c r="C272" s="242" t="s">
        <v>11342</v>
      </c>
      <c r="D272" s="85" t="s">
        <v>11343</v>
      </c>
      <c r="E272" s="2"/>
      <c r="F272" s="11">
        <f>(807250.29+743064.38)/42036*2535+20150+4878</f>
        <v>118520.42764416213</v>
      </c>
      <c r="G272" s="11">
        <v>74518.33</v>
      </c>
      <c r="H272" s="11"/>
      <c r="I272" s="3" t="s">
        <v>12421</v>
      </c>
      <c r="J272" s="2" t="s">
        <v>12424</v>
      </c>
      <c r="K272" s="2"/>
      <c r="L272" s="66"/>
      <c r="M272" s="201" t="s">
        <v>12550</v>
      </c>
      <c r="N272" s="2" t="s">
        <v>19384</v>
      </c>
      <c r="O272" s="41"/>
    </row>
    <row r="273" spans="1:15" ht="72" customHeight="1" x14ac:dyDescent="0.3">
      <c r="A273" s="242">
        <v>257</v>
      </c>
      <c r="B273" s="242" t="s">
        <v>11899</v>
      </c>
      <c r="C273" s="242" t="s">
        <v>15</v>
      </c>
      <c r="D273" s="85" t="s">
        <v>11344</v>
      </c>
      <c r="E273" s="242"/>
      <c r="F273" s="244">
        <f>(807250.29+743064.38)/42036*1103</f>
        <v>40679.348201779423</v>
      </c>
      <c r="G273" s="244">
        <v>25163.51</v>
      </c>
      <c r="H273" s="244"/>
      <c r="I273" s="243">
        <v>40500</v>
      </c>
      <c r="J273" s="242" t="s">
        <v>12422</v>
      </c>
      <c r="K273" s="242"/>
      <c r="L273" s="66"/>
      <c r="M273" s="201" t="s">
        <v>12550</v>
      </c>
      <c r="N273" s="242" t="s">
        <v>19384</v>
      </c>
      <c r="O273" s="41"/>
    </row>
    <row r="274" spans="1:15" ht="84" customHeight="1" x14ac:dyDescent="0.3">
      <c r="A274" s="242">
        <v>258</v>
      </c>
      <c r="B274" s="242" t="s">
        <v>11898</v>
      </c>
      <c r="C274" s="242" t="s">
        <v>11345</v>
      </c>
      <c r="D274" s="85" t="s">
        <v>11346</v>
      </c>
      <c r="E274" s="242"/>
      <c r="F274" s="244">
        <f>(807250.29+743064.38)/42036*481</f>
        <v>17739.58883504615</v>
      </c>
      <c r="G274" s="244">
        <v>10973.39</v>
      </c>
      <c r="H274" s="244"/>
      <c r="I274" s="243" t="s">
        <v>12421</v>
      </c>
      <c r="J274" s="242" t="s">
        <v>12446</v>
      </c>
      <c r="K274" s="242"/>
      <c r="L274" s="66"/>
      <c r="M274" s="201" t="s">
        <v>12550</v>
      </c>
      <c r="N274" s="242" t="s">
        <v>19384</v>
      </c>
      <c r="O274" s="41"/>
    </row>
    <row r="275" spans="1:15" ht="72" customHeight="1" x14ac:dyDescent="0.3">
      <c r="A275" s="242">
        <v>259</v>
      </c>
      <c r="B275" s="242" t="s">
        <v>11900</v>
      </c>
      <c r="C275" s="242" t="s">
        <v>11347</v>
      </c>
      <c r="D275" s="85" t="s">
        <v>11348</v>
      </c>
      <c r="E275" s="2"/>
      <c r="F275" s="11">
        <f>(807250.29+743064.38)/42036*2726+1489</f>
        <v>102025.63027928441</v>
      </c>
      <c r="G275" s="11">
        <v>63182.95</v>
      </c>
      <c r="H275" s="11"/>
      <c r="I275" s="3" t="s">
        <v>14043</v>
      </c>
      <c r="J275" s="2" t="s">
        <v>14059</v>
      </c>
      <c r="K275" s="2"/>
      <c r="L275" s="66"/>
      <c r="M275" s="201" t="s">
        <v>12550</v>
      </c>
      <c r="N275" s="242" t="s">
        <v>19384</v>
      </c>
      <c r="O275" s="41"/>
    </row>
    <row r="276" spans="1:15" ht="72" customHeight="1" x14ac:dyDescent="0.3">
      <c r="A276" s="242">
        <v>260</v>
      </c>
      <c r="B276" s="242" t="s">
        <v>11897</v>
      </c>
      <c r="C276" s="242" t="s">
        <v>11349</v>
      </c>
      <c r="D276" s="85" t="s">
        <v>11350</v>
      </c>
      <c r="E276" s="242"/>
      <c r="F276" s="244">
        <f>(807250.29+743064.38)/42036*958+3375</f>
        <v>38706.655101817487</v>
      </c>
      <c r="G276" s="11">
        <v>24105.93</v>
      </c>
      <c r="H276" s="244"/>
      <c r="I276" s="3" t="s">
        <v>14043</v>
      </c>
      <c r="J276" s="2" t="s">
        <v>14068</v>
      </c>
      <c r="K276" s="2"/>
      <c r="L276" s="66"/>
      <c r="M276" s="201" t="s">
        <v>12550</v>
      </c>
      <c r="N276" s="242" t="s">
        <v>19384</v>
      </c>
      <c r="O276" s="41"/>
    </row>
    <row r="277" spans="1:15" ht="72" customHeight="1" x14ac:dyDescent="0.3">
      <c r="A277" s="242">
        <v>261</v>
      </c>
      <c r="B277" s="242" t="s">
        <v>11896</v>
      </c>
      <c r="C277" s="242" t="s">
        <v>68</v>
      </c>
      <c r="D277" s="85" t="s">
        <v>11351</v>
      </c>
      <c r="E277" s="242"/>
      <c r="F277" s="11">
        <f>(807250.29+743064.38)/42036*1356</f>
        <v>50010.15064516128</v>
      </c>
      <c r="G277" s="11">
        <f>140054.91/42036*1356</f>
        <v>4517.9003225806455</v>
      </c>
      <c r="H277" s="244"/>
      <c r="I277" s="3" t="s">
        <v>14043</v>
      </c>
      <c r="J277" s="2" t="s">
        <v>14064</v>
      </c>
      <c r="K277" s="2"/>
      <c r="L277" s="66"/>
      <c r="M277" s="201" t="s">
        <v>12550</v>
      </c>
      <c r="N277" s="242" t="s">
        <v>19384</v>
      </c>
      <c r="O277" s="41"/>
    </row>
    <row r="278" spans="1:15" ht="72" customHeight="1" x14ac:dyDescent="0.3">
      <c r="A278" s="242">
        <v>262</v>
      </c>
      <c r="B278" s="242" t="s">
        <v>11895</v>
      </c>
      <c r="C278" s="242" t="s">
        <v>11352</v>
      </c>
      <c r="D278" s="85" t="s">
        <v>11353</v>
      </c>
      <c r="E278" s="242"/>
      <c r="F278" s="244">
        <f>(807250.29+743064.38)/42036*1356</f>
        <v>50010.15064516128</v>
      </c>
      <c r="G278" s="244">
        <v>30935.38</v>
      </c>
      <c r="H278" s="244"/>
      <c r="I278" s="243" t="s">
        <v>12421</v>
      </c>
      <c r="J278" s="242" t="s">
        <v>12447</v>
      </c>
      <c r="K278" s="242"/>
      <c r="L278" s="66"/>
      <c r="M278" s="201" t="s">
        <v>12550</v>
      </c>
      <c r="N278" s="242" t="s">
        <v>19384</v>
      </c>
      <c r="O278" s="41"/>
    </row>
    <row r="279" spans="1:15" ht="72" customHeight="1" x14ac:dyDescent="0.3">
      <c r="A279" s="242">
        <v>263</v>
      </c>
      <c r="B279" s="242" t="s">
        <v>11894</v>
      </c>
      <c r="C279" s="242" t="s">
        <v>11354</v>
      </c>
      <c r="D279" s="85" t="s">
        <v>11355</v>
      </c>
      <c r="E279" s="242"/>
      <c r="F279" s="244">
        <f>(807250.29+743064.38)/42036*662</f>
        <v>24414.985049481395</v>
      </c>
      <c r="G279" s="244">
        <v>15102.67</v>
      </c>
      <c r="H279" s="244"/>
      <c r="I279" s="243" t="s">
        <v>14043</v>
      </c>
      <c r="J279" s="242" t="s">
        <v>14048</v>
      </c>
      <c r="K279" s="242"/>
      <c r="L279" s="66"/>
      <c r="M279" s="201" t="s">
        <v>12550</v>
      </c>
      <c r="N279" s="242" t="s">
        <v>19384</v>
      </c>
      <c r="O279" s="41"/>
    </row>
    <row r="280" spans="1:15" ht="72" customHeight="1" x14ac:dyDescent="0.3">
      <c r="A280" s="242">
        <v>264</v>
      </c>
      <c r="B280" s="242" t="s">
        <v>11893</v>
      </c>
      <c r="C280" s="242" t="s">
        <v>11356</v>
      </c>
      <c r="D280" s="85" t="s">
        <v>11357</v>
      </c>
      <c r="E280" s="242"/>
      <c r="F280" s="244">
        <f>(807250.29+743064.38)/42036*1711</f>
        <v>63102.778579550853</v>
      </c>
      <c r="G280" s="244">
        <v>39034.239999999998</v>
      </c>
      <c r="H280" s="244"/>
      <c r="I280" s="3" t="s">
        <v>14043</v>
      </c>
      <c r="J280" s="242" t="s">
        <v>14047</v>
      </c>
      <c r="K280" s="242"/>
      <c r="L280" s="66"/>
      <c r="M280" s="201" t="s">
        <v>12550</v>
      </c>
      <c r="N280" s="242" t="s">
        <v>19384</v>
      </c>
      <c r="O280" s="41"/>
    </row>
    <row r="281" spans="1:15" ht="72" customHeight="1" x14ac:dyDescent="0.3">
      <c r="A281" s="242">
        <v>265</v>
      </c>
      <c r="B281" s="242" t="s">
        <v>11892</v>
      </c>
      <c r="C281" s="242" t="s">
        <v>11358</v>
      </c>
      <c r="D281" s="85" t="s">
        <v>11359</v>
      </c>
      <c r="E281" s="242"/>
      <c r="F281" s="244">
        <f>(807250.29+743064.38)/42036*1803</f>
        <v>66495.797649871529</v>
      </c>
      <c r="G281" s="244">
        <v>41133.1</v>
      </c>
      <c r="H281" s="244"/>
      <c r="I281" s="3" t="s">
        <v>14043</v>
      </c>
      <c r="J281" s="242" t="s">
        <v>14045</v>
      </c>
      <c r="K281" s="242"/>
      <c r="L281" s="66"/>
      <c r="M281" s="201" t="s">
        <v>12550</v>
      </c>
      <c r="N281" s="242" t="s">
        <v>19384</v>
      </c>
      <c r="O281" s="41"/>
    </row>
    <row r="282" spans="1:15" ht="72" customHeight="1" x14ac:dyDescent="0.3">
      <c r="A282" s="242">
        <v>266</v>
      </c>
      <c r="B282" s="242" t="s">
        <v>11891</v>
      </c>
      <c r="C282" s="242" t="s">
        <v>11360</v>
      </c>
      <c r="D282" s="85" t="s">
        <v>11361</v>
      </c>
      <c r="E282" s="242"/>
      <c r="F282" s="244">
        <v>70595.03</v>
      </c>
      <c r="G282" s="244">
        <v>38555.15</v>
      </c>
      <c r="H282" s="244"/>
      <c r="I282" s="243" t="s">
        <v>14043</v>
      </c>
      <c r="J282" s="242" t="s">
        <v>14067</v>
      </c>
      <c r="K282" s="242"/>
      <c r="L282" s="66"/>
      <c r="M282" s="201" t="s">
        <v>12550</v>
      </c>
      <c r="N282" s="242" t="s">
        <v>19384</v>
      </c>
      <c r="O282" s="41"/>
    </row>
    <row r="283" spans="1:15" ht="72" customHeight="1" x14ac:dyDescent="0.3">
      <c r="A283" s="242">
        <v>267</v>
      </c>
      <c r="B283" s="242" t="s">
        <v>11890</v>
      </c>
      <c r="C283" s="242" t="s">
        <v>11362</v>
      </c>
      <c r="D283" s="85" t="s">
        <v>11363</v>
      </c>
      <c r="E283" s="242"/>
      <c r="F283" s="244">
        <f>(807250.29+743064.38)/42036*1584</f>
        <v>58418.93703682557</v>
      </c>
      <c r="G283" s="244">
        <v>44403.64</v>
      </c>
      <c r="H283" s="244"/>
      <c r="I283" s="3" t="s">
        <v>14043</v>
      </c>
      <c r="J283" s="242" t="s">
        <v>14055</v>
      </c>
      <c r="K283" s="242"/>
      <c r="L283" s="66"/>
      <c r="M283" s="201" t="s">
        <v>12550</v>
      </c>
      <c r="N283" s="242" t="s">
        <v>19384</v>
      </c>
      <c r="O283" s="41"/>
    </row>
    <row r="284" spans="1:15" ht="84" customHeight="1" x14ac:dyDescent="0.3">
      <c r="A284" s="242">
        <v>268</v>
      </c>
      <c r="B284" s="242" t="s">
        <v>11525</v>
      </c>
      <c r="C284" s="242" t="s">
        <v>19046</v>
      </c>
      <c r="D284" s="85" t="s">
        <v>11526</v>
      </c>
      <c r="E284" s="242">
        <v>1632.3</v>
      </c>
      <c r="F284" s="244"/>
      <c r="G284" s="244"/>
      <c r="H284" s="244"/>
      <c r="I284" s="243">
        <v>36917</v>
      </c>
      <c r="J284" s="242" t="s">
        <v>11527</v>
      </c>
      <c r="K284" s="242"/>
      <c r="L284" s="66"/>
      <c r="M284" s="242" t="s">
        <v>14091</v>
      </c>
      <c r="N284" s="242" t="s">
        <v>19047</v>
      </c>
      <c r="O284" s="41"/>
    </row>
    <row r="285" spans="1:15" ht="72" customHeight="1" x14ac:dyDescent="0.3">
      <c r="A285" s="242">
        <v>269</v>
      </c>
      <c r="B285" s="242" t="s">
        <v>11889</v>
      </c>
      <c r="C285" s="242" t="s">
        <v>11364</v>
      </c>
      <c r="D285" s="85" t="s">
        <v>11365</v>
      </c>
      <c r="E285" s="242"/>
      <c r="F285" s="244">
        <f>(807250.29+743064.38)/42036*1876</f>
        <v>69188.084520886856</v>
      </c>
      <c r="G285" s="244">
        <v>42798.5</v>
      </c>
      <c r="H285" s="244"/>
      <c r="I285" s="3" t="s">
        <v>14043</v>
      </c>
      <c r="J285" s="242" t="s">
        <v>14051</v>
      </c>
      <c r="K285" s="242"/>
      <c r="L285" s="66"/>
      <c r="M285" s="201" t="s">
        <v>12550</v>
      </c>
      <c r="N285" s="242" t="s">
        <v>19384</v>
      </c>
      <c r="O285" s="41"/>
    </row>
    <row r="286" spans="1:15" ht="72" customHeight="1" x14ac:dyDescent="0.3">
      <c r="A286" s="242">
        <v>270</v>
      </c>
      <c r="B286" s="242" t="s">
        <v>11888</v>
      </c>
      <c r="C286" s="242" t="s">
        <v>11366</v>
      </c>
      <c r="D286" s="85" t="s">
        <v>11367</v>
      </c>
      <c r="E286" s="2"/>
      <c r="F286" s="11">
        <f>(807250.29+743064.38)/42036*606</f>
        <v>22349.669093634024</v>
      </c>
      <c r="G286" s="11">
        <v>13825.1</v>
      </c>
      <c r="H286" s="11"/>
      <c r="I286" s="3" t="s">
        <v>12421</v>
      </c>
      <c r="J286" s="242" t="s">
        <v>12433</v>
      </c>
      <c r="K286" s="2"/>
      <c r="L286" s="66"/>
      <c r="M286" s="201" t="s">
        <v>12550</v>
      </c>
      <c r="N286" s="242" t="s">
        <v>19384</v>
      </c>
      <c r="O286" s="41"/>
    </row>
    <row r="287" spans="1:15" ht="72" customHeight="1" x14ac:dyDescent="0.3">
      <c r="A287" s="242">
        <v>271</v>
      </c>
      <c r="B287" s="242" t="s">
        <v>11887</v>
      </c>
      <c r="C287" s="242" t="s">
        <v>11368</v>
      </c>
      <c r="D287" s="85" t="s">
        <v>11369</v>
      </c>
      <c r="E287" s="242"/>
      <c r="F287" s="244">
        <f>(807250.29+743064.38)/42036*684</f>
        <v>25226.35917499286</v>
      </c>
      <c r="G287" s="244">
        <v>15604.57</v>
      </c>
      <c r="H287" s="244"/>
      <c r="I287" s="243" t="s">
        <v>14043</v>
      </c>
      <c r="J287" s="242" t="s">
        <v>14061</v>
      </c>
      <c r="K287" s="242"/>
      <c r="L287" s="66"/>
      <c r="M287" s="201" t="s">
        <v>12550</v>
      </c>
      <c r="N287" s="242" t="s">
        <v>19384</v>
      </c>
      <c r="O287" s="41"/>
    </row>
    <row r="288" spans="1:15" ht="72" customHeight="1" x14ac:dyDescent="0.3">
      <c r="A288" s="242">
        <v>272</v>
      </c>
      <c r="B288" s="242" t="s">
        <v>11886</v>
      </c>
      <c r="C288" s="242" t="s">
        <v>11370</v>
      </c>
      <c r="D288" s="85" t="s">
        <v>11371</v>
      </c>
      <c r="E288" s="2"/>
      <c r="F288" s="244">
        <f>(807250.29+743064.38)/42036*658</f>
        <v>24267.462481206581</v>
      </c>
      <c r="G288" s="11">
        <v>15011.42</v>
      </c>
      <c r="H288" s="11"/>
      <c r="I288" s="3" t="s">
        <v>14043</v>
      </c>
      <c r="J288" s="242" t="s">
        <v>14054</v>
      </c>
      <c r="K288" s="2"/>
      <c r="L288" s="66"/>
      <c r="M288" s="201" t="s">
        <v>12550</v>
      </c>
      <c r="N288" s="2" t="s">
        <v>19384</v>
      </c>
      <c r="O288" s="41"/>
    </row>
    <row r="289" spans="1:15" ht="72" customHeight="1" x14ac:dyDescent="0.3">
      <c r="A289" s="242">
        <v>273</v>
      </c>
      <c r="B289" s="242" t="s">
        <v>11885</v>
      </c>
      <c r="C289" s="242" t="s">
        <v>11372</v>
      </c>
      <c r="D289" s="85" t="s">
        <v>11373</v>
      </c>
      <c r="E289" s="2"/>
      <c r="F289" s="11">
        <f>(807250.29+743064.38)/42036*1081</f>
        <v>39867.974076267958</v>
      </c>
      <c r="G289" s="11">
        <v>24661.61</v>
      </c>
      <c r="H289" s="244"/>
      <c r="I289" s="3" t="s">
        <v>14043</v>
      </c>
      <c r="J289" s="2" t="s">
        <v>14046</v>
      </c>
      <c r="K289" s="2"/>
      <c r="L289" s="66"/>
      <c r="M289" s="201" t="s">
        <v>12550</v>
      </c>
      <c r="N289" s="2" t="s">
        <v>19384</v>
      </c>
      <c r="O289" s="41"/>
    </row>
    <row r="290" spans="1:15" ht="72" customHeight="1" x14ac:dyDescent="0.3">
      <c r="A290" s="242">
        <v>274</v>
      </c>
      <c r="B290" s="242" t="s">
        <v>11884</v>
      </c>
      <c r="C290" s="242" t="s">
        <v>11368</v>
      </c>
      <c r="D290" s="85" t="s">
        <v>11374</v>
      </c>
      <c r="E290" s="2"/>
      <c r="F290" s="11">
        <f>(807250.29+743064.38)/42036*842</f>
        <v>31053.500621847936</v>
      </c>
      <c r="G290" s="11">
        <v>19209.14</v>
      </c>
      <c r="H290" s="244"/>
      <c r="I290" s="3">
        <v>40500</v>
      </c>
      <c r="J290" s="2" t="s">
        <v>14050</v>
      </c>
      <c r="K290" s="2"/>
      <c r="L290" s="66"/>
      <c r="M290" s="201" t="s">
        <v>12550</v>
      </c>
      <c r="N290" s="2" t="s">
        <v>19384</v>
      </c>
      <c r="O290" s="41"/>
    </row>
    <row r="291" spans="1:15" ht="72" customHeight="1" x14ac:dyDescent="0.3">
      <c r="A291" s="242">
        <v>275</v>
      </c>
      <c r="B291" s="242" t="s">
        <v>11883</v>
      </c>
      <c r="C291" s="242" t="s">
        <v>11375</v>
      </c>
      <c r="D291" s="85" t="s">
        <v>11376</v>
      </c>
      <c r="E291" s="2"/>
      <c r="F291" s="11">
        <f>(807250.29+743064.38)/42036*502</f>
        <v>18514.082318488912</v>
      </c>
      <c r="G291" s="11">
        <v>11452.48</v>
      </c>
      <c r="H291" s="244"/>
      <c r="I291" s="3" t="s">
        <v>12421</v>
      </c>
      <c r="J291" s="2" t="s">
        <v>12428</v>
      </c>
      <c r="K291" s="2"/>
      <c r="L291" s="66"/>
      <c r="M291" s="201" t="s">
        <v>12550</v>
      </c>
      <c r="N291" s="2" t="s">
        <v>19384</v>
      </c>
      <c r="O291" s="41"/>
    </row>
    <row r="292" spans="1:15" ht="72" customHeight="1" x14ac:dyDescent="0.3">
      <c r="A292" s="242">
        <v>276</v>
      </c>
      <c r="B292" s="242" t="s">
        <v>11882</v>
      </c>
      <c r="C292" s="242" t="s">
        <v>11377</v>
      </c>
      <c r="D292" s="85" t="s">
        <v>11378</v>
      </c>
      <c r="E292" s="2"/>
      <c r="F292" s="11">
        <f>(807250.29+743064.38)/42036*1242</f>
        <v>45805.757449329139</v>
      </c>
      <c r="G292" s="11">
        <v>28334.62</v>
      </c>
      <c r="H292" s="244"/>
      <c r="I292" s="3">
        <v>42417</v>
      </c>
      <c r="J292" s="2" t="s">
        <v>14042</v>
      </c>
      <c r="K292" s="2"/>
      <c r="L292" s="66"/>
      <c r="M292" s="201" t="s">
        <v>12550</v>
      </c>
      <c r="N292" s="2" t="s">
        <v>19384</v>
      </c>
      <c r="O292" s="41"/>
    </row>
    <row r="293" spans="1:15" ht="72" customHeight="1" x14ac:dyDescent="0.3">
      <c r="A293" s="242">
        <v>277</v>
      </c>
      <c r="B293" s="242" t="s">
        <v>11881</v>
      </c>
      <c r="C293" s="242" t="s">
        <v>11</v>
      </c>
      <c r="D293" s="85" t="s">
        <v>11379</v>
      </c>
      <c r="E293" s="2"/>
      <c r="F293" s="11">
        <f>(807250.29+743064.38)/42036*1242</f>
        <v>45805.757449329139</v>
      </c>
      <c r="G293" s="11">
        <v>28334.62</v>
      </c>
      <c r="H293" s="244"/>
      <c r="I293" s="3" t="s">
        <v>14043</v>
      </c>
      <c r="J293" s="2" t="s">
        <v>14066</v>
      </c>
      <c r="K293" s="2"/>
      <c r="L293" s="66"/>
      <c r="M293" s="201" t="s">
        <v>12550</v>
      </c>
      <c r="N293" s="2" t="s">
        <v>19384</v>
      </c>
      <c r="O293" s="41"/>
    </row>
    <row r="294" spans="1:15" ht="72" customHeight="1" x14ac:dyDescent="0.3">
      <c r="A294" s="242">
        <v>278</v>
      </c>
      <c r="B294" s="242" t="s">
        <v>11880</v>
      </c>
      <c r="C294" s="242" t="s">
        <v>11380</v>
      </c>
      <c r="D294" s="85" t="s">
        <v>11381</v>
      </c>
      <c r="E294" s="242"/>
      <c r="F294" s="244">
        <f>(807250.29+743064.38)/42036*502</f>
        <v>18514.082318488912</v>
      </c>
      <c r="G294" s="244">
        <v>11452.48</v>
      </c>
      <c r="H294" s="244"/>
      <c r="I294" s="243" t="s">
        <v>14043</v>
      </c>
      <c r="J294" s="242" t="s">
        <v>14056</v>
      </c>
      <c r="K294" s="242"/>
      <c r="L294" s="66"/>
      <c r="M294" s="201" t="s">
        <v>12550</v>
      </c>
      <c r="N294" s="242" t="s">
        <v>19384</v>
      </c>
      <c r="O294" s="41"/>
    </row>
    <row r="295" spans="1:15" ht="60" customHeight="1" x14ac:dyDescent="0.3">
      <c r="A295" s="242">
        <v>279</v>
      </c>
      <c r="B295" s="242" t="s">
        <v>11879</v>
      </c>
      <c r="C295" s="242" t="s">
        <v>9</v>
      </c>
      <c r="D295" s="85" t="s">
        <v>11382</v>
      </c>
      <c r="E295" s="242"/>
      <c r="F295" s="244">
        <f>(807250.29+743064.38)/42036*2150</f>
        <v>79293.380447711475</v>
      </c>
      <c r="G295" s="244">
        <v>49049.46</v>
      </c>
      <c r="H295" s="244"/>
      <c r="I295" s="243" t="s">
        <v>14043</v>
      </c>
      <c r="J295" s="242" t="s">
        <v>14057</v>
      </c>
      <c r="K295" s="242"/>
      <c r="L295" s="66"/>
      <c r="M295" s="201" t="s">
        <v>12550</v>
      </c>
      <c r="N295" s="242" t="s">
        <v>19384</v>
      </c>
      <c r="O295" s="41"/>
    </row>
    <row r="296" spans="1:15" ht="72" customHeight="1" x14ac:dyDescent="0.3">
      <c r="A296" s="242">
        <v>280</v>
      </c>
      <c r="B296" s="242" t="s">
        <v>11878</v>
      </c>
      <c r="C296" s="242" t="s">
        <v>11383</v>
      </c>
      <c r="D296" s="85" t="s">
        <v>11384</v>
      </c>
      <c r="E296" s="242"/>
      <c r="F296" s="244">
        <f>(807250.29+743064.38)/42036*986</f>
        <v>36364.313079741172</v>
      </c>
      <c r="G296" s="244">
        <v>22494.31</v>
      </c>
      <c r="H296" s="244"/>
      <c r="I296" s="243" t="s">
        <v>14043</v>
      </c>
      <c r="J296" s="242" t="s">
        <v>14053</v>
      </c>
      <c r="K296" s="242"/>
      <c r="L296" s="66"/>
      <c r="M296" s="201" t="s">
        <v>12550</v>
      </c>
      <c r="N296" s="242" t="s">
        <v>19384</v>
      </c>
      <c r="O296" s="41"/>
    </row>
    <row r="297" spans="1:15" ht="72" customHeight="1" x14ac:dyDescent="0.3">
      <c r="A297" s="242">
        <v>281</v>
      </c>
      <c r="B297" s="242" t="s">
        <v>11877</v>
      </c>
      <c r="C297" s="242" t="s">
        <v>11385</v>
      </c>
      <c r="D297" s="85" t="s">
        <v>11386</v>
      </c>
      <c r="E297" s="242"/>
      <c r="F297" s="244">
        <f>(807250.29+743064.38)/42036*408</f>
        <v>15047.301964030828</v>
      </c>
      <c r="G297" s="244">
        <v>9307.99</v>
      </c>
      <c r="H297" s="244"/>
      <c r="I297" s="243" t="s">
        <v>14043</v>
      </c>
      <c r="J297" s="2" t="s">
        <v>14058</v>
      </c>
      <c r="K297" s="242"/>
      <c r="L297" s="66"/>
      <c r="M297" s="201" t="s">
        <v>12550</v>
      </c>
      <c r="N297" s="242" t="s">
        <v>19384</v>
      </c>
      <c r="O297" s="41"/>
    </row>
    <row r="298" spans="1:15" ht="72" customHeight="1" x14ac:dyDescent="0.3">
      <c r="A298" s="242">
        <v>282</v>
      </c>
      <c r="B298" s="242" t="s">
        <v>11876</v>
      </c>
      <c r="C298" s="242" t="s">
        <v>11387</v>
      </c>
      <c r="D298" s="85" t="s">
        <v>11388</v>
      </c>
      <c r="E298" s="242"/>
      <c r="F298" s="244">
        <f>(807250.29+743064.38)/42036*1273</f>
        <v>46949.057353458935</v>
      </c>
      <c r="G298" s="244">
        <v>29041.84</v>
      </c>
      <c r="H298" s="244"/>
      <c r="I298" s="3" t="s">
        <v>14043</v>
      </c>
      <c r="J298" s="242" t="s">
        <v>14044</v>
      </c>
      <c r="K298" s="242"/>
      <c r="L298" s="66"/>
      <c r="M298" s="201" t="s">
        <v>12550</v>
      </c>
      <c r="N298" s="242" t="s">
        <v>19384</v>
      </c>
      <c r="O298" s="41"/>
    </row>
    <row r="299" spans="1:15" ht="72" customHeight="1" x14ac:dyDescent="0.3">
      <c r="A299" s="242">
        <v>283</v>
      </c>
      <c r="B299" s="242" t="s">
        <v>11875</v>
      </c>
      <c r="C299" s="242" t="s">
        <v>11390</v>
      </c>
      <c r="D299" s="85" t="s">
        <v>11389</v>
      </c>
      <c r="E299" s="2"/>
      <c r="F299" s="11">
        <f>(807250.29+743064.38)/42036*2258</f>
        <v>83276.489791131404</v>
      </c>
      <c r="G299" s="11">
        <v>51513.34</v>
      </c>
      <c r="H299" s="244"/>
      <c r="I299" s="3" t="s">
        <v>12421</v>
      </c>
      <c r="J299" s="2" t="s">
        <v>12429</v>
      </c>
      <c r="K299" s="2"/>
      <c r="L299" s="66"/>
      <c r="M299" s="201" t="s">
        <v>12550</v>
      </c>
      <c r="N299" s="242" t="s">
        <v>19384</v>
      </c>
      <c r="O299" s="41"/>
    </row>
    <row r="300" spans="1:15" ht="72" customHeight="1" x14ac:dyDescent="0.3">
      <c r="A300" s="242">
        <v>284</v>
      </c>
      <c r="B300" s="242" t="s">
        <v>11874</v>
      </c>
      <c r="C300" s="242" t="s">
        <v>11391</v>
      </c>
      <c r="D300" s="85" t="s">
        <v>11392</v>
      </c>
      <c r="E300" s="242"/>
      <c r="F300" s="244">
        <f>(807250.29+743064.38)/42036*1557</f>
        <v>57423.159700970587</v>
      </c>
      <c r="G300" s="244">
        <v>35520.93</v>
      </c>
      <c r="H300" s="244"/>
      <c r="I300" s="243" t="s">
        <v>12421</v>
      </c>
      <c r="J300" s="242" t="s">
        <v>12434</v>
      </c>
      <c r="K300" s="242"/>
      <c r="L300" s="66"/>
      <c r="M300" s="201" t="s">
        <v>12550</v>
      </c>
      <c r="N300" s="242" t="s">
        <v>19384</v>
      </c>
      <c r="O300" s="41"/>
    </row>
    <row r="301" spans="1:15" ht="72" customHeight="1" x14ac:dyDescent="0.3">
      <c r="A301" s="242">
        <v>285</v>
      </c>
      <c r="B301" s="242" t="s">
        <v>11873</v>
      </c>
      <c r="C301" s="242" t="s">
        <v>33</v>
      </c>
      <c r="D301" s="85" t="s">
        <v>11393</v>
      </c>
      <c r="E301" s="242"/>
      <c r="F301" s="244">
        <f>(807250.29+743064.38)/42036*629</f>
        <v>23197.923861214193</v>
      </c>
      <c r="G301" s="244">
        <v>14349.82</v>
      </c>
      <c r="H301" s="244"/>
      <c r="I301" s="243" t="s">
        <v>14043</v>
      </c>
      <c r="J301" s="242" t="s">
        <v>14049</v>
      </c>
      <c r="K301" s="242"/>
      <c r="L301" s="66"/>
      <c r="M301" s="201" t="s">
        <v>12550</v>
      </c>
      <c r="N301" s="242" t="s">
        <v>19384</v>
      </c>
      <c r="O301" s="41"/>
    </row>
    <row r="302" spans="1:15" ht="72" customHeight="1" x14ac:dyDescent="0.3">
      <c r="A302" s="242">
        <v>286</v>
      </c>
      <c r="B302" s="242" t="s">
        <v>11872</v>
      </c>
      <c r="C302" s="242" t="s">
        <v>35</v>
      </c>
      <c r="D302" s="85" t="s">
        <v>11394</v>
      </c>
      <c r="E302" s="242"/>
      <c r="F302" s="244">
        <f>(807250.29+743064.38)/42036*1394</f>
        <v>51411.615043771999</v>
      </c>
      <c r="G302" s="244">
        <v>31802.3</v>
      </c>
      <c r="H302" s="244"/>
      <c r="I302" s="243" t="s">
        <v>14043</v>
      </c>
      <c r="J302" s="242" t="s">
        <v>14065</v>
      </c>
      <c r="K302" s="242"/>
      <c r="L302" s="66"/>
      <c r="M302" s="201" t="s">
        <v>12550</v>
      </c>
      <c r="N302" s="242" t="s">
        <v>19384</v>
      </c>
      <c r="O302" s="41"/>
    </row>
    <row r="303" spans="1:15" ht="72" customHeight="1" x14ac:dyDescent="0.3">
      <c r="A303" s="242">
        <v>287</v>
      </c>
      <c r="B303" s="242" t="s">
        <v>11871</v>
      </c>
      <c r="C303" s="242" t="s">
        <v>69</v>
      </c>
      <c r="D303" s="85" t="s">
        <v>11395</v>
      </c>
      <c r="E303" s="242"/>
      <c r="F303" s="244">
        <f>(807250.29+743064.38)/42036*787</f>
        <v>29025.065308069268</v>
      </c>
      <c r="G303" s="244">
        <v>17025.07</v>
      </c>
      <c r="H303" s="244"/>
      <c r="I303" s="243" t="s">
        <v>14043</v>
      </c>
      <c r="J303" s="2" t="s">
        <v>14063</v>
      </c>
      <c r="K303" s="242"/>
      <c r="L303" s="66"/>
      <c r="M303" s="201" t="s">
        <v>12550</v>
      </c>
      <c r="N303" s="242" t="s">
        <v>19384</v>
      </c>
      <c r="O303" s="41"/>
    </row>
    <row r="304" spans="1:15" ht="72" customHeight="1" x14ac:dyDescent="0.3">
      <c r="A304" s="242">
        <v>288</v>
      </c>
      <c r="B304" s="242" t="s">
        <v>11870</v>
      </c>
      <c r="C304" s="242" t="s">
        <v>11396</v>
      </c>
      <c r="D304" s="60" t="s">
        <v>11397</v>
      </c>
      <c r="E304" s="242"/>
      <c r="F304" s="244">
        <f>(807250.29+743064.38)/42036*1128</f>
        <v>41601.364253496999</v>
      </c>
      <c r="G304" s="244">
        <v>25733.85</v>
      </c>
      <c r="H304" s="244"/>
      <c r="I304" s="243" t="s">
        <v>14043</v>
      </c>
      <c r="J304" s="242" t="s">
        <v>14062</v>
      </c>
      <c r="K304" s="242"/>
      <c r="L304" s="66"/>
      <c r="M304" s="201" t="s">
        <v>12550</v>
      </c>
      <c r="N304" s="242" t="s">
        <v>19384</v>
      </c>
      <c r="O304" s="41"/>
    </row>
    <row r="305" spans="1:15" ht="72" customHeight="1" x14ac:dyDescent="0.3">
      <c r="A305" s="242">
        <v>289</v>
      </c>
      <c r="B305" s="242" t="s">
        <v>11869</v>
      </c>
      <c r="C305" s="242" t="s">
        <v>11398</v>
      </c>
      <c r="D305" s="60" t="s">
        <v>11399</v>
      </c>
      <c r="E305" s="242"/>
      <c r="F305" s="244">
        <f>(807250.29+743064.38)/42036*978</f>
        <v>36069.267943191546</v>
      </c>
      <c r="G305" s="244">
        <v>22311.8</v>
      </c>
      <c r="H305" s="244"/>
      <c r="I305" s="243" t="s">
        <v>14043</v>
      </c>
      <c r="J305" s="242" t="s">
        <v>14052</v>
      </c>
      <c r="K305" s="242"/>
      <c r="L305" s="66"/>
      <c r="M305" s="201" t="s">
        <v>12550</v>
      </c>
      <c r="N305" s="242" t="s">
        <v>19384</v>
      </c>
      <c r="O305" s="41"/>
    </row>
    <row r="306" spans="1:15" ht="72" customHeight="1" x14ac:dyDescent="0.3">
      <c r="A306" s="242">
        <v>290</v>
      </c>
      <c r="B306" s="242" t="s">
        <v>11868</v>
      </c>
      <c r="C306" s="242" t="s">
        <v>11400</v>
      </c>
      <c r="D306" s="60" t="s">
        <v>11401</v>
      </c>
      <c r="E306" s="242"/>
      <c r="F306" s="244">
        <f>(807250.29+743064.38)/42036*463</f>
        <v>17075.737277809494</v>
      </c>
      <c r="G306" s="244">
        <v>10562.74</v>
      </c>
      <c r="H306" s="244"/>
      <c r="I306" s="3" t="s">
        <v>12421</v>
      </c>
      <c r="J306" s="242" t="s">
        <v>12423</v>
      </c>
      <c r="K306" s="242"/>
      <c r="L306" s="66"/>
      <c r="M306" s="201" t="s">
        <v>12550</v>
      </c>
      <c r="N306" s="242" t="s">
        <v>19384</v>
      </c>
      <c r="O306" s="41"/>
    </row>
    <row r="307" spans="1:15" ht="72" customHeight="1" x14ac:dyDescent="0.3">
      <c r="A307" s="242">
        <v>291</v>
      </c>
      <c r="B307" s="242" t="s">
        <v>11219</v>
      </c>
      <c r="C307" s="242" t="s">
        <v>12833</v>
      </c>
      <c r="D307" s="60" t="s">
        <v>156</v>
      </c>
      <c r="E307" s="242"/>
      <c r="F307" s="244">
        <v>78401</v>
      </c>
      <c r="G307" s="244">
        <v>78401</v>
      </c>
      <c r="H307" s="244"/>
      <c r="I307" s="243" t="s">
        <v>12421</v>
      </c>
      <c r="J307" s="242" t="s">
        <v>12430</v>
      </c>
      <c r="K307" s="242"/>
      <c r="L307" s="66"/>
      <c r="M307" s="201" t="s">
        <v>12550</v>
      </c>
      <c r="N307" s="242" t="s">
        <v>19384</v>
      </c>
      <c r="O307" s="41"/>
    </row>
    <row r="308" spans="1:15" ht="84" customHeight="1" x14ac:dyDescent="0.3">
      <c r="A308" s="242">
        <v>292</v>
      </c>
      <c r="B308" s="242" t="s">
        <v>11220</v>
      </c>
      <c r="C308" s="242" t="s">
        <v>12834</v>
      </c>
      <c r="D308" s="60" t="s">
        <v>158</v>
      </c>
      <c r="E308" s="242"/>
      <c r="F308" s="244">
        <v>37733</v>
      </c>
      <c r="G308" s="244">
        <v>37733</v>
      </c>
      <c r="H308" s="244"/>
      <c r="I308" s="243" t="s">
        <v>12421</v>
      </c>
      <c r="J308" s="242" t="s">
        <v>12427</v>
      </c>
      <c r="K308" s="242"/>
      <c r="L308" s="66"/>
      <c r="M308" s="201" t="s">
        <v>12550</v>
      </c>
      <c r="N308" s="242" t="s">
        <v>19384</v>
      </c>
      <c r="O308" s="41"/>
    </row>
    <row r="309" spans="1:15" ht="108" customHeight="1" x14ac:dyDescent="0.3">
      <c r="A309" s="242">
        <v>293</v>
      </c>
      <c r="B309" s="242" t="s">
        <v>19756</v>
      </c>
      <c r="C309" s="242" t="s">
        <v>12835</v>
      </c>
      <c r="D309" s="60" t="s">
        <v>157</v>
      </c>
      <c r="E309" s="242"/>
      <c r="F309" s="244">
        <f>853969.15-213147.4</f>
        <v>640821.75</v>
      </c>
      <c r="G309" s="244">
        <f>853969.15-213147.4</f>
        <v>640821.75</v>
      </c>
      <c r="H309" s="244"/>
      <c r="I309" s="243" t="s">
        <v>12421</v>
      </c>
      <c r="J309" s="242" t="s">
        <v>12435</v>
      </c>
      <c r="K309" s="242"/>
      <c r="L309" s="66"/>
      <c r="M309" s="201" t="s">
        <v>12550</v>
      </c>
      <c r="N309" s="242" t="s">
        <v>19384</v>
      </c>
      <c r="O309" s="38" t="s">
        <v>19755</v>
      </c>
    </row>
    <row r="310" spans="1:15" ht="72" customHeight="1" x14ac:dyDescent="0.3">
      <c r="A310" s="242">
        <v>294</v>
      </c>
      <c r="B310" s="242" t="s">
        <v>15040</v>
      </c>
      <c r="C310" s="242" t="s">
        <v>12582</v>
      </c>
      <c r="D310" s="60" t="s">
        <v>155</v>
      </c>
      <c r="E310" s="242"/>
      <c r="F310" s="244">
        <v>53684.01</v>
      </c>
      <c r="G310" s="244">
        <v>53684.01</v>
      </c>
      <c r="H310" s="244"/>
      <c r="I310" s="3">
        <v>42364</v>
      </c>
      <c r="J310" s="242" t="s">
        <v>12239</v>
      </c>
      <c r="K310" s="242"/>
      <c r="L310" s="66"/>
      <c r="M310" s="201" t="s">
        <v>12550</v>
      </c>
      <c r="N310" s="242" t="s">
        <v>19384</v>
      </c>
      <c r="O310" s="41"/>
    </row>
    <row r="311" spans="1:15" ht="72" customHeight="1" x14ac:dyDescent="0.3">
      <c r="A311" s="242">
        <v>295</v>
      </c>
      <c r="B311" s="242" t="s">
        <v>11215</v>
      </c>
      <c r="C311" s="242" t="s">
        <v>12620</v>
      </c>
      <c r="D311" s="60" t="s">
        <v>11213</v>
      </c>
      <c r="E311" s="242"/>
      <c r="F311" s="244">
        <v>229031</v>
      </c>
      <c r="G311" s="244">
        <v>229031</v>
      </c>
      <c r="H311" s="244"/>
      <c r="I311" s="243">
        <v>42367</v>
      </c>
      <c r="J311" s="242" t="s">
        <v>12241</v>
      </c>
      <c r="K311" s="242"/>
      <c r="L311" s="66"/>
      <c r="M311" s="201" t="s">
        <v>12550</v>
      </c>
      <c r="N311" s="242" t="s">
        <v>19384</v>
      </c>
      <c r="O311" s="41"/>
    </row>
    <row r="312" spans="1:15" ht="144" customHeight="1" x14ac:dyDescent="0.3">
      <c r="A312" s="242">
        <v>296</v>
      </c>
      <c r="B312" s="242" t="s">
        <v>11931</v>
      </c>
      <c r="C312" s="242" t="s">
        <v>12581</v>
      </c>
      <c r="D312" s="60" t="s">
        <v>159</v>
      </c>
      <c r="E312" s="242"/>
      <c r="F312" s="244">
        <f>4705434+159570</f>
        <v>4865004</v>
      </c>
      <c r="G312" s="244">
        <v>4619502.03</v>
      </c>
      <c r="H312" s="244"/>
      <c r="I312" s="3">
        <v>42367</v>
      </c>
      <c r="J312" s="242" t="s">
        <v>12237</v>
      </c>
      <c r="K312" s="242"/>
      <c r="L312" s="66"/>
      <c r="M312" s="201" t="s">
        <v>12550</v>
      </c>
      <c r="N312" s="242" t="s">
        <v>19384</v>
      </c>
      <c r="O312" s="41"/>
    </row>
    <row r="313" spans="1:15" ht="72" customHeight="1" x14ac:dyDescent="0.3">
      <c r="A313" s="242">
        <v>297</v>
      </c>
      <c r="B313" s="242" t="s">
        <v>11216</v>
      </c>
      <c r="C313" s="242" t="s">
        <v>12584</v>
      </c>
      <c r="D313" s="60" t="s">
        <v>154</v>
      </c>
      <c r="E313" s="242"/>
      <c r="F313" s="244">
        <v>96827.01</v>
      </c>
      <c r="G313" s="244">
        <v>96827.01</v>
      </c>
      <c r="H313" s="244"/>
      <c r="I313" s="243">
        <v>42363</v>
      </c>
      <c r="J313" s="242" t="s">
        <v>12238</v>
      </c>
      <c r="K313" s="242"/>
      <c r="L313" s="66"/>
      <c r="M313" s="201" t="s">
        <v>12550</v>
      </c>
      <c r="N313" s="242" t="s">
        <v>19384</v>
      </c>
      <c r="O313" s="41"/>
    </row>
    <row r="314" spans="1:15" ht="72" customHeight="1" x14ac:dyDescent="0.3">
      <c r="A314" s="242">
        <v>298</v>
      </c>
      <c r="B314" s="2" t="s">
        <v>70</v>
      </c>
      <c r="C314" s="2" t="s">
        <v>12621</v>
      </c>
      <c r="D314" s="87" t="s">
        <v>12449</v>
      </c>
      <c r="E314" s="242">
        <v>29.1</v>
      </c>
      <c r="F314" s="244">
        <v>1121077.5</v>
      </c>
      <c r="G314" s="242"/>
      <c r="H314" s="244"/>
      <c r="I314" s="3">
        <v>40149</v>
      </c>
      <c r="J314" s="242" t="s">
        <v>12160</v>
      </c>
      <c r="K314" s="242"/>
      <c r="L314" s="66"/>
      <c r="M314" s="201" t="s">
        <v>12550</v>
      </c>
      <c r="N314" s="242"/>
      <c r="O314" s="38"/>
    </row>
    <row r="315" spans="1:15" ht="72" customHeight="1" x14ac:dyDescent="0.3">
      <c r="A315" s="242">
        <v>299</v>
      </c>
      <c r="B315" s="2" t="s">
        <v>70</v>
      </c>
      <c r="C315" s="2" t="s">
        <v>12622</v>
      </c>
      <c r="D315" s="87" t="s">
        <v>180</v>
      </c>
      <c r="E315" s="242">
        <v>33.700000000000003</v>
      </c>
      <c r="F315" s="244">
        <v>1261689</v>
      </c>
      <c r="G315" s="242"/>
      <c r="H315" s="242">
        <v>871727.67</v>
      </c>
      <c r="I315" s="3">
        <v>42159</v>
      </c>
      <c r="J315" s="242" t="s">
        <v>12023</v>
      </c>
      <c r="K315" s="242"/>
      <c r="L315" s="66"/>
      <c r="M315" s="201" t="s">
        <v>12550</v>
      </c>
      <c r="N315" s="242" t="s">
        <v>15036</v>
      </c>
      <c r="O315" s="38"/>
    </row>
    <row r="316" spans="1:15" ht="72" customHeight="1" x14ac:dyDescent="0.3">
      <c r="A316" s="242">
        <v>300</v>
      </c>
      <c r="B316" s="2" t="s">
        <v>70</v>
      </c>
      <c r="C316" s="2" t="s">
        <v>12623</v>
      </c>
      <c r="D316" s="87"/>
      <c r="E316" s="2" t="s">
        <v>71</v>
      </c>
      <c r="F316" s="11">
        <v>691970</v>
      </c>
      <c r="G316" s="242"/>
      <c r="H316" s="242"/>
      <c r="I316" s="3">
        <v>39197</v>
      </c>
      <c r="J316" s="2" t="s">
        <v>12024</v>
      </c>
      <c r="K316" s="243">
        <v>42884</v>
      </c>
      <c r="L316" s="66" t="s">
        <v>18593</v>
      </c>
      <c r="M316" s="201" t="s">
        <v>12550</v>
      </c>
      <c r="N316" s="242"/>
      <c r="O316" s="38" t="s">
        <v>18882</v>
      </c>
    </row>
    <row r="317" spans="1:15" ht="144" customHeight="1" x14ac:dyDescent="0.3">
      <c r="A317" s="242">
        <v>301</v>
      </c>
      <c r="B317" s="2" t="s">
        <v>70</v>
      </c>
      <c r="C317" s="2" t="s">
        <v>12624</v>
      </c>
      <c r="D317" s="87" t="s">
        <v>21049</v>
      </c>
      <c r="E317" s="2">
        <v>32.6</v>
      </c>
      <c r="F317" s="39">
        <v>1081179</v>
      </c>
      <c r="G317" s="242"/>
      <c r="H317" s="11"/>
      <c r="I317" s="3">
        <v>40584</v>
      </c>
      <c r="J317" s="2" t="s">
        <v>11168</v>
      </c>
      <c r="K317" s="243">
        <v>43307</v>
      </c>
      <c r="L317" s="66" t="s">
        <v>21050</v>
      </c>
      <c r="M317" s="201" t="s">
        <v>12550</v>
      </c>
      <c r="N317" s="242"/>
      <c r="O317" s="38"/>
    </row>
    <row r="318" spans="1:15" ht="72" customHeight="1" x14ac:dyDescent="0.3">
      <c r="A318" s="2">
        <v>302</v>
      </c>
      <c r="B318" s="2" t="s">
        <v>70</v>
      </c>
      <c r="C318" s="2" t="s">
        <v>12625</v>
      </c>
      <c r="D318" s="87"/>
      <c r="E318" s="242"/>
      <c r="F318" s="11">
        <v>1271325</v>
      </c>
      <c r="G318" s="242"/>
      <c r="H318" s="242"/>
      <c r="I318" s="3">
        <v>40879</v>
      </c>
      <c r="J318" s="2" t="s">
        <v>12025</v>
      </c>
      <c r="K318" s="243">
        <v>40387</v>
      </c>
      <c r="L318" s="66" t="s">
        <v>17881</v>
      </c>
      <c r="M318" s="201" t="s">
        <v>12550</v>
      </c>
      <c r="N318" s="207"/>
      <c r="O318" s="66"/>
    </row>
    <row r="319" spans="1:15" ht="108" x14ac:dyDescent="0.3">
      <c r="A319" s="2">
        <v>303</v>
      </c>
      <c r="B319" s="242" t="s">
        <v>70</v>
      </c>
      <c r="C319" s="242" t="s">
        <v>12626</v>
      </c>
      <c r="D319" s="87" t="s">
        <v>23634</v>
      </c>
      <c r="E319" s="242" t="s">
        <v>72</v>
      </c>
      <c r="F319" s="244">
        <v>1096458</v>
      </c>
      <c r="G319" s="242"/>
      <c r="H319" s="242"/>
      <c r="I319" s="243">
        <v>40879</v>
      </c>
      <c r="J319" s="242" t="s">
        <v>12025</v>
      </c>
      <c r="K319" s="242" t="s">
        <v>23131</v>
      </c>
      <c r="L319" s="66" t="s">
        <v>23633</v>
      </c>
      <c r="M319" s="201" t="s">
        <v>12550</v>
      </c>
      <c r="N319" s="23"/>
      <c r="O319" s="38" t="s">
        <v>23635</v>
      </c>
    </row>
    <row r="320" spans="1:15" ht="72" customHeight="1" x14ac:dyDescent="0.3">
      <c r="A320" s="2">
        <v>304</v>
      </c>
      <c r="B320" s="2" t="s">
        <v>11169</v>
      </c>
      <c r="C320" s="2" t="s">
        <v>12627</v>
      </c>
      <c r="D320" s="87" t="s">
        <v>11471</v>
      </c>
      <c r="E320" s="2">
        <v>67.2</v>
      </c>
      <c r="F320" s="11">
        <v>2542650</v>
      </c>
      <c r="G320" s="242"/>
      <c r="H320" s="242"/>
      <c r="I320" s="3">
        <v>40050</v>
      </c>
      <c r="J320" s="2" t="s">
        <v>11170</v>
      </c>
      <c r="K320" s="2"/>
      <c r="L320" s="66"/>
      <c r="M320" s="201" t="s">
        <v>12550</v>
      </c>
      <c r="N320" s="2"/>
      <c r="O320" s="38"/>
    </row>
    <row r="321" spans="1:26" ht="72" customHeight="1" x14ac:dyDescent="0.3">
      <c r="A321" s="2">
        <v>305</v>
      </c>
      <c r="B321" s="2" t="s">
        <v>70</v>
      </c>
      <c r="C321" s="2" t="s">
        <v>12628</v>
      </c>
      <c r="D321" s="87" t="s">
        <v>11472</v>
      </c>
      <c r="E321" s="2">
        <v>32.1</v>
      </c>
      <c r="F321" s="39">
        <v>1056000</v>
      </c>
      <c r="G321" s="242"/>
      <c r="H321" s="244"/>
      <c r="I321" s="243">
        <v>40427</v>
      </c>
      <c r="J321" s="242" t="s">
        <v>11178</v>
      </c>
      <c r="K321" s="2"/>
      <c r="L321" s="66"/>
      <c r="M321" s="201" t="s">
        <v>12550</v>
      </c>
      <c r="N321" s="2"/>
      <c r="O321" s="38"/>
    </row>
    <row r="322" spans="1:26" ht="84" customHeight="1" x14ac:dyDescent="0.3">
      <c r="A322" s="242">
        <v>306</v>
      </c>
      <c r="B322" s="242" t="s">
        <v>73</v>
      </c>
      <c r="C322" s="2" t="s">
        <v>12629</v>
      </c>
      <c r="D322" s="87" t="s">
        <v>179</v>
      </c>
      <c r="E322" s="242" t="s">
        <v>74</v>
      </c>
      <c r="F322" s="244">
        <v>1546200</v>
      </c>
      <c r="G322" s="242"/>
      <c r="H322" s="242"/>
      <c r="I322" s="3">
        <v>40148</v>
      </c>
      <c r="J322" s="242" t="s">
        <v>12026</v>
      </c>
      <c r="K322" s="243">
        <v>40278</v>
      </c>
      <c r="L322" s="66" t="s">
        <v>19685</v>
      </c>
      <c r="M322" s="201" t="s">
        <v>12550</v>
      </c>
      <c r="N322" s="242"/>
      <c r="O322" s="38" t="s">
        <v>20460</v>
      </c>
    </row>
    <row r="323" spans="1:26" ht="72" customHeight="1" x14ac:dyDescent="0.3">
      <c r="A323" s="242">
        <v>307</v>
      </c>
      <c r="B323" s="242" t="s">
        <v>73</v>
      </c>
      <c r="C323" s="242" t="s">
        <v>12630</v>
      </c>
      <c r="D323" s="87" t="s">
        <v>11474</v>
      </c>
      <c r="E323" s="242">
        <v>50.1</v>
      </c>
      <c r="F323" s="242"/>
      <c r="G323" s="242"/>
      <c r="H323" s="242"/>
      <c r="I323" s="243">
        <v>39076</v>
      </c>
      <c r="J323" s="2" t="s">
        <v>11475</v>
      </c>
      <c r="K323" s="242"/>
      <c r="L323" s="66"/>
      <c r="M323" s="201" t="s">
        <v>12550</v>
      </c>
      <c r="N323" s="242"/>
      <c r="O323" s="38"/>
    </row>
    <row r="324" spans="1:26" ht="84" customHeight="1" x14ac:dyDescent="0.3">
      <c r="A324" s="2">
        <v>308</v>
      </c>
      <c r="B324" s="242" t="s">
        <v>73</v>
      </c>
      <c r="C324" s="242" t="s">
        <v>12631</v>
      </c>
      <c r="D324" s="87" t="s">
        <v>11477</v>
      </c>
      <c r="E324" s="242">
        <v>53.8</v>
      </c>
      <c r="F324" s="242"/>
      <c r="G324" s="242"/>
      <c r="H324" s="242"/>
      <c r="I324" s="243">
        <v>39851</v>
      </c>
      <c r="J324" s="242" t="s">
        <v>11167</v>
      </c>
      <c r="K324" s="243">
        <v>42930</v>
      </c>
      <c r="L324" s="66" t="s">
        <v>19935</v>
      </c>
      <c r="M324" s="201" t="s">
        <v>12550</v>
      </c>
      <c r="N324" s="242"/>
      <c r="O324" s="38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</row>
    <row r="325" spans="1:26" s="161" customFormat="1" ht="72" customHeight="1" x14ac:dyDescent="0.3">
      <c r="A325" s="2">
        <v>309</v>
      </c>
      <c r="B325" s="242" t="s">
        <v>73</v>
      </c>
      <c r="C325" s="242" t="s">
        <v>12632</v>
      </c>
      <c r="D325" s="87" t="s">
        <v>11476</v>
      </c>
      <c r="E325" s="242">
        <v>50.3</v>
      </c>
      <c r="F325" s="242"/>
      <c r="G325" s="242"/>
      <c r="H325" s="244"/>
      <c r="I325" s="243">
        <v>39077</v>
      </c>
      <c r="J325" s="242" t="s">
        <v>11166</v>
      </c>
      <c r="K325" s="242"/>
      <c r="L325" s="66"/>
      <c r="M325" s="201" t="s">
        <v>12550</v>
      </c>
      <c r="N325" s="242"/>
      <c r="O325" s="245"/>
    </row>
    <row r="326" spans="1:26" s="161" customFormat="1" ht="96" customHeight="1" x14ac:dyDescent="0.3">
      <c r="A326" s="242">
        <v>310</v>
      </c>
      <c r="B326" s="242" t="s">
        <v>97</v>
      </c>
      <c r="C326" s="242" t="s">
        <v>96</v>
      </c>
      <c r="D326" s="60" t="s">
        <v>98</v>
      </c>
      <c r="E326" s="242">
        <v>800</v>
      </c>
      <c r="F326" s="244">
        <v>158384</v>
      </c>
      <c r="G326" s="244"/>
      <c r="H326" s="244">
        <v>158384</v>
      </c>
      <c r="I326" s="3">
        <v>40772</v>
      </c>
      <c r="J326" s="242" t="s">
        <v>17863</v>
      </c>
      <c r="K326" s="242"/>
      <c r="L326" s="66"/>
      <c r="M326" s="200" t="s">
        <v>12550</v>
      </c>
      <c r="N326" s="160"/>
      <c r="O326" s="66" t="s">
        <v>12039</v>
      </c>
    </row>
    <row r="327" spans="1:26" s="161" customFormat="1" ht="108" customHeight="1" x14ac:dyDescent="0.3">
      <c r="A327" s="242">
        <v>311</v>
      </c>
      <c r="B327" s="242" t="s">
        <v>149</v>
      </c>
      <c r="C327" s="242" t="s">
        <v>12836</v>
      </c>
      <c r="D327" s="60" t="s">
        <v>99</v>
      </c>
      <c r="E327" s="242">
        <v>1288</v>
      </c>
      <c r="F327" s="244">
        <v>278426.96000000002</v>
      </c>
      <c r="G327" s="244"/>
      <c r="H327" s="244">
        <v>278426.96000000002</v>
      </c>
      <c r="I327" s="243">
        <v>41045</v>
      </c>
      <c r="J327" s="242" t="s">
        <v>19104</v>
      </c>
      <c r="K327" s="242"/>
      <c r="L327" s="66"/>
      <c r="M327" s="200" t="s">
        <v>12550</v>
      </c>
      <c r="N327" s="160"/>
      <c r="O327" s="245" t="s">
        <v>12039</v>
      </c>
    </row>
    <row r="328" spans="1:26" s="161" customFormat="1" ht="96" customHeight="1" x14ac:dyDescent="0.3">
      <c r="A328" s="242">
        <v>312</v>
      </c>
      <c r="B328" s="242" t="s">
        <v>100</v>
      </c>
      <c r="C328" s="242" t="s">
        <v>12633</v>
      </c>
      <c r="D328" s="60" t="s">
        <v>101</v>
      </c>
      <c r="E328" s="242">
        <v>1000</v>
      </c>
      <c r="F328" s="244">
        <v>291920</v>
      </c>
      <c r="G328" s="244"/>
      <c r="H328" s="244">
        <v>291920</v>
      </c>
      <c r="I328" s="243">
        <v>41193</v>
      </c>
      <c r="J328" s="242" t="s">
        <v>17866</v>
      </c>
      <c r="K328" s="243">
        <v>41246</v>
      </c>
      <c r="L328" s="66" t="s">
        <v>17816</v>
      </c>
      <c r="M328" s="200" t="s">
        <v>12550</v>
      </c>
      <c r="N328" s="160"/>
      <c r="O328" s="245" t="s">
        <v>15695</v>
      </c>
    </row>
    <row r="329" spans="1:26" s="161" customFormat="1" ht="96" customHeight="1" x14ac:dyDescent="0.3">
      <c r="A329" s="242">
        <v>313</v>
      </c>
      <c r="B329" s="242" t="s">
        <v>97</v>
      </c>
      <c r="C329" s="242" t="s">
        <v>102</v>
      </c>
      <c r="D329" s="60" t="s">
        <v>103</v>
      </c>
      <c r="E329" s="242">
        <v>800</v>
      </c>
      <c r="F329" s="244">
        <v>158384</v>
      </c>
      <c r="G329" s="244"/>
      <c r="H329" s="244">
        <v>158384</v>
      </c>
      <c r="I329" s="3">
        <v>41271</v>
      </c>
      <c r="J329" s="242" t="s">
        <v>17865</v>
      </c>
      <c r="K329" s="242"/>
      <c r="L329" s="66"/>
      <c r="M329" s="200" t="s">
        <v>12550</v>
      </c>
      <c r="N329" s="160"/>
      <c r="O329" s="66" t="s">
        <v>12039</v>
      </c>
    </row>
    <row r="330" spans="1:26" s="161" customFormat="1" ht="96" customHeight="1" x14ac:dyDescent="0.3">
      <c r="A330" s="242">
        <v>314</v>
      </c>
      <c r="B330" s="242" t="s">
        <v>97</v>
      </c>
      <c r="C330" s="242" t="s">
        <v>104</v>
      </c>
      <c r="D330" s="60" t="s">
        <v>105</v>
      </c>
      <c r="E330" s="2">
        <v>1000</v>
      </c>
      <c r="F330" s="11">
        <v>208300</v>
      </c>
      <c r="G330" s="11"/>
      <c r="H330" s="11">
        <v>208300</v>
      </c>
      <c r="I330" s="3">
        <v>41614</v>
      </c>
      <c r="J330" s="2" t="s">
        <v>17861</v>
      </c>
      <c r="K330" s="2"/>
      <c r="L330" s="66"/>
      <c r="M330" s="200" t="s">
        <v>12550</v>
      </c>
      <c r="N330" s="160"/>
      <c r="O330" s="66" t="s">
        <v>12039</v>
      </c>
    </row>
    <row r="331" spans="1:26" s="161" customFormat="1" ht="72" customHeight="1" x14ac:dyDescent="0.3">
      <c r="A331" s="242">
        <v>315</v>
      </c>
      <c r="B331" s="242" t="s">
        <v>97</v>
      </c>
      <c r="C331" s="242" t="s">
        <v>12634</v>
      </c>
      <c r="D331" s="60" t="s">
        <v>106</v>
      </c>
      <c r="E331" s="242">
        <v>1000</v>
      </c>
      <c r="F331" s="244">
        <v>203920</v>
      </c>
      <c r="G331" s="244"/>
      <c r="H331" s="24">
        <v>203920</v>
      </c>
      <c r="I331" s="3">
        <v>41585</v>
      </c>
      <c r="J331" s="242" t="s">
        <v>187</v>
      </c>
      <c r="K331" s="242"/>
      <c r="L331" s="66"/>
      <c r="M331" s="200" t="s">
        <v>12550</v>
      </c>
      <c r="N331" s="160"/>
      <c r="O331" s="66" t="s">
        <v>12039</v>
      </c>
    </row>
    <row r="332" spans="1:26" s="161" customFormat="1" ht="96" customHeight="1" x14ac:dyDescent="0.3">
      <c r="A332" s="242">
        <v>316</v>
      </c>
      <c r="B332" s="242" t="s">
        <v>97</v>
      </c>
      <c r="C332" s="242" t="s">
        <v>12635</v>
      </c>
      <c r="D332" s="60" t="s">
        <v>107</v>
      </c>
      <c r="E332" s="242">
        <v>1000</v>
      </c>
      <c r="F332" s="244">
        <v>216670</v>
      </c>
      <c r="G332" s="244"/>
      <c r="H332" s="24">
        <v>216670</v>
      </c>
      <c r="I332" s="243">
        <v>41492</v>
      </c>
      <c r="J332" s="2" t="s">
        <v>17868</v>
      </c>
      <c r="K332" s="242"/>
      <c r="L332" s="66"/>
      <c r="M332" s="200" t="s">
        <v>12550</v>
      </c>
      <c r="N332" s="160"/>
      <c r="O332" s="245" t="s">
        <v>12039</v>
      </c>
    </row>
    <row r="333" spans="1:26" s="161" customFormat="1" ht="96" customHeight="1" x14ac:dyDescent="0.3">
      <c r="A333" s="242">
        <v>317</v>
      </c>
      <c r="B333" s="242" t="s">
        <v>97</v>
      </c>
      <c r="C333" s="242" t="s">
        <v>12636</v>
      </c>
      <c r="D333" s="60" t="s">
        <v>108</v>
      </c>
      <c r="E333" s="242">
        <v>800</v>
      </c>
      <c r="F333" s="244">
        <v>155136</v>
      </c>
      <c r="G333" s="244"/>
      <c r="H333" s="244">
        <v>155136</v>
      </c>
      <c r="I333" s="243">
        <v>41569</v>
      </c>
      <c r="J333" s="242" t="s">
        <v>17860</v>
      </c>
      <c r="K333" s="242"/>
      <c r="L333" s="66"/>
      <c r="M333" s="200" t="s">
        <v>12550</v>
      </c>
      <c r="N333" s="160"/>
      <c r="O333" s="245" t="s">
        <v>12039</v>
      </c>
    </row>
    <row r="334" spans="1:26" s="161" customFormat="1" ht="96" customHeight="1" x14ac:dyDescent="0.3">
      <c r="A334" s="242">
        <v>318</v>
      </c>
      <c r="B334" s="242" t="s">
        <v>109</v>
      </c>
      <c r="C334" s="242" t="s">
        <v>12637</v>
      </c>
      <c r="D334" s="60" t="s">
        <v>147</v>
      </c>
      <c r="E334" s="242">
        <v>1000</v>
      </c>
      <c r="F334" s="244">
        <v>185340</v>
      </c>
      <c r="G334" s="244"/>
      <c r="H334" s="244">
        <v>185340</v>
      </c>
      <c r="I334" s="243">
        <v>41547</v>
      </c>
      <c r="J334" s="242" t="s">
        <v>17862</v>
      </c>
      <c r="K334" s="242"/>
      <c r="L334" s="66"/>
      <c r="M334" s="200" t="s">
        <v>12550</v>
      </c>
      <c r="N334" s="160"/>
      <c r="O334" s="245" t="s">
        <v>12039</v>
      </c>
    </row>
    <row r="335" spans="1:26" s="161" customFormat="1" ht="72" customHeight="1" x14ac:dyDescent="0.3">
      <c r="A335" s="242">
        <v>319</v>
      </c>
      <c r="B335" s="242" t="s">
        <v>110</v>
      </c>
      <c r="C335" s="242" t="s">
        <v>12638</v>
      </c>
      <c r="D335" s="60" t="s">
        <v>111</v>
      </c>
      <c r="E335" s="242">
        <v>800</v>
      </c>
      <c r="F335" s="244">
        <v>166920</v>
      </c>
      <c r="G335" s="244"/>
      <c r="H335" s="244">
        <v>166920</v>
      </c>
      <c r="I335" s="3">
        <v>41394</v>
      </c>
      <c r="J335" s="242" t="s">
        <v>186</v>
      </c>
      <c r="K335" s="242"/>
      <c r="L335" s="66"/>
      <c r="M335" s="200" t="s">
        <v>12550</v>
      </c>
      <c r="N335" s="160"/>
      <c r="O335" s="66" t="s">
        <v>12039</v>
      </c>
    </row>
    <row r="336" spans="1:26" s="161" customFormat="1" ht="72" customHeight="1" x14ac:dyDescent="0.3">
      <c r="A336" s="242">
        <v>320</v>
      </c>
      <c r="B336" s="242" t="s">
        <v>112</v>
      </c>
      <c r="C336" s="242" t="s">
        <v>12639</v>
      </c>
      <c r="D336" s="60" t="s">
        <v>113</v>
      </c>
      <c r="E336" s="242">
        <v>1000</v>
      </c>
      <c r="F336" s="244">
        <v>196950</v>
      </c>
      <c r="G336" s="244"/>
      <c r="H336" s="244">
        <v>196950</v>
      </c>
      <c r="I336" s="3">
        <v>41379</v>
      </c>
      <c r="J336" s="242" t="s">
        <v>185</v>
      </c>
      <c r="K336" s="242"/>
      <c r="L336" s="66"/>
      <c r="M336" s="200" t="s">
        <v>12550</v>
      </c>
      <c r="N336" s="160"/>
      <c r="O336" s="66" t="s">
        <v>12039</v>
      </c>
    </row>
    <row r="337" spans="1:15" s="161" customFormat="1" ht="72" customHeight="1" x14ac:dyDescent="0.3">
      <c r="A337" s="242">
        <v>321</v>
      </c>
      <c r="B337" s="242" t="s">
        <v>150</v>
      </c>
      <c r="C337" s="242" t="s">
        <v>12640</v>
      </c>
      <c r="D337" s="60" t="s">
        <v>114</v>
      </c>
      <c r="E337" s="242">
        <v>1200</v>
      </c>
      <c r="F337" s="244">
        <v>263940</v>
      </c>
      <c r="G337" s="244"/>
      <c r="H337" s="244">
        <v>262940</v>
      </c>
      <c r="I337" s="243">
        <v>41794</v>
      </c>
      <c r="J337" s="242" t="s">
        <v>184</v>
      </c>
      <c r="K337" s="242"/>
      <c r="L337" s="66"/>
      <c r="M337" s="200" t="s">
        <v>12550</v>
      </c>
      <c r="N337" s="160"/>
      <c r="O337" s="245" t="s">
        <v>12039</v>
      </c>
    </row>
    <row r="338" spans="1:15" s="161" customFormat="1" ht="60" customHeight="1" x14ac:dyDescent="0.3">
      <c r="A338" s="242">
        <v>322</v>
      </c>
      <c r="B338" s="242" t="s">
        <v>97</v>
      </c>
      <c r="C338" s="242" t="s">
        <v>12641</v>
      </c>
      <c r="D338" s="60" t="s">
        <v>115</v>
      </c>
      <c r="E338" s="242">
        <v>1060</v>
      </c>
      <c r="F338" s="244">
        <v>272282.2</v>
      </c>
      <c r="G338" s="244"/>
      <c r="H338" s="244">
        <v>272282.2</v>
      </c>
      <c r="I338" s="243">
        <v>38069</v>
      </c>
      <c r="J338" s="242" t="s">
        <v>182</v>
      </c>
      <c r="K338" s="242" t="s">
        <v>11822</v>
      </c>
      <c r="L338" s="66" t="s">
        <v>16449</v>
      </c>
      <c r="M338" s="2" t="s">
        <v>14091</v>
      </c>
      <c r="N338" s="23"/>
      <c r="O338" s="65"/>
    </row>
    <row r="339" spans="1:15" s="161" customFormat="1" ht="96" customHeight="1" x14ac:dyDescent="0.3">
      <c r="A339" s="242">
        <v>323</v>
      </c>
      <c r="B339" s="242" t="s">
        <v>116</v>
      </c>
      <c r="C339" s="242" t="s">
        <v>12642</v>
      </c>
      <c r="D339" s="60" t="s">
        <v>117</v>
      </c>
      <c r="E339" s="2">
        <v>82400</v>
      </c>
      <c r="F339" s="11">
        <v>933592</v>
      </c>
      <c r="G339" s="11"/>
      <c r="H339" s="98">
        <v>933592</v>
      </c>
      <c r="I339" s="3">
        <v>40862</v>
      </c>
      <c r="J339" s="2" t="s">
        <v>17790</v>
      </c>
      <c r="K339" s="2"/>
      <c r="L339" s="66"/>
      <c r="M339" s="200" t="s">
        <v>12550</v>
      </c>
      <c r="N339" s="160"/>
      <c r="O339" s="66" t="s">
        <v>12039</v>
      </c>
    </row>
    <row r="340" spans="1:15" s="161" customFormat="1" ht="72" customHeight="1" x14ac:dyDescent="0.3">
      <c r="A340" s="242">
        <v>324</v>
      </c>
      <c r="B340" s="242" t="s">
        <v>97</v>
      </c>
      <c r="C340" s="242" t="s">
        <v>12643</v>
      </c>
      <c r="D340" s="60" t="s">
        <v>118</v>
      </c>
      <c r="E340" s="242">
        <v>1000</v>
      </c>
      <c r="F340" s="244">
        <v>256870</v>
      </c>
      <c r="G340" s="244"/>
      <c r="H340" s="244" t="s">
        <v>181</v>
      </c>
      <c r="I340" s="243">
        <v>38069</v>
      </c>
      <c r="J340" s="242" t="s">
        <v>12027</v>
      </c>
      <c r="K340" s="243">
        <v>39997</v>
      </c>
      <c r="L340" s="66" t="s">
        <v>16447</v>
      </c>
      <c r="M340" s="200" t="s">
        <v>12550</v>
      </c>
      <c r="N340" s="23"/>
      <c r="O340" s="245" t="s">
        <v>12039</v>
      </c>
    </row>
    <row r="341" spans="1:15" s="161" customFormat="1" ht="72" customHeight="1" x14ac:dyDescent="0.3">
      <c r="A341" s="242">
        <v>325</v>
      </c>
      <c r="B341" s="242" t="s">
        <v>151</v>
      </c>
      <c r="C341" s="242" t="s">
        <v>12644</v>
      </c>
      <c r="D341" s="60" t="s">
        <v>119</v>
      </c>
      <c r="E341" s="2">
        <v>1000</v>
      </c>
      <c r="F341" s="11">
        <v>219950</v>
      </c>
      <c r="G341" s="11"/>
      <c r="H341" s="11">
        <v>219950</v>
      </c>
      <c r="I341" s="3">
        <v>41878</v>
      </c>
      <c r="J341" s="2" t="s">
        <v>189</v>
      </c>
      <c r="K341" s="2"/>
      <c r="L341" s="66"/>
      <c r="M341" s="200" t="s">
        <v>12550</v>
      </c>
      <c r="N341" s="160"/>
      <c r="O341" s="66" t="s">
        <v>12039</v>
      </c>
    </row>
    <row r="342" spans="1:15" s="161" customFormat="1" ht="72" customHeight="1" x14ac:dyDescent="0.3">
      <c r="A342" s="242">
        <v>326</v>
      </c>
      <c r="B342" s="242" t="s">
        <v>150</v>
      </c>
      <c r="C342" s="242" t="s">
        <v>12640</v>
      </c>
      <c r="D342" s="60" t="s">
        <v>120</v>
      </c>
      <c r="E342" s="2">
        <v>3000</v>
      </c>
      <c r="F342" s="11">
        <v>593070</v>
      </c>
      <c r="G342" s="11"/>
      <c r="H342" s="11">
        <v>593070</v>
      </c>
      <c r="I342" s="3">
        <v>41850</v>
      </c>
      <c r="J342" s="2" t="s">
        <v>188</v>
      </c>
      <c r="K342" s="2"/>
      <c r="L342" s="66"/>
      <c r="M342" s="200" t="s">
        <v>12550</v>
      </c>
      <c r="N342" s="160"/>
      <c r="O342" s="66" t="s">
        <v>12039</v>
      </c>
    </row>
    <row r="343" spans="1:15" s="161" customFormat="1" ht="96" customHeight="1" x14ac:dyDescent="0.3">
      <c r="A343" s="242">
        <v>327</v>
      </c>
      <c r="B343" s="242" t="s">
        <v>100</v>
      </c>
      <c r="C343" s="242" t="s">
        <v>12645</v>
      </c>
      <c r="D343" s="60" t="s">
        <v>121</v>
      </c>
      <c r="E343" s="2">
        <v>514</v>
      </c>
      <c r="F343" s="11">
        <v>115223.38</v>
      </c>
      <c r="G343" s="11"/>
      <c r="H343" s="24">
        <v>115223.38</v>
      </c>
      <c r="I343" s="3">
        <v>40705</v>
      </c>
      <c r="J343" s="242" t="s">
        <v>17864</v>
      </c>
      <c r="K343" s="2"/>
      <c r="L343" s="66"/>
      <c r="M343" s="200" t="s">
        <v>12550</v>
      </c>
      <c r="N343" s="160"/>
      <c r="O343" s="66" t="s">
        <v>12039</v>
      </c>
    </row>
    <row r="344" spans="1:15" s="161" customFormat="1" ht="72" customHeight="1" x14ac:dyDescent="0.3">
      <c r="A344" s="242">
        <v>328</v>
      </c>
      <c r="B344" s="242" t="s">
        <v>97</v>
      </c>
      <c r="C344" s="242" t="s">
        <v>12646</v>
      </c>
      <c r="D344" s="60" t="s">
        <v>122</v>
      </c>
      <c r="E344" s="2">
        <v>1010</v>
      </c>
      <c r="F344" s="11">
        <v>259438.7</v>
      </c>
      <c r="G344" s="11"/>
      <c r="H344" s="244">
        <v>259438.7</v>
      </c>
      <c r="I344" s="3">
        <v>38069</v>
      </c>
      <c r="J344" s="242" t="s">
        <v>183</v>
      </c>
      <c r="K344" s="243">
        <v>41100</v>
      </c>
      <c r="L344" s="66" t="s">
        <v>16448</v>
      </c>
      <c r="M344" s="200" t="s">
        <v>12550</v>
      </c>
      <c r="N344" s="23"/>
      <c r="O344" s="66" t="s">
        <v>12039</v>
      </c>
    </row>
    <row r="345" spans="1:15" s="161" customFormat="1" ht="96" customHeight="1" x14ac:dyDescent="0.3">
      <c r="A345" s="242">
        <v>329</v>
      </c>
      <c r="B345" s="242" t="s">
        <v>97</v>
      </c>
      <c r="C345" s="242" t="s">
        <v>123</v>
      </c>
      <c r="D345" s="60" t="s">
        <v>11821</v>
      </c>
      <c r="E345" s="2">
        <v>800</v>
      </c>
      <c r="F345" s="11">
        <v>158384</v>
      </c>
      <c r="G345" s="11"/>
      <c r="H345" s="24">
        <v>158384</v>
      </c>
      <c r="I345" s="3">
        <v>40774</v>
      </c>
      <c r="J345" s="2" t="s">
        <v>17914</v>
      </c>
      <c r="K345" s="2"/>
      <c r="L345" s="66"/>
      <c r="M345" s="200" t="s">
        <v>12550</v>
      </c>
      <c r="N345" s="160"/>
      <c r="O345" s="66" t="s">
        <v>12039</v>
      </c>
    </row>
    <row r="346" spans="1:15" s="161" customFormat="1" ht="72" customHeight="1" x14ac:dyDescent="0.3">
      <c r="A346" s="242">
        <v>330</v>
      </c>
      <c r="B346" s="242" t="s">
        <v>124</v>
      </c>
      <c r="C346" s="242" t="s">
        <v>12647</v>
      </c>
      <c r="D346" s="60" t="s">
        <v>145</v>
      </c>
      <c r="E346" s="2">
        <v>1000</v>
      </c>
      <c r="F346" s="11">
        <v>232720</v>
      </c>
      <c r="G346" s="11"/>
      <c r="H346" s="244">
        <v>232720</v>
      </c>
      <c r="I346" s="3">
        <v>41964</v>
      </c>
      <c r="J346" s="2" t="s">
        <v>18498</v>
      </c>
      <c r="K346" s="2"/>
      <c r="L346" s="66"/>
      <c r="M346" s="200" t="s">
        <v>12550</v>
      </c>
      <c r="N346" s="160"/>
      <c r="O346" s="245" t="s">
        <v>12039</v>
      </c>
    </row>
    <row r="347" spans="1:15" s="161" customFormat="1" ht="72" customHeight="1" x14ac:dyDescent="0.3">
      <c r="A347" s="242">
        <v>331</v>
      </c>
      <c r="B347" s="242" t="s">
        <v>152</v>
      </c>
      <c r="C347" s="242" t="s">
        <v>12648</v>
      </c>
      <c r="D347" s="60" t="s">
        <v>125</v>
      </c>
      <c r="E347" s="2">
        <v>2000</v>
      </c>
      <c r="F347" s="11">
        <v>399900</v>
      </c>
      <c r="G347" s="11"/>
      <c r="H347" s="244">
        <v>399900</v>
      </c>
      <c r="I347" s="3">
        <v>42226</v>
      </c>
      <c r="J347" s="2" t="s">
        <v>11815</v>
      </c>
      <c r="K347" s="2"/>
      <c r="L347" s="66"/>
      <c r="M347" s="200" t="s">
        <v>12550</v>
      </c>
      <c r="N347" s="160"/>
      <c r="O347" s="245" t="s">
        <v>12039</v>
      </c>
    </row>
    <row r="348" spans="1:15" s="161" customFormat="1" ht="72" customHeight="1" x14ac:dyDescent="0.3">
      <c r="A348" s="242">
        <v>332</v>
      </c>
      <c r="B348" s="242" t="s">
        <v>126</v>
      </c>
      <c r="C348" s="242" t="s">
        <v>11818</v>
      </c>
      <c r="D348" s="60" t="s">
        <v>127</v>
      </c>
      <c r="E348" s="2">
        <v>800</v>
      </c>
      <c r="F348" s="11">
        <v>158384</v>
      </c>
      <c r="G348" s="11"/>
      <c r="H348" s="244">
        <v>158384</v>
      </c>
      <c r="I348" s="3" t="s">
        <v>11817</v>
      </c>
      <c r="J348" s="2" t="s">
        <v>18502</v>
      </c>
      <c r="K348" s="2"/>
      <c r="L348" s="66"/>
      <c r="M348" s="200" t="s">
        <v>12550</v>
      </c>
      <c r="N348" s="160"/>
      <c r="O348" s="245" t="s">
        <v>12039</v>
      </c>
    </row>
    <row r="349" spans="1:15" s="161" customFormat="1" ht="72" customHeight="1" x14ac:dyDescent="0.3">
      <c r="A349" s="242">
        <v>333</v>
      </c>
      <c r="B349" s="242" t="s">
        <v>126</v>
      </c>
      <c r="C349" s="242" t="s">
        <v>128</v>
      </c>
      <c r="D349" s="60" t="s">
        <v>129</v>
      </c>
      <c r="E349" s="2">
        <v>800</v>
      </c>
      <c r="F349" s="11">
        <v>158384</v>
      </c>
      <c r="G349" s="11"/>
      <c r="H349" s="244">
        <v>158384</v>
      </c>
      <c r="I349" s="3" t="s">
        <v>11816</v>
      </c>
      <c r="J349" s="2" t="s">
        <v>18504</v>
      </c>
      <c r="K349" s="2"/>
      <c r="L349" s="66"/>
      <c r="M349" s="200" t="s">
        <v>12550</v>
      </c>
      <c r="N349" s="160"/>
      <c r="O349" s="245" t="s">
        <v>12039</v>
      </c>
    </row>
    <row r="350" spans="1:15" s="161" customFormat="1" ht="72" customHeight="1" x14ac:dyDescent="0.3">
      <c r="A350" s="242">
        <v>334</v>
      </c>
      <c r="B350" s="242" t="s">
        <v>130</v>
      </c>
      <c r="C350" s="242" t="s">
        <v>12649</v>
      </c>
      <c r="D350" s="60" t="s">
        <v>131</v>
      </c>
      <c r="E350" s="2">
        <v>600</v>
      </c>
      <c r="F350" s="11">
        <v>140178</v>
      </c>
      <c r="G350" s="11"/>
      <c r="H350" s="11">
        <v>140178</v>
      </c>
      <c r="I350" s="3">
        <v>42230</v>
      </c>
      <c r="J350" s="2" t="s">
        <v>18509</v>
      </c>
      <c r="K350" s="2"/>
      <c r="L350" s="66"/>
      <c r="M350" s="200" t="s">
        <v>12550</v>
      </c>
      <c r="N350" s="160"/>
      <c r="O350" s="245" t="s">
        <v>12039</v>
      </c>
    </row>
    <row r="351" spans="1:15" s="161" customFormat="1" ht="72" customHeight="1" x14ac:dyDescent="0.3">
      <c r="A351" s="242">
        <v>335</v>
      </c>
      <c r="B351" s="242" t="s">
        <v>130</v>
      </c>
      <c r="C351" s="242" t="s">
        <v>12650</v>
      </c>
      <c r="D351" s="60" t="s">
        <v>132</v>
      </c>
      <c r="E351" s="2">
        <v>1000</v>
      </c>
      <c r="F351" s="11">
        <v>196950</v>
      </c>
      <c r="G351" s="11"/>
      <c r="H351" s="244">
        <v>196950</v>
      </c>
      <c r="I351" s="3">
        <v>42230</v>
      </c>
      <c r="J351" s="2" t="s">
        <v>18499</v>
      </c>
      <c r="K351" s="2"/>
      <c r="L351" s="66"/>
      <c r="M351" s="200" t="s">
        <v>12550</v>
      </c>
      <c r="N351" s="160"/>
      <c r="O351" s="245" t="s">
        <v>12039</v>
      </c>
    </row>
    <row r="352" spans="1:15" s="161" customFormat="1" ht="72" customHeight="1" x14ac:dyDescent="0.3">
      <c r="A352" s="242">
        <v>336</v>
      </c>
      <c r="B352" s="242" t="s">
        <v>133</v>
      </c>
      <c r="C352" s="242" t="s">
        <v>12651</v>
      </c>
      <c r="D352" s="60" t="s">
        <v>134</v>
      </c>
      <c r="E352" s="242">
        <v>1000</v>
      </c>
      <c r="F352" s="244">
        <v>196860</v>
      </c>
      <c r="G352" s="244"/>
      <c r="H352" s="244">
        <v>196860</v>
      </c>
      <c r="I352" s="3">
        <v>42262</v>
      </c>
      <c r="J352" s="242" t="s">
        <v>18511</v>
      </c>
      <c r="K352" s="242"/>
      <c r="L352" s="66"/>
      <c r="M352" s="200" t="s">
        <v>12550</v>
      </c>
      <c r="N352" s="160"/>
      <c r="O352" s="66" t="s">
        <v>12039</v>
      </c>
    </row>
    <row r="353" spans="1:26" s="161" customFormat="1" ht="72" customHeight="1" x14ac:dyDescent="0.3">
      <c r="A353" s="242">
        <v>337</v>
      </c>
      <c r="B353" s="242" t="s">
        <v>153</v>
      </c>
      <c r="C353" s="242" t="s">
        <v>12652</v>
      </c>
      <c r="D353" s="60" t="s">
        <v>135</v>
      </c>
      <c r="E353" s="242">
        <v>1000</v>
      </c>
      <c r="F353" s="244">
        <v>219950</v>
      </c>
      <c r="G353" s="244"/>
      <c r="H353" s="244">
        <v>219950</v>
      </c>
      <c r="I353" s="3">
        <v>42261</v>
      </c>
      <c r="J353" s="242" t="s">
        <v>11820</v>
      </c>
      <c r="K353" s="242"/>
      <c r="L353" s="66"/>
      <c r="M353" s="200" t="s">
        <v>12550</v>
      </c>
      <c r="N353" s="160"/>
      <c r="O353" s="66" t="s">
        <v>12039</v>
      </c>
    </row>
    <row r="354" spans="1:26" s="161" customFormat="1" ht="72" customHeight="1" x14ac:dyDescent="0.3">
      <c r="A354" s="242">
        <v>338</v>
      </c>
      <c r="B354" s="242" t="s">
        <v>133</v>
      </c>
      <c r="C354" s="242" t="s">
        <v>12653</v>
      </c>
      <c r="D354" s="60" t="s">
        <v>148</v>
      </c>
      <c r="E354" s="242">
        <v>800</v>
      </c>
      <c r="F354" s="244">
        <v>642030</v>
      </c>
      <c r="G354" s="244"/>
      <c r="H354" s="244">
        <v>642030</v>
      </c>
      <c r="I354" s="243" t="s">
        <v>11819</v>
      </c>
      <c r="J354" s="242" t="s">
        <v>18503</v>
      </c>
      <c r="K354" s="242"/>
      <c r="L354" s="66"/>
      <c r="M354" s="200" t="s">
        <v>12550</v>
      </c>
      <c r="N354" s="160"/>
      <c r="O354" s="245" t="s">
        <v>12039</v>
      </c>
    </row>
    <row r="355" spans="1:26" s="161" customFormat="1" ht="72" customHeight="1" x14ac:dyDescent="0.3">
      <c r="A355" s="242">
        <v>339</v>
      </c>
      <c r="B355" s="242" t="s">
        <v>133</v>
      </c>
      <c r="C355" s="242" t="s">
        <v>12654</v>
      </c>
      <c r="D355" s="60" t="s">
        <v>136</v>
      </c>
      <c r="E355" s="242">
        <v>1200</v>
      </c>
      <c r="F355" s="244">
        <v>261336</v>
      </c>
      <c r="G355" s="244"/>
      <c r="H355" s="244">
        <v>261336</v>
      </c>
      <c r="I355" s="243">
        <v>42257</v>
      </c>
      <c r="J355" s="242" t="s">
        <v>18507</v>
      </c>
      <c r="K355" s="242"/>
      <c r="L355" s="66"/>
      <c r="M355" s="200" t="s">
        <v>12550</v>
      </c>
      <c r="N355" s="160"/>
      <c r="O355" s="245" t="s">
        <v>12039</v>
      </c>
    </row>
    <row r="356" spans="1:26" s="161" customFormat="1" ht="72" customHeight="1" x14ac:dyDescent="0.3">
      <c r="A356" s="242">
        <v>340</v>
      </c>
      <c r="B356" s="242" t="s">
        <v>133</v>
      </c>
      <c r="C356" s="242" t="s">
        <v>12655</v>
      </c>
      <c r="D356" s="60" t="s">
        <v>137</v>
      </c>
      <c r="E356" s="242">
        <v>800</v>
      </c>
      <c r="F356" s="244">
        <v>169456</v>
      </c>
      <c r="G356" s="244"/>
      <c r="H356" s="244">
        <v>169456</v>
      </c>
      <c r="I356" s="243">
        <v>42249</v>
      </c>
      <c r="J356" s="242" t="s">
        <v>18500</v>
      </c>
      <c r="K356" s="242"/>
      <c r="L356" s="66"/>
      <c r="M356" s="200" t="s">
        <v>12550</v>
      </c>
      <c r="N356" s="160"/>
      <c r="O356" s="245" t="s">
        <v>12039</v>
      </c>
    </row>
    <row r="357" spans="1:26" s="161" customFormat="1" ht="72" customHeight="1" x14ac:dyDescent="0.3">
      <c r="A357" s="242">
        <v>341</v>
      </c>
      <c r="B357" s="242" t="s">
        <v>133</v>
      </c>
      <c r="C357" s="242" t="s">
        <v>12656</v>
      </c>
      <c r="D357" s="60" t="s">
        <v>138</v>
      </c>
      <c r="E357" s="242">
        <v>780</v>
      </c>
      <c r="F357" s="244">
        <v>106780.8</v>
      </c>
      <c r="G357" s="244"/>
      <c r="H357" s="244">
        <v>106780.8</v>
      </c>
      <c r="I357" s="243">
        <v>42237</v>
      </c>
      <c r="J357" s="242" t="s">
        <v>18508</v>
      </c>
      <c r="K357" s="242"/>
      <c r="L357" s="66"/>
      <c r="M357" s="200" t="s">
        <v>12550</v>
      </c>
      <c r="N357" s="160"/>
      <c r="O357" s="245" t="s">
        <v>12039</v>
      </c>
    </row>
    <row r="358" spans="1:26" s="161" customFormat="1" ht="72" customHeight="1" x14ac:dyDescent="0.3">
      <c r="A358" s="242">
        <v>342</v>
      </c>
      <c r="B358" s="242" t="s">
        <v>139</v>
      </c>
      <c r="C358" s="242" t="s">
        <v>12657</v>
      </c>
      <c r="D358" s="60" t="s">
        <v>140</v>
      </c>
      <c r="E358" s="2">
        <v>1000</v>
      </c>
      <c r="F358" s="11">
        <v>196950</v>
      </c>
      <c r="G358" s="11"/>
      <c r="H358" s="11">
        <v>196950</v>
      </c>
      <c r="I358" s="3" t="s">
        <v>11814</v>
      </c>
      <c r="J358" s="2" t="s">
        <v>18506</v>
      </c>
      <c r="K358" s="242"/>
      <c r="L358" s="66"/>
      <c r="M358" s="200" t="s">
        <v>12550</v>
      </c>
      <c r="N358" s="160"/>
      <c r="O358" s="245" t="s">
        <v>12039</v>
      </c>
    </row>
    <row r="359" spans="1:26" s="161" customFormat="1" ht="72" customHeight="1" x14ac:dyDescent="0.3">
      <c r="A359" s="242">
        <v>343</v>
      </c>
      <c r="B359" s="242" t="s">
        <v>97</v>
      </c>
      <c r="C359" s="242" t="s">
        <v>141</v>
      </c>
      <c r="D359" s="60" t="s">
        <v>142</v>
      </c>
      <c r="E359" s="242">
        <v>800</v>
      </c>
      <c r="F359" s="244">
        <v>158384</v>
      </c>
      <c r="G359" s="244"/>
      <c r="H359" s="244">
        <v>158384</v>
      </c>
      <c r="I359" s="243">
        <v>42291</v>
      </c>
      <c r="J359" s="242" t="s">
        <v>18487</v>
      </c>
      <c r="K359" s="242"/>
      <c r="L359" s="245"/>
      <c r="M359" s="200" t="s">
        <v>12550</v>
      </c>
      <c r="N359" s="160"/>
      <c r="O359" s="245" t="s">
        <v>12039</v>
      </c>
    </row>
    <row r="360" spans="1:26" s="161" customFormat="1" ht="72" customHeight="1" x14ac:dyDescent="0.3">
      <c r="A360" s="242">
        <v>344</v>
      </c>
      <c r="B360" s="242" t="s">
        <v>110</v>
      </c>
      <c r="C360" s="242" t="s">
        <v>12658</v>
      </c>
      <c r="D360" s="60" t="s">
        <v>143</v>
      </c>
      <c r="E360" s="242">
        <v>1000</v>
      </c>
      <c r="F360" s="244">
        <v>216670</v>
      </c>
      <c r="G360" s="244"/>
      <c r="H360" s="244">
        <v>216670</v>
      </c>
      <c r="I360" s="243">
        <v>42180</v>
      </c>
      <c r="J360" s="242" t="s">
        <v>18510</v>
      </c>
      <c r="K360" s="242"/>
      <c r="L360" s="66"/>
      <c r="M360" s="200" t="s">
        <v>12550</v>
      </c>
      <c r="N360" s="160"/>
      <c r="O360" s="245" t="s">
        <v>12039</v>
      </c>
    </row>
    <row r="361" spans="1:26" s="161" customFormat="1" ht="72" customHeight="1" x14ac:dyDescent="0.3">
      <c r="A361" s="242">
        <v>345</v>
      </c>
      <c r="B361" s="242" t="s">
        <v>112</v>
      </c>
      <c r="C361" s="242" t="s">
        <v>12659</v>
      </c>
      <c r="D361" s="60" t="s">
        <v>144</v>
      </c>
      <c r="E361" s="242">
        <v>800</v>
      </c>
      <c r="F361" s="244">
        <v>155136</v>
      </c>
      <c r="G361" s="244"/>
      <c r="H361" s="244">
        <v>155136</v>
      </c>
      <c r="I361" s="243">
        <v>41969</v>
      </c>
      <c r="J361" s="242" t="s">
        <v>18497</v>
      </c>
      <c r="K361" s="242"/>
      <c r="L361" s="66"/>
      <c r="M361" s="200" t="s">
        <v>12550</v>
      </c>
      <c r="N361" s="160"/>
      <c r="O361" s="245" t="s">
        <v>12039</v>
      </c>
      <c r="Q361" s="67"/>
      <c r="R361" s="67"/>
      <c r="S361" s="67"/>
      <c r="T361" s="67"/>
      <c r="U361" s="67"/>
      <c r="V361" s="67"/>
      <c r="W361" s="67"/>
      <c r="X361" s="67"/>
      <c r="Y361" s="67"/>
      <c r="Z361" s="67"/>
    </row>
    <row r="362" spans="1:26" ht="72" customHeight="1" x14ac:dyDescent="0.3">
      <c r="A362" s="242">
        <v>346</v>
      </c>
      <c r="B362" s="242" t="s">
        <v>126</v>
      </c>
      <c r="C362" s="242" t="s">
        <v>12660</v>
      </c>
      <c r="D362" s="60" t="s">
        <v>146</v>
      </c>
      <c r="E362" s="242">
        <v>800</v>
      </c>
      <c r="F362" s="244">
        <v>151040</v>
      </c>
      <c r="G362" s="244"/>
      <c r="H362" s="244">
        <v>151040</v>
      </c>
      <c r="I362" s="243">
        <v>42291</v>
      </c>
      <c r="J362" s="242" t="s">
        <v>18494</v>
      </c>
      <c r="K362" s="243"/>
      <c r="L362" s="66"/>
      <c r="M362" s="200" t="s">
        <v>12550</v>
      </c>
      <c r="N362" s="207"/>
      <c r="O362" s="245" t="s">
        <v>12039</v>
      </c>
    </row>
    <row r="363" spans="1:26" ht="132" customHeight="1" x14ac:dyDescent="0.3">
      <c r="A363" s="242">
        <v>347</v>
      </c>
      <c r="B363" s="245" t="s">
        <v>18816</v>
      </c>
      <c r="C363" s="245" t="s">
        <v>12837</v>
      </c>
      <c r="D363" s="60" t="s">
        <v>12029</v>
      </c>
      <c r="E363" s="2">
        <v>745</v>
      </c>
      <c r="F363" s="25">
        <v>16468.09</v>
      </c>
      <c r="G363" s="25">
        <v>14069.83</v>
      </c>
      <c r="H363" s="25">
        <v>16468.09</v>
      </c>
      <c r="I363" s="26" t="s">
        <v>12259</v>
      </c>
      <c r="J363" s="245" t="s">
        <v>12270</v>
      </c>
      <c r="K363" s="207"/>
      <c r="L363" s="66"/>
      <c r="M363" s="201" t="s">
        <v>12550</v>
      </c>
      <c r="N363" s="2" t="s">
        <v>19766</v>
      </c>
      <c r="O363" s="41"/>
    </row>
    <row r="364" spans="1:26" ht="72" customHeight="1" x14ac:dyDescent="0.3">
      <c r="A364" s="242">
        <v>348</v>
      </c>
      <c r="B364" s="242" t="s">
        <v>116</v>
      </c>
      <c r="C364" s="242" t="s">
        <v>12838</v>
      </c>
      <c r="D364" s="60" t="s">
        <v>11799</v>
      </c>
      <c r="E364" s="242">
        <v>46311</v>
      </c>
      <c r="F364" s="25">
        <v>396422.16</v>
      </c>
      <c r="G364" s="244"/>
      <c r="H364" s="24">
        <v>396422.16</v>
      </c>
      <c r="I364" s="243">
        <v>42236</v>
      </c>
      <c r="J364" s="242" t="s">
        <v>17811</v>
      </c>
      <c r="K364" s="243"/>
      <c r="L364" s="66"/>
      <c r="M364" s="200" t="s">
        <v>12550</v>
      </c>
      <c r="N364" s="207"/>
      <c r="O364" s="245" t="s">
        <v>17800</v>
      </c>
    </row>
    <row r="365" spans="1:26" ht="72" customHeight="1" x14ac:dyDescent="0.3">
      <c r="A365" s="242">
        <v>349</v>
      </c>
      <c r="B365" s="242" t="s">
        <v>116</v>
      </c>
      <c r="C365" s="242" t="s">
        <v>12838</v>
      </c>
      <c r="D365" s="60" t="s">
        <v>11800</v>
      </c>
      <c r="E365" s="207">
        <v>136689</v>
      </c>
      <c r="F365" s="25">
        <v>1608829.53</v>
      </c>
      <c r="G365" s="207"/>
      <c r="H365" s="24">
        <v>1608829.53</v>
      </c>
      <c r="I365" s="3">
        <v>42237</v>
      </c>
      <c r="J365" s="2" t="s">
        <v>17810</v>
      </c>
      <c r="K365" s="207"/>
      <c r="L365" s="66"/>
      <c r="M365" s="200" t="s">
        <v>12550</v>
      </c>
      <c r="N365" s="207"/>
      <c r="O365" s="66" t="s">
        <v>17801</v>
      </c>
    </row>
    <row r="366" spans="1:26" ht="84" customHeight="1" x14ac:dyDescent="0.3">
      <c r="A366" s="242">
        <v>350</v>
      </c>
      <c r="B366" s="242" t="s">
        <v>133</v>
      </c>
      <c r="C366" s="242" t="s">
        <v>12839</v>
      </c>
      <c r="D366" s="85" t="s">
        <v>11801</v>
      </c>
      <c r="E366" s="207">
        <v>1000</v>
      </c>
      <c r="F366" s="25">
        <v>203920</v>
      </c>
      <c r="G366" s="207"/>
      <c r="H366" s="24">
        <v>203920</v>
      </c>
      <c r="I366" s="207" t="s">
        <v>11802</v>
      </c>
      <c r="J366" s="242" t="s">
        <v>18493</v>
      </c>
      <c r="K366" s="207"/>
      <c r="L366" s="66"/>
      <c r="M366" s="200" t="s">
        <v>12550</v>
      </c>
      <c r="N366" s="207"/>
      <c r="O366" s="66" t="s">
        <v>12039</v>
      </c>
    </row>
    <row r="367" spans="1:26" ht="72" customHeight="1" x14ac:dyDescent="0.3">
      <c r="A367" s="242">
        <v>351</v>
      </c>
      <c r="B367" s="242" t="s">
        <v>11804</v>
      </c>
      <c r="C367" s="242" t="s">
        <v>12840</v>
      </c>
      <c r="D367" s="85" t="s">
        <v>11803</v>
      </c>
      <c r="E367" s="207">
        <v>800</v>
      </c>
      <c r="F367" s="25">
        <v>175240</v>
      </c>
      <c r="G367" s="207"/>
      <c r="H367" s="24">
        <v>175240</v>
      </c>
      <c r="I367" s="26">
        <v>42103</v>
      </c>
      <c r="J367" s="2" t="s">
        <v>18501</v>
      </c>
      <c r="K367" s="207"/>
      <c r="L367" s="66"/>
      <c r="M367" s="200" t="s">
        <v>12550</v>
      </c>
      <c r="N367" s="207"/>
      <c r="O367" s="245" t="s">
        <v>12039</v>
      </c>
    </row>
    <row r="368" spans="1:26" ht="84" customHeight="1" x14ac:dyDescent="0.3">
      <c r="A368" s="242">
        <v>352</v>
      </c>
      <c r="B368" s="242" t="s">
        <v>139</v>
      </c>
      <c r="C368" s="245" t="s">
        <v>12841</v>
      </c>
      <c r="D368" s="85" t="s">
        <v>11805</v>
      </c>
      <c r="E368" s="207">
        <v>1000</v>
      </c>
      <c r="F368" s="25">
        <v>196950</v>
      </c>
      <c r="G368" s="207"/>
      <c r="H368" s="24">
        <v>196950</v>
      </c>
      <c r="I368" s="26">
        <v>42282</v>
      </c>
      <c r="J368" s="245" t="s">
        <v>18495</v>
      </c>
      <c r="K368" s="207"/>
      <c r="L368" s="66"/>
      <c r="M368" s="200" t="s">
        <v>12550</v>
      </c>
      <c r="N368" s="207"/>
      <c r="O368" s="245" t="s">
        <v>12039</v>
      </c>
    </row>
    <row r="369" spans="1:26" ht="84" customHeight="1" x14ac:dyDescent="0.3">
      <c r="A369" s="242">
        <v>353</v>
      </c>
      <c r="B369" s="242" t="s">
        <v>133</v>
      </c>
      <c r="C369" s="245" t="s">
        <v>12842</v>
      </c>
      <c r="D369" s="85" t="s">
        <v>11806</v>
      </c>
      <c r="E369" s="207">
        <v>800</v>
      </c>
      <c r="F369" s="25">
        <v>165896</v>
      </c>
      <c r="G369" s="207"/>
      <c r="H369" s="24">
        <v>165896</v>
      </c>
      <c r="I369" s="26">
        <v>42282</v>
      </c>
      <c r="J369" s="245" t="s">
        <v>18489</v>
      </c>
      <c r="K369" s="207"/>
      <c r="L369" s="66"/>
      <c r="M369" s="200" t="s">
        <v>12550</v>
      </c>
      <c r="N369" s="207"/>
      <c r="O369" s="245" t="s">
        <v>12039</v>
      </c>
    </row>
    <row r="370" spans="1:26" ht="72" customHeight="1" x14ac:dyDescent="0.3">
      <c r="A370" s="242">
        <v>354</v>
      </c>
      <c r="B370" s="242" t="s">
        <v>11807</v>
      </c>
      <c r="C370" s="245" t="s">
        <v>12843</v>
      </c>
      <c r="D370" s="85" t="s">
        <v>11808</v>
      </c>
      <c r="E370" s="207">
        <v>1000</v>
      </c>
      <c r="F370" s="25">
        <v>219950</v>
      </c>
      <c r="G370" s="207"/>
      <c r="H370" s="24">
        <v>219950</v>
      </c>
      <c r="I370" s="207" t="s">
        <v>11809</v>
      </c>
      <c r="J370" s="66" t="s">
        <v>11810</v>
      </c>
      <c r="K370" s="207"/>
      <c r="L370" s="66"/>
      <c r="M370" s="200" t="s">
        <v>12550</v>
      </c>
      <c r="N370" s="207"/>
      <c r="O370" s="66" t="s">
        <v>12039</v>
      </c>
    </row>
    <row r="371" spans="1:26" ht="72" customHeight="1" x14ac:dyDescent="0.3">
      <c r="A371" s="242">
        <v>355</v>
      </c>
      <c r="B371" s="242" t="s">
        <v>11811</v>
      </c>
      <c r="C371" s="245" t="s">
        <v>12844</v>
      </c>
      <c r="D371" s="85" t="s">
        <v>11812</v>
      </c>
      <c r="E371" s="207">
        <v>2137783</v>
      </c>
      <c r="F371" s="25">
        <v>3418350.17</v>
      </c>
      <c r="G371" s="207"/>
      <c r="H371" s="24">
        <v>34183150.170000002</v>
      </c>
      <c r="I371" s="26">
        <v>42362</v>
      </c>
      <c r="J371" s="66" t="s">
        <v>18186</v>
      </c>
      <c r="K371" s="207"/>
      <c r="L371" s="66"/>
      <c r="M371" s="200" t="s">
        <v>12550</v>
      </c>
      <c r="N371" s="207"/>
      <c r="O371" s="66" t="s">
        <v>12039</v>
      </c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</row>
    <row r="372" spans="1:26" s="161" customFormat="1" ht="72" customHeight="1" x14ac:dyDescent="0.3">
      <c r="A372" s="242">
        <v>356</v>
      </c>
      <c r="B372" s="242" t="s">
        <v>11804</v>
      </c>
      <c r="C372" s="245" t="s">
        <v>12845</v>
      </c>
      <c r="D372" s="85" t="s">
        <v>12335</v>
      </c>
      <c r="E372" s="207">
        <v>1200</v>
      </c>
      <c r="F372" s="24">
        <v>240744</v>
      </c>
      <c r="G372" s="207"/>
      <c r="H372" s="24">
        <v>240744</v>
      </c>
      <c r="I372" s="26">
        <v>42341</v>
      </c>
      <c r="J372" s="245" t="s">
        <v>18490</v>
      </c>
      <c r="K372" s="207"/>
      <c r="L372" s="66"/>
      <c r="M372" s="200" t="s">
        <v>12550</v>
      </c>
      <c r="N372" s="160"/>
      <c r="O372" s="245" t="s">
        <v>12039</v>
      </c>
      <c r="Q372" s="67"/>
      <c r="R372" s="67"/>
      <c r="S372" s="67"/>
      <c r="T372" s="67"/>
      <c r="U372" s="67"/>
      <c r="V372" s="67"/>
      <c r="W372" s="67"/>
      <c r="X372" s="67"/>
      <c r="Y372" s="67"/>
      <c r="Z372" s="67"/>
    </row>
    <row r="373" spans="1:26" ht="84" customHeight="1" x14ac:dyDescent="0.3">
      <c r="A373" s="242">
        <v>357</v>
      </c>
      <c r="B373" s="245" t="s">
        <v>11827</v>
      </c>
      <c r="C373" s="245" t="s">
        <v>12846</v>
      </c>
      <c r="D373" s="88" t="s">
        <v>11823</v>
      </c>
      <c r="E373" s="207">
        <v>50.8</v>
      </c>
      <c r="F373" s="25"/>
      <c r="G373" s="207"/>
      <c r="H373" s="207"/>
      <c r="I373" s="26">
        <v>36357</v>
      </c>
      <c r="J373" s="245" t="s">
        <v>11824</v>
      </c>
      <c r="K373" s="26">
        <v>38995</v>
      </c>
      <c r="L373" s="66" t="s">
        <v>18018</v>
      </c>
      <c r="M373" s="201" t="s">
        <v>12550</v>
      </c>
      <c r="N373" s="94"/>
      <c r="O373" s="38"/>
    </row>
    <row r="374" spans="1:26" ht="96" customHeight="1" x14ac:dyDescent="0.3">
      <c r="A374" s="2">
        <v>358</v>
      </c>
      <c r="B374" s="245" t="s">
        <v>11828</v>
      </c>
      <c r="C374" s="245" t="s">
        <v>12847</v>
      </c>
      <c r="D374" s="88" t="s">
        <v>11829</v>
      </c>
      <c r="E374" s="207">
        <v>50.9</v>
      </c>
      <c r="F374" s="25"/>
      <c r="G374" s="207"/>
      <c r="H374" s="207"/>
      <c r="I374" s="26">
        <v>36970</v>
      </c>
      <c r="J374" s="66" t="s">
        <v>11830</v>
      </c>
      <c r="K374" s="207" t="s">
        <v>19444</v>
      </c>
      <c r="L374" s="66" t="s">
        <v>19445</v>
      </c>
      <c r="M374" s="201" t="s">
        <v>12550</v>
      </c>
      <c r="N374" s="207"/>
      <c r="O374" s="38" t="s">
        <v>20454</v>
      </c>
    </row>
    <row r="375" spans="1:26" ht="72" customHeight="1" x14ac:dyDescent="0.3">
      <c r="A375" s="242">
        <v>359</v>
      </c>
      <c r="B375" s="245" t="s">
        <v>18201</v>
      </c>
      <c r="C375" s="245" t="s">
        <v>12848</v>
      </c>
      <c r="D375" s="85" t="s">
        <v>11825</v>
      </c>
      <c r="E375" s="207">
        <v>31.4</v>
      </c>
      <c r="F375" s="25"/>
      <c r="G375" s="207"/>
      <c r="H375" s="207"/>
      <c r="I375" s="26">
        <v>41564</v>
      </c>
      <c r="J375" s="66" t="s">
        <v>11826</v>
      </c>
      <c r="K375" s="26">
        <v>42907</v>
      </c>
      <c r="L375" s="66" t="s">
        <v>19096</v>
      </c>
      <c r="M375" s="201" t="s">
        <v>12550</v>
      </c>
      <c r="N375" s="207"/>
      <c r="O375" s="41"/>
    </row>
    <row r="376" spans="1:26" ht="72" customHeight="1" x14ac:dyDescent="0.3">
      <c r="A376" s="242">
        <v>360</v>
      </c>
      <c r="B376" s="245" t="s">
        <v>12031</v>
      </c>
      <c r="C376" s="245" t="s">
        <v>12849</v>
      </c>
      <c r="D376" s="85" t="s">
        <v>12032</v>
      </c>
      <c r="E376" s="207">
        <v>12000</v>
      </c>
      <c r="F376" s="25">
        <v>2261640</v>
      </c>
      <c r="G376" s="207"/>
      <c r="H376" s="25">
        <v>2261640</v>
      </c>
      <c r="I376" s="26">
        <v>42335</v>
      </c>
      <c r="J376" s="66" t="s">
        <v>16395</v>
      </c>
      <c r="K376" s="207"/>
      <c r="L376" s="66"/>
      <c r="M376" s="242" t="s">
        <v>15722</v>
      </c>
      <c r="N376" s="207"/>
      <c r="O376" s="245" t="s">
        <v>11937</v>
      </c>
    </row>
    <row r="377" spans="1:26" ht="72" customHeight="1" x14ac:dyDescent="0.3">
      <c r="A377" s="242">
        <v>361</v>
      </c>
      <c r="B377" s="245" t="s">
        <v>12031</v>
      </c>
      <c r="C377" s="245" t="s">
        <v>12850</v>
      </c>
      <c r="D377" s="85" t="s">
        <v>12034</v>
      </c>
      <c r="E377" s="207">
        <v>12690</v>
      </c>
      <c r="F377" s="25">
        <v>2309326.2000000002</v>
      </c>
      <c r="G377" s="207"/>
      <c r="H377" s="25">
        <v>2309326.2000000002</v>
      </c>
      <c r="I377" s="26">
        <v>42335</v>
      </c>
      <c r="J377" s="245" t="s">
        <v>16401</v>
      </c>
      <c r="K377" s="207"/>
      <c r="L377" s="66"/>
      <c r="M377" s="2" t="s">
        <v>15722</v>
      </c>
      <c r="N377" s="207"/>
      <c r="O377" s="66" t="s">
        <v>11937</v>
      </c>
    </row>
    <row r="378" spans="1:26" ht="60" customHeight="1" x14ac:dyDescent="0.3">
      <c r="A378" s="242">
        <v>362</v>
      </c>
      <c r="B378" s="245" t="s">
        <v>12031</v>
      </c>
      <c r="C378" s="245" t="s">
        <v>12851</v>
      </c>
      <c r="D378" s="85" t="s">
        <v>12035</v>
      </c>
      <c r="E378" s="207">
        <v>10902</v>
      </c>
      <c r="F378" s="25">
        <v>1846798.8</v>
      </c>
      <c r="G378" s="207"/>
      <c r="H378" s="25">
        <v>1846798.8</v>
      </c>
      <c r="I378" s="26">
        <v>42335</v>
      </c>
      <c r="J378" s="245" t="s">
        <v>16396</v>
      </c>
      <c r="K378" s="207"/>
      <c r="L378" s="66"/>
      <c r="M378" s="2" t="s">
        <v>15722</v>
      </c>
      <c r="N378" s="207"/>
      <c r="O378" s="66" t="s">
        <v>11937</v>
      </c>
    </row>
    <row r="379" spans="1:26" ht="72" customHeight="1" x14ac:dyDescent="0.3">
      <c r="A379" s="242">
        <v>363</v>
      </c>
      <c r="B379" s="245" t="s">
        <v>12031</v>
      </c>
      <c r="C379" s="245" t="s">
        <v>12852</v>
      </c>
      <c r="D379" s="85" t="s">
        <v>12036</v>
      </c>
      <c r="E379" s="207">
        <v>12180</v>
      </c>
      <c r="F379" s="25">
        <v>1073179.8</v>
      </c>
      <c r="G379" s="207"/>
      <c r="H379" s="25">
        <v>1073179.8</v>
      </c>
      <c r="I379" s="26">
        <v>42335</v>
      </c>
      <c r="J379" s="66" t="s">
        <v>16402</v>
      </c>
      <c r="K379" s="207"/>
      <c r="L379" s="66"/>
      <c r="M379" s="242" t="s">
        <v>15722</v>
      </c>
      <c r="N379" s="207"/>
      <c r="O379" s="245" t="s">
        <v>11937</v>
      </c>
    </row>
    <row r="380" spans="1:26" ht="72" customHeight="1" x14ac:dyDescent="0.3">
      <c r="A380" s="242">
        <v>364</v>
      </c>
      <c r="B380" s="245" t="s">
        <v>12037</v>
      </c>
      <c r="C380" s="245" t="s">
        <v>12853</v>
      </c>
      <c r="D380" s="85" t="s">
        <v>12038</v>
      </c>
      <c r="E380" s="207">
        <v>19095</v>
      </c>
      <c r="F380" s="25">
        <v>9834306.9000000004</v>
      </c>
      <c r="G380" s="207"/>
      <c r="H380" s="25">
        <v>9834306.9000000004</v>
      </c>
      <c r="I380" s="26">
        <v>42335</v>
      </c>
      <c r="J380" s="66" t="s">
        <v>18189</v>
      </c>
      <c r="K380" s="207"/>
      <c r="L380" s="66"/>
      <c r="M380" s="242" t="s">
        <v>15722</v>
      </c>
      <c r="N380" s="207"/>
      <c r="O380" s="245" t="s">
        <v>11937</v>
      </c>
    </row>
    <row r="381" spans="1:26" ht="72" customHeight="1" x14ac:dyDescent="0.3">
      <c r="A381" s="242">
        <v>365</v>
      </c>
      <c r="B381" s="245" t="s">
        <v>22350</v>
      </c>
      <c r="C381" s="245" t="s">
        <v>14524</v>
      </c>
      <c r="D381" s="85" t="s">
        <v>11813</v>
      </c>
      <c r="E381" s="207">
        <v>315000</v>
      </c>
      <c r="F381" s="98">
        <v>6066900</v>
      </c>
      <c r="G381" s="207"/>
      <c r="H381" s="98">
        <v>6066900</v>
      </c>
      <c r="I381" s="26">
        <v>42338</v>
      </c>
      <c r="J381" s="245" t="s">
        <v>17896</v>
      </c>
      <c r="K381" s="207"/>
      <c r="L381" s="66"/>
      <c r="M381" s="200" t="s">
        <v>12550</v>
      </c>
      <c r="N381" s="207"/>
      <c r="O381" s="245" t="s">
        <v>12039</v>
      </c>
    </row>
    <row r="382" spans="1:26" ht="72" customHeight="1" x14ac:dyDescent="0.3">
      <c r="A382" s="242">
        <v>366</v>
      </c>
      <c r="B382" s="245" t="s">
        <v>12162</v>
      </c>
      <c r="C382" s="245" t="s">
        <v>12854</v>
      </c>
      <c r="D382" s="89" t="s">
        <v>12161</v>
      </c>
      <c r="E382" s="207">
        <v>31.8</v>
      </c>
      <c r="F382" s="25"/>
      <c r="G382" s="207"/>
      <c r="H382" s="207"/>
      <c r="I382" s="207" t="s">
        <v>12163</v>
      </c>
      <c r="J382" s="66" t="s">
        <v>12164</v>
      </c>
      <c r="K382" s="207"/>
      <c r="L382" s="66"/>
      <c r="M382" s="201" t="s">
        <v>12550</v>
      </c>
      <c r="N382" s="207"/>
      <c r="O382" s="66"/>
    </row>
    <row r="383" spans="1:26" ht="72" customHeight="1" x14ac:dyDescent="0.3">
      <c r="A383" s="2">
        <v>367</v>
      </c>
      <c r="B383" s="66" t="s">
        <v>12162</v>
      </c>
      <c r="C383" s="66" t="s">
        <v>12855</v>
      </c>
      <c r="D383" s="89" t="s">
        <v>12165</v>
      </c>
      <c r="E383" s="207">
        <v>32.799999999999997</v>
      </c>
      <c r="F383" s="25"/>
      <c r="G383" s="207"/>
      <c r="H383" s="25"/>
      <c r="I383" s="207" t="s">
        <v>12163</v>
      </c>
      <c r="J383" s="66" t="s">
        <v>12166</v>
      </c>
      <c r="K383" s="207"/>
      <c r="L383" s="66"/>
      <c r="M383" s="201" t="s">
        <v>12550</v>
      </c>
      <c r="N383" s="207"/>
      <c r="O383" s="245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s="4" customFormat="1" ht="115.2" customHeight="1" x14ac:dyDescent="0.3">
      <c r="A384" s="242">
        <v>368</v>
      </c>
      <c r="B384" s="242" t="s">
        <v>22095</v>
      </c>
      <c r="C384" s="242" t="s">
        <v>66</v>
      </c>
      <c r="D384" s="85" t="s">
        <v>21393</v>
      </c>
      <c r="E384" s="6">
        <v>185.6</v>
      </c>
      <c r="F384" s="244">
        <v>701880.64</v>
      </c>
      <c r="G384" s="244">
        <v>12042.66</v>
      </c>
      <c r="H384" s="43">
        <v>3106032.7</v>
      </c>
      <c r="I384" s="243" t="s">
        <v>205</v>
      </c>
      <c r="J384" s="242" t="s">
        <v>22094</v>
      </c>
      <c r="K384" s="242"/>
      <c r="L384" s="66"/>
      <c r="M384" s="201" t="s">
        <v>12550</v>
      </c>
      <c r="N384" s="23" t="s">
        <v>19765</v>
      </c>
      <c r="O384" s="41"/>
    </row>
    <row r="385" spans="1:15" s="4" customFormat="1" ht="72" customHeight="1" x14ac:dyDescent="0.3">
      <c r="A385" s="242">
        <v>369</v>
      </c>
      <c r="B385" s="242" t="s">
        <v>11528</v>
      </c>
      <c r="C385" s="242" t="s">
        <v>12856</v>
      </c>
      <c r="D385" s="85" t="s">
        <v>12313</v>
      </c>
      <c r="E385" s="6">
        <v>304.8</v>
      </c>
      <c r="F385" s="11">
        <v>201129.60000000001</v>
      </c>
      <c r="G385" s="11">
        <v>167546.70000000001</v>
      </c>
      <c r="H385" s="43"/>
      <c r="I385" s="3">
        <v>40973</v>
      </c>
      <c r="J385" s="2" t="s">
        <v>12021</v>
      </c>
      <c r="K385" s="2"/>
      <c r="L385" s="66"/>
      <c r="M385" s="201" t="s">
        <v>12550</v>
      </c>
      <c r="N385" s="2"/>
      <c r="O385" s="38"/>
    </row>
    <row r="386" spans="1:15" s="4" customFormat="1" ht="72" customHeight="1" x14ac:dyDescent="0.3">
      <c r="A386" s="242">
        <v>370</v>
      </c>
      <c r="B386" s="2" t="s">
        <v>67</v>
      </c>
      <c r="C386" s="2" t="s">
        <v>11549</v>
      </c>
      <c r="D386" s="207"/>
      <c r="E386" s="6"/>
      <c r="F386" s="244">
        <v>4050187.8</v>
      </c>
      <c r="G386" s="242">
        <v>4050187.8</v>
      </c>
      <c r="H386" s="6"/>
      <c r="I386" s="3">
        <v>35727</v>
      </c>
      <c r="J386" s="242" t="s">
        <v>12011</v>
      </c>
      <c r="K386" s="242" t="s">
        <v>20444</v>
      </c>
      <c r="L386" s="66" t="s">
        <v>20445</v>
      </c>
      <c r="M386" s="201" t="s">
        <v>12550</v>
      </c>
      <c r="N386" s="242"/>
      <c r="O386" s="38" t="s">
        <v>20447</v>
      </c>
    </row>
    <row r="387" spans="1:15" s="4" customFormat="1" ht="120" customHeight="1" x14ac:dyDescent="0.3">
      <c r="A387" s="242">
        <v>371</v>
      </c>
      <c r="B387" s="2" t="s">
        <v>22534</v>
      </c>
      <c r="C387" s="2" t="s">
        <v>12661</v>
      </c>
      <c r="D387" s="207"/>
      <c r="E387" s="6">
        <v>505.7</v>
      </c>
      <c r="F387" s="244">
        <v>1033924.48</v>
      </c>
      <c r="G387" s="244">
        <v>306517.36</v>
      </c>
      <c r="H387" s="6"/>
      <c r="I387" s="3">
        <v>40721</v>
      </c>
      <c r="J387" s="242" t="s">
        <v>12022</v>
      </c>
      <c r="K387" s="242"/>
      <c r="L387" s="66"/>
      <c r="M387" s="201" t="s">
        <v>12550</v>
      </c>
      <c r="N387" s="242" t="s">
        <v>23853</v>
      </c>
      <c r="O387" s="41"/>
    </row>
    <row r="388" spans="1:15" s="4" customFormat="1" ht="72" customHeight="1" x14ac:dyDescent="0.3">
      <c r="A388" s="242">
        <v>372</v>
      </c>
      <c r="B388" s="242" t="s">
        <v>22535</v>
      </c>
      <c r="C388" s="242" t="s">
        <v>12661</v>
      </c>
      <c r="D388" s="207"/>
      <c r="E388" s="6">
        <v>266.7</v>
      </c>
      <c r="F388" s="244">
        <v>545279.18999999994</v>
      </c>
      <c r="G388" s="242">
        <v>161653.56</v>
      </c>
      <c r="H388" s="6"/>
      <c r="I388" s="243">
        <v>40721</v>
      </c>
      <c r="J388" s="2" t="s">
        <v>12022</v>
      </c>
      <c r="K388" s="243"/>
      <c r="L388" s="66"/>
      <c r="M388" s="201" t="s">
        <v>12550</v>
      </c>
      <c r="N388" s="242" t="s">
        <v>23854</v>
      </c>
      <c r="O388" s="38"/>
    </row>
    <row r="389" spans="1:15" s="4" customFormat="1" ht="72" customHeight="1" x14ac:dyDescent="0.3">
      <c r="A389" s="2">
        <v>373</v>
      </c>
      <c r="B389" s="242" t="s">
        <v>12450</v>
      </c>
      <c r="C389" s="242" t="s">
        <v>12661</v>
      </c>
      <c r="D389" s="207"/>
      <c r="E389" s="6">
        <v>107.6</v>
      </c>
      <c r="F389" s="244">
        <v>160002.28</v>
      </c>
      <c r="G389" s="244">
        <v>10980.27</v>
      </c>
      <c r="H389" s="6"/>
      <c r="I389" s="243" t="s">
        <v>205</v>
      </c>
      <c r="J389" s="242" t="s">
        <v>206</v>
      </c>
      <c r="K389" s="243">
        <v>42884</v>
      </c>
      <c r="L389" s="66" t="s">
        <v>18593</v>
      </c>
      <c r="M389" s="201" t="s">
        <v>12550</v>
      </c>
      <c r="N389" s="242"/>
      <c r="O389" s="38" t="s">
        <v>18883</v>
      </c>
    </row>
    <row r="390" spans="1:15" s="4" customFormat="1" ht="84" customHeight="1" x14ac:dyDescent="0.3">
      <c r="A390" s="242">
        <v>374</v>
      </c>
      <c r="B390" s="242" t="s">
        <v>21046</v>
      </c>
      <c r="C390" s="242" t="s">
        <v>12662</v>
      </c>
      <c r="D390" s="85" t="s">
        <v>21047</v>
      </c>
      <c r="E390" s="6">
        <v>39.9</v>
      </c>
      <c r="F390" s="244">
        <v>795629.54</v>
      </c>
      <c r="G390" s="244">
        <v>565996.80000000005</v>
      </c>
      <c r="H390" s="43">
        <v>815784.63</v>
      </c>
      <c r="I390" s="3">
        <v>35727</v>
      </c>
      <c r="J390" s="242" t="s">
        <v>22075</v>
      </c>
      <c r="K390" s="242"/>
      <c r="L390" s="66"/>
      <c r="M390" s="201" t="s">
        <v>12550</v>
      </c>
      <c r="N390" s="242"/>
      <c r="O390" s="38"/>
    </row>
    <row r="391" spans="1:15" s="4" customFormat="1" ht="72" customHeight="1" x14ac:dyDescent="0.3">
      <c r="A391" s="2">
        <v>375</v>
      </c>
      <c r="B391" s="242" t="s">
        <v>11795</v>
      </c>
      <c r="C391" s="242" t="s">
        <v>12315</v>
      </c>
      <c r="D391" s="207"/>
      <c r="E391" s="33">
        <v>282</v>
      </c>
      <c r="F391" s="244">
        <v>34309.050000000003</v>
      </c>
      <c r="G391" s="244">
        <v>19673.439999999999</v>
      </c>
      <c r="H391" s="6"/>
      <c r="I391" s="243">
        <v>41810</v>
      </c>
      <c r="J391" s="242" t="s">
        <v>206</v>
      </c>
      <c r="K391" s="242" t="s">
        <v>20444</v>
      </c>
      <c r="L391" s="66" t="s">
        <v>20445</v>
      </c>
      <c r="M391" s="201" t="s">
        <v>12550</v>
      </c>
      <c r="N391" s="242"/>
      <c r="O391" s="38" t="s">
        <v>20448</v>
      </c>
    </row>
    <row r="392" spans="1:15" s="4" customFormat="1" ht="120" customHeight="1" x14ac:dyDescent="0.3">
      <c r="A392" s="242">
        <v>376</v>
      </c>
      <c r="B392" s="242" t="s">
        <v>12451</v>
      </c>
      <c r="C392" s="242" t="s">
        <v>12452</v>
      </c>
      <c r="D392" s="85" t="s">
        <v>12453</v>
      </c>
      <c r="E392" s="33">
        <v>236.6</v>
      </c>
      <c r="F392" s="244">
        <v>5155431.22</v>
      </c>
      <c r="G392" s="244">
        <v>748065.81</v>
      </c>
      <c r="H392" s="43"/>
      <c r="I392" s="243" t="s">
        <v>12454</v>
      </c>
      <c r="J392" s="242" t="s">
        <v>12455</v>
      </c>
      <c r="K392" s="242"/>
      <c r="L392" s="66"/>
      <c r="M392" s="242" t="s">
        <v>14091</v>
      </c>
      <c r="N392" s="242" t="s">
        <v>18196</v>
      </c>
      <c r="O392" s="38"/>
    </row>
    <row r="393" spans="1:15" s="4" customFormat="1" ht="72" customHeight="1" x14ac:dyDescent="0.3">
      <c r="A393" s="242">
        <v>377</v>
      </c>
      <c r="B393" s="242" t="s">
        <v>12456</v>
      </c>
      <c r="C393" s="242" t="s">
        <v>22541</v>
      </c>
      <c r="D393" s="85" t="s">
        <v>12457</v>
      </c>
      <c r="E393" s="33">
        <v>32.200000000000003</v>
      </c>
      <c r="F393" s="244"/>
      <c r="G393" s="244"/>
      <c r="H393" s="43">
        <v>516122.77</v>
      </c>
      <c r="I393" s="3" t="s">
        <v>12458</v>
      </c>
      <c r="J393" s="242" t="s">
        <v>22542</v>
      </c>
      <c r="K393" s="242"/>
      <c r="L393" s="66"/>
      <c r="M393" s="201" t="s">
        <v>12550</v>
      </c>
      <c r="N393" s="242"/>
      <c r="O393" s="38"/>
    </row>
    <row r="394" spans="1:15" s="4" customFormat="1" ht="178.95" customHeight="1" x14ac:dyDescent="0.3">
      <c r="A394" s="242">
        <v>378</v>
      </c>
      <c r="B394" s="242" t="s">
        <v>12459</v>
      </c>
      <c r="C394" s="242" t="s">
        <v>18455</v>
      </c>
      <c r="D394" s="85" t="s">
        <v>19578</v>
      </c>
      <c r="E394" s="33">
        <v>462.9</v>
      </c>
      <c r="F394" s="25">
        <v>117006.52</v>
      </c>
      <c r="G394" s="25">
        <v>38854.269999999997</v>
      </c>
      <c r="H394" s="43">
        <v>4650969.2300000004</v>
      </c>
      <c r="I394" s="243">
        <v>38966</v>
      </c>
      <c r="J394" s="242" t="s">
        <v>21162</v>
      </c>
      <c r="K394" s="242"/>
      <c r="L394" s="66"/>
      <c r="M394" s="201" t="s">
        <v>12550</v>
      </c>
      <c r="N394" s="242" t="s">
        <v>23839</v>
      </c>
      <c r="O394" s="38"/>
    </row>
    <row r="395" spans="1:15" s="4" customFormat="1" ht="60" customHeight="1" x14ac:dyDescent="0.3">
      <c r="A395" s="242">
        <v>379</v>
      </c>
      <c r="B395" s="242" t="s">
        <v>12460</v>
      </c>
      <c r="C395" s="242" t="s">
        <v>12857</v>
      </c>
      <c r="D395" s="85" t="s">
        <v>12461</v>
      </c>
      <c r="E395" s="33">
        <v>2290</v>
      </c>
      <c r="F395" s="122">
        <v>1215738.1000000001</v>
      </c>
      <c r="G395" s="244"/>
      <c r="H395" s="122">
        <v>1215738.1000000001</v>
      </c>
      <c r="I395" s="243" t="s">
        <v>12462</v>
      </c>
      <c r="J395" s="242" t="s">
        <v>12463</v>
      </c>
      <c r="K395" s="242"/>
      <c r="L395" s="66"/>
      <c r="M395" s="242" t="s">
        <v>15722</v>
      </c>
      <c r="N395" s="6"/>
      <c r="O395" s="245" t="s">
        <v>11937</v>
      </c>
    </row>
    <row r="396" spans="1:15" s="4" customFormat="1" ht="72" customHeight="1" x14ac:dyDescent="0.3">
      <c r="A396" s="2">
        <v>380</v>
      </c>
      <c r="B396" s="242" t="s">
        <v>19660</v>
      </c>
      <c r="C396" s="242" t="s">
        <v>14563</v>
      </c>
      <c r="D396" s="207"/>
      <c r="E396" s="33"/>
      <c r="F396" s="244"/>
      <c r="G396" s="244"/>
      <c r="H396" s="6"/>
      <c r="I396" s="243" t="s">
        <v>12464</v>
      </c>
      <c r="J396" s="242" t="s">
        <v>12465</v>
      </c>
      <c r="K396" s="242"/>
      <c r="L396" s="66"/>
      <c r="M396" s="201" t="s">
        <v>12550</v>
      </c>
      <c r="N396" s="23"/>
      <c r="O396" s="38" t="s">
        <v>19623</v>
      </c>
    </row>
    <row r="397" spans="1:15" s="4" customFormat="1" ht="108" customHeight="1" x14ac:dyDescent="0.3">
      <c r="A397" s="242" t="s">
        <v>16915</v>
      </c>
      <c r="B397" s="242" t="s">
        <v>16916</v>
      </c>
      <c r="C397" s="242" t="s">
        <v>16917</v>
      </c>
      <c r="D397" s="85" t="s">
        <v>16918</v>
      </c>
      <c r="E397" s="33"/>
      <c r="F397" s="244">
        <v>2688852</v>
      </c>
      <c r="G397" s="244"/>
      <c r="H397" s="43"/>
      <c r="I397" s="3" t="s">
        <v>12464</v>
      </c>
      <c r="J397" s="242" t="s">
        <v>19061</v>
      </c>
      <c r="K397" s="242"/>
      <c r="L397" s="66"/>
      <c r="M397" s="200" t="s">
        <v>12550</v>
      </c>
      <c r="N397" s="226" t="s">
        <v>20727</v>
      </c>
      <c r="O397" s="38"/>
    </row>
    <row r="398" spans="1:15" s="4" customFormat="1" ht="98.4" customHeight="1" x14ac:dyDescent="0.3">
      <c r="A398" s="242" t="s">
        <v>17210</v>
      </c>
      <c r="B398" s="242" t="s">
        <v>16942</v>
      </c>
      <c r="C398" s="242" t="s">
        <v>17314</v>
      </c>
      <c r="D398" s="85" t="s">
        <v>16943</v>
      </c>
      <c r="E398" s="33"/>
      <c r="F398" s="244">
        <v>2165280</v>
      </c>
      <c r="G398" s="244"/>
      <c r="H398" s="43"/>
      <c r="I398" s="243" t="s">
        <v>12464</v>
      </c>
      <c r="J398" s="242" t="s">
        <v>19064</v>
      </c>
      <c r="K398" s="242"/>
      <c r="L398" s="66"/>
      <c r="M398" s="200" t="s">
        <v>12550</v>
      </c>
      <c r="N398" s="226" t="s">
        <v>20727</v>
      </c>
      <c r="O398" s="38"/>
    </row>
    <row r="399" spans="1:15" s="4" customFormat="1" ht="84.6" customHeight="1" x14ac:dyDescent="0.3">
      <c r="A399" s="242" t="s">
        <v>18124</v>
      </c>
      <c r="B399" s="242" t="s">
        <v>17877</v>
      </c>
      <c r="C399" s="242" t="s">
        <v>17878</v>
      </c>
      <c r="D399" s="85" t="s">
        <v>17879</v>
      </c>
      <c r="E399" s="33"/>
      <c r="F399" s="244">
        <v>1018953</v>
      </c>
      <c r="G399" s="244"/>
      <c r="H399" s="43"/>
      <c r="I399" s="243" t="s">
        <v>12464</v>
      </c>
      <c r="J399" s="242" t="s">
        <v>19060</v>
      </c>
      <c r="K399" s="242"/>
      <c r="L399" s="66"/>
      <c r="M399" s="200" t="s">
        <v>12550</v>
      </c>
      <c r="N399" s="226" t="s">
        <v>20727</v>
      </c>
      <c r="O399" s="38"/>
    </row>
    <row r="400" spans="1:15" s="4" customFormat="1" ht="87.6" customHeight="1" x14ac:dyDescent="0.3">
      <c r="A400" s="242" t="s">
        <v>20646</v>
      </c>
      <c r="B400" s="2" t="s">
        <v>20647</v>
      </c>
      <c r="C400" s="2" t="s">
        <v>20648</v>
      </c>
      <c r="D400" s="207"/>
      <c r="E400" s="33"/>
      <c r="F400" s="244"/>
      <c r="G400" s="244"/>
      <c r="H400" s="6"/>
      <c r="I400" s="3">
        <v>35727</v>
      </c>
      <c r="J400" s="242" t="s">
        <v>12011</v>
      </c>
      <c r="K400" s="242"/>
      <c r="L400" s="66"/>
      <c r="M400" s="200" t="s">
        <v>12550</v>
      </c>
      <c r="N400" s="23"/>
      <c r="O400" s="38" t="s">
        <v>19623</v>
      </c>
    </row>
    <row r="401" spans="1:26" s="5" customFormat="1" ht="72" customHeight="1" x14ac:dyDescent="0.3">
      <c r="A401" s="242">
        <v>381</v>
      </c>
      <c r="B401" s="242" t="s">
        <v>16178</v>
      </c>
      <c r="C401" s="242" t="s">
        <v>16179</v>
      </c>
      <c r="D401" s="85" t="s">
        <v>16180</v>
      </c>
      <c r="E401" s="91"/>
      <c r="F401" s="244">
        <v>120688</v>
      </c>
      <c r="G401" s="244"/>
      <c r="H401" s="25"/>
      <c r="I401" s="3" t="s">
        <v>12464</v>
      </c>
      <c r="J401" s="242" t="s">
        <v>16432</v>
      </c>
      <c r="K401" s="242"/>
      <c r="L401" s="66"/>
      <c r="M401" s="201" t="s">
        <v>12550</v>
      </c>
      <c r="N401" s="242" t="s">
        <v>18900</v>
      </c>
      <c r="O401" s="66"/>
    </row>
    <row r="402" spans="1:26" s="217" customFormat="1" ht="72" customHeight="1" x14ac:dyDescent="0.3">
      <c r="A402" s="236">
        <v>382</v>
      </c>
      <c r="B402" s="242" t="s">
        <v>190</v>
      </c>
      <c r="C402" s="242" t="s">
        <v>12858</v>
      </c>
      <c r="D402" s="207"/>
      <c r="E402" s="207"/>
      <c r="F402" s="242">
        <v>44750</v>
      </c>
      <c r="G402" s="242">
        <v>27491</v>
      </c>
      <c r="H402" s="207"/>
      <c r="I402" s="243">
        <v>39461</v>
      </c>
      <c r="J402" s="242" t="s">
        <v>191</v>
      </c>
      <c r="K402" s="242"/>
      <c r="L402" s="66"/>
      <c r="M402" s="201" t="s">
        <v>12550</v>
      </c>
      <c r="N402" s="242"/>
      <c r="O402" s="66"/>
      <c r="P402" s="5"/>
      <c r="Q402" s="67"/>
      <c r="R402" s="67"/>
      <c r="S402" s="67"/>
      <c r="T402" s="67"/>
      <c r="U402" s="67"/>
      <c r="V402" s="67"/>
      <c r="W402" s="67"/>
      <c r="X402" s="67"/>
      <c r="Y402" s="67"/>
      <c r="Z402" s="67"/>
    </row>
    <row r="403" spans="1:26" ht="72" customHeight="1" x14ac:dyDescent="0.3">
      <c r="A403" s="242">
        <v>383</v>
      </c>
      <c r="B403" s="242" t="s">
        <v>133</v>
      </c>
      <c r="C403" s="242" t="s">
        <v>14461</v>
      </c>
      <c r="D403" s="60" t="s">
        <v>12214</v>
      </c>
      <c r="E403" s="242">
        <v>1000</v>
      </c>
      <c r="F403" s="244">
        <v>205180</v>
      </c>
      <c r="G403" s="244"/>
      <c r="H403" s="244">
        <v>205180</v>
      </c>
      <c r="I403" s="243" t="s">
        <v>12215</v>
      </c>
      <c r="J403" s="242" t="s">
        <v>18491</v>
      </c>
      <c r="K403" s="242"/>
      <c r="L403" s="66"/>
      <c r="M403" s="200" t="s">
        <v>12550</v>
      </c>
      <c r="N403" s="207"/>
      <c r="O403" s="245" t="s">
        <v>12039</v>
      </c>
    </row>
    <row r="404" spans="1:26" ht="72" customHeight="1" x14ac:dyDescent="0.3">
      <c r="A404" s="242">
        <v>384</v>
      </c>
      <c r="B404" s="242" t="s">
        <v>133</v>
      </c>
      <c r="C404" s="242" t="s">
        <v>14462</v>
      </c>
      <c r="D404" s="60" t="s">
        <v>12216</v>
      </c>
      <c r="E404" s="242">
        <v>1000</v>
      </c>
      <c r="F404" s="244">
        <v>205180</v>
      </c>
      <c r="G404" s="244"/>
      <c r="H404" s="244">
        <v>205180</v>
      </c>
      <c r="I404" s="243">
        <v>42363</v>
      </c>
      <c r="J404" s="242" t="s">
        <v>18486</v>
      </c>
      <c r="K404" s="242"/>
      <c r="L404" s="66"/>
      <c r="M404" s="200" t="s">
        <v>12550</v>
      </c>
      <c r="N404" s="207"/>
      <c r="O404" s="245" t="s">
        <v>12039</v>
      </c>
    </row>
    <row r="405" spans="1:26" ht="72" customHeight="1" x14ac:dyDescent="0.3">
      <c r="A405" s="242">
        <v>385</v>
      </c>
      <c r="B405" s="242" t="s">
        <v>133</v>
      </c>
      <c r="C405" s="242" t="s">
        <v>12663</v>
      </c>
      <c r="D405" s="60" t="s">
        <v>12328</v>
      </c>
      <c r="E405" s="242">
        <v>600</v>
      </c>
      <c r="F405" s="98">
        <v>121326</v>
      </c>
      <c r="G405" s="244"/>
      <c r="H405" s="244">
        <v>212326</v>
      </c>
      <c r="I405" s="3" t="s">
        <v>12217</v>
      </c>
      <c r="J405" s="242" t="s">
        <v>18485</v>
      </c>
      <c r="K405" s="242"/>
      <c r="L405" s="66"/>
      <c r="M405" s="200" t="s">
        <v>12550</v>
      </c>
      <c r="N405" s="207"/>
      <c r="O405" s="66" t="s">
        <v>12039</v>
      </c>
    </row>
    <row r="406" spans="1:26" ht="72" customHeight="1" x14ac:dyDescent="0.3">
      <c r="A406" s="242">
        <v>386</v>
      </c>
      <c r="B406" s="242" t="s">
        <v>12218</v>
      </c>
      <c r="C406" s="242" t="s">
        <v>14463</v>
      </c>
      <c r="D406" s="60" t="s">
        <v>12219</v>
      </c>
      <c r="E406" s="242">
        <v>1462</v>
      </c>
      <c r="F406" s="244">
        <v>242765.1</v>
      </c>
      <c r="G406" s="244"/>
      <c r="H406" s="244">
        <v>242765.1</v>
      </c>
      <c r="I406" s="3" t="s">
        <v>12217</v>
      </c>
      <c r="J406" s="242" t="s">
        <v>16405</v>
      </c>
      <c r="K406" s="242"/>
      <c r="L406" s="66"/>
      <c r="M406" s="2" t="s">
        <v>15722</v>
      </c>
      <c r="N406" s="207"/>
      <c r="O406" s="66" t="s">
        <v>11937</v>
      </c>
      <c r="Q406" s="164"/>
      <c r="R406" s="164"/>
      <c r="S406" s="164"/>
      <c r="T406" s="164"/>
      <c r="U406" s="164"/>
      <c r="V406" s="164"/>
      <c r="W406" s="164"/>
      <c r="X406" s="164"/>
      <c r="Y406" s="164"/>
      <c r="Z406" s="164"/>
    </row>
    <row r="407" spans="1:26" s="164" customFormat="1" ht="72" customHeight="1" x14ac:dyDescent="0.3">
      <c r="A407" s="242">
        <v>387</v>
      </c>
      <c r="B407" s="242" t="s">
        <v>12220</v>
      </c>
      <c r="C407" s="242" t="s">
        <v>14464</v>
      </c>
      <c r="D407" s="60" t="s">
        <v>12221</v>
      </c>
      <c r="E407" s="242">
        <v>5140</v>
      </c>
      <c r="F407" s="244">
        <v>8400816</v>
      </c>
      <c r="G407" s="244"/>
      <c r="H407" s="244">
        <v>8400816</v>
      </c>
      <c r="I407" s="243" t="s">
        <v>12222</v>
      </c>
      <c r="J407" s="242" t="s">
        <v>16404</v>
      </c>
      <c r="K407" s="242"/>
      <c r="L407" s="66"/>
      <c r="M407" s="242" t="s">
        <v>15722</v>
      </c>
      <c r="N407" s="73"/>
      <c r="O407" s="245" t="s">
        <v>11937</v>
      </c>
      <c r="Q407" s="67"/>
      <c r="R407" s="67"/>
      <c r="S407" s="67"/>
      <c r="T407" s="67"/>
      <c r="U407" s="67"/>
      <c r="V407" s="67"/>
      <c r="W407" s="67"/>
      <c r="X407" s="67"/>
      <c r="Y407" s="67"/>
      <c r="Z407" s="67"/>
    </row>
    <row r="408" spans="1:26" ht="84" customHeight="1" x14ac:dyDescent="0.3">
      <c r="A408" s="242">
        <v>388</v>
      </c>
      <c r="B408" s="242" t="s">
        <v>12223</v>
      </c>
      <c r="C408" s="242" t="s">
        <v>14465</v>
      </c>
      <c r="D408" s="60" t="s">
        <v>12224</v>
      </c>
      <c r="E408" s="242">
        <v>28390</v>
      </c>
      <c r="F408" s="244">
        <v>2911110.6</v>
      </c>
      <c r="G408" s="244"/>
      <c r="H408" s="244">
        <v>2991110.6</v>
      </c>
      <c r="I408" s="243" t="s">
        <v>12222</v>
      </c>
      <c r="J408" s="242" t="s">
        <v>15726</v>
      </c>
      <c r="K408" s="242"/>
      <c r="L408" s="66"/>
      <c r="M408" s="2" t="s">
        <v>15722</v>
      </c>
      <c r="N408" s="207"/>
      <c r="O408" s="66" t="s">
        <v>11937</v>
      </c>
    </row>
    <row r="409" spans="1:26" ht="144" customHeight="1" x14ac:dyDescent="0.3">
      <c r="A409" s="242">
        <v>389</v>
      </c>
      <c r="B409" s="242" t="s">
        <v>19562</v>
      </c>
      <c r="C409" s="242" t="s">
        <v>19563</v>
      </c>
      <c r="D409" s="60" t="s">
        <v>19564</v>
      </c>
      <c r="E409" s="242">
        <v>8000</v>
      </c>
      <c r="F409" s="244">
        <v>1318880</v>
      </c>
      <c r="G409" s="244"/>
      <c r="H409" s="244">
        <v>1318880</v>
      </c>
      <c r="I409" s="243" t="s">
        <v>13903</v>
      </c>
      <c r="J409" s="242" t="s">
        <v>19743</v>
      </c>
      <c r="K409" s="242"/>
      <c r="L409" s="66"/>
      <c r="M409" s="2" t="s">
        <v>15722</v>
      </c>
      <c r="N409" s="207"/>
      <c r="O409" s="66" t="s">
        <v>11937</v>
      </c>
    </row>
    <row r="410" spans="1:26" ht="72" customHeight="1" x14ac:dyDescent="0.3">
      <c r="A410" s="242">
        <v>390</v>
      </c>
      <c r="B410" s="242" t="s">
        <v>12218</v>
      </c>
      <c r="C410" s="242" t="s">
        <v>14466</v>
      </c>
      <c r="D410" s="60" t="s">
        <v>12229</v>
      </c>
      <c r="E410" s="2">
        <v>278</v>
      </c>
      <c r="F410" s="11">
        <v>46161.9</v>
      </c>
      <c r="G410" s="11"/>
      <c r="H410" s="11">
        <v>46161.9</v>
      </c>
      <c r="I410" s="3" t="s">
        <v>12217</v>
      </c>
      <c r="J410" s="2" t="s">
        <v>16403</v>
      </c>
      <c r="K410" s="2"/>
      <c r="L410" s="66"/>
      <c r="M410" s="242" t="s">
        <v>15722</v>
      </c>
      <c r="N410" s="207"/>
      <c r="O410" s="66" t="s">
        <v>11937</v>
      </c>
    </row>
    <row r="411" spans="1:26" ht="84" customHeight="1" x14ac:dyDescent="0.3">
      <c r="A411" s="242">
        <v>391</v>
      </c>
      <c r="B411" s="242" t="s">
        <v>12223</v>
      </c>
      <c r="C411" s="242" t="s">
        <v>14467</v>
      </c>
      <c r="D411" s="60" t="s">
        <v>12230</v>
      </c>
      <c r="E411" s="242">
        <v>10620</v>
      </c>
      <c r="F411" s="244">
        <v>2252926.7999999998</v>
      </c>
      <c r="G411" s="244"/>
      <c r="H411" s="244">
        <v>2252926.7999999998</v>
      </c>
      <c r="I411" s="243" t="s">
        <v>12222</v>
      </c>
      <c r="J411" s="242" t="s">
        <v>15727</v>
      </c>
      <c r="K411" s="242"/>
      <c r="L411" s="66"/>
      <c r="M411" s="242" t="s">
        <v>15722</v>
      </c>
      <c r="N411" s="207"/>
      <c r="O411" s="245" t="s">
        <v>11937</v>
      </c>
    </row>
    <row r="412" spans="1:26" ht="84" customHeight="1" x14ac:dyDescent="0.3">
      <c r="A412" s="242">
        <v>392</v>
      </c>
      <c r="B412" s="242" t="s">
        <v>15724</v>
      </c>
      <c r="C412" s="242" t="s">
        <v>14465</v>
      </c>
      <c r="D412" s="60" t="s">
        <v>12231</v>
      </c>
      <c r="E412" s="2">
        <v>19900</v>
      </c>
      <c r="F412" s="11">
        <v>2040546</v>
      </c>
      <c r="G412" s="11"/>
      <c r="H412" s="11">
        <v>2040546</v>
      </c>
      <c r="I412" s="3" t="s">
        <v>12222</v>
      </c>
      <c r="J412" s="2" t="s">
        <v>15723</v>
      </c>
      <c r="K412" s="2"/>
      <c r="L412" s="66"/>
      <c r="M412" s="242" t="s">
        <v>15722</v>
      </c>
      <c r="N412" s="207"/>
      <c r="O412" s="66" t="s">
        <v>11937</v>
      </c>
    </row>
    <row r="413" spans="1:26" ht="84" customHeight="1" x14ac:dyDescent="0.3">
      <c r="A413" s="242">
        <v>393</v>
      </c>
      <c r="B413" s="242" t="s">
        <v>12223</v>
      </c>
      <c r="C413" s="242" t="s">
        <v>14465</v>
      </c>
      <c r="D413" s="60" t="s">
        <v>12232</v>
      </c>
      <c r="E413" s="2">
        <v>14920</v>
      </c>
      <c r="F413" s="11">
        <v>1529896.8</v>
      </c>
      <c r="G413" s="11"/>
      <c r="H413" s="11">
        <v>1529896.8</v>
      </c>
      <c r="I413" s="3" t="s">
        <v>12222</v>
      </c>
      <c r="J413" s="2" t="s">
        <v>15725</v>
      </c>
      <c r="K413" s="2"/>
      <c r="L413" s="66"/>
      <c r="M413" s="242" t="s">
        <v>15722</v>
      </c>
      <c r="N413" s="207"/>
      <c r="O413" s="66" t="s">
        <v>11937</v>
      </c>
    </row>
    <row r="414" spans="1:26" ht="84" customHeight="1" x14ac:dyDescent="0.3">
      <c r="A414" s="242">
        <v>394</v>
      </c>
      <c r="B414" s="242" t="s">
        <v>12223</v>
      </c>
      <c r="C414" s="242" t="s">
        <v>14468</v>
      </c>
      <c r="D414" s="60" t="s">
        <v>12233</v>
      </c>
      <c r="E414" s="242">
        <v>10580</v>
      </c>
      <c r="F414" s="244">
        <v>1006263.8</v>
      </c>
      <c r="G414" s="244"/>
      <c r="H414" s="244">
        <v>1006263.8</v>
      </c>
      <c r="I414" s="3" t="s">
        <v>12222</v>
      </c>
      <c r="J414" s="242" t="s">
        <v>15721</v>
      </c>
      <c r="K414" s="242"/>
      <c r="L414" s="66"/>
      <c r="M414" s="242" t="s">
        <v>15722</v>
      </c>
      <c r="N414" s="207"/>
      <c r="O414" s="66" t="s">
        <v>11937</v>
      </c>
    </row>
    <row r="415" spans="1:26" ht="72" customHeight="1" x14ac:dyDescent="0.3">
      <c r="A415" s="242">
        <v>395</v>
      </c>
      <c r="B415" s="242" t="s">
        <v>12234</v>
      </c>
      <c r="C415" s="242" t="s">
        <v>14469</v>
      </c>
      <c r="D415" s="60" t="s">
        <v>12235</v>
      </c>
      <c r="E415" s="242">
        <v>29000</v>
      </c>
      <c r="F415" s="244">
        <v>2973660</v>
      </c>
      <c r="G415" s="244"/>
      <c r="H415" s="244">
        <v>2973660</v>
      </c>
      <c r="I415" s="243" t="s">
        <v>12222</v>
      </c>
      <c r="J415" s="242" t="s">
        <v>15720</v>
      </c>
      <c r="K415" s="242"/>
      <c r="L415" s="66"/>
      <c r="M415" s="242" t="s">
        <v>15722</v>
      </c>
      <c r="N415" s="207"/>
      <c r="O415" s="245" t="s">
        <v>11937</v>
      </c>
    </row>
    <row r="416" spans="1:26" ht="72" customHeight="1" x14ac:dyDescent="0.3">
      <c r="A416" s="242">
        <v>396</v>
      </c>
      <c r="B416" s="242" t="s">
        <v>97</v>
      </c>
      <c r="C416" s="242" t="s">
        <v>14470</v>
      </c>
      <c r="D416" s="60" t="s">
        <v>12329</v>
      </c>
      <c r="E416" s="242">
        <v>800</v>
      </c>
      <c r="F416" s="244">
        <v>158384</v>
      </c>
      <c r="G416" s="244"/>
      <c r="H416" s="244">
        <v>158384</v>
      </c>
      <c r="I416" s="243">
        <v>42355</v>
      </c>
      <c r="J416" s="242" t="s">
        <v>18492</v>
      </c>
      <c r="K416" s="242"/>
      <c r="L416" s="66"/>
      <c r="M416" s="200" t="s">
        <v>12550</v>
      </c>
      <c r="N416" s="207"/>
      <c r="O416" s="245" t="s">
        <v>12039</v>
      </c>
    </row>
    <row r="417" spans="1:15" ht="91.2" customHeight="1" x14ac:dyDescent="0.3">
      <c r="A417" s="242">
        <v>397</v>
      </c>
      <c r="B417" s="245" t="s">
        <v>12037</v>
      </c>
      <c r="C417" s="245" t="s">
        <v>12852</v>
      </c>
      <c r="D417" s="85" t="s">
        <v>12330</v>
      </c>
      <c r="E417" s="207">
        <v>15520</v>
      </c>
      <c r="F417" s="25"/>
      <c r="G417" s="207"/>
      <c r="H417" s="207"/>
      <c r="I417" s="26">
        <v>42354</v>
      </c>
      <c r="J417" s="66" t="s">
        <v>18190</v>
      </c>
      <c r="K417" s="207" t="s">
        <v>20225</v>
      </c>
      <c r="L417" s="66" t="s">
        <v>20226</v>
      </c>
      <c r="M417" s="242" t="s">
        <v>15722</v>
      </c>
      <c r="N417" s="207"/>
      <c r="O417" s="66" t="s">
        <v>11937</v>
      </c>
    </row>
    <row r="418" spans="1:15" ht="187.2" customHeight="1" x14ac:dyDescent="0.3">
      <c r="A418" s="242">
        <v>398</v>
      </c>
      <c r="B418" s="242" t="s">
        <v>15718</v>
      </c>
      <c r="C418" s="242" t="s">
        <v>12664</v>
      </c>
      <c r="D418" s="60" t="s">
        <v>12331</v>
      </c>
      <c r="E418" s="2">
        <v>13000</v>
      </c>
      <c r="F418" s="11">
        <v>2130830</v>
      </c>
      <c r="G418" s="11"/>
      <c r="H418" s="11">
        <v>2130830</v>
      </c>
      <c r="I418" s="3" t="s">
        <v>12332</v>
      </c>
      <c r="J418" s="2" t="s">
        <v>15719</v>
      </c>
      <c r="K418" s="2"/>
      <c r="L418" s="66"/>
      <c r="M418" s="242" t="s">
        <v>15722</v>
      </c>
      <c r="N418" s="207"/>
      <c r="O418" s="66" t="s">
        <v>11937</v>
      </c>
    </row>
    <row r="419" spans="1:15" ht="72" customHeight="1" x14ac:dyDescent="0.3">
      <c r="A419" s="242">
        <v>399</v>
      </c>
      <c r="B419" s="242" t="s">
        <v>97</v>
      </c>
      <c r="C419" s="242" t="s">
        <v>12333</v>
      </c>
      <c r="D419" s="60" t="s">
        <v>12334</v>
      </c>
      <c r="E419" s="2">
        <v>1000</v>
      </c>
      <c r="F419" s="11">
        <v>196950</v>
      </c>
      <c r="G419" s="11"/>
      <c r="H419" s="11">
        <v>196950</v>
      </c>
      <c r="I419" s="3">
        <v>42318</v>
      </c>
      <c r="J419" s="2" t="s">
        <v>18488</v>
      </c>
      <c r="K419" s="2"/>
      <c r="L419" s="66"/>
      <c r="M419" s="200" t="s">
        <v>12550</v>
      </c>
      <c r="N419" s="207"/>
      <c r="O419" s="66" t="s">
        <v>12039</v>
      </c>
    </row>
    <row r="420" spans="1:15" ht="84" customHeight="1" x14ac:dyDescent="0.3">
      <c r="A420" s="2">
        <v>400</v>
      </c>
      <c r="B420" s="34" t="s">
        <v>12466</v>
      </c>
      <c r="C420" s="34" t="s">
        <v>12859</v>
      </c>
      <c r="D420" s="88"/>
      <c r="E420" s="245">
        <v>96.7</v>
      </c>
      <c r="F420" s="35">
        <v>118509.99</v>
      </c>
      <c r="G420" s="35">
        <v>37923.230000000003</v>
      </c>
      <c r="H420" s="207"/>
      <c r="I420" s="207" t="s">
        <v>12545</v>
      </c>
      <c r="J420" s="245" t="s">
        <v>12546</v>
      </c>
      <c r="K420" s="207"/>
      <c r="L420" s="66"/>
      <c r="M420" s="201" t="s">
        <v>12550</v>
      </c>
      <c r="N420" s="94"/>
      <c r="O420" s="38" t="s">
        <v>23448</v>
      </c>
    </row>
    <row r="421" spans="1:15" ht="84" customHeight="1" x14ac:dyDescent="0.3">
      <c r="A421" s="2">
        <v>401</v>
      </c>
      <c r="B421" s="34" t="s">
        <v>12467</v>
      </c>
      <c r="C421" s="34" t="s">
        <v>12860</v>
      </c>
      <c r="D421" s="88"/>
      <c r="E421" s="245">
        <v>63.7</v>
      </c>
      <c r="F421" s="35">
        <v>67751.520000000004</v>
      </c>
      <c r="G421" s="35">
        <v>16260.35</v>
      </c>
      <c r="H421" s="207"/>
      <c r="I421" s="207" t="s">
        <v>12545</v>
      </c>
      <c r="J421" s="245" t="s">
        <v>12546</v>
      </c>
      <c r="K421" s="207"/>
      <c r="L421" s="66"/>
      <c r="M421" s="201" t="s">
        <v>12550</v>
      </c>
      <c r="N421" s="207"/>
      <c r="O421" s="38"/>
    </row>
    <row r="422" spans="1:15" ht="84" customHeight="1" x14ac:dyDescent="0.3">
      <c r="A422" s="2">
        <v>402</v>
      </c>
      <c r="B422" s="34" t="s">
        <v>12467</v>
      </c>
      <c r="C422" s="34" t="s">
        <v>12861</v>
      </c>
      <c r="D422" s="88"/>
      <c r="E422" s="245">
        <v>67.8</v>
      </c>
      <c r="F422" s="35">
        <v>2154480.6</v>
      </c>
      <c r="G422" s="35">
        <v>5745.3</v>
      </c>
      <c r="H422" s="207"/>
      <c r="I422" s="207" t="s">
        <v>12545</v>
      </c>
      <c r="J422" s="66" t="s">
        <v>12546</v>
      </c>
      <c r="K422" s="207"/>
      <c r="L422" s="66"/>
      <c r="M422" s="201" t="s">
        <v>12550</v>
      </c>
      <c r="N422" s="207"/>
      <c r="O422" s="38"/>
    </row>
    <row r="423" spans="1:15" ht="84" customHeight="1" x14ac:dyDescent="0.3">
      <c r="A423" s="242">
        <v>403</v>
      </c>
      <c r="B423" s="34" t="s">
        <v>12472</v>
      </c>
      <c r="C423" s="34" t="s">
        <v>12862</v>
      </c>
      <c r="D423" s="88" t="s">
        <v>12497</v>
      </c>
      <c r="E423" s="245">
        <v>54.3</v>
      </c>
      <c r="F423" s="35">
        <v>2125048</v>
      </c>
      <c r="G423" s="35" t="s">
        <v>14</v>
      </c>
      <c r="H423" s="25"/>
      <c r="I423" s="207" t="s">
        <v>12545</v>
      </c>
      <c r="J423" s="66" t="s">
        <v>12546</v>
      </c>
      <c r="K423" s="207"/>
      <c r="L423" s="66"/>
      <c r="M423" s="201" t="s">
        <v>12550</v>
      </c>
      <c r="N423" s="207"/>
      <c r="O423" s="38"/>
    </row>
    <row r="424" spans="1:15" ht="84" customHeight="1" x14ac:dyDescent="0.3">
      <c r="A424" s="242">
        <v>404</v>
      </c>
      <c r="B424" s="34" t="s">
        <v>12470</v>
      </c>
      <c r="C424" s="34" t="s">
        <v>12665</v>
      </c>
      <c r="D424" s="88" t="s">
        <v>12498</v>
      </c>
      <c r="E424" s="245">
        <v>37.1</v>
      </c>
      <c r="F424" s="35">
        <v>1042993.4</v>
      </c>
      <c r="G424" s="35" t="s">
        <v>14</v>
      </c>
      <c r="H424" s="25"/>
      <c r="I424" s="207" t="s">
        <v>12545</v>
      </c>
      <c r="J424" s="245" t="s">
        <v>12546</v>
      </c>
      <c r="K424" s="207"/>
      <c r="L424" s="66"/>
      <c r="M424" s="201" t="s">
        <v>12550</v>
      </c>
      <c r="N424" s="207"/>
      <c r="O424" s="38"/>
    </row>
    <row r="425" spans="1:15" ht="84" customHeight="1" x14ac:dyDescent="0.3">
      <c r="A425" s="2">
        <v>405</v>
      </c>
      <c r="B425" s="34" t="s">
        <v>12472</v>
      </c>
      <c r="C425" s="34" t="s">
        <v>12863</v>
      </c>
      <c r="D425" s="88" t="s">
        <v>12499</v>
      </c>
      <c r="E425" s="245">
        <v>43.2</v>
      </c>
      <c r="F425" s="35">
        <v>1690646</v>
      </c>
      <c r="G425" s="35" t="s">
        <v>14</v>
      </c>
      <c r="H425" s="25"/>
      <c r="I425" s="207" t="s">
        <v>12545</v>
      </c>
      <c r="J425" s="66" t="s">
        <v>12546</v>
      </c>
      <c r="K425" s="207"/>
      <c r="L425" s="66"/>
      <c r="M425" s="201" t="s">
        <v>12550</v>
      </c>
      <c r="N425" s="207"/>
      <c r="O425" s="38"/>
    </row>
    <row r="426" spans="1:15" ht="84" customHeight="1" x14ac:dyDescent="0.3">
      <c r="A426" s="2">
        <v>406</v>
      </c>
      <c r="B426" s="34" t="s">
        <v>12472</v>
      </c>
      <c r="C426" s="34" t="s">
        <v>12864</v>
      </c>
      <c r="D426" s="88" t="s">
        <v>12500</v>
      </c>
      <c r="E426" s="245">
        <v>56.7</v>
      </c>
      <c r="F426" s="35">
        <v>2218973</v>
      </c>
      <c r="G426" s="35" t="s">
        <v>14</v>
      </c>
      <c r="H426" s="25"/>
      <c r="I426" s="207" t="s">
        <v>12545</v>
      </c>
      <c r="J426" s="245" t="s">
        <v>12546</v>
      </c>
      <c r="K426" s="207"/>
      <c r="L426" s="66"/>
      <c r="M426" s="201" t="s">
        <v>12550</v>
      </c>
      <c r="N426" s="207"/>
      <c r="O426" s="38"/>
    </row>
    <row r="427" spans="1:15" ht="84" customHeight="1" x14ac:dyDescent="0.3">
      <c r="A427" s="2">
        <v>407</v>
      </c>
      <c r="B427" s="34" t="s">
        <v>12472</v>
      </c>
      <c r="C427" s="34" t="s">
        <v>12865</v>
      </c>
      <c r="D427" s="88" t="s">
        <v>12501</v>
      </c>
      <c r="E427" s="245">
        <v>54.6</v>
      </c>
      <c r="F427" s="35">
        <v>2136790</v>
      </c>
      <c r="G427" s="35" t="s">
        <v>14</v>
      </c>
      <c r="H427" s="25"/>
      <c r="I427" s="207" t="s">
        <v>12545</v>
      </c>
      <c r="J427" s="245" t="s">
        <v>12546</v>
      </c>
      <c r="K427" s="207"/>
      <c r="L427" s="66"/>
      <c r="M427" s="201" t="s">
        <v>12550</v>
      </c>
      <c r="N427" s="207"/>
      <c r="O427" s="38"/>
    </row>
    <row r="428" spans="1:15" ht="84" customHeight="1" x14ac:dyDescent="0.3">
      <c r="A428" s="2">
        <v>408</v>
      </c>
      <c r="B428" s="34" t="s">
        <v>12472</v>
      </c>
      <c r="C428" s="34" t="s">
        <v>12866</v>
      </c>
      <c r="D428" s="88" t="s">
        <v>12502</v>
      </c>
      <c r="E428" s="245">
        <v>52.6</v>
      </c>
      <c r="F428" s="35">
        <v>2058517</v>
      </c>
      <c r="G428" s="35" t="s">
        <v>14</v>
      </c>
      <c r="H428" s="25"/>
      <c r="I428" s="207" t="s">
        <v>12545</v>
      </c>
      <c r="J428" s="245" t="s">
        <v>12546</v>
      </c>
      <c r="K428" s="207"/>
      <c r="L428" s="66"/>
      <c r="M428" s="201" t="s">
        <v>12550</v>
      </c>
      <c r="N428" s="207"/>
      <c r="O428" s="38"/>
    </row>
    <row r="429" spans="1:15" ht="84" customHeight="1" x14ac:dyDescent="0.3">
      <c r="A429" s="2">
        <v>409</v>
      </c>
      <c r="B429" s="34" t="s">
        <v>12472</v>
      </c>
      <c r="C429" s="34" t="s">
        <v>12867</v>
      </c>
      <c r="D429" s="88" t="s">
        <v>12503</v>
      </c>
      <c r="E429" s="245">
        <v>45</v>
      </c>
      <c r="F429" s="35">
        <v>1761090</v>
      </c>
      <c r="G429" s="35" t="s">
        <v>14</v>
      </c>
      <c r="H429" s="25"/>
      <c r="I429" s="207" t="s">
        <v>12545</v>
      </c>
      <c r="J429" s="245" t="s">
        <v>12546</v>
      </c>
      <c r="K429" s="207"/>
      <c r="L429" s="66"/>
      <c r="M429" s="201" t="s">
        <v>12550</v>
      </c>
      <c r="N429" s="207"/>
      <c r="O429" s="38"/>
    </row>
    <row r="430" spans="1:15" ht="84" customHeight="1" x14ac:dyDescent="0.3">
      <c r="A430" s="2">
        <v>410</v>
      </c>
      <c r="B430" s="34" t="s">
        <v>12467</v>
      </c>
      <c r="C430" s="34" t="s">
        <v>12868</v>
      </c>
      <c r="D430" s="88"/>
      <c r="E430" s="245">
        <v>67.900000000000006</v>
      </c>
      <c r="F430" s="35">
        <f>352807.24/205*E430</f>
        <v>116856.64193170733</v>
      </c>
      <c r="G430" s="35">
        <f>31047.03/205*E430</f>
        <v>10283.382131707318</v>
      </c>
      <c r="H430" s="207"/>
      <c r="I430" s="207" t="s">
        <v>12545</v>
      </c>
      <c r="J430" s="245" t="s">
        <v>12546</v>
      </c>
      <c r="K430" s="207"/>
      <c r="L430" s="66"/>
      <c r="M430" s="201" t="s">
        <v>12550</v>
      </c>
      <c r="N430" s="207"/>
      <c r="O430" s="38" t="s">
        <v>21500</v>
      </c>
    </row>
    <row r="431" spans="1:15" ht="84" customHeight="1" x14ac:dyDescent="0.3">
      <c r="A431" s="242">
        <v>411</v>
      </c>
      <c r="B431" s="34" t="s">
        <v>12467</v>
      </c>
      <c r="C431" s="34" t="s">
        <v>12869</v>
      </c>
      <c r="D431" s="88"/>
      <c r="E431" s="245">
        <v>68.5</v>
      </c>
      <c r="F431" s="35">
        <f>352807.24/205*E431</f>
        <v>117889.24848780489</v>
      </c>
      <c r="G431" s="35">
        <f>31047.03/205*E431</f>
        <v>10374.251487804877</v>
      </c>
      <c r="H431" s="207"/>
      <c r="I431" s="207" t="s">
        <v>12545</v>
      </c>
      <c r="J431" s="66" t="s">
        <v>12546</v>
      </c>
      <c r="K431" s="207"/>
      <c r="L431" s="66"/>
      <c r="M431" s="201" t="s">
        <v>12550</v>
      </c>
      <c r="N431" s="207"/>
      <c r="O431" s="38" t="s">
        <v>21185</v>
      </c>
    </row>
    <row r="432" spans="1:15" ht="84" customHeight="1" x14ac:dyDescent="0.3">
      <c r="A432" s="2">
        <v>412</v>
      </c>
      <c r="B432" s="34" t="s">
        <v>12467</v>
      </c>
      <c r="C432" s="34" t="s">
        <v>12870</v>
      </c>
      <c r="D432" s="88"/>
      <c r="E432" s="245">
        <v>68.599999999999994</v>
      </c>
      <c r="F432" s="35">
        <f>352807.24/205*E432</f>
        <v>118061.3495804878</v>
      </c>
      <c r="G432" s="35">
        <f>31047.03/205*E432</f>
        <v>10389.396380487804</v>
      </c>
      <c r="H432" s="207"/>
      <c r="I432" s="207" t="s">
        <v>12545</v>
      </c>
      <c r="J432" s="245" t="s">
        <v>12546</v>
      </c>
      <c r="K432" s="207"/>
      <c r="L432" s="66"/>
      <c r="M432" s="201" t="s">
        <v>12550</v>
      </c>
      <c r="N432" s="207"/>
      <c r="O432" s="38"/>
    </row>
    <row r="433" spans="1:15" ht="84" customHeight="1" x14ac:dyDescent="0.3">
      <c r="A433" s="2">
        <v>413</v>
      </c>
      <c r="B433" s="34" t="s">
        <v>12467</v>
      </c>
      <c r="C433" s="34" t="s">
        <v>12871</v>
      </c>
      <c r="D433" s="88"/>
      <c r="E433" s="245">
        <v>67.400000000000006</v>
      </c>
      <c r="F433" s="35">
        <f>517880.19/134.7*E433</f>
        <v>259132.32966592434</v>
      </c>
      <c r="G433" s="35">
        <f>87003.94/134.7*E433</f>
        <v>43534.26544914626</v>
      </c>
      <c r="H433" s="207"/>
      <c r="I433" s="207" t="s">
        <v>12545</v>
      </c>
      <c r="J433" s="66" t="s">
        <v>12546</v>
      </c>
      <c r="K433" s="207"/>
      <c r="L433" s="66"/>
      <c r="M433" s="201" t="s">
        <v>12550</v>
      </c>
      <c r="N433" s="207"/>
      <c r="O433" s="38"/>
    </row>
    <row r="434" spans="1:15" ht="84" customHeight="1" x14ac:dyDescent="0.3">
      <c r="A434" s="2">
        <v>414</v>
      </c>
      <c r="B434" s="34" t="s">
        <v>12467</v>
      </c>
      <c r="C434" s="34" t="s">
        <v>12872</v>
      </c>
      <c r="D434" s="88"/>
      <c r="E434" s="245">
        <v>67.3</v>
      </c>
      <c r="F434" s="35">
        <f>517880.19/134.7*E434</f>
        <v>258747.86033407575</v>
      </c>
      <c r="G434" s="35">
        <f>87003.94/134.7*E434</f>
        <v>43469.674550853757</v>
      </c>
      <c r="H434" s="207"/>
      <c r="I434" s="207" t="s">
        <v>12545</v>
      </c>
      <c r="J434" s="66" t="s">
        <v>12546</v>
      </c>
      <c r="K434" s="207"/>
      <c r="L434" s="66"/>
      <c r="M434" s="201" t="s">
        <v>12550</v>
      </c>
      <c r="N434" s="207"/>
      <c r="O434" s="38"/>
    </row>
    <row r="435" spans="1:15" ht="84" customHeight="1" x14ac:dyDescent="0.3">
      <c r="A435" s="242">
        <v>415</v>
      </c>
      <c r="B435" s="34" t="s">
        <v>12467</v>
      </c>
      <c r="C435" s="34" t="s">
        <v>12873</v>
      </c>
      <c r="D435" s="88"/>
      <c r="E435" s="245">
        <v>61.8</v>
      </c>
      <c r="F435" s="35">
        <v>381178.49</v>
      </c>
      <c r="G435" s="35">
        <v>54889.72</v>
      </c>
      <c r="H435" s="207"/>
      <c r="I435" s="207" t="s">
        <v>12545</v>
      </c>
      <c r="J435" s="66" t="s">
        <v>12546</v>
      </c>
      <c r="K435" s="207"/>
      <c r="L435" s="66"/>
      <c r="M435" s="201" t="s">
        <v>12550</v>
      </c>
      <c r="N435" s="207"/>
      <c r="O435" s="38"/>
    </row>
    <row r="436" spans="1:15" ht="84" customHeight="1" x14ac:dyDescent="0.3">
      <c r="A436" s="242">
        <v>416</v>
      </c>
      <c r="B436" s="34" t="s">
        <v>12468</v>
      </c>
      <c r="C436" s="34" t="s">
        <v>12874</v>
      </c>
      <c r="D436" s="88"/>
      <c r="E436" s="245">
        <v>49.1</v>
      </c>
      <c r="F436" s="35">
        <f>81198.07/180.7*E436</f>
        <v>22063.227653569455</v>
      </c>
      <c r="G436" s="35">
        <f>7795.02/180.7*E436</f>
        <v>2118.071289429995</v>
      </c>
      <c r="H436" s="207"/>
      <c r="I436" s="207" t="s">
        <v>12545</v>
      </c>
      <c r="J436" s="66" t="s">
        <v>12546</v>
      </c>
      <c r="K436" s="207"/>
      <c r="L436" s="66"/>
      <c r="M436" s="201" t="s">
        <v>12550</v>
      </c>
      <c r="N436" s="207"/>
      <c r="O436" s="38"/>
    </row>
    <row r="437" spans="1:15" ht="84" customHeight="1" x14ac:dyDescent="0.3">
      <c r="A437" s="242">
        <v>417</v>
      </c>
      <c r="B437" s="34" t="s">
        <v>12467</v>
      </c>
      <c r="C437" s="34" t="s">
        <v>12875</v>
      </c>
      <c r="D437" s="88"/>
      <c r="E437" s="245">
        <v>65.099999999999994</v>
      </c>
      <c r="F437" s="35">
        <f>81198.07/180.7*E437</f>
        <v>29252.874139457668</v>
      </c>
      <c r="G437" s="35">
        <f>7795.02/180.7*E437</f>
        <v>2808.2778195904816</v>
      </c>
      <c r="H437" s="207"/>
      <c r="I437" s="207" t="s">
        <v>12545</v>
      </c>
      <c r="J437" s="66" t="s">
        <v>12546</v>
      </c>
      <c r="K437" s="207"/>
      <c r="L437" s="66"/>
      <c r="M437" s="201" t="s">
        <v>12550</v>
      </c>
      <c r="N437" s="207"/>
      <c r="O437" s="38"/>
    </row>
    <row r="438" spans="1:15" ht="84" customHeight="1" x14ac:dyDescent="0.3">
      <c r="A438" s="2">
        <v>418</v>
      </c>
      <c r="B438" s="34" t="s">
        <v>12467</v>
      </c>
      <c r="C438" s="34" t="s">
        <v>12876</v>
      </c>
      <c r="D438" s="88"/>
      <c r="E438" s="245">
        <v>66.5</v>
      </c>
      <c r="F438" s="35">
        <f>81198.07/180.7*E438</f>
        <v>29881.968206972888</v>
      </c>
      <c r="G438" s="35">
        <f>7795.02/180.7*E438</f>
        <v>2868.6708909795243</v>
      </c>
      <c r="H438" s="207"/>
      <c r="I438" s="207" t="s">
        <v>12545</v>
      </c>
      <c r="J438" s="245" t="s">
        <v>12546</v>
      </c>
      <c r="K438" s="207"/>
      <c r="L438" s="66"/>
      <c r="M438" s="201" t="s">
        <v>12550</v>
      </c>
      <c r="N438" s="207"/>
      <c r="O438" s="38"/>
    </row>
    <row r="439" spans="1:15" ht="84" customHeight="1" x14ac:dyDescent="0.3">
      <c r="A439" s="242">
        <v>419</v>
      </c>
      <c r="B439" s="34" t="s">
        <v>12472</v>
      </c>
      <c r="C439" s="34" t="s">
        <v>12877</v>
      </c>
      <c r="D439" s="88" t="s">
        <v>12504</v>
      </c>
      <c r="E439" s="245">
        <v>50.1</v>
      </c>
      <c r="F439" s="35">
        <v>122245.46</v>
      </c>
      <c r="G439" s="35">
        <v>33250.79</v>
      </c>
      <c r="H439" s="25"/>
      <c r="I439" s="207" t="s">
        <v>12545</v>
      </c>
      <c r="J439" s="66" t="s">
        <v>12546</v>
      </c>
      <c r="K439" s="207"/>
      <c r="L439" s="66"/>
      <c r="M439" s="201" t="s">
        <v>12550</v>
      </c>
      <c r="N439" s="207"/>
      <c r="O439" s="38" t="s">
        <v>21501</v>
      </c>
    </row>
    <row r="440" spans="1:15" ht="72" customHeight="1" x14ac:dyDescent="0.3">
      <c r="A440" s="2">
        <v>420</v>
      </c>
      <c r="B440" s="34" t="s">
        <v>12472</v>
      </c>
      <c r="C440" s="34" t="s">
        <v>12878</v>
      </c>
      <c r="D440" s="88" t="s">
        <v>12505</v>
      </c>
      <c r="E440" s="155">
        <v>40.6</v>
      </c>
      <c r="F440" s="35">
        <v>99065.18</v>
      </c>
      <c r="G440" s="35">
        <v>26945.74</v>
      </c>
      <c r="H440" s="25"/>
      <c r="I440" s="207" t="s">
        <v>12545</v>
      </c>
      <c r="J440" s="66" t="s">
        <v>12546</v>
      </c>
      <c r="K440" s="207"/>
      <c r="L440" s="66"/>
      <c r="M440" s="201" t="s">
        <v>12550</v>
      </c>
      <c r="N440" s="207"/>
      <c r="O440" s="38" t="s">
        <v>21502</v>
      </c>
    </row>
    <row r="441" spans="1:15" ht="72" customHeight="1" x14ac:dyDescent="0.3">
      <c r="A441" s="2">
        <v>421</v>
      </c>
      <c r="B441" s="34" t="s">
        <v>12470</v>
      </c>
      <c r="C441" s="34" t="s">
        <v>12469</v>
      </c>
      <c r="D441" s="88" t="s">
        <v>12506</v>
      </c>
      <c r="E441" s="245">
        <v>29.1</v>
      </c>
      <c r="F441" s="35">
        <v>1138828.5</v>
      </c>
      <c r="G441" s="35" t="s">
        <v>14</v>
      </c>
      <c r="H441" s="25"/>
      <c r="I441" s="207" t="s">
        <v>12545</v>
      </c>
      <c r="J441" s="66" t="s">
        <v>12546</v>
      </c>
      <c r="K441" s="207"/>
      <c r="L441" s="66"/>
      <c r="M441" s="201" t="s">
        <v>12550</v>
      </c>
      <c r="N441" s="245"/>
      <c r="O441" s="38" t="s">
        <v>23684</v>
      </c>
    </row>
    <row r="442" spans="1:15" ht="72" customHeight="1" x14ac:dyDescent="0.3">
      <c r="A442" s="2">
        <v>422</v>
      </c>
      <c r="B442" s="34" t="s">
        <v>12468</v>
      </c>
      <c r="C442" s="34" t="s">
        <v>12879</v>
      </c>
      <c r="D442" s="88"/>
      <c r="E442" s="245">
        <v>44.5</v>
      </c>
      <c r="F442" s="35">
        <f>162923.83/90.8*E442</f>
        <v>79847.031222466961</v>
      </c>
      <c r="G442" s="35">
        <f>46922.04/90.8*E442</f>
        <v>22995.933700440532</v>
      </c>
      <c r="H442" s="207"/>
      <c r="I442" s="207" t="s">
        <v>12545</v>
      </c>
      <c r="J442" s="66" t="s">
        <v>12546</v>
      </c>
      <c r="K442" s="207"/>
      <c r="L442" s="66"/>
      <c r="M442" s="201" t="s">
        <v>12550</v>
      </c>
      <c r="N442" s="207"/>
      <c r="O442" s="38" t="s">
        <v>21503</v>
      </c>
    </row>
    <row r="443" spans="1:15" ht="144" customHeight="1" x14ac:dyDescent="0.3">
      <c r="A443" s="2">
        <v>423</v>
      </c>
      <c r="B443" s="34" t="s">
        <v>12472</v>
      </c>
      <c r="C443" s="34" t="s">
        <v>12880</v>
      </c>
      <c r="D443" s="88" t="s">
        <v>12507</v>
      </c>
      <c r="E443" s="245">
        <v>47.5</v>
      </c>
      <c r="F443" s="35">
        <v>85229.98</v>
      </c>
      <c r="G443" s="35">
        <v>24546.22</v>
      </c>
      <c r="H443" s="207"/>
      <c r="I443" s="207" t="s">
        <v>12545</v>
      </c>
      <c r="J443" s="66" t="s">
        <v>12546</v>
      </c>
      <c r="K443" s="26">
        <v>42633</v>
      </c>
      <c r="L443" s="66" t="s">
        <v>20310</v>
      </c>
      <c r="M443" s="201" t="s">
        <v>12550</v>
      </c>
      <c r="N443" s="207"/>
      <c r="O443" s="38"/>
    </row>
    <row r="444" spans="1:15" ht="72" customHeight="1" x14ac:dyDescent="0.3">
      <c r="A444" s="2">
        <v>424</v>
      </c>
      <c r="B444" s="34" t="s">
        <v>12468</v>
      </c>
      <c r="C444" s="34" t="s">
        <v>12881</v>
      </c>
      <c r="D444" s="88"/>
      <c r="E444" s="245">
        <v>46.3</v>
      </c>
      <c r="F444" s="35">
        <f>162923.83/90.8*E444</f>
        <v>83076.79877753304</v>
      </c>
      <c r="G444" s="35">
        <f>46922.04/90.8*E444</f>
        <v>23926.106299559473</v>
      </c>
      <c r="H444" s="207"/>
      <c r="I444" s="207" t="s">
        <v>12545</v>
      </c>
      <c r="J444" s="66" t="s">
        <v>12546</v>
      </c>
      <c r="K444" s="207"/>
      <c r="L444" s="66"/>
      <c r="M444" s="201" t="s">
        <v>12550</v>
      </c>
      <c r="N444" s="207"/>
      <c r="O444" s="38"/>
    </row>
    <row r="445" spans="1:15" ht="72" customHeight="1" x14ac:dyDescent="0.3">
      <c r="A445" s="2">
        <v>425</v>
      </c>
      <c r="B445" s="34" t="s">
        <v>12468</v>
      </c>
      <c r="C445" s="34" t="s">
        <v>12882</v>
      </c>
      <c r="D445" s="88"/>
      <c r="E445" s="245">
        <v>41.8</v>
      </c>
      <c r="F445" s="35">
        <v>95256.87</v>
      </c>
      <c r="G445" s="35">
        <v>28958.080000000002</v>
      </c>
      <c r="H445" s="207"/>
      <c r="I445" s="207" t="s">
        <v>12545</v>
      </c>
      <c r="J445" s="66" t="s">
        <v>12546</v>
      </c>
      <c r="K445" s="207"/>
      <c r="L445" s="66"/>
      <c r="M445" s="201" t="s">
        <v>12550</v>
      </c>
      <c r="N445" s="207"/>
      <c r="O445" s="38" t="s">
        <v>19864</v>
      </c>
    </row>
    <row r="446" spans="1:15" ht="72" customHeight="1" x14ac:dyDescent="0.3">
      <c r="A446" s="2">
        <v>426</v>
      </c>
      <c r="B446" s="34" t="s">
        <v>12468</v>
      </c>
      <c r="C446" s="34" t="s">
        <v>12883</v>
      </c>
      <c r="D446" s="88"/>
      <c r="E446" s="245">
        <v>58.8</v>
      </c>
      <c r="F446" s="35">
        <f t="shared" ref="F446:F452" si="1">666236.09/335.3*E446</f>
        <v>116834.7214196242</v>
      </c>
      <c r="G446" s="35">
        <f t="shared" ref="G446:G452" si="2">127134.63/335.3*E446</f>
        <v>22295.008183716072</v>
      </c>
      <c r="H446" s="207"/>
      <c r="I446" s="207" t="s">
        <v>12545</v>
      </c>
      <c r="J446" s="66" t="s">
        <v>12546</v>
      </c>
      <c r="K446" s="207"/>
      <c r="L446" s="66"/>
      <c r="M446" s="201" t="s">
        <v>12550</v>
      </c>
      <c r="N446" s="207"/>
      <c r="O446" s="38" t="s">
        <v>19865</v>
      </c>
    </row>
    <row r="447" spans="1:15" ht="72" customHeight="1" x14ac:dyDescent="0.3">
      <c r="A447" s="2">
        <v>427</v>
      </c>
      <c r="B447" s="34" t="s">
        <v>12470</v>
      </c>
      <c r="C447" s="34" t="s">
        <v>12884</v>
      </c>
      <c r="D447" s="88"/>
      <c r="E447" s="245">
        <v>31.6</v>
      </c>
      <c r="F447" s="35">
        <f t="shared" si="1"/>
        <v>62788.727837757229</v>
      </c>
      <c r="G447" s="35">
        <f t="shared" si="2"/>
        <v>11981.671064718163</v>
      </c>
      <c r="H447" s="207"/>
      <c r="I447" s="207" t="s">
        <v>12545</v>
      </c>
      <c r="J447" s="66" t="s">
        <v>12546</v>
      </c>
      <c r="K447" s="207"/>
      <c r="L447" s="66"/>
      <c r="M447" s="201" t="s">
        <v>12550</v>
      </c>
      <c r="N447" s="207"/>
      <c r="O447" s="38" t="s">
        <v>21504</v>
      </c>
    </row>
    <row r="448" spans="1:15" ht="72" customHeight="1" x14ac:dyDescent="0.3">
      <c r="A448" s="2">
        <v>428</v>
      </c>
      <c r="B448" s="34" t="s">
        <v>12468</v>
      </c>
      <c r="C448" s="34" t="s">
        <v>12885</v>
      </c>
      <c r="D448" s="88"/>
      <c r="E448" s="245">
        <v>51.5</v>
      </c>
      <c r="F448" s="35">
        <f t="shared" si="1"/>
        <v>102329.73049507901</v>
      </c>
      <c r="G448" s="35">
        <f t="shared" si="2"/>
        <v>19527.09050104384</v>
      </c>
      <c r="H448" s="207"/>
      <c r="I448" s="207" t="s">
        <v>12545</v>
      </c>
      <c r="J448" s="66" t="s">
        <v>12546</v>
      </c>
      <c r="K448" s="207"/>
      <c r="L448" s="66"/>
      <c r="M448" s="201" t="s">
        <v>12550</v>
      </c>
      <c r="N448" s="207"/>
      <c r="O448" s="38" t="s">
        <v>21505</v>
      </c>
    </row>
    <row r="449" spans="1:15" ht="84" customHeight="1" x14ac:dyDescent="0.3">
      <c r="A449" s="2">
        <v>429</v>
      </c>
      <c r="B449" s="34" t="s">
        <v>12468</v>
      </c>
      <c r="C449" s="34" t="s">
        <v>12886</v>
      </c>
      <c r="D449" s="88"/>
      <c r="E449" s="245">
        <v>50.8</v>
      </c>
      <c r="F449" s="35">
        <f t="shared" si="1"/>
        <v>100938.8409543692</v>
      </c>
      <c r="G449" s="35">
        <f t="shared" si="2"/>
        <v>19261.673736951983</v>
      </c>
      <c r="H449" s="207"/>
      <c r="I449" s="207" t="s">
        <v>12545</v>
      </c>
      <c r="J449" s="66" t="s">
        <v>12546</v>
      </c>
      <c r="K449" s="207"/>
      <c r="L449" s="66"/>
      <c r="M449" s="201" t="s">
        <v>12550</v>
      </c>
      <c r="N449" s="207"/>
      <c r="O449" s="38"/>
    </row>
    <row r="450" spans="1:15" ht="84" customHeight="1" x14ac:dyDescent="0.3">
      <c r="A450" s="2">
        <v>430</v>
      </c>
      <c r="B450" s="34" t="s">
        <v>12468</v>
      </c>
      <c r="C450" s="34" t="s">
        <v>12887</v>
      </c>
      <c r="D450" s="88"/>
      <c r="E450" s="245">
        <v>46.2</v>
      </c>
      <c r="F450" s="35">
        <f t="shared" si="1"/>
        <v>91798.709686847593</v>
      </c>
      <c r="G450" s="35">
        <f t="shared" si="2"/>
        <v>17517.506430062633</v>
      </c>
      <c r="H450" s="207"/>
      <c r="I450" s="207" t="s">
        <v>12545</v>
      </c>
      <c r="J450" s="66" t="s">
        <v>12546</v>
      </c>
      <c r="K450" s="207"/>
      <c r="L450" s="66"/>
      <c r="M450" s="201" t="s">
        <v>12550</v>
      </c>
      <c r="N450" s="207"/>
      <c r="O450" s="38"/>
    </row>
    <row r="451" spans="1:15" ht="84" customHeight="1" x14ac:dyDescent="0.3">
      <c r="A451" s="2">
        <v>431</v>
      </c>
      <c r="B451" s="34" t="s">
        <v>12468</v>
      </c>
      <c r="C451" s="34" t="s">
        <v>12888</v>
      </c>
      <c r="D451" s="88"/>
      <c r="E451" s="245">
        <v>46.2</v>
      </c>
      <c r="F451" s="35">
        <f t="shared" si="1"/>
        <v>91798.709686847593</v>
      </c>
      <c r="G451" s="35">
        <f t="shared" si="2"/>
        <v>17517.506430062633</v>
      </c>
      <c r="H451" s="207"/>
      <c r="I451" s="207" t="s">
        <v>12545</v>
      </c>
      <c r="J451" s="66" t="s">
        <v>12546</v>
      </c>
      <c r="K451" s="207"/>
      <c r="L451" s="66"/>
      <c r="M451" s="201" t="s">
        <v>12550</v>
      </c>
      <c r="N451" s="207"/>
      <c r="O451" s="38"/>
    </row>
    <row r="452" spans="1:15" ht="84" customHeight="1" x14ac:dyDescent="0.3">
      <c r="A452" s="2">
        <v>432</v>
      </c>
      <c r="B452" s="34" t="s">
        <v>12468</v>
      </c>
      <c r="C452" s="34" t="s">
        <v>12889</v>
      </c>
      <c r="D452" s="88"/>
      <c r="E452" s="245">
        <v>50.2</v>
      </c>
      <c r="F452" s="35">
        <f t="shared" si="1"/>
        <v>99746.649919475094</v>
      </c>
      <c r="G452" s="35">
        <f t="shared" si="2"/>
        <v>19034.173653444675</v>
      </c>
      <c r="H452" s="207"/>
      <c r="I452" s="207" t="s">
        <v>12545</v>
      </c>
      <c r="J452" s="66" t="s">
        <v>12546</v>
      </c>
      <c r="K452" s="207"/>
      <c r="L452" s="66"/>
      <c r="M452" s="201" t="s">
        <v>12550</v>
      </c>
      <c r="N452" s="207"/>
      <c r="O452" s="38"/>
    </row>
    <row r="453" spans="1:15" ht="84" customHeight="1" x14ac:dyDescent="0.3">
      <c r="A453" s="2">
        <v>433</v>
      </c>
      <c r="B453" s="34" t="s">
        <v>12472</v>
      </c>
      <c r="C453" s="34" t="s">
        <v>12890</v>
      </c>
      <c r="D453" s="88" t="s">
        <v>12508</v>
      </c>
      <c r="E453" s="245">
        <v>43</v>
      </c>
      <c r="F453" s="35">
        <v>85186.26</v>
      </c>
      <c r="G453" s="35">
        <v>18911.36</v>
      </c>
      <c r="H453" s="25"/>
      <c r="I453" s="207" t="s">
        <v>12545</v>
      </c>
      <c r="J453" s="66" t="s">
        <v>12546</v>
      </c>
      <c r="K453" s="207"/>
      <c r="L453" s="66"/>
      <c r="M453" s="201" t="s">
        <v>12550</v>
      </c>
      <c r="N453" s="207"/>
      <c r="O453" s="38"/>
    </row>
    <row r="454" spans="1:15" ht="84" customHeight="1" x14ac:dyDescent="0.3">
      <c r="A454" s="2">
        <v>434</v>
      </c>
      <c r="B454" s="34" t="s">
        <v>12468</v>
      </c>
      <c r="C454" s="34" t="s">
        <v>12891</v>
      </c>
      <c r="D454" s="88"/>
      <c r="E454" s="245">
        <v>49.4</v>
      </c>
      <c r="F454" s="35">
        <f>260907.8/181.1*E454</f>
        <v>71169.769850911092</v>
      </c>
      <c r="G454" s="35">
        <f>57921.53/181.1*E454</f>
        <v>15799.68847045831</v>
      </c>
      <c r="H454" s="207"/>
      <c r="I454" s="207" t="s">
        <v>12545</v>
      </c>
      <c r="J454" s="66" t="s">
        <v>12546</v>
      </c>
      <c r="K454" s="26">
        <v>42761</v>
      </c>
      <c r="L454" s="66" t="s">
        <v>18029</v>
      </c>
      <c r="M454" s="201" t="s">
        <v>12550</v>
      </c>
      <c r="N454" s="207"/>
      <c r="O454" s="38"/>
    </row>
    <row r="455" spans="1:15" ht="84" customHeight="1" x14ac:dyDescent="0.3">
      <c r="A455" s="2">
        <v>435</v>
      </c>
      <c r="B455" s="34" t="s">
        <v>12468</v>
      </c>
      <c r="C455" s="34" t="s">
        <v>12892</v>
      </c>
      <c r="D455" s="88"/>
      <c r="E455" s="245">
        <v>41.4</v>
      </c>
      <c r="F455" s="35">
        <f>260907.8/181.1*E455</f>
        <v>59644.301049144116</v>
      </c>
      <c r="G455" s="35">
        <f>57921.53/181.1*E455</f>
        <v>13241.034467145224</v>
      </c>
      <c r="H455" s="207"/>
      <c r="I455" s="207" t="s">
        <v>12545</v>
      </c>
      <c r="J455" s="66" t="s">
        <v>12546</v>
      </c>
      <c r="K455" s="207"/>
      <c r="L455" s="66"/>
      <c r="M455" s="201" t="s">
        <v>12550</v>
      </c>
      <c r="N455" s="207"/>
      <c r="O455" s="38"/>
    </row>
    <row r="456" spans="1:15" ht="84" customHeight="1" x14ac:dyDescent="0.3">
      <c r="A456" s="242">
        <v>436</v>
      </c>
      <c r="B456" s="34" t="s">
        <v>12468</v>
      </c>
      <c r="C456" s="34" t="s">
        <v>12893</v>
      </c>
      <c r="D456" s="88"/>
      <c r="E456" s="245">
        <v>48.4</v>
      </c>
      <c r="F456" s="35">
        <f>260907.8/181.1*E456</f>
        <v>69729.086250690219</v>
      </c>
      <c r="G456" s="35">
        <f>57921.53/181.1*E456</f>
        <v>15479.856720044176</v>
      </c>
      <c r="H456" s="207"/>
      <c r="I456" s="207" t="s">
        <v>12545</v>
      </c>
      <c r="J456" s="66" t="s">
        <v>12546</v>
      </c>
      <c r="K456" s="207"/>
      <c r="L456" s="66"/>
      <c r="M456" s="201" t="s">
        <v>12550</v>
      </c>
      <c r="N456" s="207"/>
      <c r="O456" s="38" t="s">
        <v>21506</v>
      </c>
    </row>
    <row r="457" spans="1:15" ht="84" customHeight="1" x14ac:dyDescent="0.3">
      <c r="A457" s="2">
        <v>437</v>
      </c>
      <c r="B457" s="34" t="s">
        <v>12468</v>
      </c>
      <c r="C457" s="34" t="s">
        <v>12894</v>
      </c>
      <c r="D457" s="88"/>
      <c r="E457" s="245">
        <v>41.9</v>
      </c>
      <c r="F457" s="35">
        <f>260907.8/181.1*E457</f>
        <v>60364.642849254553</v>
      </c>
      <c r="G457" s="35">
        <f>57921.53/181.1*E457</f>
        <v>13400.950342352291</v>
      </c>
      <c r="H457" s="207"/>
      <c r="I457" s="207" t="s">
        <v>12545</v>
      </c>
      <c r="J457" s="245" t="s">
        <v>12546</v>
      </c>
      <c r="K457" s="207"/>
      <c r="L457" s="66"/>
      <c r="M457" s="201" t="s">
        <v>12550</v>
      </c>
      <c r="N457" s="207"/>
      <c r="O457" s="38" t="s">
        <v>21507</v>
      </c>
    </row>
    <row r="458" spans="1:15" ht="72" customHeight="1" x14ac:dyDescent="0.3">
      <c r="A458" s="2">
        <v>438</v>
      </c>
      <c r="B458" s="34" t="s">
        <v>12466</v>
      </c>
      <c r="C458" s="34" t="s">
        <v>12895</v>
      </c>
      <c r="D458" s="88"/>
      <c r="E458" s="245">
        <v>89.1</v>
      </c>
      <c r="F458" s="35">
        <v>149460.22</v>
      </c>
      <c r="G458" s="35">
        <v>23913.65</v>
      </c>
      <c r="H458" s="207"/>
      <c r="I458" s="207" t="s">
        <v>12545</v>
      </c>
      <c r="J458" s="245" t="s">
        <v>12546</v>
      </c>
      <c r="K458" s="207"/>
      <c r="L458" s="66"/>
      <c r="M458" s="201" t="s">
        <v>12550</v>
      </c>
      <c r="N458" s="207"/>
      <c r="O458" s="38"/>
    </row>
    <row r="459" spans="1:15" ht="72" customHeight="1" x14ac:dyDescent="0.3">
      <c r="A459" s="2">
        <v>439</v>
      </c>
      <c r="B459" s="34" t="s">
        <v>12468</v>
      </c>
      <c r="C459" s="34" t="s">
        <v>12896</v>
      </c>
      <c r="D459" s="88"/>
      <c r="E459" s="245">
        <v>63.7</v>
      </c>
      <c r="F459" s="35">
        <f>290786.06/108.1*E459</f>
        <v>171351.26754856616</v>
      </c>
      <c r="G459" s="35">
        <f>55830.96/108.1*E459</f>
        <v>32899.464865864946</v>
      </c>
      <c r="H459" s="207"/>
      <c r="I459" s="207" t="s">
        <v>12545</v>
      </c>
      <c r="J459" s="66" t="s">
        <v>12546</v>
      </c>
      <c r="K459" s="207"/>
      <c r="L459" s="66"/>
      <c r="M459" s="201" t="s">
        <v>12550</v>
      </c>
      <c r="N459" s="207"/>
      <c r="O459" s="38"/>
    </row>
    <row r="460" spans="1:15" ht="72" customHeight="1" x14ac:dyDescent="0.3">
      <c r="A460" s="242">
        <v>440</v>
      </c>
      <c r="B460" s="34" t="s">
        <v>12468</v>
      </c>
      <c r="C460" s="34" t="s">
        <v>12897</v>
      </c>
      <c r="D460" s="88"/>
      <c r="E460" s="245">
        <v>44.4</v>
      </c>
      <c r="F460" s="35">
        <f>290786.06/108.1*E460</f>
        <v>119434.79245143385</v>
      </c>
      <c r="G460" s="35">
        <f>55830.96/108.1*E460</f>
        <v>22931.495134135061</v>
      </c>
      <c r="H460" s="207"/>
      <c r="I460" s="207" t="s">
        <v>12545</v>
      </c>
      <c r="J460" s="66" t="s">
        <v>12546</v>
      </c>
      <c r="K460" s="207"/>
      <c r="L460" s="66"/>
      <c r="M460" s="201" t="s">
        <v>12550</v>
      </c>
      <c r="N460" s="207"/>
      <c r="O460" s="38"/>
    </row>
    <row r="461" spans="1:15" ht="84" customHeight="1" x14ac:dyDescent="0.3">
      <c r="A461" s="2">
        <v>441</v>
      </c>
      <c r="B461" s="34" t="s">
        <v>12468</v>
      </c>
      <c r="C461" s="34" t="s">
        <v>12898</v>
      </c>
      <c r="D461" s="88"/>
      <c r="E461" s="245">
        <v>50.1</v>
      </c>
      <c r="F461" s="35">
        <f t="shared" ref="F461:F466" si="3">704942.12/290.7*E461</f>
        <v>121491.57279669764</v>
      </c>
      <c r="G461" s="35">
        <f t="shared" ref="G461:G466" si="4">174825.66/290.7*E461</f>
        <v>30129.91250773994</v>
      </c>
      <c r="H461" s="207"/>
      <c r="I461" s="207" t="s">
        <v>12545</v>
      </c>
      <c r="J461" s="66" t="s">
        <v>12546</v>
      </c>
      <c r="K461" s="207"/>
      <c r="L461" s="66"/>
      <c r="M461" s="201" t="s">
        <v>12550</v>
      </c>
      <c r="N461" s="207"/>
      <c r="O461" s="38" t="s">
        <v>21508</v>
      </c>
    </row>
    <row r="462" spans="1:15" ht="84" customHeight="1" x14ac:dyDescent="0.3">
      <c r="A462" s="242">
        <v>442</v>
      </c>
      <c r="B462" s="34" t="s">
        <v>12468</v>
      </c>
      <c r="C462" s="34" t="s">
        <v>12899</v>
      </c>
      <c r="D462" s="88"/>
      <c r="E462" s="245">
        <v>44.9</v>
      </c>
      <c r="F462" s="35">
        <f t="shared" si="3"/>
        <v>108881.66903336774</v>
      </c>
      <c r="G462" s="35">
        <f t="shared" si="4"/>
        <v>27002.656119711042</v>
      </c>
      <c r="H462" s="207"/>
      <c r="I462" s="207" t="s">
        <v>12545</v>
      </c>
      <c r="J462" s="66" t="s">
        <v>12546</v>
      </c>
      <c r="K462" s="207"/>
      <c r="L462" s="66"/>
      <c r="M462" s="201" t="s">
        <v>12550</v>
      </c>
      <c r="N462" s="207"/>
      <c r="O462" s="38"/>
    </row>
    <row r="463" spans="1:15" ht="84" customHeight="1" x14ac:dyDescent="0.3">
      <c r="A463" s="2">
        <v>443</v>
      </c>
      <c r="B463" s="34" t="s">
        <v>12467</v>
      </c>
      <c r="C463" s="34" t="s">
        <v>12900</v>
      </c>
      <c r="D463" s="88"/>
      <c r="E463" s="245">
        <v>62.9</v>
      </c>
      <c r="F463" s="35">
        <f t="shared" si="3"/>
        <v>152531.33590643277</v>
      </c>
      <c r="G463" s="35">
        <f t="shared" si="4"/>
        <v>37827.774385964913</v>
      </c>
      <c r="H463" s="207"/>
      <c r="I463" s="207" t="s">
        <v>12545</v>
      </c>
      <c r="J463" s="66" t="s">
        <v>12546</v>
      </c>
      <c r="K463" s="207"/>
      <c r="L463" s="66"/>
      <c r="M463" s="201" t="s">
        <v>12550</v>
      </c>
      <c r="N463" s="207"/>
      <c r="O463" s="38"/>
    </row>
    <row r="464" spans="1:15" ht="84" customHeight="1" x14ac:dyDescent="0.3">
      <c r="A464" s="2">
        <v>444</v>
      </c>
      <c r="B464" s="34" t="s">
        <v>12468</v>
      </c>
      <c r="C464" s="34" t="s">
        <v>12901</v>
      </c>
      <c r="D464" s="88"/>
      <c r="E464" s="245">
        <v>44.2</v>
      </c>
      <c r="F464" s="35">
        <f t="shared" si="3"/>
        <v>107184.18198830412</v>
      </c>
      <c r="G464" s="35">
        <f t="shared" si="4"/>
        <v>26581.679298245617</v>
      </c>
      <c r="H464" s="207"/>
      <c r="I464" s="207" t="s">
        <v>12545</v>
      </c>
      <c r="J464" s="66" t="s">
        <v>12546</v>
      </c>
      <c r="K464" s="207" t="s">
        <v>17817</v>
      </c>
      <c r="L464" s="66" t="s">
        <v>17818</v>
      </c>
      <c r="M464" s="201" t="s">
        <v>12550</v>
      </c>
      <c r="N464" s="207"/>
      <c r="O464" s="38"/>
    </row>
    <row r="465" spans="1:15" ht="84" customHeight="1" x14ac:dyDescent="0.3">
      <c r="A465" s="242">
        <v>445</v>
      </c>
      <c r="B465" s="34" t="s">
        <v>12468</v>
      </c>
      <c r="C465" s="34" t="s">
        <v>12902</v>
      </c>
      <c r="D465" s="88"/>
      <c r="E465" s="245">
        <v>44.4</v>
      </c>
      <c r="F465" s="35">
        <f t="shared" si="3"/>
        <v>107669.17828689372</v>
      </c>
      <c r="G465" s="35">
        <f t="shared" si="4"/>
        <v>26701.958390092881</v>
      </c>
      <c r="H465" s="207"/>
      <c r="I465" s="207" t="s">
        <v>12545</v>
      </c>
      <c r="J465" s="66" t="s">
        <v>12546</v>
      </c>
      <c r="K465" s="207"/>
      <c r="L465" s="66"/>
      <c r="M465" s="201" t="s">
        <v>12550</v>
      </c>
      <c r="N465" s="207"/>
      <c r="O465" s="38" t="s">
        <v>21509</v>
      </c>
    </row>
    <row r="466" spans="1:15" ht="84" customHeight="1" x14ac:dyDescent="0.3">
      <c r="A466" s="242">
        <v>446</v>
      </c>
      <c r="B466" s="34" t="s">
        <v>12468</v>
      </c>
      <c r="C466" s="34" t="s">
        <v>12903</v>
      </c>
      <c r="D466" s="88"/>
      <c r="E466" s="245">
        <v>44.2</v>
      </c>
      <c r="F466" s="35">
        <f t="shared" si="3"/>
        <v>107184.18198830412</v>
      </c>
      <c r="G466" s="35">
        <f t="shared" si="4"/>
        <v>26581.679298245617</v>
      </c>
      <c r="H466" s="207"/>
      <c r="I466" s="207" t="s">
        <v>12545</v>
      </c>
      <c r="J466" s="66" t="s">
        <v>12546</v>
      </c>
      <c r="K466" s="207"/>
      <c r="L466" s="66"/>
      <c r="M466" s="201" t="s">
        <v>12550</v>
      </c>
      <c r="N466" s="207"/>
      <c r="O466" s="38" t="s">
        <v>21510</v>
      </c>
    </row>
    <row r="467" spans="1:15" ht="144" customHeight="1" x14ac:dyDescent="0.3">
      <c r="A467" s="2">
        <v>447</v>
      </c>
      <c r="B467" s="34" t="s">
        <v>12468</v>
      </c>
      <c r="C467" s="34" t="s">
        <v>12904</v>
      </c>
      <c r="D467" s="88" t="s">
        <v>20045</v>
      </c>
      <c r="E467" s="245">
        <v>49</v>
      </c>
      <c r="F467" s="35">
        <f>229403.07/97.3*E467</f>
        <v>115526.72589928059</v>
      </c>
      <c r="G467" s="35">
        <f>58727.23/97.3*E467</f>
        <v>29574.864028776978</v>
      </c>
      <c r="H467" s="207"/>
      <c r="I467" s="207" t="s">
        <v>12545</v>
      </c>
      <c r="J467" s="245" t="s">
        <v>12546</v>
      </c>
      <c r="K467" s="26">
        <v>43175</v>
      </c>
      <c r="L467" s="66" t="s">
        <v>20044</v>
      </c>
      <c r="M467" s="201" t="s">
        <v>12550</v>
      </c>
      <c r="N467" s="207"/>
      <c r="O467" s="38"/>
    </row>
    <row r="468" spans="1:15" ht="84" customHeight="1" x14ac:dyDescent="0.3">
      <c r="A468" s="242">
        <v>448</v>
      </c>
      <c r="B468" s="34" t="s">
        <v>12468</v>
      </c>
      <c r="C468" s="34" t="s">
        <v>12905</v>
      </c>
      <c r="D468" s="88"/>
      <c r="E468" s="245">
        <v>48.3</v>
      </c>
      <c r="F468" s="35">
        <f>229403.07/97.3*E468</f>
        <v>113876.34410071942</v>
      </c>
      <c r="G468" s="35">
        <f>58727.23/97.3*E468</f>
        <v>29152.365971223022</v>
      </c>
      <c r="H468" s="207"/>
      <c r="I468" s="207" t="s">
        <v>12545</v>
      </c>
      <c r="J468" s="66" t="s">
        <v>12546</v>
      </c>
      <c r="K468" s="207"/>
      <c r="L468" s="66"/>
      <c r="M468" s="201" t="s">
        <v>12550</v>
      </c>
      <c r="N468" s="207"/>
      <c r="O468" s="38"/>
    </row>
    <row r="469" spans="1:15" ht="84" customHeight="1" x14ac:dyDescent="0.3">
      <c r="A469" s="2">
        <v>449</v>
      </c>
      <c r="B469" s="34" t="s">
        <v>12468</v>
      </c>
      <c r="C469" s="34" t="s">
        <v>12906</v>
      </c>
      <c r="D469" s="88"/>
      <c r="E469" s="245">
        <v>53.7</v>
      </c>
      <c r="F469" s="35">
        <f>365243.57/207.7*E469</f>
        <v>94432.256663456923</v>
      </c>
      <c r="G469" s="35">
        <f>102268.22/207.7*E469</f>
        <v>26441.037140105927</v>
      </c>
      <c r="H469" s="207"/>
      <c r="I469" s="207" t="s">
        <v>12545</v>
      </c>
      <c r="J469" s="245" t="s">
        <v>12546</v>
      </c>
      <c r="K469" s="207"/>
      <c r="L469" s="66"/>
      <c r="M469" s="201" t="s">
        <v>12550</v>
      </c>
      <c r="N469" s="207"/>
      <c r="O469" s="38"/>
    </row>
    <row r="470" spans="1:15" ht="84" customHeight="1" x14ac:dyDescent="0.3">
      <c r="A470" s="2">
        <v>450</v>
      </c>
      <c r="B470" s="34" t="s">
        <v>12468</v>
      </c>
      <c r="C470" s="34" t="s">
        <v>12907</v>
      </c>
      <c r="D470" s="88"/>
      <c r="E470" s="245">
        <v>57</v>
      </c>
      <c r="F470" s="35">
        <f>365243.57/207.7*E470</f>
        <v>100235.35623495428</v>
      </c>
      <c r="G470" s="35">
        <f>102268.22/207.7*E470</f>
        <v>28065.905344246512</v>
      </c>
      <c r="H470" s="207"/>
      <c r="I470" s="207" t="s">
        <v>12545</v>
      </c>
      <c r="J470" s="66" t="s">
        <v>12546</v>
      </c>
      <c r="K470" s="207"/>
      <c r="L470" s="66"/>
      <c r="M470" s="201" t="s">
        <v>12550</v>
      </c>
      <c r="N470" s="207"/>
      <c r="O470" s="38"/>
    </row>
    <row r="471" spans="1:15" ht="84" customHeight="1" x14ac:dyDescent="0.3">
      <c r="A471" s="242">
        <v>451</v>
      </c>
      <c r="B471" s="34" t="s">
        <v>12468</v>
      </c>
      <c r="C471" s="34" t="s">
        <v>12908</v>
      </c>
      <c r="D471" s="88"/>
      <c r="E471" s="245">
        <v>57.2</v>
      </c>
      <c r="F471" s="35">
        <f>365243.57/207.7*E471</f>
        <v>100587.05923928745</v>
      </c>
      <c r="G471" s="35">
        <f>102268.22/207.7*E471</f>
        <v>28164.38220510352</v>
      </c>
      <c r="H471" s="207"/>
      <c r="I471" s="207" t="s">
        <v>12545</v>
      </c>
      <c r="J471" s="66" t="s">
        <v>12546</v>
      </c>
      <c r="K471" s="207"/>
      <c r="L471" s="66"/>
      <c r="M471" s="201" t="s">
        <v>12550</v>
      </c>
      <c r="N471" s="207"/>
      <c r="O471" s="38"/>
    </row>
    <row r="472" spans="1:15" ht="84" customHeight="1" x14ac:dyDescent="0.3">
      <c r="A472" s="2">
        <v>452</v>
      </c>
      <c r="B472" s="34" t="s">
        <v>12470</v>
      </c>
      <c r="C472" s="34" t="s">
        <v>12909</v>
      </c>
      <c r="D472" s="88"/>
      <c r="E472" s="245">
        <v>39.799999999999997</v>
      </c>
      <c r="F472" s="35">
        <f>365243.57/207.7*E472</f>
        <v>69988.897862301397</v>
      </c>
      <c r="G472" s="35">
        <f>102268.22/207.7*E472</f>
        <v>19596.895310544056</v>
      </c>
      <c r="H472" s="207"/>
      <c r="I472" s="207" t="s">
        <v>12545</v>
      </c>
      <c r="J472" s="245" t="s">
        <v>12546</v>
      </c>
      <c r="K472" s="207"/>
      <c r="L472" s="66"/>
      <c r="M472" s="201" t="s">
        <v>12550</v>
      </c>
      <c r="N472" s="207"/>
      <c r="O472" s="38"/>
    </row>
    <row r="473" spans="1:15" ht="84" customHeight="1" x14ac:dyDescent="0.3">
      <c r="A473" s="2">
        <v>453</v>
      </c>
      <c r="B473" s="34" t="s">
        <v>12470</v>
      </c>
      <c r="C473" s="34" t="s">
        <v>12910</v>
      </c>
      <c r="D473" s="88"/>
      <c r="E473" s="245">
        <v>30.2</v>
      </c>
      <c r="F473" s="35">
        <f t="shared" ref="F473:F478" si="5">361869.06/238*E473</f>
        <v>45917.83870588235</v>
      </c>
      <c r="G473" s="35">
        <f t="shared" ref="G473:G478" si="6">98428.38/238*E473</f>
        <v>12489.651579831934</v>
      </c>
      <c r="H473" s="207"/>
      <c r="I473" s="207" t="s">
        <v>12545</v>
      </c>
      <c r="J473" s="66" t="s">
        <v>12546</v>
      </c>
      <c r="K473" s="207" t="s">
        <v>15066</v>
      </c>
      <c r="L473" s="66" t="s">
        <v>15067</v>
      </c>
      <c r="M473" s="201" t="s">
        <v>12550</v>
      </c>
      <c r="N473" s="207"/>
      <c r="O473" s="38"/>
    </row>
    <row r="474" spans="1:15" ht="72" customHeight="1" x14ac:dyDescent="0.3">
      <c r="A474" s="2">
        <v>454</v>
      </c>
      <c r="B474" s="34" t="s">
        <v>12470</v>
      </c>
      <c r="C474" s="34" t="s">
        <v>12911</v>
      </c>
      <c r="D474" s="88"/>
      <c r="E474" s="245">
        <v>30.2</v>
      </c>
      <c r="F474" s="35">
        <f t="shared" si="5"/>
        <v>45917.83870588235</v>
      </c>
      <c r="G474" s="35">
        <f t="shared" si="6"/>
        <v>12489.651579831934</v>
      </c>
      <c r="H474" s="207"/>
      <c r="I474" s="207" t="s">
        <v>12545</v>
      </c>
      <c r="J474" s="66" t="s">
        <v>12546</v>
      </c>
      <c r="K474" s="207"/>
      <c r="L474" s="66"/>
      <c r="M474" s="201" t="s">
        <v>12550</v>
      </c>
      <c r="N474" s="207"/>
      <c r="O474" s="38"/>
    </row>
    <row r="475" spans="1:15" ht="72" customHeight="1" x14ac:dyDescent="0.3">
      <c r="A475" s="2">
        <v>455</v>
      </c>
      <c r="B475" s="34" t="s">
        <v>12468</v>
      </c>
      <c r="C475" s="34" t="s">
        <v>12912</v>
      </c>
      <c r="D475" s="88"/>
      <c r="E475" s="245">
        <v>41.4</v>
      </c>
      <c r="F475" s="35">
        <f t="shared" si="5"/>
        <v>62946.970941176471</v>
      </c>
      <c r="G475" s="35">
        <f t="shared" si="6"/>
        <v>17121.575344537818</v>
      </c>
      <c r="H475" s="207"/>
      <c r="I475" s="207" t="s">
        <v>12545</v>
      </c>
      <c r="J475" s="66" t="s">
        <v>12546</v>
      </c>
      <c r="K475" s="207"/>
      <c r="L475" s="66"/>
      <c r="M475" s="201" t="s">
        <v>12550</v>
      </c>
      <c r="N475" s="207"/>
      <c r="O475" s="38"/>
    </row>
    <row r="476" spans="1:15" ht="72" customHeight="1" x14ac:dyDescent="0.3">
      <c r="A476" s="242">
        <v>456</v>
      </c>
      <c r="B476" s="34" t="s">
        <v>12468</v>
      </c>
      <c r="C476" s="34" t="s">
        <v>12913</v>
      </c>
      <c r="D476" s="88"/>
      <c r="E476" s="245">
        <v>46</v>
      </c>
      <c r="F476" s="35">
        <f t="shared" si="5"/>
        <v>69941.078823529417</v>
      </c>
      <c r="G476" s="35">
        <f t="shared" si="6"/>
        <v>19023.972605042018</v>
      </c>
      <c r="H476" s="207"/>
      <c r="I476" s="207" t="s">
        <v>12545</v>
      </c>
      <c r="J476" s="66" t="s">
        <v>12546</v>
      </c>
      <c r="K476" s="207"/>
      <c r="L476" s="66"/>
      <c r="M476" s="201" t="s">
        <v>12550</v>
      </c>
      <c r="N476" s="207"/>
      <c r="O476" s="38"/>
    </row>
    <row r="477" spans="1:15" ht="84" customHeight="1" x14ac:dyDescent="0.3">
      <c r="A477" s="2">
        <v>457</v>
      </c>
      <c r="B477" s="34" t="s">
        <v>12468</v>
      </c>
      <c r="C477" s="34" t="s">
        <v>12914</v>
      </c>
      <c r="D477" s="88"/>
      <c r="E477" s="245">
        <v>45.4</v>
      </c>
      <c r="F477" s="35">
        <f t="shared" si="5"/>
        <v>69028.803882352935</v>
      </c>
      <c r="G477" s="35">
        <f t="shared" si="6"/>
        <v>18775.833831932774</v>
      </c>
      <c r="H477" s="207"/>
      <c r="I477" s="207" t="s">
        <v>12545</v>
      </c>
      <c r="J477" s="66" t="s">
        <v>12546</v>
      </c>
      <c r="K477" s="207"/>
      <c r="L477" s="66"/>
      <c r="M477" s="201" t="s">
        <v>12550</v>
      </c>
      <c r="N477" s="207"/>
      <c r="O477" s="38"/>
    </row>
    <row r="478" spans="1:15" ht="84" customHeight="1" x14ac:dyDescent="0.3">
      <c r="A478" s="242">
        <v>458</v>
      </c>
      <c r="B478" s="34" t="s">
        <v>12468</v>
      </c>
      <c r="C478" s="34" t="s">
        <v>12915</v>
      </c>
      <c r="D478" s="88"/>
      <c r="E478" s="245">
        <v>44.8</v>
      </c>
      <c r="F478" s="35">
        <f t="shared" si="5"/>
        <v>68116.528941176468</v>
      </c>
      <c r="G478" s="35">
        <f t="shared" si="6"/>
        <v>18527.69505882353</v>
      </c>
      <c r="H478" s="207"/>
      <c r="I478" s="207" t="s">
        <v>12545</v>
      </c>
      <c r="J478" s="66" t="s">
        <v>12546</v>
      </c>
      <c r="K478" s="207"/>
      <c r="L478" s="66"/>
      <c r="M478" s="201" t="s">
        <v>12550</v>
      </c>
      <c r="N478" s="207"/>
      <c r="O478" s="38"/>
    </row>
    <row r="479" spans="1:15" ht="84" customHeight="1" x14ac:dyDescent="0.3">
      <c r="A479" s="2">
        <v>459</v>
      </c>
      <c r="B479" s="34" t="s">
        <v>12468</v>
      </c>
      <c r="C479" s="34" t="s">
        <v>12916</v>
      </c>
      <c r="D479" s="88"/>
      <c r="E479" s="245">
        <v>44.1</v>
      </c>
      <c r="F479" s="35">
        <f>493377.52/178.4*E479</f>
        <v>121961.59547085203</v>
      </c>
      <c r="G479" s="35">
        <f>98675.62/178.4*E479</f>
        <v>24392.347769058295</v>
      </c>
      <c r="H479" s="207"/>
      <c r="I479" s="207" t="s">
        <v>12545</v>
      </c>
      <c r="J479" s="66" t="s">
        <v>12546</v>
      </c>
      <c r="K479" s="207"/>
      <c r="L479" s="66"/>
      <c r="M479" s="201" t="s">
        <v>12550</v>
      </c>
      <c r="N479" s="207"/>
      <c r="O479" s="38"/>
    </row>
    <row r="480" spans="1:15" ht="84" customHeight="1" x14ac:dyDescent="0.3">
      <c r="A480" s="2">
        <v>460</v>
      </c>
      <c r="B480" s="34" t="s">
        <v>12468</v>
      </c>
      <c r="C480" s="34" t="s">
        <v>12917</v>
      </c>
      <c r="D480" s="88"/>
      <c r="E480" s="245">
        <v>44.1</v>
      </c>
      <c r="F480" s="35">
        <f>493377.52/178.4*E480</f>
        <v>121961.59547085203</v>
      </c>
      <c r="G480" s="35">
        <f>98675.62/178.4*E480</f>
        <v>24392.347769058295</v>
      </c>
      <c r="H480" s="207"/>
      <c r="I480" s="207" t="s">
        <v>12545</v>
      </c>
      <c r="J480" s="245" t="s">
        <v>12546</v>
      </c>
      <c r="K480" s="207"/>
      <c r="L480" s="66"/>
      <c r="M480" s="201" t="s">
        <v>12550</v>
      </c>
      <c r="N480" s="207"/>
      <c r="O480" s="38"/>
    </row>
    <row r="481" spans="1:15" ht="84" customHeight="1" x14ac:dyDescent="0.3">
      <c r="A481" s="242">
        <v>461</v>
      </c>
      <c r="B481" s="34" t="s">
        <v>12468</v>
      </c>
      <c r="C481" s="34" t="s">
        <v>12918</v>
      </c>
      <c r="D481" s="88"/>
      <c r="E481" s="245">
        <v>45.4</v>
      </c>
      <c r="F481" s="35">
        <f>493377.52/178.4*E481</f>
        <v>125556.83524663677</v>
      </c>
      <c r="G481" s="35">
        <f>98675.62/178.4*E481</f>
        <v>25111.396569506724</v>
      </c>
      <c r="H481" s="207"/>
      <c r="I481" s="207" t="s">
        <v>12545</v>
      </c>
      <c r="J481" s="66" t="s">
        <v>12546</v>
      </c>
      <c r="K481" s="207"/>
      <c r="L481" s="66"/>
      <c r="M481" s="201" t="s">
        <v>12550</v>
      </c>
      <c r="N481" s="207"/>
      <c r="O481" s="38"/>
    </row>
    <row r="482" spans="1:15" ht="84" customHeight="1" x14ac:dyDescent="0.3">
      <c r="A482" s="242">
        <v>462</v>
      </c>
      <c r="B482" s="34" t="s">
        <v>12468</v>
      </c>
      <c r="C482" s="34" t="s">
        <v>12919</v>
      </c>
      <c r="D482" s="88"/>
      <c r="E482" s="245">
        <v>44.8</v>
      </c>
      <c r="F482" s="35">
        <f>493377.52/178.4*E482</f>
        <v>123897.49381165918</v>
      </c>
      <c r="G482" s="35">
        <f>98675.62/178.4*E482</f>
        <v>24779.527892376678</v>
      </c>
      <c r="H482" s="207"/>
      <c r="I482" s="207" t="s">
        <v>12545</v>
      </c>
      <c r="J482" s="66" t="s">
        <v>12546</v>
      </c>
      <c r="K482" s="207"/>
      <c r="L482" s="66"/>
      <c r="M482" s="201" t="s">
        <v>12550</v>
      </c>
      <c r="N482" s="207"/>
      <c r="O482" s="38"/>
    </row>
    <row r="483" spans="1:15" ht="84" customHeight="1" x14ac:dyDescent="0.3">
      <c r="A483" s="2">
        <v>463</v>
      </c>
      <c r="B483" s="34" t="s">
        <v>12471</v>
      </c>
      <c r="C483" s="34" t="s">
        <v>12920</v>
      </c>
      <c r="D483" s="88"/>
      <c r="E483" s="245">
        <v>38.299999999999997</v>
      </c>
      <c r="F483" s="35">
        <f>206182.18/85.8*E483</f>
        <v>92037.033729603718</v>
      </c>
      <c r="G483" s="35">
        <f>51133.17/85.8*E483</f>
        <v>22825.179615384615</v>
      </c>
      <c r="H483" s="207"/>
      <c r="I483" s="207" t="s">
        <v>12545</v>
      </c>
      <c r="J483" s="245" t="s">
        <v>12546</v>
      </c>
      <c r="K483" s="207"/>
      <c r="L483" s="66"/>
      <c r="M483" s="201" t="s">
        <v>12550</v>
      </c>
      <c r="N483" s="207"/>
      <c r="O483" s="38"/>
    </row>
    <row r="484" spans="1:15" ht="84" customHeight="1" x14ac:dyDescent="0.3">
      <c r="A484" s="2">
        <v>464</v>
      </c>
      <c r="B484" s="34" t="s">
        <v>12468</v>
      </c>
      <c r="C484" s="34" t="s">
        <v>12921</v>
      </c>
      <c r="D484" s="88"/>
      <c r="E484" s="245">
        <v>47.5</v>
      </c>
      <c r="F484" s="35">
        <f>206182.18/85.8*E484-0.01</f>
        <v>114145.13627039627</v>
      </c>
      <c r="G484" s="35">
        <f>51133.17/85.8*E484</f>
        <v>28307.990384615387</v>
      </c>
      <c r="H484" s="207"/>
      <c r="I484" s="207" t="s">
        <v>12545</v>
      </c>
      <c r="J484" s="245" t="s">
        <v>12546</v>
      </c>
      <c r="K484" s="207"/>
      <c r="L484" s="66"/>
      <c r="M484" s="201" t="s">
        <v>12550</v>
      </c>
      <c r="N484" s="207"/>
      <c r="O484" s="38"/>
    </row>
    <row r="485" spans="1:15" ht="84" customHeight="1" x14ac:dyDescent="0.3">
      <c r="A485" s="2">
        <v>465</v>
      </c>
      <c r="B485" s="34" t="s">
        <v>12468</v>
      </c>
      <c r="C485" s="34" t="s">
        <v>12922</v>
      </c>
      <c r="D485" s="88"/>
      <c r="E485" s="245">
        <v>43.9</v>
      </c>
      <c r="F485" s="35">
        <f>166998.19/87.8*E485</f>
        <v>83499.095000000001</v>
      </c>
      <c r="G485" s="35">
        <f>44070.92/87.8*E485</f>
        <v>22035.46</v>
      </c>
      <c r="H485" s="207"/>
      <c r="I485" s="207" t="s">
        <v>12545</v>
      </c>
      <c r="J485" s="66" t="s">
        <v>12546</v>
      </c>
      <c r="K485" s="207"/>
      <c r="L485" s="66"/>
      <c r="M485" s="201" t="s">
        <v>12550</v>
      </c>
      <c r="N485" s="207"/>
      <c r="O485" s="38" t="s">
        <v>21511</v>
      </c>
    </row>
    <row r="486" spans="1:15" ht="84" customHeight="1" x14ac:dyDescent="0.3">
      <c r="A486" s="2">
        <v>466</v>
      </c>
      <c r="B486" s="34" t="s">
        <v>12468</v>
      </c>
      <c r="C486" s="34" t="s">
        <v>12923</v>
      </c>
      <c r="D486" s="88"/>
      <c r="E486" s="245">
        <v>43.9</v>
      </c>
      <c r="F486" s="35">
        <f>166998.19/87.8*E486-0.01</f>
        <v>83499.085000000006</v>
      </c>
      <c r="G486" s="35">
        <f>44070.92/87.8*E486</f>
        <v>22035.46</v>
      </c>
      <c r="H486" s="207"/>
      <c r="I486" s="207" t="s">
        <v>12545</v>
      </c>
      <c r="J486" s="245" t="s">
        <v>12546</v>
      </c>
      <c r="K486" s="207"/>
      <c r="L486" s="66"/>
      <c r="M486" s="201" t="s">
        <v>12550</v>
      </c>
      <c r="N486" s="207"/>
      <c r="O486" s="38"/>
    </row>
    <row r="487" spans="1:15" ht="84" customHeight="1" x14ac:dyDescent="0.3">
      <c r="A487" s="2">
        <v>467</v>
      </c>
      <c r="B487" s="34" t="s">
        <v>12468</v>
      </c>
      <c r="C487" s="34" t="s">
        <v>12924</v>
      </c>
      <c r="D487" s="88"/>
      <c r="E487" s="245">
        <v>53.6</v>
      </c>
      <c r="F487" s="35">
        <f>1229921.9/297.5*E487</f>
        <v>221592.65156302523</v>
      </c>
      <c r="G487" s="35">
        <f>196787.5/297.5*E487</f>
        <v>35454.823529411769</v>
      </c>
      <c r="H487" s="207"/>
      <c r="I487" s="207" t="s">
        <v>12545</v>
      </c>
      <c r="J487" s="66" t="s">
        <v>12546</v>
      </c>
      <c r="K487" s="207"/>
      <c r="L487" s="66"/>
      <c r="M487" s="201" t="s">
        <v>12550</v>
      </c>
      <c r="N487" s="207"/>
      <c r="O487" s="38" t="s">
        <v>21512</v>
      </c>
    </row>
    <row r="488" spans="1:15" ht="84" customHeight="1" x14ac:dyDescent="0.3">
      <c r="A488" s="2">
        <v>468</v>
      </c>
      <c r="B488" s="34" t="s">
        <v>12467</v>
      </c>
      <c r="C488" s="34" t="s">
        <v>12925</v>
      </c>
      <c r="D488" s="88"/>
      <c r="E488" s="245">
        <v>67.7</v>
      </c>
      <c r="F488" s="35">
        <f>1229921.9/297.5*E488</f>
        <v>279884.74833613448</v>
      </c>
      <c r="G488" s="35">
        <f>196787.5/297.5*E488</f>
        <v>44781.558823529413</v>
      </c>
      <c r="H488" s="207"/>
      <c r="I488" s="207" t="s">
        <v>12545</v>
      </c>
      <c r="J488" s="245" t="s">
        <v>12546</v>
      </c>
      <c r="K488" s="207"/>
      <c r="L488" s="66"/>
      <c r="M488" s="201" t="s">
        <v>12550</v>
      </c>
      <c r="N488" s="207"/>
      <c r="O488" s="38" t="s">
        <v>21513</v>
      </c>
    </row>
    <row r="489" spans="1:15" ht="84" customHeight="1" x14ac:dyDescent="0.3">
      <c r="A489" s="2">
        <v>469</v>
      </c>
      <c r="B489" s="34" t="s">
        <v>12468</v>
      </c>
      <c r="C489" s="34" t="s">
        <v>12926</v>
      </c>
      <c r="D489" s="88"/>
      <c r="E489" s="66">
        <v>54.1</v>
      </c>
      <c r="F489" s="35">
        <f>1229921.9/297.5*E489</f>
        <v>223659.74719327732</v>
      </c>
      <c r="G489" s="35">
        <f>196787.5/297.5*E489</f>
        <v>35785.558823529413</v>
      </c>
      <c r="H489" s="207"/>
      <c r="I489" s="207" t="s">
        <v>12545</v>
      </c>
      <c r="J489" s="66" t="s">
        <v>12546</v>
      </c>
      <c r="K489" s="207"/>
      <c r="L489" s="66"/>
      <c r="M489" s="201" t="s">
        <v>12550</v>
      </c>
      <c r="N489" s="207"/>
      <c r="O489" s="38"/>
    </row>
    <row r="490" spans="1:15" ht="84" customHeight="1" x14ac:dyDescent="0.3">
      <c r="A490" s="2">
        <v>470</v>
      </c>
      <c r="B490" s="34" t="s">
        <v>12468</v>
      </c>
      <c r="C490" s="34" t="s">
        <v>12927</v>
      </c>
      <c r="D490" s="88"/>
      <c r="E490" s="245">
        <v>54</v>
      </c>
      <c r="F490" s="35">
        <f>1229921.9/297.5*E490</f>
        <v>223246.32806722689</v>
      </c>
      <c r="G490" s="35">
        <f>196787.5/297.5*E490</f>
        <v>35719.411764705881</v>
      </c>
      <c r="H490" s="207"/>
      <c r="I490" s="207" t="s">
        <v>12545</v>
      </c>
      <c r="J490" s="245" t="s">
        <v>12546</v>
      </c>
      <c r="K490" s="207"/>
      <c r="L490" s="66"/>
      <c r="M490" s="201" t="s">
        <v>12550</v>
      </c>
      <c r="N490" s="207"/>
      <c r="O490" s="38"/>
    </row>
    <row r="491" spans="1:15" ht="84" customHeight="1" x14ac:dyDescent="0.3">
      <c r="A491" s="2">
        <v>471</v>
      </c>
      <c r="B491" s="34" t="s">
        <v>12467</v>
      </c>
      <c r="C491" s="34" t="s">
        <v>12928</v>
      </c>
      <c r="D491" s="88"/>
      <c r="E491" s="245">
        <v>68.099999999999994</v>
      </c>
      <c r="F491" s="35">
        <f>1229921.9/297.5*E491</f>
        <v>281538.42484033608</v>
      </c>
      <c r="G491" s="35">
        <f>196787.5/297.5*E491</f>
        <v>45046.147058823524</v>
      </c>
      <c r="H491" s="207"/>
      <c r="I491" s="207" t="s">
        <v>12545</v>
      </c>
      <c r="J491" s="245" t="s">
        <v>12546</v>
      </c>
      <c r="K491" s="207"/>
      <c r="L491" s="66"/>
      <c r="M491" s="201" t="s">
        <v>12550</v>
      </c>
      <c r="N491" s="207"/>
      <c r="O491" s="38" t="s">
        <v>19973</v>
      </c>
    </row>
    <row r="492" spans="1:15" ht="84" customHeight="1" x14ac:dyDescent="0.3">
      <c r="A492" s="242">
        <v>472</v>
      </c>
      <c r="B492" s="34" t="s">
        <v>12467</v>
      </c>
      <c r="C492" s="34" t="s">
        <v>12929</v>
      </c>
      <c r="D492" s="88"/>
      <c r="E492" s="66">
        <v>62.1</v>
      </c>
      <c r="F492" s="35">
        <f>856319.08/398.1*E492</f>
        <v>133578.03282592312</v>
      </c>
      <c r="G492" s="35">
        <f>137741.61/398.1*E492</f>
        <v>21486.44556895252</v>
      </c>
      <c r="H492" s="207"/>
      <c r="I492" s="207" t="s">
        <v>12545</v>
      </c>
      <c r="J492" s="66" t="s">
        <v>12546</v>
      </c>
      <c r="K492" s="207"/>
      <c r="L492" s="66"/>
      <c r="M492" s="201" t="s">
        <v>12550</v>
      </c>
      <c r="N492" s="207"/>
      <c r="O492" s="38"/>
    </row>
    <row r="493" spans="1:15" ht="84" customHeight="1" x14ac:dyDescent="0.3">
      <c r="A493" s="242">
        <v>473</v>
      </c>
      <c r="B493" s="34" t="s">
        <v>12472</v>
      </c>
      <c r="C493" s="34" t="s">
        <v>12930</v>
      </c>
      <c r="D493" s="88"/>
      <c r="E493" s="245">
        <v>49.1</v>
      </c>
      <c r="F493" s="35">
        <f>856319.08/398.1*E493</f>
        <v>105614.83754835467</v>
      </c>
      <c r="G493" s="35">
        <f>137741.61/398.1*E493</f>
        <v>16988.477897513185</v>
      </c>
      <c r="H493" s="207"/>
      <c r="I493" s="207" t="s">
        <v>12545</v>
      </c>
      <c r="J493" s="66" t="s">
        <v>12546</v>
      </c>
      <c r="K493" s="207"/>
      <c r="L493" s="66"/>
      <c r="M493" s="201" t="s">
        <v>12550</v>
      </c>
      <c r="N493" s="207"/>
      <c r="O493" s="38"/>
    </row>
    <row r="494" spans="1:15" ht="72" customHeight="1" x14ac:dyDescent="0.3">
      <c r="A494" s="242">
        <v>474</v>
      </c>
      <c r="B494" s="34" t="s">
        <v>12470</v>
      </c>
      <c r="C494" s="34" t="s">
        <v>12473</v>
      </c>
      <c r="D494" s="88" t="s">
        <v>12509</v>
      </c>
      <c r="E494" s="245">
        <v>33</v>
      </c>
      <c r="F494" s="35">
        <v>1261000</v>
      </c>
      <c r="G494" s="35" t="s">
        <v>14</v>
      </c>
      <c r="H494" s="25"/>
      <c r="I494" s="207" t="s">
        <v>12545</v>
      </c>
      <c r="J494" s="66" t="s">
        <v>12546</v>
      </c>
      <c r="K494" s="207"/>
      <c r="L494" s="66"/>
      <c r="M494" s="201" t="s">
        <v>12550</v>
      </c>
      <c r="N494" s="245" t="s">
        <v>15039</v>
      </c>
      <c r="O494" s="38" t="s">
        <v>23683</v>
      </c>
    </row>
    <row r="495" spans="1:15" ht="84" customHeight="1" x14ac:dyDescent="0.3">
      <c r="A495" s="2">
        <v>475</v>
      </c>
      <c r="B495" s="34" t="s">
        <v>12468</v>
      </c>
      <c r="C495" s="34" t="s">
        <v>12931</v>
      </c>
      <c r="D495" s="88"/>
      <c r="E495" s="245">
        <v>47.9</v>
      </c>
      <c r="F495" s="35">
        <f>856319.08/398.1*E495</f>
        <v>103033.61952273296</v>
      </c>
      <c r="G495" s="35">
        <f>137741.61/398.1*E495</f>
        <v>16573.280881688013</v>
      </c>
      <c r="H495" s="207"/>
      <c r="I495" s="207" t="s">
        <v>12545</v>
      </c>
      <c r="J495" s="245" t="s">
        <v>12546</v>
      </c>
      <c r="K495" s="207"/>
      <c r="L495" s="66"/>
      <c r="M495" s="201" t="s">
        <v>12550</v>
      </c>
      <c r="N495" s="207"/>
      <c r="O495" s="38"/>
    </row>
    <row r="496" spans="1:15" ht="84" customHeight="1" x14ac:dyDescent="0.3">
      <c r="A496" s="2">
        <v>476</v>
      </c>
      <c r="B496" s="34" t="s">
        <v>12467</v>
      </c>
      <c r="C496" s="34" t="s">
        <v>12932</v>
      </c>
      <c r="D496" s="88"/>
      <c r="E496" s="245">
        <v>78.900000000000006</v>
      </c>
      <c r="F496" s="35">
        <f>856319.08/398.1*E496</f>
        <v>169715.08518462695</v>
      </c>
      <c r="G496" s="35">
        <f>137741.61/398.1*E496</f>
        <v>27299.203790504896</v>
      </c>
      <c r="H496" s="207"/>
      <c r="I496" s="207" t="s">
        <v>12545</v>
      </c>
      <c r="J496" s="66" t="s">
        <v>12546</v>
      </c>
      <c r="K496" s="26">
        <v>42110</v>
      </c>
      <c r="L496" s="66" t="s">
        <v>17883</v>
      </c>
      <c r="M496" s="201" t="s">
        <v>12550</v>
      </c>
      <c r="N496" s="207"/>
      <c r="O496" s="38"/>
    </row>
    <row r="497" spans="1:15" ht="84" customHeight="1" x14ac:dyDescent="0.3">
      <c r="A497" s="242">
        <v>477</v>
      </c>
      <c r="B497" s="34" t="s">
        <v>12467</v>
      </c>
      <c r="C497" s="34" t="s">
        <v>12933</v>
      </c>
      <c r="D497" s="88"/>
      <c r="E497" s="245">
        <v>79.2</v>
      </c>
      <c r="F497" s="35">
        <f>856319.08/398.1*E497</f>
        <v>170360.38969103238</v>
      </c>
      <c r="G497" s="35">
        <f>137741.61/398.1*E497</f>
        <v>27403.003044461188</v>
      </c>
      <c r="H497" s="207"/>
      <c r="I497" s="207" t="s">
        <v>12545</v>
      </c>
      <c r="J497" s="66" t="s">
        <v>12546</v>
      </c>
      <c r="K497" s="207"/>
      <c r="L497" s="66"/>
      <c r="M497" s="201" t="s">
        <v>12550</v>
      </c>
      <c r="N497" s="207"/>
      <c r="O497" s="38" t="s">
        <v>19866</v>
      </c>
    </row>
    <row r="498" spans="1:15" ht="84" customHeight="1" x14ac:dyDescent="0.3">
      <c r="A498" s="2">
        <v>478</v>
      </c>
      <c r="B498" s="34" t="s">
        <v>12471</v>
      </c>
      <c r="C498" s="34" t="s">
        <v>12934</v>
      </c>
      <c r="D498" s="88"/>
      <c r="E498" s="245">
        <v>31.6</v>
      </c>
      <c r="F498" s="35">
        <f>856319.08/398.1*E498</f>
        <v>67972.07467470484</v>
      </c>
      <c r="G498" s="35">
        <f>137741.61/398.1*E498</f>
        <v>10933.521416729463</v>
      </c>
      <c r="H498" s="207"/>
      <c r="I498" s="207" t="s">
        <v>12545</v>
      </c>
      <c r="J498" s="245" t="s">
        <v>12546</v>
      </c>
      <c r="K498" s="207"/>
      <c r="L498" s="66"/>
      <c r="M498" s="201" t="s">
        <v>12550</v>
      </c>
      <c r="N498" s="207"/>
      <c r="O498" s="38"/>
    </row>
    <row r="499" spans="1:15" ht="84" customHeight="1" x14ac:dyDescent="0.3">
      <c r="A499" s="2">
        <v>479</v>
      </c>
      <c r="B499" s="34" t="s">
        <v>12468</v>
      </c>
      <c r="C499" s="34" t="s">
        <v>12935</v>
      </c>
      <c r="D499" s="88"/>
      <c r="E499" s="245">
        <v>49.3</v>
      </c>
      <c r="F499" s="35">
        <f>856319.08/398.1*E499</f>
        <v>106045.04055262495</v>
      </c>
      <c r="G499" s="35">
        <f>137741.61/398.1*E499</f>
        <v>17057.677400150711</v>
      </c>
      <c r="H499" s="207"/>
      <c r="I499" s="207" t="s">
        <v>12545</v>
      </c>
      <c r="J499" s="245" t="s">
        <v>12546</v>
      </c>
      <c r="K499" s="207"/>
      <c r="L499" s="66"/>
      <c r="M499" s="201" t="s">
        <v>12550</v>
      </c>
      <c r="N499" s="207"/>
      <c r="O499" s="38"/>
    </row>
    <row r="500" spans="1:15" ht="84" customHeight="1" x14ac:dyDescent="0.3">
      <c r="A500" s="2">
        <v>480</v>
      </c>
      <c r="B500" s="34" t="s">
        <v>12468</v>
      </c>
      <c r="C500" s="34" t="s">
        <v>12936</v>
      </c>
      <c r="D500" s="88"/>
      <c r="E500" s="245">
        <v>47.2</v>
      </c>
      <c r="F500" s="35">
        <f t="shared" ref="F500:F506" si="7">688252.1/308.7*E500</f>
        <v>105233.23330093942</v>
      </c>
      <c r="G500" s="35">
        <f t="shared" ref="G500:G506" si="8">120333.44/308.7*E500</f>
        <v>18398.893320375773</v>
      </c>
      <c r="H500" s="207"/>
      <c r="I500" s="207" t="s">
        <v>12545</v>
      </c>
      <c r="J500" s="245" t="s">
        <v>12546</v>
      </c>
      <c r="K500" s="26">
        <v>42839</v>
      </c>
      <c r="L500" s="66" t="s">
        <v>18680</v>
      </c>
      <c r="M500" s="201" t="s">
        <v>12550</v>
      </c>
      <c r="N500" s="207"/>
      <c r="O500" s="38"/>
    </row>
    <row r="501" spans="1:15" ht="84" customHeight="1" x14ac:dyDescent="0.3">
      <c r="A501" s="2">
        <v>481</v>
      </c>
      <c r="B501" s="34" t="s">
        <v>12468</v>
      </c>
      <c r="C501" s="34" t="s">
        <v>12937</v>
      </c>
      <c r="D501" s="88"/>
      <c r="E501" s="245">
        <v>49.1</v>
      </c>
      <c r="F501" s="35">
        <f t="shared" si="7"/>
        <v>109469.31684483317</v>
      </c>
      <c r="G501" s="35">
        <f t="shared" si="8"/>
        <v>19139.526737933269</v>
      </c>
      <c r="H501" s="207"/>
      <c r="I501" s="207" t="s">
        <v>12545</v>
      </c>
      <c r="J501" s="245" t="s">
        <v>12546</v>
      </c>
      <c r="K501" s="207"/>
      <c r="L501" s="66"/>
      <c r="M501" s="201" t="s">
        <v>12550</v>
      </c>
      <c r="N501" s="207"/>
      <c r="O501" s="38"/>
    </row>
    <row r="502" spans="1:15" ht="84" customHeight="1" x14ac:dyDescent="0.3">
      <c r="A502" s="2">
        <v>482</v>
      </c>
      <c r="B502" s="34" t="s">
        <v>12467</v>
      </c>
      <c r="C502" s="34" t="s">
        <v>12938</v>
      </c>
      <c r="D502" s="88"/>
      <c r="E502" s="245">
        <v>78</v>
      </c>
      <c r="F502" s="35">
        <f t="shared" si="7"/>
        <v>173902.37706511174</v>
      </c>
      <c r="G502" s="35">
        <f t="shared" si="8"/>
        <v>30404.950826044707</v>
      </c>
      <c r="H502" s="207"/>
      <c r="I502" s="207" t="s">
        <v>12545</v>
      </c>
      <c r="J502" s="245" t="s">
        <v>12546</v>
      </c>
      <c r="K502" s="207"/>
      <c r="L502" s="66"/>
      <c r="M502" s="201" t="s">
        <v>12550</v>
      </c>
      <c r="N502" s="207"/>
      <c r="O502" s="38"/>
    </row>
    <row r="503" spans="1:15" ht="84" customHeight="1" x14ac:dyDescent="0.3">
      <c r="A503" s="242">
        <v>483</v>
      </c>
      <c r="B503" s="34" t="s">
        <v>12471</v>
      </c>
      <c r="C503" s="34" t="s">
        <v>12939</v>
      </c>
      <c r="D503" s="88"/>
      <c r="E503" s="245">
        <v>30.8</v>
      </c>
      <c r="F503" s="35">
        <f t="shared" si="7"/>
        <v>68669.143764172331</v>
      </c>
      <c r="G503" s="35">
        <f t="shared" si="8"/>
        <v>12006.057505668936</v>
      </c>
      <c r="H503" s="207"/>
      <c r="I503" s="207" t="s">
        <v>12545</v>
      </c>
      <c r="J503" s="245" t="s">
        <v>12546</v>
      </c>
      <c r="K503" s="207"/>
      <c r="L503" s="66"/>
      <c r="M503" s="201" t="s">
        <v>12550</v>
      </c>
      <c r="N503" s="207"/>
      <c r="O503" s="38"/>
    </row>
    <row r="504" spans="1:15" ht="84" customHeight="1" x14ac:dyDescent="0.3">
      <c r="A504" s="242">
        <v>484</v>
      </c>
      <c r="B504" s="34" t="s">
        <v>12471</v>
      </c>
      <c r="C504" s="34" t="s">
        <v>12940</v>
      </c>
      <c r="D504" s="88"/>
      <c r="E504" s="245">
        <v>31.6</v>
      </c>
      <c r="F504" s="35">
        <f t="shared" si="7"/>
        <v>70452.757887917076</v>
      </c>
      <c r="G504" s="35">
        <f t="shared" si="8"/>
        <v>12317.90315516683</v>
      </c>
      <c r="H504" s="207"/>
      <c r="I504" s="207" t="s">
        <v>12545</v>
      </c>
      <c r="J504" s="245" t="s">
        <v>12546</v>
      </c>
      <c r="K504" s="207"/>
      <c r="L504" s="66"/>
      <c r="M504" s="201" t="s">
        <v>12550</v>
      </c>
      <c r="N504" s="207"/>
      <c r="O504" s="38"/>
    </row>
    <row r="505" spans="1:15" ht="84" customHeight="1" x14ac:dyDescent="0.3">
      <c r="A505" s="2">
        <v>485</v>
      </c>
      <c r="B505" s="34" t="s">
        <v>12471</v>
      </c>
      <c r="C505" s="34" t="s">
        <v>12941</v>
      </c>
      <c r="D505" s="88"/>
      <c r="E505" s="245">
        <v>31.9</v>
      </c>
      <c r="F505" s="35">
        <f t="shared" si="7"/>
        <v>71121.613184321337</v>
      </c>
      <c r="G505" s="35">
        <f t="shared" si="8"/>
        <v>12434.845273728539</v>
      </c>
      <c r="H505" s="207"/>
      <c r="I505" s="207" t="s">
        <v>12545</v>
      </c>
      <c r="J505" s="245" t="s">
        <v>12546</v>
      </c>
      <c r="K505" s="207"/>
      <c r="L505" s="66"/>
      <c r="M505" s="201" t="s">
        <v>12550</v>
      </c>
      <c r="N505" s="207"/>
      <c r="O505" s="38"/>
    </row>
    <row r="506" spans="1:15" ht="84" customHeight="1" x14ac:dyDescent="0.3">
      <c r="A506" s="242">
        <v>486</v>
      </c>
      <c r="B506" s="34" t="s">
        <v>12468</v>
      </c>
      <c r="C506" s="34" t="s">
        <v>12942</v>
      </c>
      <c r="D506" s="88"/>
      <c r="E506" s="245">
        <v>40.1</v>
      </c>
      <c r="F506" s="35">
        <f t="shared" si="7"/>
        <v>89403.657952704889</v>
      </c>
      <c r="G506" s="35">
        <f t="shared" si="8"/>
        <v>15631.263181081958</v>
      </c>
      <c r="H506" s="207"/>
      <c r="I506" s="207" t="s">
        <v>12545</v>
      </c>
      <c r="J506" s="245" t="s">
        <v>12546</v>
      </c>
      <c r="K506" s="207"/>
      <c r="L506" s="66"/>
      <c r="M506" s="201" t="s">
        <v>12550</v>
      </c>
      <c r="N506" s="207"/>
      <c r="O506" s="38"/>
    </row>
    <row r="507" spans="1:15" ht="96" customHeight="1" x14ac:dyDescent="0.3">
      <c r="A507" s="242">
        <v>487</v>
      </c>
      <c r="B507" s="34" t="s">
        <v>12471</v>
      </c>
      <c r="C507" s="34" t="s">
        <v>12943</v>
      </c>
      <c r="D507" s="88"/>
      <c r="E507" s="245">
        <v>32</v>
      </c>
      <c r="F507" s="35">
        <f t="shared" ref="F507:F514" si="9">1634266.62/593.2*E507</f>
        <v>88160.033445718145</v>
      </c>
      <c r="G507" s="35">
        <f t="shared" ref="G507:G514" si="10">308590.69/593.2*E507</f>
        <v>16646.834254888738</v>
      </c>
      <c r="H507" s="207"/>
      <c r="I507" s="207" t="s">
        <v>12545</v>
      </c>
      <c r="J507" s="245" t="s">
        <v>12546</v>
      </c>
      <c r="K507" s="26">
        <v>42338</v>
      </c>
      <c r="L507" s="66" t="s">
        <v>19507</v>
      </c>
      <c r="M507" s="201" t="s">
        <v>12550</v>
      </c>
      <c r="N507" s="207"/>
      <c r="O507" s="38"/>
    </row>
    <row r="508" spans="1:15" ht="84" customHeight="1" x14ac:dyDescent="0.3">
      <c r="A508" s="242">
        <v>488</v>
      </c>
      <c r="B508" s="34" t="s">
        <v>12467</v>
      </c>
      <c r="C508" s="34" t="s">
        <v>12944</v>
      </c>
      <c r="D508" s="88"/>
      <c r="E508" s="245">
        <v>60.4</v>
      </c>
      <c r="F508" s="35">
        <f t="shared" si="9"/>
        <v>166402.063128793</v>
      </c>
      <c r="G508" s="35">
        <f t="shared" si="10"/>
        <v>31420.899656102491</v>
      </c>
      <c r="H508" s="207"/>
      <c r="I508" s="207" t="s">
        <v>12545</v>
      </c>
      <c r="J508" s="245" t="s">
        <v>12546</v>
      </c>
      <c r="K508" s="207"/>
      <c r="L508" s="66"/>
      <c r="M508" s="201" t="s">
        <v>12550</v>
      </c>
      <c r="N508" s="207"/>
      <c r="O508" s="38"/>
    </row>
    <row r="509" spans="1:15" ht="84" customHeight="1" x14ac:dyDescent="0.3">
      <c r="A509" s="242">
        <v>489</v>
      </c>
      <c r="B509" s="34" t="s">
        <v>12467</v>
      </c>
      <c r="C509" s="34" t="s">
        <v>12945</v>
      </c>
      <c r="D509" s="88" t="s">
        <v>18014</v>
      </c>
      <c r="E509" s="245">
        <v>61.8</v>
      </c>
      <c r="F509" s="35">
        <f t="shared" si="9"/>
        <v>170259.06459204317</v>
      </c>
      <c r="G509" s="35">
        <f t="shared" si="10"/>
        <v>32149.198654753873</v>
      </c>
      <c r="H509" s="207"/>
      <c r="I509" s="207" t="s">
        <v>12545</v>
      </c>
      <c r="J509" s="66" t="s">
        <v>12546</v>
      </c>
      <c r="K509" s="26">
        <v>42656</v>
      </c>
      <c r="L509" s="66" t="s">
        <v>18015</v>
      </c>
      <c r="M509" s="201" t="s">
        <v>12550</v>
      </c>
      <c r="N509" s="207"/>
      <c r="O509" s="38"/>
    </row>
    <row r="510" spans="1:15" ht="84" customHeight="1" x14ac:dyDescent="0.3">
      <c r="A510" s="242">
        <v>490</v>
      </c>
      <c r="B510" s="34" t="s">
        <v>12468</v>
      </c>
      <c r="C510" s="34" t="s">
        <v>12946</v>
      </c>
      <c r="D510" s="88"/>
      <c r="E510" s="245">
        <v>49</v>
      </c>
      <c r="F510" s="35">
        <f t="shared" si="9"/>
        <v>134995.05121375591</v>
      </c>
      <c r="G510" s="35">
        <f t="shared" si="10"/>
        <v>25490.464952798378</v>
      </c>
      <c r="H510" s="207"/>
      <c r="I510" s="207" t="s">
        <v>12545</v>
      </c>
      <c r="J510" s="66" t="s">
        <v>12546</v>
      </c>
      <c r="K510" s="207"/>
      <c r="L510" s="66"/>
      <c r="M510" s="201" t="s">
        <v>12550</v>
      </c>
      <c r="N510" s="207"/>
      <c r="O510" s="38"/>
    </row>
    <row r="511" spans="1:15" ht="84" customHeight="1" x14ac:dyDescent="0.3">
      <c r="A511" s="242">
        <v>491</v>
      </c>
      <c r="B511" s="34" t="s">
        <v>12467</v>
      </c>
      <c r="C511" s="34" t="s">
        <v>12947</v>
      </c>
      <c r="D511" s="88"/>
      <c r="E511" s="245">
        <v>77.7</v>
      </c>
      <c r="F511" s="35">
        <f t="shared" si="9"/>
        <v>214063.58121038438</v>
      </c>
      <c r="G511" s="35">
        <f t="shared" si="10"/>
        <v>40420.594425151714</v>
      </c>
      <c r="H511" s="207"/>
      <c r="I511" s="207" t="s">
        <v>12545</v>
      </c>
      <c r="J511" s="66" t="s">
        <v>12546</v>
      </c>
      <c r="K511" s="207"/>
      <c r="L511" s="66"/>
      <c r="M511" s="201" t="s">
        <v>12550</v>
      </c>
      <c r="N511" s="207"/>
      <c r="O511" s="38"/>
    </row>
    <row r="512" spans="1:15" ht="84" customHeight="1" x14ac:dyDescent="0.3">
      <c r="A512" s="242">
        <v>492</v>
      </c>
      <c r="B512" s="34" t="s">
        <v>12467</v>
      </c>
      <c r="C512" s="34" t="s">
        <v>12948</v>
      </c>
      <c r="D512" s="88"/>
      <c r="E512" s="245">
        <v>78.099999999999994</v>
      </c>
      <c r="F512" s="35">
        <f t="shared" si="9"/>
        <v>215165.58162845584</v>
      </c>
      <c r="G512" s="35">
        <f t="shared" si="10"/>
        <v>40628.679853337824</v>
      </c>
      <c r="H512" s="207"/>
      <c r="I512" s="207" t="s">
        <v>12545</v>
      </c>
      <c r="J512" s="245" t="s">
        <v>12546</v>
      </c>
      <c r="K512" s="207"/>
      <c r="L512" s="66"/>
      <c r="M512" s="201" t="s">
        <v>12550</v>
      </c>
      <c r="N512" s="207"/>
      <c r="O512" s="38"/>
    </row>
    <row r="513" spans="1:15" ht="84" customHeight="1" x14ac:dyDescent="0.3">
      <c r="A513" s="242">
        <v>493</v>
      </c>
      <c r="B513" s="34" t="s">
        <v>12471</v>
      </c>
      <c r="C513" s="34" t="s">
        <v>12949</v>
      </c>
      <c r="D513" s="88"/>
      <c r="E513" s="245">
        <v>32.200000000000003</v>
      </c>
      <c r="F513" s="35">
        <f t="shared" si="9"/>
        <v>88711.03365475389</v>
      </c>
      <c r="G513" s="35">
        <f t="shared" si="10"/>
        <v>16750.876968981793</v>
      </c>
      <c r="H513" s="207"/>
      <c r="I513" s="207" t="s">
        <v>12545</v>
      </c>
      <c r="J513" s="245" t="s">
        <v>12546</v>
      </c>
      <c r="K513" s="207"/>
      <c r="L513" s="66"/>
      <c r="M513" s="201" t="s">
        <v>12550</v>
      </c>
      <c r="N513" s="207"/>
      <c r="O513" s="38"/>
    </row>
    <row r="514" spans="1:15" ht="84" customHeight="1" x14ac:dyDescent="0.3">
      <c r="A514" s="2">
        <v>494</v>
      </c>
      <c r="B514" s="34" t="s">
        <v>12467</v>
      </c>
      <c r="C514" s="34" t="s">
        <v>12950</v>
      </c>
      <c r="D514" s="88"/>
      <c r="E514" s="245">
        <v>61.4</v>
      </c>
      <c r="F514" s="35">
        <f t="shared" si="9"/>
        <v>169157.06417397168</v>
      </c>
      <c r="G514" s="35">
        <f t="shared" si="10"/>
        <v>31941.113226567766</v>
      </c>
      <c r="H514" s="207"/>
      <c r="I514" s="207" t="s">
        <v>12545</v>
      </c>
      <c r="J514" s="245" t="s">
        <v>12546</v>
      </c>
      <c r="K514" s="207"/>
      <c r="L514" s="66"/>
      <c r="M514" s="201" t="s">
        <v>12550</v>
      </c>
      <c r="N514" s="207"/>
      <c r="O514" s="38"/>
    </row>
    <row r="515" spans="1:15" ht="84" customHeight="1" x14ac:dyDescent="0.3">
      <c r="A515" s="242">
        <v>495</v>
      </c>
      <c r="B515" s="34" t="s">
        <v>12470</v>
      </c>
      <c r="C515" s="34" t="s">
        <v>12666</v>
      </c>
      <c r="D515" s="88" t="s">
        <v>12510</v>
      </c>
      <c r="E515" s="245">
        <v>32.200000000000003</v>
      </c>
      <c r="F515" s="35">
        <v>1222272</v>
      </c>
      <c r="G515" s="35" t="s">
        <v>14</v>
      </c>
      <c r="H515" s="25"/>
      <c r="I515" s="207" t="s">
        <v>12545</v>
      </c>
      <c r="J515" s="245" t="s">
        <v>12546</v>
      </c>
      <c r="K515" s="207"/>
      <c r="L515" s="66"/>
      <c r="M515" s="201" t="s">
        <v>12550</v>
      </c>
      <c r="N515" s="207"/>
      <c r="O515" s="38"/>
    </row>
    <row r="516" spans="1:15" ht="84" customHeight="1" x14ac:dyDescent="0.3">
      <c r="A516" s="242">
        <v>496</v>
      </c>
      <c r="B516" s="34" t="s">
        <v>12467</v>
      </c>
      <c r="C516" s="34" t="s">
        <v>12951</v>
      </c>
      <c r="D516" s="88"/>
      <c r="E516" s="245">
        <v>61.4</v>
      </c>
      <c r="F516" s="35">
        <f>1634266.62/593.2*E516</f>
        <v>169157.06417397168</v>
      </c>
      <c r="G516" s="35">
        <f>308590.69/593.2*E516</f>
        <v>31941.113226567766</v>
      </c>
      <c r="H516" s="207"/>
      <c r="I516" s="207" t="s">
        <v>12545</v>
      </c>
      <c r="J516" s="245" t="s">
        <v>12546</v>
      </c>
      <c r="K516" s="207"/>
      <c r="L516" s="66"/>
      <c r="M516" s="201" t="s">
        <v>12550</v>
      </c>
      <c r="N516" s="207"/>
      <c r="O516" s="38"/>
    </row>
    <row r="517" spans="1:15" ht="84" customHeight="1" x14ac:dyDescent="0.3">
      <c r="A517" s="242">
        <v>497</v>
      </c>
      <c r="B517" s="34" t="s">
        <v>12471</v>
      </c>
      <c r="C517" s="34" t="s">
        <v>12952</v>
      </c>
      <c r="D517" s="88"/>
      <c r="E517" s="245">
        <v>31.6</v>
      </c>
      <c r="F517" s="35">
        <f>1634266.62/593.2*E517</f>
        <v>87058.03302764667</v>
      </c>
      <c r="G517" s="35">
        <f>308590.69/593.2*E517</f>
        <v>16438.748826702627</v>
      </c>
      <c r="H517" s="207"/>
      <c r="I517" s="207" t="s">
        <v>12545</v>
      </c>
      <c r="J517" s="245" t="s">
        <v>12546</v>
      </c>
      <c r="K517" s="207"/>
      <c r="L517" s="66"/>
      <c r="M517" s="201" t="s">
        <v>12550</v>
      </c>
      <c r="N517" s="207"/>
      <c r="O517" s="38"/>
    </row>
    <row r="518" spans="1:15" ht="84" customHeight="1" x14ac:dyDescent="0.3">
      <c r="A518" s="2">
        <v>498</v>
      </c>
      <c r="B518" s="34" t="s">
        <v>12468</v>
      </c>
      <c r="C518" s="34" t="s">
        <v>12953</v>
      </c>
      <c r="D518" s="88"/>
      <c r="E518" s="245">
        <v>47.6</v>
      </c>
      <c r="F518" s="35">
        <f>1634266.62/593.2*E518</f>
        <v>131138.04975050574</v>
      </c>
      <c r="G518" s="35">
        <f>308590.69/593.2*E518</f>
        <v>24762.165954146996</v>
      </c>
      <c r="H518" s="207"/>
      <c r="I518" s="207" t="s">
        <v>12545</v>
      </c>
      <c r="J518" s="245" t="s">
        <v>12546</v>
      </c>
      <c r="K518" s="207"/>
      <c r="L518" s="66"/>
      <c r="M518" s="201" t="s">
        <v>12550</v>
      </c>
      <c r="N518" s="207"/>
      <c r="O518" s="38"/>
    </row>
    <row r="519" spans="1:15" ht="132" customHeight="1" x14ac:dyDescent="0.3">
      <c r="A519" s="242">
        <v>499</v>
      </c>
      <c r="B519" s="34" t="s">
        <v>12468</v>
      </c>
      <c r="C519" s="34" t="s">
        <v>12954</v>
      </c>
      <c r="D519" s="88" t="s">
        <v>19461</v>
      </c>
      <c r="E519" s="245">
        <v>43.5</v>
      </c>
      <c r="F519" s="35">
        <f t="shared" ref="F519:F524" si="11">224125.95/237*E519</f>
        <v>41137.041455696199</v>
      </c>
      <c r="G519" s="35">
        <f t="shared" ref="G519:G524" si="12">77099.39/237*E519</f>
        <v>14151.153860759494</v>
      </c>
      <c r="H519" s="207"/>
      <c r="I519" s="207" t="s">
        <v>12545</v>
      </c>
      <c r="J519" s="245" t="s">
        <v>19460</v>
      </c>
      <c r="K519" s="26">
        <v>43067</v>
      </c>
      <c r="L519" s="66" t="s">
        <v>19509</v>
      </c>
      <c r="M519" s="201" t="s">
        <v>12550</v>
      </c>
      <c r="N519" s="207"/>
      <c r="O519" s="38"/>
    </row>
    <row r="520" spans="1:15" ht="84" customHeight="1" x14ac:dyDescent="0.3">
      <c r="A520" s="242">
        <v>500</v>
      </c>
      <c r="B520" s="34" t="s">
        <v>12468</v>
      </c>
      <c r="C520" s="34" t="s">
        <v>12955</v>
      </c>
      <c r="D520" s="88"/>
      <c r="E520" s="245">
        <v>38.6</v>
      </c>
      <c r="F520" s="35">
        <f t="shared" si="11"/>
        <v>36503.213797468357</v>
      </c>
      <c r="G520" s="35">
        <f t="shared" si="12"/>
        <v>12557.115839662449</v>
      </c>
      <c r="H520" s="207"/>
      <c r="I520" s="207" t="s">
        <v>12545</v>
      </c>
      <c r="J520" s="245" t="s">
        <v>12546</v>
      </c>
      <c r="K520" s="26">
        <v>42815</v>
      </c>
      <c r="L520" s="66" t="s">
        <v>18204</v>
      </c>
      <c r="M520" s="201" t="s">
        <v>12550</v>
      </c>
      <c r="N520" s="207"/>
      <c r="O520" s="38"/>
    </row>
    <row r="521" spans="1:15" ht="84" customHeight="1" x14ac:dyDescent="0.3">
      <c r="A521" s="2">
        <v>501</v>
      </c>
      <c r="B521" s="34" t="s">
        <v>12471</v>
      </c>
      <c r="C521" s="34" t="s">
        <v>12956</v>
      </c>
      <c r="D521" s="88"/>
      <c r="E521" s="245">
        <v>30.9</v>
      </c>
      <c r="F521" s="35">
        <f t="shared" si="11"/>
        <v>29221.484620253163</v>
      </c>
      <c r="G521" s="35">
        <f t="shared" si="12"/>
        <v>10052.198949367088</v>
      </c>
      <c r="H521" s="207"/>
      <c r="I521" s="207" t="s">
        <v>12545</v>
      </c>
      <c r="J521" s="245" t="s">
        <v>12546</v>
      </c>
      <c r="K521" s="207"/>
      <c r="L521" s="66"/>
      <c r="M521" s="201" t="s">
        <v>12550</v>
      </c>
      <c r="N521" s="207"/>
      <c r="O521" s="38"/>
    </row>
    <row r="522" spans="1:15" ht="84" customHeight="1" x14ac:dyDescent="0.3">
      <c r="A522" s="2">
        <v>502</v>
      </c>
      <c r="B522" s="34" t="s">
        <v>12468</v>
      </c>
      <c r="C522" s="34" t="s">
        <v>12957</v>
      </c>
      <c r="D522" s="88" t="s">
        <v>18019</v>
      </c>
      <c r="E522" s="245">
        <v>41.3</v>
      </c>
      <c r="F522" s="35">
        <f t="shared" si="11"/>
        <v>39056.547405063291</v>
      </c>
      <c r="G522" s="35">
        <f t="shared" si="12"/>
        <v>13435.463320675104</v>
      </c>
      <c r="H522" s="207"/>
      <c r="I522" s="207" t="s">
        <v>12545</v>
      </c>
      <c r="J522" s="245" t="s">
        <v>12546</v>
      </c>
      <c r="K522" s="207" t="s">
        <v>17889</v>
      </c>
      <c r="L522" s="66" t="s">
        <v>17890</v>
      </c>
      <c r="M522" s="201" t="s">
        <v>12550</v>
      </c>
      <c r="N522" s="207"/>
      <c r="O522" s="38"/>
    </row>
    <row r="523" spans="1:15" ht="84" customHeight="1" x14ac:dyDescent="0.3">
      <c r="A523" s="2">
        <v>503</v>
      </c>
      <c r="B523" s="34" t="s">
        <v>12468</v>
      </c>
      <c r="C523" s="34" t="s">
        <v>12958</v>
      </c>
      <c r="D523" s="88"/>
      <c r="E523" s="245">
        <v>39</v>
      </c>
      <c r="F523" s="35">
        <f t="shared" si="11"/>
        <v>36881.485443037971</v>
      </c>
      <c r="G523" s="35">
        <f t="shared" si="12"/>
        <v>12687.241392405063</v>
      </c>
      <c r="H523" s="207"/>
      <c r="I523" s="207" t="s">
        <v>12545</v>
      </c>
      <c r="J523" s="245" t="s">
        <v>12546</v>
      </c>
      <c r="K523" s="207"/>
      <c r="L523" s="66"/>
      <c r="M523" s="201" t="s">
        <v>12550</v>
      </c>
      <c r="N523" s="207"/>
      <c r="O523" s="38"/>
    </row>
    <row r="524" spans="1:15" ht="84" customHeight="1" x14ac:dyDescent="0.3">
      <c r="A524" s="2">
        <v>504</v>
      </c>
      <c r="B524" s="34" t="s">
        <v>12468</v>
      </c>
      <c r="C524" s="34" t="s">
        <v>12959</v>
      </c>
      <c r="D524" s="88"/>
      <c r="E524" s="245">
        <v>43.7</v>
      </c>
      <c r="F524" s="35">
        <f t="shared" si="11"/>
        <v>41326.177278481016</v>
      </c>
      <c r="G524" s="35">
        <f t="shared" si="12"/>
        <v>14216.216637130803</v>
      </c>
      <c r="H524" s="207"/>
      <c r="I524" s="207" t="s">
        <v>12545</v>
      </c>
      <c r="J524" s="245" t="s">
        <v>12546</v>
      </c>
      <c r="K524" s="207"/>
      <c r="L524" s="66"/>
      <c r="M524" s="201" t="s">
        <v>12550</v>
      </c>
      <c r="N524" s="207"/>
      <c r="O524" s="38"/>
    </row>
    <row r="525" spans="1:15" ht="84" customHeight="1" x14ac:dyDescent="0.3">
      <c r="A525" s="2">
        <v>505</v>
      </c>
      <c r="B525" s="34" t="s">
        <v>12471</v>
      </c>
      <c r="C525" s="34" t="s">
        <v>12960</v>
      </c>
      <c r="D525" s="88"/>
      <c r="E525" s="245">
        <v>33.4</v>
      </c>
      <c r="F525" s="35">
        <f>683450.81/268.6*E525</f>
        <v>84986.06498138496</v>
      </c>
      <c r="G525" s="35">
        <f>109935.22/268.6*E525</f>
        <v>13670.276798212955</v>
      </c>
      <c r="H525" s="207"/>
      <c r="I525" s="207" t="s">
        <v>12545</v>
      </c>
      <c r="J525" s="245" t="s">
        <v>12546</v>
      </c>
      <c r="K525" s="207"/>
      <c r="L525" s="66"/>
      <c r="M525" s="201" t="s">
        <v>12550</v>
      </c>
      <c r="N525" s="207"/>
      <c r="O525" s="38"/>
    </row>
    <row r="526" spans="1:15" ht="84" customHeight="1" x14ac:dyDescent="0.3">
      <c r="A526" s="2">
        <v>506</v>
      </c>
      <c r="B526" s="34" t="s">
        <v>12468</v>
      </c>
      <c r="C526" s="34" t="s">
        <v>12961</v>
      </c>
      <c r="D526" s="88"/>
      <c r="E526" s="245">
        <v>52.9</v>
      </c>
      <c r="F526" s="35">
        <f>683450.81/268.6*E526</f>
        <v>134603.67776991811</v>
      </c>
      <c r="G526" s="35">
        <f>109935.22/268.6*E526</f>
        <v>21651.426425912134</v>
      </c>
      <c r="H526" s="207"/>
      <c r="I526" s="207" t="s">
        <v>12545</v>
      </c>
      <c r="J526" s="245" t="s">
        <v>12546</v>
      </c>
      <c r="K526" s="207"/>
      <c r="L526" s="66"/>
      <c r="M526" s="201" t="s">
        <v>12550</v>
      </c>
      <c r="N526" s="207"/>
      <c r="O526" s="38"/>
    </row>
    <row r="527" spans="1:15" ht="120" customHeight="1" x14ac:dyDescent="0.3">
      <c r="A527" s="2">
        <v>507</v>
      </c>
      <c r="B527" s="34" t="s">
        <v>12467</v>
      </c>
      <c r="C527" s="34" t="s">
        <v>12962</v>
      </c>
      <c r="D527" s="88" t="s">
        <v>22604</v>
      </c>
      <c r="E527" s="245">
        <v>67.599999999999994</v>
      </c>
      <c r="F527" s="35">
        <f>683450.81/268.6*E527</f>
        <v>172007.72433358154</v>
      </c>
      <c r="G527" s="35">
        <f>109935.22/268.6*E527</f>
        <v>27667.985376023822</v>
      </c>
      <c r="H527" s="207"/>
      <c r="I527" s="207" t="s">
        <v>12545</v>
      </c>
      <c r="J527" s="245" t="s">
        <v>12546</v>
      </c>
      <c r="K527" s="26">
        <v>43543</v>
      </c>
      <c r="L527" s="66" t="s">
        <v>22605</v>
      </c>
      <c r="M527" s="201" t="s">
        <v>12550</v>
      </c>
      <c r="N527" s="207"/>
      <c r="O527" s="38" t="s">
        <v>21776</v>
      </c>
    </row>
    <row r="528" spans="1:15" ht="84" customHeight="1" x14ac:dyDescent="0.3">
      <c r="A528" s="2">
        <v>508</v>
      </c>
      <c r="B528" s="34" t="s">
        <v>12468</v>
      </c>
      <c r="C528" s="34" t="s">
        <v>12963</v>
      </c>
      <c r="D528" s="88"/>
      <c r="E528" s="245">
        <v>47.4</v>
      </c>
      <c r="F528" s="35">
        <f>683450.81/268.6*E528</f>
        <v>120608.96647058825</v>
      </c>
      <c r="G528" s="35">
        <f>109935.22/268.6*E528</f>
        <v>19400.332941176468</v>
      </c>
      <c r="H528" s="207"/>
      <c r="I528" s="207" t="s">
        <v>12545</v>
      </c>
      <c r="J528" s="245" t="s">
        <v>12546</v>
      </c>
      <c r="K528" s="207"/>
      <c r="L528" s="66"/>
      <c r="M528" s="201" t="s">
        <v>12550</v>
      </c>
      <c r="N528" s="207"/>
      <c r="O528" s="38"/>
    </row>
    <row r="529" spans="1:15" ht="108" x14ac:dyDescent="0.3">
      <c r="A529" s="2">
        <v>509</v>
      </c>
      <c r="B529" s="34" t="s">
        <v>12467</v>
      </c>
      <c r="C529" s="34" t="s">
        <v>12964</v>
      </c>
      <c r="D529" s="88" t="s">
        <v>23385</v>
      </c>
      <c r="E529" s="245">
        <v>67.3</v>
      </c>
      <c r="F529" s="35">
        <f>683450.81/268.6*E529</f>
        <v>171244.37644452718</v>
      </c>
      <c r="G529" s="35">
        <f>109935.22/268.6*E529</f>
        <v>27545.198458674608</v>
      </c>
      <c r="H529" s="207"/>
      <c r="I529" s="207" t="s">
        <v>12545</v>
      </c>
      <c r="J529" s="245" t="s">
        <v>12546</v>
      </c>
      <c r="K529" s="207" t="s">
        <v>23383</v>
      </c>
      <c r="L529" s="66" t="s">
        <v>23384</v>
      </c>
      <c r="M529" s="201" t="s">
        <v>12550</v>
      </c>
      <c r="N529" s="207"/>
      <c r="O529" s="38" t="s">
        <v>21514</v>
      </c>
    </row>
    <row r="530" spans="1:15" ht="108" customHeight="1" x14ac:dyDescent="0.3">
      <c r="A530" s="2">
        <v>510</v>
      </c>
      <c r="B530" s="34" t="s">
        <v>12470</v>
      </c>
      <c r="C530" s="34" t="s">
        <v>12667</v>
      </c>
      <c r="D530" s="88" t="s">
        <v>12511</v>
      </c>
      <c r="E530" s="245">
        <v>33.4</v>
      </c>
      <c r="F530" s="35">
        <v>1260468</v>
      </c>
      <c r="G530" s="35" t="s">
        <v>14</v>
      </c>
      <c r="H530" s="25"/>
      <c r="I530" s="207" t="s">
        <v>12545</v>
      </c>
      <c r="J530" s="245" t="s">
        <v>12546</v>
      </c>
      <c r="K530" s="207"/>
      <c r="L530" s="66"/>
      <c r="M530" s="201" t="s">
        <v>12550</v>
      </c>
      <c r="N530" s="245"/>
      <c r="O530" s="38" t="s">
        <v>21774</v>
      </c>
    </row>
    <row r="531" spans="1:15" ht="72" customHeight="1" x14ac:dyDescent="0.3">
      <c r="A531" s="2">
        <v>511</v>
      </c>
      <c r="B531" s="34" t="s">
        <v>12467</v>
      </c>
      <c r="C531" s="34" t="s">
        <v>12965</v>
      </c>
      <c r="D531" s="88"/>
      <c r="E531" s="245">
        <v>51.9</v>
      </c>
      <c r="F531" s="35">
        <f t="shared" ref="F531:F538" si="13">655813.56/703*E531</f>
        <v>48416.392267425326</v>
      </c>
      <c r="G531" s="35">
        <f t="shared" ref="G531:G538" si="14">73386.91/703*E531</f>
        <v>5417.8956315789474</v>
      </c>
      <c r="H531" s="207"/>
      <c r="I531" s="207" t="s">
        <v>12545</v>
      </c>
      <c r="J531" s="66" t="s">
        <v>12546</v>
      </c>
      <c r="K531" s="207"/>
      <c r="L531" s="66"/>
      <c r="M531" s="201" t="s">
        <v>12550</v>
      </c>
      <c r="N531" s="207"/>
      <c r="O531" s="38" t="s">
        <v>20455</v>
      </c>
    </row>
    <row r="532" spans="1:15" ht="72" customHeight="1" x14ac:dyDescent="0.3">
      <c r="A532" s="242">
        <v>512</v>
      </c>
      <c r="B532" s="34" t="s">
        <v>12467</v>
      </c>
      <c r="C532" s="34" t="s">
        <v>12966</v>
      </c>
      <c r="D532" s="88"/>
      <c r="E532" s="245">
        <v>69.7</v>
      </c>
      <c r="F532" s="35">
        <f t="shared" si="13"/>
        <v>65021.628921763877</v>
      </c>
      <c r="G532" s="35">
        <f t="shared" si="14"/>
        <v>7276.0563684210538</v>
      </c>
      <c r="H532" s="207"/>
      <c r="I532" s="207" t="s">
        <v>12545</v>
      </c>
      <c r="J532" s="245" t="s">
        <v>12546</v>
      </c>
      <c r="K532" s="207"/>
      <c r="L532" s="66"/>
      <c r="M532" s="201" t="s">
        <v>12550</v>
      </c>
      <c r="N532" s="207"/>
      <c r="O532" s="38"/>
    </row>
    <row r="533" spans="1:15" ht="72" customHeight="1" x14ac:dyDescent="0.3">
      <c r="A533" s="242">
        <v>513</v>
      </c>
      <c r="B533" s="34" t="s">
        <v>12468</v>
      </c>
      <c r="C533" s="34" t="s">
        <v>12967</v>
      </c>
      <c r="D533" s="88"/>
      <c r="E533" s="245">
        <v>51.6</v>
      </c>
      <c r="F533" s="35">
        <f t="shared" si="13"/>
        <v>48136.528728307261</v>
      </c>
      <c r="G533" s="35">
        <f t="shared" si="14"/>
        <v>5386.5783157894748</v>
      </c>
      <c r="H533" s="207"/>
      <c r="I533" s="207" t="s">
        <v>12545</v>
      </c>
      <c r="J533" s="245" t="s">
        <v>12546</v>
      </c>
      <c r="K533" s="207"/>
      <c r="L533" s="66"/>
      <c r="M533" s="201" t="s">
        <v>12550</v>
      </c>
      <c r="N533" s="207"/>
      <c r="O533" s="38"/>
    </row>
    <row r="534" spans="1:15" ht="72" customHeight="1" x14ac:dyDescent="0.3">
      <c r="A534" s="242">
        <v>514</v>
      </c>
      <c r="B534" s="34" t="s">
        <v>12468</v>
      </c>
      <c r="C534" s="34" t="s">
        <v>12968</v>
      </c>
      <c r="D534" s="88"/>
      <c r="E534" s="245">
        <v>56.7</v>
      </c>
      <c r="F534" s="35">
        <f t="shared" si="13"/>
        <v>52894.208893314375</v>
      </c>
      <c r="G534" s="35">
        <f t="shared" si="14"/>
        <v>5918.9726842105274</v>
      </c>
      <c r="H534" s="207"/>
      <c r="I534" s="207" t="s">
        <v>12545</v>
      </c>
      <c r="J534" s="245" t="s">
        <v>12546</v>
      </c>
      <c r="K534" s="207"/>
      <c r="L534" s="66"/>
      <c r="M534" s="201" t="s">
        <v>12550</v>
      </c>
      <c r="N534" s="207"/>
      <c r="O534" s="38"/>
    </row>
    <row r="535" spans="1:15" ht="72" customHeight="1" x14ac:dyDescent="0.3">
      <c r="A535" s="2">
        <v>515</v>
      </c>
      <c r="B535" s="34" t="s">
        <v>12467</v>
      </c>
      <c r="C535" s="34" t="s">
        <v>12969</v>
      </c>
      <c r="D535" s="88"/>
      <c r="E535" s="66">
        <v>69.7</v>
      </c>
      <c r="F535" s="35">
        <f t="shared" si="13"/>
        <v>65021.628921763877</v>
      </c>
      <c r="G535" s="35">
        <f t="shared" si="14"/>
        <v>7276.0563684210538</v>
      </c>
      <c r="H535" s="207"/>
      <c r="I535" s="207" t="s">
        <v>12545</v>
      </c>
      <c r="J535" s="66" t="s">
        <v>12546</v>
      </c>
      <c r="K535" s="207"/>
      <c r="L535" s="66"/>
      <c r="M535" s="201" t="s">
        <v>12550</v>
      </c>
      <c r="N535" s="207"/>
      <c r="O535" s="38"/>
    </row>
    <row r="536" spans="1:15" ht="72" customHeight="1" x14ac:dyDescent="0.3">
      <c r="A536" s="242">
        <v>516</v>
      </c>
      <c r="B536" s="34" t="s">
        <v>12471</v>
      </c>
      <c r="C536" s="34" t="s">
        <v>12970</v>
      </c>
      <c r="D536" s="88"/>
      <c r="E536" s="245">
        <v>32.799999999999997</v>
      </c>
      <c r="F536" s="35">
        <f t="shared" si="13"/>
        <v>30598.413610241823</v>
      </c>
      <c r="G536" s="35">
        <f t="shared" si="14"/>
        <v>3424.0265263157894</v>
      </c>
      <c r="H536" s="207"/>
      <c r="I536" s="207" t="s">
        <v>12545</v>
      </c>
      <c r="J536" s="245" t="s">
        <v>12546</v>
      </c>
      <c r="K536" s="207"/>
      <c r="L536" s="66"/>
      <c r="M536" s="201" t="s">
        <v>12550</v>
      </c>
      <c r="N536" s="207"/>
      <c r="O536" s="38"/>
    </row>
    <row r="537" spans="1:15" ht="72" customHeight="1" x14ac:dyDescent="0.3">
      <c r="A537" s="242">
        <v>517</v>
      </c>
      <c r="B537" s="34" t="s">
        <v>12471</v>
      </c>
      <c r="C537" s="34" t="s">
        <v>12971</v>
      </c>
      <c r="D537" s="88"/>
      <c r="E537" s="245">
        <v>35.5</v>
      </c>
      <c r="F537" s="35">
        <f t="shared" si="13"/>
        <v>33117.185462304413</v>
      </c>
      <c r="G537" s="35">
        <f t="shared" si="14"/>
        <v>3705.8823684210529</v>
      </c>
      <c r="H537" s="207"/>
      <c r="I537" s="207" t="s">
        <v>12545</v>
      </c>
      <c r="J537" s="245" t="s">
        <v>12546</v>
      </c>
      <c r="K537" s="207"/>
      <c r="L537" s="66"/>
      <c r="M537" s="201" t="s">
        <v>12550</v>
      </c>
      <c r="N537" s="207"/>
      <c r="O537" s="38"/>
    </row>
    <row r="538" spans="1:15" ht="84" customHeight="1" x14ac:dyDescent="0.3">
      <c r="A538" s="2">
        <v>518</v>
      </c>
      <c r="B538" s="34" t="s">
        <v>12468</v>
      </c>
      <c r="C538" s="34" t="s">
        <v>12972</v>
      </c>
      <c r="D538" s="88"/>
      <c r="E538" s="245">
        <v>50.8</v>
      </c>
      <c r="F538" s="35">
        <f t="shared" si="13"/>
        <v>47390.225957325747</v>
      </c>
      <c r="G538" s="35">
        <f t="shared" si="14"/>
        <v>5303.0654736842107</v>
      </c>
      <c r="H538" s="207"/>
      <c r="I538" s="207" t="s">
        <v>12545</v>
      </c>
      <c r="J538" s="245" t="s">
        <v>12546</v>
      </c>
      <c r="K538" s="207" t="s">
        <v>16341</v>
      </c>
      <c r="L538" s="66" t="s">
        <v>16342</v>
      </c>
      <c r="M538" s="201" t="s">
        <v>12550</v>
      </c>
      <c r="N538" s="207"/>
      <c r="O538" s="38"/>
    </row>
    <row r="539" spans="1:15" ht="72" customHeight="1" x14ac:dyDescent="0.3">
      <c r="A539" s="2">
        <v>519</v>
      </c>
      <c r="B539" s="34" t="s">
        <v>12470</v>
      </c>
      <c r="C539" s="34" t="s">
        <v>12474</v>
      </c>
      <c r="D539" s="88" t="s">
        <v>12512</v>
      </c>
      <c r="E539" s="245">
        <v>35.5</v>
      </c>
      <c r="F539" s="35">
        <v>1261000</v>
      </c>
      <c r="G539" s="35" t="s">
        <v>14</v>
      </c>
      <c r="H539" s="25"/>
      <c r="I539" s="207" t="s">
        <v>12545</v>
      </c>
      <c r="J539" s="245" t="s">
        <v>12546</v>
      </c>
      <c r="K539" s="207"/>
      <c r="L539" s="66"/>
      <c r="M539" s="201" t="s">
        <v>12550</v>
      </c>
      <c r="N539" s="245" t="s">
        <v>15038</v>
      </c>
      <c r="O539" s="38" t="s">
        <v>23685</v>
      </c>
    </row>
    <row r="540" spans="1:15" ht="72" customHeight="1" x14ac:dyDescent="0.3">
      <c r="A540" s="2">
        <v>520</v>
      </c>
      <c r="B540" s="34" t="s">
        <v>12468</v>
      </c>
      <c r="C540" s="34" t="s">
        <v>12973</v>
      </c>
      <c r="D540" s="88"/>
      <c r="E540" s="245">
        <v>56.7</v>
      </c>
      <c r="F540" s="35">
        <f>655813.56/703*E540</f>
        <v>52894.208893314375</v>
      </c>
      <c r="G540" s="35">
        <f>73386.91/703*E540</f>
        <v>5918.9726842105274</v>
      </c>
      <c r="H540" s="207"/>
      <c r="I540" s="207" t="s">
        <v>12545</v>
      </c>
      <c r="J540" s="245" t="s">
        <v>12546</v>
      </c>
      <c r="K540" s="207"/>
      <c r="L540" s="66"/>
      <c r="M540" s="201" t="s">
        <v>12550</v>
      </c>
      <c r="N540" s="207"/>
      <c r="O540" s="38"/>
    </row>
    <row r="541" spans="1:15" ht="72" customHeight="1" x14ac:dyDescent="0.3">
      <c r="A541" s="2">
        <v>521</v>
      </c>
      <c r="B541" s="34" t="s">
        <v>12468</v>
      </c>
      <c r="C541" s="34" t="s">
        <v>12974</v>
      </c>
      <c r="D541" s="88"/>
      <c r="E541" s="245">
        <v>51.5</v>
      </c>
      <c r="F541" s="35">
        <f>655813.56/703*E541</f>
        <v>48043.240881934573</v>
      </c>
      <c r="G541" s="35">
        <f>73386.91/703*E541</f>
        <v>5376.1392105263167</v>
      </c>
      <c r="H541" s="207"/>
      <c r="I541" s="207" t="s">
        <v>12545</v>
      </c>
      <c r="J541" s="245" t="s">
        <v>12546</v>
      </c>
      <c r="K541" s="207"/>
      <c r="L541" s="66"/>
      <c r="M541" s="201" t="s">
        <v>12550</v>
      </c>
      <c r="N541" s="207"/>
      <c r="O541" s="38" t="s">
        <v>21515</v>
      </c>
    </row>
    <row r="542" spans="1:15" ht="72" customHeight="1" x14ac:dyDescent="0.3">
      <c r="A542" s="242">
        <v>522</v>
      </c>
      <c r="B542" s="34" t="s">
        <v>12468</v>
      </c>
      <c r="C542" s="34" t="s">
        <v>12975</v>
      </c>
      <c r="D542" s="88"/>
      <c r="E542" s="245">
        <v>51.7</v>
      </c>
      <c r="F542" s="35">
        <f>655813.56/703*E542</f>
        <v>48229.81657467995</v>
      </c>
      <c r="G542" s="35">
        <f>73386.91/703*E542</f>
        <v>5397.017421052632</v>
      </c>
      <c r="H542" s="207"/>
      <c r="I542" s="207" t="s">
        <v>12545</v>
      </c>
      <c r="J542" s="245" t="s">
        <v>12546</v>
      </c>
      <c r="K542" s="207"/>
      <c r="L542" s="66"/>
      <c r="M542" s="201" t="s">
        <v>12550</v>
      </c>
      <c r="N542" s="207"/>
      <c r="O542" s="38" t="s">
        <v>21516</v>
      </c>
    </row>
    <row r="543" spans="1:15" ht="72" customHeight="1" x14ac:dyDescent="0.3">
      <c r="A543" s="2">
        <v>523</v>
      </c>
      <c r="B543" s="34" t="s">
        <v>12468</v>
      </c>
      <c r="C543" s="34" t="s">
        <v>12976</v>
      </c>
      <c r="D543" s="88"/>
      <c r="E543" s="245">
        <v>51.5</v>
      </c>
      <c r="F543" s="35">
        <f>655813.56/703*E543</f>
        <v>48043.240881934573</v>
      </c>
      <c r="G543" s="35">
        <f>73386.91/703*E543</f>
        <v>5376.1392105263167</v>
      </c>
      <c r="H543" s="207"/>
      <c r="I543" s="207" t="s">
        <v>12545</v>
      </c>
      <c r="J543" s="245" t="s">
        <v>12546</v>
      </c>
      <c r="K543" s="207"/>
      <c r="L543" s="66"/>
      <c r="M543" s="201" t="s">
        <v>12550</v>
      </c>
      <c r="N543" s="207"/>
      <c r="O543" s="38" t="s">
        <v>21517</v>
      </c>
    </row>
    <row r="544" spans="1:15" ht="72" customHeight="1" x14ac:dyDescent="0.3">
      <c r="A544" s="2">
        <v>524</v>
      </c>
      <c r="B544" s="34" t="s">
        <v>12468</v>
      </c>
      <c r="C544" s="34" t="s">
        <v>12977</v>
      </c>
      <c r="D544" s="88"/>
      <c r="E544" s="245">
        <v>55.9</v>
      </c>
      <c r="F544" s="35">
        <f>655813.56/703*E544</f>
        <v>52147.906122332861</v>
      </c>
      <c r="G544" s="35">
        <f>73386.91/703*E544</f>
        <v>5835.4598421052633</v>
      </c>
      <c r="H544" s="207"/>
      <c r="I544" s="207" t="s">
        <v>12545</v>
      </c>
      <c r="J544" s="245" t="s">
        <v>12546</v>
      </c>
      <c r="K544" s="207"/>
      <c r="L544" s="66"/>
      <c r="M544" s="201" t="s">
        <v>12550</v>
      </c>
      <c r="N544" s="207"/>
      <c r="O544" s="38" t="s">
        <v>21518</v>
      </c>
    </row>
    <row r="545" spans="1:15" ht="84" customHeight="1" x14ac:dyDescent="0.3">
      <c r="A545" s="2">
        <v>525</v>
      </c>
      <c r="B545" s="34" t="s">
        <v>12468</v>
      </c>
      <c r="C545" s="34" t="s">
        <v>12978</v>
      </c>
      <c r="D545" s="88"/>
      <c r="E545" s="245">
        <v>59.3</v>
      </c>
      <c r="F545" s="35">
        <v>183711.51</v>
      </c>
      <c r="G545" s="35">
        <v>13227.23</v>
      </c>
      <c r="H545" s="207"/>
      <c r="I545" s="207" t="s">
        <v>12545</v>
      </c>
      <c r="J545" s="245" t="s">
        <v>12546</v>
      </c>
      <c r="K545" s="207"/>
      <c r="L545" s="66"/>
      <c r="M545" s="201" t="s">
        <v>12550</v>
      </c>
      <c r="N545" s="207"/>
      <c r="O545" s="38"/>
    </row>
    <row r="546" spans="1:15" ht="84" customHeight="1" x14ac:dyDescent="0.3">
      <c r="A546" s="242">
        <v>526</v>
      </c>
      <c r="B546" s="34" t="s">
        <v>12468</v>
      </c>
      <c r="C546" s="34" t="s">
        <v>12979</v>
      </c>
      <c r="D546" s="88"/>
      <c r="E546" s="245">
        <v>51</v>
      </c>
      <c r="F546" s="35">
        <f t="shared" ref="F546:F553" si="15">1642730.22/471.6*E546</f>
        <v>177648.9423664122</v>
      </c>
      <c r="G546" s="35">
        <f t="shared" ref="G546:G553" si="16">206800.23/471.6*E546</f>
        <v>22363.892557251911</v>
      </c>
      <c r="H546" s="207"/>
      <c r="I546" s="207" t="s">
        <v>12545</v>
      </c>
      <c r="J546" s="245" t="s">
        <v>12546</v>
      </c>
      <c r="K546" s="207"/>
      <c r="L546" s="66"/>
      <c r="M546" s="201" t="s">
        <v>12550</v>
      </c>
      <c r="N546" s="207"/>
      <c r="O546" s="38"/>
    </row>
    <row r="547" spans="1:15" ht="84" customHeight="1" x14ac:dyDescent="0.3">
      <c r="A547" s="242">
        <v>527</v>
      </c>
      <c r="B547" s="34" t="s">
        <v>12468</v>
      </c>
      <c r="C547" s="34" t="s">
        <v>12980</v>
      </c>
      <c r="D547" s="88"/>
      <c r="E547" s="245">
        <v>51</v>
      </c>
      <c r="F547" s="35">
        <f t="shared" si="15"/>
        <v>177648.9423664122</v>
      </c>
      <c r="G547" s="35">
        <f t="shared" si="16"/>
        <v>22363.892557251911</v>
      </c>
      <c r="H547" s="207"/>
      <c r="I547" s="207" t="s">
        <v>12545</v>
      </c>
      <c r="J547" s="245" t="s">
        <v>12546</v>
      </c>
      <c r="K547" s="207"/>
      <c r="L547" s="66"/>
      <c r="M547" s="201" t="s">
        <v>12550</v>
      </c>
      <c r="N547" s="207"/>
      <c r="O547" s="38"/>
    </row>
    <row r="548" spans="1:15" ht="84" customHeight="1" x14ac:dyDescent="0.3">
      <c r="A548" s="242">
        <v>528</v>
      </c>
      <c r="B548" s="34" t="s">
        <v>12467</v>
      </c>
      <c r="C548" s="34" t="s">
        <v>12981</v>
      </c>
      <c r="D548" s="88"/>
      <c r="E548" s="245">
        <v>71.3</v>
      </c>
      <c r="F548" s="35">
        <f t="shared" si="15"/>
        <v>248360.18805343509</v>
      </c>
      <c r="G548" s="35">
        <f t="shared" si="16"/>
        <v>31265.59881043257</v>
      </c>
      <c r="H548" s="207"/>
      <c r="I548" s="207" t="s">
        <v>12545</v>
      </c>
      <c r="J548" s="245" t="s">
        <v>12546</v>
      </c>
      <c r="K548" s="207"/>
      <c r="L548" s="66"/>
      <c r="M548" s="201" t="s">
        <v>12550</v>
      </c>
      <c r="N548" s="207"/>
      <c r="O548" s="38"/>
    </row>
    <row r="549" spans="1:15" ht="84" customHeight="1" x14ac:dyDescent="0.3">
      <c r="A549" s="242">
        <v>529</v>
      </c>
      <c r="B549" s="34" t="s">
        <v>12467</v>
      </c>
      <c r="C549" s="34" t="s">
        <v>12982</v>
      </c>
      <c r="D549" s="88"/>
      <c r="E549" s="66">
        <v>69.8</v>
      </c>
      <c r="F549" s="35">
        <f t="shared" si="15"/>
        <v>243135.21916030534</v>
      </c>
      <c r="G549" s="35">
        <f t="shared" si="16"/>
        <v>30607.837264631042</v>
      </c>
      <c r="H549" s="207"/>
      <c r="I549" s="207" t="s">
        <v>12545</v>
      </c>
      <c r="J549" s="66" t="s">
        <v>12546</v>
      </c>
      <c r="K549" s="207"/>
      <c r="L549" s="66"/>
      <c r="M549" s="201" t="s">
        <v>12550</v>
      </c>
      <c r="N549" s="207"/>
      <c r="O549" s="38"/>
    </row>
    <row r="550" spans="1:15" ht="84" customHeight="1" x14ac:dyDescent="0.3">
      <c r="A550" s="242">
        <v>530</v>
      </c>
      <c r="B550" s="34" t="s">
        <v>12468</v>
      </c>
      <c r="C550" s="34" t="s">
        <v>12983</v>
      </c>
      <c r="D550" s="88"/>
      <c r="E550" s="245">
        <v>56.6</v>
      </c>
      <c r="F550" s="35">
        <f t="shared" si="15"/>
        <v>197155.49290076335</v>
      </c>
      <c r="G550" s="35">
        <f t="shared" si="16"/>
        <v>24819.535661577611</v>
      </c>
      <c r="H550" s="207"/>
      <c r="I550" s="207" t="s">
        <v>12545</v>
      </c>
      <c r="J550" s="66" t="s">
        <v>12546</v>
      </c>
      <c r="K550" s="207"/>
      <c r="L550" s="66"/>
      <c r="M550" s="201" t="s">
        <v>12550</v>
      </c>
      <c r="N550" s="207"/>
      <c r="O550" s="38"/>
    </row>
    <row r="551" spans="1:15" ht="88.95" customHeight="1" x14ac:dyDescent="0.3">
      <c r="A551" s="242">
        <v>531</v>
      </c>
      <c r="B551" s="34" t="s">
        <v>12467</v>
      </c>
      <c r="C551" s="34" t="s">
        <v>12984</v>
      </c>
      <c r="D551" s="88"/>
      <c r="E551" s="245">
        <v>68.599999999999994</v>
      </c>
      <c r="F551" s="35">
        <f t="shared" si="15"/>
        <v>238955.24404580149</v>
      </c>
      <c r="G551" s="35">
        <f t="shared" si="16"/>
        <v>30081.62802798982</v>
      </c>
      <c r="H551" s="207"/>
      <c r="I551" s="207" t="s">
        <v>12545</v>
      </c>
      <c r="J551" s="66" t="s">
        <v>12546</v>
      </c>
      <c r="K551" s="207"/>
      <c r="L551" s="66"/>
      <c r="M551" s="201" t="s">
        <v>12550</v>
      </c>
      <c r="N551" s="207"/>
      <c r="O551" s="38" t="s">
        <v>23720</v>
      </c>
    </row>
    <row r="552" spans="1:15" ht="84" customHeight="1" x14ac:dyDescent="0.3">
      <c r="A552" s="2">
        <v>532</v>
      </c>
      <c r="B552" s="34" t="s">
        <v>12468</v>
      </c>
      <c r="C552" s="34" t="s">
        <v>12985</v>
      </c>
      <c r="D552" s="88"/>
      <c r="E552" s="66">
        <v>50.9</v>
      </c>
      <c r="F552" s="35">
        <f t="shared" si="15"/>
        <v>177300.61110687023</v>
      </c>
      <c r="G552" s="35">
        <f t="shared" si="16"/>
        <v>22320.041787531805</v>
      </c>
      <c r="H552" s="207"/>
      <c r="I552" s="207" t="s">
        <v>12545</v>
      </c>
      <c r="J552" s="66" t="s">
        <v>12546</v>
      </c>
      <c r="K552" s="207"/>
      <c r="L552" s="66"/>
      <c r="M552" s="201" t="s">
        <v>12550</v>
      </c>
      <c r="N552" s="207"/>
      <c r="O552" s="38" t="s">
        <v>21519</v>
      </c>
    </row>
    <row r="553" spans="1:15" ht="84" customHeight="1" x14ac:dyDescent="0.3">
      <c r="A553" s="242">
        <v>533</v>
      </c>
      <c r="B553" s="34" t="s">
        <v>12468</v>
      </c>
      <c r="C553" s="34" t="s">
        <v>12986</v>
      </c>
      <c r="D553" s="88"/>
      <c r="E553" s="245">
        <v>51.5</v>
      </c>
      <c r="F553" s="35">
        <f t="shared" si="15"/>
        <v>179390.59866412214</v>
      </c>
      <c r="G553" s="35">
        <f t="shared" si="16"/>
        <v>22583.146405852418</v>
      </c>
      <c r="H553" s="207"/>
      <c r="I553" s="207" t="s">
        <v>12545</v>
      </c>
      <c r="J553" s="245" t="s">
        <v>12546</v>
      </c>
      <c r="K553" s="207"/>
      <c r="L553" s="66"/>
      <c r="M553" s="201" t="s">
        <v>12550</v>
      </c>
      <c r="N553" s="207"/>
      <c r="O553" s="38"/>
    </row>
    <row r="554" spans="1:15" ht="84" customHeight="1" x14ac:dyDescent="0.3">
      <c r="A554" s="242">
        <v>534</v>
      </c>
      <c r="B554" s="34" t="s">
        <v>12472</v>
      </c>
      <c r="C554" s="34" t="s">
        <v>12987</v>
      </c>
      <c r="D554" s="88" t="s">
        <v>12513</v>
      </c>
      <c r="E554" s="245">
        <v>50.7</v>
      </c>
      <c r="F554" s="35">
        <f>923520.68/236.6*E554</f>
        <v>197897.28857142859</v>
      </c>
      <c r="G554" s="35">
        <f>132986.97/236.6*E554</f>
        <v>28497.207857142861</v>
      </c>
      <c r="H554" s="25"/>
      <c r="I554" s="207" t="s">
        <v>12545</v>
      </c>
      <c r="J554" s="245" t="s">
        <v>12546</v>
      </c>
      <c r="K554" s="207"/>
      <c r="L554" s="66"/>
      <c r="M554" s="201" t="s">
        <v>12550</v>
      </c>
      <c r="N554" s="207"/>
      <c r="O554" s="38"/>
    </row>
    <row r="555" spans="1:15" ht="84" customHeight="1" x14ac:dyDescent="0.3">
      <c r="A555" s="2">
        <v>535</v>
      </c>
      <c r="B555" s="34" t="s">
        <v>12470</v>
      </c>
      <c r="C555" s="34" t="s">
        <v>12988</v>
      </c>
      <c r="D555" s="88" t="s">
        <v>12514</v>
      </c>
      <c r="E555" s="66">
        <v>36</v>
      </c>
      <c r="F555" s="35">
        <f>923520.68/236.6*E555</f>
        <v>140518.78478444632</v>
      </c>
      <c r="G555" s="35">
        <f>132986.97/236.6*E555</f>
        <v>20234.70380388842</v>
      </c>
      <c r="H555" s="25"/>
      <c r="I555" s="207" t="s">
        <v>12545</v>
      </c>
      <c r="J555" s="66" t="s">
        <v>12546</v>
      </c>
      <c r="K555" s="207"/>
      <c r="L555" s="66"/>
      <c r="M555" s="201" t="s">
        <v>12550</v>
      </c>
      <c r="N555" s="207"/>
      <c r="O555" s="38" t="s">
        <v>21520</v>
      </c>
    </row>
    <row r="556" spans="1:15" ht="84" customHeight="1" x14ac:dyDescent="0.3">
      <c r="A556" s="242">
        <v>536</v>
      </c>
      <c r="B556" s="34" t="s">
        <v>12472</v>
      </c>
      <c r="C556" s="34" t="s">
        <v>12989</v>
      </c>
      <c r="D556" s="88" t="s">
        <v>12515</v>
      </c>
      <c r="E556" s="245">
        <v>49.5</v>
      </c>
      <c r="F556" s="35">
        <v>226532.58</v>
      </c>
      <c r="G556" s="35">
        <v>32620.69</v>
      </c>
      <c r="H556" s="25"/>
      <c r="I556" s="207" t="s">
        <v>12545</v>
      </c>
      <c r="J556" s="245" t="s">
        <v>12546</v>
      </c>
      <c r="K556" s="207"/>
      <c r="L556" s="66"/>
      <c r="M556" s="201" t="s">
        <v>12550</v>
      </c>
      <c r="N556" s="207"/>
      <c r="O556" s="38" t="s">
        <v>21521</v>
      </c>
    </row>
    <row r="557" spans="1:15" ht="84" customHeight="1" x14ac:dyDescent="0.3">
      <c r="A557" s="2">
        <v>537</v>
      </c>
      <c r="B557" s="34" t="s">
        <v>12472</v>
      </c>
      <c r="C557" s="34" t="s">
        <v>12990</v>
      </c>
      <c r="D557" s="88" t="s">
        <v>12516</v>
      </c>
      <c r="E557" s="66">
        <v>50.6</v>
      </c>
      <c r="F557" s="35">
        <f>923520.68/236.6*E557</f>
        <v>197506.95861369401</v>
      </c>
      <c r="G557" s="35">
        <f>132986.97/236.6*E557</f>
        <v>28441.000346576504</v>
      </c>
      <c r="H557" s="25"/>
      <c r="I557" s="207" t="s">
        <v>12545</v>
      </c>
      <c r="J557" s="66" t="s">
        <v>12546</v>
      </c>
      <c r="K557" s="207"/>
      <c r="L557" s="66"/>
      <c r="M557" s="201" t="s">
        <v>12550</v>
      </c>
      <c r="N557" s="207"/>
      <c r="O557" s="38"/>
    </row>
    <row r="558" spans="1:15" ht="84" customHeight="1" x14ac:dyDescent="0.3">
      <c r="A558" s="2">
        <v>538</v>
      </c>
      <c r="B558" s="34" t="s">
        <v>12517</v>
      </c>
      <c r="C558" s="34" t="s">
        <v>12991</v>
      </c>
      <c r="D558" s="88" t="s">
        <v>12518</v>
      </c>
      <c r="E558" s="245">
        <v>66.400000000000006</v>
      </c>
      <c r="F558" s="35">
        <f>923520.68/236.6*E558</f>
        <v>259179.09193575659</v>
      </c>
      <c r="G558" s="35">
        <f>132986.97/236.6*E558</f>
        <v>37321.787016060865</v>
      </c>
      <c r="H558" s="25"/>
      <c r="I558" s="207" t="s">
        <v>12545</v>
      </c>
      <c r="J558" s="245" t="s">
        <v>12546</v>
      </c>
      <c r="K558" s="207"/>
      <c r="L558" s="66"/>
      <c r="M558" s="201" t="s">
        <v>12550</v>
      </c>
      <c r="N558" s="207"/>
      <c r="O558" s="38" t="s">
        <v>21522</v>
      </c>
    </row>
    <row r="559" spans="1:15" ht="84" customHeight="1" x14ac:dyDescent="0.3">
      <c r="A559" s="2">
        <v>539</v>
      </c>
      <c r="B559" s="34" t="s">
        <v>12472</v>
      </c>
      <c r="C559" s="34" t="s">
        <v>12992</v>
      </c>
      <c r="D559" s="88" t="s">
        <v>12519</v>
      </c>
      <c r="E559" s="66">
        <v>32.9</v>
      </c>
      <c r="F559" s="35">
        <f>923520.68/236.6*E559</f>
        <v>128418.55609467455</v>
      </c>
      <c r="G559" s="35">
        <f>132986.97/236.6*E559</f>
        <v>18492.270976331361</v>
      </c>
      <c r="H559" s="25"/>
      <c r="I559" s="207" t="s">
        <v>12545</v>
      </c>
      <c r="J559" s="66" t="s">
        <v>12546</v>
      </c>
      <c r="K559" s="207"/>
      <c r="L559" s="66"/>
      <c r="M559" s="201" t="s">
        <v>12550</v>
      </c>
      <c r="N559" s="207"/>
      <c r="O559" s="38"/>
    </row>
    <row r="560" spans="1:15" ht="84" customHeight="1" x14ac:dyDescent="0.3">
      <c r="A560" s="2">
        <v>540</v>
      </c>
      <c r="B560" s="34" t="s">
        <v>12468</v>
      </c>
      <c r="C560" s="34" t="s">
        <v>12993</v>
      </c>
      <c r="D560" s="88"/>
      <c r="E560" s="66">
        <v>53.1</v>
      </c>
      <c r="F560" s="35">
        <f>301393.57/100.4*E560</f>
        <v>159402.37616533865</v>
      </c>
      <c r="G560" s="35">
        <f>46372.45/100.4*E560</f>
        <v>24525.668276892429</v>
      </c>
      <c r="H560" s="207"/>
      <c r="I560" s="207" t="s">
        <v>12545</v>
      </c>
      <c r="J560" s="66" t="s">
        <v>12546</v>
      </c>
      <c r="K560" s="26">
        <v>42655</v>
      </c>
      <c r="L560" s="66" t="s">
        <v>16374</v>
      </c>
      <c r="M560" s="201" t="s">
        <v>12550</v>
      </c>
      <c r="N560" s="207"/>
      <c r="O560" s="38"/>
    </row>
    <row r="561" spans="1:15" ht="84" customHeight="1" x14ac:dyDescent="0.3">
      <c r="A561" s="2">
        <v>541</v>
      </c>
      <c r="B561" s="34" t="s">
        <v>12472</v>
      </c>
      <c r="C561" s="34" t="s">
        <v>12994</v>
      </c>
      <c r="D561" s="88" t="s">
        <v>12520</v>
      </c>
      <c r="E561" s="66">
        <v>52.9</v>
      </c>
      <c r="F561" s="35">
        <v>158802</v>
      </c>
      <c r="G561" s="35">
        <v>24433.29</v>
      </c>
      <c r="H561" s="25"/>
      <c r="I561" s="207" t="s">
        <v>12545</v>
      </c>
      <c r="J561" s="66" t="s">
        <v>12546</v>
      </c>
      <c r="K561" s="207"/>
      <c r="L561" s="66"/>
      <c r="M561" s="201" t="s">
        <v>12550</v>
      </c>
      <c r="N561" s="207"/>
      <c r="O561" s="38"/>
    </row>
    <row r="562" spans="1:15" ht="120" customHeight="1" x14ac:dyDescent="0.3">
      <c r="A562" s="242">
        <v>542</v>
      </c>
      <c r="B562" s="34" t="s">
        <v>12468</v>
      </c>
      <c r="C562" s="34" t="s">
        <v>12995</v>
      </c>
      <c r="D562" s="88"/>
      <c r="E562" s="245">
        <v>47.3</v>
      </c>
      <c r="F562" s="35">
        <f>301393.57/100.4*E562</f>
        <v>141991.19383466136</v>
      </c>
      <c r="G562" s="35">
        <f>46372.45/100.4*E562</f>
        <v>21846.781723107568</v>
      </c>
      <c r="H562" s="207"/>
      <c r="I562" s="207" t="s">
        <v>12545</v>
      </c>
      <c r="J562" s="245" t="s">
        <v>12546</v>
      </c>
      <c r="K562" s="26">
        <v>42815</v>
      </c>
      <c r="L562" s="66" t="s">
        <v>19569</v>
      </c>
      <c r="M562" s="201" t="s">
        <v>12550</v>
      </c>
      <c r="N562" s="207"/>
      <c r="O562" s="38"/>
    </row>
    <row r="563" spans="1:15" ht="84" customHeight="1" x14ac:dyDescent="0.3">
      <c r="A563" s="2">
        <v>543</v>
      </c>
      <c r="B563" s="34" t="s">
        <v>12517</v>
      </c>
      <c r="C563" s="34" t="s">
        <v>12996</v>
      </c>
      <c r="D563" s="88" t="s">
        <v>12521</v>
      </c>
      <c r="E563" s="66">
        <v>67.5</v>
      </c>
      <c r="F563" s="35">
        <v>202630.15</v>
      </c>
      <c r="G563" s="35">
        <v>31176.7</v>
      </c>
      <c r="H563" s="25"/>
      <c r="I563" s="207" t="s">
        <v>12545</v>
      </c>
      <c r="J563" s="66" t="s">
        <v>12546</v>
      </c>
      <c r="K563" s="207"/>
      <c r="L563" s="66"/>
      <c r="M563" s="201" t="s">
        <v>12550</v>
      </c>
      <c r="N563" s="207"/>
      <c r="O563" s="38" t="s">
        <v>21523</v>
      </c>
    </row>
    <row r="564" spans="1:15" ht="108" customHeight="1" x14ac:dyDescent="0.3">
      <c r="A564" s="242">
        <v>544</v>
      </c>
      <c r="B564" s="34" t="s">
        <v>12467</v>
      </c>
      <c r="C564" s="34" t="s">
        <v>12997</v>
      </c>
      <c r="D564" s="88"/>
      <c r="E564" s="245">
        <v>66.5</v>
      </c>
      <c r="F564" s="35">
        <f>1029938.2/409.8*E564</f>
        <v>167132.47999023911</v>
      </c>
      <c r="G564" s="35">
        <f>144061.68/409.8*E564</f>
        <v>23377.50541727672</v>
      </c>
      <c r="H564" s="207"/>
      <c r="I564" s="207" t="s">
        <v>12545</v>
      </c>
      <c r="J564" s="245" t="s">
        <v>12546</v>
      </c>
      <c r="K564" s="26">
        <v>42517</v>
      </c>
      <c r="L564" s="66" t="s">
        <v>19508</v>
      </c>
      <c r="M564" s="201" t="s">
        <v>12550</v>
      </c>
      <c r="N564" s="207"/>
      <c r="O564" s="38"/>
    </row>
    <row r="565" spans="1:15" ht="84" customHeight="1" x14ac:dyDescent="0.3">
      <c r="A565" s="242">
        <v>545</v>
      </c>
      <c r="B565" s="34" t="s">
        <v>12472</v>
      </c>
      <c r="C565" s="34" t="s">
        <v>12998</v>
      </c>
      <c r="D565" s="88" t="s">
        <v>12522</v>
      </c>
      <c r="E565" s="245">
        <v>53.4</v>
      </c>
      <c r="F565" s="35">
        <v>134208.64000000001</v>
      </c>
      <c r="G565" s="35">
        <v>18772.310000000001</v>
      </c>
      <c r="H565" s="25"/>
      <c r="I565" s="207" t="s">
        <v>12545</v>
      </c>
      <c r="J565" s="245" t="s">
        <v>12546</v>
      </c>
      <c r="K565" s="207"/>
      <c r="L565" s="66"/>
      <c r="M565" s="201" t="s">
        <v>12550</v>
      </c>
      <c r="N565" s="207"/>
      <c r="O565" s="38"/>
    </row>
    <row r="566" spans="1:15" ht="84" customHeight="1" x14ac:dyDescent="0.3">
      <c r="A566" s="242">
        <v>546</v>
      </c>
      <c r="B566" s="34" t="s">
        <v>12468</v>
      </c>
      <c r="C566" s="34" t="s">
        <v>12999</v>
      </c>
      <c r="D566" s="88"/>
      <c r="E566" s="245">
        <v>53.7</v>
      </c>
      <c r="F566" s="35">
        <f t="shared" ref="F566:F572" si="17">1029938.2/409.8*E566</f>
        <v>134962.61918008784</v>
      </c>
      <c r="G566" s="35">
        <f t="shared" ref="G566:G572" si="18">144061.68/409.8*E566</f>
        <v>18877.775051244509</v>
      </c>
      <c r="H566" s="207"/>
      <c r="I566" s="207" t="s">
        <v>12545</v>
      </c>
      <c r="J566" s="245" t="s">
        <v>12546</v>
      </c>
      <c r="K566" s="207"/>
      <c r="L566" s="66"/>
      <c r="M566" s="201" t="s">
        <v>12550</v>
      </c>
      <c r="N566" s="207"/>
      <c r="O566" s="38"/>
    </row>
    <row r="567" spans="1:15" ht="84" customHeight="1" x14ac:dyDescent="0.3">
      <c r="A567" s="2">
        <v>547</v>
      </c>
      <c r="B567" s="34" t="s">
        <v>12468</v>
      </c>
      <c r="C567" s="34" t="s">
        <v>13000</v>
      </c>
      <c r="D567" s="88"/>
      <c r="E567" s="66">
        <v>47</v>
      </c>
      <c r="F567" s="35">
        <f t="shared" si="17"/>
        <v>118123.70766227426</v>
      </c>
      <c r="G567" s="35">
        <f t="shared" si="18"/>
        <v>16522.447437774521</v>
      </c>
      <c r="H567" s="207"/>
      <c r="I567" s="207" t="s">
        <v>12545</v>
      </c>
      <c r="J567" s="66" t="s">
        <v>12546</v>
      </c>
      <c r="K567" s="207"/>
      <c r="L567" s="66"/>
      <c r="M567" s="201" t="s">
        <v>12550</v>
      </c>
      <c r="N567" s="207"/>
      <c r="O567" s="38"/>
    </row>
    <row r="568" spans="1:15" ht="84" customHeight="1" x14ac:dyDescent="0.3">
      <c r="A568" s="242">
        <v>548</v>
      </c>
      <c r="B568" s="34" t="s">
        <v>12468</v>
      </c>
      <c r="C568" s="34" t="s">
        <v>13001</v>
      </c>
      <c r="D568" s="88"/>
      <c r="E568" s="245">
        <v>47.4</v>
      </c>
      <c r="F568" s="35">
        <f t="shared" si="17"/>
        <v>119129.01581259149</v>
      </c>
      <c r="G568" s="35">
        <f t="shared" si="18"/>
        <v>16663.064011713028</v>
      </c>
      <c r="H568" s="207"/>
      <c r="I568" s="207" t="s">
        <v>12545</v>
      </c>
      <c r="J568" s="245" t="s">
        <v>12546</v>
      </c>
      <c r="K568" s="207"/>
      <c r="L568" s="66"/>
      <c r="M568" s="201" t="s">
        <v>12550</v>
      </c>
      <c r="N568" s="207"/>
      <c r="O568" s="38"/>
    </row>
    <row r="569" spans="1:15" ht="120" customHeight="1" x14ac:dyDescent="0.3">
      <c r="A569" s="242">
        <v>549</v>
      </c>
      <c r="B569" s="34" t="s">
        <v>12468</v>
      </c>
      <c r="C569" s="34" t="s">
        <v>13002</v>
      </c>
      <c r="D569" s="88" t="s">
        <v>22593</v>
      </c>
      <c r="E569" s="245">
        <v>47.4</v>
      </c>
      <c r="F569" s="35">
        <f t="shared" si="17"/>
        <v>119129.01581259149</v>
      </c>
      <c r="G569" s="35">
        <f t="shared" si="18"/>
        <v>16663.064011713028</v>
      </c>
      <c r="H569" s="207"/>
      <c r="I569" s="207" t="s">
        <v>12545</v>
      </c>
      <c r="J569" s="245" t="s">
        <v>12546</v>
      </c>
      <c r="K569" s="207" t="s">
        <v>22594</v>
      </c>
      <c r="L569" s="66" t="s">
        <v>22595</v>
      </c>
      <c r="M569" s="201" t="s">
        <v>12550</v>
      </c>
      <c r="N569" s="207"/>
      <c r="O569" s="38"/>
    </row>
    <row r="570" spans="1:15" ht="84" customHeight="1" x14ac:dyDescent="0.3">
      <c r="A570" s="242">
        <v>550</v>
      </c>
      <c r="B570" s="34" t="s">
        <v>12468</v>
      </c>
      <c r="C570" s="34" t="s">
        <v>13003</v>
      </c>
      <c r="D570" s="88"/>
      <c r="E570" s="245">
        <v>47.4</v>
      </c>
      <c r="F570" s="35">
        <f t="shared" si="17"/>
        <v>119129.01581259149</v>
      </c>
      <c r="G570" s="35">
        <f t="shared" si="18"/>
        <v>16663.064011713028</v>
      </c>
      <c r="H570" s="207"/>
      <c r="I570" s="207" t="s">
        <v>12545</v>
      </c>
      <c r="J570" s="245" t="s">
        <v>12546</v>
      </c>
      <c r="K570" s="207"/>
      <c r="L570" s="66"/>
      <c r="M570" s="201" t="s">
        <v>12550</v>
      </c>
      <c r="N570" s="207"/>
      <c r="O570" s="38" t="s">
        <v>22678</v>
      </c>
    </row>
    <row r="571" spans="1:15" ht="84" customHeight="1" x14ac:dyDescent="0.3">
      <c r="A571" s="242">
        <v>551</v>
      </c>
      <c r="B571" s="34" t="s">
        <v>12467</v>
      </c>
      <c r="C571" s="34" t="s">
        <v>13004</v>
      </c>
      <c r="D571" s="88"/>
      <c r="E571" s="245">
        <v>66.900000000000006</v>
      </c>
      <c r="F571" s="35">
        <f t="shared" si="17"/>
        <v>168137.78814055637</v>
      </c>
      <c r="G571" s="35">
        <f t="shared" si="18"/>
        <v>23518.121991215226</v>
      </c>
      <c r="H571" s="207"/>
      <c r="I571" s="207" t="s">
        <v>12545</v>
      </c>
      <c r="J571" s="245" t="s">
        <v>12546</v>
      </c>
      <c r="K571" s="207"/>
      <c r="L571" s="66"/>
      <c r="M571" s="201" t="s">
        <v>12550</v>
      </c>
      <c r="N571" s="207"/>
      <c r="O571" s="38" t="s">
        <v>21524</v>
      </c>
    </row>
    <row r="572" spans="1:15" ht="84" customHeight="1" x14ac:dyDescent="0.3">
      <c r="A572" s="242">
        <v>552</v>
      </c>
      <c r="B572" s="34" t="s">
        <v>12471</v>
      </c>
      <c r="C572" s="34" t="s">
        <v>13005</v>
      </c>
      <c r="D572" s="88"/>
      <c r="E572" s="245">
        <v>33.5</v>
      </c>
      <c r="F572" s="35">
        <f t="shared" si="17"/>
        <v>84194.55758906783</v>
      </c>
      <c r="G572" s="35">
        <f t="shared" si="18"/>
        <v>11776.638067349926</v>
      </c>
      <c r="H572" s="207"/>
      <c r="I572" s="207" t="s">
        <v>12545</v>
      </c>
      <c r="J572" s="245" t="s">
        <v>12546</v>
      </c>
      <c r="K572" s="207"/>
      <c r="L572" s="66"/>
      <c r="M572" s="201" t="s">
        <v>12550</v>
      </c>
      <c r="N572" s="207"/>
      <c r="O572" s="38"/>
    </row>
    <row r="573" spans="1:15" ht="84" customHeight="1" x14ac:dyDescent="0.3">
      <c r="A573" s="2">
        <v>553</v>
      </c>
      <c r="B573" s="34" t="s">
        <v>12467</v>
      </c>
      <c r="C573" s="34" t="s">
        <v>13006</v>
      </c>
      <c r="D573" s="88"/>
      <c r="E573" s="245">
        <v>68.7</v>
      </c>
      <c r="F573" s="35">
        <f>699668.19/185.2*E573</f>
        <v>259542.14175485962</v>
      </c>
      <c r="G573" s="35">
        <f>78362.8/185.2*E573</f>
        <v>29068.706047516203</v>
      </c>
      <c r="H573" s="207"/>
      <c r="I573" s="207" t="s">
        <v>12545</v>
      </c>
      <c r="J573" s="66" t="s">
        <v>12546</v>
      </c>
      <c r="K573" s="207"/>
      <c r="L573" s="66"/>
      <c r="M573" s="201" t="s">
        <v>12550</v>
      </c>
      <c r="N573" s="207"/>
      <c r="O573" s="38"/>
    </row>
    <row r="574" spans="1:15" ht="120" customHeight="1" x14ac:dyDescent="0.3">
      <c r="A574" s="2">
        <v>554</v>
      </c>
      <c r="B574" s="34" t="s">
        <v>12468</v>
      </c>
      <c r="C574" s="34" t="s">
        <v>13007</v>
      </c>
      <c r="D574" s="88" t="s">
        <v>19625</v>
      </c>
      <c r="E574" s="245">
        <v>50.1</v>
      </c>
      <c r="F574" s="35">
        <f>699668.19/185.2*E574</f>
        <v>189273.09027537797</v>
      </c>
      <c r="G574" s="35">
        <f>78362.8/185.2*E574</f>
        <v>21198.57602591793</v>
      </c>
      <c r="H574" s="207"/>
      <c r="I574" s="207" t="s">
        <v>12545</v>
      </c>
      <c r="J574" s="66" t="s">
        <v>12546</v>
      </c>
      <c r="K574" s="26">
        <v>43087</v>
      </c>
      <c r="L574" s="66" t="s">
        <v>19624</v>
      </c>
      <c r="M574" s="201" t="s">
        <v>12550</v>
      </c>
      <c r="N574" s="207"/>
      <c r="O574" s="38"/>
    </row>
    <row r="575" spans="1:15" ht="84" customHeight="1" x14ac:dyDescent="0.3">
      <c r="A575" s="242">
        <v>555</v>
      </c>
      <c r="B575" s="34" t="s">
        <v>12471</v>
      </c>
      <c r="C575" s="34" t="s">
        <v>13008</v>
      </c>
      <c r="D575" s="88"/>
      <c r="E575" s="245">
        <v>33.200000000000003</v>
      </c>
      <c r="F575" s="35">
        <f>699668.19/185.2*E575</f>
        <v>125426.47898488122</v>
      </c>
      <c r="G575" s="35">
        <f>78362.8/185.2*E575</f>
        <v>14047.75896328294</v>
      </c>
      <c r="H575" s="207"/>
      <c r="I575" s="207" t="s">
        <v>12545</v>
      </c>
      <c r="J575" s="245" t="s">
        <v>12546</v>
      </c>
      <c r="K575" s="207"/>
      <c r="L575" s="66"/>
      <c r="M575" s="201" t="s">
        <v>12550</v>
      </c>
      <c r="N575" s="207"/>
      <c r="O575" s="38" t="s">
        <v>21525</v>
      </c>
    </row>
    <row r="576" spans="1:15" ht="84" customHeight="1" x14ac:dyDescent="0.3">
      <c r="A576" s="242">
        <v>556</v>
      </c>
      <c r="B576" s="34" t="s">
        <v>12471</v>
      </c>
      <c r="C576" s="34" t="s">
        <v>13009</v>
      </c>
      <c r="D576" s="88"/>
      <c r="E576" s="245">
        <v>33.200000000000003</v>
      </c>
      <c r="F576" s="35">
        <f>699668.19/185.2*E576</f>
        <v>125426.47898488122</v>
      </c>
      <c r="G576" s="35">
        <f>78362.8/185.2*E576</f>
        <v>14047.75896328294</v>
      </c>
      <c r="H576" s="207"/>
      <c r="I576" s="207" t="s">
        <v>12545</v>
      </c>
      <c r="J576" s="245" t="s">
        <v>12546</v>
      </c>
      <c r="K576" s="207"/>
      <c r="L576" s="66"/>
      <c r="M576" s="201" t="s">
        <v>12550</v>
      </c>
      <c r="N576" s="207"/>
      <c r="O576" s="38" t="s">
        <v>21526</v>
      </c>
    </row>
    <row r="577" spans="1:15" ht="84" customHeight="1" x14ac:dyDescent="0.3">
      <c r="A577" s="242">
        <v>557</v>
      </c>
      <c r="B577" s="34" t="s">
        <v>12468</v>
      </c>
      <c r="C577" s="34" t="s">
        <v>13010</v>
      </c>
      <c r="D577" s="88"/>
      <c r="E577" s="245">
        <v>42.4</v>
      </c>
      <c r="F577" s="35">
        <f>763334.87/232*E577</f>
        <v>139506.02796551725</v>
      </c>
      <c r="G577" s="35">
        <f>146560.29/232*E577</f>
        <v>26785.156448275866</v>
      </c>
      <c r="H577" s="207"/>
      <c r="I577" s="207" t="s">
        <v>12545</v>
      </c>
      <c r="J577" s="245" t="s">
        <v>12546</v>
      </c>
      <c r="K577" s="207"/>
      <c r="L577" s="66"/>
      <c r="M577" s="201" t="s">
        <v>12550</v>
      </c>
      <c r="N577" s="207"/>
      <c r="O577" s="38"/>
    </row>
    <row r="578" spans="1:15" ht="84" customHeight="1" x14ac:dyDescent="0.3">
      <c r="A578" s="242">
        <v>558</v>
      </c>
      <c r="B578" s="34" t="s">
        <v>12468</v>
      </c>
      <c r="C578" s="34" t="s">
        <v>13011</v>
      </c>
      <c r="D578" s="88"/>
      <c r="E578" s="245">
        <v>49.9</v>
      </c>
      <c r="F578" s="35">
        <f>763334.87/232*E578</f>
        <v>164182.80178017242</v>
      </c>
      <c r="G578" s="35">
        <f>146560.29/232*E578</f>
        <v>31523.096857758625</v>
      </c>
      <c r="H578" s="207"/>
      <c r="I578" s="207" t="s">
        <v>12545</v>
      </c>
      <c r="J578" s="245" t="s">
        <v>12546</v>
      </c>
      <c r="K578" s="207"/>
      <c r="L578" s="66"/>
      <c r="M578" s="201" t="s">
        <v>12550</v>
      </c>
      <c r="N578" s="207"/>
      <c r="O578" s="38"/>
    </row>
    <row r="579" spans="1:15" ht="84" customHeight="1" x14ac:dyDescent="0.3">
      <c r="A579" s="2">
        <v>559</v>
      </c>
      <c r="B579" s="34" t="s">
        <v>12472</v>
      </c>
      <c r="C579" s="34" t="s">
        <v>13012</v>
      </c>
      <c r="D579" s="88" t="s">
        <v>12523</v>
      </c>
      <c r="E579" s="245">
        <v>50.5</v>
      </c>
      <c r="F579" s="35">
        <v>166156.94</v>
      </c>
      <c r="G579" s="35">
        <v>31902.13</v>
      </c>
      <c r="H579" s="25"/>
      <c r="I579" s="207" t="s">
        <v>12545</v>
      </c>
      <c r="J579" s="66" t="s">
        <v>12546</v>
      </c>
      <c r="K579" s="207"/>
      <c r="L579" s="66"/>
      <c r="M579" s="201" t="s">
        <v>12550</v>
      </c>
      <c r="N579" s="207"/>
      <c r="O579" s="38" t="s">
        <v>21527</v>
      </c>
    </row>
    <row r="580" spans="1:15" ht="84" customHeight="1" x14ac:dyDescent="0.3">
      <c r="A580" s="242">
        <v>560</v>
      </c>
      <c r="B580" s="34" t="s">
        <v>12472</v>
      </c>
      <c r="C580" s="34" t="s">
        <v>13013</v>
      </c>
      <c r="D580" s="88" t="s">
        <v>12524</v>
      </c>
      <c r="E580" s="245">
        <v>50.4</v>
      </c>
      <c r="F580" s="35">
        <v>165827.92000000001</v>
      </c>
      <c r="G580" s="35">
        <v>31838.959999999999</v>
      </c>
      <c r="H580" s="25"/>
      <c r="I580" s="207" t="s">
        <v>12545</v>
      </c>
      <c r="J580" s="245" t="s">
        <v>12546</v>
      </c>
      <c r="K580" s="207"/>
      <c r="L580" s="66"/>
      <c r="M580" s="201" t="s">
        <v>12550</v>
      </c>
      <c r="N580" s="207"/>
      <c r="O580" s="38"/>
    </row>
    <row r="581" spans="1:15" ht="132" customHeight="1" x14ac:dyDescent="0.3">
      <c r="A581" s="242">
        <v>561</v>
      </c>
      <c r="B581" s="34" t="s">
        <v>12471</v>
      </c>
      <c r="C581" s="34" t="s">
        <v>13014</v>
      </c>
      <c r="D581" s="88"/>
      <c r="E581" s="245">
        <v>34.4</v>
      </c>
      <c r="F581" s="35">
        <f>763334.87/232*E581</f>
        <v>113184.13589655171</v>
      </c>
      <c r="G581" s="35">
        <f>146560.29/232*E581</f>
        <v>21731.353344827588</v>
      </c>
      <c r="H581" s="207"/>
      <c r="I581" s="207" t="s">
        <v>12545</v>
      </c>
      <c r="J581" s="245" t="s">
        <v>12546</v>
      </c>
      <c r="K581" s="207" t="s">
        <v>19907</v>
      </c>
      <c r="L581" s="66" t="s">
        <v>19908</v>
      </c>
      <c r="M581" s="201" t="s">
        <v>12550</v>
      </c>
      <c r="N581" s="207"/>
      <c r="O581" s="38"/>
    </row>
    <row r="582" spans="1:15" ht="84" customHeight="1" x14ac:dyDescent="0.3">
      <c r="A582" s="242">
        <v>562</v>
      </c>
      <c r="B582" s="34" t="s">
        <v>12468</v>
      </c>
      <c r="C582" s="34" t="s">
        <v>13015</v>
      </c>
      <c r="D582" s="88"/>
      <c r="E582" s="245">
        <v>57</v>
      </c>
      <c r="F582" s="35">
        <f>763334.87/232*E582</f>
        <v>187543.4809913793</v>
      </c>
      <c r="G582" s="35">
        <f>146560.29/232*E582</f>
        <v>36008.347112068972</v>
      </c>
      <c r="H582" s="207"/>
      <c r="I582" s="207" t="s">
        <v>12545</v>
      </c>
      <c r="J582" s="245" t="s">
        <v>12546</v>
      </c>
      <c r="K582" s="207"/>
      <c r="L582" s="66"/>
      <c r="M582" s="201" t="s">
        <v>12550</v>
      </c>
      <c r="N582" s="207"/>
      <c r="O582" s="38"/>
    </row>
    <row r="583" spans="1:15" ht="84" customHeight="1" x14ac:dyDescent="0.3">
      <c r="A583" s="2">
        <v>563</v>
      </c>
      <c r="B583" s="34" t="s">
        <v>12468</v>
      </c>
      <c r="C583" s="34" t="s">
        <v>13016</v>
      </c>
      <c r="D583" s="88"/>
      <c r="E583" s="245">
        <v>48.3</v>
      </c>
      <c r="F583" s="35">
        <f>763334.87/232*E583</f>
        <v>158918.42336637931</v>
      </c>
      <c r="G583" s="35">
        <f>146560.29/232*E583</f>
        <v>30512.336237068968</v>
      </c>
      <c r="H583" s="207"/>
      <c r="I583" s="207" t="s">
        <v>12545</v>
      </c>
      <c r="J583" s="245" t="s">
        <v>12546</v>
      </c>
      <c r="K583" s="207"/>
      <c r="L583" s="66"/>
      <c r="M583" s="201" t="s">
        <v>12550</v>
      </c>
      <c r="N583" s="207"/>
      <c r="O583" s="38"/>
    </row>
    <row r="584" spans="1:15" ht="84" customHeight="1" x14ac:dyDescent="0.3">
      <c r="A584" s="2">
        <v>564</v>
      </c>
      <c r="B584" s="34" t="s">
        <v>12468</v>
      </c>
      <c r="C584" s="34" t="s">
        <v>13017</v>
      </c>
      <c r="D584" s="88"/>
      <c r="E584" s="245">
        <v>53.7</v>
      </c>
      <c r="F584" s="35">
        <f>486174.94/274.8*E584</f>
        <v>95005.801593886456</v>
      </c>
      <c r="G584" s="35">
        <f>89456.2/274.8*E584</f>
        <v>17481.069650655019</v>
      </c>
      <c r="H584" s="207"/>
      <c r="I584" s="207" t="s">
        <v>12545</v>
      </c>
      <c r="J584" s="66" t="s">
        <v>12546</v>
      </c>
      <c r="K584" s="207"/>
      <c r="L584" s="66"/>
      <c r="M584" s="201" t="s">
        <v>12550</v>
      </c>
      <c r="N584" s="207"/>
      <c r="O584" s="38"/>
    </row>
    <row r="585" spans="1:15" ht="84" customHeight="1" x14ac:dyDescent="0.3">
      <c r="A585" s="2">
        <v>565</v>
      </c>
      <c r="B585" s="34" t="s">
        <v>12467</v>
      </c>
      <c r="C585" s="34" t="s">
        <v>13018</v>
      </c>
      <c r="D585" s="88"/>
      <c r="E585" s="66">
        <v>67.400000000000006</v>
      </c>
      <c r="F585" s="35">
        <f>486174.94/274.8*E585</f>
        <v>119243.78077147016</v>
      </c>
      <c r="G585" s="35">
        <f>89456.2/274.8*E585</f>
        <v>21940.858369723435</v>
      </c>
      <c r="H585" s="207"/>
      <c r="I585" s="207" t="s">
        <v>12545</v>
      </c>
      <c r="J585" s="66" t="s">
        <v>12546</v>
      </c>
      <c r="K585" s="207"/>
      <c r="L585" s="66"/>
      <c r="M585" s="201" t="s">
        <v>12550</v>
      </c>
      <c r="N585" s="207"/>
      <c r="O585" s="38"/>
    </row>
    <row r="586" spans="1:15" ht="84" customHeight="1" x14ac:dyDescent="0.3">
      <c r="A586" s="242">
        <v>566</v>
      </c>
      <c r="B586" s="34" t="s">
        <v>12468</v>
      </c>
      <c r="C586" s="34" t="s">
        <v>13019</v>
      </c>
      <c r="D586" s="88"/>
      <c r="E586" s="245">
        <v>47.4</v>
      </c>
      <c r="F586" s="35">
        <f>486174.94/274.8*E586</f>
        <v>83859.869563318774</v>
      </c>
      <c r="G586" s="35">
        <f>89456.2/274.8*E586</f>
        <v>15430.217903930128</v>
      </c>
      <c r="H586" s="207"/>
      <c r="I586" s="207" t="s">
        <v>12545</v>
      </c>
      <c r="J586" s="245" t="s">
        <v>12546</v>
      </c>
      <c r="K586" s="207"/>
      <c r="L586" s="66"/>
      <c r="M586" s="201" t="s">
        <v>12550</v>
      </c>
      <c r="N586" s="207"/>
      <c r="O586" s="38"/>
    </row>
    <row r="587" spans="1:15" ht="84" customHeight="1" x14ac:dyDescent="0.3">
      <c r="A587" s="2">
        <v>567</v>
      </c>
      <c r="B587" s="34" t="s">
        <v>12468</v>
      </c>
      <c r="C587" s="34" t="s">
        <v>13020</v>
      </c>
      <c r="D587" s="88"/>
      <c r="E587" s="66">
        <v>53.4</v>
      </c>
      <c r="F587" s="35">
        <f>486174.94/274.8*E587</f>
        <v>94475.042925764181</v>
      </c>
      <c r="G587" s="35">
        <f>89456.2/274.8*E587</f>
        <v>17383.410043668118</v>
      </c>
      <c r="H587" s="207"/>
      <c r="I587" s="207" t="s">
        <v>12545</v>
      </c>
      <c r="J587" s="66" t="s">
        <v>12546</v>
      </c>
      <c r="K587" s="207"/>
      <c r="L587" s="66"/>
      <c r="M587" s="201" t="s">
        <v>12550</v>
      </c>
      <c r="N587" s="207"/>
      <c r="O587" s="38"/>
    </row>
    <row r="588" spans="1:15" ht="84" customHeight="1" x14ac:dyDescent="0.3">
      <c r="A588" s="242">
        <v>568</v>
      </c>
      <c r="B588" s="34" t="s">
        <v>12468</v>
      </c>
      <c r="C588" s="34" t="s">
        <v>13021</v>
      </c>
      <c r="D588" s="88"/>
      <c r="E588" s="245">
        <v>52.9</v>
      </c>
      <c r="F588" s="35">
        <f>486174.94/274.8*E588</f>
        <v>93590.445145560399</v>
      </c>
      <c r="G588" s="35">
        <f>89456.2/274.8*E588</f>
        <v>17220.644032023287</v>
      </c>
      <c r="H588" s="207"/>
      <c r="I588" s="207" t="s">
        <v>12545</v>
      </c>
      <c r="J588" s="245" t="s">
        <v>12546</v>
      </c>
      <c r="K588" s="207"/>
      <c r="L588" s="66"/>
      <c r="M588" s="201" t="s">
        <v>12550</v>
      </c>
      <c r="N588" s="207"/>
      <c r="O588" s="38"/>
    </row>
    <row r="589" spans="1:15" ht="84" customHeight="1" x14ac:dyDescent="0.3">
      <c r="A589" s="242">
        <v>569</v>
      </c>
      <c r="B589" s="34" t="s">
        <v>12525</v>
      </c>
      <c r="C589" s="34" t="s">
        <v>13022</v>
      </c>
      <c r="D589" s="88" t="s">
        <v>12526</v>
      </c>
      <c r="E589" s="245">
        <v>66.7</v>
      </c>
      <c r="F589" s="35">
        <v>143977.98000000001</v>
      </c>
      <c r="G589" s="35">
        <v>24188.29</v>
      </c>
      <c r="H589" s="25"/>
      <c r="I589" s="207" t="s">
        <v>12545</v>
      </c>
      <c r="J589" s="245" t="s">
        <v>12546</v>
      </c>
      <c r="K589" s="207"/>
      <c r="L589" s="66"/>
      <c r="M589" s="201" t="s">
        <v>12550</v>
      </c>
      <c r="N589" s="207"/>
      <c r="O589" s="38"/>
    </row>
    <row r="590" spans="1:15" ht="84" customHeight="1" x14ac:dyDescent="0.3">
      <c r="A590" s="242">
        <v>570</v>
      </c>
      <c r="B590" s="34" t="s">
        <v>12468</v>
      </c>
      <c r="C590" s="34" t="s">
        <v>13023</v>
      </c>
      <c r="D590" s="88"/>
      <c r="E590" s="245">
        <v>47.4</v>
      </c>
      <c r="F590" s="35">
        <f>491726.88/359.5*E590</f>
        <v>64834.086542420024</v>
      </c>
      <c r="G590" s="35">
        <f>82610.11/359.5*E590</f>
        <v>10892.125769123782</v>
      </c>
      <c r="H590" s="207"/>
      <c r="I590" s="207" t="s">
        <v>12545</v>
      </c>
      <c r="J590" s="245" t="s">
        <v>12546</v>
      </c>
      <c r="K590" s="207"/>
      <c r="L590" s="66"/>
      <c r="M590" s="201" t="s">
        <v>12550</v>
      </c>
      <c r="N590" s="207"/>
      <c r="O590" s="38"/>
    </row>
    <row r="591" spans="1:15" ht="84" customHeight="1" x14ac:dyDescent="0.3">
      <c r="A591" s="242">
        <v>571</v>
      </c>
      <c r="B591" s="34" t="s">
        <v>12468</v>
      </c>
      <c r="C591" s="34" t="s">
        <v>13024</v>
      </c>
      <c r="D591" s="88" t="s">
        <v>18013</v>
      </c>
      <c r="E591" s="245">
        <v>52.9</v>
      </c>
      <c r="F591" s="35">
        <f>491726.88/359.5*E591</f>
        <v>72357.029073713478</v>
      </c>
      <c r="G591" s="35">
        <f>82610.11/359.5*E591</f>
        <v>12155.980025034769</v>
      </c>
      <c r="H591" s="207"/>
      <c r="I591" s="207" t="s">
        <v>12545</v>
      </c>
      <c r="J591" s="245" t="s">
        <v>12546</v>
      </c>
      <c r="K591" s="26">
        <v>41999</v>
      </c>
      <c r="L591" s="66" t="s">
        <v>17886</v>
      </c>
      <c r="M591" s="201" t="s">
        <v>12550</v>
      </c>
      <c r="N591" s="207"/>
      <c r="O591" s="38"/>
    </row>
    <row r="592" spans="1:15" ht="84" customHeight="1" x14ac:dyDescent="0.3">
      <c r="A592" s="242">
        <v>572</v>
      </c>
      <c r="B592" s="34" t="s">
        <v>12472</v>
      </c>
      <c r="C592" s="34" t="s">
        <v>13025</v>
      </c>
      <c r="D592" s="88" t="s">
        <v>12527</v>
      </c>
      <c r="E592" s="245">
        <v>47.8</v>
      </c>
      <c r="F592" s="35">
        <v>103180.62</v>
      </c>
      <c r="G592" s="35">
        <v>17334.34</v>
      </c>
      <c r="H592" s="25"/>
      <c r="I592" s="207" t="s">
        <v>12545</v>
      </c>
      <c r="J592" s="245" t="s">
        <v>12546</v>
      </c>
      <c r="K592" s="207"/>
      <c r="L592" s="66"/>
      <c r="M592" s="201" t="s">
        <v>12550</v>
      </c>
      <c r="N592" s="207"/>
      <c r="O592" s="38"/>
    </row>
    <row r="593" spans="1:15" ht="84" customHeight="1" x14ac:dyDescent="0.3">
      <c r="A593" s="2">
        <v>573</v>
      </c>
      <c r="B593" s="34" t="s">
        <v>12468</v>
      </c>
      <c r="C593" s="34" t="s">
        <v>13026</v>
      </c>
      <c r="D593" s="88"/>
      <c r="E593" s="66">
        <v>52.9</v>
      </c>
      <c r="F593" s="35">
        <f>491726.88/359.5*E593</f>
        <v>72357.029073713478</v>
      </c>
      <c r="G593" s="35">
        <f>82610.11/359.5*E593</f>
        <v>12155.980025034769</v>
      </c>
      <c r="H593" s="207"/>
      <c r="I593" s="207" t="s">
        <v>12545</v>
      </c>
      <c r="J593" s="66" t="s">
        <v>12546</v>
      </c>
      <c r="K593" s="207"/>
      <c r="L593" s="66"/>
      <c r="M593" s="201" t="s">
        <v>12550</v>
      </c>
      <c r="N593" s="207"/>
      <c r="O593" s="38"/>
    </row>
    <row r="594" spans="1:15" ht="84" customHeight="1" x14ac:dyDescent="0.3">
      <c r="A594" s="2">
        <v>574</v>
      </c>
      <c r="B594" s="34" t="s">
        <v>12468</v>
      </c>
      <c r="C594" s="34" t="s">
        <v>13027</v>
      </c>
      <c r="D594" s="88"/>
      <c r="E594" s="66">
        <v>52.9</v>
      </c>
      <c r="F594" s="35">
        <f>491726.88/359.5*E594</f>
        <v>72357.029073713478</v>
      </c>
      <c r="G594" s="35">
        <f>82610.11/359.5*E594</f>
        <v>12155.980025034769</v>
      </c>
      <c r="H594" s="207"/>
      <c r="I594" s="207" t="s">
        <v>12545</v>
      </c>
      <c r="J594" s="66" t="s">
        <v>12546</v>
      </c>
      <c r="K594" s="207"/>
      <c r="L594" s="66"/>
      <c r="M594" s="201" t="s">
        <v>12550</v>
      </c>
      <c r="N594" s="207"/>
      <c r="O594" s="38"/>
    </row>
    <row r="595" spans="1:15" ht="84" customHeight="1" x14ac:dyDescent="0.3">
      <c r="A595" s="2">
        <v>575</v>
      </c>
      <c r="B595" s="34" t="s">
        <v>12468</v>
      </c>
      <c r="C595" s="34" t="s">
        <v>13028</v>
      </c>
      <c r="D595" s="88"/>
      <c r="E595" s="66">
        <v>52</v>
      </c>
      <c r="F595" s="35">
        <f>491726.88/359.5*E595</f>
        <v>71126.002114047282</v>
      </c>
      <c r="G595" s="35">
        <f>82610.11/359.5*E595</f>
        <v>11949.167510431154</v>
      </c>
      <c r="H595" s="207"/>
      <c r="I595" s="207" t="s">
        <v>12545</v>
      </c>
      <c r="J595" s="66" t="s">
        <v>12546</v>
      </c>
      <c r="K595" s="207"/>
      <c r="L595" s="66"/>
      <c r="M595" s="201" t="s">
        <v>12550</v>
      </c>
      <c r="N595" s="207"/>
      <c r="O595" s="38"/>
    </row>
    <row r="596" spans="1:15" ht="84" customHeight="1" x14ac:dyDescent="0.3">
      <c r="A596" s="2">
        <v>576</v>
      </c>
      <c r="B596" s="34" t="s">
        <v>12467</v>
      </c>
      <c r="C596" s="34" t="s">
        <v>13029</v>
      </c>
      <c r="D596" s="88"/>
      <c r="E596" s="66">
        <v>67.8</v>
      </c>
      <c r="F596" s="35">
        <f>491726.88/359.5*E596</f>
        <v>92737.364294853949</v>
      </c>
      <c r="G596" s="35">
        <f>82610.11/359.5*E596</f>
        <v>15579.876100139081</v>
      </c>
      <c r="H596" s="207"/>
      <c r="I596" s="207" t="s">
        <v>12545</v>
      </c>
      <c r="J596" s="66" t="s">
        <v>12546</v>
      </c>
      <c r="K596" s="26">
        <v>42465</v>
      </c>
      <c r="L596" s="66" t="s">
        <v>16051</v>
      </c>
      <c r="M596" s="201" t="s">
        <v>12550</v>
      </c>
      <c r="N596" s="207"/>
      <c r="O596" s="38"/>
    </row>
    <row r="597" spans="1:15" ht="84" customHeight="1" x14ac:dyDescent="0.3">
      <c r="A597" s="2">
        <v>577</v>
      </c>
      <c r="B597" s="34" t="s">
        <v>12471</v>
      </c>
      <c r="C597" s="34" t="s">
        <v>13030</v>
      </c>
      <c r="D597" s="88"/>
      <c r="E597" s="66">
        <v>33.6</v>
      </c>
      <c r="F597" s="35">
        <f>491726.88/359.5*E597</f>
        <v>45958.33982753825</v>
      </c>
      <c r="G597" s="35">
        <f>82610.11/359.5*E597</f>
        <v>7721.0005452016694</v>
      </c>
      <c r="H597" s="207"/>
      <c r="I597" s="207" t="s">
        <v>12545</v>
      </c>
      <c r="J597" s="66" t="s">
        <v>12546</v>
      </c>
      <c r="K597" s="207"/>
      <c r="L597" s="66"/>
      <c r="M597" s="201" t="s">
        <v>12550</v>
      </c>
      <c r="N597" s="207"/>
      <c r="O597" s="38"/>
    </row>
    <row r="598" spans="1:15" ht="96" customHeight="1" x14ac:dyDescent="0.3">
      <c r="A598" s="2">
        <v>578</v>
      </c>
      <c r="B598" s="34" t="s">
        <v>12528</v>
      </c>
      <c r="C598" s="34" t="s">
        <v>13031</v>
      </c>
      <c r="D598" s="88" t="s">
        <v>12529</v>
      </c>
      <c r="E598" s="66">
        <v>28.7</v>
      </c>
      <c r="F598" s="35">
        <v>119370.05</v>
      </c>
      <c r="G598" s="35">
        <v>20054.16</v>
      </c>
      <c r="H598" s="25"/>
      <c r="I598" s="207" t="s">
        <v>12545</v>
      </c>
      <c r="J598" s="66" t="s">
        <v>12546</v>
      </c>
      <c r="K598" s="207"/>
      <c r="L598" s="66"/>
      <c r="M598" s="201" t="s">
        <v>12550</v>
      </c>
      <c r="N598" s="207"/>
      <c r="O598" s="38" t="s">
        <v>21528</v>
      </c>
    </row>
    <row r="599" spans="1:15" ht="96" customHeight="1" x14ac:dyDescent="0.3">
      <c r="A599" s="242">
        <v>579</v>
      </c>
      <c r="B599" s="34" t="s">
        <v>12467</v>
      </c>
      <c r="C599" s="34" t="s">
        <v>13032</v>
      </c>
      <c r="D599" s="88"/>
      <c r="E599" s="245">
        <v>60</v>
      </c>
      <c r="F599" s="35">
        <f>516540.06/187.7*E599</f>
        <v>165116.69472562603</v>
      </c>
      <c r="G599" s="35">
        <f>97535.77/187.7*E599</f>
        <v>31178.189664358022</v>
      </c>
      <c r="H599" s="207"/>
      <c r="I599" s="207" t="s">
        <v>12545</v>
      </c>
      <c r="J599" s="245" t="s">
        <v>12546</v>
      </c>
      <c r="K599" s="207"/>
      <c r="L599" s="245"/>
      <c r="M599" s="201" t="s">
        <v>12550</v>
      </c>
      <c r="N599" s="207"/>
      <c r="O599" s="38" t="s">
        <v>21529</v>
      </c>
    </row>
    <row r="600" spans="1:15" ht="96" customHeight="1" x14ac:dyDescent="0.3">
      <c r="A600" s="242">
        <v>580</v>
      </c>
      <c r="B600" s="34" t="s">
        <v>12468</v>
      </c>
      <c r="C600" s="34" t="s">
        <v>13033</v>
      </c>
      <c r="D600" s="88"/>
      <c r="E600" s="245">
        <v>43.2</v>
      </c>
      <c r="F600" s="35">
        <f>516540.06/187.7*E600</f>
        <v>118884.02020245075</v>
      </c>
      <c r="G600" s="35">
        <f>97535.77/187.7*E600</f>
        <v>22448.296558337777</v>
      </c>
      <c r="H600" s="207"/>
      <c r="I600" s="207" t="s">
        <v>12545</v>
      </c>
      <c r="J600" s="245" t="s">
        <v>12546</v>
      </c>
      <c r="K600" s="207"/>
      <c r="L600" s="66"/>
      <c r="M600" s="201" t="s">
        <v>12550</v>
      </c>
      <c r="N600" s="207"/>
      <c r="O600" s="38"/>
    </row>
    <row r="601" spans="1:15" ht="96" customHeight="1" x14ac:dyDescent="0.3">
      <c r="A601" s="242">
        <v>581</v>
      </c>
      <c r="B601" s="34" t="s">
        <v>12468</v>
      </c>
      <c r="C601" s="34" t="s">
        <v>13034</v>
      </c>
      <c r="D601" s="88"/>
      <c r="E601" s="245">
        <v>45.2</v>
      </c>
      <c r="F601" s="35">
        <f>516540.06/187.7*E601</f>
        <v>124387.91002663827</v>
      </c>
      <c r="G601" s="35">
        <f>97535.77/187.7*E601</f>
        <v>23487.569547149713</v>
      </c>
      <c r="H601" s="207"/>
      <c r="I601" s="207" t="s">
        <v>12545</v>
      </c>
      <c r="J601" s="245" t="s">
        <v>12546</v>
      </c>
      <c r="K601" s="207"/>
      <c r="L601" s="66"/>
      <c r="M601" s="201" t="s">
        <v>12550</v>
      </c>
      <c r="N601" s="207"/>
      <c r="O601" s="38" t="s">
        <v>21530</v>
      </c>
    </row>
    <row r="602" spans="1:15" ht="120" customHeight="1" x14ac:dyDescent="0.3">
      <c r="A602" s="242">
        <v>582</v>
      </c>
      <c r="B602" s="34" t="s">
        <v>12468</v>
      </c>
      <c r="C602" s="34" t="s">
        <v>13035</v>
      </c>
      <c r="D602" s="88" t="s">
        <v>22943</v>
      </c>
      <c r="E602" s="245">
        <v>39.299999999999997</v>
      </c>
      <c r="F602" s="35">
        <f>516540.06/187.7*E602</f>
        <v>108151.43504528503</v>
      </c>
      <c r="G602" s="35">
        <f>97535.77/187.7*E602</f>
        <v>20421.714230154503</v>
      </c>
      <c r="H602" s="207"/>
      <c r="I602" s="207" t="s">
        <v>12545</v>
      </c>
      <c r="J602" s="245" t="s">
        <v>12546</v>
      </c>
      <c r="K602" s="207" t="s">
        <v>22945</v>
      </c>
      <c r="L602" s="66" t="s">
        <v>22946</v>
      </c>
      <c r="M602" s="201" t="s">
        <v>12550</v>
      </c>
      <c r="N602" s="207"/>
      <c r="O602" s="38" t="s">
        <v>22944</v>
      </c>
    </row>
    <row r="603" spans="1:15" ht="84" customHeight="1" x14ac:dyDescent="0.3">
      <c r="A603" s="242">
        <v>583</v>
      </c>
      <c r="B603" s="34" t="s">
        <v>12468</v>
      </c>
      <c r="C603" s="34" t="s">
        <v>13036</v>
      </c>
      <c r="D603" s="88"/>
      <c r="E603" s="245">
        <v>53.1</v>
      </c>
      <c r="F603" s="35">
        <f t="shared" ref="F603:F610" si="19">574523.41/427.7*E603</f>
        <v>71328.485085340202</v>
      </c>
      <c r="G603" s="35">
        <f t="shared" ref="G603:G610" si="20">156270.4/427.7*E603</f>
        <v>19401.35197568389</v>
      </c>
      <c r="H603" s="207"/>
      <c r="I603" s="207" t="s">
        <v>12545</v>
      </c>
      <c r="J603" s="245" t="s">
        <v>12546</v>
      </c>
      <c r="K603" s="207"/>
      <c r="L603" s="66"/>
      <c r="M603" s="201" t="s">
        <v>12550</v>
      </c>
      <c r="N603" s="207"/>
      <c r="O603" s="38" t="s">
        <v>21531</v>
      </c>
    </row>
    <row r="604" spans="1:15" ht="84" customHeight="1" x14ac:dyDescent="0.3">
      <c r="A604" s="242">
        <v>584</v>
      </c>
      <c r="B604" s="34" t="s">
        <v>12467</v>
      </c>
      <c r="C604" s="34" t="s">
        <v>13037</v>
      </c>
      <c r="D604" s="88"/>
      <c r="E604" s="245">
        <v>67.400000000000006</v>
      </c>
      <c r="F604" s="35">
        <f t="shared" si="19"/>
        <v>90537.47447743747</v>
      </c>
      <c r="G604" s="35">
        <f t="shared" si="20"/>
        <v>24626.198176291797</v>
      </c>
      <c r="H604" s="207"/>
      <c r="I604" s="207" t="s">
        <v>12545</v>
      </c>
      <c r="J604" s="245" t="s">
        <v>12546</v>
      </c>
      <c r="K604" s="207"/>
      <c r="L604" s="66"/>
      <c r="M604" s="201" t="s">
        <v>12550</v>
      </c>
      <c r="N604" s="207"/>
      <c r="O604" s="38"/>
    </row>
    <row r="605" spans="1:15" ht="84" customHeight="1" x14ac:dyDescent="0.3">
      <c r="A605" s="242">
        <v>585</v>
      </c>
      <c r="B605" s="34" t="s">
        <v>12468</v>
      </c>
      <c r="C605" s="34" t="s">
        <v>13038</v>
      </c>
      <c r="D605" s="88"/>
      <c r="E605" s="245">
        <v>53.3</v>
      </c>
      <c r="F605" s="35">
        <f t="shared" si="19"/>
        <v>71597.142279635256</v>
      </c>
      <c r="G605" s="35">
        <f t="shared" si="20"/>
        <v>19474.426747720365</v>
      </c>
      <c r="H605" s="207"/>
      <c r="I605" s="207" t="s">
        <v>12545</v>
      </c>
      <c r="J605" s="245" t="s">
        <v>12546</v>
      </c>
      <c r="K605" s="207"/>
      <c r="L605" s="66"/>
      <c r="M605" s="201" t="s">
        <v>12550</v>
      </c>
      <c r="N605" s="207"/>
      <c r="O605" s="38"/>
    </row>
    <row r="606" spans="1:15" ht="96" customHeight="1" x14ac:dyDescent="0.3">
      <c r="A606" s="242">
        <v>586</v>
      </c>
      <c r="B606" s="34" t="s">
        <v>12471</v>
      </c>
      <c r="C606" s="34" t="s">
        <v>13039</v>
      </c>
      <c r="D606" s="88"/>
      <c r="E606" s="245">
        <v>33</v>
      </c>
      <c r="F606" s="35">
        <f t="shared" si="19"/>
        <v>44328.437058686002</v>
      </c>
      <c r="G606" s="35">
        <f t="shared" si="20"/>
        <v>12057.337386018238</v>
      </c>
      <c r="H606" s="207"/>
      <c r="I606" s="207" t="s">
        <v>12545</v>
      </c>
      <c r="J606" s="245" t="s">
        <v>12546</v>
      </c>
      <c r="K606" s="207"/>
      <c r="L606" s="66"/>
      <c r="M606" s="201" t="s">
        <v>12550</v>
      </c>
      <c r="N606" s="207"/>
      <c r="O606" s="38"/>
    </row>
    <row r="607" spans="1:15" ht="96" customHeight="1" x14ac:dyDescent="0.3">
      <c r="A607" s="242">
        <v>587</v>
      </c>
      <c r="B607" s="34" t="s">
        <v>12468</v>
      </c>
      <c r="C607" s="34" t="s">
        <v>13040</v>
      </c>
      <c r="D607" s="88"/>
      <c r="E607" s="245">
        <v>46.7</v>
      </c>
      <c r="F607" s="35">
        <f t="shared" si="19"/>
        <v>62731.454867898072</v>
      </c>
      <c r="G607" s="35">
        <f t="shared" si="20"/>
        <v>17062.95927051672</v>
      </c>
      <c r="H607" s="207"/>
      <c r="I607" s="207" t="s">
        <v>12545</v>
      </c>
      <c r="J607" s="245" t="s">
        <v>12546</v>
      </c>
      <c r="K607" s="207"/>
      <c r="L607" s="66"/>
      <c r="M607" s="201" t="s">
        <v>12550</v>
      </c>
      <c r="N607" s="207"/>
      <c r="O607" s="38"/>
    </row>
    <row r="608" spans="1:15" ht="96" customHeight="1" x14ac:dyDescent="0.3">
      <c r="A608" s="2">
        <v>588</v>
      </c>
      <c r="B608" s="34" t="s">
        <v>12468</v>
      </c>
      <c r="C608" s="34" t="s">
        <v>13041</v>
      </c>
      <c r="D608" s="88"/>
      <c r="E608" s="66">
        <v>53.8</v>
      </c>
      <c r="F608" s="35">
        <f t="shared" si="19"/>
        <v>72268.785265372935</v>
      </c>
      <c r="G608" s="35">
        <f t="shared" si="20"/>
        <v>19657.113677811551</v>
      </c>
      <c r="H608" s="207"/>
      <c r="I608" s="207" t="s">
        <v>12545</v>
      </c>
      <c r="J608" s="66" t="s">
        <v>12546</v>
      </c>
      <c r="K608" s="207"/>
      <c r="L608" s="66"/>
      <c r="M608" s="201" t="s">
        <v>12550</v>
      </c>
      <c r="N608" s="207"/>
      <c r="O608" s="38"/>
    </row>
    <row r="609" spans="1:15" ht="96" customHeight="1" x14ac:dyDescent="0.3">
      <c r="A609" s="2">
        <v>589</v>
      </c>
      <c r="B609" s="34" t="s">
        <v>12467</v>
      </c>
      <c r="C609" s="34" t="s">
        <v>13042</v>
      </c>
      <c r="D609" s="88"/>
      <c r="E609" s="245">
        <v>67.099999999999994</v>
      </c>
      <c r="F609" s="35">
        <f t="shared" si="19"/>
        <v>90134.48868599486</v>
      </c>
      <c r="G609" s="35">
        <f t="shared" si="20"/>
        <v>24516.586018237082</v>
      </c>
      <c r="H609" s="207"/>
      <c r="I609" s="207" t="s">
        <v>12545</v>
      </c>
      <c r="J609" s="245" t="s">
        <v>12546</v>
      </c>
      <c r="K609" s="207"/>
      <c r="L609" s="66"/>
      <c r="M609" s="201" t="s">
        <v>12550</v>
      </c>
      <c r="N609" s="207"/>
      <c r="O609" s="38"/>
    </row>
    <row r="610" spans="1:15" ht="144" customHeight="1" x14ac:dyDescent="0.3">
      <c r="A610" s="242">
        <v>590</v>
      </c>
      <c r="B610" s="34" t="s">
        <v>12468</v>
      </c>
      <c r="C610" s="34" t="s">
        <v>13043</v>
      </c>
      <c r="D610" s="88"/>
      <c r="E610" s="245">
        <v>53.3</v>
      </c>
      <c r="F610" s="35">
        <f t="shared" si="19"/>
        <v>71597.142279635256</v>
      </c>
      <c r="G610" s="35">
        <f t="shared" si="20"/>
        <v>19474.426747720365</v>
      </c>
      <c r="H610" s="207"/>
      <c r="I610" s="207" t="s">
        <v>12545</v>
      </c>
      <c r="J610" s="245" t="s">
        <v>12546</v>
      </c>
      <c r="K610" s="207" t="s">
        <v>19452</v>
      </c>
      <c r="L610" s="66" t="s">
        <v>19453</v>
      </c>
      <c r="M610" s="201" t="s">
        <v>12550</v>
      </c>
      <c r="N610" s="207"/>
      <c r="O610" s="38"/>
    </row>
    <row r="611" spans="1:15" ht="84" customHeight="1" x14ac:dyDescent="0.3">
      <c r="A611" s="2">
        <v>591</v>
      </c>
      <c r="B611" s="34" t="s">
        <v>12472</v>
      </c>
      <c r="C611" s="34" t="s">
        <v>12668</v>
      </c>
      <c r="D611" s="88" t="s">
        <v>12530</v>
      </c>
      <c r="E611" s="66">
        <v>51.3</v>
      </c>
      <c r="F611" s="35">
        <v>66556.19</v>
      </c>
      <c r="G611" s="35">
        <v>2662.08</v>
      </c>
      <c r="H611" s="207"/>
      <c r="I611" s="207" t="s">
        <v>12545</v>
      </c>
      <c r="J611" s="66" t="s">
        <v>12546</v>
      </c>
      <c r="K611" s="26">
        <v>42586</v>
      </c>
      <c r="L611" s="66" t="s">
        <v>16052</v>
      </c>
      <c r="M611" s="201" t="s">
        <v>12550</v>
      </c>
      <c r="N611" s="245" t="s">
        <v>15053</v>
      </c>
      <c r="O611" s="38"/>
    </row>
    <row r="612" spans="1:15" ht="96" customHeight="1" x14ac:dyDescent="0.3">
      <c r="A612" s="2">
        <v>592</v>
      </c>
      <c r="B612" s="34" t="s">
        <v>12471</v>
      </c>
      <c r="C612" s="34" t="s">
        <v>13044</v>
      </c>
      <c r="D612" s="88"/>
      <c r="E612" s="66">
        <v>29.8</v>
      </c>
      <c r="F612" s="35">
        <f>426405.16/221.2*E612</f>
        <v>57445.179783001804</v>
      </c>
      <c r="G612" s="35">
        <f>119393.94/221.2*E612</f>
        <v>16084.717052441232</v>
      </c>
      <c r="H612" s="207"/>
      <c r="I612" s="207" t="s">
        <v>12545</v>
      </c>
      <c r="J612" s="66" t="s">
        <v>12546</v>
      </c>
      <c r="K612" s="207"/>
      <c r="L612" s="66"/>
      <c r="M612" s="201" t="s">
        <v>12550</v>
      </c>
      <c r="N612" s="207"/>
      <c r="O612" s="38"/>
    </row>
    <row r="613" spans="1:15" ht="96" customHeight="1" x14ac:dyDescent="0.3">
      <c r="A613" s="2">
        <v>593</v>
      </c>
      <c r="B613" s="34" t="s">
        <v>12468</v>
      </c>
      <c r="C613" s="34" t="s">
        <v>13045</v>
      </c>
      <c r="D613" s="88"/>
      <c r="E613" s="66">
        <v>44.7</v>
      </c>
      <c r="F613" s="35">
        <f>426405.16/221.2*E613</f>
        <v>86167.769674502721</v>
      </c>
      <c r="G613" s="35">
        <f>119393.94/221.2*E613</f>
        <v>24127.07557866185</v>
      </c>
      <c r="H613" s="207"/>
      <c r="I613" s="207" t="s">
        <v>12545</v>
      </c>
      <c r="J613" s="66" t="s">
        <v>12546</v>
      </c>
      <c r="K613" s="207"/>
      <c r="L613" s="66"/>
      <c r="M613" s="201" t="s">
        <v>12550</v>
      </c>
      <c r="N613" s="207"/>
      <c r="O613" s="38" t="s">
        <v>21532</v>
      </c>
    </row>
    <row r="614" spans="1:15" ht="96" customHeight="1" x14ac:dyDescent="0.3">
      <c r="A614" s="242">
        <v>594</v>
      </c>
      <c r="B614" s="34" t="s">
        <v>12467</v>
      </c>
      <c r="C614" s="34" t="s">
        <v>13046</v>
      </c>
      <c r="D614" s="88"/>
      <c r="E614" s="245">
        <v>61.7</v>
      </c>
      <c r="F614" s="35">
        <f>426405.16/221.2*E614</f>
        <v>118938.50981916818</v>
      </c>
      <c r="G614" s="35">
        <f>119393.94/221.2*E614</f>
        <v>33302.920877034361</v>
      </c>
      <c r="H614" s="207"/>
      <c r="I614" s="207" t="s">
        <v>12545</v>
      </c>
      <c r="J614" s="245" t="s">
        <v>12546</v>
      </c>
      <c r="K614" s="207" t="s">
        <v>15071</v>
      </c>
      <c r="L614" s="66" t="s">
        <v>15072</v>
      </c>
      <c r="M614" s="201" t="s">
        <v>12550</v>
      </c>
      <c r="N614" s="207"/>
      <c r="O614" s="38"/>
    </row>
    <row r="615" spans="1:15" ht="96" customHeight="1" x14ac:dyDescent="0.3">
      <c r="A615" s="2">
        <v>595</v>
      </c>
      <c r="B615" s="34" t="s">
        <v>12468</v>
      </c>
      <c r="C615" s="34" t="s">
        <v>13047</v>
      </c>
      <c r="D615" s="88"/>
      <c r="E615" s="66">
        <v>44.2</v>
      </c>
      <c r="F615" s="35">
        <f>426405.16/221.2*E615</f>
        <v>85203.924376130206</v>
      </c>
      <c r="G615" s="35">
        <f>119393.94/221.2*E615</f>
        <v>23857.197775768538</v>
      </c>
      <c r="H615" s="207"/>
      <c r="I615" s="207" t="s">
        <v>12545</v>
      </c>
      <c r="J615" s="66" t="s">
        <v>12546</v>
      </c>
      <c r="K615" s="26">
        <v>42781</v>
      </c>
      <c r="L615" s="66" t="s">
        <v>18237</v>
      </c>
      <c r="M615" s="201" t="s">
        <v>12550</v>
      </c>
      <c r="N615" s="207"/>
      <c r="O615" s="38"/>
    </row>
    <row r="616" spans="1:15" ht="96" customHeight="1" x14ac:dyDescent="0.3">
      <c r="A616" s="242">
        <v>596</v>
      </c>
      <c r="B616" s="34" t="s">
        <v>12468</v>
      </c>
      <c r="C616" s="34" t="s">
        <v>13048</v>
      </c>
      <c r="D616" s="88"/>
      <c r="E616" s="245">
        <v>40.799999999999997</v>
      </c>
      <c r="F616" s="35">
        <f>426405.16/221.2*E616</f>
        <v>78649.776347197097</v>
      </c>
      <c r="G616" s="35">
        <f>119393.94/221.2*E616</f>
        <v>22022.028716094035</v>
      </c>
      <c r="H616" s="207"/>
      <c r="I616" s="207" t="s">
        <v>12545</v>
      </c>
      <c r="J616" s="245" t="s">
        <v>12546</v>
      </c>
      <c r="K616" s="207"/>
      <c r="L616" s="66"/>
      <c r="M616" s="201" t="s">
        <v>12550</v>
      </c>
      <c r="N616" s="207"/>
      <c r="O616" s="38" t="s">
        <v>21533</v>
      </c>
    </row>
    <row r="617" spans="1:15" ht="84" customHeight="1" x14ac:dyDescent="0.3">
      <c r="A617" s="242">
        <v>597</v>
      </c>
      <c r="B617" s="34" t="s">
        <v>12517</v>
      </c>
      <c r="C617" s="34" t="s">
        <v>12669</v>
      </c>
      <c r="D617" s="88" t="s">
        <v>12531</v>
      </c>
      <c r="E617" s="245">
        <v>65.3</v>
      </c>
      <c r="F617" s="35">
        <v>2482740</v>
      </c>
      <c r="G617" s="35" t="s">
        <v>14</v>
      </c>
      <c r="H617" s="25"/>
      <c r="I617" s="207" t="s">
        <v>12545</v>
      </c>
      <c r="J617" s="245" t="s">
        <v>12546</v>
      </c>
      <c r="K617" s="207"/>
      <c r="L617" s="66"/>
      <c r="M617" s="201" t="s">
        <v>12550</v>
      </c>
      <c r="N617" s="207"/>
      <c r="O617" s="38"/>
    </row>
    <row r="618" spans="1:15" ht="96" customHeight="1" x14ac:dyDescent="0.3">
      <c r="A618" s="242">
        <v>598</v>
      </c>
      <c r="B618" s="36" t="s">
        <v>12468</v>
      </c>
      <c r="C618" s="36" t="s">
        <v>13049</v>
      </c>
      <c r="D618" s="88"/>
      <c r="E618" s="134">
        <v>43.7</v>
      </c>
      <c r="F618" s="37">
        <f t="shared" ref="F618:F628" si="21">721354.61/489.1*E618</f>
        <v>64451.434179104472</v>
      </c>
      <c r="G618" s="37">
        <f t="shared" ref="G618:G628" si="22">219291.65/489.1*E618</f>
        <v>19593.222459619712</v>
      </c>
      <c r="H618" s="207"/>
      <c r="I618" s="207" t="s">
        <v>12545</v>
      </c>
      <c r="J618" s="245" t="s">
        <v>12546</v>
      </c>
      <c r="K618" s="207"/>
      <c r="L618" s="66"/>
      <c r="M618" s="201" t="s">
        <v>12550</v>
      </c>
      <c r="N618" s="207"/>
      <c r="O618" s="38"/>
    </row>
    <row r="619" spans="1:15" ht="96" customHeight="1" x14ac:dyDescent="0.3">
      <c r="A619" s="242">
        <v>599</v>
      </c>
      <c r="B619" s="36" t="s">
        <v>12468</v>
      </c>
      <c r="C619" s="36" t="s">
        <v>13050</v>
      </c>
      <c r="D619" s="88"/>
      <c r="E619" s="134">
        <v>55.6</v>
      </c>
      <c r="F619" s="37">
        <f t="shared" si="21"/>
        <v>82002.282388059699</v>
      </c>
      <c r="G619" s="37">
        <f t="shared" si="22"/>
        <v>24928.676630545899</v>
      </c>
      <c r="H619" s="207"/>
      <c r="I619" s="207" t="s">
        <v>12545</v>
      </c>
      <c r="J619" s="245" t="s">
        <v>12546</v>
      </c>
      <c r="K619" s="207"/>
      <c r="L619" s="66"/>
      <c r="M619" s="201" t="s">
        <v>12550</v>
      </c>
      <c r="N619" s="207"/>
      <c r="O619" s="38"/>
    </row>
    <row r="620" spans="1:15" ht="96" customHeight="1" x14ac:dyDescent="0.3">
      <c r="A620" s="2">
        <v>600</v>
      </c>
      <c r="B620" s="36" t="s">
        <v>12468</v>
      </c>
      <c r="C620" s="36" t="s">
        <v>13051</v>
      </c>
      <c r="D620" s="88"/>
      <c r="E620" s="134">
        <v>43.8</v>
      </c>
      <c r="F620" s="37">
        <f t="shared" si="21"/>
        <v>64598.920298507452</v>
      </c>
      <c r="G620" s="37">
        <f t="shared" si="22"/>
        <v>19638.058208955223</v>
      </c>
      <c r="H620" s="207"/>
      <c r="I620" s="207" t="s">
        <v>12545</v>
      </c>
      <c r="J620" s="245" t="s">
        <v>12546</v>
      </c>
      <c r="K620" s="207"/>
      <c r="L620" s="66"/>
      <c r="M620" s="201" t="s">
        <v>12550</v>
      </c>
      <c r="N620" s="207"/>
      <c r="O620" s="38" t="s">
        <v>21534</v>
      </c>
    </row>
    <row r="621" spans="1:15" ht="96" customHeight="1" x14ac:dyDescent="0.3">
      <c r="A621" s="2">
        <v>601</v>
      </c>
      <c r="B621" s="36" t="s">
        <v>12468</v>
      </c>
      <c r="C621" s="36" t="s">
        <v>13052</v>
      </c>
      <c r="D621" s="88"/>
      <c r="E621" s="134">
        <v>45.3</v>
      </c>
      <c r="F621" s="37">
        <f t="shared" si="21"/>
        <v>66811.212089552224</v>
      </c>
      <c r="G621" s="37">
        <f t="shared" si="22"/>
        <v>20310.594448987937</v>
      </c>
      <c r="H621" s="207"/>
      <c r="I621" s="207" t="s">
        <v>12545</v>
      </c>
      <c r="J621" s="245" t="s">
        <v>12546</v>
      </c>
      <c r="K621" s="207"/>
      <c r="L621" s="66"/>
      <c r="M621" s="201" t="s">
        <v>12550</v>
      </c>
      <c r="N621" s="207"/>
      <c r="O621" s="38"/>
    </row>
    <row r="622" spans="1:15" ht="96" customHeight="1" x14ac:dyDescent="0.3">
      <c r="A622" s="242">
        <v>602</v>
      </c>
      <c r="B622" s="36" t="s">
        <v>12468</v>
      </c>
      <c r="C622" s="36" t="s">
        <v>13053</v>
      </c>
      <c r="D622" s="88"/>
      <c r="E622" s="134">
        <v>43.5</v>
      </c>
      <c r="F622" s="37">
        <f t="shared" si="21"/>
        <v>64156.461940298497</v>
      </c>
      <c r="G622" s="37">
        <f t="shared" si="22"/>
        <v>19503.55096094868</v>
      </c>
      <c r="H622" s="207"/>
      <c r="I622" s="207" t="s">
        <v>12545</v>
      </c>
      <c r="J622" s="66" t="s">
        <v>12546</v>
      </c>
      <c r="K622" s="207"/>
      <c r="L622" s="66"/>
      <c r="M622" s="201" t="s">
        <v>12550</v>
      </c>
      <c r="N622" s="207"/>
      <c r="O622" s="38"/>
    </row>
    <row r="623" spans="1:15" ht="96" customHeight="1" x14ac:dyDescent="0.3">
      <c r="A623" s="242">
        <v>603</v>
      </c>
      <c r="B623" s="36" t="s">
        <v>12468</v>
      </c>
      <c r="C623" s="36" t="s">
        <v>13054</v>
      </c>
      <c r="D623" s="88"/>
      <c r="E623" s="134">
        <v>55.4</v>
      </c>
      <c r="F623" s="37">
        <f t="shared" si="21"/>
        <v>81707.310149253724</v>
      </c>
      <c r="G623" s="37">
        <f t="shared" si="22"/>
        <v>24839.00513187487</v>
      </c>
      <c r="H623" s="207"/>
      <c r="I623" s="207" t="s">
        <v>12545</v>
      </c>
      <c r="J623" s="245" t="s">
        <v>12546</v>
      </c>
      <c r="K623" s="207"/>
      <c r="L623" s="66"/>
      <c r="M623" s="201" t="s">
        <v>12550</v>
      </c>
      <c r="N623" s="207"/>
      <c r="O623" s="38"/>
    </row>
    <row r="624" spans="1:15" ht="96" customHeight="1" x14ac:dyDescent="0.3">
      <c r="A624" s="2">
        <v>604</v>
      </c>
      <c r="B624" s="36" t="s">
        <v>12468</v>
      </c>
      <c r="C624" s="36" t="s">
        <v>13055</v>
      </c>
      <c r="D624" s="88"/>
      <c r="E624" s="134">
        <v>55</v>
      </c>
      <c r="F624" s="37">
        <f t="shared" si="21"/>
        <v>81117.365671641775</v>
      </c>
      <c r="G624" s="37">
        <f t="shared" si="22"/>
        <v>24659.662134532813</v>
      </c>
      <c r="H624" s="207"/>
      <c r="I624" s="207" t="s">
        <v>12545</v>
      </c>
      <c r="J624" s="245" t="s">
        <v>12546</v>
      </c>
      <c r="K624" s="207"/>
      <c r="L624" s="66"/>
      <c r="M624" s="201" t="s">
        <v>12550</v>
      </c>
      <c r="N624" s="207"/>
      <c r="O624" s="38"/>
    </row>
    <row r="625" spans="1:15" ht="96" customHeight="1" x14ac:dyDescent="0.3">
      <c r="A625" s="242">
        <v>605</v>
      </c>
      <c r="B625" s="36" t="s">
        <v>12468</v>
      </c>
      <c r="C625" s="36" t="s">
        <v>13056</v>
      </c>
      <c r="D625" s="88"/>
      <c r="E625" s="134">
        <v>44.8</v>
      </c>
      <c r="F625" s="37">
        <f t="shared" si="21"/>
        <v>66073.78149253731</v>
      </c>
      <c r="G625" s="37">
        <f t="shared" si="22"/>
        <v>20086.415702310365</v>
      </c>
      <c r="H625" s="207"/>
      <c r="I625" s="207" t="s">
        <v>12545</v>
      </c>
      <c r="J625" s="245" t="s">
        <v>12546</v>
      </c>
      <c r="K625" s="207"/>
      <c r="L625" s="66"/>
      <c r="M625" s="201" t="s">
        <v>12550</v>
      </c>
      <c r="N625" s="207"/>
      <c r="O625" s="38"/>
    </row>
    <row r="626" spans="1:15" ht="96" customHeight="1" x14ac:dyDescent="0.3">
      <c r="A626" s="2">
        <v>606</v>
      </c>
      <c r="B626" s="36" t="s">
        <v>12468</v>
      </c>
      <c r="C626" s="36" t="s">
        <v>13057</v>
      </c>
      <c r="D626" s="88"/>
      <c r="E626" s="134">
        <v>42.1</v>
      </c>
      <c r="F626" s="37">
        <f t="shared" si="21"/>
        <v>62091.656268656712</v>
      </c>
      <c r="G626" s="37">
        <f t="shared" si="22"/>
        <v>18875.850470251484</v>
      </c>
      <c r="H626" s="207"/>
      <c r="I626" s="207" t="s">
        <v>12545</v>
      </c>
      <c r="J626" s="245" t="s">
        <v>12546</v>
      </c>
      <c r="K626" s="207"/>
      <c r="L626" s="66"/>
      <c r="M626" s="201" t="s">
        <v>12550</v>
      </c>
      <c r="N626" s="207"/>
      <c r="O626" s="38"/>
    </row>
    <row r="627" spans="1:15" ht="96" customHeight="1" x14ac:dyDescent="0.3">
      <c r="A627" s="242">
        <v>607</v>
      </c>
      <c r="B627" s="36" t="s">
        <v>12471</v>
      </c>
      <c r="C627" s="36" t="s">
        <v>13058</v>
      </c>
      <c r="D627" s="88" t="s">
        <v>18012</v>
      </c>
      <c r="E627" s="134">
        <v>29.9</v>
      </c>
      <c r="F627" s="37">
        <f t="shared" si="21"/>
        <v>44098.349701492531</v>
      </c>
      <c r="G627" s="37">
        <f t="shared" si="22"/>
        <v>13405.889051318747</v>
      </c>
      <c r="H627" s="207"/>
      <c r="I627" s="207" t="s">
        <v>12545</v>
      </c>
      <c r="J627" s="245" t="s">
        <v>12546</v>
      </c>
      <c r="K627" s="207" t="s">
        <v>17884</v>
      </c>
      <c r="L627" s="66" t="s">
        <v>17885</v>
      </c>
      <c r="M627" s="201" t="s">
        <v>12550</v>
      </c>
      <c r="N627" s="207"/>
      <c r="O627" s="38"/>
    </row>
    <row r="628" spans="1:15" ht="144" customHeight="1" x14ac:dyDescent="0.3">
      <c r="A628" s="2">
        <v>608</v>
      </c>
      <c r="B628" s="36" t="s">
        <v>12471</v>
      </c>
      <c r="C628" s="36" t="s">
        <v>13059</v>
      </c>
      <c r="D628" s="88" t="s">
        <v>20011</v>
      </c>
      <c r="E628" s="134">
        <v>30</v>
      </c>
      <c r="F628" s="37">
        <f t="shared" si="21"/>
        <v>44245.835820895518</v>
      </c>
      <c r="G628" s="37">
        <f t="shared" si="22"/>
        <v>13450.724800654263</v>
      </c>
      <c r="H628" s="207"/>
      <c r="I628" s="207" t="s">
        <v>12545</v>
      </c>
      <c r="J628" s="245" t="s">
        <v>12546</v>
      </c>
      <c r="K628" s="26">
        <v>43159</v>
      </c>
      <c r="L628" s="66" t="s">
        <v>20012</v>
      </c>
      <c r="M628" s="201" t="s">
        <v>12550</v>
      </c>
      <c r="N628" s="207"/>
      <c r="O628" s="38"/>
    </row>
    <row r="629" spans="1:15" ht="96" customHeight="1" x14ac:dyDescent="0.3">
      <c r="A629" s="2">
        <v>609</v>
      </c>
      <c r="B629" s="34" t="s">
        <v>12467</v>
      </c>
      <c r="C629" s="34" t="s">
        <v>13060</v>
      </c>
      <c r="D629" s="88"/>
      <c r="E629" s="245">
        <v>68.5</v>
      </c>
      <c r="F629" s="35">
        <f t="shared" ref="F629:F634" si="23">302082.99/269.1*E629</f>
        <v>76895.893032329986</v>
      </c>
      <c r="G629" s="35">
        <f t="shared" ref="G629:G634" si="24">82166.59/269.1*E629</f>
        <v>20915.687160906724</v>
      </c>
      <c r="H629" s="207"/>
      <c r="I629" s="207" t="s">
        <v>12545</v>
      </c>
      <c r="J629" s="245" t="s">
        <v>12546</v>
      </c>
      <c r="K629" s="207"/>
      <c r="L629" s="66"/>
      <c r="M629" s="201" t="s">
        <v>12550</v>
      </c>
      <c r="N629" s="207"/>
      <c r="O629" s="38" t="s">
        <v>21535</v>
      </c>
    </row>
    <row r="630" spans="1:15" ht="96" customHeight="1" x14ac:dyDescent="0.3">
      <c r="A630" s="242">
        <v>610</v>
      </c>
      <c r="B630" s="34" t="s">
        <v>12471</v>
      </c>
      <c r="C630" s="34" t="s">
        <v>13061</v>
      </c>
      <c r="D630" s="88"/>
      <c r="E630" s="245">
        <v>32.5</v>
      </c>
      <c r="F630" s="35">
        <f t="shared" si="23"/>
        <v>36483.45289855072</v>
      </c>
      <c r="G630" s="35">
        <f t="shared" si="24"/>
        <v>9923.5012077294687</v>
      </c>
      <c r="H630" s="207"/>
      <c r="I630" s="207" t="s">
        <v>12545</v>
      </c>
      <c r="J630" s="245" t="s">
        <v>12546</v>
      </c>
      <c r="K630" s="207" t="s">
        <v>15071</v>
      </c>
      <c r="L630" s="66" t="s">
        <v>15074</v>
      </c>
      <c r="M630" s="201" t="s">
        <v>12550</v>
      </c>
      <c r="N630" s="207"/>
      <c r="O630" s="38"/>
    </row>
    <row r="631" spans="1:15" ht="96" customHeight="1" x14ac:dyDescent="0.3">
      <c r="A631" s="242">
        <v>611</v>
      </c>
      <c r="B631" s="34" t="s">
        <v>12468</v>
      </c>
      <c r="C631" s="34" t="s">
        <v>13062</v>
      </c>
      <c r="D631" s="88"/>
      <c r="E631" s="245">
        <v>53.9</v>
      </c>
      <c r="F631" s="35">
        <f t="shared" si="23"/>
        <v>60506.403422519499</v>
      </c>
      <c r="G631" s="35">
        <f t="shared" si="24"/>
        <v>16457.745079895947</v>
      </c>
      <c r="H631" s="207"/>
      <c r="I631" s="207" t="s">
        <v>12545</v>
      </c>
      <c r="J631" s="245" t="s">
        <v>12546</v>
      </c>
      <c r="K631" s="207"/>
      <c r="L631" s="66"/>
      <c r="M631" s="201" t="s">
        <v>12550</v>
      </c>
      <c r="N631" s="207"/>
      <c r="O631" s="38" t="s">
        <v>21536</v>
      </c>
    </row>
    <row r="632" spans="1:15" ht="96" customHeight="1" x14ac:dyDescent="0.3">
      <c r="A632" s="242">
        <v>612</v>
      </c>
      <c r="B632" s="34" t="s">
        <v>12468</v>
      </c>
      <c r="C632" s="34" t="s">
        <v>13063</v>
      </c>
      <c r="D632" s="88"/>
      <c r="E632" s="245">
        <v>53.9</v>
      </c>
      <c r="F632" s="35">
        <f t="shared" si="23"/>
        <v>60506.403422519499</v>
      </c>
      <c r="G632" s="35">
        <f t="shared" si="24"/>
        <v>16457.745079895947</v>
      </c>
      <c r="H632" s="207"/>
      <c r="I632" s="207" t="s">
        <v>12545</v>
      </c>
      <c r="J632" s="245" t="s">
        <v>12546</v>
      </c>
      <c r="K632" s="207"/>
      <c r="L632" s="66"/>
      <c r="M632" s="201" t="s">
        <v>12550</v>
      </c>
      <c r="N632" s="207"/>
      <c r="O632" s="38"/>
    </row>
    <row r="633" spans="1:15" ht="96" customHeight="1" x14ac:dyDescent="0.3">
      <c r="A633" s="242">
        <v>613</v>
      </c>
      <c r="B633" s="34" t="s">
        <v>12475</v>
      </c>
      <c r="C633" s="34" t="s">
        <v>13064</v>
      </c>
      <c r="D633" s="88"/>
      <c r="E633" s="245">
        <v>26</v>
      </c>
      <c r="F633" s="35">
        <f t="shared" si="23"/>
        <v>29186.762318840578</v>
      </c>
      <c r="G633" s="35">
        <f t="shared" si="24"/>
        <v>7938.800966183574</v>
      </c>
      <c r="H633" s="207"/>
      <c r="I633" s="207" t="s">
        <v>12545</v>
      </c>
      <c r="J633" s="245" t="s">
        <v>12546</v>
      </c>
      <c r="K633" s="207"/>
      <c r="L633" s="66"/>
      <c r="M633" s="201" t="s">
        <v>12550</v>
      </c>
      <c r="N633" s="207"/>
      <c r="O633" s="38" t="s">
        <v>21537</v>
      </c>
    </row>
    <row r="634" spans="1:15" ht="96" customHeight="1" x14ac:dyDescent="0.3">
      <c r="A634" s="242">
        <v>614</v>
      </c>
      <c r="B634" s="34" t="s">
        <v>12471</v>
      </c>
      <c r="C634" s="34" t="s">
        <v>13065</v>
      </c>
      <c r="D634" s="88"/>
      <c r="E634" s="245">
        <v>34.299999999999997</v>
      </c>
      <c r="F634" s="35">
        <f t="shared" si="23"/>
        <v>38504.074905239679</v>
      </c>
      <c r="G634" s="35">
        <f t="shared" si="24"/>
        <v>10473.110505388329</v>
      </c>
      <c r="H634" s="207"/>
      <c r="I634" s="207" t="s">
        <v>12545</v>
      </c>
      <c r="J634" s="245" t="s">
        <v>12546</v>
      </c>
      <c r="K634" s="207"/>
      <c r="L634" s="66"/>
      <c r="M634" s="201" t="s">
        <v>12550</v>
      </c>
      <c r="N634" s="207"/>
      <c r="O634" s="38"/>
    </row>
    <row r="635" spans="1:15" ht="84" customHeight="1" x14ac:dyDescent="0.3">
      <c r="A635" s="242">
        <v>615</v>
      </c>
      <c r="B635" s="34" t="s">
        <v>12467</v>
      </c>
      <c r="C635" s="34" t="s">
        <v>13066</v>
      </c>
      <c r="D635" s="88"/>
      <c r="E635" s="245">
        <v>67.7</v>
      </c>
      <c r="F635" s="35">
        <f>401557.34/409*E635</f>
        <v>66468.04869926651</v>
      </c>
      <c r="G635" s="35">
        <f>92672.72/409*E635</f>
        <v>15339.714288508558</v>
      </c>
      <c r="H635" s="207"/>
      <c r="I635" s="207" t="s">
        <v>12545</v>
      </c>
      <c r="J635" s="245" t="s">
        <v>12546</v>
      </c>
      <c r="K635" s="207"/>
      <c r="L635" s="66"/>
      <c r="M635" s="201" t="s">
        <v>12550</v>
      </c>
      <c r="N635" s="207"/>
      <c r="O635" s="38"/>
    </row>
    <row r="636" spans="1:15" ht="84" customHeight="1" x14ac:dyDescent="0.3">
      <c r="A636" s="2">
        <v>616</v>
      </c>
      <c r="B636" s="34" t="s">
        <v>12476</v>
      </c>
      <c r="C636" s="34" t="s">
        <v>13067</v>
      </c>
      <c r="D636" s="88"/>
      <c r="E636" s="245">
        <v>33.6</v>
      </c>
      <c r="F636" s="35">
        <f>401557.34/409*E636</f>
        <v>32988.573652811741</v>
      </c>
      <c r="G636" s="35">
        <f>92672.72/409*E636</f>
        <v>7613.2112273838629</v>
      </c>
      <c r="H636" s="207"/>
      <c r="I636" s="207" t="s">
        <v>12545</v>
      </c>
      <c r="J636" s="245" t="s">
        <v>12546</v>
      </c>
      <c r="K636" s="207"/>
      <c r="L636" s="66"/>
      <c r="M636" s="201" t="s">
        <v>12550</v>
      </c>
      <c r="N636" s="207"/>
      <c r="O636" s="38"/>
    </row>
    <row r="637" spans="1:15" ht="84" customHeight="1" x14ac:dyDescent="0.3">
      <c r="A637" s="2">
        <v>617</v>
      </c>
      <c r="B637" s="34" t="s">
        <v>12468</v>
      </c>
      <c r="C637" s="34" t="s">
        <v>13068</v>
      </c>
      <c r="D637" s="88" t="s">
        <v>17798</v>
      </c>
      <c r="E637" s="245">
        <v>53.6</v>
      </c>
      <c r="F637" s="35">
        <f>401557.34/409*E637</f>
        <v>52624.629398533012</v>
      </c>
      <c r="G637" s="35">
        <f>92672.72/409*E637</f>
        <v>12144.884577017116</v>
      </c>
      <c r="H637" s="207"/>
      <c r="I637" s="207" t="s">
        <v>12545</v>
      </c>
      <c r="J637" s="245" t="s">
        <v>12546</v>
      </c>
      <c r="K637" s="2" t="s">
        <v>18007</v>
      </c>
      <c r="L637" s="66" t="s">
        <v>18028</v>
      </c>
      <c r="M637" s="201" t="s">
        <v>12550</v>
      </c>
      <c r="N637" s="207"/>
      <c r="O637" s="38"/>
    </row>
    <row r="638" spans="1:15" ht="84" customHeight="1" x14ac:dyDescent="0.3">
      <c r="A638" s="2">
        <v>618</v>
      </c>
      <c r="B638" s="34" t="s">
        <v>12468</v>
      </c>
      <c r="C638" s="34" t="s">
        <v>13069</v>
      </c>
      <c r="D638" s="88"/>
      <c r="E638" s="66">
        <v>53.6</v>
      </c>
      <c r="F638" s="35">
        <f>401557.34/409*E638</f>
        <v>52624.629398533012</v>
      </c>
      <c r="G638" s="35">
        <f>92672.72/409*E638</f>
        <v>12144.884577017116</v>
      </c>
      <c r="H638" s="207"/>
      <c r="I638" s="207" t="s">
        <v>12545</v>
      </c>
      <c r="J638" s="66" t="s">
        <v>12546</v>
      </c>
      <c r="K638" s="26">
        <v>42566</v>
      </c>
      <c r="L638" s="66" t="s">
        <v>15924</v>
      </c>
      <c r="M638" s="201" t="s">
        <v>12550</v>
      </c>
      <c r="N638" s="207"/>
      <c r="O638" s="38"/>
    </row>
    <row r="639" spans="1:15" ht="84" customHeight="1" x14ac:dyDescent="0.3">
      <c r="A639" s="2">
        <v>619</v>
      </c>
      <c r="B639" s="34" t="s">
        <v>12532</v>
      </c>
      <c r="C639" s="34" t="s">
        <v>12670</v>
      </c>
      <c r="D639" s="88" t="s">
        <v>22074</v>
      </c>
      <c r="E639" s="245">
        <v>24.6</v>
      </c>
      <c r="F639" s="35">
        <v>725000</v>
      </c>
      <c r="G639" s="35" t="s">
        <v>14</v>
      </c>
      <c r="H639" s="25"/>
      <c r="I639" s="207" t="s">
        <v>12545</v>
      </c>
      <c r="J639" s="245" t="s">
        <v>12546</v>
      </c>
      <c r="K639" s="207"/>
      <c r="L639" s="66"/>
      <c r="M639" s="201" t="s">
        <v>12550</v>
      </c>
      <c r="N639" s="207"/>
      <c r="O639" s="38"/>
    </row>
    <row r="640" spans="1:15" ht="84" customHeight="1" x14ac:dyDescent="0.3">
      <c r="A640" s="2">
        <v>620</v>
      </c>
      <c r="B640" s="34" t="s">
        <v>12468</v>
      </c>
      <c r="C640" s="34" t="s">
        <v>13070</v>
      </c>
      <c r="D640" s="88"/>
      <c r="E640" s="245">
        <v>47.1</v>
      </c>
      <c r="F640" s="35">
        <f>401557.34/409*E640</f>
        <v>46242.911281173598</v>
      </c>
      <c r="G640" s="35">
        <f>92672.72/409*E640</f>
        <v>10672.090738386309</v>
      </c>
      <c r="H640" s="207"/>
      <c r="I640" s="207" t="s">
        <v>12545</v>
      </c>
      <c r="J640" s="245" t="s">
        <v>12546</v>
      </c>
      <c r="K640" s="207" t="s">
        <v>15069</v>
      </c>
      <c r="L640" s="66" t="s">
        <v>15070</v>
      </c>
      <c r="M640" s="201" t="s">
        <v>12550</v>
      </c>
      <c r="N640" s="207"/>
      <c r="O640" s="38"/>
    </row>
    <row r="641" spans="1:15" ht="84" customHeight="1" x14ac:dyDescent="0.3">
      <c r="A641" s="2">
        <v>621</v>
      </c>
      <c r="B641" s="34" t="s">
        <v>12468</v>
      </c>
      <c r="C641" s="34" t="s">
        <v>13071</v>
      </c>
      <c r="D641" s="88"/>
      <c r="E641" s="66">
        <v>53.7</v>
      </c>
      <c r="F641" s="35">
        <f>401557.34/409*E641</f>
        <v>52722.809677261619</v>
      </c>
      <c r="G641" s="35">
        <f>92672.72/409*E641</f>
        <v>12167.542943765282</v>
      </c>
      <c r="H641" s="207"/>
      <c r="I641" s="207" t="s">
        <v>12545</v>
      </c>
      <c r="J641" s="66" t="s">
        <v>12546</v>
      </c>
      <c r="K641" s="207"/>
      <c r="L641" s="66"/>
      <c r="M641" s="201" t="s">
        <v>12550</v>
      </c>
      <c r="N641" s="207"/>
      <c r="O641" s="38"/>
    </row>
    <row r="642" spans="1:15" ht="84" customHeight="1" x14ac:dyDescent="0.3">
      <c r="A642" s="2">
        <v>622</v>
      </c>
      <c r="B642" s="34" t="s">
        <v>12468</v>
      </c>
      <c r="C642" s="34" t="s">
        <v>13072</v>
      </c>
      <c r="D642" s="88"/>
      <c r="E642" s="66">
        <v>54.2</v>
      </c>
      <c r="F642" s="35">
        <f>401557.34/409*E642</f>
        <v>53213.711070904654</v>
      </c>
      <c r="G642" s="35">
        <f>92672.72/409*E642</f>
        <v>12280.834777506112</v>
      </c>
      <c r="H642" s="207"/>
      <c r="I642" s="207" t="s">
        <v>12545</v>
      </c>
      <c r="J642" s="66" t="s">
        <v>12546</v>
      </c>
      <c r="K642" s="207"/>
      <c r="L642" s="66"/>
      <c r="M642" s="201" t="s">
        <v>12550</v>
      </c>
      <c r="N642" s="207"/>
      <c r="O642" s="38"/>
    </row>
    <row r="643" spans="1:15" ht="84" customHeight="1" x14ac:dyDescent="0.3">
      <c r="A643" s="2">
        <v>623</v>
      </c>
      <c r="B643" s="34" t="s">
        <v>12468</v>
      </c>
      <c r="C643" s="34" t="s">
        <v>13073</v>
      </c>
      <c r="D643" s="88"/>
      <c r="E643" s="66">
        <v>45.5</v>
      </c>
      <c r="F643" s="35">
        <f>401557.34/409*E643</f>
        <v>44672.026821515894</v>
      </c>
      <c r="G643" s="35">
        <f>92672.72/409*E643</f>
        <v>10309.556870415649</v>
      </c>
      <c r="H643" s="207"/>
      <c r="I643" s="207" t="s">
        <v>12545</v>
      </c>
      <c r="J643" s="66" t="s">
        <v>12546</v>
      </c>
      <c r="K643" s="207"/>
      <c r="L643" s="66"/>
      <c r="M643" s="201" t="s">
        <v>12550</v>
      </c>
      <c r="N643" s="207"/>
      <c r="O643" s="38"/>
    </row>
    <row r="644" spans="1:15" ht="84" customHeight="1" x14ac:dyDescent="0.3">
      <c r="A644" s="242">
        <v>624</v>
      </c>
      <c r="B644" s="34" t="s">
        <v>12468</v>
      </c>
      <c r="C644" s="34" t="s">
        <v>13074</v>
      </c>
      <c r="D644" s="88"/>
      <c r="E644" s="66">
        <v>50.9</v>
      </c>
      <c r="F644" s="35">
        <f t="shared" ref="F644:F654" si="25">1034473.32/531.1*E644</f>
        <v>99142.707565430232</v>
      </c>
      <c r="G644" s="35">
        <f t="shared" ref="G644:G654" si="26">273100.95/531.1*E644</f>
        <v>26173.674176237997</v>
      </c>
      <c r="H644" s="207"/>
      <c r="I644" s="207" t="s">
        <v>12545</v>
      </c>
      <c r="J644" s="66" t="s">
        <v>12546</v>
      </c>
      <c r="K644" s="207"/>
      <c r="L644" s="66"/>
      <c r="M644" s="201" t="s">
        <v>12550</v>
      </c>
      <c r="N644" s="207"/>
      <c r="O644" s="38"/>
    </row>
    <row r="645" spans="1:15" ht="84" customHeight="1" x14ac:dyDescent="0.3">
      <c r="A645" s="2">
        <v>625</v>
      </c>
      <c r="B645" s="34" t="s">
        <v>12467</v>
      </c>
      <c r="C645" s="34" t="s">
        <v>13075</v>
      </c>
      <c r="D645" s="88"/>
      <c r="E645" s="66">
        <v>60.7</v>
      </c>
      <c r="F645" s="35">
        <f t="shared" si="25"/>
        <v>118231.0874110337</v>
      </c>
      <c r="G645" s="35">
        <f t="shared" si="26"/>
        <v>31213.006335906612</v>
      </c>
      <c r="H645" s="207"/>
      <c r="I645" s="207" t="s">
        <v>12545</v>
      </c>
      <c r="J645" s="66" t="s">
        <v>12546</v>
      </c>
      <c r="K645" s="207"/>
      <c r="L645" s="66"/>
      <c r="M645" s="201" t="s">
        <v>12550</v>
      </c>
      <c r="N645" s="207"/>
      <c r="O645" s="38"/>
    </row>
    <row r="646" spans="1:15" ht="96" customHeight="1" x14ac:dyDescent="0.3">
      <c r="A646" s="2">
        <v>626</v>
      </c>
      <c r="B646" s="34" t="s">
        <v>12471</v>
      </c>
      <c r="C646" s="34" t="s">
        <v>13076</v>
      </c>
      <c r="D646" s="88"/>
      <c r="E646" s="245">
        <v>30</v>
      </c>
      <c r="F646" s="35">
        <f t="shared" si="25"/>
        <v>58433.815853888154</v>
      </c>
      <c r="G646" s="35">
        <f t="shared" si="26"/>
        <v>15426.52701939371</v>
      </c>
      <c r="H646" s="207"/>
      <c r="I646" s="207" t="s">
        <v>12545</v>
      </c>
      <c r="J646" s="245" t="s">
        <v>12546</v>
      </c>
      <c r="K646" s="26">
        <v>42324</v>
      </c>
      <c r="L646" s="66" t="s">
        <v>19567</v>
      </c>
      <c r="M646" s="201" t="s">
        <v>12550</v>
      </c>
      <c r="N646" s="207"/>
      <c r="O646" s="38"/>
    </row>
    <row r="647" spans="1:15" ht="132" customHeight="1" x14ac:dyDescent="0.3">
      <c r="A647" s="2">
        <v>627</v>
      </c>
      <c r="B647" s="34" t="s">
        <v>12466</v>
      </c>
      <c r="C647" s="34" t="s">
        <v>13077</v>
      </c>
      <c r="D647" s="88" t="s">
        <v>21498</v>
      </c>
      <c r="E647" s="66">
        <v>61.4</v>
      </c>
      <c r="F647" s="35">
        <f t="shared" si="25"/>
        <v>119594.54311429108</v>
      </c>
      <c r="G647" s="35">
        <f t="shared" si="26"/>
        <v>31572.958633025795</v>
      </c>
      <c r="H647" s="207"/>
      <c r="I647" s="207" t="s">
        <v>12545</v>
      </c>
      <c r="J647" s="66" t="s">
        <v>12546</v>
      </c>
      <c r="K647" s="207" t="s">
        <v>22701</v>
      </c>
      <c r="L647" s="66" t="s">
        <v>22700</v>
      </c>
      <c r="M647" s="201" t="s">
        <v>12550</v>
      </c>
      <c r="N647" s="207"/>
      <c r="O647" s="38" t="s">
        <v>22183</v>
      </c>
    </row>
    <row r="648" spans="1:15" ht="84" customHeight="1" x14ac:dyDescent="0.3">
      <c r="A648" s="2">
        <v>628</v>
      </c>
      <c r="B648" s="34" t="s">
        <v>12468</v>
      </c>
      <c r="C648" s="34" t="s">
        <v>13078</v>
      </c>
      <c r="D648" s="88"/>
      <c r="E648" s="66">
        <v>45.2</v>
      </c>
      <c r="F648" s="35">
        <f t="shared" si="25"/>
        <v>88040.282553191486</v>
      </c>
      <c r="G648" s="35">
        <f t="shared" si="26"/>
        <v>23242.634042553193</v>
      </c>
      <c r="H648" s="207"/>
      <c r="I648" s="207" t="s">
        <v>12545</v>
      </c>
      <c r="J648" s="66" t="s">
        <v>12546</v>
      </c>
      <c r="K648" s="207"/>
      <c r="L648" s="66"/>
      <c r="M648" s="201" t="s">
        <v>12550</v>
      </c>
      <c r="N648" s="207"/>
      <c r="O648" s="38"/>
    </row>
    <row r="649" spans="1:15" ht="84" customHeight="1" x14ac:dyDescent="0.3">
      <c r="A649" s="2">
        <v>629</v>
      </c>
      <c r="B649" s="34" t="s">
        <v>12468</v>
      </c>
      <c r="C649" s="34" t="s">
        <v>13079</v>
      </c>
      <c r="D649" s="88"/>
      <c r="E649" s="66">
        <v>46.5</v>
      </c>
      <c r="F649" s="35">
        <f t="shared" si="25"/>
        <v>90572.414573526636</v>
      </c>
      <c r="G649" s="35">
        <f t="shared" si="26"/>
        <v>23911.116880060254</v>
      </c>
      <c r="H649" s="207"/>
      <c r="I649" s="207" t="s">
        <v>12545</v>
      </c>
      <c r="J649" s="66" t="s">
        <v>12546</v>
      </c>
      <c r="K649" s="207"/>
      <c r="L649" s="66"/>
      <c r="M649" s="201" t="s">
        <v>12550</v>
      </c>
      <c r="N649" s="207"/>
      <c r="O649" s="38" t="s">
        <v>21538</v>
      </c>
    </row>
    <row r="650" spans="1:15" ht="84" customHeight="1" x14ac:dyDescent="0.3">
      <c r="A650" s="2">
        <v>630</v>
      </c>
      <c r="B650" s="34" t="s">
        <v>12477</v>
      </c>
      <c r="C650" s="34" t="s">
        <v>13080</v>
      </c>
      <c r="D650" s="88"/>
      <c r="E650" s="66">
        <v>35.299999999999997</v>
      </c>
      <c r="F650" s="35">
        <f t="shared" si="25"/>
        <v>68757.123321408391</v>
      </c>
      <c r="G650" s="35">
        <f t="shared" si="26"/>
        <v>18151.880126153264</v>
      </c>
      <c r="H650" s="207"/>
      <c r="I650" s="207" t="s">
        <v>12545</v>
      </c>
      <c r="J650" s="66" t="s">
        <v>12546</v>
      </c>
      <c r="K650" s="207"/>
      <c r="L650" s="66"/>
      <c r="M650" s="201" t="s">
        <v>12550</v>
      </c>
      <c r="N650" s="207"/>
      <c r="O650" s="38"/>
    </row>
    <row r="651" spans="1:15" ht="84" customHeight="1" x14ac:dyDescent="0.3">
      <c r="A651" s="2">
        <v>631</v>
      </c>
      <c r="B651" s="34" t="s">
        <v>12468</v>
      </c>
      <c r="C651" s="34" t="s">
        <v>13081</v>
      </c>
      <c r="D651" s="88"/>
      <c r="E651" s="66">
        <v>51.8</v>
      </c>
      <c r="F651" s="35">
        <f t="shared" si="25"/>
        <v>100895.72204104687</v>
      </c>
      <c r="G651" s="35">
        <f t="shared" si="26"/>
        <v>26636.469986819808</v>
      </c>
      <c r="H651" s="207"/>
      <c r="I651" s="207" t="s">
        <v>12545</v>
      </c>
      <c r="J651" s="66" t="s">
        <v>12546</v>
      </c>
      <c r="K651" s="207"/>
      <c r="L651" s="66"/>
      <c r="M651" s="201" t="s">
        <v>12550</v>
      </c>
      <c r="N651" s="207"/>
      <c r="O651" s="38" t="s">
        <v>21539</v>
      </c>
    </row>
    <row r="652" spans="1:15" ht="84" customHeight="1" x14ac:dyDescent="0.3">
      <c r="A652" s="2">
        <v>632</v>
      </c>
      <c r="B652" s="34" t="s">
        <v>12468</v>
      </c>
      <c r="C652" s="34" t="s">
        <v>13082</v>
      </c>
      <c r="D652" s="88"/>
      <c r="E652" s="66">
        <v>58.8</v>
      </c>
      <c r="F652" s="35">
        <f t="shared" si="25"/>
        <v>114530.27907362078</v>
      </c>
      <c r="G652" s="35">
        <f t="shared" si="26"/>
        <v>30235.992958011673</v>
      </c>
      <c r="H652" s="207"/>
      <c r="I652" s="207" t="s">
        <v>12545</v>
      </c>
      <c r="J652" s="66" t="s">
        <v>12546</v>
      </c>
      <c r="K652" s="207"/>
      <c r="L652" s="66"/>
      <c r="M652" s="201" t="s">
        <v>12550</v>
      </c>
      <c r="N652" s="207"/>
      <c r="O652" s="38"/>
    </row>
    <row r="653" spans="1:15" ht="84" customHeight="1" x14ac:dyDescent="0.3">
      <c r="A653" s="242">
        <v>633</v>
      </c>
      <c r="B653" s="34" t="s">
        <v>12467</v>
      </c>
      <c r="C653" s="34" t="s">
        <v>13083</v>
      </c>
      <c r="D653" s="88"/>
      <c r="E653" s="245">
        <v>60.9</v>
      </c>
      <c r="F653" s="35">
        <f t="shared" si="25"/>
        <v>118620.64618339295</v>
      </c>
      <c r="G653" s="35">
        <f t="shared" si="26"/>
        <v>31315.849849369231</v>
      </c>
      <c r="H653" s="207"/>
      <c r="I653" s="207" t="s">
        <v>12545</v>
      </c>
      <c r="J653" s="245" t="s">
        <v>12546</v>
      </c>
      <c r="K653" s="207"/>
      <c r="L653" s="66"/>
      <c r="M653" s="201" t="s">
        <v>12550</v>
      </c>
      <c r="N653" s="207"/>
      <c r="O653" s="38" t="s">
        <v>21540</v>
      </c>
    </row>
    <row r="654" spans="1:15" ht="84" customHeight="1" x14ac:dyDescent="0.3">
      <c r="A654" s="2">
        <v>634</v>
      </c>
      <c r="B654" s="34" t="s">
        <v>12471</v>
      </c>
      <c r="C654" s="34" t="s">
        <v>13084</v>
      </c>
      <c r="D654" s="88"/>
      <c r="E654" s="245">
        <v>30.2</v>
      </c>
      <c r="F654" s="35">
        <f t="shared" si="25"/>
        <v>58823.374626247409</v>
      </c>
      <c r="G654" s="35">
        <f t="shared" si="26"/>
        <v>15529.370532856336</v>
      </c>
      <c r="H654" s="207"/>
      <c r="I654" s="207" t="s">
        <v>12545</v>
      </c>
      <c r="J654" s="245" t="s">
        <v>12546</v>
      </c>
      <c r="K654" s="207"/>
      <c r="L654" s="66"/>
      <c r="M654" s="201" t="s">
        <v>12550</v>
      </c>
      <c r="N654" s="207"/>
      <c r="O654" s="38"/>
    </row>
    <row r="655" spans="1:15" ht="96" customHeight="1" x14ac:dyDescent="0.3">
      <c r="A655" s="242">
        <v>635</v>
      </c>
      <c r="B655" s="34" t="s">
        <v>12467</v>
      </c>
      <c r="C655" s="34" t="s">
        <v>13085</v>
      </c>
      <c r="D655" s="88"/>
      <c r="E655" s="245">
        <v>62.2</v>
      </c>
      <c r="F655" s="35">
        <f t="shared" ref="F655:F664" si="27">935273.25/514.8*E655</f>
        <v>113003.10052447554</v>
      </c>
      <c r="G655" s="35">
        <f t="shared" ref="G655:G664" si="28">269358.7/514.8*E655</f>
        <v>32544.893434343438</v>
      </c>
      <c r="H655" s="207"/>
      <c r="I655" s="207" t="s">
        <v>12545</v>
      </c>
      <c r="J655" s="245" t="s">
        <v>12546</v>
      </c>
      <c r="K655" s="207"/>
      <c r="L655" s="66"/>
      <c r="M655" s="201" t="s">
        <v>12550</v>
      </c>
      <c r="N655" s="207"/>
      <c r="O655" s="38"/>
    </row>
    <row r="656" spans="1:15" ht="96" customHeight="1" x14ac:dyDescent="0.3">
      <c r="A656" s="242">
        <v>636</v>
      </c>
      <c r="B656" s="34" t="s">
        <v>12468</v>
      </c>
      <c r="C656" s="34" t="s">
        <v>13086</v>
      </c>
      <c r="D656" s="88"/>
      <c r="E656" s="245">
        <v>58.1</v>
      </c>
      <c r="F656" s="35">
        <f t="shared" si="27"/>
        <v>105554.3430944056</v>
      </c>
      <c r="G656" s="35">
        <f t="shared" si="28"/>
        <v>30399.651262626267</v>
      </c>
      <c r="H656" s="207"/>
      <c r="I656" s="207" t="s">
        <v>12545</v>
      </c>
      <c r="J656" s="245" t="s">
        <v>12546</v>
      </c>
      <c r="K656" s="207"/>
      <c r="L656" s="66"/>
      <c r="M656" s="201" t="s">
        <v>12550</v>
      </c>
      <c r="N656" s="207"/>
      <c r="O656" s="38" t="s">
        <v>21541</v>
      </c>
    </row>
    <row r="657" spans="1:15" ht="96" customHeight="1" x14ac:dyDescent="0.3">
      <c r="A657" s="242">
        <v>637</v>
      </c>
      <c r="B657" s="34" t="s">
        <v>12467</v>
      </c>
      <c r="C657" s="34" t="s">
        <v>13087</v>
      </c>
      <c r="D657" s="88"/>
      <c r="E657" s="245">
        <v>60.6</v>
      </c>
      <c r="F657" s="35">
        <f t="shared" si="27"/>
        <v>110096.26835664337</v>
      </c>
      <c r="G657" s="35">
        <f t="shared" si="28"/>
        <v>31707.725757575761</v>
      </c>
      <c r="H657" s="207"/>
      <c r="I657" s="207" t="s">
        <v>12545</v>
      </c>
      <c r="J657" s="245" t="s">
        <v>12546</v>
      </c>
      <c r="K657" s="207"/>
      <c r="L657" s="66"/>
      <c r="M657" s="201" t="s">
        <v>12550</v>
      </c>
      <c r="N657" s="207"/>
      <c r="O657" s="38" t="s">
        <v>21542</v>
      </c>
    </row>
    <row r="658" spans="1:15" ht="96" customHeight="1" x14ac:dyDescent="0.3">
      <c r="A658" s="242">
        <v>638</v>
      </c>
      <c r="B658" s="34" t="s">
        <v>12468</v>
      </c>
      <c r="C658" s="34" t="s">
        <v>13088</v>
      </c>
      <c r="D658" s="88"/>
      <c r="E658" s="245">
        <v>58.5</v>
      </c>
      <c r="F658" s="35">
        <f t="shared" si="27"/>
        <v>106281.05113636365</v>
      </c>
      <c r="G658" s="35">
        <f t="shared" si="28"/>
        <v>30608.943181818184</v>
      </c>
      <c r="H658" s="207"/>
      <c r="I658" s="207" t="s">
        <v>12545</v>
      </c>
      <c r="J658" s="245" t="s">
        <v>12546</v>
      </c>
      <c r="K658" s="207"/>
      <c r="L658" s="66"/>
      <c r="M658" s="201" t="s">
        <v>12550</v>
      </c>
      <c r="N658" s="207"/>
      <c r="O658" s="38"/>
    </row>
    <row r="659" spans="1:15" ht="96" customHeight="1" x14ac:dyDescent="0.3">
      <c r="A659" s="2">
        <v>639</v>
      </c>
      <c r="B659" s="34" t="s">
        <v>12468</v>
      </c>
      <c r="C659" s="34" t="s">
        <v>13089</v>
      </c>
      <c r="D659" s="88"/>
      <c r="E659" s="245">
        <v>52.4</v>
      </c>
      <c r="F659" s="35">
        <f t="shared" si="27"/>
        <v>95198.753496503501</v>
      </c>
      <c r="G659" s="35">
        <f t="shared" si="28"/>
        <v>27417.241414141416</v>
      </c>
      <c r="H659" s="207"/>
      <c r="I659" s="207" t="s">
        <v>12545</v>
      </c>
      <c r="J659" s="245" t="s">
        <v>12546</v>
      </c>
      <c r="K659" s="207"/>
      <c r="L659" s="66"/>
      <c r="M659" s="201" t="s">
        <v>12550</v>
      </c>
      <c r="N659" s="207"/>
      <c r="O659" s="38"/>
    </row>
    <row r="660" spans="1:15" ht="96" customHeight="1" x14ac:dyDescent="0.3">
      <c r="A660" s="242">
        <v>640</v>
      </c>
      <c r="B660" s="34" t="s">
        <v>12468</v>
      </c>
      <c r="C660" s="34" t="s">
        <v>13090</v>
      </c>
      <c r="D660" s="88"/>
      <c r="E660" s="245">
        <v>46.5</v>
      </c>
      <c r="F660" s="35">
        <f t="shared" si="27"/>
        <v>84479.809877622392</v>
      </c>
      <c r="G660" s="35">
        <f t="shared" si="28"/>
        <v>24330.185606060608</v>
      </c>
      <c r="H660" s="207"/>
      <c r="I660" s="207" t="s">
        <v>12545</v>
      </c>
      <c r="J660" s="245" t="s">
        <v>12546</v>
      </c>
      <c r="K660" s="26">
        <v>42585</v>
      </c>
      <c r="L660" s="66" t="s">
        <v>16054</v>
      </c>
      <c r="M660" s="201" t="s">
        <v>12550</v>
      </c>
      <c r="N660" s="207"/>
      <c r="O660" s="38"/>
    </row>
    <row r="661" spans="1:15" ht="96" customHeight="1" x14ac:dyDescent="0.3">
      <c r="A661" s="242">
        <v>641</v>
      </c>
      <c r="B661" s="34" t="s">
        <v>12468</v>
      </c>
      <c r="C661" s="34" t="s">
        <v>13091</v>
      </c>
      <c r="D661" s="88"/>
      <c r="E661" s="245">
        <v>44.2</v>
      </c>
      <c r="F661" s="35">
        <f t="shared" si="27"/>
        <v>80301.238636363647</v>
      </c>
      <c r="G661" s="35">
        <f t="shared" si="28"/>
        <v>23126.757070707074</v>
      </c>
      <c r="H661" s="207"/>
      <c r="I661" s="207" t="s">
        <v>12545</v>
      </c>
      <c r="J661" s="245" t="s">
        <v>12546</v>
      </c>
      <c r="K661" s="207"/>
      <c r="L661" s="66"/>
      <c r="M661" s="201" t="s">
        <v>12550</v>
      </c>
      <c r="N661" s="207"/>
      <c r="O661" s="38" t="s">
        <v>21543</v>
      </c>
    </row>
    <row r="662" spans="1:15" ht="96" customHeight="1" x14ac:dyDescent="0.3">
      <c r="A662" s="242">
        <v>642</v>
      </c>
      <c r="B662" s="34" t="s">
        <v>12468</v>
      </c>
      <c r="C662" s="34" t="s">
        <v>13092</v>
      </c>
      <c r="D662" s="88"/>
      <c r="E662" s="245">
        <v>44.1</v>
      </c>
      <c r="F662" s="35">
        <f t="shared" si="27"/>
        <v>80119.561625874136</v>
      </c>
      <c r="G662" s="35">
        <f t="shared" si="28"/>
        <v>23074.434090909093</v>
      </c>
      <c r="H662" s="207"/>
      <c r="I662" s="207" t="s">
        <v>12545</v>
      </c>
      <c r="J662" s="245" t="s">
        <v>12546</v>
      </c>
      <c r="K662" s="207"/>
      <c r="L662" s="66"/>
      <c r="M662" s="201" t="s">
        <v>12550</v>
      </c>
      <c r="N662" s="207"/>
      <c r="O662" s="38" t="s">
        <v>21544</v>
      </c>
    </row>
    <row r="663" spans="1:15" ht="96" customHeight="1" x14ac:dyDescent="0.3">
      <c r="A663" s="242">
        <v>643</v>
      </c>
      <c r="B663" s="34" t="s">
        <v>12468</v>
      </c>
      <c r="C663" s="34" t="s">
        <v>13093</v>
      </c>
      <c r="D663" s="88"/>
      <c r="E663" s="245">
        <v>43.5</v>
      </c>
      <c r="F663" s="35">
        <f t="shared" si="27"/>
        <v>79029.499562937068</v>
      </c>
      <c r="G663" s="35">
        <f t="shared" si="28"/>
        <v>22760.496212121216</v>
      </c>
      <c r="H663" s="207"/>
      <c r="I663" s="207" t="s">
        <v>12545</v>
      </c>
      <c r="J663" s="245" t="s">
        <v>12546</v>
      </c>
      <c r="K663" s="207"/>
      <c r="L663" s="66"/>
      <c r="M663" s="201" t="s">
        <v>12550</v>
      </c>
      <c r="N663" s="207"/>
      <c r="O663" s="38"/>
    </row>
    <row r="664" spans="1:15" ht="96" customHeight="1" x14ac:dyDescent="0.3">
      <c r="A664" s="2">
        <v>644</v>
      </c>
      <c r="B664" s="34" t="s">
        <v>12468</v>
      </c>
      <c r="C664" s="34" t="s">
        <v>13094</v>
      </c>
      <c r="D664" s="88"/>
      <c r="E664" s="245">
        <v>44.7</v>
      </c>
      <c r="F664" s="35">
        <f t="shared" si="27"/>
        <v>81209.623688811203</v>
      </c>
      <c r="G664" s="35">
        <f t="shared" si="28"/>
        <v>23388.371969696975</v>
      </c>
      <c r="H664" s="207"/>
      <c r="I664" s="207" t="s">
        <v>12545</v>
      </c>
      <c r="J664" s="66" t="s">
        <v>12546</v>
      </c>
      <c r="K664" s="207"/>
      <c r="L664" s="66"/>
      <c r="M664" s="201" t="s">
        <v>12550</v>
      </c>
      <c r="N664" s="207"/>
      <c r="O664" s="38"/>
    </row>
    <row r="665" spans="1:15" ht="120" customHeight="1" x14ac:dyDescent="0.3">
      <c r="A665" s="242">
        <v>645</v>
      </c>
      <c r="B665" s="34" t="s">
        <v>12470</v>
      </c>
      <c r="C665" s="34" t="s">
        <v>12671</v>
      </c>
      <c r="D665" s="88" t="s">
        <v>12533</v>
      </c>
      <c r="E665" s="245">
        <v>28.7</v>
      </c>
      <c r="F665" s="35">
        <v>1096225.2</v>
      </c>
      <c r="G665" s="35" t="s">
        <v>14</v>
      </c>
      <c r="H665" s="25"/>
      <c r="I665" s="207" t="s">
        <v>12545</v>
      </c>
      <c r="J665" s="245" t="s">
        <v>12546</v>
      </c>
      <c r="K665" s="207" t="s">
        <v>22180</v>
      </c>
      <c r="L665" s="66" t="s">
        <v>22544</v>
      </c>
      <c r="M665" s="201" t="s">
        <v>12550</v>
      </c>
      <c r="N665" s="245"/>
      <c r="O665" s="38" t="s">
        <v>21775</v>
      </c>
    </row>
    <row r="666" spans="1:15" ht="84" customHeight="1" x14ac:dyDescent="0.3">
      <c r="A666" s="2">
        <v>646</v>
      </c>
      <c r="B666" s="34" t="s">
        <v>12468</v>
      </c>
      <c r="C666" s="34" t="s">
        <v>13095</v>
      </c>
      <c r="D666" s="88"/>
      <c r="E666" s="245">
        <v>53.7</v>
      </c>
      <c r="F666" s="35">
        <f t="shared" ref="F666:F676" si="29">678263.72/575.7*E666</f>
        <v>63266.912912975502</v>
      </c>
      <c r="G666" s="35">
        <f t="shared" ref="G666:G676" si="30">157357.21/575.7*E666</f>
        <v>14677.926310578425</v>
      </c>
      <c r="H666" s="207"/>
      <c r="I666" s="207" t="s">
        <v>12545</v>
      </c>
      <c r="J666" s="245" t="s">
        <v>12546</v>
      </c>
      <c r="K666" s="207" t="s">
        <v>18068</v>
      </c>
      <c r="L666" s="66" t="s">
        <v>18069</v>
      </c>
      <c r="M666" s="201" t="s">
        <v>12550</v>
      </c>
      <c r="N666" s="207"/>
      <c r="O666" s="38"/>
    </row>
    <row r="667" spans="1:15" ht="96" customHeight="1" x14ac:dyDescent="0.3">
      <c r="A667" s="2">
        <v>647</v>
      </c>
      <c r="B667" s="34" t="s">
        <v>12468</v>
      </c>
      <c r="C667" s="34" t="s">
        <v>13096</v>
      </c>
      <c r="D667" s="88"/>
      <c r="E667" s="245">
        <v>53.4</v>
      </c>
      <c r="F667" s="35">
        <f t="shared" si="29"/>
        <v>62913.466472120883</v>
      </c>
      <c r="G667" s="35">
        <f t="shared" si="30"/>
        <v>14595.92672225117</v>
      </c>
      <c r="H667" s="207"/>
      <c r="I667" s="207" t="s">
        <v>12545</v>
      </c>
      <c r="J667" s="245" t="s">
        <v>12546</v>
      </c>
      <c r="K667" s="207"/>
      <c r="L667" s="66"/>
      <c r="M667" s="201" t="s">
        <v>12550</v>
      </c>
      <c r="N667" s="207"/>
      <c r="O667" s="38"/>
    </row>
    <row r="668" spans="1:15" ht="96" customHeight="1" x14ac:dyDescent="0.3">
      <c r="A668" s="2">
        <v>648</v>
      </c>
      <c r="B668" s="34" t="s">
        <v>12468</v>
      </c>
      <c r="C668" s="34" t="s">
        <v>13097</v>
      </c>
      <c r="D668" s="88"/>
      <c r="E668" s="245">
        <v>53.6</v>
      </c>
      <c r="F668" s="35">
        <f t="shared" si="29"/>
        <v>63149.097432690629</v>
      </c>
      <c r="G668" s="35">
        <f t="shared" si="30"/>
        <v>14650.59311446934</v>
      </c>
      <c r="H668" s="207"/>
      <c r="I668" s="207" t="s">
        <v>12545</v>
      </c>
      <c r="J668" s="245" t="s">
        <v>12546</v>
      </c>
      <c r="K668" s="26">
        <v>42821</v>
      </c>
      <c r="L668" s="66" t="s">
        <v>18343</v>
      </c>
      <c r="M668" s="201" t="s">
        <v>12550</v>
      </c>
      <c r="N668" s="207"/>
      <c r="O668" s="38"/>
    </row>
    <row r="669" spans="1:15" ht="96" customHeight="1" x14ac:dyDescent="0.3">
      <c r="A669" s="242">
        <v>649</v>
      </c>
      <c r="B669" s="34" t="s">
        <v>12468</v>
      </c>
      <c r="C669" s="34" t="s">
        <v>13098</v>
      </c>
      <c r="D669" s="88"/>
      <c r="E669" s="245">
        <v>53.3</v>
      </c>
      <c r="F669" s="35">
        <f t="shared" si="29"/>
        <v>62795.65099183601</v>
      </c>
      <c r="G669" s="35">
        <f t="shared" si="30"/>
        <v>14568.593526142085</v>
      </c>
      <c r="H669" s="207"/>
      <c r="I669" s="207" t="s">
        <v>12545</v>
      </c>
      <c r="J669" s="245" t="s">
        <v>12546</v>
      </c>
      <c r="K669" s="207"/>
      <c r="L669" s="66"/>
      <c r="M669" s="201" t="s">
        <v>12550</v>
      </c>
      <c r="N669" s="207"/>
      <c r="O669" s="38"/>
    </row>
    <row r="670" spans="1:15" ht="96" customHeight="1" x14ac:dyDescent="0.3">
      <c r="A670" s="242">
        <v>650</v>
      </c>
      <c r="B670" s="34" t="s">
        <v>12468</v>
      </c>
      <c r="C670" s="34" t="s">
        <v>13099</v>
      </c>
      <c r="D670" s="88" t="s">
        <v>18010</v>
      </c>
      <c r="E670" s="245">
        <v>53.6</v>
      </c>
      <c r="F670" s="35">
        <f t="shared" si="29"/>
        <v>63149.097432690629</v>
      </c>
      <c r="G670" s="35">
        <f t="shared" si="30"/>
        <v>14650.59311446934</v>
      </c>
      <c r="H670" s="207"/>
      <c r="I670" s="207" t="s">
        <v>12545</v>
      </c>
      <c r="J670" s="245" t="s">
        <v>12546</v>
      </c>
      <c r="K670" s="26">
        <v>42320</v>
      </c>
      <c r="L670" s="66" t="s">
        <v>18009</v>
      </c>
      <c r="M670" s="201" t="s">
        <v>12550</v>
      </c>
      <c r="N670" s="207"/>
      <c r="O670" s="38"/>
    </row>
    <row r="671" spans="1:15" ht="96" customHeight="1" x14ac:dyDescent="0.3">
      <c r="A671" s="242">
        <v>651</v>
      </c>
      <c r="B671" s="34" t="s">
        <v>12468</v>
      </c>
      <c r="C671" s="34" t="s">
        <v>13100</v>
      </c>
      <c r="D671" s="88"/>
      <c r="E671" s="245">
        <v>53.6</v>
      </c>
      <c r="F671" s="35">
        <f t="shared" si="29"/>
        <v>63149.097432690629</v>
      </c>
      <c r="G671" s="35">
        <f t="shared" si="30"/>
        <v>14650.59311446934</v>
      </c>
      <c r="H671" s="207"/>
      <c r="I671" s="207" t="s">
        <v>12545</v>
      </c>
      <c r="J671" s="245" t="s">
        <v>12546</v>
      </c>
      <c r="K671" s="207"/>
      <c r="L671" s="66"/>
      <c r="M671" s="201" t="s">
        <v>12550</v>
      </c>
      <c r="N671" s="207"/>
      <c r="O671" s="38"/>
    </row>
    <row r="672" spans="1:15" ht="96" customHeight="1" x14ac:dyDescent="0.3">
      <c r="A672" s="242">
        <v>652</v>
      </c>
      <c r="B672" s="34" t="s">
        <v>12468</v>
      </c>
      <c r="C672" s="34" t="s">
        <v>13101</v>
      </c>
      <c r="D672" s="88"/>
      <c r="E672" s="245">
        <v>53.3</v>
      </c>
      <c r="F672" s="35">
        <f t="shared" si="29"/>
        <v>62795.65099183601</v>
      </c>
      <c r="G672" s="35">
        <f t="shared" si="30"/>
        <v>14568.593526142085</v>
      </c>
      <c r="H672" s="207"/>
      <c r="I672" s="207" t="s">
        <v>12545</v>
      </c>
      <c r="J672" s="245" t="s">
        <v>12546</v>
      </c>
      <c r="K672" s="207"/>
      <c r="L672" s="66"/>
      <c r="M672" s="201" t="s">
        <v>12550</v>
      </c>
      <c r="N672" s="207"/>
      <c r="O672" s="38"/>
    </row>
    <row r="673" spans="1:15" ht="96" customHeight="1" x14ac:dyDescent="0.3">
      <c r="A673" s="242">
        <v>653</v>
      </c>
      <c r="B673" s="34" t="s">
        <v>12468</v>
      </c>
      <c r="C673" s="34" t="s">
        <v>13102</v>
      </c>
      <c r="D673" s="88"/>
      <c r="E673" s="245">
        <v>47</v>
      </c>
      <c r="F673" s="35">
        <f t="shared" si="29"/>
        <v>55373.275733889168</v>
      </c>
      <c r="G673" s="35">
        <f t="shared" si="30"/>
        <v>12846.602171269757</v>
      </c>
      <c r="H673" s="207"/>
      <c r="I673" s="207" t="s">
        <v>12545</v>
      </c>
      <c r="J673" s="245" t="s">
        <v>12546</v>
      </c>
      <c r="K673" s="26">
        <v>42935</v>
      </c>
      <c r="L673" s="66" t="s">
        <v>19109</v>
      </c>
      <c r="M673" s="201" t="s">
        <v>12550</v>
      </c>
      <c r="N673" s="207"/>
      <c r="O673" s="38"/>
    </row>
    <row r="674" spans="1:15" ht="96" customHeight="1" x14ac:dyDescent="0.3">
      <c r="A674" s="242">
        <v>654</v>
      </c>
      <c r="B674" s="34" t="s">
        <v>12467</v>
      </c>
      <c r="C674" s="34" t="s">
        <v>13103</v>
      </c>
      <c r="D674" s="88"/>
      <c r="E674" s="245">
        <v>66.900000000000006</v>
      </c>
      <c r="F674" s="35">
        <f t="shared" si="29"/>
        <v>78818.556310578424</v>
      </c>
      <c r="G674" s="35">
        <f t="shared" si="30"/>
        <v>18285.908196977591</v>
      </c>
      <c r="H674" s="207"/>
      <c r="I674" s="207" t="s">
        <v>12545</v>
      </c>
      <c r="J674" s="245" t="s">
        <v>12546</v>
      </c>
      <c r="K674" s="207"/>
      <c r="L674" s="66"/>
      <c r="M674" s="201" t="s">
        <v>12550</v>
      </c>
      <c r="N674" s="207"/>
      <c r="O674" s="38" t="s">
        <v>21545</v>
      </c>
    </row>
    <row r="675" spans="1:15" ht="96" customHeight="1" x14ac:dyDescent="0.3">
      <c r="A675" s="242">
        <v>655</v>
      </c>
      <c r="B675" s="34" t="s">
        <v>12471</v>
      </c>
      <c r="C675" s="34" t="s">
        <v>13104</v>
      </c>
      <c r="D675" s="88"/>
      <c r="E675" s="245">
        <v>33.799999999999997</v>
      </c>
      <c r="F675" s="35">
        <f t="shared" si="29"/>
        <v>39821.632336286246</v>
      </c>
      <c r="G675" s="35">
        <f t="shared" si="30"/>
        <v>9238.6202848705907</v>
      </c>
      <c r="H675" s="207"/>
      <c r="I675" s="207" t="s">
        <v>12545</v>
      </c>
      <c r="J675" s="245" t="s">
        <v>12546</v>
      </c>
      <c r="K675" s="207"/>
      <c r="L675" s="66"/>
      <c r="M675" s="201" t="s">
        <v>12550</v>
      </c>
      <c r="N675" s="207"/>
      <c r="O675" s="38"/>
    </row>
    <row r="676" spans="1:15" ht="96" customHeight="1" x14ac:dyDescent="0.3">
      <c r="A676" s="2">
        <v>656</v>
      </c>
      <c r="B676" s="34" t="s">
        <v>12468</v>
      </c>
      <c r="C676" s="34" t="s">
        <v>13105</v>
      </c>
      <c r="D676" s="88"/>
      <c r="E676" s="245">
        <v>53.5</v>
      </c>
      <c r="F676" s="35">
        <f t="shared" si="29"/>
        <v>63031.281952405756</v>
      </c>
      <c r="G676" s="35">
        <f t="shared" si="30"/>
        <v>14623.259918360254</v>
      </c>
      <c r="H676" s="207"/>
      <c r="I676" s="207" t="s">
        <v>12545</v>
      </c>
      <c r="J676" s="245" t="s">
        <v>12546</v>
      </c>
      <c r="K676" s="207"/>
      <c r="L676" s="66"/>
      <c r="M676" s="201" t="s">
        <v>12550</v>
      </c>
      <c r="N676" s="207"/>
      <c r="O676" s="38"/>
    </row>
    <row r="677" spans="1:15" ht="84" customHeight="1" x14ac:dyDescent="0.3">
      <c r="A677" s="2">
        <v>657</v>
      </c>
      <c r="B677" s="34" t="s">
        <v>12468</v>
      </c>
      <c r="C677" s="34" t="s">
        <v>13106</v>
      </c>
      <c r="D677" s="88"/>
      <c r="E677" s="245">
        <v>42</v>
      </c>
      <c r="F677" s="35">
        <f t="shared" ref="F677:F690" si="31">707357.78/589.3*E677</f>
        <v>50414.095978279314</v>
      </c>
      <c r="G677" s="35">
        <f t="shared" ref="G677:G690" si="32">243331.07/589.3*E677</f>
        <v>17342.448566095369</v>
      </c>
      <c r="H677" s="207"/>
      <c r="I677" s="207" t="s">
        <v>12545</v>
      </c>
      <c r="J677" s="245" t="s">
        <v>12546</v>
      </c>
      <c r="K677" s="207"/>
      <c r="L677" s="66"/>
      <c r="M677" s="201" t="s">
        <v>12550</v>
      </c>
      <c r="N677" s="207"/>
      <c r="O677" s="38"/>
    </row>
    <row r="678" spans="1:15" ht="84" customHeight="1" x14ac:dyDescent="0.3">
      <c r="A678" s="242">
        <v>658</v>
      </c>
      <c r="B678" s="34" t="s">
        <v>12468</v>
      </c>
      <c r="C678" s="34" t="s">
        <v>13107</v>
      </c>
      <c r="D678" s="88"/>
      <c r="E678" s="245">
        <v>43.3</v>
      </c>
      <c r="F678" s="35">
        <f t="shared" si="31"/>
        <v>51974.532282368913</v>
      </c>
      <c r="G678" s="35">
        <f t="shared" si="32"/>
        <v>17879.238640760224</v>
      </c>
      <c r="H678" s="207"/>
      <c r="I678" s="207" t="s">
        <v>12545</v>
      </c>
      <c r="J678" s="245" t="s">
        <v>12546</v>
      </c>
      <c r="K678" s="207"/>
      <c r="L678" s="66"/>
      <c r="M678" s="201" t="s">
        <v>12550</v>
      </c>
      <c r="N678" s="207"/>
      <c r="O678" s="38"/>
    </row>
    <row r="679" spans="1:15" ht="96" customHeight="1" x14ac:dyDescent="0.3">
      <c r="A679" s="242">
        <v>659</v>
      </c>
      <c r="B679" s="34" t="s">
        <v>12468</v>
      </c>
      <c r="C679" s="34" t="s">
        <v>13108</v>
      </c>
      <c r="D679" s="88"/>
      <c r="E679" s="245">
        <v>43.8</v>
      </c>
      <c r="F679" s="35">
        <f t="shared" si="31"/>
        <v>52574.700091634142</v>
      </c>
      <c r="G679" s="35">
        <f t="shared" si="32"/>
        <v>18085.696361785169</v>
      </c>
      <c r="H679" s="207"/>
      <c r="I679" s="207" t="s">
        <v>12545</v>
      </c>
      <c r="J679" s="245" t="s">
        <v>12546</v>
      </c>
      <c r="K679" s="207"/>
      <c r="L679" s="66"/>
      <c r="M679" s="201" t="s">
        <v>12550</v>
      </c>
      <c r="N679" s="207"/>
      <c r="O679" s="38"/>
    </row>
    <row r="680" spans="1:15" ht="96" customHeight="1" x14ac:dyDescent="0.3">
      <c r="A680" s="2">
        <v>660</v>
      </c>
      <c r="B680" s="34" t="s">
        <v>12468</v>
      </c>
      <c r="C680" s="34" t="s">
        <v>13109</v>
      </c>
      <c r="D680" s="88"/>
      <c r="E680" s="66">
        <v>42.2</v>
      </c>
      <c r="F680" s="35">
        <f t="shared" si="31"/>
        <v>50654.16310198541</v>
      </c>
      <c r="G680" s="35">
        <f t="shared" si="32"/>
        <v>17425.03165450535</v>
      </c>
      <c r="H680" s="207"/>
      <c r="I680" s="207" t="s">
        <v>12545</v>
      </c>
      <c r="J680" s="66" t="s">
        <v>12546</v>
      </c>
      <c r="K680" s="207"/>
      <c r="L680" s="66"/>
      <c r="M680" s="201" t="s">
        <v>12550</v>
      </c>
      <c r="N680" s="207"/>
      <c r="O680" s="38"/>
    </row>
    <row r="681" spans="1:15" ht="96" customHeight="1" x14ac:dyDescent="0.3">
      <c r="A681" s="242">
        <v>661</v>
      </c>
      <c r="B681" s="34" t="s">
        <v>12468</v>
      </c>
      <c r="C681" s="34" t="s">
        <v>13110</v>
      </c>
      <c r="D681" s="88"/>
      <c r="E681" s="245">
        <v>40.9</v>
      </c>
      <c r="F681" s="35">
        <f t="shared" si="31"/>
        <v>49093.726797895812</v>
      </c>
      <c r="G681" s="35">
        <f t="shared" si="32"/>
        <v>16888.241579840491</v>
      </c>
      <c r="H681" s="207"/>
      <c r="I681" s="207" t="s">
        <v>12545</v>
      </c>
      <c r="J681" s="245" t="s">
        <v>12546</v>
      </c>
      <c r="K681" s="207"/>
      <c r="L681" s="66"/>
      <c r="M681" s="201" t="s">
        <v>12550</v>
      </c>
      <c r="N681" s="207"/>
      <c r="O681" s="38"/>
    </row>
    <row r="682" spans="1:15" ht="96" customHeight="1" x14ac:dyDescent="0.3">
      <c r="A682" s="242">
        <v>662</v>
      </c>
      <c r="B682" s="34" t="s">
        <v>12468</v>
      </c>
      <c r="C682" s="34" t="s">
        <v>13111</v>
      </c>
      <c r="D682" s="88"/>
      <c r="E682" s="245">
        <v>40.200000000000003</v>
      </c>
      <c r="F682" s="35">
        <f t="shared" si="31"/>
        <v>48253.491864924494</v>
      </c>
      <c r="G682" s="35">
        <f t="shared" si="32"/>
        <v>16599.200770405569</v>
      </c>
      <c r="H682" s="207"/>
      <c r="I682" s="207" t="s">
        <v>12545</v>
      </c>
      <c r="J682" s="245" t="s">
        <v>12546</v>
      </c>
      <c r="K682" s="207"/>
      <c r="L682" s="66"/>
      <c r="M682" s="201" t="s">
        <v>12550</v>
      </c>
      <c r="N682" s="207"/>
      <c r="O682" s="38" t="s">
        <v>21546</v>
      </c>
    </row>
    <row r="683" spans="1:15" ht="96" customHeight="1" x14ac:dyDescent="0.3">
      <c r="A683" s="2">
        <v>663</v>
      </c>
      <c r="B683" s="34" t="s">
        <v>12468</v>
      </c>
      <c r="C683" s="34" t="s">
        <v>13112</v>
      </c>
      <c r="D683" s="88"/>
      <c r="E683" s="245">
        <v>42.1</v>
      </c>
      <c r="F683" s="35">
        <f t="shared" si="31"/>
        <v>50534.129540132366</v>
      </c>
      <c r="G683" s="35">
        <f t="shared" si="32"/>
        <v>17383.740110300358</v>
      </c>
      <c r="H683" s="207"/>
      <c r="I683" s="207" t="s">
        <v>12545</v>
      </c>
      <c r="J683" s="245" t="s">
        <v>12546</v>
      </c>
      <c r="K683" s="207"/>
      <c r="L683" s="66"/>
      <c r="M683" s="201" t="s">
        <v>12550</v>
      </c>
      <c r="N683" s="207"/>
      <c r="O683" s="38"/>
    </row>
    <row r="684" spans="1:15" ht="96" customHeight="1" x14ac:dyDescent="0.3">
      <c r="A684" s="2">
        <v>664</v>
      </c>
      <c r="B684" s="34" t="s">
        <v>12468</v>
      </c>
      <c r="C684" s="34" t="s">
        <v>13113</v>
      </c>
      <c r="D684" s="88"/>
      <c r="E684" s="66">
        <v>45.4</v>
      </c>
      <c r="F684" s="35">
        <f t="shared" si="31"/>
        <v>54495.237081282874</v>
      </c>
      <c r="G684" s="35">
        <f t="shared" si="32"/>
        <v>18746.361069064995</v>
      </c>
      <c r="H684" s="207"/>
      <c r="I684" s="207" t="s">
        <v>12545</v>
      </c>
      <c r="J684" s="66" t="s">
        <v>12546</v>
      </c>
      <c r="K684" s="207"/>
      <c r="L684" s="66"/>
      <c r="M684" s="201" t="s">
        <v>12550</v>
      </c>
      <c r="N684" s="207"/>
      <c r="O684" s="38"/>
    </row>
    <row r="685" spans="1:15" ht="96" customHeight="1" x14ac:dyDescent="0.3">
      <c r="A685" s="2">
        <v>665</v>
      </c>
      <c r="B685" s="34" t="s">
        <v>12468</v>
      </c>
      <c r="C685" s="34" t="s">
        <v>13114</v>
      </c>
      <c r="D685" s="88"/>
      <c r="E685" s="66">
        <v>41.4</v>
      </c>
      <c r="F685" s="35">
        <f t="shared" si="31"/>
        <v>49693.894607161041</v>
      </c>
      <c r="G685" s="35">
        <f t="shared" si="32"/>
        <v>17094.699300865435</v>
      </c>
      <c r="H685" s="207"/>
      <c r="I685" s="207" t="s">
        <v>12545</v>
      </c>
      <c r="J685" s="66" t="s">
        <v>12546</v>
      </c>
      <c r="K685" s="207"/>
      <c r="L685" s="66"/>
      <c r="M685" s="201" t="s">
        <v>12550</v>
      </c>
      <c r="N685" s="207"/>
      <c r="O685" s="38"/>
    </row>
    <row r="686" spans="1:15" ht="96" customHeight="1" x14ac:dyDescent="0.3">
      <c r="A686" s="2">
        <v>666</v>
      </c>
      <c r="B686" s="34" t="s">
        <v>12468</v>
      </c>
      <c r="C686" s="34" t="s">
        <v>13115</v>
      </c>
      <c r="D686" s="88"/>
      <c r="E686" s="245">
        <v>42.7</v>
      </c>
      <c r="F686" s="35">
        <f t="shared" si="31"/>
        <v>51254.330911250639</v>
      </c>
      <c r="G686" s="35">
        <f t="shared" si="32"/>
        <v>17631.489375530295</v>
      </c>
      <c r="H686" s="207"/>
      <c r="I686" s="207" t="s">
        <v>12545</v>
      </c>
      <c r="J686" s="66" t="s">
        <v>12546</v>
      </c>
      <c r="K686" s="207"/>
      <c r="L686" s="66"/>
      <c r="M686" s="201" t="s">
        <v>12550</v>
      </c>
      <c r="N686" s="207"/>
      <c r="O686" s="38"/>
    </row>
    <row r="687" spans="1:15" ht="96" customHeight="1" x14ac:dyDescent="0.3">
      <c r="A687" s="2">
        <v>667</v>
      </c>
      <c r="B687" s="34" t="s">
        <v>12468</v>
      </c>
      <c r="C687" s="34" t="s">
        <v>13116</v>
      </c>
      <c r="D687" s="88"/>
      <c r="E687" s="66">
        <v>41.1</v>
      </c>
      <c r="F687" s="35">
        <f t="shared" si="31"/>
        <v>49333.7939216019</v>
      </c>
      <c r="G687" s="35">
        <f t="shared" si="32"/>
        <v>16970.824668250469</v>
      </c>
      <c r="H687" s="207"/>
      <c r="I687" s="207" t="s">
        <v>12545</v>
      </c>
      <c r="J687" s="66" t="s">
        <v>12546</v>
      </c>
      <c r="K687" s="207"/>
      <c r="L687" s="66"/>
      <c r="M687" s="201" t="s">
        <v>12550</v>
      </c>
      <c r="N687" s="207"/>
      <c r="O687" s="38"/>
    </row>
    <row r="688" spans="1:15" ht="96" customHeight="1" x14ac:dyDescent="0.3">
      <c r="A688" s="2">
        <v>668</v>
      </c>
      <c r="B688" s="34" t="s">
        <v>12468</v>
      </c>
      <c r="C688" s="34" t="s">
        <v>13117</v>
      </c>
      <c r="D688" s="88"/>
      <c r="E688" s="245">
        <v>41</v>
      </c>
      <c r="F688" s="35">
        <f t="shared" si="31"/>
        <v>49213.760359748856</v>
      </c>
      <c r="G688" s="35">
        <f t="shared" si="32"/>
        <v>16929.53312404548</v>
      </c>
      <c r="H688" s="207"/>
      <c r="I688" s="207" t="s">
        <v>12545</v>
      </c>
      <c r="J688" s="245" t="s">
        <v>12546</v>
      </c>
      <c r="K688" s="207"/>
      <c r="L688" s="66"/>
      <c r="M688" s="201" t="s">
        <v>12550</v>
      </c>
      <c r="N688" s="207"/>
      <c r="O688" s="38" t="s">
        <v>21547</v>
      </c>
    </row>
    <row r="689" spans="1:15" ht="96" customHeight="1" x14ac:dyDescent="0.3">
      <c r="A689" s="2">
        <v>669</v>
      </c>
      <c r="B689" s="34" t="s">
        <v>12468</v>
      </c>
      <c r="C689" s="34" t="s">
        <v>13118</v>
      </c>
      <c r="D689" s="88"/>
      <c r="E689" s="245">
        <v>40.6</v>
      </c>
      <c r="F689" s="35">
        <f t="shared" si="31"/>
        <v>48733.626112336671</v>
      </c>
      <c r="G689" s="35">
        <f t="shared" si="32"/>
        <v>16764.366947225524</v>
      </c>
      <c r="H689" s="207"/>
      <c r="I689" s="207" t="s">
        <v>12545</v>
      </c>
      <c r="J689" s="245" t="s">
        <v>12546</v>
      </c>
      <c r="K689" s="207"/>
      <c r="L689" s="66"/>
      <c r="M689" s="201" t="s">
        <v>12550</v>
      </c>
      <c r="N689" s="207"/>
      <c r="O689" s="38"/>
    </row>
    <row r="690" spans="1:15" ht="96" customHeight="1" x14ac:dyDescent="0.3">
      <c r="A690" s="2">
        <v>670</v>
      </c>
      <c r="B690" s="34" t="s">
        <v>12468</v>
      </c>
      <c r="C690" s="34" t="s">
        <v>13119</v>
      </c>
      <c r="D690" s="88"/>
      <c r="E690" s="66">
        <v>42.6</v>
      </c>
      <c r="F690" s="35">
        <f t="shared" si="31"/>
        <v>51134.297349397595</v>
      </c>
      <c r="G690" s="35">
        <f t="shared" si="32"/>
        <v>17590.197831325302</v>
      </c>
      <c r="H690" s="207"/>
      <c r="I690" s="207" t="s">
        <v>12545</v>
      </c>
      <c r="J690" s="66" t="s">
        <v>12546</v>
      </c>
      <c r="K690" s="26">
        <v>42733</v>
      </c>
      <c r="L690" s="66" t="s">
        <v>18008</v>
      </c>
      <c r="M690" s="201" t="s">
        <v>12550</v>
      </c>
      <c r="N690" s="207"/>
      <c r="O690" s="38"/>
    </row>
    <row r="691" spans="1:15" ht="96" customHeight="1" x14ac:dyDescent="0.3">
      <c r="A691" s="242">
        <v>671</v>
      </c>
      <c r="B691" s="34" t="s">
        <v>12468</v>
      </c>
      <c r="C691" s="34" t="s">
        <v>13120</v>
      </c>
      <c r="D691" s="88"/>
      <c r="E691" s="245">
        <v>41.6</v>
      </c>
      <c r="F691" s="35">
        <f t="shared" ref="F691:F697" si="33">207462.74/295.9*E691</f>
        <v>29166.77926326462</v>
      </c>
      <c r="G691" s="35">
        <f t="shared" ref="G691:G697" si="34">66388.08/295.9*E691</f>
        <v>9333.3698141263958</v>
      </c>
      <c r="H691" s="207"/>
      <c r="I691" s="207" t="s">
        <v>12545</v>
      </c>
      <c r="J691" s="245" t="s">
        <v>12546</v>
      </c>
      <c r="K691" s="207"/>
      <c r="L691" s="66"/>
      <c r="M691" s="201" t="s">
        <v>12550</v>
      </c>
      <c r="N691" s="207"/>
      <c r="O691" s="38"/>
    </row>
    <row r="692" spans="1:15" ht="96" customHeight="1" x14ac:dyDescent="0.3">
      <c r="A692" s="2">
        <v>672</v>
      </c>
      <c r="B692" s="34" t="s">
        <v>12468</v>
      </c>
      <c r="C692" s="34" t="s">
        <v>13121</v>
      </c>
      <c r="D692" s="88"/>
      <c r="E692" s="66">
        <v>42.8</v>
      </c>
      <c r="F692" s="35">
        <f t="shared" si="33"/>
        <v>30008.128665089556</v>
      </c>
      <c r="G692" s="35">
        <f t="shared" si="34"/>
        <v>9602.6016356877335</v>
      </c>
      <c r="H692" s="207"/>
      <c r="I692" s="207" t="s">
        <v>12545</v>
      </c>
      <c r="J692" s="66" t="s">
        <v>12546</v>
      </c>
      <c r="K692" s="207"/>
      <c r="L692" s="66"/>
      <c r="M692" s="201" t="s">
        <v>12550</v>
      </c>
      <c r="N692" s="207"/>
      <c r="O692" s="38"/>
    </row>
    <row r="693" spans="1:15" ht="96" customHeight="1" x14ac:dyDescent="0.3">
      <c r="A693" s="2">
        <v>673</v>
      </c>
      <c r="B693" s="34" t="s">
        <v>12468</v>
      </c>
      <c r="C693" s="34" t="s">
        <v>13122</v>
      </c>
      <c r="D693" s="88"/>
      <c r="E693" s="66">
        <v>42.1</v>
      </c>
      <c r="F693" s="35">
        <f t="shared" si="33"/>
        <v>29517.341514025011</v>
      </c>
      <c r="G693" s="35">
        <f t="shared" si="34"/>
        <v>9445.5497397769541</v>
      </c>
      <c r="H693" s="207"/>
      <c r="I693" s="207" t="s">
        <v>12545</v>
      </c>
      <c r="J693" s="66" t="s">
        <v>12546</v>
      </c>
      <c r="K693" s="207"/>
      <c r="L693" s="66"/>
      <c r="M693" s="201" t="s">
        <v>12550</v>
      </c>
      <c r="N693" s="207"/>
      <c r="O693" s="38"/>
    </row>
    <row r="694" spans="1:15" ht="134.4" customHeight="1" x14ac:dyDescent="0.3">
      <c r="A694" s="2">
        <v>674</v>
      </c>
      <c r="B694" s="34" t="s">
        <v>12468</v>
      </c>
      <c r="C694" s="34" t="s">
        <v>13123</v>
      </c>
      <c r="D694" s="88"/>
      <c r="E694" s="66">
        <v>40.4</v>
      </c>
      <c r="F694" s="35">
        <f t="shared" si="33"/>
        <v>28325.429861439676</v>
      </c>
      <c r="G694" s="35">
        <f t="shared" si="34"/>
        <v>9064.1379925650563</v>
      </c>
      <c r="H694" s="207"/>
      <c r="I694" s="207" t="s">
        <v>12545</v>
      </c>
      <c r="J694" s="66" t="s">
        <v>12546</v>
      </c>
      <c r="K694" s="207" t="s">
        <v>23131</v>
      </c>
      <c r="L694" s="66" t="s">
        <v>23132</v>
      </c>
      <c r="M694" s="201" t="s">
        <v>12550</v>
      </c>
      <c r="N694" s="207"/>
      <c r="O694" s="38" t="s">
        <v>22707</v>
      </c>
    </row>
    <row r="695" spans="1:15" ht="96" customHeight="1" x14ac:dyDescent="0.3">
      <c r="A695" s="2">
        <v>675</v>
      </c>
      <c r="B695" s="34" t="s">
        <v>12468</v>
      </c>
      <c r="C695" s="34" t="s">
        <v>13124</v>
      </c>
      <c r="D695" s="88"/>
      <c r="E695" s="66">
        <v>40.799999999999997</v>
      </c>
      <c r="F695" s="35">
        <f t="shared" si="33"/>
        <v>28605.879662047988</v>
      </c>
      <c r="G695" s="35">
        <f t="shared" si="34"/>
        <v>9153.8819330855022</v>
      </c>
      <c r="H695" s="207"/>
      <c r="I695" s="207" t="s">
        <v>12545</v>
      </c>
      <c r="J695" s="66" t="s">
        <v>12546</v>
      </c>
      <c r="K695" s="207"/>
      <c r="L695" s="66"/>
      <c r="M695" s="201" t="s">
        <v>12550</v>
      </c>
      <c r="N695" s="207"/>
      <c r="O695" s="38"/>
    </row>
    <row r="696" spans="1:15" ht="96" customHeight="1" x14ac:dyDescent="0.3">
      <c r="A696" s="2">
        <v>676</v>
      </c>
      <c r="B696" s="34" t="s">
        <v>12468</v>
      </c>
      <c r="C696" s="34" t="s">
        <v>13125</v>
      </c>
      <c r="D696" s="88"/>
      <c r="E696" s="66">
        <v>42.9</v>
      </c>
      <c r="F696" s="35">
        <f t="shared" si="33"/>
        <v>30078.241115241635</v>
      </c>
      <c r="G696" s="35">
        <f t="shared" si="34"/>
        <v>9625.0376208178441</v>
      </c>
      <c r="H696" s="207"/>
      <c r="I696" s="207" t="s">
        <v>12545</v>
      </c>
      <c r="J696" s="66" t="s">
        <v>12546</v>
      </c>
      <c r="K696" s="207"/>
      <c r="L696" s="66"/>
      <c r="M696" s="201" t="s">
        <v>12550</v>
      </c>
      <c r="N696" s="207"/>
      <c r="O696" s="38"/>
    </row>
    <row r="697" spans="1:15" ht="96" customHeight="1" x14ac:dyDescent="0.3">
      <c r="A697" s="242">
        <v>677</v>
      </c>
      <c r="B697" s="34" t="s">
        <v>12468</v>
      </c>
      <c r="C697" s="34" t="s">
        <v>13126</v>
      </c>
      <c r="D697" s="88" t="s">
        <v>23679</v>
      </c>
      <c r="E697" s="66">
        <v>43.5</v>
      </c>
      <c r="F697" s="35">
        <f t="shared" si="33"/>
        <v>30498.915816154105</v>
      </c>
      <c r="G697" s="35">
        <f t="shared" si="34"/>
        <v>9759.6535315985147</v>
      </c>
      <c r="H697" s="207"/>
      <c r="I697" s="207" t="s">
        <v>12545</v>
      </c>
      <c r="J697" s="66" t="s">
        <v>12546</v>
      </c>
      <c r="K697" s="207" t="s">
        <v>23674</v>
      </c>
      <c r="L697" s="66" t="s">
        <v>23680</v>
      </c>
      <c r="M697" s="201" t="s">
        <v>12550</v>
      </c>
      <c r="N697" s="207"/>
      <c r="O697" s="38"/>
    </row>
    <row r="698" spans="1:15" ht="84" customHeight="1" x14ac:dyDescent="0.3">
      <c r="A698" s="2">
        <v>678</v>
      </c>
      <c r="B698" s="34" t="s">
        <v>12472</v>
      </c>
      <c r="C698" s="34" t="s">
        <v>12672</v>
      </c>
      <c r="D698" s="88" t="s">
        <v>12534</v>
      </c>
      <c r="E698" s="66">
        <v>41.1</v>
      </c>
      <c r="F698" s="35">
        <v>1505993.19</v>
      </c>
      <c r="G698" s="35" t="s">
        <v>14</v>
      </c>
      <c r="H698" s="25"/>
      <c r="I698" s="207" t="s">
        <v>12545</v>
      </c>
      <c r="J698" s="66" t="s">
        <v>12546</v>
      </c>
      <c r="K698" s="207"/>
      <c r="L698" s="66"/>
      <c r="M698" s="201" t="s">
        <v>12550</v>
      </c>
      <c r="N698" s="207"/>
      <c r="O698" s="38"/>
    </row>
    <row r="699" spans="1:15" ht="84" customHeight="1" x14ac:dyDescent="0.3">
      <c r="A699" s="242">
        <v>679</v>
      </c>
      <c r="B699" s="34" t="s">
        <v>12467</v>
      </c>
      <c r="C699" s="34" t="s">
        <v>13127</v>
      </c>
      <c r="D699" s="88"/>
      <c r="E699" s="245">
        <v>67.5</v>
      </c>
      <c r="F699" s="35">
        <f t="shared" ref="F699:F707" si="35">985974.21/471.3*E699</f>
        <v>141212.09245703375</v>
      </c>
      <c r="G699" s="35">
        <f t="shared" ref="G699:G707" si="36">179281.87/471.3*E699</f>
        <v>25676.906906429023</v>
      </c>
      <c r="H699" s="207"/>
      <c r="I699" s="207" t="s">
        <v>12545</v>
      </c>
      <c r="J699" s="245" t="s">
        <v>12546</v>
      </c>
      <c r="K699" s="207"/>
      <c r="L699" s="66"/>
      <c r="M699" s="201" t="s">
        <v>12550</v>
      </c>
      <c r="N699" s="207"/>
      <c r="O699" s="38" t="s">
        <v>21548</v>
      </c>
    </row>
    <row r="700" spans="1:15" ht="84" customHeight="1" x14ac:dyDescent="0.3">
      <c r="A700" s="242">
        <v>680</v>
      </c>
      <c r="B700" s="34" t="s">
        <v>12468</v>
      </c>
      <c r="C700" s="34" t="s">
        <v>13128</v>
      </c>
      <c r="D700" s="88"/>
      <c r="E700" s="245">
        <v>53.7</v>
      </c>
      <c r="F700" s="35">
        <f t="shared" si="35"/>
        <v>112342.06466581796</v>
      </c>
      <c r="G700" s="35">
        <f t="shared" si="36"/>
        <v>20427.405938892425</v>
      </c>
      <c r="H700" s="207"/>
      <c r="I700" s="207" t="s">
        <v>12545</v>
      </c>
      <c r="J700" s="245" t="s">
        <v>12546</v>
      </c>
      <c r="K700" s="207" t="s">
        <v>16255</v>
      </c>
      <c r="L700" s="66" t="s">
        <v>16256</v>
      </c>
      <c r="M700" s="201" t="s">
        <v>12550</v>
      </c>
      <c r="N700" s="207"/>
      <c r="O700" s="38"/>
    </row>
    <row r="701" spans="1:15" ht="84" customHeight="1" x14ac:dyDescent="0.3">
      <c r="A701" s="242">
        <v>681</v>
      </c>
      <c r="B701" s="34" t="s">
        <v>12467</v>
      </c>
      <c r="C701" s="34" t="s">
        <v>13129</v>
      </c>
      <c r="D701" s="88"/>
      <c r="E701" s="245">
        <v>67.400000000000006</v>
      </c>
      <c r="F701" s="35">
        <f t="shared" si="35"/>
        <v>141002.88935709742</v>
      </c>
      <c r="G701" s="35">
        <f t="shared" si="36"/>
        <v>25638.867044345425</v>
      </c>
      <c r="H701" s="207"/>
      <c r="I701" s="207" t="s">
        <v>12545</v>
      </c>
      <c r="J701" s="245" t="s">
        <v>12546</v>
      </c>
      <c r="K701" s="207"/>
      <c r="L701" s="66"/>
      <c r="M701" s="201" t="s">
        <v>12550</v>
      </c>
      <c r="N701" s="207"/>
      <c r="O701" s="38"/>
    </row>
    <row r="702" spans="1:15" ht="84" customHeight="1" x14ac:dyDescent="0.3">
      <c r="A702" s="242">
        <v>682</v>
      </c>
      <c r="B702" s="34" t="s">
        <v>12468</v>
      </c>
      <c r="C702" s="34" t="s">
        <v>13130</v>
      </c>
      <c r="D702" s="88"/>
      <c r="E702" s="245">
        <v>47.1</v>
      </c>
      <c r="F702" s="35">
        <f t="shared" si="35"/>
        <v>98534.660070019105</v>
      </c>
      <c r="G702" s="35">
        <f t="shared" si="36"/>
        <v>17916.77504137492</v>
      </c>
      <c r="H702" s="207"/>
      <c r="I702" s="207" t="s">
        <v>12545</v>
      </c>
      <c r="J702" s="245" t="s">
        <v>12546</v>
      </c>
      <c r="K702" s="26">
        <v>42732</v>
      </c>
      <c r="L702" s="66" t="s">
        <v>18344</v>
      </c>
      <c r="M702" s="201" t="s">
        <v>12550</v>
      </c>
      <c r="N702" s="207"/>
      <c r="O702" s="38"/>
    </row>
    <row r="703" spans="1:15" ht="84" customHeight="1" x14ac:dyDescent="0.3">
      <c r="A703" s="2">
        <v>683</v>
      </c>
      <c r="B703" s="34" t="s">
        <v>12468</v>
      </c>
      <c r="C703" s="34" t="s">
        <v>13131</v>
      </c>
      <c r="D703" s="88"/>
      <c r="E703" s="245">
        <v>53.4</v>
      </c>
      <c r="F703" s="35">
        <f t="shared" si="35"/>
        <v>111714.45536600892</v>
      </c>
      <c r="G703" s="35">
        <f t="shared" si="36"/>
        <v>20313.286352641626</v>
      </c>
      <c r="H703" s="207"/>
      <c r="I703" s="207" t="s">
        <v>12545</v>
      </c>
      <c r="J703" s="245" t="s">
        <v>12546</v>
      </c>
      <c r="K703" s="26">
        <v>42829</v>
      </c>
      <c r="L703" s="66" t="s">
        <v>18345</v>
      </c>
      <c r="M703" s="201" t="s">
        <v>12550</v>
      </c>
      <c r="N703" s="207"/>
      <c r="O703" s="38"/>
    </row>
    <row r="704" spans="1:15" ht="84" customHeight="1" x14ac:dyDescent="0.3">
      <c r="A704" s="242">
        <v>684</v>
      </c>
      <c r="B704" s="34" t="s">
        <v>12468</v>
      </c>
      <c r="C704" s="34" t="s">
        <v>13132</v>
      </c>
      <c r="D704" s="88" t="s">
        <v>19297</v>
      </c>
      <c r="E704" s="245">
        <v>47.3</v>
      </c>
      <c r="F704" s="35">
        <f t="shared" si="35"/>
        <v>98953.066269891788</v>
      </c>
      <c r="G704" s="35">
        <f t="shared" si="36"/>
        <v>17992.854765542113</v>
      </c>
      <c r="H704" s="25"/>
      <c r="I704" s="207" t="s">
        <v>12545</v>
      </c>
      <c r="J704" s="245" t="s">
        <v>19298</v>
      </c>
      <c r="K704" s="207"/>
      <c r="L704" s="66"/>
      <c r="M704" s="201" t="s">
        <v>12550</v>
      </c>
      <c r="N704" s="207"/>
      <c r="O704" s="38" t="s">
        <v>21549</v>
      </c>
    </row>
    <row r="705" spans="1:15" ht="84" customHeight="1" x14ac:dyDescent="0.3">
      <c r="A705" s="2">
        <v>685</v>
      </c>
      <c r="B705" s="34" t="s">
        <v>12468</v>
      </c>
      <c r="C705" s="34" t="s">
        <v>13133</v>
      </c>
      <c r="D705" s="88"/>
      <c r="E705" s="245">
        <v>53.9</v>
      </c>
      <c r="F705" s="35">
        <f t="shared" si="35"/>
        <v>112760.47086569064</v>
      </c>
      <c r="G705" s="35">
        <f t="shared" si="36"/>
        <v>20503.485663059619</v>
      </c>
      <c r="H705" s="207"/>
      <c r="I705" s="207" t="s">
        <v>12545</v>
      </c>
      <c r="J705" s="245" t="s">
        <v>12546</v>
      </c>
      <c r="K705" s="207"/>
      <c r="L705" s="66"/>
      <c r="M705" s="201" t="s">
        <v>12550</v>
      </c>
      <c r="N705" s="207"/>
      <c r="O705" s="38" t="s">
        <v>21550</v>
      </c>
    </row>
    <row r="706" spans="1:15" ht="84" customHeight="1" x14ac:dyDescent="0.3">
      <c r="A706" s="242">
        <v>686</v>
      </c>
      <c r="B706" s="34" t="s">
        <v>12468</v>
      </c>
      <c r="C706" s="34" t="s">
        <v>13134</v>
      </c>
      <c r="D706" s="88"/>
      <c r="E706" s="245">
        <v>47.3</v>
      </c>
      <c r="F706" s="35">
        <f t="shared" si="35"/>
        <v>98953.066269891788</v>
      </c>
      <c r="G706" s="35">
        <f t="shared" si="36"/>
        <v>17992.854765542113</v>
      </c>
      <c r="H706" s="207"/>
      <c r="I706" s="207" t="s">
        <v>12545</v>
      </c>
      <c r="J706" s="245" t="s">
        <v>12546</v>
      </c>
      <c r="K706" s="207"/>
      <c r="L706" s="66"/>
      <c r="M706" s="201" t="s">
        <v>12550</v>
      </c>
      <c r="N706" s="207"/>
      <c r="O706" s="38" t="s">
        <v>21551</v>
      </c>
    </row>
    <row r="707" spans="1:15" ht="118.95" customHeight="1" x14ac:dyDescent="0.3">
      <c r="A707" s="242">
        <v>687</v>
      </c>
      <c r="B707" s="34" t="s">
        <v>12471</v>
      </c>
      <c r="C707" s="34" t="s">
        <v>13135</v>
      </c>
      <c r="D707" s="88" t="s">
        <v>23668</v>
      </c>
      <c r="E707" s="245">
        <v>33.700000000000003</v>
      </c>
      <c r="F707" s="35">
        <f t="shared" si="35"/>
        <v>70501.444678548709</v>
      </c>
      <c r="G707" s="35">
        <f t="shared" si="36"/>
        <v>12819.433522172712</v>
      </c>
      <c r="H707" s="207"/>
      <c r="I707" s="207" t="s">
        <v>12545</v>
      </c>
      <c r="J707" s="245" t="s">
        <v>12546</v>
      </c>
      <c r="K707" s="207" t="s">
        <v>23669</v>
      </c>
      <c r="L707" s="66" t="s">
        <v>23673</v>
      </c>
      <c r="M707" s="201" t="s">
        <v>12550</v>
      </c>
      <c r="N707" s="207"/>
      <c r="O707" s="38"/>
    </row>
    <row r="708" spans="1:15" ht="84" customHeight="1" x14ac:dyDescent="0.3">
      <c r="A708" s="242">
        <v>688</v>
      </c>
      <c r="B708" s="34" t="s">
        <v>12468</v>
      </c>
      <c r="C708" s="34" t="s">
        <v>13136</v>
      </c>
      <c r="D708" s="88"/>
      <c r="E708" s="245">
        <v>53</v>
      </c>
      <c r="F708" s="35">
        <f t="shared" ref="F708:F717" si="37">1140715.95/527.7*E708</f>
        <v>114568.78027288232</v>
      </c>
      <c r="G708" s="35">
        <f t="shared" ref="G708:G717" si="38">177306.07/527.7*E708</f>
        <v>17807.886507485313</v>
      </c>
      <c r="H708" s="207"/>
      <c r="I708" s="207" t="s">
        <v>12545</v>
      </c>
      <c r="J708" s="245" t="s">
        <v>12546</v>
      </c>
      <c r="K708" s="207"/>
      <c r="L708" s="66"/>
      <c r="M708" s="201" t="s">
        <v>12550</v>
      </c>
      <c r="N708" s="207"/>
      <c r="O708" s="38"/>
    </row>
    <row r="709" spans="1:15" ht="84" customHeight="1" x14ac:dyDescent="0.3">
      <c r="A709" s="242">
        <v>689</v>
      </c>
      <c r="B709" s="34" t="s">
        <v>12467</v>
      </c>
      <c r="C709" s="34" t="s">
        <v>13137</v>
      </c>
      <c r="D709" s="88"/>
      <c r="E709" s="245">
        <v>66.5</v>
      </c>
      <c r="F709" s="35">
        <f t="shared" si="37"/>
        <v>143751.39411597498</v>
      </c>
      <c r="G709" s="35">
        <f t="shared" si="38"/>
        <v>22343.857599014591</v>
      </c>
      <c r="H709" s="207"/>
      <c r="I709" s="207" t="s">
        <v>12545</v>
      </c>
      <c r="J709" s="245" t="s">
        <v>12546</v>
      </c>
      <c r="K709" s="207"/>
      <c r="L709" s="66"/>
      <c r="M709" s="201" t="s">
        <v>12550</v>
      </c>
      <c r="N709" s="207"/>
      <c r="O709" s="38"/>
    </row>
    <row r="710" spans="1:15" ht="84" customHeight="1" x14ac:dyDescent="0.3">
      <c r="A710" s="2">
        <v>690</v>
      </c>
      <c r="B710" s="34" t="s">
        <v>12468</v>
      </c>
      <c r="C710" s="34" t="s">
        <v>13138</v>
      </c>
      <c r="D710" s="88"/>
      <c r="E710" s="245">
        <v>53.1</v>
      </c>
      <c r="F710" s="35">
        <f t="shared" si="37"/>
        <v>114784.94778283115</v>
      </c>
      <c r="G710" s="35">
        <f t="shared" si="38"/>
        <v>17841.486293348495</v>
      </c>
      <c r="H710" s="207"/>
      <c r="I710" s="207" t="s">
        <v>12545</v>
      </c>
      <c r="J710" s="245" t="s">
        <v>12546</v>
      </c>
      <c r="K710" s="207"/>
      <c r="L710" s="66"/>
      <c r="M710" s="201" t="s">
        <v>12550</v>
      </c>
      <c r="N710" s="207"/>
      <c r="O710" s="38"/>
    </row>
    <row r="711" spans="1:15" ht="84" customHeight="1" x14ac:dyDescent="0.3">
      <c r="A711" s="242">
        <v>691</v>
      </c>
      <c r="B711" s="34" t="s">
        <v>12468</v>
      </c>
      <c r="C711" s="34" t="s">
        <v>13139</v>
      </c>
      <c r="D711" s="88"/>
      <c r="E711" s="245">
        <v>53.1</v>
      </c>
      <c r="F711" s="35">
        <f t="shared" si="37"/>
        <v>114784.94778283115</v>
      </c>
      <c r="G711" s="35">
        <f t="shared" si="38"/>
        <v>17841.486293348495</v>
      </c>
      <c r="H711" s="207"/>
      <c r="I711" s="207" t="s">
        <v>12545</v>
      </c>
      <c r="J711" s="245" t="s">
        <v>12546</v>
      </c>
      <c r="K711" s="207"/>
      <c r="L711" s="66"/>
      <c r="M711" s="201" t="s">
        <v>12550</v>
      </c>
      <c r="N711" s="207"/>
      <c r="O711" s="38"/>
    </row>
    <row r="712" spans="1:15" ht="84" customHeight="1" x14ac:dyDescent="0.3">
      <c r="A712" s="2">
        <v>692</v>
      </c>
      <c r="B712" s="34" t="s">
        <v>12468</v>
      </c>
      <c r="C712" s="34" t="s">
        <v>13140</v>
      </c>
      <c r="D712" s="88"/>
      <c r="E712" s="245">
        <v>47.7</v>
      </c>
      <c r="F712" s="35">
        <f t="shared" si="37"/>
        <v>103111.90224559409</v>
      </c>
      <c r="G712" s="35">
        <f t="shared" si="38"/>
        <v>16027.097856736782</v>
      </c>
      <c r="H712" s="207"/>
      <c r="I712" s="207" t="s">
        <v>12545</v>
      </c>
      <c r="J712" s="245" t="s">
        <v>12546</v>
      </c>
      <c r="K712" s="207"/>
      <c r="L712" s="66"/>
      <c r="M712" s="201" t="s">
        <v>12550</v>
      </c>
      <c r="N712" s="207"/>
      <c r="O712" s="38"/>
    </row>
    <row r="713" spans="1:15" ht="84" customHeight="1" x14ac:dyDescent="0.3">
      <c r="A713" s="242">
        <v>693</v>
      </c>
      <c r="B713" s="34" t="s">
        <v>12468</v>
      </c>
      <c r="C713" s="34" t="s">
        <v>13141</v>
      </c>
      <c r="D713" s="88"/>
      <c r="E713" s="245">
        <v>47.7</v>
      </c>
      <c r="F713" s="35">
        <f t="shared" si="37"/>
        <v>103111.90224559409</v>
      </c>
      <c r="G713" s="35">
        <f t="shared" si="38"/>
        <v>16027.097856736782</v>
      </c>
      <c r="H713" s="207"/>
      <c r="I713" s="207" t="s">
        <v>12545</v>
      </c>
      <c r="J713" s="245" t="s">
        <v>12546</v>
      </c>
      <c r="K713" s="207"/>
      <c r="L713" s="66"/>
      <c r="M713" s="201" t="s">
        <v>12550</v>
      </c>
      <c r="N713" s="207"/>
      <c r="O713" s="38"/>
    </row>
    <row r="714" spans="1:15" ht="84" customHeight="1" x14ac:dyDescent="0.3">
      <c r="A714" s="242">
        <v>694</v>
      </c>
      <c r="B714" s="34" t="s">
        <v>12468</v>
      </c>
      <c r="C714" s="34" t="s">
        <v>13142</v>
      </c>
      <c r="D714" s="88"/>
      <c r="E714" s="245">
        <v>53</v>
      </c>
      <c r="F714" s="35">
        <f t="shared" si="37"/>
        <v>114568.78027288232</v>
      </c>
      <c r="G714" s="35">
        <f t="shared" si="38"/>
        <v>17807.886507485313</v>
      </c>
      <c r="H714" s="207"/>
      <c r="I714" s="207" t="s">
        <v>12545</v>
      </c>
      <c r="J714" s="245" t="s">
        <v>12546</v>
      </c>
      <c r="K714" s="207" t="s">
        <v>15061</v>
      </c>
      <c r="L714" s="66" t="s">
        <v>15062</v>
      </c>
      <c r="M714" s="201" t="s">
        <v>12550</v>
      </c>
      <c r="N714" s="207"/>
      <c r="O714" s="38"/>
    </row>
    <row r="715" spans="1:15" ht="84" customHeight="1" x14ac:dyDescent="0.3">
      <c r="A715" s="2">
        <v>695</v>
      </c>
      <c r="B715" s="34" t="s">
        <v>12468</v>
      </c>
      <c r="C715" s="34" t="s">
        <v>13143</v>
      </c>
      <c r="D715" s="88"/>
      <c r="E715" s="245">
        <v>47.7</v>
      </c>
      <c r="F715" s="35">
        <f t="shared" si="37"/>
        <v>103111.90224559409</v>
      </c>
      <c r="G715" s="35">
        <f t="shared" si="38"/>
        <v>16027.097856736782</v>
      </c>
      <c r="H715" s="207"/>
      <c r="I715" s="207" t="s">
        <v>12545</v>
      </c>
      <c r="J715" s="245" t="s">
        <v>12546</v>
      </c>
      <c r="K715" s="207"/>
      <c r="L715" s="66"/>
      <c r="M715" s="201" t="s">
        <v>12550</v>
      </c>
      <c r="N715" s="207"/>
      <c r="O715" s="38"/>
    </row>
    <row r="716" spans="1:15" ht="84" customHeight="1" x14ac:dyDescent="0.3">
      <c r="A716" s="242">
        <v>696</v>
      </c>
      <c r="B716" s="34" t="s">
        <v>12468</v>
      </c>
      <c r="C716" s="34" t="s">
        <v>13144</v>
      </c>
      <c r="D716" s="88"/>
      <c r="E716" s="245">
        <v>53</v>
      </c>
      <c r="F716" s="35">
        <f t="shared" si="37"/>
        <v>114568.78027288232</v>
      </c>
      <c r="G716" s="35">
        <f t="shared" si="38"/>
        <v>17807.886507485313</v>
      </c>
      <c r="H716" s="207"/>
      <c r="I716" s="207" t="s">
        <v>12545</v>
      </c>
      <c r="J716" s="245" t="s">
        <v>12546</v>
      </c>
      <c r="K716" s="207"/>
      <c r="L716" s="66"/>
      <c r="M716" s="201" t="s">
        <v>12550</v>
      </c>
      <c r="N716" s="207"/>
      <c r="O716" s="38"/>
    </row>
    <row r="717" spans="1:15" ht="84" customHeight="1" x14ac:dyDescent="0.3">
      <c r="A717" s="242">
        <v>697</v>
      </c>
      <c r="B717" s="34" t="s">
        <v>12468</v>
      </c>
      <c r="C717" s="34" t="s">
        <v>13145</v>
      </c>
      <c r="D717" s="88"/>
      <c r="E717" s="245">
        <v>52.9</v>
      </c>
      <c r="F717" s="35">
        <f t="shared" si="37"/>
        <v>114352.61276293348</v>
      </c>
      <c r="G717" s="35">
        <f t="shared" si="38"/>
        <v>17774.286721622131</v>
      </c>
      <c r="H717" s="207"/>
      <c r="I717" s="207" t="s">
        <v>12545</v>
      </c>
      <c r="J717" s="245" t="s">
        <v>12546</v>
      </c>
      <c r="K717" s="207"/>
      <c r="L717" s="66"/>
      <c r="M717" s="201" t="s">
        <v>12550</v>
      </c>
      <c r="N717" s="207"/>
      <c r="O717" s="38"/>
    </row>
    <row r="718" spans="1:15" ht="96" customHeight="1" x14ac:dyDescent="0.3">
      <c r="A718" s="2">
        <v>698</v>
      </c>
      <c r="B718" s="34" t="s">
        <v>12478</v>
      </c>
      <c r="C718" s="34" t="s">
        <v>20014</v>
      </c>
      <c r="D718" s="88"/>
      <c r="E718" s="245">
        <v>16.399999999999999</v>
      </c>
      <c r="F718" s="35">
        <f t="shared" ref="F718:F730" si="39">2252001.18/779.7*E718</f>
        <v>47367.986856483265</v>
      </c>
      <c r="G718" s="35">
        <f t="shared" ref="G718:G730" si="40">299248.43/779.7*E718</f>
        <v>6294.3109554957018</v>
      </c>
      <c r="H718" s="207"/>
      <c r="I718" s="207" t="s">
        <v>12545</v>
      </c>
      <c r="J718" s="245" t="s">
        <v>12546</v>
      </c>
      <c r="K718" s="207"/>
      <c r="L718" s="66"/>
      <c r="M718" s="201" t="s">
        <v>12550</v>
      </c>
      <c r="N718" s="245" t="s">
        <v>20015</v>
      </c>
      <c r="O718" s="38"/>
    </row>
    <row r="719" spans="1:15" ht="72" customHeight="1" x14ac:dyDescent="0.3">
      <c r="A719" s="242">
        <v>699</v>
      </c>
      <c r="B719" s="34" t="s">
        <v>12468</v>
      </c>
      <c r="C719" s="34" t="s">
        <v>13146</v>
      </c>
      <c r="D719" s="88"/>
      <c r="E719" s="245">
        <v>51.4</v>
      </c>
      <c r="F719" s="35">
        <f t="shared" si="39"/>
        <v>148458.20270873414</v>
      </c>
      <c r="G719" s="35">
        <f t="shared" si="40"/>
        <v>19727.291653199947</v>
      </c>
      <c r="H719" s="207"/>
      <c r="I719" s="207" t="s">
        <v>12545</v>
      </c>
      <c r="J719" s="245" t="s">
        <v>12546</v>
      </c>
      <c r="K719" s="207"/>
      <c r="L719" s="66"/>
      <c r="M719" s="201" t="s">
        <v>12550</v>
      </c>
      <c r="N719" s="207"/>
      <c r="O719" s="38"/>
    </row>
    <row r="720" spans="1:15" ht="84" customHeight="1" x14ac:dyDescent="0.3">
      <c r="A720" s="2">
        <v>700</v>
      </c>
      <c r="B720" s="34" t="s">
        <v>12467</v>
      </c>
      <c r="C720" s="34" t="s">
        <v>13147</v>
      </c>
      <c r="D720" s="88"/>
      <c r="E720" s="245">
        <v>69.099999999999994</v>
      </c>
      <c r="F720" s="35">
        <f t="shared" si="39"/>
        <v>199580.96901115813</v>
      </c>
      <c r="G720" s="35">
        <f t="shared" si="40"/>
        <v>26520.541891753233</v>
      </c>
      <c r="H720" s="207"/>
      <c r="I720" s="207" t="s">
        <v>12545</v>
      </c>
      <c r="J720" s="245" t="s">
        <v>12546</v>
      </c>
      <c r="K720" s="207" t="s">
        <v>16283</v>
      </c>
      <c r="L720" s="66" t="s">
        <v>16284</v>
      </c>
      <c r="M720" s="201" t="s">
        <v>12550</v>
      </c>
      <c r="N720" s="207"/>
      <c r="O720" s="38"/>
    </row>
    <row r="721" spans="1:15" ht="72" customHeight="1" x14ac:dyDescent="0.3">
      <c r="A721" s="242">
        <v>701</v>
      </c>
      <c r="B721" s="34" t="s">
        <v>12468</v>
      </c>
      <c r="C721" s="34" t="s">
        <v>13148</v>
      </c>
      <c r="D721" s="88"/>
      <c r="E721" s="245">
        <v>55.8</v>
      </c>
      <c r="F721" s="35">
        <f t="shared" si="39"/>
        <v>161166.68698730282</v>
      </c>
      <c r="G721" s="35">
        <f t="shared" si="40"/>
        <v>21416.009226625622</v>
      </c>
      <c r="H721" s="207"/>
      <c r="I721" s="207" t="s">
        <v>12545</v>
      </c>
      <c r="J721" s="245" t="s">
        <v>12546</v>
      </c>
      <c r="K721" s="207"/>
      <c r="L721" s="66"/>
      <c r="M721" s="201" t="s">
        <v>12550</v>
      </c>
      <c r="N721" s="207"/>
      <c r="O721" s="38" t="s">
        <v>21552</v>
      </c>
    </row>
    <row r="722" spans="1:15" ht="72" customHeight="1" x14ac:dyDescent="0.3">
      <c r="A722" s="2">
        <v>702</v>
      </c>
      <c r="B722" s="34" t="s">
        <v>12467</v>
      </c>
      <c r="C722" s="34" t="s">
        <v>13149</v>
      </c>
      <c r="D722" s="88"/>
      <c r="E722" s="245">
        <v>68.3</v>
      </c>
      <c r="F722" s="35">
        <f t="shared" si="39"/>
        <v>197270.33550596383</v>
      </c>
      <c r="G722" s="35">
        <f t="shared" si="40"/>
        <v>26213.502332948567</v>
      </c>
      <c r="H722" s="207"/>
      <c r="I722" s="207" t="s">
        <v>12545</v>
      </c>
      <c r="J722" s="245" t="s">
        <v>12546</v>
      </c>
      <c r="K722" s="207"/>
      <c r="L722" s="66"/>
      <c r="M722" s="201" t="s">
        <v>12550</v>
      </c>
      <c r="N722" s="207"/>
      <c r="O722" s="38"/>
    </row>
    <row r="723" spans="1:15" ht="72" customHeight="1" x14ac:dyDescent="0.3">
      <c r="A723" s="242">
        <v>703</v>
      </c>
      <c r="B723" s="34" t="s">
        <v>12467</v>
      </c>
      <c r="C723" s="34" t="s">
        <v>13150</v>
      </c>
      <c r="D723" s="88"/>
      <c r="E723" s="245">
        <v>71.7</v>
      </c>
      <c r="F723" s="35">
        <f t="shared" si="39"/>
        <v>207090.52790303965</v>
      </c>
      <c r="G723" s="35">
        <f t="shared" si="40"/>
        <v>27518.420457868408</v>
      </c>
      <c r="H723" s="207"/>
      <c r="I723" s="207" t="s">
        <v>12545</v>
      </c>
      <c r="J723" s="245" t="s">
        <v>12546</v>
      </c>
      <c r="K723" s="207"/>
      <c r="L723" s="66"/>
      <c r="M723" s="201" t="s">
        <v>12550</v>
      </c>
      <c r="N723" s="207"/>
      <c r="O723" s="38"/>
    </row>
    <row r="724" spans="1:15" ht="72" customHeight="1" x14ac:dyDescent="0.3">
      <c r="A724" s="2">
        <v>704</v>
      </c>
      <c r="B724" s="34" t="s">
        <v>12467</v>
      </c>
      <c r="C724" s="34" t="s">
        <v>13151</v>
      </c>
      <c r="D724" s="88"/>
      <c r="E724" s="245">
        <v>68.099999999999994</v>
      </c>
      <c r="F724" s="35">
        <f t="shared" si="39"/>
        <v>196692.67712966524</v>
      </c>
      <c r="G724" s="35">
        <f t="shared" si="40"/>
        <v>26136.742443247396</v>
      </c>
      <c r="H724" s="207"/>
      <c r="I724" s="207" t="s">
        <v>12545</v>
      </c>
      <c r="J724" s="245" t="s">
        <v>12546</v>
      </c>
      <c r="K724" s="207"/>
      <c r="L724" s="66"/>
      <c r="M724" s="201" t="s">
        <v>12550</v>
      </c>
      <c r="N724" s="207"/>
      <c r="O724" s="38"/>
    </row>
    <row r="725" spans="1:15" ht="84" customHeight="1" x14ac:dyDescent="0.3">
      <c r="A725" s="2">
        <v>705</v>
      </c>
      <c r="B725" s="34" t="s">
        <v>12467</v>
      </c>
      <c r="C725" s="34" t="s">
        <v>13152</v>
      </c>
      <c r="D725" s="88"/>
      <c r="E725" s="245">
        <v>69.2</v>
      </c>
      <c r="F725" s="35">
        <f t="shared" si="39"/>
        <v>199869.79819930746</v>
      </c>
      <c r="G725" s="35">
        <f t="shared" si="40"/>
        <v>26558.921836603819</v>
      </c>
      <c r="H725" s="207"/>
      <c r="I725" s="207" t="s">
        <v>12545</v>
      </c>
      <c r="J725" s="245" t="s">
        <v>12546</v>
      </c>
      <c r="K725" s="207"/>
      <c r="L725" s="66"/>
      <c r="M725" s="201" t="s">
        <v>12550</v>
      </c>
      <c r="N725" s="207"/>
      <c r="O725" s="38" t="s">
        <v>21553</v>
      </c>
    </row>
    <row r="726" spans="1:15" ht="72" customHeight="1" x14ac:dyDescent="0.3">
      <c r="A726" s="2">
        <v>706</v>
      </c>
      <c r="B726" s="34" t="s">
        <v>12468</v>
      </c>
      <c r="C726" s="34" t="s">
        <v>13153</v>
      </c>
      <c r="D726" s="88"/>
      <c r="E726" s="245">
        <v>50.3</v>
      </c>
      <c r="F726" s="35">
        <f t="shared" si="39"/>
        <v>145281.08163909195</v>
      </c>
      <c r="G726" s="35">
        <f t="shared" si="40"/>
        <v>19305.112259843525</v>
      </c>
      <c r="H726" s="207"/>
      <c r="I726" s="207" t="s">
        <v>12545</v>
      </c>
      <c r="J726" s="66" t="s">
        <v>12546</v>
      </c>
      <c r="K726" s="26">
        <v>42548</v>
      </c>
      <c r="L726" s="66" t="s">
        <v>15923</v>
      </c>
      <c r="M726" s="201" t="s">
        <v>12550</v>
      </c>
      <c r="N726" s="207"/>
      <c r="O726" s="38"/>
    </row>
    <row r="727" spans="1:15" ht="72" customHeight="1" x14ac:dyDescent="0.3">
      <c r="A727" s="2">
        <v>707</v>
      </c>
      <c r="B727" s="34" t="s">
        <v>12467</v>
      </c>
      <c r="C727" s="34" t="s">
        <v>13154</v>
      </c>
      <c r="D727" s="88"/>
      <c r="E727" s="245">
        <v>69.5</v>
      </c>
      <c r="F727" s="35">
        <f t="shared" si="39"/>
        <v>200736.2857637553</v>
      </c>
      <c r="G727" s="35">
        <f t="shared" si="40"/>
        <v>26674.06167115557</v>
      </c>
      <c r="H727" s="207"/>
      <c r="I727" s="207" t="s">
        <v>12545</v>
      </c>
      <c r="J727" s="245" t="s">
        <v>12546</v>
      </c>
      <c r="K727" s="207"/>
      <c r="L727" s="66"/>
      <c r="M727" s="201" t="s">
        <v>12550</v>
      </c>
      <c r="N727" s="207"/>
      <c r="O727" s="38" t="s">
        <v>21554</v>
      </c>
    </row>
    <row r="728" spans="1:15" ht="72" customHeight="1" x14ac:dyDescent="0.3">
      <c r="A728" s="2">
        <v>708</v>
      </c>
      <c r="B728" s="34" t="s">
        <v>12468</v>
      </c>
      <c r="C728" s="34" t="s">
        <v>13155</v>
      </c>
      <c r="D728" s="88"/>
      <c r="E728" s="245">
        <v>50.9</v>
      </c>
      <c r="F728" s="35">
        <f t="shared" si="39"/>
        <v>147014.0567679877</v>
      </c>
      <c r="G728" s="35">
        <f t="shared" si="40"/>
        <v>19535.391928947029</v>
      </c>
      <c r="H728" s="207"/>
      <c r="I728" s="207" t="s">
        <v>12545</v>
      </c>
      <c r="J728" s="66" t="s">
        <v>12546</v>
      </c>
      <c r="K728" s="207"/>
      <c r="L728" s="66"/>
      <c r="M728" s="201" t="s">
        <v>12550</v>
      </c>
      <c r="N728" s="207"/>
      <c r="O728" s="38"/>
    </row>
    <row r="729" spans="1:15" ht="72" customHeight="1" x14ac:dyDescent="0.3">
      <c r="A729" s="2">
        <v>709</v>
      </c>
      <c r="B729" s="34" t="s">
        <v>12467</v>
      </c>
      <c r="C729" s="34" t="s">
        <v>13156</v>
      </c>
      <c r="D729" s="88"/>
      <c r="E729" s="245">
        <v>69.5</v>
      </c>
      <c r="F729" s="35">
        <f t="shared" si="39"/>
        <v>200736.2857637553</v>
      </c>
      <c r="G729" s="35">
        <f t="shared" si="40"/>
        <v>26674.06167115557</v>
      </c>
      <c r="H729" s="207"/>
      <c r="I729" s="207" t="s">
        <v>12545</v>
      </c>
      <c r="J729" s="66" t="s">
        <v>12546</v>
      </c>
      <c r="K729" s="207"/>
      <c r="L729" s="66"/>
      <c r="M729" s="201" t="s">
        <v>12550</v>
      </c>
      <c r="N729" s="207"/>
      <c r="O729" s="38"/>
    </row>
    <row r="730" spans="1:15" ht="72" customHeight="1" x14ac:dyDescent="0.3">
      <c r="A730" s="2">
        <v>710</v>
      </c>
      <c r="B730" s="34" t="s">
        <v>12467</v>
      </c>
      <c r="C730" s="34" t="s">
        <v>13157</v>
      </c>
      <c r="D730" s="88"/>
      <c r="E730" s="245">
        <v>69.5</v>
      </c>
      <c r="F730" s="35">
        <f t="shared" si="39"/>
        <v>200736.2857637553</v>
      </c>
      <c r="G730" s="35">
        <f t="shared" si="40"/>
        <v>26674.06167115557</v>
      </c>
      <c r="H730" s="207"/>
      <c r="I730" s="207" t="s">
        <v>12545</v>
      </c>
      <c r="J730" s="245" t="s">
        <v>12546</v>
      </c>
      <c r="K730" s="207"/>
      <c r="L730" s="66"/>
      <c r="M730" s="201" t="s">
        <v>12550</v>
      </c>
      <c r="N730" s="207"/>
      <c r="O730" s="38"/>
    </row>
    <row r="731" spans="1:15" ht="108" customHeight="1" x14ac:dyDescent="0.3">
      <c r="A731" s="2">
        <v>711</v>
      </c>
      <c r="B731" s="34" t="s">
        <v>12535</v>
      </c>
      <c r="C731" s="34" t="s">
        <v>13158</v>
      </c>
      <c r="D731" s="88" t="s">
        <v>12536</v>
      </c>
      <c r="E731" s="155">
        <v>21.1</v>
      </c>
      <c r="F731" s="35">
        <v>20150.47</v>
      </c>
      <c r="G731" s="35">
        <v>10075.23</v>
      </c>
      <c r="H731" s="25"/>
      <c r="I731" s="207" t="s">
        <v>12545</v>
      </c>
      <c r="J731" s="245" t="s">
        <v>18581</v>
      </c>
      <c r="K731" s="207"/>
      <c r="L731" s="66"/>
      <c r="M731" s="201" t="s">
        <v>12550</v>
      </c>
      <c r="N731" s="79" t="s">
        <v>19528</v>
      </c>
      <c r="O731" s="212"/>
    </row>
    <row r="732" spans="1:15" ht="84" customHeight="1" x14ac:dyDescent="0.3">
      <c r="A732" s="2">
        <v>712</v>
      </c>
      <c r="B732" s="34" t="s">
        <v>12478</v>
      </c>
      <c r="C732" s="34" t="s">
        <v>13159</v>
      </c>
      <c r="D732" s="88"/>
      <c r="E732" s="245">
        <v>10.6</v>
      </c>
      <c r="F732" s="35">
        <v>20365.8</v>
      </c>
      <c r="G732" s="35">
        <v>6842.9</v>
      </c>
      <c r="H732" s="207"/>
      <c r="I732" s="207" t="s">
        <v>12545</v>
      </c>
      <c r="J732" s="245" t="s">
        <v>12546</v>
      </c>
      <c r="K732" s="207"/>
      <c r="L732" s="66"/>
      <c r="M732" s="201" t="s">
        <v>12550</v>
      </c>
      <c r="N732" s="207"/>
      <c r="O732" s="38"/>
    </row>
    <row r="733" spans="1:15" ht="72" customHeight="1" x14ac:dyDescent="0.3">
      <c r="A733" s="242">
        <v>713</v>
      </c>
      <c r="B733" s="34" t="s">
        <v>12475</v>
      </c>
      <c r="C733" s="34" t="s">
        <v>13160</v>
      </c>
      <c r="D733" s="88"/>
      <c r="E733" s="245">
        <v>24.5</v>
      </c>
      <c r="F733" s="35"/>
      <c r="G733" s="35"/>
      <c r="H733" s="207"/>
      <c r="I733" s="207" t="s">
        <v>12545</v>
      </c>
      <c r="J733" s="66" t="s">
        <v>12546</v>
      </c>
      <c r="K733" s="207"/>
      <c r="L733" s="66"/>
      <c r="M733" s="201" t="s">
        <v>12550</v>
      </c>
      <c r="N733" s="207"/>
      <c r="O733" s="38"/>
    </row>
    <row r="734" spans="1:15" ht="84" customHeight="1" x14ac:dyDescent="0.3">
      <c r="A734" s="242">
        <v>714</v>
      </c>
      <c r="B734" s="34" t="s">
        <v>12468</v>
      </c>
      <c r="C734" s="34" t="s">
        <v>13161</v>
      </c>
      <c r="D734" s="88"/>
      <c r="E734" s="245">
        <v>40.799999999999997</v>
      </c>
      <c r="F734" s="35">
        <f>555416.02/145.2*E734</f>
        <v>156067.31140495869</v>
      </c>
      <c r="G734" s="35">
        <f>149404.46/145.2*E734</f>
        <v>41981.418512396696</v>
      </c>
      <c r="H734" s="207"/>
      <c r="I734" s="207" t="s">
        <v>12545</v>
      </c>
      <c r="J734" s="245" t="s">
        <v>12546</v>
      </c>
      <c r="K734" s="207"/>
      <c r="L734" s="66"/>
      <c r="M734" s="201" t="s">
        <v>12550</v>
      </c>
      <c r="N734" s="207"/>
      <c r="O734" s="38" t="s">
        <v>21555</v>
      </c>
    </row>
    <row r="735" spans="1:15" ht="84" customHeight="1" x14ac:dyDescent="0.3">
      <c r="A735" s="2">
        <v>715</v>
      </c>
      <c r="B735" s="34" t="s">
        <v>12468</v>
      </c>
      <c r="C735" s="34" t="s">
        <v>13162</v>
      </c>
      <c r="D735" s="88"/>
      <c r="E735" s="245">
        <v>24</v>
      </c>
      <c r="F735" s="35">
        <f>555416.02/145.2*E735</f>
        <v>91804.300826446299</v>
      </c>
      <c r="G735" s="35">
        <f>149404.46/145.2*E735</f>
        <v>24694.952066115704</v>
      </c>
      <c r="H735" s="207"/>
      <c r="I735" s="207" t="s">
        <v>12545</v>
      </c>
      <c r="J735" s="245" t="s">
        <v>12546</v>
      </c>
      <c r="K735" s="207"/>
      <c r="L735" s="66"/>
      <c r="M735" s="201" t="s">
        <v>12550</v>
      </c>
      <c r="N735" s="207"/>
      <c r="O735" s="38"/>
    </row>
    <row r="736" spans="1:15" ht="84" customHeight="1" x14ac:dyDescent="0.3">
      <c r="A736" s="242">
        <v>716</v>
      </c>
      <c r="B736" s="34" t="s">
        <v>12468</v>
      </c>
      <c r="C736" s="34" t="s">
        <v>13163</v>
      </c>
      <c r="D736" s="88"/>
      <c r="E736" s="245">
        <v>41.2</v>
      </c>
      <c r="F736" s="35">
        <f>555416.02/145.2*E736</f>
        <v>157597.38308539949</v>
      </c>
      <c r="G736" s="35">
        <f>149404.46/145.2*E736</f>
        <v>42393.00104683196</v>
      </c>
      <c r="H736" s="207"/>
      <c r="I736" s="207" t="s">
        <v>12545</v>
      </c>
      <c r="J736" s="245" t="s">
        <v>12546</v>
      </c>
      <c r="K736" s="207"/>
      <c r="L736" s="66"/>
      <c r="M736" s="201" t="s">
        <v>12550</v>
      </c>
      <c r="N736" s="207"/>
      <c r="O736" s="38"/>
    </row>
    <row r="737" spans="1:15" ht="84" customHeight="1" x14ac:dyDescent="0.3">
      <c r="A737" s="2">
        <v>717</v>
      </c>
      <c r="B737" s="34" t="s">
        <v>12468</v>
      </c>
      <c r="C737" s="34" t="s">
        <v>16343</v>
      </c>
      <c r="D737" s="88"/>
      <c r="E737" s="245">
        <v>39.200000000000003</v>
      </c>
      <c r="F737" s="35">
        <f>555416.02/145.2*E737</f>
        <v>149947.02468319563</v>
      </c>
      <c r="G737" s="35">
        <f>149404.46/145.2*E737</f>
        <v>40335.08837465565</v>
      </c>
      <c r="H737" s="207"/>
      <c r="I737" s="207" t="s">
        <v>12545</v>
      </c>
      <c r="J737" s="245" t="s">
        <v>12546</v>
      </c>
      <c r="K737" s="26">
        <v>42697</v>
      </c>
      <c r="L737" s="66" t="s">
        <v>19568</v>
      </c>
      <c r="M737" s="201" t="s">
        <v>12550</v>
      </c>
      <c r="N737" s="207"/>
      <c r="O737" s="38"/>
    </row>
    <row r="738" spans="1:15" ht="84" customHeight="1" x14ac:dyDescent="0.3">
      <c r="A738" s="2">
        <v>718</v>
      </c>
      <c r="B738" s="36" t="s">
        <v>12479</v>
      </c>
      <c r="C738" s="36" t="s">
        <v>13164</v>
      </c>
      <c r="D738" s="88"/>
      <c r="E738" s="134">
        <v>85.6</v>
      </c>
      <c r="F738" s="37">
        <v>130953</v>
      </c>
      <c r="G738" s="37">
        <v>102143.3</v>
      </c>
      <c r="H738" s="207"/>
      <c r="I738" s="207" t="s">
        <v>12545</v>
      </c>
      <c r="J738" s="66" t="s">
        <v>12546</v>
      </c>
      <c r="K738" s="207"/>
      <c r="L738" s="66"/>
      <c r="M738" s="201" t="s">
        <v>12550</v>
      </c>
      <c r="N738" s="207"/>
      <c r="O738" s="38"/>
    </row>
    <row r="739" spans="1:15" ht="84" customHeight="1" x14ac:dyDescent="0.3">
      <c r="A739" s="2">
        <v>719</v>
      </c>
      <c r="B739" s="34" t="s">
        <v>12468</v>
      </c>
      <c r="C739" s="34" t="s">
        <v>13165</v>
      </c>
      <c r="D739" s="88"/>
      <c r="E739" s="66">
        <v>41.1</v>
      </c>
      <c r="F739" s="35">
        <f>268576.77/204*E739</f>
        <v>54110.3198382353</v>
      </c>
      <c r="G739" s="35">
        <f>77350.13/204*E739</f>
        <v>15583.776191176472</v>
      </c>
      <c r="H739" s="207"/>
      <c r="I739" s="207" t="s">
        <v>12545</v>
      </c>
      <c r="J739" s="66" t="s">
        <v>12546</v>
      </c>
      <c r="K739" s="207"/>
      <c r="L739" s="66"/>
      <c r="M739" s="201" t="s">
        <v>12550</v>
      </c>
      <c r="N739" s="207"/>
      <c r="O739" s="38" t="s">
        <v>21556</v>
      </c>
    </row>
    <row r="740" spans="1:15" ht="84" customHeight="1" x14ac:dyDescent="0.3">
      <c r="A740" s="2">
        <v>720</v>
      </c>
      <c r="B740" s="34" t="s">
        <v>12468</v>
      </c>
      <c r="C740" s="34" t="s">
        <v>13166</v>
      </c>
      <c r="D740" s="88"/>
      <c r="E740" s="66">
        <v>27.2</v>
      </c>
      <c r="F740" s="35">
        <f>268576.77/204*E740</f>
        <v>35810.236000000004</v>
      </c>
      <c r="G740" s="35">
        <f>77350.13/204*E740</f>
        <v>10313.350666666667</v>
      </c>
      <c r="H740" s="207"/>
      <c r="I740" s="207" t="s">
        <v>12545</v>
      </c>
      <c r="J740" s="66" t="s">
        <v>12546</v>
      </c>
      <c r="K740" s="207"/>
      <c r="L740" s="66"/>
      <c r="M740" s="201" t="s">
        <v>12550</v>
      </c>
      <c r="N740" s="207"/>
      <c r="O740" s="38" t="s">
        <v>21557</v>
      </c>
    </row>
    <row r="741" spans="1:15" ht="84" customHeight="1" x14ac:dyDescent="0.3">
      <c r="A741" s="2">
        <v>721</v>
      </c>
      <c r="B741" s="34" t="s">
        <v>12468</v>
      </c>
      <c r="C741" s="34" t="s">
        <v>13167</v>
      </c>
      <c r="D741" s="88"/>
      <c r="E741" s="66">
        <v>44.9</v>
      </c>
      <c r="F741" s="35">
        <f>268576.77/204*E741</f>
        <v>59113.220455882358</v>
      </c>
      <c r="G741" s="35">
        <f>77350.13/204*E741</f>
        <v>17024.611946078432</v>
      </c>
      <c r="H741" s="207"/>
      <c r="I741" s="207" t="s">
        <v>12545</v>
      </c>
      <c r="J741" s="66" t="s">
        <v>12546</v>
      </c>
      <c r="K741" s="207"/>
      <c r="L741" s="66"/>
      <c r="M741" s="201" t="s">
        <v>12550</v>
      </c>
      <c r="N741" s="207"/>
      <c r="O741" s="38"/>
    </row>
    <row r="742" spans="1:15" ht="84" customHeight="1" x14ac:dyDescent="0.3">
      <c r="A742" s="242">
        <v>722</v>
      </c>
      <c r="B742" s="34" t="s">
        <v>12468</v>
      </c>
      <c r="C742" s="34" t="s">
        <v>13168</v>
      </c>
      <c r="D742" s="88"/>
      <c r="E742" s="245">
        <v>44.3</v>
      </c>
      <c r="F742" s="35">
        <f>268576.77/204*E742</f>
        <v>58323.288779411763</v>
      </c>
      <c r="G742" s="35">
        <f>77350.13/204*E742</f>
        <v>16797.111563725492</v>
      </c>
      <c r="H742" s="207"/>
      <c r="I742" s="207" t="s">
        <v>12545</v>
      </c>
      <c r="J742" s="245" t="s">
        <v>12546</v>
      </c>
      <c r="K742" s="207"/>
      <c r="L742" s="66"/>
      <c r="M742" s="201" t="s">
        <v>12550</v>
      </c>
      <c r="N742" s="207"/>
      <c r="O742" s="38"/>
    </row>
    <row r="743" spans="1:15" ht="84" customHeight="1" x14ac:dyDescent="0.3">
      <c r="A743" s="242">
        <v>723</v>
      </c>
      <c r="B743" s="34" t="s">
        <v>12468</v>
      </c>
      <c r="C743" s="34" t="s">
        <v>13169</v>
      </c>
      <c r="D743" s="88"/>
      <c r="E743" s="245">
        <v>46.5</v>
      </c>
      <c r="F743" s="35">
        <f>268576.77/204*E743</f>
        <v>61219.704926470593</v>
      </c>
      <c r="G743" s="35">
        <f>77350.13/204*E743</f>
        <v>17631.279632352944</v>
      </c>
      <c r="H743" s="207"/>
      <c r="I743" s="207" t="s">
        <v>12545</v>
      </c>
      <c r="J743" s="245" t="s">
        <v>12546</v>
      </c>
      <c r="K743" s="207"/>
      <c r="L743" s="66"/>
      <c r="M743" s="201" t="s">
        <v>12550</v>
      </c>
      <c r="N743" s="207"/>
      <c r="O743" s="38" t="s">
        <v>21558</v>
      </c>
    </row>
    <row r="744" spans="1:15" ht="84" customHeight="1" x14ac:dyDescent="0.3">
      <c r="A744" s="242">
        <v>724</v>
      </c>
      <c r="B744" s="34" t="s">
        <v>12468</v>
      </c>
      <c r="C744" s="34" t="s">
        <v>13170</v>
      </c>
      <c r="D744" s="88"/>
      <c r="E744" s="245">
        <v>48.3</v>
      </c>
      <c r="F744" s="35">
        <f>338238.57/150.3*E744</f>
        <v>108695.42868263472</v>
      </c>
      <c r="G744" s="35">
        <f>86589.05/150.3*E744</f>
        <v>27826.022055888221</v>
      </c>
      <c r="H744" s="207"/>
      <c r="I744" s="207" t="s">
        <v>12545</v>
      </c>
      <c r="J744" s="245" t="s">
        <v>12546</v>
      </c>
      <c r="K744" s="207"/>
      <c r="L744" s="66"/>
      <c r="M744" s="201" t="s">
        <v>12550</v>
      </c>
      <c r="N744" s="207"/>
      <c r="O744" s="38"/>
    </row>
    <row r="745" spans="1:15" ht="108" x14ac:dyDescent="0.3">
      <c r="A745" s="2">
        <v>725</v>
      </c>
      <c r="B745" s="34" t="s">
        <v>12471</v>
      </c>
      <c r="C745" s="34" t="s">
        <v>13171</v>
      </c>
      <c r="D745" s="88" t="s">
        <v>23401</v>
      </c>
      <c r="E745" s="66">
        <v>39.200000000000003</v>
      </c>
      <c r="F745" s="35">
        <f>338238.57/150.3*E745</f>
        <v>88216.579800399209</v>
      </c>
      <c r="G745" s="35">
        <f>86589.05/150.3*E745</f>
        <v>22583.438190286095</v>
      </c>
      <c r="H745" s="207"/>
      <c r="I745" s="207" t="s">
        <v>12545</v>
      </c>
      <c r="J745" s="66" t="s">
        <v>12546</v>
      </c>
      <c r="K745" s="207" t="s">
        <v>23399</v>
      </c>
      <c r="L745" s="66" t="s">
        <v>23400</v>
      </c>
      <c r="M745" s="201" t="s">
        <v>12550</v>
      </c>
      <c r="N745" s="207"/>
      <c r="O745" s="38" t="s">
        <v>21559</v>
      </c>
    </row>
    <row r="746" spans="1:15" ht="84" customHeight="1" x14ac:dyDescent="0.3">
      <c r="A746" s="2">
        <v>726</v>
      </c>
      <c r="B746" s="34" t="s">
        <v>12467</v>
      </c>
      <c r="C746" s="34" t="s">
        <v>13172</v>
      </c>
      <c r="D746" s="88"/>
      <c r="E746" s="245">
        <v>62.8</v>
      </c>
      <c r="F746" s="35">
        <f>338238.57/150.3*E746</f>
        <v>141326.56151696606</v>
      </c>
      <c r="G746" s="35">
        <f>86589.05/150.3*E746</f>
        <v>36179.589753825676</v>
      </c>
      <c r="H746" s="207"/>
      <c r="I746" s="207" t="s">
        <v>12545</v>
      </c>
      <c r="J746" s="66" t="s">
        <v>12546</v>
      </c>
      <c r="K746" s="207" t="s">
        <v>16260</v>
      </c>
      <c r="L746" s="66" t="s">
        <v>16261</v>
      </c>
      <c r="M746" s="201" t="s">
        <v>12550</v>
      </c>
      <c r="N746" s="207"/>
      <c r="O746" s="38"/>
    </row>
    <row r="747" spans="1:15" ht="84" customHeight="1" x14ac:dyDescent="0.3">
      <c r="A747" s="2">
        <v>727</v>
      </c>
      <c r="B747" s="34" t="s">
        <v>12468</v>
      </c>
      <c r="C747" s="34" t="s">
        <v>13173</v>
      </c>
      <c r="D747" s="88"/>
      <c r="E747" s="245">
        <v>54.4</v>
      </c>
      <c r="F747" s="35">
        <f>63776.38/148.4*E747</f>
        <v>23378.94253369272</v>
      </c>
      <c r="G747" s="35">
        <f>20918.68/148.4*E747</f>
        <v>7668.3031805929904</v>
      </c>
      <c r="H747" s="207"/>
      <c r="I747" s="207" t="s">
        <v>12545</v>
      </c>
      <c r="J747" s="66" t="s">
        <v>12546</v>
      </c>
      <c r="K747" s="207"/>
      <c r="L747" s="66"/>
      <c r="M747" s="201" t="s">
        <v>12550</v>
      </c>
      <c r="N747" s="207"/>
      <c r="O747" s="38"/>
    </row>
    <row r="748" spans="1:15" ht="84" customHeight="1" x14ac:dyDescent="0.3">
      <c r="A748" s="2">
        <v>728</v>
      </c>
      <c r="B748" s="34" t="s">
        <v>12471</v>
      </c>
      <c r="C748" s="34" t="s">
        <v>13174</v>
      </c>
      <c r="D748" s="88"/>
      <c r="E748" s="66">
        <v>39.4</v>
      </c>
      <c r="F748" s="35">
        <f>63776.38/148.4*E748</f>
        <v>16932.542938005387</v>
      </c>
      <c r="G748" s="35">
        <f>20918.68/148.4*E748</f>
        <v>5553.8813477088943</v>
      </c>
      <c r="H748" s="207"/>
      <c r="I748" s="207" t="s">
        <v>12545</v>
      </c>
      <c r="J748" s="66" t="s">
        <v>12546</v>
      </c>
      <c r="K748" s="207"/>
      <c r="L748" s="66"/>
      <c r="M748" s="201" t="s">
        <v>12550</v>
      </c>
      <c r="N748" s="207"/>
      <c r="O748" s="38"/>
    </row>
    <row r="749" spans="1:15" ht="84" customHeight="1" x14ac:dyDescent="0.3">
      <c r="A749" s="2">
        <v>729</v>
      </c>
      <c r="B749" s="34" t="s">
        <v>12468</v>
      </c>
      <c r="C749" s="34" t="s">
        <v>13175</v>
      </c>
      <c r="D749" s="88"/>
      <c r="E749" s="66">
        <v>54.6</v>
      </c>
      <c r="F749" s="35">
        <f>63776.38/148.4*E749</f>
        <v>23464.894528301884</v>
      </c>
      <c r="G749" s="35">
        <f>20918.68/148.4*E749</f>
        <v>7696.4954716981129</v>
      </c>
      <c r="H749" s="207"/>
      <c r="I749" s="207" t="s">
        <v>12545</v>
      </c>
      <c r="J749" s="66" t="s">
        <v>12546</v>
      </c>
      <c r="K749" s="207"/>
      <c r="L749" s="66"/>
      <c r="M749" s="201" t="s">
        <v>12550</v>
      </c>
      <c r="N749" s="207"/>
      <c r="O749" s="38"/>
    </row>
    <row r="750" spans="1:15" ht="84" customHeight="1" x14ac:dyDescent="0.3">
      <c r="A750" s="242">
        <v>730</v>
      </c>
      <c r="B750" s="34" t="s">
        <v>12468</v>
      </c>
      <c r="C750" s="34" t="s">
        <v>13176</v>
      </c>
      <c r="D750" s="88"/>
      <c r="E750" s="66">
        <v>54.6</v>
      </c>
      <c r="F750" s="35">
        <f>199273.85/203.5*E750</f>
        <v>53466.104226044234</v>
      </c>
      <c r="G750" s="35">
        <f>66956.06/203.5*E750</f>
        <v>17964.623469287471</v>
      </c>
      <c r="H750" s="207"/>
      <c r="I750" s="207" t="s">
        <v>12545</v>
      </c>
      <c r="J750" s="66" t="s">
        <v>12546</v>
      </c>
      <c r="K750" s="207"/>
      <c r="L750" s="66"/>
      <c r="M750" s="201" t="s">
        <v>12550</v>
      </c>
      <c r="N750" s="207"/>
      <c r="O750" s="38"/>
    </row>
    <row r="751" spans="1:15" ht="84" customHeight="1" x14ac:dyDescent="0.3">
      <c r="A751" s="242">
        <v>731</v>
      </c>
      <c r="B751" s="34" t="s">
        <v>12468</v>
      </c>
      <c r="C751" s="34" t="s">
        <v>13177</v>
      </c>
      <c r="D751" s="88"/>
      <c r="E751" s="245">
        <v>54.4</v>
      </c>
      <c r="F751" s="35">
        <f>199273.85/203.5*E751</f>
        <v>53270.257690417689</v>
      </c>
      <c r="G751" s="35">
        <f>66956.06/203.5*E751</f>
        <v>17898.818987714989</v>
      </c>
      <c r="H751" s="207"/>
      <c r="I751" s="207" t="s">
        <v>12545</v>
      </c>
      <c r="J751" s="245" t="s">
        <v>12546</v>
      </c>
      <c r="K751" s="207"/>
      <c r="L751" s="66"/>
      <c r="M751" s="201" t="s">
        <v>12550</v>
      </c>
      <c r="N751" s="207"/>
      <c r="O751" s="38" t="s">
        <v>19966</v>
      </c>
    </row>
    <row r="752" spans="1:15" ht="84" customHeight="1" x14ac:dyDescent="0.3">
      <c r="A752" s="242">
        <v>732</v>
      </c>
      <c r="B752" s="34" t="s">
        <v>12471</v>
      </c>
      <c r="C752" s="34" t="s">
        <v>13178</v>
      </c>
      <c r="D752" s="88"/>
      <c r="E752" s="245">
        <v>39.4</v>
      </c>
      <c r="F752" s="35">
        <f>199273.85/203.5*E752</f>
        <v>38581.767518427521</v>
      </c>
      <c r="G752" s="35">
        <f>66956.06/203.5*E752</f>
        <v>12963.482869778869</v>
      </c>
      <c r="H752" s="207"/>
      <c r="I752" s="207" t="s">
        <v>12545</v>
      </c>
      <c r="J752" s="245" t="s">
        <v>12546</v>
      </c>
      <c r="K752" s="207"/>
      <c r="L752" s="66"/>
      <c r="M752" s="201" t="s">
        <v>12550</v>
      </c>
      <c r="N752" s="207"/>
      <c r="O752" s="38" t="s">
        <v>21560</v>
      </c>
    </row>
    <row r="753" spans="1:15" ht="84" customHeight="1" x14ac:dyDescent="0.3">
      <c r="A753" s="2">
        <v>733</v>
      </c>
      <c r="B753" s="34" t="s">
        <v>12468</v>
      </c>
      <c r="C753" s="34" t="s">
        <v>13179</v>
      </c>
      <c r="D753" s="88"/>
      <c r="E753" s="66">
        <v>55.1</v>
      </c>
      <c r="F753" s="35">
        <f>199273.85/203.5*E753</f>
        <v>53955.720565110569</v>
      </c>
      <c r="G753" s="35">
        <f>66956.06/203.5*E753</f>
        <v>18129.134673218676</v>
      </c>
      <c r="H753" s="207"/>
      <c r="I753" s="207" t="s">
        <v>12545</v>
      </c>
      <c r="J753" s="66" t="s">
        <v>12546</v>
      </c>
      <c r="K753" s="207"/>
      <c r="L753" s="66"/>
      <c r="M753" s="201" t="s">
        <v>12550</v>
      </c>
      <c r="N753" s="207"/>
      <c r="O753" s="38" t="s">
        <v>21561</v>
      </c>
    </row>
    <row r="754" spans="1:15" ht="84" customHeight="1" x14ac:dyDescent="0.3">
      <c r="A754" s="2">
        <v>734</v>
      </c>
      <c r="B754" s="34" t="s">
        <v>12468</v>
      </c>
      <c r="C754" s="34" t="s">
        <v>13180</v>
      </c>
      <c r="D754" s="88"/>
      <c r="E754" s="66">
        <v>40.4</v>
      </c>
      <c r="F754" s="35">
        <f>96771.57/80.6*E754</f>
        <v>48505.848982630276</v>
      </c>
      <c r="G754" s="35">
        <f>31741.09/80.6*E754</f>
        <v>15909.926004962781</v>
      </c>
      <c r="H754" s="207"/>
      <c r="I754" s="207" t="s">
        <v>12545</v>
      </c>
      <c r="J754" s="66" t="s">
        <v>12546</v>
      </c>
      <c r="K754" s="207"/>
      <c r="L754" s="66"/>
      <c r="M754" s="201" t="s">
        <v>12550</v>
      </c>
      <c r="N754" s="207"/>
      <c r="O754" s="38"/>
    </row>
    <row r="755" spans="1:15" ht="84" customHeight="1" x14ac:dyDescent="0.3">
      <c r="A755" s="2">
        <v>735</v>
      </c>
      <c r="B755" s="34" t="s">
        <v>12468</v>
      </c>
      <c r="C755" s="34" t="s">
        <v>13181</v>
      </c>
      <c r="D755" s="88"/>
      <c r="E755" s="66">
        <v>40.200000000000003</v>
      </c>
      <c r="F755" s="35">
        <f>96771.57/80.6*E755</f>
        <v>48265.721017369739</v>
      </c>
      <c r="G755" s="35">
        <f>31741.09/80.6*E755</f>
        <v>15831.163995037225</v>
      </c>
      <c r="H755" s="207"/>
      <c r="I755" s="207" t="s">
        <v>12545</v>
      </c>
      <c r="J755" s="66" t="s">
        <v>12546</v>
      </c>
      <c r="K755" s="207"/>
      <c r="L755" s="66"/>
      <c r="M755" s="201" t="s">
        <v>12550</v>
      </c>
      <c r="N755" s="207"/>
      <c r="O755" s="38"/>
    </row>
    <row r="756" spans="1:15" ht="132" customHeight="1" x14ac:dyDescent="0.3">
      <c r="A756" s="2">
        <v>736</v>
      </c>
      <c r="B756" s="34" t="s">
        <v>12471</v>
      </c>
      <c r="C756" s="34" t="s">
        <v>13182</v>
      </c>
      <c r="D756" s="88" t="s">
        <v>22592</v>
      </c>
      <c r="E756" s="66">
        <v>31.4</v>
      </c>
      <c r="F756" s="35">
        <f>1027097.44/445.9*E756</f>
        <v>72327.561372505035</v>
      </c>
      <c r="G756" s="35">
        <f>291408.89/445.9*E756</f>
        <v>20520.832352545414</v>
      </c>
      <c r="H756" s="207"/>
      <c r="I756" s="207" t="s">
        <v>12545</v>
      </c>
      <c r="J756" s="66" t="s">
        <v>12546</v>
      </c>
      <c r="K756" s="26">
        <v>43525</v>
      </c>
      <c r="L756" s="66" t="s">
        <v>22591</v>
      </c>
      <c r="M756" s="201" t="s">
        <v>12550</v>
      </c>
      <c r="N756" s="207"/>
      <c r="O756" s="38" t="s">
        <v>21182</v>
      </c>
    </row>
    <row r="757" spans="1:15" ht="108" customHeight="1" x14ac:dyDescent="0.3">
      <c r="A757" s="2">
        <v>737</v>
      </c>
      <c r="B757" s="34" t="s">
        <v>12471</v>
      </c>
      <c r="C757" s="34" t="s">
        <v>13183</v>
      </c>
      <c r="D757" s="88"/>
      <c r="E757" s="66">
        <v>31.4</v>
      </c>
      <c r="F757" s="35">
        <f>1027097.44/445.9*E757</f>
        <v>72327.561372505035</v>
      </c>
      <c r="G757" s="35">
        <f>291408.89/445.9*E757</f>
        <v>20520.832352545414</v>
      </c>
      <c r="H757" s="207"/>
      <c r="I757" s="207" t="s">
        <v>12545</v>
      </c>
      <c r="J757" s="66" t="s">
        <v>12546</v>
      </c>
      <c r="K757" s="26">
        <v>43553</v>
      </c>
      <c r="L757" s="66" t="s">
        <v>22702</v>
      </c>
      <c r="M757" s="201" t="s">
        <v>12550</v>
      </c>
      <c r="N757" s="207"/>
      <c r="O757" s="38" t="s">
        <v>21562</v>
      </c>
    </row>
    <row r="758" spans="1:15" ht="72" customHeight="1" x14ac:dyDescent="0.3">
      <c r="A758" s="2">
        <v>738</v>
      </c>
      <c r="B758" s="34" t="s">
        <v>12471</v>
      </c>
      <c r="C758" s="34" t="s">
        <v>13184</v>
      </c>
      <c r="D758" s="88" t="s">
        <v>18017</v>
      </c>
      <c r="E758" s="66">
        <v>32.1</v>
      </c>
      <c r="F758" s="35">
        <f>1027097.44/445.9*E758</f>
        <v>73939.959237497198</v>
      </c>
      <c r="G758" s="35">
        <f>291408.89/445.9*E758</f>
        <v>20978.303137474773</v>
      </c>
      <c r="H758" s="207"/>
      <c r="I758" s="207" t="s">
        <v>12545</v>
      </c>
      <c r="J758" s="66" t="s">
        <v>12546</v>
      </c>
      <c r="K758" s="207" t="s">
        <v>17887</v>
      </c>
      <c r="L758" s="66" t="s">
        <v>17888</v>
      </c>
      <c r="M758" s="201" t="s">
        <v>12550</v>
      </c>
      <c r="N758" s="207"/>
      <c r="O758" s="38"/>
    </row>
    <row r="759" spans="1:15" ht="72" customHeight="1" x14ac:dyDescent="0.3">
      <c r="A759" s="2">
        <v>739</v>
      </c>
      <c r="B759" s="34" t="s">
        <v>12468</v>
      </c>
      <c r="C759" s="34" t="s">
        <v>13185</v>
      </c>
      <c r="D759" s="88"/>
      <c r="E759" s="66">
        <v>42.6</v>
      </c>
      <c r="F759" s="35">
        <f>1027097.44/445.9*E759</f>
        <v>98125.927212379465</v>
      </c>
      <c r="G759" s="35">
        <f>291408.89/445.9*E759</f>
        <v>27840.364911415119</v>
      </c>
      <c r="H759" s="207"/>
      <c r="I759" s="207" t="s">
        <v>12545</v>
      </c>
      <c r="J759" s="66" t="s">
        <v>12546</v>
      </c>
      <c r="K759" s="207"/>
      <c r="L759" s="66"/>
      <c r="M759" s="201" t="s">
        <v>12550</v>
      </c>
      <c r="N759" s="207"/>
      <c r="O759" s="38" t="s">
        <v>21563</v>
      </c>
    </row>
    <row r="760" spans="1:15" ht="108" x14ac:dyDescent="0.3">
      <c r="A760" s="242">
        <v>740</v>
      </c>
      <c r="B760" s="34" t="s">
        <v>12470</v>
      </c>
      <c r="C760" s="34" t="s">
        <v>12673</v>
      </c>
      <c r="D760" s="88" t="s">
        <v>12537</v>
      </c>
      <c r="E760" s="245">
        <v>30.1</v>
      </c>
      <c r="F760" s="35">
        <v>74711.53</v>
      </c>
      <c r="G760" s="35">
        <v>21197.22</v>
      </c>
      <c r="H760" s="25"/>
      <c r="I760" s="207" t="s">
        <v>12545</v>
      </c>
      <c r="J760" s="245" t="s">
        <v>12546</v>
      </c>
      <c r="K760" s="207" t="s">
        <v>23471</v>
      </c>
      <c r="L760" s="66" t="s">
        <v>23628</v>
      </c>
      <c r="M760" s="201" t="s">
        <v>12550</v>
      </c>
      <c r="N760" s="207"/>
      <c r="O760" s="38" t="s">
        <v>23627</v>
      </c>
    </row>
    <row r="761" spans="1:15" ht="72" customHeight="1" x14ac:dyDescent="0.3">
      <c r="A761" s="242">
        <v>741</v>
      </c>
      <c r="B761" s="34" t="s">
        <v>12468</v>
      </c>
      <c r="C761" s="34" t="s">
        <v>13186</v>
      </c>
      <c r="D761" s="88"/>
      <c r="E761" s="245">
        <v>58.3</v>
      </c>
      <c r="F761" s="35">
        <f t="shared" ref="F761:F766" si="41">1027097.44/445.9*E761</f>
        <v>134289.70789863198</v>
      </c>
      <c r="G761" s="35">
        <f t="shared" ref="G761:G766" si="42">291408.89/445.9*E761</f>
        <v>38100.781087687821</v>
      </c>
      <c r="H761" s="207"/>
      <c r="I761" s="207" t="s">
        <v>12545</v>
      </c>
      <c r="J761" s="66" t="s">
        <v>12546</v>
      </c>
      <c r="K761" s="207"/>
      <c r="L761" s="66"/>
      <c r="M761" s="201" t="s">
        <v>12550</v>
      </c>
      <c r="N761" s="207"/>
      <c r="O761" s="38"/>
    </row>
    <row r="762" spans="1:15" ht="72" customHeight="1" x14ac:dyDescent="0.3">
      <c r="A762" s="242">
        <v>742</v>
      </c>
      <c r="B762" s="34" t="s">
        <v>12468</v>
      </c>
      <c r="C762" s="34" t="s">
        <v>13187</v>
      </c>
      <c r="D762" s="88"/>
      <c r="E762" s="245">
        <v>40.200000000000003</v>
      </c>
      <c r="F762" s="35">
        <f t="shared" si="41"/>
        <v>92597.705960977808</v>
      </c>
      <c r="G762" s="35">
        <f t="shared" si="42"/>
        <v>26271.893648800182</v>
      </c>
      <c r="H762" s="207"/>
      <c r="I762" s="207" t="s">
        <v>12545</v>
      </c>
      <c r="J762" s="66" t="s">
        <v>12546</v>
      </c>
      <c r="K762" s="207"/>
      <c r="L762" s="66"/>
      <c r="M762" s="201" t="s">
        <v>12550</v>
      </c>
      <c r="N762" s="207"/>
      <c r="O762" s="38"/>
    </row>
    <row r="763" spans="1:15" ht="132" customHeight="1" x14ac:dyDescent="0.3">
      <c r="A763" s="2">
        <v>743</v>
      </c>
      <c r="B763" s="34" t="s">
        <v>12468</v>
      </c>
      <c r="C763" s="34" t="s">
        <v>13188</v>
      </c>
      <c r="D763" s="88" t="s">
        <v>19474</v>
      </c>
      <c r="E763" s="245">
        <v>57.6</v>
      </c>
      <c r="F763" s="35">
        <f t="shared" si="41"/>
        <v>132677.31003363983</v>
      </c>
      <c r="G763" s="35">
        <f t="shared" si="42"/>
        <v>37643.310302758473</v>
      </c>
      <c r="H763" s="207"/>
      <c r="I763" s="207" t="s">
        <v>12545</v>
      </c>
      <c r="J763" s="66" t="s">
        <v>19475</v>
      </c>
      <c r="K763" s="26">
        <v>43091</v>
      </c>
      <c r="L763" s="66" t="s">
        <v>19638</v>
      </c>
      <c r="M763" s="201" t="s">
        <v>12550</v>
      </c>
      <c r="N763" s="207"/>
      <c r="O763" s="38"/>
    </row>
    <row r="764" spans="1:15" ht="72" customHeight="1" x14ac:dyDescent="0.3">
      <c r="A764" s="242">
        <v>744</v>
      </c>
      <c r="B764" s="34" t="s">
        <v>12468</v>
      </c>
      <c r="C764" s="34" t="s">
        <v>13189</v>
      </c>
      <c r="D764" s="88"/>
      <c r="E764" s="245">
        <v>58.1</v>
      </c>
      <c r="F764" s="35">
        <f t="shared" si="41"/>
        <v>133829.02279434851</v>
      </c>
      <c r="G764" s="35">
        <f t="shared" si="42"/>
        <v>37970.075149136581</v>
      </c>
      <c r="H764" s="207"/>
      <c r="I764" s="207" t="s">
        <v>12545</v>
      </c>
      <c r="J764" s="66" t="s">
        <v>12546</v>
      </c>
      <c r="K764" s="207"/>
      <c r="L764" s="66"/>
      <c r="M764" s="201" t="s">
        <v>12550</v>
      </c>
      <c r="N764" s="207"/>
      <c r="O764" s="38" t="s">
        <v>21564</v>
      </c>
    </row>
    <row r="765" spans="1:15" ht="72" customHeight="1" x14ac:dyDescent="0.3">
      <c r="A765" s="242">
        <v>745</v>
      </c>
      <c r="B765" s="34" t="s">
        <v>12471</v>
      </c>
      <c r="C765" s="34" t="s">
        <v>13190</v>
      </c>
      <c r="D765" s="88"/>
      <c r="E765" s="245">
        <v>31</v>
      </c>
      <c r="F765" s="35">
        <f t="shared" si="41"/>
        <v>71406.1911639381</v>
      </c>
      <c r="G765" s="35">
        <f t="shared" si="42"/>
        <v>20259.420475442927</v>
      </c>
      <c r="H765" s="207"/>
      <c r="I765" s="207" t="s">
        <v>12545</v>
      </c>
      <c r="J765" s="66" t="s">
        <v>12546</v>
      </c>
      <c r="K765" s="207"/>
      <c r="L765" s="66"/>
      <c r="M765" s="201" t="s">
        <v>12550</v>
      </c>
      <c r="N765" s="207"/>
      <c r="O765" s="38"/>
    </row>
    <row r="766" spans="1:15" ht="120" customHeight="1" x14ac:dyDescent="0.3">
      <c r="A766" s="242">
        <v>746</v>
      </c>
      <c r="B766" s="34" t="s">
        <v>12471</v>
      </c>
      <c r="C766" s="34" t="s">
        <v>13191</v>
      </c>
      <c r="D766" s="88" t="s">
        <v>19295</v>
      </c>
      <c r="E766" s="245">
        <v>31.6</v>
      </c>
      <c r="F766" s="35">
        <f t="shared" si="41"/>
        <v>72788.246476788525</v>
      </c>
      <c r="G766" s="35">
        <f t="shared" si="42"/>
        <v>20651.538291096662</v>
      </c>
      <c r="H766" s="207"/>
      <c r="I766" s="207" t="s">
        <v>12545</v>
      </c>
      <c r="J766" s="66" t="s">
        <v>19296</v>
      </c>
      <c r="K766" s="26">
        <v>43005</v>
      </c>
      <c r="L766" s="66" t="s">
        <v>19352</v>
      </c>
      <c r="M766" s="201" t="s">
        <v>12550</v>
      </c>
      <c r="N766" s="207"/>
      <c r="O766" s="38"/>
    </row>
    <row r="767" spans="1:15" ht="72" customHeight="1" x14ac:dyDescent="0.3">
      <c r="A767" s="2">
        <v>747</v>
      </c>
      <c r="B767" s="34" t="s">
        <v>12472</v>
      </c>
      <c r="C767" s="34" t="s">
        <v>12674</v>
      </c>
      <c r="D767" s="88" t="s">
        <v>12538</v>
      </c>
      <c r="E767" s="245">
        <v>58.2</v>
      </c>
      <c r="F767" s="35">
        <v>144458.85</v>
      </c>
      <c r="G767" s="35">
        <v>40985.980000000003</v>
      </c>
      <c r="H767" s="25"/>
      <c r="I767" s="207" t="s">
        <v>12545</v>
      </c>
      <c r="J767" s="66" t="s">
        <v>12546</v>
      </c>
      <c r="K767" s="207"/>
      <c r="L767" s="66"/>
      <c r="M767" s="201" t="s">
        <v>12550</v>
      </c>
      <c r="N767" s="207"/>
      <c r="O767" s="38"/>
    </row>
    <row r="768" spans="1:15" ht="72" customHeight="1" x14ac:dyDescent="0.3">
      <c r="A768" s="242">
        <v>748</v>
      </c>
      <c r="B768" s="34" t="s">
        <v>12471</v>
      </c>
      <c r="C768" s="34" t="s">
        <v>13192</v>
      </c>
      <c r="D768" s="88"/>
      <c r="E768" s="245">
        <v>31.6</v>
      </c>
      <c r="F768" s="35">
        <f>1027097.44/445.9*E768</f>
        <v>72788.246476788525</v>
      </c>
      <c r="G768" s="35">
        <f>291408.89/445.9*E768</f>
        <v>20651.538291096662</v>
      </c>
      <c r="H768" s="207"/>
      <c r="I768" s="207" t="s">
        <v>12545</v>
      </c>
      <c r="J768" s="245" t="s">
        <v>12546</v>
      </c>
      <c r="K768" s="207"/>
      <c r="L768" s="245"/>
      <c r="M768" s="201" t="s">
        <v>12550</v>
      </c>
      <c r="N768" s="207"/>
      <c r="O768" s="38"/>
    </row>
    <row r="769" spans="1:15" ht="72" customHeight="1" x14ac:dyDescent="0.3">
      <c r="A769" s="242">
        <v>749</v>
      </c>
      <c r="B769" s="34" t="s">
        <v>12468</v>
      </c>
      <c r="C769" s="34" t="s">
        <v>13193</v>
      </c>
      <c r="D769" s="88" t="s">
        <v>18016</v>
      </c>
      <c r="E769" s="245">
        <v>41.9</v>
      </c>
      <c r="F769" s="35">
        <f>857938.06/724.7*E769</f>
        <v>49603.428610459501</v>
      </c>
      <c r="G769" s="35">
        <f>247086.41/724.7*E769</f>
        <v>14285.801820063472</v>
      </c>
      <c r="H769" s="207"/>
      <c r="I769" s="207" t="s">
        <v>12545</v>
      </c>
      <c r="J769" s="66" t="s">
        <v>12546</v>
      </c>
      <c r="K769" s="26">
        <v>42101</v>
      </c>
      <c r="L769" s="66" t="s">
        <v>17882</v>
      </c>
      <c r="M769" s="201" t="s">
        <v>12550</v>
      </c>
      <c r="N769" s="207"/>
      <c r="O769" s="38"/>
    </row>
    <row r="770" spans="1:15" ht="72" customHeight="1" x14ac:dyDescent="0.3">
      <c r="A770" s="242">
        <v>750</v>
      </c>
      <c r="B770" s="34" t="s">
        <v>12468</v>
      </c>
      <c r="C770" s="34" t="s">
        <v>13194</v>
      </c>
      <c r="D770" s="88"/>
      <c r="E770" s="245">
        <v>58.8</v>
      </c>
      <c r="F770" s="35">
        <f>857938.06/724.7*E770</f>
        <v>69610.539434248654</v>
      </c>
      <c r="G770" s="35">
        <f>247086.41/724.7*E770</f>
        <v>20047.855537463776</v>
      </c>
      <c r="H770" s="207"/>
      <c r="I770" s="207" t="s">
        <v>12545</v>
      </c>
      <c r="J770" s="66" t="s">
        <v>12546</v>
      </c>
      <c r="K770" s="207"/>
      <c r="L770" s="66"/>
      <c r="M770" s="201" t="s">
        <v>12550</v>
      </c>
      <c r="N770" s="207"/>
      <c r="O770" s="38" t="s">
        <v>21183</v>
      </c>
    </row>
    <row r="771" spans="1:15" ht="72" customHeight="1" x14ac:dyDescent="0.3">
      <c r="A771" s="242">
        <v>751</v>
      </c>
      <c r="B771" s="34" t="s">
        <v>12471</v>
      </c>
      <c r="C771" s="34" t="s">
        <v>13195</v>
      </c>
      <c r="D771" s="88"/>
      <c r="E771" s="245">
        <v>31.9</v>
      </c>
      <c r="F771" s="35">
        <f>857938.06/724.7*E771</f>
        <v>37764.901495791361</v>
      </c>
      <c r="G771" s="35">
        <f>247086.41/724.7*E771</f>
        <v>10876.302578998204</v>
      </c>
      <c r="H771" s="207"/>
      <c r="I771" s="207" t="s">
        <v>12545</v>
      </c>
      <c r="J771" s="245" t="s">
        <v>12546</v>
      </c>
      <c r="K771" s="207"/>
      <c r="L771" s="66"/>
      <c r="M771" s="201" t="s">
        <v>12550</v>
      </c>
      <c r="N771" s="207"/>
      <c r="O771" s="38"/>
    </row>
    <row r="772" spans="1:15" ht="72" customHeight="1" x14ac:dyDescent="0.3">
      <c r="A772" s="242">
        <v>752</v>
      </c>
      <c r="B772" s="34" t="s">
        <v>12468</v>
      </c>
      <c r="C772" s="34" t="s">
        <v>13196</v>
      </c>
      <c r="D772" s="88"/>
      <c r="E772" s="245">
        <v>59.7</v>
      </c>
      <c r="F772" s="35">
        <f>857938.06/724.7*E772</f>
        <v>70676.006874568789</v>
      </c>
      <c r="G772" s="35">
        <f>247086.41/724.7*E772</f>
        <v>20354.710469159651</v>
      </c>
      <c r="H772" s="207"/>
      <c r="I772" s="207" t="s">
        <v>12545</v>
      </c>
      <c r="J772" s="66" t="s">
        <v>12546</v>
      </c>
      <c r="K772" s="207"/>
      <c r="L772" s="66"/>
      <c r="M772" s="201" t="s">
        <v>12550</v>
      </c>
      <c r="N772" s="207"/>
      <c r="O772" s="38"/>
    </row>
    <row r="773" spans="1:15" ht="72" customHeight="1" x14ac:dyDescent="0.3">
      <c r="A773" s="242">
        <v>753</v>
      </c>
      <c r="B773" s="34" t="s">
        <v>12470</v>
      </c>
      <c r="C773" s="34" t="s">
        <v>12675</v>
      </c>
      <c r="D773" s="88" t="s">
        <v>12539</v>
      </c>
      <c r="E773" s="245">
        <v>30.4</v>
      </c>
      <c r="F773" s="35">
        <v>33152.81</v>
      </c>
      <c r="G773" s="35">
        <v>9548.02</v>
      </c>
      <c r="H773" s="25"/>
      <c r="I773" s="207" t="s">
        <v>12545</v>
      </c>
      <c r="J773" s="66" t="s">
        <v>12546</v>
      </c>
      <c r="K773" s="207"/>
      <c r="L773" s="66"/>
      <c r="M773" s="201" t="s">
        <v>12550</v>
      </c>
      <c r="N773" s="207"/>
      <c r="O773" s="38"/>
    </row>
    <row r="774" spans="1:15" ht="72" customHeight="1" x14ac:dyDescent="0.3">
      <c r="A774" s="242">
        <v>754</v>
      </c>
      <c r="B774" s="34" t="s">
        <v>12468</v>
      </c>
      <c r="C774" s="34" t="s">
        <v>13197</v>
      </c>
      <c r="D774" s="88"/>
      <c r="E774" s="245">
        <v>41.5</v>
      </c>
      <c r="F774" s="35">
        <f>857938.06/724.7*E774</f>
        <v>49129.887525872771</v>
      </c>
      <c r="G774" s="35">
        <f>247086.41/724.7*E774</f>
        <v>14149.421850420862</v>
      </c>
      <c r="H774" s="207"/>
      <c r="I774" s="207" t="s">
        <v>12545</v>
      </c>
      <c r="J774" s="66" t="s">
        <v>12546</v>
      </c>
      <c r="K774" s="207"/>
      <c r="L774" s="66"/>
      <c r="M774" s="201" t="s">
        <v>12550</v>
      </c>
      <c r="N774" s="207"/>
      <c r="O774" s="38"/>
    </row>
    <row r="775" spans="1:15" ht="72" customHeight="1" x14ac:dyDescent="0.3">
      <c r="A775" s="242">
        <v>755</v>
      </c>
      <c r="B775" s="34" t="s">
        <v>12468</v>
      </c>
      <c r="C775" s="34" t="s">
        <v>13198</v>
      </c>
      <c r="D775" s="88"/>
      <c r="E775" s="245">
        <v>59.5</v>
      </c>
      <c r="F775" s="35">
        <f>857938.06/724.7*E775</f>
        <v>70439.236332275425</v>
      </c>
      <c r="G775" s="35">
        <f>247086.41/724.7*E775</f>
        <v>20286.520484338344</v>
      </c>
      <c r="H775" s="207"/>
      <c r="I775" s="207" t="s">
        <v>12545</v>
      </c>
      <c r="J775" s="66" t="s">
        <v>12546</v>
      </c>
      <c r="K775" s="207"/>
      <c r="L775" s="66"/>
      <c r="M775" s="201" t="s">
        <v>12550</v>
      </c>
      <c r="N775" s="207"/>
      <c r="O775" s="38"/>
    </row>
    <row r="776" spans="1:15" ht="72" customHeight="1" x14ac:dyDescent="0.3">
      <c r="A776" s="2">
        <v>756</v>
      </c>
      <c r="B776" s="34" t="s">
        <v>12471</v>
      </c>
      <c r="C776" s="34" t="s">
        <v>13199</v>
      </c>
      <c r="D776" s="88"/>
      <c r="E776" s="245">
        <v>31.5</v>
      </c>
      <c r="F776" s="35">
        <f>857938.06/724.7*E776</f>
        <v>37291.360411204638</v>
      </c>
      <c r="G776" s="35">
        <f>247086.41/724.7*E776</f>
        <v>10739.922609355594</v>
      </c>
      <c r="H776" s="207"/>
      <c r="I776" s="207" t="s">
        <v>12545</v>
      </c>
      <c r="J776" s="66" t="s">
        <v>12546</v>
      </c>
      <c r="K776" s="207"/>
      <c r="L776" s="66"/>
      <c r="M776" s="201" t="s">
        <v>12550</v>
      </c>
      <c r="N776" s="66" t="s">
        <v>21124</v>
      </c>
      <c r="O776" s="38"/>
    </row>
    <row r="777" spans="1:15" ht="72" customHeight="1" x14ac:dyDescent="0.3">
      <c r="A777" s="242">
        <v>757</v>
      </c>
      <c r="B777" s="34" t="s">
        <v>12468</v>
      </c>
      <c r="C777" s="34" t="s">
        <v>13200</v>
      </c>
      <c r="D777" s="88"/>
      <c r="E777" s="245">
        <v>59.5</v>
      </c>
      <c r="F777" s="35">
        <f>857938.06/724.7*E777</f>
        <v>70439.236332275425</v>
      </c>
      <c r="G777" s="35">
        <f>247086.41/724.7*E777</f>
        <v>20286.520484338344</v>
      </c>
      <c r="H777" s="207"/>
      <c r="I777" s="207" t="s">
        <v>12545</v>
      </c>
      <c r="J777" s="66" t="s">
        <v>12546</v>
      </c>
      <c r="K777" s="207"/>
      <c r="L777" s="66"/>
      <c r="M777" s="201" t="s">
        <v>12550</v>
      </c>
      <c r="N777" s="207"/>
      <c r="O777" s="38"/>
    </row>
    <row r="778" spans="1:15" ht="72" customHeight="1" x14ac:dyDescent="0.3">
      <c r="A778" s="2">
        <v>758</v>
      </c>
      <c r="B778" s="34" t="s">
        <v>12470</v>
      </c>
      <c r="C778" s="34" t="s">
        <v>12676</v>
      </c>
      <c r="D778" s="88" t="s">
        <v>12540</v>
      </c>
      <c r="E778" s="245">
        <v>30.6</v>
      </c>
      <c r="F778" s="35">
        <v>1168797.6000000001</v>
      </c>
      <c r="G778" s="35" t="s">
        <v>14</v>
      </c>
      <c r="H778" s="25"/>
      <c r="I778" s="207" t="s">
        <v>12545</v>
      </c>
      <c r="J778" s="245" t="s">
        <v>12546</v>
      </c>
      <c r="K778" s="207"/>
      <c r="L778" s="66"/>
      <c r="M778" s="201" t="s">
        <v>12550</v>
      </c>
      <c r="N778" s="2" t="s">
        <v>21123</v>
      </c>
      <c r="O778" s="38"/>
    </row>
    <row r="779" spans="1:15" ht="72" customHeight="1" x14ac:dyDescent="0.3">
      <c r="A779" s="2">
        <v>759</v>
      </c>
      <c r="B779" s="34" t="s">
        <v>12468</v>
      </c>
      <c r="C779" s="34" t="s">
        <v>13201</v>
      </c>
      <c r="D779" s="88"/>
      <c r="E779" s="245">
        <v>59.1</v>
      </c>
      <c r="F779" s="35">
        <f>857938.06/724.7*E779</f>
        <v>69965.695247688695</v>
      </c>
      <c r="G779" s="35">
        <f>247086.41/724.7*E779</f>
        <v>20150.140514695733</v>
      </c>
      <c r="H779" s="207"/>
      <c r="I779" s="207" t="s">
        <v>12545</v>
      </c>
      <c r="J779" s="245" t="s">
        <v>12546</v>
      </c>
      <c r="K779" s="207"/>
      <c r="L779" s="66"/>
      <c r="M779" s="201" t="s">
        <v>12550</v>
      </c>
      <c r="N779" s="207"/>
      <c r="O779" s="38"/>
    </row>
    <row r="780" spans="1:15" ht="72" customHeight="1" x14ac:dyDescent="0.3">
      <c r="A780" s="242">
        <v>760</v>
      </c>
      <c r="B780" s="34" t="s">
        <v>12470</v>
      </c>
      <c r="C780" s="34" t="s">
        <v>12677</v>
      </c>
      <c r="D780" s="88" t="s">
        <v>12541</v>
      </c>
      <c r="E780" s="245">
        <v>31.5</v>
      </c>
      <c r="F780" s="35">
        <v>1137552.8999999999</v>
      </c>
      <c r="G780" s="35" t="s">
        <v>14</v>
      </c>
      <c r="H780" s="25"/>
      <c r="I780" s="207" t="s">
        <v>12545</v>
      </c>
      <c r="J780" s="66" t="s">
        <v>12546</v>
      </c>
      <c r="K780" s="207"/>
      <c r="L780" s="66"/>
      <c r="M780" s="201" t="s">
        <v>12550</v>
      </c>
      <c r="N780" s="207"/>
      <c r="O780" s="38"/>
    </row>
    <row r="781" spans="1:15" ht="72" customHeight="1" x14ac:dyDescent="0.3">
      <c r="A781" s="242">
        <v>761</v>
      </c>
      <c r="B781" s="34" t="s">
        <v>12468</v>
      </c>
      <c r="C781" s="34" t="s">
        <v>13202</v>
      </c>
      <c r="D781" s="88"/>
      <c r="E781" s="245">
        <v>58</v>
      </c>
      <c r="F781" s="35">
        <f>857938.06/724.7*E781</f>
        <v>68663.457265075209</v>
      </c>
      <c r="G781" s="35">
        <f>247086.41/724.7*E781</f>
        <v>19775.095598178556</v>
      </c>
      <c r="H781" s="207"/>
      <c r="I781" s="207" t="s">
        <v>12545</v>
      </c>
      <c r="J781" s="66" t="s">
        <v>12546</v>
      </c>
      <c r="K781" s="207"/>
      <c r="L781" s="66"/>
      <c r="M781" s="201" t="s">
        <v>12550</v>
      </c>
      <c r="N781" s="207"/>
      <c r="O781" s="38"/>
    </row>
    <row r="782" spans="1:15" ht="72" customHeight="1" x14ac:dyDescent="0.3">
      <c r="A782" s="242">
        <v>762</v>
      </c>
      <c r="B782" s="34" t="s">
        <v>12471</v>
      </c>
      <c r="C782" s="34" t="s">
        <v>13203</v>
      </c>
      <c r="D782" s="88"/>
      <c r="E782" s="245">
        <v>31.4</v>
      </c>
      <c r="F782" s="35">
        <f>857938.06/724.7*E782</f>
        <v>37172.975140057955</v>
      </c>
      <c r="G782" s="35">
        <f>247086.41/724.7*E782</f>
        <v>10705.82761694494</v>
      </c>
      <c r="H782" s="207"/>
      <c r="I782" s="207" t="s">
        <v>12545</v>
      </c>
      <c r="J782" s="66" t="s">
        <v>12546</v>
      </c>
      <c r="K782" s="207"/>
      <c r="L782" s="66"/>
      <c r="M782" s="201" t="s">
        <v>12550</v>
      </c>
      <c r="N782" s="207"/>
      <c r="O782" s="38"/>
    </row>
    <row r="783" spans="1:15" ht="84" customHeight="1" x14ac:dyDescent="0.3">
      <c r="A783" s="242">
        <v>763</v>
      </c>
      <c r="B783" s="34" t="s">
        <v>12471</v>
      </c>
      <c r="C783" s="34" t="s">
        <v>13204</v>
      </c>
      <c r="D783" s="88"/>
      <c r="E783" s="245">
        <v>30.3</v>
      </c>
      <c r="F783" s="35">
        <v>759150</v>
      </c>
      <c r="G783" s="35">
        <v>9615.9</v>
      </c>
      <c r="H783" s="207"/>
      <c r="I783" s="207" t="s">
        <v>12545</v>
      </c>
      <c r="J783" s="66" t="s">
        <v>12546</v>
      </c>
      <c r="K783" s="26">
        <v>42755</v>
      </c>
      <c r="L783" s="66" t="s">
        <v>18238</v>
      </c>
      <c r="M783" s="201" t="s">
        <v>12550</v>
      </c>
      <c r="N783" s="207"/>
      <c r="O783" s="38"/>
    </row>
    <row r="784" spans="1:15" ht="72" customHeight="1" x14ac:dyDescent="0.3">
      <c r="A784" s="242">
        <v>764</v>
      </c>
      <c r="B784" s="34" t="s">
        <v>12468</v>
      </c>
      <c r="C784" s="34" t="s">
        <v>13205</v>
      </c>
      <c r="D784" s="88"/>
      <c r="E784" s="245">
        <v>58.7</v>
      </c>
      <c r="F784" s="35">
        <f>857938.06/724.7*E784</f>
        <v>69492.154163101979</v>
      </c>
      <c r="G784" s="35">
        <f>247086.41/724.7*E784</f>
        <v>20013.760545053123</v>
      </c>
      <c r="H784" s="207"/>
      <c r="I784" s="207" t="s">
        <v>12545</v>
      </c>
      <c r="J784" s="66" t="s">
        <v>12546</v>
      </c>
      <c r="K784" s="207"/>
      <c r="L784" s="66"/>
      <c r="M784" s="201" t="s">
        <v>12550</v>
      </c>
      <c r="N784" s="207"/>
      <c r="O784" s="38"/>
    </row>
    <row r="785" spans="1:15" ht="84" customHeight="1" x14ac:dyDescent="0.3">
      <c r="A785" s="242">
        <v>765</v>
      </c>
      <c r="B785" s="34" t="s">
        <v>12468</v>
      </c>
      <c r="C785" s="34" t="s">
        <v>13206</v>
      </c>
      <c r="D785" s="88" t="s">
        <v>18011</v>
      </c>
      <c r="E785" s="245">
        <v>31.5</v>
      </c>
      <c r="F785" s="35">
        <f>857938.06/724.7*E785</f>
        <v>37291.360411204638</v>
      </c>
      <c r="G785" s="35">
        <f>247086.41/724.7*E785</f>
        <v>10739.922609355594</v>
      </c>
      <c r="H785" s="207"/>
      <c r="I785" s="207" t="s">
        <v>12545</v>
      </c>
      <c r="J785" s="66" t="s">
        <v>12546</v>
      </c>
      <c r="K785" s="26">
        <v>42296</v>
      </c>
      <c r="L785" s="66" t="s">
        <v>18042</v>
      </c>
      <c r="M785" s="201" t="s">
        <v>12550</v>
      </c>
      <c r="N785" s="207"/>
      <c r="O785" s="38"/>
    </row>
    <row r="786" spans="1:15" ht="72" customHeight="1" x14ac:dyDescent="0.3">
      <c r="A786" s="242">
        <v>766</v>
      </c>
      <c r="B786" s="34" t="s">
        <v>12468</v>
      </c>
      <c r="C786" s="34" t="s">
        <v>13207</v>
      </c>
      <c r="D786" s="88"/>
      <c r="E786" s="245">
        <v>58.6</v>
      </c>
      <c r="F786" s="35">
        <f>857938.06/724.7*E786</f>
        <v>69373.768891955289</v>
      </c>
      <c r="G786" s="35">
        <f>247086.41/724.7*E786</f>
        <v>19979.665552642469</v>
      </c>
      <c r="H786" s="207"/>
      <c r="I786" s="207" t="s">
        <v>12545</v>
      </c>
      <c r="J786" s="66" t="s">
        <v>12546</v>
      </c>
      <c r="K786" s="207"/>
      <c r="L786" s="66"/>
      <c r="M786" s="201" t="s">
        <v>12550</v>
      </c>
      <c r="N786" s="207"/>
      <c r="O786" s="38"/>
    </row>
    <row r="787" spans="1:15" ht="72" customHeight="1" x14ac:dyDescent="0.3">
      <c r="A787" s="242">
        <v>767</v>
      </c>
      <c r="B787" s="34" t="s">
        <v>12472</v>
      </c>
      <c r="C787" s="34" t="s">
        <v>12678</v>
      </c>
      <c r="D787" s="88" t="s">
        <v>12542</v>
      </c>
      <c r="E787" s="245">
        <v>41.2</v>
      </c>
      <c r="F787" s="35">
        <f>44930.78+51024.05</f>
        <v>95954.83</v>
      </c>
      <c r="G787" s="35">
        <f>12940.08+14694.94</f>
        <v>27635.02</v>
      </c>
      <c r="H787" s="25"/>
      <c r="I787" s="207" t="s">
        <v>12545</v>
      </c>
      <c r="J787" s="66" t="s">
        <v>12546</v>
      </c>
      <c r="K787" s="207"/>
      <c r="L787" s="66"/>
      <c r="M787" s="201" t="s">
        <v>12550</v>
      </c>
      <c r="N787" s="207"/>
      <c r="O787" s="38"/>
    </row>
    <row r="788" spans="1:15" ht="84" customHeight="1" x14ac:dyDescent="0.3">
      <c r="A788" s="242">
        <v>768</v>
      </c>
      <c r="B788" s="34" t="s">
        <v>12479</v>
      </c>
      <c r="C788" s="34" t="s">
        <v>13208</v>
      </c>
      <c r="D788" s="88"/>
      <c r="E788" s="245">
        <v>93.8</v>
      </c>
      <c r="F788" s="35">
        <v>515484</v>
      </c>
      <c r="G788" s="35">
        <v>515484</v>
      </c>
      <c r="H788" s="207"/>
      <c r="I788" s="207" t="s">
        <v>12545</v>
      </c>
      <c r="J788" s="66" t="s">
        <v>12546</v>
      </c>
      <c r="K788" s="207"/>
      <c r="L788" s="66"/>
      <c r="M788" s="201" t="s">
        <v>12550</v>
      </c>
      <c r="N788" s="207"/>
      <c r="O788" s="38"/>
    </row>
    <row r="789" spans="1:15" ht="108" customHeight="1" x14ac:dyDescent="0.3">
      <c r="A789" s="242">
        <v>769</v>
      </c>
      <c r="B789" s="34" t="s">
        <v>12479</v>
      </c>
      <c r="C789" s="34" t="s">
        <v>13209</v>
      </c>
      <c r="D789" s="88"/>
      <c r="E789" s="245">
        <v>45.3</v>
      </c>
      <c r="F789" s="35">
        <v>450751</v>
      </c>
      <c r="G789" s="35">
        <v>450751</v>
      </c>
      <c r="H789" s="207"/>
      <c r="I789" s="207" t="s">
        <v>12545</v>
      </c>
      <c r="J789" s="66" t="s">
        <v>12546</v>
      </c>
      <c r="K789" s="207"/>
      <c r="L789" s="66"/>
      <c r="M789" s="201" t="s">
        <v>12550</v>
      </c>
      <c r="N789" s="207"/>
      <c r="O789" s="38"/>
    </row>
    <row r="790" spans="1:15" ht="84" customHeight="1" x14ac:dyDescent="0.3">
      <c r="A790" s="242">
        <v>770</v>
      </c>
      <c r="B790" s="34" t="s">
        <v>12470</v>
      </c>
      <c r="C790" s="34" t="s">
        <v>12679</v>
      </c>
      <c r="D790" s="88" t="s">
        <v>12543</v>
      </c>
      <c r="E790" s="245">
        <v>29.9</v>
      </c>
      <c r="F790" s="35">
        <v>896500</v>
      </c>
      <c r="G790" s="35" t="s">
        <v>14</v>
      </c>
      <c r="H790" s="25"/>
      <c r="I790" s="207" t="s">
        <v>12545</v>
      </c>
      <c r="J790" s="245" t="s">
        <v>12546</v>
      </c>
      <c r="K790" s="207"/>
      <c r="L790" s="66"/>
      <c r="M790" s="201" t="s">
        <v>12550</v>
      </c>
      <c r="N790" s="207"/>
      <c r="O790" s="38"/>
    </row>
    <row r="791" spans="1:15" ht="84" customHeight="1" x14ac:dyDescent="0.3">
      <c r="A791" s="242">
        <v>771</v>
      </c>
      <c r="B791" s="34" t="s">
        <v>12470</v>
      </c>
      <c r="C791" s="34" t="s">
        <v>12680</v>
      </c>
      <c r="D791" s="88" t="s">
        <v>12544</v>
      </c>
      <c r="E791" s="245">
        <v>30.1</v>
      </c>
      <c r="F791" s="35">
        <v>901800</v>
      </c>
      <c r="G791" s="35" t="s">
        <v>14</v>
      </c>
      <c r="H791" s="25"/>
      <c r="I791" s="207" t="s">
        <v>12545</v>
      </c>
      <c r="J791" s="66" t="s">
        <v>12546</v>
      </c>
      <c r="K791" s="207"/>
      <c r="L791" s="66"/>
      <c r="M791" s="201" t="s">
        <v>12550</v>
      </c>
      <c r="N791" s="207"/>
      <c r="O791" s="38"/>
    </row>
    <row r="792" spans="1:15" ht="72" customHeight="1" x14ac:dyDescent="0.3">
      <c r="A792" s="242">
        <v>772</v>
      </c>
      <c r="B792" s="34" t="s">
        <v>12471</v>
      </c>
      <c r="C792" s="34" t="s">
        <v>13210</v>
      </c>
      <c r="D792" s="88"/>
      <c r="E792" s="245">
        <v>32.1</v>
      </c>
      <c r="F792" s="35">
        <f>326301.5/80.4*E792</f>
        <v>130277.09141791044</v>
      </c>
      <c r="G792" s="35">
        <f>67870.7/80.4*E792</f>
        <v>27097.630223880595</v>
      </c>
      <c r="H792" s="207"/>
      <c r="I792" s="207" t="s">
        <v>12545</v>
      </c>
      <c r="J792" s="245" t="s">
        <v>12546</v>
      </c>
      <c r="K792" s="207"/>
      <c r="L792" s="66"/>
      <c r="M792" s="201" t="s">
        <v>12550</v>
      </c>
      <c r="N792" s="207"/>
      <c r="O792" s="38"/>
    </row>
    <row r="793" spans="1:15" ht="72" customHeight="1" x14ac:dyDescent="0.3">
      <c r="A793" s="2">
        <v>773</v>
      </c>
      <c r="B793" s="34" t="s">
        <v>12468</v>
      </c>
      <c r="C793" s="34" t="s">
        <v>13211</v>
      </c>
      <c r="D793" s="88"/>
      <c r="E793" s="245">
        <v>48.3</v>
      </c>
      <c r="F793" s="35">
        <f>326301.5/80.4*E793</f>
        <v>196024.40858208953</v>
      </c>
      <c r="G793" s="35">
        <f>67870.7/80.4*E793</f>
        <v>40773.069776119395</v>
      </c>
      <c r="H793" s="207"/>
      <c r="I793" s="207" t="s">
        <v>12545</v>
      </c>
      <c r="J793" s="245" t="s">
        <v>12546</v>
      </c>
      <c r="K793" s="207"/>
      <c r="L793" s="66"/>
      <c r="M793" s="201" t="s">
        <v>12550</v>
      </c>
      <c r="N793" s="207"/>
      <c r="O793" s="38"/>
    </row>
    <row r="794" spans="1:15" ht="72" customHeight="1" x14ac:dyDescent="0.3">
      <c r="A794" s="2">
        <v>774</v>
      </c>
      <c r="B794" s="34" t="s">
        <v>12468</v>
      </c>
      <c r="C794" s="34" t="s">
        <v>13212</v>
      </c>
      <c r="D794" s="88"/>
      <c r="E794" s="245">
        <v>54</v>
      </c>
      <c r="F794" s="35">
        <f>487911.81/108.3*E794</f>
        <v>243280.12686980609</v>
      </c>
      <c r="G794" s="35">
        <f>55868.19/108.3*E794</f>
        <v>27856.715235457064</v>
      </c>
      <c r="H794" s="207"/>
      <c r="I794" s="207" t="s">
        <v>12545</v>
      </c>
      <c r="J794" s="245" t="s">
        <v>12546</v>
      </c>
      <c r="K794" s="207"/>
      <c r="L794" s="66"/>
      <c r="M794" s="201" t="s">
        <v>12550</v>
      </c>
      <c r="N794" s="207"/>
      <c r="O794" s="38"/>
    </row>
    <row r="795" spans="1:15" ht="72" customHeight="1" x14ac:dyDescent="0.3">
      <c r="A795" s="2">
        <v>775</v>
      </c>
      <c r="B795" s="34" t="s">
        <v>12468</v>
      </c>
      <c r="C795" s="34" t="s">
        <v>13213</v>
      </c>
      <c r="D795" s="88"/>
      <c r="E795" s="245">
        <v>54.3</v>
      </c>
      <c r="F795" s="35">
        <f>487911.81/108.3*E795</f>
        <v>244631.68313019388</v>
      </c>
      <c r="G795" s="35">
        <f>55868.19/108.3*E795</f>
        <v>28011.474764542938</v>
      </c>
      <c r="H795" s="207"/>
      <c r="I795" s="207" t="s">
        <v>12545</v>
      </c>
      <c r="J795" s="245" t="s">
        <v>12546</v>
      </c>
      <c r="K795" s="207"/>
      <c r="L795" s="66"/>
      <c r="M795" s="201" t="s">
        <v>12550</v>
      </c>
      <c r="N795" s="207"/>
      <c r="O795" s="38"/>
    </row>
    <row r="796" spans="1:15" ht="72" customHeight="1" x14ac:dyDescent="0.3">
      <c r="A796" s="242">
        <v>776</v>
      </c>
      <c r="B796" s="34" t="s">
        <v>12471</v>
      </c>
      <c r="C796" s="34" t="s">
        <v>13214</v>
      </c>
      <c r="D796" s="88"/>
      <c r="E796" s="245">
        <v>36.9</v>
      </c>
      <c r="F796" s="35">
        <f t="shared" ref="F796:F803" si="43">1225432.55/293.6*E796</f>
        <v>154013.83206743869</v>
      </c>
      <c r="G796" s="35">
        <f t="shared" ref="G796:G803" si="44">1225432.55/293.6*E796</f>
        <v>154013.83206743869</v>
      </c>
      <c r="H796" s="207"/>
      <c r="I796" s="207" t="s">
        <v>12545</v>
      </c>
      <c r="J796" s="66" t="s">
        <v>12546</v>
      </c>
      <c r="K796" s="207"/>
      <c r="L796" s="66"/>
      <c r="M796" s="201" t="s">
        <v>12550</v>
      </c>
      <c r="N796" s="207"/>
      <c r="O796" s="38" t="s">
        <v>21565</v>
      </c>
    </row>
    <row r="797" spans="1:15" ht="72" customHeight="1" x14ac:dyDescent="0.3">
      <c r="A797" s="2">
        <v>777</v>
      </c>
      <c r="B797" s="34" t="s">
        <v>12471</v>
      </c>
      <c r="C797" s="34" t="s">
        <v>13215</v>
      </c>
      <c r="D797" s="88"/>
      <c r="E797" s="245">
        <v>36.9</v>
      </c>
      <c r="F797" s="35">
        <f t="shared" si="43"/>
        <v>154013.83206743869</v>
      </c>
      <c r="G797" s="35">
        <f t="shared" si="44"/>
        <v>154013.83206743869</v>
      </c>
      <c r="H797" s="207"/>
      <c r="I797" s="207" t="s">
        <v>12545</v>
      </c>
      <c r="J797" s="245" t="s">
        <v>12546</v>
      </c>
      <c r="K797" s="207"/>
      <c r="L797" s="66"/>
      <c r="M797" s="201" t="s">
        <v>12550</v>
      </c>
      <c r="N797" s="207"/>
      <c r="O797" s="38"/>
    </row>
    <row r="798" spans="1:15" ht="108" customHeight="1" x14ac:dyDescent="0.3">
      <c r="A798" s="242">
        <v>778</v>
      </c>
      <c r="B798" s="34" t="s">
        <v>12471</v>
      </c>
      <c r="C798" s="34" t="s">
        <v>13216</v>
      </c>
      <c r="D798" s="88"/>
      <c r="E798" s="245">
        <v>36.6</v>
      </c>
      <c r="F798" s="35">
        <f t="shared" si="43"/>
        <v>152761.68709128068</v>
      </c>
      <c r="G798" s="35">
        <f t="shared" si="44"/>
        <v>152761.68709128068</v>
      </c>
      <c r="H798" s="207"/>
      <c r="I798" s="207" t="s">
        <v>12545</v>
      </c>
      <c r="J798" s="66" t="s">
        <v>12546</v>
      </c>
      <c r="K798" s="26">
        <v>43307</v>
      </c>
      <c r="L798" s="66" t="s">
        <v>21190</v>
      </c>
      <c r="M798" s="201" t="s">
        <v>12550</v>
      </c>
      <c r="N798" s="207"/>
      <c r="O798" s="38" t="s">
        <v>22184</v>
      </c>
    </row>
    <row r="799" spans="1:15" ht="72" customHeight="1" x14ac:dyDescent="0.3">
      <c r="A799" s="242">
        <v>779</v>
      </c>
      <c r="B799" s="34" t="s">
        <v>12471</v>
      </c>
      <c r="C799" s="34" t="s">
        <v>13217</v>
      </c>
      <c r="D799" s="88"/>
      <c r="E799" s="245">
        <v>37.9</v>
      </c>
      <c r="F799" s="35">
        <f t="shared" si="43"/>
        <v>158187.64865463215</v>
      </c>
      <c r="G799" s="35">
        <f t="shared" si="44"/>
        <v>158187.64865463215</v>
      </c>
      <c r="H799" s="207"/>
      <c r="I799" s="207" t="s">
        <v>12545</v>
      </c>
      <c r="J799" s="66" t="s">
        <v>12546</v>
      </c>
      <c r="K799" s="207"/>
      <c r="L799" s="66"/>
      <c r="M799" s="201" t="s">
        <v>12550</v>
      </c>
      <c r="N799" s="207"/>
      <c r="O799" s="38"/>
    </row>
    <row r="800" spans="1:15" ht="72" customHeight="1" x14ac:dyDescent="0.3">
      <c r="A800" s="242">
        <v>780</v>
      </c>
      <c r="B800" s="34" t="s">
        <v>12471</v>
      </c>
      <c r="C800" s="34" t="s">
        <v>13218</v>
      </c>
      <c r="D800" s="88"/>
      <c r="E800" s="245">
        <v>36.9</v>
      </c>
      <c r="F800" s="35">
        <f t="shared" si="43"/>
        <v>154013.83206743869</v>
      </c>
      <c r="G800" s="35">
        <f t="shared" si="44"/>
        <v>154013.83206743869</v>
      </c>
      <c r="H800" s="207"/>
      <c r="I800" s="207" t="s">
        <v>12545</v>
      </c>
      <c r="J800" s="245" t="s">
        <v>12546</v>
      </c>
      <c r="K800" s="207"/>
      <c r="L800" s="66"/>
      <c r="M800" s="201" t="s">
        <v>12550</v>
      </c>
      <c r="N800" s="207"/>
      <c r="O800" s="38"/>
    </row>
    <row r="801" spans="1:15" ht="72" customHeight="1" x14ac:dyDescent="0.3">
      <c r="A801" s="2">
        <v>781</v>
      </c>
      <c r="B801" s="34" t="s">
        <v>12471</v>
      </c>
      <c r="C801" s="34" t="s">
        <v>13219</v>
      </c>
      <c r="D801" s="88"/>
      <c r="E801" s="245">
        <v>36.9</v>
      </c>
      <c r="F801" s="35">
        <f t="shared" si="43"/>
        <v>154013.83206743869</v>
      </c>
      <c r="G801" s="35">
        <f t="shared" si="44"/>
        <v>154013.83206743869</v>
      </c>
      <c r="H801" s="207"/>
      <c r="I801" s="207" t="s">
        <v>12545</v>
      </c>
      <c r="J801" s="245" t="s">
        <v>12546</v>
      </c>
      <c r="K801" s="207"/>
      <c r="L801" s="66"/>
      <c r="M801" s="201" t="s">
        <v>12550</v>
      </c>
      <c r="N801" s="207"/>
      <c r="O801" s="38" t="s">
        <v>21566</v>
      </c>
    </row>
    <row r="802" spans="1:15" ht="72" customHeight="1" x14ac:dyDescent="0.3">
      <c r="A802" s="2">
        <v>782</v>
      </c>
      <c r="B802" s="34" t="s">
        <v>12471</v>
      </c>
      <c r="C802" s="34" t="s">
        <v>13220</v>
      </c>
      <c r="D802" s="88"/>
      <c r="E802" s="245">
        <v>36.6</v>
      </c>
      <c r="F802" s="35">
        <f t="shared" si="43"/>
        <v>152761.68709128068</v>
      </c>
      <c r="G802" s="35">
        <f t="shared" si="44"/>
        <v>152761.68709128068</v>
      </c>
      <c r="H802" s="207"/>
      <c r="I802" s="207" t="s">
        <v>12545</v>
      </c>
      <c r="J802" s="66" t="s">
        <v>12546</v>
      </c>
      <c r="K802" s="207"/>
      <c r="L802" s="66"/>
      <c r="M802" s="201" t="s">
        <v>12550</v>
      </c>
      <c r="N802" s="207"/>
      <c r="O802" s="38"/>
    </row>
    <row r="803" spans="1:15" ht="72" customHeight="1" x14ac:dyDescent="0.3">
      <c r="A803" s="2">
        <v>783</v>
      </c>
      <c r="B803" s="34" t="s">
        <v>12471</v>
      </c>
      <c r="C803" s="34" t="s">
        <v>13221</v>
      </c>
      <c r="D803" s="88"/>
      <c r="E803" s="245">
        <v>34.9</v>
      </c>
      <c r="F803" s="35">
        <f t="shared" si="43"/>
        <v>145666.19889305177</v>
      </c>
      <c r="G803" s="35">
        <f t="shared" si="44"/>
        <v>145666.19889305177</v>
      </c>
      <c r="H803" s="207"/>
      <c r="I803" s="207" t="s">
        <v>12545</v>
      </c>
      <c r="J803" s="245" t="s">
        <v>12546</v>
      </c>
      <c r="K803" s="207"/>
      <c r="L803" s="66"/>
      <c r="M803" s="201" t="s">
        <v>12550</v>
      </c>
      <c r="N803" s="207"/>
      <c r="O803" s="38"/>
    </row>
    <row r="804" spans="1:15" ht="72" customHeight="1" x14ac:dyDescent="0.3">
      <c r="A804" s="242">
        <v>784</v>
      </c>
      <c r="B804" s="34" t="s">
        <v>12468</v>
      </c>
      <c r="C804" s="34" t="s">
        <v>13222</v>
      </c>
      <c r="D804" s="88"/>
      <c r="E804" s="245">
        <v>52.3</v>
      </c>
      <c r="F804" s="35">
        <v>114445.4</v>
      </c>
      <c r="G804" s="35">
        <v>24720.2</v>
      </c>
      <c r="H804" s="207"/>
      <c r="I804" s="207" t="s">
        <v>12545</v>
      </c>
      <c r="J804" s="245" t="s">
        <v>12546</v>
      </c>
      <c r="K804" s="207"/>
      <c r="L804" s="66"/>
      <c r="M804" s="201" t="s">
        <v>12550</v>
      </c>
      <c r="N804" s="207"/>
      <c r="O804" s="38"/>
    </row>
    <row r="805" spans="1:15" ht="72" customHeight="1" x14ac:dyDescent="0.3">
      <c r="A805" s="242">
        <v>785</v>
      </c>
      <c r="B805" s="34" t="s">
        <v>12479</v>
      </c>
      <c r="C805" s="34" t="s">
        <v>13223</v>
      </c>
      <c r="D805" s="88"/>
      <c r="E805" s="245">
        <v>27</v>
      </c>
      <c r="F805" s="35">
        <v>124200.3</v>
      </c>
      <c r="G805" s="35">
        <v>26827.3</v>
      </c>
      <c r="H805" s="207"/>
      <c r="I805" s="207" t="s">
        <v>12545</v>
      </c>
      <c r="J805" s="245" t="s">
        <v>12546</v>
      </c>
      <c r="K805" s="207"/>
      <c r="L805" s="66"/>
      <c r="M805" s="201" t="s">
        <v>12550</v>
      </c>
      <c r="N805" s="207"/>
      <c r="O805" s="38"/>
    </row>
    <row r="806" spans="1:15" ht="84" customHeight="1" x14ac:dyDescent="0.3">
      <c r="A806" s="242">
        <v>786</v>
      </c>
      <c r="B806" s="34" t="s">
        <v>12479</v>
      </c>
      <c r="C806" s="34" t="s">
        <v>13224</v>
      </c>
      <c r="D806" s="88"/>
      <c r="E806" s="245">
        <v>103.3</v>
      </c>
      <c r="F806" s="35">
        <v>475259</v>
      </c>
      <c r="G806" s="35">
        <v>102655.9</v>
      </c>
      <c r="H806" s="207"/>
      <c r="I806" s="207" t="s">
        <v>12545</v>
      </c>
      <c r="J806" s="245" t="s">
        <v>12546</v>
      </c>
      <c r="K806" s="207"/>
      <c r="L806" s="66"/>
      <c r="M806" s="201" t="s">
        <v>12550</v>
      </c>
      <c r="N806" s="207"/>
      <c r="O806" s="38" t="s">
        <v>21567</v>
      </c>
    </row>
    <row r="807" spans="1:15" ht="72" customHeight="1" x14ac:dyDescent="0.3">
      <c r="A807" s="2">
        <v>787</v>
      </c>
      <c r="B807" s="34" t="s">
        <v>12479</v>
      </c>
      <c r="C807" s="34" t="s">
        <v>13225</v>
      </c>
      <c r="D807" s="88"/>
      <c r="E807" s="245">
        <v>162.80000000000001</v>
      </c>
      <c r="F807" s="35">
        <v>111519.7</v>
      </c>
      <c r="G807" s="35">
        <v>81409.399999999994</v>
      </c>
      <c r="H807" s="207"/>
      <c r="I807" s="207" t="s">
        <v>12545</v>
      </c>
      <c r="J807" s="245" t="s">
        <v>12546</v>
      </c>
      <c r="K807" s="207"/>
      <c r="L807" s="66"/>
      <c r="M807" s="201" t="s">
        <v>12550</v>
      </c>
      <c r="N807" s="207"/>
      <c r="O807" s="38"/>
    </row>
    <row r="808" spans="1:15" ht="72" customHeight="1" x14ac:dyDescent="0.3">
      <c r="A808" s="242">
        <v>788</v>
      </c>
      <c r="B808" s="245" t="s">
        <v>12468</v>
      </c>
      <c r="C808" s="245" t="s">
        <v>13226</v>
      </c>
      <c r="D808" s="88"/>
      <c r="E808" s="245">
        <v>58.8</v>
      </c>
      <c r="F808" s="20">
        <f>819213.18/364.9*E808</f>
        <v>132008.0432556865</v>
      </c>
      <c r="G808" s="20">
        <f>180226.9/364.9*E808</f>
        <v>29041.769580707041</v>
      </c>
      <c r="H808" s="207"/>
      <c r="I808" s="207" t="s">
        <v>12545</v>
      </c>
      <c r="J808" s="66" t="s">
        <v>12547</v>
      </c>
      <c r="K808" s="207"/>
      <c r="L808" s="66"/>
      <c r="M808" s="201" t="s">
        <v>12550</v>
      </c>
      <c r="N808" s="207"/>
      <c r="O808" s="38"/>
    </row>
    <row r="809" spans="1:15" ht="72" customHeight="1" x14ac:dyDescent="0.3">
      <c r="A809" s="242">
        <v>789</v>
      </c>
      <c r="B809" s="66" t="s">
        <v>12468</v>
      </c>
      <c r="C809" s="66" t="s">
        <v>13227</v>
      </c>
      <c r="D809" s="88"/>
      <c r="E809" s="245">
        <v>61.4</v>
      </c>
      <c r="F809" s="20">
        <f>819213.18/364.9*61.4</f>
        <v>137845.13360372707</v>
      </c>
      <c r="G809" s="20">
        <f>180226.9/364.9*61.4</f>
        <v>30325.929460126059</v>
      </c>
      <c r="H809" s="207"/>
      <c r="I809" s="207" t="s">
        <v>12545</v>
      </c>
      <c r="J809" s="66" t="s">
        <v>12547</v>
      </c>
      <c r="K809" s="207"/>
      <c r="L809" s="66"/>
      <c r="M809" s="201" t="s">
        <v>12550</v>
      </c>
      <c r="N809" s="207"/>
      <c r="O809" s="38"/>
    </row>
    <row r="810" spans="1:15" ht="72" customHeight="1" x14ac:dyDescent="0.3">
      <c r="A810" s="242">
        <v>790</v>
      </c>
      <c r="B810" s="245" t="s">
        <v>12468</v>
      </c>
      <c r="C810" s="245" t="s">
        <v>13228</v>
      </c>
      <c r="D810" s="88"/>
      <c r="E810" s="245">
        <v>55</v>
      </c>
      <c r="F810" s="20">
        <f>819213.18/364.9*E810</f>
        <v>123476.91120855031</v>
      </c>
      <c r="G810" s="20">
        <f>180226.9/364.9*E810</f>
        <v>27164.920526171554</v>
      </c>
      <c r="H810" s="207"/>
      <c r="I810" s="207" t="s">
        <v>12545</v>
      </c>
      <c r="J810" s="245" t="s">
        <v>12547</v>
      </c>
      <c r="K810" s="207"/>
      <c r="L810" s="66"/>
      <c r="M810" s="201" t="s">
        <v>12550</v>
      </c>
      <c r="N810" s="207"/>
      <c r="O810" s="38"/>
    </row>
    <row r="811" spans="1:15" ht="72" customHeight="1" x14ac:dyDescent="0.3">
      <c r="A811" s="242">
        <v>791</v>
      </c>
      <c r="B811" s="245" t="s">
        <v>12468</v>
      </c>
      <c r="C811" s="245" t="s">
        <v>13229</v>
      </c>
      <c r="D811" s="88"/>
      <c r="E811" s="245">
        <v>48</v>
      </c>
      <c r="F811" s="20">
        <f>819213.18/364.9*E811</f>
        <v>107761.66796382572</v>
      </c>
      <c r="G811" s="20">
        <f>180226.9/364.9*E811</f>
        <v>23707.567004658809</v>
      </c>
      <c r="H811" s="207"/>
      <c r="I811" s="207" t="s">
        <v>12545</v>
      </c>
      <c r="J811" s="66" t="s">
        <v>12547</v>
      </c>
      <c r="K811" s="207"/>
      <c r="L811" s="66"/>
      <c r="M811" s="201" t="s">
        <v>12550</v>
      </c>
      <c r="N811" s="207"/>
      <c r="O811" s="38"/>
    </row>
    <row r="812" spans="1:15" ht="72" customHeight="1" x14ac:dyDescent="0.3">
      <c r="A812" s="242">
        <v>792</v>
      </c>
      <c r="B812" s="245" t="s">
        <v>12468</v>
      </c>
      <c r="C812" s="245" t="s">
        <v>13230</v>
      </c>
      <c r="D812" s="88"/>
      <c r="E812" s="245">
        <v>51.1</v>
      </c>
      <c r="F812" s="20">
        <f>819213.18/364.9*E812</f>
        <v>114721.27568648948</v>
      </c>
      <c r="G812" s="20">
        <f>180226.9/364.9*E812</f>
        <v>25238.680707043026</v>
      </c>
      <c r="H812" s="207"/>
      <c r="I812" s="207" t="s">
        <v>12545</v>
      </c>
      <c r="J812" s="66" t="s">
        <v>12547</v>
      </c>
      <c r="K812" s="207"/>
      <c r="L812" s="66"/>
      <c r="M812" s="201" t="s">
        <v>12550</v>
      </c>
      <c r="N812" s="207"/>
      <c r="O812" s="38"/>
    </row>
    <row r="813" spans="1:15" ht="72" customHeight="1" x14ac:dyDescent="0.3">
      <c r="A813" s="242">
        <v>793</v>
      </c>
      <c r="B813" s="245" t="s">
        <v>12468</v>
      </c>
      <c r="C813" s="245" t="s">
        <v>13231</v>
      </c>
      <c r="D813" s="88"/>
      <c r="E813" s="245">
        <v>58.6</v>
      </c>
      <c r="F813" s="20">
        <f>819213.18/364.9*E813</f>
        <v>131559.03630583725</v>
      </c>
      <c r="G813" s="20">
        <f>180226.9/364.9*E813</f>
        <v>28942.988051520966</v>
      </c>
      <c r="H813" s="207"/>
      <c r="I813" s="207" t="s">
        <v>12545</v>
      </c>
      <c r="J813" s="245" t="s">
        <v>12547</v>
      </c>
      <c r="K813" s="207"/>
      <c r="L813" s="66"/>
      <c r="M813" s="201" t="s">
        <v>12550</v>
      </c>
      <c r="N813" s="207"/>
      <c r="O813" s="38"/>
    </row>
    <row r="814" spans="1:15" ht="72" customHeight="1" x14ac:dyDescent="0.3">
      <c r="A814" s="242">
        <v>794</v>
      </c>
      <c r="B814" s="245" t="s">
        <v>12468</v>
      </c>
      <c r="C814" s="245" t="s">
        <v>13232</v>
      </c>
      <c r="D814" s="88"/>
      <c r="E814" s="245">
        <v>32</v>
      </c>
      <c r="F814" s="20">
        <f>819213.18/364.9*E814</f>
        <v>71841.111975883818</v>
      </c>
      <c r="G814" s="20">
        <f>180226.9/364.9*E814</f>
        <v>15805.04466977254</v>
      </c>
      <c r="H814" s="207"/>
      <c r="I814" s="207" t="s">
        <v>12545</v>
      </c>
      <c r="J814" s="66" t="s">
        <v>12547</v>
      </c>
      <c r="K814" s="207"/>
      <c r="L814" s="66"/>
      <c r="M814" s="201" t="s">
        <v>12550</v>
      </c>
      <c r="N814" s="207"/>
      <c r="O814" s="38"/>
    </row>
    <row r="815" spans="1:15" ht="72" customHeight="1" x14ac:dyDescent="0.3">
      <c r="A815" s="242">
        <v>795</v>
      </c>
      <c r="B815" s="38" t="s">
        <v>12468</v>
      </c>
      <c r="C815" s="245" t="s">
        <v>13233</v>
      </c>
      <c r="D815" s="88"/>
      <c r="E815" s="245">
        <v>58</v>
      </c>
      <c r="F815" s="39">
        <f>300274.11/140*E815</f>
        <v>124399.27414285713</v>
      </c>
      <c r="G815" s="39">
        <f>72065.76/140*E815</f>
        <v>29855.814857142854</v>
      </c>
      <c r="H815" s="207"/>
      <c r="I815" s="207" t="s">
        <v>12545</v>
      </c>
      <c r="J815" s="66" t="s">
        <v>12547</v>
      </c>
      <c r="K815" s="207"/>
      <c r="L815" s="66"/>
      <c r="M815" s="201" t="s">
        <v>12550</v>
      </c>
      <c r="N815" s="207"/>
      <c r="O815" s="38"/>
    </row>
    <row r="816" spans="1:15" ht="108" customHeight="1" x14ac:dyDescent="0.3">
      <c r="A816" s="242">
        <v>796</v>
      </c>
      <c r="B816" s="38" t="s">
        <v>12471</v>
      </c>
      <c r="C816" s="245" t="s">
        <v>13234</v>
      </c>
      <c r="D816" s="88"/>
      <c r="E816" s="245">
        <v>33</v>
      </c>
      <c r="F816" s="39">
        <f>300274.11/140*E816</f>
        <v>70778.897357142851</v>
      </c>
      <c r="G816" s="39">
        <f>72065.79/140*E816</f>
        <v>16986.936214285714</v>
      </c>
      <c r="H816" s="207"/>
      <c r="I816" s="207" t="s">
        <v>12545</v>
      </c>
      <c r="J816" s="66" t="s">
        <v>12547</v>
      </c>
      <c r="K816" s="207"/>
      <c r="L816" s="66"/>
      <c r="M816" s="201" t="s">
        <v>12550</v>
      </c>
      <c r="N816" s="79" t="s">
        <v>19528</v>
      </c>
      <c r="O816" s="212"/>
    </row>
    <row r="817" spans="1:15" ht="72" customHeight="1" x14ac:dyDescent="0.3">
      <c r="A817" s="242">
        <v>797</v>
      </c>
      <c r="B817" s="38" t="s">
        <v>12468</v>
      </c>
      <c r="C817" s="66" t="s">
        <v>13235</v>
      </c>
      <c r="D817" s="88"/>
      <c r="E817" s="245">
        <v>49</v>
      </c>
      <c r="F817" s="39">
        <f>300274.11/140*E817</f>
        <v>105095.93849999999</v>
      </c>
      <c r="G817" s="39">
        <f>72065.79/140*E817</f>
        <v>25223.026499999996</v>
      </c>
      <c r="H817" s="207"/>
      <c r="I817" s="207" t="s">
        <v>12545</v>
      </c>
      <c r="J817" s="66" t="s">
        <v>12547</v>
      </c>
      <c r="K817" s="207"/>
      <c r="L817" s="66"/>
      <c r="M817" s="201" t="s">
        <v>12550</v>
      </c>
      <c r="N817" s="207"/>
      <c r="O817" s="38"/>
    </row>
    <row r="818" spans="1:15" ht="72" customHeight="1" x14ac:dyDescent="0.3">
      <c r="A818" s="242">
        <v>798</v>
      </c>
      <c r="B818" s="38" t="s">
        <v>12471</v>
      </c>
      <c r="C818" s="245" t="s">
        <v>13236</v>
      </c>
      <c r="D818" s="88"/>
      <c r="E818" s="245">
        <v>32</v>
      </c>
      <c r="F818" s="39">
        <f t="shared" ref="F818:F823" si="45">558295.17/268.6*E818</f>
        <v>66513.199702159342</v>
      </c>
      <c r="G818" s="39">
        <f t="shared" ref="G818:G823" si="46">145250.56/268.6*E818</f>
        <v>17304.608786299326</v>
      </c>
      <c r="H818" s="207"/>
      <c r="I818" s="207" t="s">
        <v>12545</v>
      </c>
      <c r="J818" s="66" t="s">
        <v>12547</v>
      </c>
      <c r="K818" s="207"/>
      <c r="L818" s="66"/>
      <c r="M818" s="201" t="s">
        <v>12550</v>
      </c>
      <c r="N818" s="207"/>
      <c r="O818" s="38"/>
    </row>
    <row r="819" spans="1:15" ht="72" customHeight="1" x14ac:dyDescent="0.3">
      <c r="A819" s="242">
        <v>799</v>
      </c>
      <c r="B819" s="38" t="s">
        <v>12471</v>
      </c>
      <c r="C819" s="245" t="s">
        <v>13237</v>
      </c>
      <c r="D819" s="88"/>
      <c r="E819" s="245">
        <v>32</v>
      </c>
      <c r="F819" s="39">
        <f t="shared" si="45"/>
        <v>66513.199702159342</v>
      </c>
      <c r="G819" s="39">
        <f t="shared" si="46"/>
        <v>17304.608786299326</v>
      </c>
      <c r="H819" s="207"/>
      <c r="I819" s="207" t="s">
        <v>12545</v>
      </c>
      <c r="J819" s="66" t="s">
        <v>12547</v>
      </c>
      <c r="K819" s="207"/>
      <c r="L819" s="66"/>
      <c r="M819" s="201" t="s">
        <v>12550</v>
      </c>
      <c r="N819" s="207"/>
      <c r="O819" s="38"/>
    </row>
    <row r="820" spans="1:15" ht="72" customHeight="1" x14ac:dyDescent="0.3">
      <c r="A820" s="242">
        <v>800</v>
      </c>
      <c r="B820" s="38" t="s">
        <v>12468</v>
      </c>
      <c r="C820" s="245" t="s">
        <v>13238</v>
      </c>
      <c r="D820" s="88"/>
      <c r="E820" s="245">
        <v>53</v>
      </c>
      <c r="F820" s="39">
        <f t="shared" si="45"/>
        <v>110162.48700670141</v>
      </c>
      <c r="G820" s="39">
        <f t="shared" si="46"/>
        <v>28660.758302308259</v>
      </c>
      <c r="H820" s="207"/>
      <c r="I820" s="207" t="s">
        <v>12545</v>
      </c>
      <c r="J820" s="66" t="s">
        <v>12547</v>
      </c>
      <c r="K820" s="207"/>
      <c r="L820" s="66"/>
      <c r="M820" s="201" t="s">
        <v>12550</v>
      </c>
      <c r="N820" s="207"/>
      <c r="O820" s="38" t="s">
        <v>22942</v>
      </c>
    </row>
    <row r="821" spans="1:15" ht="72" customHeight="1" x14ac:dyDescent="0.3">
      <c r="A821" s="2">
        <v>801</v>
      </c>
      <c r="B821" s="38" t="s">
        <v>12468</v>
      </c>
      <c r="C821" s="245" t="s">
        <v>13239</v>
      </c>
      <c r="D821" s="88"/>
      <c r="E821" s="245">
        <v>46.7</v>
      </c>
      <c r="F821" s="39">
        <f t="shared" si="45"/>
        <v>97067.700815338801</v>
      </c>
      <c r="G821" s="39">
        <f t="shared" si="46"/>
        <v>25253.91344750558</v>
      </c>
      <c r="H821" s="207"/>
      <c r="I821" s="207" t="s">
        <v>12545</v>
      </c>
      <c r="J821" s="245" t="s">
        <v>12547</v>
      </c>
      <c r="K821" s="207"/>
      <c r="L821" s="66"/>
      <c r="M821" s="201" t="s">
        <v>12550</v>
      </c>
      <c r="N821" s="207"/>
      <c r="O821" s="38"/>
    </row>
    <row r="822" spans="1:15" ht="72" customHeight="1" x14ac:dyDescent="0.3">
      <c r="A822" s="242">
        <v>802</v>
      </c>
      <c r="B822" s="38" t="s">
        <v>12468</v>
      </c>
      <c r="C822" s="245" t="s">
        <v>13240</v>
      </c>
      <c r="D822" s="88"/>
      <c r="E822" s="245">
        <v>49.9</v>
      </c>
      <c r="F822" s="39">
        <f t="shared" si="45"/>
        <v>103719.02078555472</v>
      </c>
      <c r="G822" s="39">
        <f t="shared" si="46"/>
        <v>26984.374326135512</v>
      </c>
      <c r="H822" s="207"/>
      <c r="I822" s="207" t="s">
        <v>12545</v>
      </c>
      <c r="J822" s="245" t="s">
        <v>12547</v>
      </c>
      <c r="K822" s="207"/>
      <c r="L822" s="66"/>
      <c r="M822" s="201" t="s">
        <v>12550</v>
      </c>
      <c r="N822" s="207"/>
      <c r="O822" s="38"/>
    </row>
    <row r="823" spans="1:15" ht="72" customHeight="1" x14ac:dyDescent="0.3">
      <c r="A823" s="242">
        <v>803</v>
      </c>
      <c r="B823" s="38" t="s">
        <v>12468</v>
      </c>
      <c r="C823" s="245" t="s">
        <v>13241</v>
      </c>
      <c r="D823" s="88"/>
      <c r="E823" s="245">
        <v>55</v>
      </c>
      <c r="F823" s="39">
        <f t="shared" si="45"/>
        <v>114319.56198808637</v>
      </c>
      <c r="G823" s="39">
        <f t="shared" si="46"/>
        <v>29742.296351451969</v>
      </c>
      <c r="H823" s="207"/>
      <c r="I823" s="207" t="s">
        <v>12545</v>
      </c>
      <c r="J823" s="245" t="s">
        <v>12547</v>
      </c>
      <c r="K823" s="207"/>
      <c r="L823" s="66"/>
      <c r="M823" s="201" t="s">
        <v>12550</v>
      </c>
      <c r="N823" s="207"/>
      <c r="O823" s="38"/>
    </row>
    <row r="824" spans="1:15" ht="72" customHeight="1" x14ac:dyDescent="0.3">
      <c r="A824" s="2">
        <v>804</v>
      </c>
      <c r="B824" s="38" t="s">
        <v>12468</v>
      </c>
      <c r="C824" s="245" t="s">
        <v>13242</v>
      </c>
      <c r="D824" s="88"/>
      <c r="E824" s="20">
        <v>46</v>
      </c>
      <c r="F824" s="39">
        <v>15023.28</v>
      </c>
      <c r="G824" s="39">
        <v>4206.5200000000004</v>
      </c>
      <c r="H824" s="207"/>
      <c r="I824" s="207" t="s">
        <v>12545</v>
      </c>
      <c r="J824" s="66" t="s">
        <v>12547</v>
      </c>
      <c r="K824" s="207"/>
      <c r="L824" s="66"/>
      <c r="M824" s="201" t="s">
        <v>12550</v>
      </c>
      <c r="N824" s="207"/>
      <c r="O824" s="38"/>
    </row>
    <row r="825" spans="1:15" ht="72" customHeight="1" x14ac:dyDescent="0.3">
      <c r="A825" s="2">
        <v>805</v>
      </c>
      <c r="B825" s="38" t="s">
        <v>12468</v>
      </c>
      <c r="C825" s="245" t="s">
        <v>13243</v>
      </c>
      <c r="D825" s="88"/>
      <c r="E825" s="245">
        <v>50</v>
      </c>
      <c r="F825" s="39">
        <f>106251.19/157*E825</f>
        <v>33837.958598726116</v>
      </c>
      <c r="G825" s="39">
        <f>30799.58/157*E825</f>
        <v>9808.7834394904457</v>
      </c>
      <c r="H825" s="207"/>
      <c r="I825" s="207" t="s">
        <v>12545</v>
      </c>
      <c r="J825" s="66" t="s">
        <v>12547</v>
      </c>
      <c r="K825" s="207"/>
      <c r="L825" s="66"/>
      <c r="M825" s="201" t="s">
        <v>12550</v>
      </c>
      <c r="N825" s="207"/>
      <c r="O825" s="38"/>
    </row>
    <row r="826" spans="1:15" ht="72" customHeight="1" x14ac:dyDescent="0.3">
      <c r="A826" s="242">
        <v>806</v>
      </c>
      <c r="B826" s="38" t="s">
        <v>12468</v>
      </c>
      <c r="C826" s="245" t="s">
        <v>13244</v>
      </c>
      <c r="D826" s="88"/>
      <c r="E826" s="245">
        <v>50</v>
      </c>
      <c r="F826" s="39">
        <f>106251.19/157*E826</f>
        <v>33837.958598726116</v>
      </c>
      <c r="G826" s="39">
        <f>30799.58/157*E826</f>
        <v>9808.7834394904457</v>
      </c>
      <c r="H826" s="207"/>
      <c r="I826" s="207" t="s">
        <v>12545</v>
      </c>
      <c r="J826" s="245" t="s">
        <v>12547</v>
      </c>
      <c r="K826" s="207"/>
      <c r="L826" s="66"/>
      <c r="M826" s="201" t="s">
        <v>12550</v>
      </c>
      <c r="N826" s="207"/>
      <c r="O826" s="38"/>
    </row>
    <row r="827" spans="1:15" ht="84" customHeight="1" x14ac:dyDescent="0.3">
      <c r="A827" s="242">
        <v>807</v>
      </c>
      <c r="B827" s="38" t="s">
        <v>12468</v>
      </c>
      <c r="C827" s="245" t="s">
        <v>13245</v>
      </c>
      <c r="D827" s="88" t="s">
        <v>18572</v>
      </c>
      <c r="E827" s="245">
        <v>57</v>
      </c>
      <c r="F827" s="39">
        <f>106251.19/157*E827</f>
        <v>38575.272802547777</v>
      </c>
      <c r="G827" s="39">
        <f>30799.58/157*E827</f>
        <v>11182.013121019108</v>
      </c>
      <c r="H827" s="207"/>
      <c r="I827" s="207" t="s">
        <v>12545</v>
      </c>
      <c r="J827" s="245" t="s">
        <v>12547</v>
      </c>
      <c r="K827" s="26">
        <v>42479</v>
      </c>
      <c r="L827" s="66" t="s">
        <v>18571</v>
      </c>
      <c r="M827" s="201" t="s">
        <v>12550</v>
      </c>
      <c r="N827" s="207"/>
      <c r="O827" s="38" t="s">
        <v>20456</v>
      </c>
    </row>
    <row r="828" spans="1:15" ht="72" customHeight="1" x14ac:dyDescent="0.3">
      <c r="A828" s="2">
        <v>808</v>
      </c>
      <c r="B828" s="38" t="s">
        <v>12468</v>
      </c>
      <c r="C828" s="245" t="s">
        <v>13246</v>
      </c>
      <c r="D828" s="88"/>
      <c r="E828" s="245">
        <v>53</v>
      </c>
      <c r="F828" s="39">
        <f>298189.32/167*E828</f>
        <v>94634.933892215573</v>
      </c>
      <c r="G828" s="39">
        <f>95393.76/167*E828</f>
        <v>30274.666347305392</v>
      </c>
      <c r="H828" s="207"/>
      <c r="I828" s="207" t="s">
        <v>12545</v>
      </c>
      <c r="J828" s="66" t="s">
        <v>12547</v>
      </c>
      <c r="K828" s="207"/>
      <c r="L828" s="66"/>
      <c r="M828" s="201" t="s">
        <v>12550</v>
      </c>
      <c r="N828" s="207"/>
      <c r="O828" s="38"/>
    </row>
    <row r="829" spans="1:15" ht="72" customHeight="1" x14ac:dyDescent="0.3">
      <c r="A829" s="2">
        <v>809</v>
      </c>
      <c r="B829" s="38" t="s">
        <v>12468</v>
      </c>
      <c r="C829" s="245" t="s">
        <v>13247</v>
      </c>
      <c r="D829" s="88"/>
      <c r="E829" s="245">
        <v>47</v>
      </c>
      <c r="F829" s="39">
        <f>298189.32/167*E829</f>
        <v>83921.5451497006</v>
      </c>
      <c r="G829" s="39">
        <f>95393.76/167*E829</f>
        <v>26847.345628742514</v>
      </c>
      <c r="H829" s="207"/>
      <c r="I829" s="207" t="s">
        <v>12545</v>
      </c>
      <c r="J829" s="66" t="s">
        <v>12547</v>
      </c>
      <c r="K829" s="207"/>
      <c r="L829" s="66"/>
      <c r="M829" s="201" t="s">
        <v>12550</v>
      </c>
      <c r="N829" s="207"/>
      <c r="O829" s="38"/>
    </row>
    <row r="830" spans="1:15" ht="72" customHeight="1" x14ac:dyDescent="0.3">
      <c r="A830" s="2">
        <v>810</v>
      </c>
      <c r="B830" s="38" t="s">
        <v>12467</v>
      </c>
      <c r="C830" s="245" t="s">
        <v>13248</v>
      </c>
      <c r="D830" s="88"/>
      <c r="E830" s="245">
        <v>67</v>
      </c>
      <c r="F830" s="39">
        <f>298189.32/167*E830</f>
        <v>119632.84095808383</v>
      </c>
      <c r="G830" s="39">
        <f>95393.76/167*E830</f>
        <v>38271.748023952096</v>
      </c>
      <c r="H830" s="207"/>
      <c r="I830" s="207" t="s">
        <v>12545</v>
      </c>
      <c r="J830" s="66" t="s">
        <v>12547</v>
      </c>
      <c r="K830" s="207"/>
      <c r="L830" s="66"/>
      <c r="M830" s="201" t="s">
        <v>12550</v>
      </c>
      <c r="N830" s="207"/>
      <c r="O830" s="38"/>
    </row>
    <row r="831" spans="1:15" ht="72" customHeight="1" x14ac:dyDescent="0.3">
      <c r="A831" s="2">
        <v>811</v>
      </c>
      <c r="B831" s="38" t="s">
        <v>12471</v>
      </c>
      <c r="C831" s="245" t="s">
        <v>13249</v>
      </c>
      <c r="D831" s="88"/>
      <c r="E831" s="245">
        <v>33</v>
      </c>
      <c r="F831" s="39">
        <f>241280.31/240*E831</f>
        <v>33176.042625000002</v>
      </c>
      <c r="G831" s="39">
        <f>82035.29/240*E831</f>
        <v>11279.852374999999</v>
      </c>
      <c r="H831" s="207"/>
      <c r="I831" s="207" t="s">
        <v>12545</v>
      </c>
      <c r="J831" s="66" t="s">
        <v>12547</v>
      </c>
      <c r="K831" s="207"/>
      <c r="L831" s="66"/>
      <c r="M831" s="201" t="s">
        <v>12550</v>
      </c>
      <c r="N831" s="207"/>
      <c r="O831" s="38"/>
    </row>
    <row r="832" spans="1:15" ht="72" customHeight="1" x14ac:dyDescent="0.3">
      <c r="A832" s="2">
        <v>812</v>
      </c>
      <c r="B832" s="38" t="s">
        <v>12468</v>
      </c>
      <c r="C832" s="245" t="s">
        <v>13250</v>
      </c>
      <c r="D832" s="88"/>
      <c r="E832" s="245">
        <v>53</v>
      </c>
      <c r="F832" s="39">
        <f>241280.31/240*E832</f>
        <v>53282.735124999999</v>
      </c>
      <c r="G832" s="39">
        <f>82035.29/240*E832</f>
        <v>18116.126541666665</v>
      </c>
      <c r="H832" s="207"/>
      <c r="I832" s="207" t="s">
        <v>12545</v>
      </c>
      <c r="J832" s="66" t="s">
        <v>12547</v>
      </c>
      <c r="K832" s="207"/>
      <c r="L832" s="66"/>
      <c r="M832" s="201" t="s">
        <v>12550</v>
      </c>
      <c r="N832" s="207"/>
      <c r="O832" s="38"/>
    </row>
    <row r="833" spans="1:15" ht="72" customHeight="1" x14ac:dyDescent="0.3">
      <c r="A833" s="242">
        <v>813</v>
      </c>
      <c r="B833" s="38" t="s">
        <v>12467</v>
      </c>
      <c r="C833" s="245" t="s">
        <v>13251</v>
      </c>
      <c r="D833" s="88"/>
      <c r="E833" s="245">
        <v>67</v>
      </c>
      <c r="F833" s="39">
        <f>241280.31/240*E833</f>
        <v>67357.419874999992</v>
      </c>
      <c r="G833" s="39">
        <f>82035.29/240*E833</f>
        <v>22901.518458333332</v>
      </c>
      <c r="H833" s="207"/>
      <c r="I833" s="207" t="s">
        <v>12545</v>
      </c>
      <c r="J833" s="245" t="s">
        <v>12547</v>
      </c>
      <c r="K833" s="207"/>
      <c r="L833" s="66"/>
      <c r="M833" s="201" t="s">
        <v>12550</v>
      </c>
      <c r="N833" s="207"/>
      <c r="O833" s="38"/>
    </row>
    <row r="834" spans="1:15" ht="72" customHeight="1" x14ac:dyDescent="0.3">
      <c r="A834" s="242">
        <v>814</v>
      </c>
      <c r="B834" s="38" t="s">
        <v>12471</v>
      </c>
      <c r="C834" s="245" t="s">
        <v>13252</v>
      </c>
      <c r="D834" s="88"/>
      <c r="E834" s="245">
        <v>33</v>
      </c>
      <c r="F834" s="39">
        <f>241280.31/240*E834</f>
        <v>33176.042625000002</v>
      </c>
      <c r="G834" s="39">
        <f>82035.29/240*E834</f>
        <v>11279.852374999999</v>
      </c>
      <c r="H834" s="207"/>
      <c r="I834" s="207" t="s">
        <v>12545</v>
      </c>
      <c r="J834" s="245" t="s">
        <v>12547</v>
      </c>
      <c r="K834" s="207"/>
      <c r="L834" s="66"/>
      <c r="M834" s="201" t="s">
        <v>12550</v>
      </c>
      <c r="N834" s="207"/>
      <c r="O834" s="38"/>
    </row>
    <row r="835" spans="1:15" ht="72" customHeight="1" x14ac:dyDescent="0.3">
      <c r="A835" s="242">
        <v>815</v>
      </c>
      <c r="B835" s="38" t="s">
        <v>12468</v>
      </c>
      <c r="C835" s="245" t="s">
        <v>13253</v>
      </c>
      <c r="D835" s="88"/>
      <c r="E835" s="245">
        <v>54</v>
      </c>
      <c r="F835" s="39">
        <f>241280.31/240*E835</f>
        <v>54288.069749999995</v>
      </c>
      <c r="G835" s="39">
        <f>82035.29/240*E835</f>
        <v>18457.94025</v>
      </c>
      <c r="H835" s="207"/>
      <c r="I835" s="207" t="s">
        <v>12545</v>
      </c>
      <c r="J835" s="66" t="s">
        <v>12547</v>
      </c>
      <c r="K835" s="207"/>
      <c r="L835" s="66"/>
      <c r="M835" s="201" t="s">
        <v>12550</v>
      </c>
      <c r="N835" s="207"/>
      <c r="O835" s="38"/>
    </row>
    <row r="836" spans="1:15" ht="72" customHeight="1" x14ac:dyDescent="0.3">
      <c r="A836" s="2">
        <v>816</v>
      </c>
      <c r="B836" s="38" t="s">
        <v>12468</v>
      </c>
      <c r="C836" s="245" t="s">
        <v>13254</v>
      </c>
      <c r="D836" s="88"/>
      <c r="E836" s="245">
        <v>47</v>
      </c>
      <c r="F836" s="39">
        <f>349467.94/184*E836</f>
        <v>89266.267282608693</v>
      </c>
      <c r="G836" s="39">
        <f>118819.13/184*E836</f>
        <v>30350.538641304345</v>
      </c>
      <c r="H836" s="207"/>
      <c r="I836" s="207" t="s">
        <v>12545</v>
      </c>
      <c r="J836" s="245" t="s">
        <v>12547</v>
      </c>
      <c r="K836" s="207"/>
      <c r="L836" s="66"/>
      <c r="M836" s="201" t="s">
        <v>12550</v>
      </c>
      <c r="N836" s="207"/>
      <c r="O836" s="38"/>
    </row>
    <row r="837" spans="1:15" ht="72" customHeight="1" x14ac:dyDescent="0.3">
      <c r="A837" s="242">
        <v>817</v>
      </c>
      <c r="B837" s="38" t="s">
        <v>12468</v>
      </c>
      <c r="C837" s="245" t="s">
        <v>13255</v>
      </c>
      <c r="D837" s="88"/>
      <c r="E837" s="245">
        <v>48</v>
      </c>
      <c r="F837" s="39">
        <f>349467.94/184*E837</f>
        <v>91165.549565217385</v>
      </c>
      <c r="G837" s="39">
        <f>118819.13/184*E837</f>
        <v>30996.294782608697</v>
      </c>
      <c r="H837" s="207"/>
      <c r="I837" s="207" t="s">
        <v>12545</v>
      </c>
      <c r="J837" s="245" t="s">
        <v>12547</v>
      </c>
      <c r="K837" s="207"/>
      <c r="L837" s="66"/>
      <c r="M837" s="201" t="s">
        <v>12550</v>
      </c>
      <c r="N837" s="207"/>
      <c r="O837" s="38"/>
    </row>
    <row r="838" spans="1:15" ht="72" customHeight="1" x14ac:dyDescent="0.3">
      <c r="A838" s="242">
        <v>818</v>
      </c>
      <c r="B838" s="38" t="s">
        <v>12468</v>
      </c>
      <c r="C838" s="245" t="s">
        <v>13256</v>
      </c>
      <c r="D838" s="88"/>
      <c r="E838" s="245">
        <v>45</v>
      </c>
      <c r="F838" s="39">
        <f>349467.94/184*E838</f>
        <v>85467.702717391308</v>
      </c>
      <c r="G838" s="39">
        <f>118819.13/184*E838</f>
        <v>29059.02635869565</v>
      </c>
      <c r="H838" s="207"/>
      <c r="I838" s="207" t="s">
        <v>12545</v>
      </c>
      <c r="J838" s="245" t="s">
        <v>12547</v>
      </c>
      <c r="K838" s="207"/>
      <c r="L838" s="66"/>
      <c r="M838" s="201" t="s">
        <v>12550</v>
      </c>
      <c r="N838" s="207"/>
      <c r="O838" s="38"/>
    </row>
    <row r="839" spans="1:15" ht="72" customHeight="1" x14ac:dyDescent="0.3">
      <c r="A839" s="242">
        <v>819</v>
      </c>
      <c r="B839" s="38" t="s">
        <v>12468</v>
      </c>
      <c r="C839" s="245" t="s">
        <v>13257</v>
      </c>
      <c r="D839" s="88"/>
      <c r="E839" s="245">
        <v>44</v>
      </c>
      <c r="F839" s="39">
        <f>349467.94/184*E839</f>
        <v>83568.420434782602</v>
      </c>
      <c r="G839" s="39">
        <f>118819.13/184*E839</f>
        <v>28413.270217391302</v>
      </c>
      <c r="H839" s="207"/>
      <c r="I839" s="207" t="s">
        <v>12545</v>
      </c>
      <c r="J839" s="245" t="s">
        <v>12547</v>
      </c>
      <c r="K839" s="207"/>
      <c r="L839" s="66"/>
      <c r="M839" s="201" t="s">
        <v>12550</v>
      </c>
      <c r="N839" s="207"/>
      <c r="O839" s="38" t="s">
        <v>23485</v>
      </c>
    </row>
    <row r="840" spans="1:15" ht="72" customHeight="1" x14ac:dyDescent="0.3">
      <c r="A840" s="242">
        <v>820</v>
      </c>
      <c r="B840" s="154" t="s">
        <v>12468</v>
      </c>
      <c r="C840" s="154" t="s">
        <v>12681</v>
      </c>
      <c r="D840" s="88"/>
      <c r="E840" s="134">
        <v>50</v>
      </c>
      <c r="F840" s="40">
        <f>146028.78/199.6*E840</f>
        <v>36580.355711422846</v>
      </c>
      <c r="G840" s="40">
        <f>28125.66/199.6*E840</f>
        <v>7045.5060120240487</v>
      </c>
      <c r="H840" s="207"/>
      <c r="I840" s="207" t="s">
        <v>12545</v>
      </c>
      <c r="J840" s="66" t="s">
        <v>12547</v>
      </c>
      <c r="K840" s="207"/>
      <c r="L840" s="66"/>
      <c r="M840" s="201" t="s">
        <v>12550</v>
      </c>
      <c r="N840" s="207"/>
      <c r="O840" s="38"/>
    </row>
    <row r="841" spans="1:15" ht="72" customHeight="1" x14ac:dyDescent="0.3">
      <c r="A841" s="242">
        <v>821</v>
      </c>
      <c r="B841" s="154" t="s">
        <v>12468</v>
      </c>
      <c r="C841" s="154" t="s">
        <v>12682</v>
      </c>
      <c r="D841" s="88"/>
      <c r="E841" s="134">
        <v>58</v>
      </c>
      <c r="F841" s="40">
        <f>146028.78/199.6*E841</f>
        <v>42433.212625250504</v>
      </c>
      <c r="G841" s="40">
        <f>28125.66/199.6*E841</f>
        <v>8172.7869739478965</v>
      </c>
      <c r="H841" s="207"/>
      <c r="I841" s="207" t="s">
        <v>12545</v>
      </c>
      <c r="J841" s="66" t="s">
        <v>12547</v>
      </c>
      <c r="K841" s="207"/>
      <c r="L841" s="66"/>
      <c r="M841" s="201" t="s">
        <v>12550</v>
      </c>
      <c r="N841" s="207"/>
      <c r="O841" s="38"/>
    </row>
    <row r="842" spans="1:15" ht="72" customHeight="1" x14ac:dyDescent="0.3">
      <c r="A842" s="242">
        <v>822</v>
      </c>
      <c r="B842" s="154" t="s">
        <v>12468</v>
      </c>
      <c r="C842" s="154" t="s">
        <v>12683</v>
      </c>
      <c r="D842" s="88"/>
      <c r="E842" s="134">
        <v>58</v>
      </c>
      <c r="F842" s="40">
        <f>146028.78/199.6*E842</f>
        <v>42433.212625250504</v>
      </c>
      <c r="G842" s="40">
        <f>28125.66/199.6*E842</f>
        <v>8172.7869739478965</v>
      </c>
      <c r="H842" s="207"/>
      <c r="I842" s="207" t="s">
        <v>12545</v>
      </c>
      <c r="J842" s="66" t="s">
        <v>12547</v>
      </c>
      <c r="K842" s="207"/>
      <c r="L842" s="66"/>
      <c r="M842" s="201" t="s">
        <v>12550</v>
      </c>
      <c r="N842" s="207"/>
      <c r="O842" s="38"/>
    </row>
    <row r="843" spans="1:15" ht="72" customHeight="1" x14ac:dyDescent="0.3">
      <c r="A843" s="2">
        <v>823</v>
      </c>
      <c r="B843" s="154" t="s">
        <v>12471</v>
      </c>
      <c r="C843" s="154" t="s">
        <v>12684</v>
      </c>
      <c r="D843" s="88" t="s">
        <v>14253</v>
      </c>
      <c r="E843" s="134">
        <v>31.9</v>
      </c>
      <c r="F843" s="40">
        <v>24582</v>
      </c>
      <c r="G843" s="40">
        <v>4734.58</v>
      </c>
      <c r="H843" s="25"/>
      <c r="I843" s="26">
        <v>42403</v>
      </c>
      <c r="J843" s="66" t="s">
        <v>14254</v>
      </c>
      <c r="K843" s="207"/>
      <c r="L843" s="66"/>
      <c r="M843" s="201" t="s">
        <v>12550</v>
      </c>
      <c r="N843" s="207"/>
      <c r="O843" s="38"/>
    </row>
    <row r="844" spans="1:15" ht="72" customHeight="1" x14ac:dyDescent="0.3">
      <c r="A844" s="2">
        <v>824</v>
      </c>
      <c r="B844" s="38" t="s">
        <v>12478</v>
      </c>
      <c r="C844" s="38" t="s">
        <v>20269</v>
      </c>
      <c r="D844" s="88"/>
      <c r="E844" s="20" t="s">
        <v>18027</v>
      </c>
      <c r="F844" s="39">
        <v>34434.06</v>
      </c>
      <c r="G844" s="39">
        <v>9297.1</v>
      </c>
      <c r="H844" s="207"/>
      <c r="I844" s="207" t="s">
        <v>12545</v>
      </c>
      <c r="J844" s="245" t="s">
        <v>12547</v>
      </c>
      <c r="K844" s="207"/>
      <c r="L844" s="66"/>
      <c r="M844" s="201" t="s">
        <v>12550</v>
      </c>
      <c r="N844" s="207"/>
      <c r="O844" s="38"/>
    </row>
    <row r="845" spans="1:15" ht="72" customHeight="1" x14ac:dyDescent="0.3">
      <c r="A845" s="242">
        <v>825</v>
      </c>
      <c r="B845" s="38" t="s">
        <v>12471</v>
      </c>
      <c r="C845" s="38" t="s">
        <v>12685</v>
      </c>
      <c r="D845" s="88"/>
      <c r="E845" s="245">
        <v>38.700000000000003</v>
      </c>
      <c r="F845" s="39">
        <f t="shared" ref="F845:F851" si="47">242094.88/290.9*E845</f>
        <v>32207.190979718122</v>
      </c>
      <c r="G845" s="39">
        <f t="shared" ref="G845:G851" si="48">99258.89/290.9*E845</f>
        <v>13204.946864902029</v>
      </c>
      <c r="H845" s="207"/>
      <c r="I845" s="207" t="s">
        <v>12545</v>
      </c>
      <c r="J845" s="66" t="s">
        <v>12547</v>
      </c>
      <c r="K845" s="207"/>
      <c r="L845" s="66"/>
      <c r="M845" s="201" t="s">
        <v>12550</v>
      </c>
      <c r="N845" s="207"/>
      <c r="O845" s="38"/>
    </row>
    <row r="846" spans="1:15" ht="72" customHeight="1" x14ac:dyDescent="0.3">
      <c r="A846" s="242">
        <v>826</v>
      </c>
      <c r="B846" s="38" t="s">
        <v>12468</v>
      </c>
      <c r="C846" s="38" t="s">
        <v>12686</v>
      </c>
      <c r="D846" s="88"/>
      <c r="E846" s="245">
        <v>43.4</v>
      </c>
      <c r="F846" s="39">
        <f t="shared" si="47"/>
        <v>36118.658618081819</v>
      </c>
      <c r="G846" s="39">
        <f t="shared" si="48"/>
        <v>14808.648422138192</v>
      </c>
      <c r="H846" s="207"/>
      <c r="I846" s="207" t="s">
        <v>12545</v>
      </c>
      <c r="J846" s="66" t="s">
        <v>12547</v>
      </c>
      <c r="K846" s="207"/>
      <c r="L846" s="66"/>
      <c r="M846" s="201" t="s">
        <v>12550</v>
      </c>
      <c r="N846" s="207"/>
      <c r="O846" s="38"/>
    </row>
    <row r="847" spans="1:15" ht="72" customHeight="1" x14ac:dyDescent="0.3">
      <c r="A847" s="242">
        <v>827</v>
      </c>
      <c r="B847" s="38" t="s">
        <v>12468</v>
      </c>
      <c r="C847" s="38" t="s">
        <v>12687</v>
      </c>
      <c r="D847" s="88"/>
      <c r="E847" s="245">
        <v>41.4</v>
      </c>
      <c r="F847" s="39">
        <f t="shared" si="47"/>
        <v>34454.2043038845</v>
      </c>
      <c r="G847" s="39">
        <f t="shared" si="48"/>
        <v>14126.222227569611</v>
      </c>
      <c r="H847" s="207"/>
      <c r="I847" s="207" t="s">
        <v>12545</v>
      </c>
      <c r="J847" s="66" t="s">
        <v>12547</v>
      </c>
      <c r="K847" s="207"/>
      <c r="L847" s="66"/>
      <c r="M847" s="201" t="s">
        <v>12550</v>
      </c>
      <c r="N847" s="207"/>
      <c r="O847" s="38"/>
    </row>
    <row r="848" spans="1:15" ht="72" customHeight="1" x14ac:dyDescent="0.3">
      <c r="A848" s="2">
        <v>828</v>
      </c>
      <c r="B848" s="38" t="s">
        <v>12468</v>
      </c>
      <c r="C848" s="38" t="s">
        <v>12688</v>
      </c>
      <c r="D848" s="88"/>
      <c r="E848" s="245">
        <v>41.4</v>
      </c>
      <c r="F848" s="39">
        <f t="shared" si="47"/>
        <v>34454.2043038845</v>
      </c>
      <c r="G848" s="39">
        <f t="shared" si="48"/>
        <v>14126.222227569611</v>
      </c>
      <c r="H848" s="207"/>
      <c r="I848" s="207" t="s">
        <v>12545</v>
      </c>
      <c r="J848" s="66" t="s">
        <v>12547</v>
      </c>
      <c r="K848" s="207"/>
      <c r="L848" s="66"/>
      <c r="M848" s="201" t="s">
        <v>12550</v>
      </c>
      <c r="N848" s="207"/>
      <c r="O848" s="38"/>
    </row>
    <row r="849" spans="1:15" ht="72" customHeight="1" x14ac:dyDescent="0.3">
      <c r="A849" s="242">
        <v>829</v>
      </c>
      <c r="B849" s="38" t="s">
        <v>12468</v>
      </c>
      <c r="C849" s="38" t="s">
        <v>12689</v>
      </c>
      <c r="D849" s="88"/>
      <c r="E849" s="245">
        <v>42.4</v>
      </c>
      <c r="F849" s="39">
        <f t="shared" si="47"/>
        <v>35286.431460983156</v>
      </c>
      <c r="G849" s="39">
        <f t="shared" si="48"/>
        <v>14467.435324853901</v>
      </c>
      <c r="H849" s="207"/>
      <c r="I849" s="207" t="s">
        <v>12545</v>
      </c>
      <c r="J849" s="66" t="s">
        <v>12547</v>
      </c>
      <c r="K849" s="207"/>
      <c r="L849" s="66"/>
      <c r="M849" s="201" t="s">
        <v>12550</v>
      </c>
      <c r="N849" s="207"/>
      <c r="O849" s="38"/>
    </row>
    <row r="850" spans="1:15" ht="72" customHeight="1" x14ac:dyDescent="0.3">
      <c r="A850" s="2">
        <v>830</v>
      </c>
      <c r="B850" s="38" t="s">
        <v>12468</v>
      </c>
      <c r="C850" s="38" t="s">
        <v>12690</v>
      </c>
      <c r="D850" s="88"/>
      <c r="E850" s="245">
        <v>44</v>
      </c>
      <c r="F850" s="39">
        <f t="shared" si="47"/>
        <v>36617.994912341012</v>
      </c>
      <c r="G850" s="39">
        <f t="shared" si="48"/>
        <v>15013.376280508766</v>
      </c>
      <c r="H850" s="207"/>
      <c r="I850" s="207" t="s">
        <v>12545</v>
      </c>
      <c r="J850" s="66" t="s">
        <v>12547</v>
      </c>
      <c r="K850" s="207"/>
      <c r="L850" s="66"/>
      <c r="M850" s="201" t="s">
        <v>12550</v>
      </c>
      <c r="N850" s="207"/>
      <c r="O850" s="38"/>
    </row>
    <row r="851" spans="1:15" ht="72" customHeight="1" x14ac:dyDescent="0.3">
      <c r="A851" s="2">
        <v>831</v>
      </c>
      <c r="B851" s="38" t="s">
        <v>12471</v>
      </c>
      <c r="C851" s="38" t="s">
        <v>12691</v>
      </c>
      <c r="D851" s="88"/>
      <c r="E851" s="245">
        <v>39.6</v>
      </c>
      <c r="F851" s="39">
        <f t="shared" si="47"/>
        <v>32956.195421106917</v>
      </c>
      <c r="G851" s="39">
        <f t="shared" si="48"/>
        <v>13512.03865245789</v>
      </c>
      <c r="H851" s="207"/>
      <c r="I851" s="207" t="s">
        <v>12545</v>
      </c>
      <c r="J851" s="66" t="s">
        <v>12547</v>
      </c>
      <c r="K851" s="207"/>
      <c r="L851" s="66"/>
      <c r="M851" s="201" t="s">
        <v>12550</v>
      </c>
      <c r="N851" s="207"/>
      <c r="O851" s="38"/>
    </row>
    <row r="852" spans="1:15" ht="72" customHeight="1" x14ac:dyDescent="0.3">
      <c r="A852" s="242">
        <v>832</v>
      </c>
      <c r="B852" s="38" t="s">
        <v>12468</v>
      </c>
      <c r="C852" s="38" t="s">
        <v>12692</v>
      </c>
      <c r="D852" s="88"/>
      <c r="E852" s="245">
        <v>43.1</v>
      </c>
      <c r="F852" s="39">
        <f>402754.95/371.8*E852</f>
        <v>46688.376398601402</v>
      </c>
      <c r="G852" s="39">
        <f>161101.95/371.8*E852</f>
        <v>18675.34708176439</v>
      </c>
      <c r="H852" s="207"/>
      <c r="I852" s="207" t="s">
        <v>12545</v>
      </c>
      <c r="J852" s="66" t="s">
        <v>12547</v>
      </c>
      <c r="K852" s="207"/>
      <c r="L852" s="66"/>
      <c r="M852" s="201" t="s">
        <v>12550</v>
      </c>
      <c r="N852" s="207"/>
      <c r="O852" s="38"/>
    </row>
    <row r="853" spans="1:15" ht="72" customHeight="1" x14ac:dyDescent="0.3">
      <c r="A853" s="242">
        <v>833</v>
      </c>
      <c r="B853" s="38" t="s">
        <v>12468</v>
      </c>
      <c r="C853" s="38" t="s">
        <v>12693</v>
      </c>
      <c r="D853" s="88"/>
      <c r="E853" s="245">
        <v>44.5</v>
      </c>
      <c r="F853" s="39">
        <f>402754.95/371.8*E853</f>
        <v>48204.936188811189</v>
      </c>
      <c r="G853" s="39">
        <f>161101.95/371.8*E853</f>
        <v>19281.970884884347</v>
      </c>
      <c r="H853" s="207"/>
      <c r="I853" s="207" t="s">
        <v>12545</v>
      </c>
      <c r="J853" s="66" t="s">
        <v>12547</v>
      </c>
      <c r="K853" s="207"/>
      <c r="L853" s="66"/>
      <c r="M853" s="201" t="s">
        <v>12550</v>
      </c>
      <c r="N853" s="207"/>
      <c r="O853" s="38"/>
    </row>
    <row r="854" spans="1:15" ht="84" customHeight="1" x14ac:dyDescent="0.3">
      <c r="A854" s="242">
        <v>834</v>
      </c>
      <c r="B854" s="38" t="s">
        <v>12467</v>
      </c>
      <c r="C854" s="38" t="s">
        <v>12694</v>
      </c>
      <c r="D854" s="88"/>
      <c r="E854" s="245">
        <v>54</v>
      </c>
      <c r="F854" s="39">
        <v>60662.39</v>
      </c>
      <c r="G854" s="39">
        <v>24264.95</v>
      </c>
      <c r="H854" s="207"/>
      <c r="I854" s="207" t="s">
        <v>12545</v>
      </c>
      <c r="J854" s="66" t="s">
        <v>12547</v>
      </c>
      <c r="K854" s="207" t="s">
        <v>16962</v>
      </c>
      <c r="L854" s="66" t="s">
        <v>16963</v>
      </c>
      <c r="M854" s="201" t="s">
        <v>12550</v>
      </c>
      <c r="N854" s="207"/>
      <c r="O854" s="38"/>
    </row>
    <row r="855" spans="1:15" ht="72" customHeight="1" x14ac:dyDescent="0.3">
      <c r="A855" s="2">
        <v>835</v>
      </c>
      <c r="B855" s="38" t="s">
        <v>12468</v>
      </c>
      <c r="C855" s="38" t="s">
        <v>12695</v>
      </c>
      <c r="D855" s="88"/>
      <c r="E855" s="245">
        <v>44.5</v>
      </c>
      <c r="F855" s="39">
        <f>402754.95/371.8*E855</f>
        <v>48204.936188811189</v>
      </c>
      <c r="G855" s="39">
        <f>161101.95/371.8*E855</f>
        <v>19281.970884884347</v>
      </c>
      <c r="H855" s="207"/>
      <c r="I855" s="207" t="s">
        <v>12545</v>
      </c>
      <c r="J855" s="245" t="s">
        <v>12547</v>
      </c>
      <c r="K855" s="207"/>
      <c r="L855" s="66"/>
      <c r="M855" s="201" t="s">
        <v>12550</v>
      </c>
      <c r="N855" s="207"/>
      <c r="O855" s="38"/>
    </row>
    <row r="856" spans="1:15" ht="72" customHeight="1" x14ac:dyDescent="0.3">
      <c r="A856" s="2">
        <v>836</v>
      </c>
      <c r="B856" s="38" t="s">
        <v>12468</v>
      </c>
      <c r="C856" s="38" t="s">
        <v>12696</v>
      </c>
      <c r="D856" s="88"/>
      <c r="E856" s="245">
        <v>56</v>
      </c>
      <c r="F856" s="39">
        <f>402754.95/371.8*E856</f>
        <v>60662.391608391612</v>
      </c>
      <c r="G856" s="39">
        <f>161101.95/371.8*E856</f>
        <v>24264.952124798281</v>
      </c>
      <c r="H856" s="207"/>
      <c r="I856" s="207" t="s">
        <v>12545</v>
      </c>
      <c r="J856" s="245" t="s">
        <v>12547</v>
      </c>
      <c r="K856" s="207"/>
      <c r="L856" s="66"/>
      <c r="M856" s="201" t="s">
        <v>12550</v>
      </c>
      <c r="N856" s="207"/>
      <c r="O856" s="38"/>
    </row>
    <row r="857" spans="1:15" ht="72" customHeight="1" x14ac:dyDescent="0.3">
      <c r="A857" s="242">
        <v>837</v>
      </c>
      <c r="B857" s="38" t="s">
        <v>12468</v>
      </c>
      <c r="C857" s="38" t="s">
        <v>12697</v>
      </c>
      <c r="D857" s="88"/>
      <c r="E857" s="245">
        <v>45.7</v>
      </c>
      <c r="F857" s="39">
        <f>402754.95/371.8*E857</f>
        <v>49504.844580419587</v>
      </c>
      <c r="G857" s="39">
        <f>161101.95/371.8*E857</f>
        <v>19801.934144701456</v>
      </c>
      <c r="H857" s="207"/>
      <c r="I857" s="207" t="s">
        <v>12545</v>
      </c>
      <c r="J857" s="66" t="s">
        <v>12547</v>
      </c>
      <c r="K857" s="207"/>
      <c r="L857" s="66"/>
      <c r="M857" s="201" t="s">
        <v>12550</v>
      </c>
      <c r="N857" s="207"/>
      <c r="O857" s="38"/>
    </row>
    <row r="858" spans="1:15" ht="144" customHeight="1" x14ac:dyDescent="0.3">
      <c r="A858" s="242">
        <v>838</v>
      </c>
      <c r="B858" s="38" t="s">
        <v>12468</v>
      </c>
      <c r="C858" s="38" t="s">
        <v>12698</v>
      </c>
      <c r="D858" s="88"/>
      <c r="E858" s="245">
        <v>41.5</v>
      </c>
      <c r="F858" s="39">
        <f>402754.95/371.8*E858</f>
        <v>44955.165209790212</v>
      </c>
      <c r="G858" s="39">
        <f>161101.95/371.8*E858</f>
        <v>17982.062735341584</v>
      </c>
      <c r="H858" s="207"/>
      <c r="I858" s="207" t="s">
        <v>12545</v>
      </c>
      <c r="J858" s="66" t="s">
        <v>12547</v>
      </c>
      <c r="K858" s="26">
        <v>43424</v>
      </c>
      <c r="L858" s="66" t="s">
        <v>21423</v>
      </c>
      <c r="M858" s="201" t="s">
        <v>12550</v>
      </c>
      <c r="N858" s="207"/>
      <c r="O858" s="38"/>
    </row>
    <row r="859" spans="1:15" ht="108" x14ac:dyDescent="0.3">
      <c r="A859" s="2">
        <v>839</v>
      </c>
      <c r="B859" s="38" t="s">
        <v>12468</v>
      </c>
      <c r="C859" s="38" t="s">
        <v>12699</v>
      </c>
      <c r="D859" s="88" t="s">
        <v>23670</v>
      </c>
      <c r="E859" s="245">
        <v>40.5</v>
      </c>
      <c r="F859" s="39">
        <f>402754.95/371.8*E859</f>
        <v>43871.908216783217</v>
      </c>
      <c r="G859" s="39">
        <f>161101.95/371.8*E859</f>
        <v>17548.760018827328</v>
      </c>
      <c r="H859" s="207"/>
      <c r="I859" s="207" t="s">
        <v>12545</v>
      </c>
      <c r="J859" s="245" t="s">
        <v>12547</v>
      </c>
      <c r="K859" s="207" t="s">
        <v>23671</v>
      </c>
      <c r="L859" s="66" t="s">
        <v>23672</v>
      </c>
      <c r="M859" s="201" t="s">
        <v>12550</v>
      </c>
      <c r="N859" s="207"/>
      <c r="O859" s="38" t="s">
        <v>20730</v>
      </c>
    </row>
    <row r="860" spans="1:15" ht="72" customHeight="1" x14ac:dyDescent="0.3">
      <c r="A860" s="2">
        <v>840</v>
      </c>
      <c r="B860" s="38" t="s">
        <v>12468</v>
      </c>
      <c r="C860" s="38" t="s">
        <v>12700</v>
      </c>
      <c r="D860" s="88"/>
      <c r="E860" s="245">
        <v>42.5</v>
      </c>
      <c r="F860" s="39">
        <f>218086.66/244.1*E860</f>
        <v>37970.844121261784</v>
      </c>
      <c r="G860" s="39">
        <f>87234.62/244.1*E860</f>
        <v>15188.329987709954</v>
      </c>
      <c r="H860" s="207"/>
      <c r="I860" s="207" t="s">
        <v>12545</v>
      </c>
      <c r="J860" s="245" t="s">
        <v>12547</v>
      </c>
      <c r="K860" s="207"/>
      <c r="L860" s="66"/>
      <c r="M860" s="201" t="s">
        <v>12550</v>
      </c>
      <c r="N860" s="207"/>
      <c r="O860" s="38"/>
    </row>
    <row r="861" spans="1:15" ht="72" customHeight="1" x14ac:dyDescent="0.3">
      <c r="A861" s="2">
        <v>841</v>
      </c>
      <c r="B861" s="38" t="s">
        <v>12471</v>
      </c>
      <c r="C861" s="38" t="s">
        <v>12701</v>
      </c>
      <c r="D861" s="88"/>
      <c r="E861" s="245">
        <v>39.6</v>
      </c>
      <c r="F861" s="39">
        <f>218086.66/244.1*E861</f>
        <v>35379.892404752158</v>
      </c>
      <c r="G861" s="39">
        <f>87234.62/244.1*E861</f>
        <v>14151.949823842688</v>
      </c>
      <c r="H861" s="207"/>
      <c r="I861" s="207" t="s">
        <v>12545</v>
      </c>
      <c r="J861" s="245" t="s">
        <v>12547</v>
      </c>
      <c r="K861" s="207"/>
      <c r="L861" s="66"/>
      <c r="M861" s="201" t="s">
        <v>12550</v>
      </c>
      <c r="N861" s="207"/>
      <c r="O861" s="38"/>
    </row>
    <row r="862" spans="1:15" ht="72" customHeight="1" x14ac:dyDescent="0.3">
      <c r="A862" s="242">
        <v>842</v>
      </c>
      <c r="B862" s="38" t="s">
        <v>12468</v>
      </c>
      <c r="C862" s="38" t="s">
        <v>12702</v>
      </c>
      <c r="D862" s="88"/>
      <c r="E862" s="245">
        <v>41.7</v>
      </c>
      <c r="F862" s="39">
        <f>218086.66/244.1*E862</f>
        <v>37256.098820155683</v>
      </c>
      <c r="G862" s="39">
        <f>87234.62/244.1*E862</f>
        <v>14902.432011470708</v>
      </c>
      <c r="H862" s="207"/>
      <c r="I862" s="207" t="s">
        <v>12545</v>
      </c>
      <c r="J862" s="245" t="s">
        <v>12547</v>
      </c>
      <c r="K862" s="207"/>
      <c r="L862" s="66"/>
      <c r="M862" s="201" t="s">
        <v>12550</v>
      </c>
      <c r="N862" s="207"/>
      <c r="O862" s="38"/>
    </row>
    <row r="863" spans="1:15" ht="72" customHeight="1" x14ac:dyDescent="0.3">
      <c r="A863" s="242">
        <v>843</v>
      </c>
      <c r="B863" s="38" t="s">
        <v>12468</v>
      </c>
      <c r="C863" s="38" t="s">
        <v>12703</v>
      </c>
      <c r="D863" s="88"/>
      <c r="E863" s="245">
        <v>55.9</v>
      </c>
      <c r="F863" s="39">
        <f>218086.66/244.1*E863</f>
        <v>49942.827914789028</v>
      </c>
      <c r="G863" s="39">
        <f>87234.62/244.1*E863</f>
        <v>19977.121089717326</v>
      </c>
      <c r="H863" s="207"/>
      <c r="I863" s="207" t="s">
        <v>12545</v>
      </c>
      <c r="J863" s="66" t="s">
        <v>12547</v>
      </c>
      <c r="K863" s="207"/>
      <c r="L863" s="66"/>
      <c r="M863" s="201" t="s">
        <v>12550</v>
      </c>
      <c r="N863" s="207"/>
      <c r="O863" s="38"/>
    </row>
    <row r="864" spans="1:15" ht="72" customHeight="1" x14ac:dyDescent="0.3">
      <c r="A864" s="242">
        <v>844</v>
      </c>
      <c r="B864" s="38" t="s">
        <v>12471</v>
      </c>
      <c r="C864" s="38" t="s">
        <v>12704</v>
      </c>
      <c r="D864" s="88"/>
      <c r="E864" s="245">
        <v>32.200000000000003</v>
      </c>
      <c r="F864" s="39">
        <f>218086.66/244.1*E864</f>
        <v>28768.498369520694</v>
      </c>
      <c r="G864" s="39">
        <f>87234.62/244.1*E864</f>
        <v>11507.39354362966</v>
      </c>
      <c r="H864" s="207"/>
      <c r="I864" s="207" t="s">
        <v>12545</v>
      </c>
      <c r="J864" s="245" t="s">
        <v>12547</v>
      </c>
      <c r="K864" s="207"/>
      <c r="L864" s="66"/>
      <c r="M864" s="201" t="s">
        <v>12550</v>
      </c>
      <c r="N864" s="207"/>
      <c r="O864" s="38"/>
    </row>
    <row r="865" spans="1:15" ht="72" customHeight="1" x14ac:dyDescent="0.3">
      <c r="A865" s="242">
        <v>844</v>
      </c>
      <c r="B865" s="38" t="s">
        <v>12471</v>
      </c>
      <c r="C865" s="38" t="s">
        <v>20134</v>
      </c>
      <c r="D865" s="88"/>
      <c r="E865" s="245">
        <v>49.3</v>
      </c>
      <c r="F865" s="39">
        <f>880219.18/436.7*E865</f>
        <v>99369.831861689949</v>
      </c>
      <c r="G865" s="39">
        <f>264065.78/436.7*E865</f>
        <v>29810.952493702775</v>
      </c>
      <c r="H865" s="207"/>
      <c r="I865" s="207" t="s">
        <v>12545</v>
      </c>
      <c r="J865" s="66" t="s">
        <v>12547</v>
      </c>
      <c r="K865" s="207"/>
      <c r="L865" s="66"/>
      <c r="M865" s="201" t="s">
        <v>12550</v>
      </c>
      <c r="N865" s="207"/>
      <c r="O865" s="38"/>
    </row>
    <row r="866" spans="1:15" ht="72" customHeight="1" x14ac:dyDescent="0.3">
      <c r="A866" s="242">
        <v>846</v>
      </c>
      <c r="B866" s="38" t="s">
        <v>12468</v>
      </c>
      <c r="C866" s="38" t="s">
        <v>12705</v>
      </c>
      <c r="D866" s="88"/>
      <c r="E866" s="245">
        <v>48.4</v>
      </c>
      <c r="F866" s="39">
        <f>250136.22/135.3*E866</f>
        <v>89479.62341463413</v>
      </c>
      <c r="G866" s="39">
        <f>85046.24/135.3*E866</f>
        <v>30423.04520325203</v>
      </c>
      <c r="H866" s="207"/>
      <c r="I866" s="207" t="s">
        <v>12545</v>
      </c>
      <c r="J866" s="66" t="s">
        <v>12547</v>
      </c>
      <c r="K866" s="207"/>
      <c r="L866" s="66"/>
      <c r="M866" s="201" t="s">
        <v>12550</v>
      </c>
      <c r="N866" s="207"/>
      <c r="O866" s="38"/>
    </row>
    <row r="867" spans="1:15" ht="72" customHeight="1" x14ac:dyDescent="0.3">
      <c r="A867" s="242">
        <v>847</v>
      </c>
      <c r="B867" s="38" t="s">
        <v>12468</v>
      </c>
      <c r="C867" s="38" t="s">
        <v>12706</v>
      </c>
      <c r="D867" s="88"/>
      <c r="E867" s="245">
        <v>43.9</v>
      </c>
      <c r="F867" s="39">
        <f>250136.22/135.3*E867</f>
        <v>81160.236940133022</v>
      </c>
      <c r="G867" s="39">
        <f>85046.24/135.3*E867</f>
        <v>27594.456289726531</v>
      </c>
      <c r="H867" s="207"/>
      <c r="I867" s="207" t="s">
        <v>12545</v>
      </c>
      <c r="J867" s="66" t="s">
        <v>12547</v>
      </c>
      <c r="K867" s="207"/>
      <c r="L867" s="66"/>
      <c r="M867" s="201" t="s">
        <v>12550</v>
      </c>
      <c r="N867" s="207"/>
      <c r="O867" s="38"/>
    </row>
    <row r="868" spans="1:15" ht="72" customHeight="1" x14ac:dyDescent="0.3">
      <c r="A868" s="2">
        <v>848</v>
      </c>
      <c r="B868" s="38" t="s">
        <v>12468</v>
      </c>
      <c r="C868" s="38" t="s">
        <v>12707</v>
      </c>
      <c r="D868" s="88"/>
      <c r="E868" s="245">
        <v>43</v>
      </c>
      <c r="F868" s="39">
        <f>250136.22/135.3*E868</f>
        <v>79496.359645232806</v>
      </c>
      <c r="G868" s="39">
        <f>85046.24/135.3*E868</f>
        <v>27028.73850702143</v>
      </c>
      <c r="H868" s="207"/>
      <c r="I868" s="207" t="s">
        <v>12545</v>
      </c>
      <c r="J868" s="66" t="s">
        <v>12547</v>
      </c>
      <c r="K868" s="207"/>
      <c r="L868" s="66"/>
      <c r="M868" s="201" t="s">
        <v>12550</v>
      </c>
      <c r="N868" s="207"/>
      <c r="O868" s="38"/>
    </row>
    <row r="869" spans="1:15" ht="72" customHeight="1" x14ac:dyDescent="0.3">
      <c r="A869" s="242">
        <v>849</v>
      </c>
      <c r="B869" s="38" t="s">
        <v>12468</v>
      </c>
      <c r="C869" s="38" t="s">
        <v>12708</v>
      </c>
      <c r="D869" s="88"/>
      <c r="E869" s="245">
        <v>49.9</v>
      </c>
      <c r="F869" s="39">
        <f>492413.27/248.4*E869</f>
        <v>98918.768812399358</v>
      </c>
      <c r="G869" s="39">
        <f>157572.23/248.4*E869</f>
        <v>31654.002725442839</v>
      </c>
      <c r="H869" s="207"/>
      <c r="I869" s="207" t="s">
        <v>12545</v>
      </c>
      <c r="J869" s="245" t="s">
        <v>12547</v>
      </c>
      <c r="K869" s="207"/>
      <c r="L869" s="66"/>
      <c r="M869" s="201" t="s">
        <v>12550</v>
      </c>
      <c r="N869" s="207"/>
      <c r="O869" s="38"/>
    </row>
    <row r="870" spans="1:15" ht="72" customHeight="1" x14ac:dyDescent="0.3">
      <c r="A870" s="2">
        <v>850</v>
      </c>
      <c r="B870" s="38" t="s">
        <v>12468</v>
      </c>
      <c r="C870" s="38" t="s">
        <v>12709</v>
      </c>
      <c r="D870" s="88"/>
      <c r="E870" s="245">
        <v>44.3</v>
      </c>
      <c r="F870" s="39">
        <f>492413.27/248.4*E870</f>
        <v>87817.664496779384</v>
      </c>
      <c r="G870" s="39">
        <f>157572.23/248.4*E870</f>
        <v>28101.649714170693</v>
      </c>
      <c r="H870" s="207"/>
      <c r="I870" s="207" t="s">
        <v>12545</v>
      </c>
      <c r="J870" s="66" t="s">
        <v>12547</v>
      </c>
      <c r="K870" s="207"/>
      <c r="L870" s="66"/>
      <c r="M870" s="201" t="s">
        <v>12550</v>
      </c>
      <c r="N870" s="207"/>
      <c r="O870" s="38"/>
    </row>
    <row r="871" spans="1:15" ht="72" customHeight="1" x14ac:dyDescent="0.3">
      <c r="A871" s="242">
        <v>851</v>
      </c>
      <c r="B871" s="38" t="s">
        <v>12468</v>
      </c>
      <c r="C871" s="38" t="s">
        <v>12710</v>
      </c>
      <c r="D871" s="88"/>
      <c r="E871" s="245">
        <v>50</v>
      </c>
      <c r="F871" s="39">
        <f>492413.27/248.4*E871</f>
        <v>99117.002818035427</v>
      </c>
      <c r="G871" s="39">
        <f>157572.23/248.4*E871</f>
        <v>31717.437600644127</v>
      </c>
      <c r="H871" s="207"/>
      <c r="I871" s="207" t="s">
        <v>12545</v>
      </c>
      <c r="J871" s="66" t="s">
        <v>12547</v>
      </c>
      <c r="K871" s="207"/>
      <c r="L871" s="66"/>
      <c r="M871" s="201" t="s">
        <v>12550</v>
      </c>
      <c r="N871" s="207"/>
      <c r="O871" s="38"/>
    </row>
    <row r="872" spans="1:15" ht="72" customHeight="1" x14ac:dyDescent="0.3">
      <c r="A872" s="242">
        <v>852</v>
      </c>
      <c r="B872" s="38" t="s">
        <v>12468</v>
      </c>
      <c r="C872" s="38" t="s">
        <v>12711</v>
      </c>
      <c r="D872" s="88"/>
      <c r="E872" s="245">
        <v>63.2</v>
      </c>
      <c r="F872" s="39">
        <f>492413.27/248.4*E872</f>
        <v>125283.89156199679</v>
      </c>
      <c r="G872" s="39">
        <f>157572.23/248.4*E872</f>
        <v>40090.841127214175</v>
      </c>
      <c r="H872" s="207"/>
      <c r="I872" s="207" t="s">
        <v>12545</v>
      </c>
      <c r="J872" s="66" t="s">
        <v>12547</v>
      </c>
      <c r="K872" s="207"/>
      <c r="L872" s="66"/>
      <c r="M872" s="201" t="s">
        <v>12550</v>
      </c>
      <c r="N872" s="207"/>
      <c r="O872" s="38" t="s">
        <v>21568</v>
      </c>
    </row>
    <row r="873" spans="1:15" ht="72" customHeight="1" x14ac:dyDescent="0.3">
      <c r="A873" s="242">
        <v>853</v>
      </c>
      <c r="B873" s="38" t="s">
        <v>12468</v>
      </c>
      <c r="C873" s="38" t="s">
        <v>12712</v>
      </c>
      <c r="D873" s="88"/>
      <c r="E873" s="245">
        <v>41</v>
      </c>
      <c r="F873" s="39">
        <f>492413.27/248.4*E873</f>
        <v>81275.942310789047</v>
      </c>
      <c r="G873" s="39">
        <f>157572.23/248.4*E873</f>
        <v>26008.298832528184</v>
      </c>
      <c r="H873" s="207"/>
      <c r="I873" s="207" t="s">
        <v>12545</v>
      </c>
      <c r="J873" s="66" t="s">
        <v>12547</v>
      </c>
      <c r="K873" s="207"/>
      <c r="L873" s="66"/>
      <c r="M873" s="201" t="s">
        <v>12550</v>
      </c>
      <c r="N873" s="207"/>
      <c r="O873" s="38"/>
    </row>
    <row r="874" spans="1:15" ht="72" customHeight="1" x14ac:dyDescent="0.3">
      <c r="A874" s="242">
        <v>854</v>
      </c>
      <c r="B874" s="38" t="s">
        <v>12468</v>
      </c>
      <c r="C874" s="38" t="s">
        <v>12713</v>
      </c>
      <c r="D874" s="88"/>
      <c r="E874" s="245">
        <v>57</v>
      </c>
      <c r="F874" s="39">
        <f>249125.54/190.7*E874</f>
        <v>74463.323439958054</v>
      </c>
      <c r="G874" s="39">
        <f>77228.94/190.7*E874</f>
        <v>23083.637021499741</v>
      </c>
      <c r="H874" s="207"/>
      <c r="I874" s="207" t="s">
        <v>12545</v>
      </c>
      <c r="J874" s="66" t="s">
        <v>12547</v>
      </c>
      <c r="K874" s="207"/>
      <c r="L874" s="66"/>
      <c r="M874" s="201" t="s">
        <v>12550</v>
      </c>
      <c r="N874" s="207"/>
      <c r="O874" s="38"/>
    </row>
    <row r="875" spans="1:15" ht="72" customHeight="1" x14ac:dyDescent="0.3">
      <c r="A875" s="242">
        <v>855</v>
      </c>
      <c r="B875" s="38" t="s">
        <v>12468</v>
      </c>
      <c r="C875" s="38" t="s">
        <v>12714</v>
      </c>
      <c r="D875" s="88"/>
      <c r="E875" s="245">
        <v>53.7</v>
      </c>
      <c r="F875" s="39">
        <f>249125.54/190.7*E875</f>
        <v>70152.288925013127</v>
      </c>
      <c r="G875" s="39">
        <f>77228.94/190.7*E875</f>
        <v>21747.215930781334</v>
      </c>
      <c r="H875" s="207"/>
      <c r="I875" s="207" t="s">
        <v>12545</v>
      </c>
      <c r="J875" s="66" t="s">
        <v>12547</v>
      </c>
      <c r="K875" s="207"/>
      <c r="L875" s="66"/>
      <c r="M875" s="201" t="s">
        <v>12550</v>
      </c>
      <c r="N875" s="207"/>
      <c r="O875" s="38"/>
    </row>
    <row r="876" spans="1:15" ht="72" customHeight="1" x14ac:dyDescent="0.3">
      <c r="A876" s="242">
        <v>856</v>
      </c>
      <c r="B876" s="38" t="s">
        <v>12468</v>
      </c>
      <c r="C876" s="38" t="s">
        <v>12715</v>
      </c>
      <c r="D876" s="88"/>
      <c r="E876" s="245">
        <v>49</v>
      </c>
      <c r="F876" s="39">
        <f>249125.54/190.7*E876</f>
        <v>64012.330676455174</v>
      </c>
      <c r="G876" s="39">
        <f>77228.94/190.7*E876</f>
        <v>19843.828316727846</v>
      </c>
      <c r="H876" s="207"/>
      <c r="I876" s="207" t="s">
        <v>12545</v>
      </c>
      <c r="J876" s="66" t="s">
        <v>12547</v>
      </c>
      <c r="K876" s="207"/>
      <c r="L876" s="66"/>
      <c r="M876" s="201" t="s">
        <v>12550</v>
      </c>
      <c r="N876" s="207"/>
      <c r="O876" s="38"/>
    </row>
    <row r="877" spans="1:15" ht="72" customHeight="1" x14ac:dyDescent="0.3">
      <c r="A877" s="242">
        <v>857</v>
      </c>
      <c r="B877" s="38" t="s">
        <v>12471</v>
      </c>
      <c r="C877" s="38" t="s">
        <v>12716</v>
      </c>
      <c r="D877" s="88"/>
      <c r="E877" s="245">
        <v>31</v>
      </c>
      <c r="F877" s="39">
        <f>249125.54/190.7*E877</f>
        <v>40497.596958573682</v>
      </c>
      <c r="G877" s="39">
        <f>77228.94/190.7*E877</f>
        <v>12554.258730991087</v>
      </c>
      <c r="H877" s="207"/>
      <c r="I877" s="207" t="s">
        <v>12545</v>
      </c>
      <c r="J877" s="66" t="s">
        <v>12547</v>
      </c>
      <c r="K877" s="207"/>
      <c r="L877" s="66"/>
      <c r="M877" s="201" t="s">
        <v>12550</v>
      </c>
      <c r="N877" s="207"/>
      <c r="O877" s="38"/>
    </row>
    <row r="878" spans="1:15" ht="72" customHeight="1" x14ac:dyDescent="0.3">
      <c r="A878" s="2">
        <v>858</v>
      </c>
      <c r="B878" s="38" t="s">
        <v>12468</v>
      </c>
      <c r="C878" s="38" t="s">
        <v>12717</v>
      </c>
      <c r="D878" s="88"/>
      <c r="E878" s="245">
        <v>53.7</v>
      </c>
      <c r="F878" s="39">
        <f t="shared" ref="F878:F883" si="49">378393.23/314*E878</f>
        <v>64712.472773885347</v>
      </c>
      <c r="G878" s="39">
        <f t="shared" ref="G878:G883" si="50">79462.59/314*E878</f>
        <v>13589.621283439492</v>
      </c>
      <c r="H878" s="207"/>
      <c r="I878" s="207" t="s">
        <v>12545</v>
      </c>
      <c r="J878" s="66" t="s">
        <v>12547</v>
      </c>
      <c r="K878" s="207"/>
      <c r="L878" s="66"/>
      <c r="M878" s="201" t="s">
        <v>12550</v>
      </c>
      <c r="N878" s="207"/>
      <c r="O878" s="38"/>
    </row>
    <row r="879" spans="1:15" ht="72" customHeight="1" x14ac:dyDescent="0.3">
      <c r="A879" s="242">
        <v>859</v>
      </c>
      <c r="B879" s="38" t="s">
        <v>12468</v>
      </c>
      <c r="C879" s="38" t="s">
        <v>12718</v>
      </c>
      <c r="D879" s="88"/>
      <c r="E879" s="245">
        <v>53.2</v>
      </c>
      <c r="F879" s="39">
        <f t="shared" si="49"/>
        <v>64109.93578343949</v>
      </c>
      <c r="G879" s="39">
        <f t="shared" si="50"/>
        <v>13463.088496815288</v>
      </c>
      <c r="H879" s="207"/>
      <c r="I879" s="207" t="s">
        <v>12545</v>
      </c>
      <c r="J879" s="66" t="s">
        <v>12547</v>
      </c>
      <c r="K879" s="207"/>
      <c r="L879" s="66"/>
      <c r="M879" s="201" t="s">
        <v>12550</v>
      </c>
      <c r="N879" s="207"/>
      <c r="O879" s="38"/>
    </row>
    <row r="880" spans="1:15" ht="72" customHeight="1" x14ac:dyDescent="0.3">
      <c r="A880" s="242">
        <v>860</v>
      </c>
      <c r="B880" s="38" t="s">
        <v>12468</v>
      </c>
      <c r="C880" s="38" t="s">
        <v>12719</v>
      </c>
      <c r="D880" s="88"/>
      <c r="E880" s="245">
        <v>53.2</v>
      </c>
      <c r="F880" s="39">
        <f t="shared" si="49"/>
        <v>64109.93578343949</v>
      </c>
      <c r="G880" s="39">
        <f t="shared" si="50"/>
        <v>13463.088496815288</v>
      </c>
      <c r="H880" s="207"/>
      <c r="I880" s="207" t="s">
        <v>12545</v>
      </c>
      <c r="J880" s="66" t="s">
        <v>12547</v>
      </c>
      <c r="K880" s="207"/>
      <c r="L880" s="66"/>
      <c r="M880" s="201" t="s">
        <v>12550</v>
      </c>
      <c r="N880" s="207"/>
      <c r="O880" s="38"/>
    </row>
    <row r="881" spans="1:15" ht="72" customHeight="1" x14ac:dyDescent="0.3">
      <c r="A881" s="242">
        <v>861</v>
      </c>
      <c r="B881" s="38" t="s">
        <v>12468</v>
      </c>
      <c r="C881" s="38" t="s">
        <v>12720</v>
      </c>
      <c r="D881" s="88"/>
      <c r="E881" s="245">
        <v>52.9</v>
      </c>
      <c r="F881" s="39">
        <f t="shared" si="49"/>
        <v>63748.413589171971</v>
      </c>
      <c r="G881" s="39">
        <f t="shared" si="50"/>
        <v>13387.168824840765</v>
      </c>
      <c r="H881" s="207"/>
      <c r="I881" s="207" t="s">
        <v>12545</v>
      </c>
      <c r="J881" s="66" t="s">
        <v>12547</v>
      </c>
      <c r="K881" s="207"/>
      <c r="L881" s="66"/>
      <c r="M881" s="201" t="s">
        <v>12550</v>
      </c>
      <c r="N881" s="207"/>
      <c r="O881" s="38"/>
    </row>
    <row r="882" spans="1:15" ht="72" customHeight="1" x14ac:dyDescent="0.3">
      <c r="A882" s="242">
        <v>862</v>
      </c>
      <c r="B882" s="38" t="s">
        <v>12468</v>
      </c>
      <c r="C882" s="38" t="s">
        <v>12721</v>
      </c>
      <c r="D882" s="88" t="s">
        <v>18020</v>
      </c>
      <c r="E882" s="245">
        <v>53.4</v>
      </c>
      <c r="F882" s="39">
        <f t="shared" si="49"/>
        <v>64350.950579617827</v>
      </c>
      <c r="G882" s="39">
        <f t="shared" si="50"/>
        <v>13513.701611464969</v>
      </c>
      <c r="H882" s="207"/>
      <c r="I882" s="207" t="s">
        <v>12545</v>
      </c>
      <c r="J882" s="66" t="s">
        <v>12547</v>
      </c>
      <c r="K882" s="26">
        <v>42732</v>
      </c>
      <c r="L882" s="66" t="s">
        <v>18021</v>
      </c>
      <c r="M882" s="201" t="s">
        <v>12550</v>
      </c>
      <c r="N882" s="207"/>
      <c r="O882" s="38"/>
    </row>
    <row r="883" spans="1:15" ht="72" customHeight="1" x14ac:dyDescent="0.3">
      <c r="A883" s="242">
        <v>863</v>
      </c>
      <c r="B883" s="38" t="s">
        <v>12468</v>
      </c>
      <c r="C883" s="38" t="s">
        <v>12722</v>
      </c>
      <c r="D883" s="88"/>
      <c r="E883" s="245">
        <v>47.6</v>
      </c>
      <c r="F883" s="39">
        <f t="shared" si="49"/>
        <v>57361.521490445855</v>
      </c>
      <c r="G883" s="39">
        <f t="shared" si="50"/>
        <v>12045.921286624205</v>
      </c>
      <c r="H883" s="207"/>
      <c r="I883" s="207" t="s">
        <v>12545</v>
      </c>
      <c r="J883" s="66" t="s">
        <v>12547</v>
      </c>
      <c r="K883" s="207"/>
      <c r="L883" s="66"/>
      <c r="M883" s="201" t="s">
        <v>12550</v>
      </c>
      <c r="N883" s="207"/>
      <c r="O883" s="38"/>
    </row>
    <row r="884" spans="1:15" ht="72" customHeight="1" x14ac:dyDescent="0.3">
      <c r="A884" s="242">
        <v>864</v>
      </c>
      <c r="B884" s="38" t="s">
        <v>12471</v>
      </c>
      <c r="C884" s="38" t="s">
        <v>12723</v>
      </c>
      <c r="D884" s="88"/>
      <c r="E884" s="245">
        <v>31.5</v>
      </c>
      <c r="F884" s="39">
        <f t="shared" ref="F884:F889" si="51">880219.18/436.7*E884</f>
        <v>63491.880398442874</v>
      </c>
      <c r="G884" s="39">
        <f t="shared" ref="G884:G889" si="52">264065.78/436.7*E884</f>
        <v>19047.56599496222</v>
      </c>
      <c r="H884" s="207"/>
      <c r="I884" s="207" t="s">
        <v>12545</v>
      </c>
      <c r="J884" s="66" t="s">
        <v>12547</v>
      </c>
      <c r="K884" s="207"/>
      <c r="L884" s="66"/>
      <c r="M884" s="201" t="s">
        <v>12550</v>
      </c>
      <c r="N884" s="207"/>
      <c r="O884" s="38"/>
    </row>
    <row r="885" spans="1:15" ht="72" customHeight="1" x14ac:dyDescent="0.3">
      <c r="A885" s="242">
        <v>865</v>
      </c>
      <c r="B885" s="38" t="s">
        <v>12468</v>
      </c>
      <c r="C885" s="38" t="s">
        <v>12724</v>
      </c>
      <c r="D885" s="88"/>
      <c r="E885" s="245">
        <v>50.4</v>
      </c>
      <c r="F885" s="39">
        <f t="shared" si="51"/>
        <v>101587.0086375086</v>
      </c>
      <c r="G885" s="39">
        <f t="shared" si="52"/>
        <v>30476.105591939551</v>
      </c>
      <c r="H885" s="207"/>
      <c r="I885" s="207" t="s">
        <v>12545</v>
      </c>
      <c r="J885" s="66" t="s">
        <v>12547</v>
      </c>
      <c r="K885" s="207"/>
      <c r="L885" s="66"/>
      <c r="M885" s="201" t="s">
        <v>12550</v>
      </c>
      <c r="N885" s="207"/>
      <c r="O885" s="38"/>
    </row>
    <row r="886" spans="1:15" ht="72" customHeight="1" x14ac:dyDescent="0.3">
      <c r="A886" s="242">
        <v>866</v>
      </c>
      <c r="B886" s="38" t="s">
        <v>12468</v>
      </c>
      <c r="C886" s="38" t="s">
        <v>12725</v>
      </c>
      <c r="D886" s="88"/>
      <c r="E886" s="245">
        <v>46.5</v>
      </c>
      <c r="F886" s="39">
        <f t="shared" si="51"/>
        <v>93726.109159606145</v>
      </c>
      <c r="G886" s="39">
        <f t="shared" si="52"/>
        <v>28117.835516372801</v>
      </c>
      <c r="H886" s="207"/>
      <c r="I886" s="207" t="s">
        <v>12545</v>
      </c>
      <c r="J886" s="66" t="s">
        <v>12547</v>
      </c>
      <c r="K886" s="207"/>
      <c r="L886" s="66"/>
      <c r="M886" s="201" t="s">
        <v>12550</v>
      </c>
      <c r="N886" s="207"/>
      <c r="O886" s="38"/>
    </row>
    <row r="887" spans="1:15" ht="132" customHeight="1" x14ac:dyDescent="0.3">
      <c r="A887" s="242">
        <v>867</v>
      </c>
      <c r="B887" s="38" t="s">
        <v>12468</v>
      </c>
      <c r="C887" s="38" t="s">
        <v>12726</v>
      </c>
      <c r="D887" s="88" t="s">
        <v>19481</v>
      </c>
      <c r="E887" s="245">
        <v>49.9</v>
      </c>
      <c r="F887" s="39">
        <f t="shared" si="51"/>
        <v>100579.20101213649</v>
      </c>
      <c r="G887" s="39">
        <f t="shared" si="52"/>
        <v>30173.763274559198</v>
      </c>
      <c r="H887" s="207"/>
      <c r="I887" s="207" t="s">
        <v>12545</v>
      </c>
      <c r="J887" s="245" t="s">
        <v>12547</v>
      </c>
      <c r="K887" s="26">
        <v>42900</v>
      </c>
      <c r="L887" s="66" t="s">
        <v>19480</v>
      </c>
      <c r="M887" s="201" t="s">
        <v>12550</v>
      </c>
      <c r="N887" s="207"/>
      <c r="O887" s="38"/>
    </row>
    <row r="888" spans="1:15" ht="72" customHeight="1" x14ac:dyDescent="0.3">
      <c r="A888" s="242">
        <v>868</v>
      </c>
      <c r="B888" s="38" t="s">
        <v>12468</v>
      </c>
      <c r="C888" s="38" t="s">
        <v>12727</v>
      </c>
      <c r="D888" s="88"/>
      <c r="E888" s="245">
        <v>49.5</v>
      </c>
      <c r="F888" s="39">
        <f t="shared" si="51"/>
        <v>99772.954911838795</v>
      </c>
      <c r="G888" s="39">
        <f t="shared" si="52"/>
        <v>29931.889420654919</v>
      </c>
      <c r="H888" s="207"/>
      <c r="I888" s="207" t="s">
        <v>12545</v>
      </c>
      <c r="J888" s="245" t="s">
        <v>12547</v>
      </c>
      <c r="K888" s="207"/>
      <c r="L888" s="66"/>
      <c r="M888" s="201" t="s">
        <v>12550</v>
      </c>
      <c r="N888" s="207"/>
      <c r="O888" s="38"/>
    </row>
    <row r="889" spans="1:15" ht="72" customHeight="1" x14ac:dyDescent="0.3">
      <c r="A889" s="242">
        <v>869</v>
      </c>
      <c r="B889" s="38" t="s">
        <v>12468</v>
      </c>
      <c r="C889" s="38" t="s">
        <v>12728</v>
      </c>
      <c r="D889" s="88"/>
      <c r="E889" s="245">
        <v>46.5</v>
      </c>
      <c r="F889" s="39">
        <f t="shared" si="51"/>
        <v>93726.109159606145</v>
      </c>
      <c r="G889" s="39">
        <f t="shared" si="52"/>
        <v>28117.835516372801</v>
      </c>
      <c r="H889" s="207"/>
      <c r="I889" s="207" t="s">
        <v>12545</v>
      </c>
      <c r="J889" s="66" t="s">
        <v>12547</v>
      </c>
      <c r="K889" s="207"/>
      <c r="L889" s="66"/>
      <c r="M889" s="201" t="s">
        <v>12550</v>
      </c>
      <c r="N889" s="207"/>
      <c r="O889" s="38"/>
    </row>
    <row r="890" spans="1:15" ht="72" customHeight="1" x14ac:dyDescent="0.3">
      <c r="A890" s="242">
        <v>870</v>
      </c>
      <c r="B890" s="38" t="s">
        <v>12472</v>
      </c>
      <c r="C890" s="38" t="s">
        <v>12729</v>
      </c>
      <c r="D890" s="88" t="s">
        <v>13905</v>
      </c>
      <c r="E890" s="20">
        <v>49.4</v>
      </c>
      <c r="F890" s="39">
        <v>925853</v>
      </c>
      <c r="G890" s="38">
        <v>0</v>
      </c>
      <c r="H890" s="25"/>
      <c r="I890" s="207" t="s">
        <v>12545</v>
      </c>
      <c r="J890" s="66" t="s">
        <v>12547</v>
      </c>
      <c r="K890" s="207"/>
      <c r="L890" s="66"/>
      <c r="M890" s="201" t="s">
        <v>12550</v>
      </c>
      <c r="N890" s="207"/>
      <c r="O890" s="38"/>
    </row>
    <row r="891" spans="1:15" ht="72" customHeight="1" x14ac:dyDescent="0.3">
      <c r="A891" s="242">
        <v>871</v>
      </c>
      <c r="B891" s="38" t="s">
        <v>12471</v>
      </c>
      <c r="C891" s="38" t="s">
        <v>12730</v>
      </c>
      <c r="D891" s="88"/>
      <c r="E891" s="245">
        <v>31.9</v>
      </c>
      <c r="F891" s="39">
        <f>880219.18/436.7*E891</f>
        <v>64298.126498740559</v>
      </c>
      <c r="G891" s="39">
        <f>264065.78/436.7*E891</f>
        <v>19289.439848866503</v>
      </c>
      <c r="H891" s="207"/>
      <c r="I891" s="207" t="s">
        <v>12545</v>
      </c>
      <c r="J891" s="66" t="s">
        <v>12547</v>
      </c>
      <c r="K891" s="207"/>
      <c r="L891" s="66"/>
      <c r="M891" s="201" t="s">
        <v>12550</v>
      </c>
      <c r="N891" s="207"/>
      <c r="O891" s="38"/>
    </row>
    <row r="892" spans="1:15" ht="72" customHeight="1" x14ac:dyDescent="0.3">
      <c r="A892" s="242">
        <v>872</v>
      </c>
      <c r="B892" s="38" t="s">
        <v>12468</v>
      </c>
      <c r="C892" s="38" t="s">
        <v>12731</v>
      </c>
      <c r="D892" s="88"/>
      <c r="E892" s="245">
        <v>49.3</v>
      </c>
      <c r="F892" s="39">
        <f>880219.18/436.7*E892</f>
        <v>99369.831861689949</v>
      </c>
      <c r="G892" s="39">
        <f>264065.78/436.7*E892</f>
        <v>29810.952493702775</v>
      </c>
      <c r="H892" s="207"/>
      <c r="I892" s="207" t="s">
        <v>12545</v>
      </c>
      <c r="J892" s="66" t="s">
        <v>12547</v>
      </c>
      <c r="K892" s="207"/>
      <c r="L892" s="66"/>
      <c r="M892" s="201" t="s">
        <v>12550</v>
      </c>
      <c r="N892" s="207"/>
      <c r="O892" s="38"/>
    </row>
    <row r="893" spans="1:15" ht="72" customHeight="1" x14ac:dyDescent="0.3">
      <c r="A893" s="242">
        <v>873</v>
      </c>
      <c r="B893" s="38" t="s">
        <v>12471</v>
      </c>
      <c r="C893" s="38" t="s">
        <v>12732</v>
      </c>
      <c r="D893" s="88"/>
      <c r="E893" s="245">
        <v>31.9</v>
      </c>
      <c r="F893" s="39">
        <f>880219.18/436.7*E893</f>
        <v>64298.126498740559</v>
      </c>
      <c r="G893" s="39">
        <f>264065.78/436.7*E893</f>
        <v>19289.439848866503</v>
      </c>
      <c r="H893" s="207"/>
      <c r="I893" s="207" t="s">
        <v>12545</v>
      </c>
      <c r="J893" s="66" t="s">
        <v>12547</v>
      </c>
      <c r="K893" s="207"/>
      <c r="L893" s="66"/>
      <c r="M893" s="201" t="s">
        <v>12550</v>
      </c>
      <c r="N893" s="207"/>
      <c r="O893" s="38"/>
    </row>
    <row r="894" spans="1:15" ht="72" customHeight="1" x14ac:dyDescent="0.3">
      <c r="A894" s="242">
        <v>874</v>
      </c>
      <c r="B894" s="38" t="s">
        <v>12468</v>
      </c>
      <c r="C894" s="38" t="s">
        <v>12733</v>
      </c>
      <c r="D894" s="88"/>
      <c r="E894" s="245">
        <v>57.9</v>
      </c>
      <c r="F894" s="39">
        <f t="shared" ref="F894:F901" si="53">1222589.97/378.8*E894</f>
        <v>186874.23247888064</v>
      </c>
      <c r="G894" s="39">
        <f t="shared" ref="G894:G901" si="54">256744.42/378.8*E894</f>
        <v>39243.669266103483</v>
      </c>
      <c r="H894" s="207"/>
      <c r="I894" s="207" t="s">
        <v>12545</v>
      </c>
      <c r="J894" s="66" t="s">
        <v>12547</v>
      </c>
      <c r="K894" s="207"/>
      <c r="L894" s="66"/>
      <c r="M894" s="201" t="s">
        <v>12550</v>
      </c>
      <c r="N894" s="207"/>
      <c r="O894" s="38"/>
    </row>
    <row r="895" spans="1:15" ht="72" customHeight="1" x14ac:dyDescent="0.3">
      <c r="A895" s="242">
        <v>875</v>
      </c>
      <c r="B895" s="38" t="s">
        <v>12471</v>
      </c>
      <c r="C895" s="38" t="s">
        <v>12734</v>
      </c>
      <c r="D895" s="88"/>
      <c r="E895" s="245">
        <v>32.5</v>
      </c>
      <c r="F895" s="39">
        <f t="shared" si="53"/>
        <v>104894.8627903907</v>
      </c>
      <c r="G895" s="39">
        <f t="shared" si="54"/>
        <v>22027.966341077088</v>
      </c>
      <c r="H895" s="207"/>
      <c r="I895" s="207" t="s">
        <v>12545</v>
      </c>
      <c r="J895" s="66" t="s">
        <v>12547</v>
      </c>
      <c r="K895" s="207"/>
      <c r="L895" s="66"/>
      <c r="M895" s="201" t="s">
        <v>12550</v>
      </c>
      <c r="N895" s="207"/>
      <c r="O895" s="38"/>
    </row>
    <row r="896" spans="1:15" ht="72" customHeight="1" x14ac:dyDescent="0.3">
      <c r="A896" s="242">
        <v>876</v>
      </c>
      <c r="B896" s="38" t="s">
        <v>12471</v>
      </c>
      <c r="C896" s="38" t="s">
        <v>12735</v>
      </c>
      <c r="D896" s="88"/>
      <c r="E896" s="245">
        <v>31.8</v>
      </c>
      <c r="F896" s="39">
        <f t="shared" si="53"/>
        <v>102635.58882259767</v>
      </c>
      <c r="G896" s="39">
        <f t="shared" si="54"/>
        <v>21553.517835269275</v>
      </c>
      <c r="H896" s="207"/>
      <c r="I896" s="207" t="s">
        <v>12545</v>
      </c>
      <c r="J896" s="66" t="s">
        <v>12547</v>
      </c>
      <c r="K896" s="207"/>
      <c r="L896" s="66"/>
      <c r="M896" s="201" t="s">
        <v>12550</v>
      </c>
      <c r="N896" s="207"/>
      <c r="O896" s="38"/>
    </row>
    <row r="897" spans="1:15" ht="72" customHeight="1" x14ac:dyDescent="0.3">
      <c r="A897" s="242">
        <v>877</v>
      </c>
      <c r="B897" s="38" t="s">
        <v>12468</v>
      </c>
      <c r="C897" s="38" t="s">
        <v>12736</v>
      </c>
      <c r="D897" s="88"/>
      <c r="E897" s="245">
        <v>50.4</v>
      </c>
      <c r="F897" s="39">
        <f t="shared" si="53"/>
        <v>162667.72568109818</v>
      </c>
      <c r="G897" s="39">
        <f t="shared" si="54"/>
        <v>34160.292418162622</v>
      </c>
      <c r="H897" s="207"/>
      <c r="I897" s="207" t="s">
        <v>12545</v>
      </c>
      <c r="J897" s="66" t="s">
        <v>12547</v>
      </c>
      <c r="K897" s="207"/>
      <c r="L897" s="66"/>
      <c r="M897" s="201" t="s">
        <v>12550</v>
      </c>
      <c r="N897" s="207"/>
      <c r="O897" s="38"/>
    </row>
    <row r="898" spans="1:15" ht="72" customHeight="1" x14ac:dyDescent="0.3">
      <c r="A898" s="242">
        <v>878</v>
      </c>
      <c r="B898" s="38" t="s">
        <v>12468</v>
      </c>
      <c r="C898" s="38" t="s">
        <v>12737</v>
      </c>
      <c r="D898" s="88"/>
      <c r="E898" s="245">
        <v>47.5</v>
      </c>
      <c r="F898" s="39">
        <f t="shared" si="53"/>
        <v>153307.87638595563</v>
      </c>
      <c r="G898" s="39">
        <f t="shared" si="54"/>
        <v>32194.720036958817</v>
      </c>
      <c r="H898" s="207"/>
      <c r="I898" s="207" t="s">
        <v>12545</v>
      </c>
      <c r="J898" s="66" t="s">
        <v>12547</v>
      </c>
      <c r="K898" s="207"/>
      <c r="L898" s="66"/>
      <c r="M898" s="201" t="s">
        <v>12550</v>
      </c>
      <c r="N898" s="207"/>
      <c r="O898" s="38"/>
    </row>
    <row r="899" spans="1:15" ht="72" customHeight="1" x14ac:dyDescent="0.3">
      <c r="A899" s="242">
        <v>879</v>
      </c>
      <c r="B899" s="38" t="s">
        <v>12468</v>
      </c>
      <c r="C899" s="38" t="s">
        <v>12738</v>
      </c>
      <c r="D899" s="88"/>
      <c r="E899" s="245">
        <v>50.5</v>
      </c>
      <c r="F899" s="39">
        <f t="shared" si="53"/>
        <v>162990.47910506863</v>
      </c>
      <c r="G899" s="39">
        <f t="shared" si="54"/>
        <v>34228.070776135166</v>
      </c>
      <c r="H899" s="207"/>
      <c r="I899" s="207" t="s">
        <v>12545</v>
      </c>
      <c r="J899" s="245" t="s">
        <v>12547</v>
      </c>
      <c r="K899" s="207"/>
      <c r="L899" s="66"/>
      <c r="M899" s="201" t="s">
        <v>12550</v>
      </c>
      <c r="N899" s="207"/>
      <c r="O899" s="38"/>
    </row>
    <row r="900" spans="1:15" ht="72" customHeight="1" x14ac:dyDescent="0.3">
      <c r="A900" s="242">
        <v>880</v>
      </c>
      <c r="B900" s="38" t="s">
        <v>12468</v>
      </c>
      <c r="C900" s="38" t="s">
        <v>12739</v>
      </c>
      <c r="D900" s="88"/>
      <c r="E900" s="245">
        <v>58.2</v>
      </c>
      <c r="F900" s="39">
        <f t="shared" si="53"/>
        <v>187842.49275079198</v>
      </c>
      <c r="G900" s="39">
        <f t="shared" si="54"/>
        <v>39447.004340021122</v>
      </c>
      <c r="H900" s="207"/>
      <c r="I900" s="207" t="s">
        <v>12545</v>
      </c>
      <c r="J900" s="66" t="s">
        <v>12547</v>
      </c>
      <c r="K900" s="207"/>
      <c r="L900" s="66"/>
      <c r="M900" s="201" t="s">
        <v>12550</v>
      </c>
      <c r="N900" s="207"/>
      <c r="O900" s="38"/>
    </row>
    <row r="901" spans="1:15" ht="72" customHeight="1" x14ac:dyDescent="0.3">
      <c r="A901" s="242">
        <v>881</v>
      </c>
      <c r="B901" s="38" t="s">
        <v>12468</v>
      </c>
      <c r="C901" s="38" t="s">
        <v>12740</v>
      </c>
      <c r="D901" s="88"/>
      <c r="E901" s="245">
        <v>50</v>
      </c>
      <c r="F901" s="39">
        <f t="shared" si="53"/>
        <v>161376.71198521645</v>
      </c>
      <c r="G901" s="39">
        <f t="shared" si="54"/>
        <v>33889.17898627244</v>
      </c>
      <c r="H901" s="207"/>
      <c r="I901" s="207" t="s">
        <v>12545</v>
      </c>
      <c r="J901" s="66" t="s">
        <v>12547</v>
      </c>
      <c r="K901" s="207"/>
      <c r="L901" s="66"/>
      <c r="M901" s="201" t="s">
        <v>12550</v>
      </c>
      <c r="N901" s="207"/>
      <c r="O901" s="38"/>
    </row>
    <row r="902" spans="1:15" ht="72" customHeight="1" x14ac:dyDescent="0.3">
      <c r="A902" s="242">
        <v>882</v>
      </c>
      <c r="B902" s="38" t="s">
        <v>12471</v>
      </c>
      <c r="C902" s="38" t="s">
        <v>12741</v>
      </c>
      <c r="D902" s="88"/>
      <c r="E902" s="134">
        <v>39.299999999999997</v>
      </c>
      <c r="F902" s="39">
        <f t="shared" ref="F902:F909" si="55">492106.59/340.9*E902</f>
        <v>56731.560536814315</v>
      </c>
      <c r="G902" s="39">
        <f t="shared" ref="G902:G909" si="56">142084.58/340.9*E902</f>
        <v>16379.947180991492</v>
      </c>
      <c r="H902" s="207"/>
      <c r="I902" s="207" t="s">
        <v>12545</v>
      </c>
      <c r="J902" s="245" t="s">
        <v>12547</v>
      </c>
      <c r="K902" s="207"/>
      <c r="L902" s="66"/>
      <c r="M902" s="201" t="s">
        <v>12550</v>
      </c>
      <c r="N902" s="207"/>
      <c r="O902" s="38"/>
    </row>
    <row r="903" spans="1:15" ht="72" customHeight="1" x14ac:dyDescent="0.3">
      <c r="A903" s="242">
        <v>883</v>
      </c>
      <c r="B903" s="38" t="s">
        <v>12468</v>
      </c>
      <c r="C903" s="38" t="s">
        <v>12742</v>
      </c>
      <c r="D903" s="88"/>
      <c r="E903" s="134">
        <v>44.8</v>
      </c>
      <c r="F903" s="39">
        <f t="shared" si="55"/>
        <v>64671.091909650924</v>
      </c>
      <c r="G903" s="39">
        <f t="shared" si="56"/>
        <v>18672.306201232033</v>
      </c>
      <c r="H903" s="207"/>
      <c r="I903" s="207" t="s">
        <v>12545</v>
      </c>
      <c r="J903" s="245" t="s">
        <v>12547</v>
      </c>
      <c r="K903" s="207"/>
      <c r="L903" s="66"/>
      <c r="M903" s="201" t="s">
        <v>12550</v>
      </c>
      <c r="N903" s="207"/>
      <c r="O903" s="38"/>
    </row>
    <row r="904" spans="1:15" ht="72" customHeight="1" x14ac:dyDescent="0.3">
      <c r="A904" s="242">
        <v>884</v>
      </c>
      <c r="B904" s="38" t="s">
        <v>12468</v>
      </c>
      <c r="C904" s="38" t="s">
        <v>12743</v>
      </c>
      <c r="D904" s="88"/>
      <c r="E904" s="134">
        <v>55.6</v>
      </c>
      <c r="F904" s="39">
        <f t="shared" si="55"/>
        <v>80261.444423584631</v>
      </c>
      <c r="G904" s="39">
        <f t="shared" si="56"/>
        <v>23173.665731886183</v>
      </c>
      <c r="H904" s="207"/>
      <c r="I904" s="207" t="s">
        <v>12545</v>
      </c>
      <c r="J904" s="66" t="s">
        <v>12547</v>
      </c>
      <c r="K904" s="207"/>
      <c r="L904" s="66"/>
      <c r="M904" s="201" t="s">
        <v>12550</v>
      </c>
      <c r="N904" s="207"/>
      <c r="O904" s="38"/>
    </row>
    <row r="905" spans="1:15" ht="72" customHeight="1" x14ac:dyDescent="0.3">
      <c r="A905" s="242">
        <v>885</v>
      </c>
      <c r="B905" s="38" t="s">
        <v>12468</v>
      </c>
      <c r="C905" s="38" t="s">
        <v>12744</v>
      </c>
      <c r="D905" s="88"/>
      <c r="E905" s="134">
        <v>44.5</v>
      </c>
      <c r="F905" s="39">
        <f t="shared" si="55"/>
        <v>64238.026562041661</v>
      </c>
      <c r="G905" s="39">
        <f t="shared" si="56"/>
        <v>18547.268436491639</v>
      </c>
      <c r="H905" s="207"/>
      <c r="I905" s="207" t="s">
        <v>12545</v>
      </c>
      <c r="J905" s="245" t="s">
        <v>12547</v>
      </c>
      <c r="K905" s="207"/>
      <c r="L905" s="66"/>
      <c r="M905" s="201" t="s">
        <v>12550</v>
      </c>
      <c r="N905" s="207"/>
      <c r="O905" s="38"/>
    </row>
    <row r="906" spans="1:15" ht="72" customHeight="1" x14ac:dyDescent="0.3">
      <c r="A906" s="242">
        <v>886</v>
      </c>
      <c r="B906" s="38" t="s">
        <v>12468</v>
      </c>
      <c r="C906" s="38" t="s">
        <v>12745</v>
      </c>
      <c r="D906" s="88"/>
      <c r="E906" s="134">
        <v>44.3</v>
      </c>
      <c r="F906" s="39">
        <f t="shared" si="55"/>
        <v>63949.316330302143</v>
      </c>
      <c r="G906" s="39">
        <f t="shared" si="56"/>
        <v>18463.90992666471</v>
      </c>
      <c r="H906" s="207"/>
      <c r="I906" s="207" t="s">
        <v>12545</v>
      </c>
      <c r="J906" s="66" t="s">
        <v>12547</v>
      </c>
      <c r="K906" s="207"/>
      <c r="L906" s="66"/>
      <c r="M906" s="201" t="s">
        <v>12550</v>
      </c>
      <c r="N906" s="207"/>
      <c r="O906" s="38"/>
    </row>
    <row r="907" spans="1:15" ht="72" customHeight="1" x14ac:dyDescent="0.3">
      <c r="A907" s="242">
        <v>887</v>
      </c>
      <c r="B907" s="38" t="s">
        <v>12468</v>
      </c>
      <c r="C907" s="38" t="s">
        <v>12746</v>
      </c>
      <c r="D907" s="88"/>
      <c r="E907" s="134">
        <v>41.4</v>
      </c>
      <c r="F907" s="39">
        <f t="shared" si="55"/>
        <v>59763.017970079207</v>
      </c>
      <c r="G907" s="39">
        <f t="shared" si="56"/>
        <v>17255.211534174243</v>
      </c>
      <c r="H907" s="207"/>
      <c r="I907" s="207" t="s">
        <v>12545</v>
      </c>
      <c r="J907" s="66" t="s">
        <v>12547</v>
      </c>
      <c r="K907" s="207"/>
      <c r="L907" s="66"/>
      <c r="M907" s="201" t="s">
        <v>12550</v>
      </c>
      <c r="N907" s="207"/>
      <c r="O907" s="38"/>
    </row>
    <row r="908" spans="1:15" ht="72" customHeight="1" x14ac:dyDescent="0.3">
      <c r="A908" s="242">
        <v>888</v>
      </c>
      <c r="B908" s="38" t="s">
        <v>12471</v>
      </c>
      <c r="C908" s="38" t="s">
        <v>12747</v>
      </c>
      <c r="D908" s="88"/>
      <c r="E908" s="134">
        <v>39.5</v>
      </c>
      <c r="F908" s="39">
        <f t="shared" si="55"/>
        <v>57020.270768553833</v>
      </c>
      <c r="G908" s="39">
        <f t="shared" si="56"/>
        <v>16463.305690818423</v>
      </c>
      <c r="H908" s="207"/>
      <c r="I908" s="207" t="s">
        <v>12545</v>
      </c>
      <c r="J908" s="245" t="s">
        <v>12547</v>
      </c>
      <c r="K908" s="207"/>
      <c r="L908" s="66"/>
      <c r="M908" s="201" t="s">
        <v>12550</v>
      </c>
      <c r="N908" s="207"/>
      <c r="O908" s="38"/>
    </row>
    <row r="909" spans="1:15" ht="72" customHeight="1" x14ac:dyDescent="0.3">
      <c r="A909" s="242">
        <v>889</v>
      </c>
      <c r="B909" s="38" t="s">
        <v>12471</v>
      </c>
      <c r="C909" s="38" t="s">
        <v>12748</v>
      </c>
      <c r="D909" s="88"/>
      <c r="E909" s="134">
        <v>31.5</v>
      </c>
      <c r="F909" s="39">
        <f t="shared" si="55"/>
        <v>45471.861498973311</v>
      </c>
      <c r="G909" s="39">
        <f t="shared" si="56"/>
        <v>13128.965297741273</v>
      </c>
      <c r="H909" s="207"/>
      <c r="I909" s="207" t="s">
        <v>12545</v>
      </c>
      <c r="J909" s="66" t="s">
        <v>12547</v>
      </c>
      <c r="K909" s="207"/>
      <c r="L909" s="66"/>
      <c r="M909" s="201" t="s">
        <v>12550</v>
      </c>
      <c r="N909" s="207"/>
      <c r="O909" s="38"/>
    </row>
    <row r="910" spans="1:15" ht="72" customHeight="1" x14ac:dyDescent="0.3">
      <c r="A910" s="242">
        <v>890</v>
      </c>
      <c r="B910" s="38" t="s">
        <v>12468</v>
      </c>
      <c r="C910" s="38" t="s">
        <v>12749</v>
      </c>
      <c r="D910" s="88"/>
      <c r="E910" s="245">
        <v>41.1</v>
      </c>
      <c r="F910" s="39">
        <f t="shared" ref="F910:F919" si="57">942544.2/460.9*E910</f>
        <v>84049.829941418968</v>
      </c>
      <c r="G910" s="39">
        <f t="shared" ref="G910:G919" si="58">258955.8/460.9*E910</f>
        <v>23091.957865046646</v>
      </c>
      <c r="H910" s="207"/>
      <c r="I910" s="207" t="s">
        <v>12545</v>
      </c>
      <c r="J910" s="245" t="s">
        <v>12547</v>
      </c>
      <c r="K910" s="207"/>
      <c r="L910" s="66"/>
      <c r="M910" s="201" t="s">
        <v>12550</v>
      </c>
      <c r="N910" s="207"/>
      <c r="O910" s="38"/>
    </row>
    <row r="911" spans="1:15" ht="72" customHeight="1" x14ac:dyDescent="0.3">
      <c r="A911" s="242">
        <v>891</v>
      </c>
      <c r="B911" s="38" t="s">
        <v>12468</v>
      </c>
      <c r="C911" s="38" t="s">
        <v>12750</v>
      </c>
      <c r="D911" s="88"/>
      <c r="E911" s="245">
        <v>43.7</v>
      </c>
      <c r="F911" s="39">
        <f t="shared" si="57"/>
        <v>89366.850813625526</v>
      </c>
      <c r="G911" s="39">
        <f t="shared" si="58"/>
        <v>24552.762985463225</v>
      </c>
      <c r="H911" s="207"/>
      <c r="I911" s="207" t="s">
        <v>12545</v>
      </c>
      <c r="J911" s="245" t="s">
        <v>12547</v>
      </c>
      <c r="K911" s="207"/>
      <c r="L911" s="66"/>
      <c r="M911" s="201" t="s">
        <v>12550</v>
      </c>
      <c r="N911" s="207"/>
      <c r="O911" s="38"/>
    </row>
    <row r="912" spans="1:15" ht="72" customHeight="1" x14ac:dyDescent="0.3">
      <c r="A912" s="242">
        <v>892</v>
      </c>
      <c r="B912" s="38" t="s">
        <v>12468</v>
      </c>
      <c r="C912" s="38" t="s">
        <v>12751</v>
      </c>
      <c r="D912" s="88"/>
      <c r="E912" s="245">
        <v>43.7</v>
      </c>
      <c r="F912" s="39">
        <f t="shared" si="57"/>
        <v>89366.850813625526</v>
      </c>
      <c r="G912" s="39">
        <f t="shared" si="58"/>
        <v>24552.762985463225</v>
      </c>
      <c r="H912" s="207"/>
      <c r="I912" s="207" t="s">
        <v>12545</v>
      </c>
      <c r="J912" s="66" t="s">
        <v>12547</v>
      </c>
      <c r="K912" s="207"/>
      <c r="L912" s="66"/>
      <c r="M912" s="201" t="s">
        <v>12550</v>
      </c>
      <c r="N912" s="207"/>
      <c r="O912" s="38"/>
    </row>
    <row r="913" spans="1:15" ht="72" customHeight="1" x14ac:dyDescent="0.3">
      <c r="A913" s="242">
        <v>893</v>
      </c>
      <c r="B913" s="38" t="s">
        <v>12468</v>
      </c>
      <c r="C913" s="38" t="s">
        <v>12752</v>
      </c>
      <c r="D913" s="88"/>
      <c r="E913" s="245">
        <v>43.6</v>
      </c>
      <c r="F913" s="39">
        <f t="shared" si="57"/>
        <v>89162.350010848342</v>
      </c>
      <c r="G913" s="39">
        <f t="shared" si="58"/>
        <v>24496.578173139511</v>
      </c>
      <c r="H913" s="207"/>
      <c r="I913" s="207" t="s">
        <v>12545</v>
      </c>
      <c r="J913" s="66" t="s">
        <v>12547</v>
      </c>
      <c r="K913" s="207"/>
      <c r="L913" s="66"/>
      <c r="M913" s="201" t="s">
        <v>12550</v>
      </c>
      <c r="N913" s="207"/>
      <c r="O913" s="38"/>
    </row>
    <row r="914" spans="1:15" ht="72" customHeight="1" x14ac:dyDescent="0.3">
      <c r="A914" s="242">
        <v>894</v>
      </c>
      <c r="B914" s="38" t="s">
        <v>12468</v>
      </c>
      <c r="C914" s="38" t="s">
        <v>12753</v>
      </c>
      <c r="D914" s="88"/>
      <c r="E914" s="245">
        <v>56.8</v>
      </c>
      <c r="F914" s="39">
        <f t="shared" si="57"/>
        <v>116156.45597743544</v>
      </c>
      <c r="G914" s="39">
        <f t="shared" si="58"/>
        <v>31912.973399869818</v>
      </c>
      <c r="H914" s="207"/>
      <c r="I914" s="207" t="s">
        <v>12545</v>
      </c>
      <c r="J914" s="66" t="s">
        <v>12547</v>
      </c>
      <c r="K914" s="207"/>
      <c r="L914" s="66"/>
      <c r="M914" s="201" t="s">
        <v>12550</v>
      </c>
      <c r="N914" s="207"/>
      <c r="O914" s="38"/>
    </row>
    <row r="915" spans="1:15" ht="72" customHeight="1" x14ac:dyDescent="0.3">
      <c r="A915" s="242">
        <v>895</v>
      </c>
      <c r="B915" s="38" t="s">
        <v>12468</v>
      </c>
      <c r="C915" s="38" t="s">
        <v>12754</v>
      </c>
      <c r="D915" s="88"/>
      <c r="E915" s="245">
        <v>56.8</v>
      </c>
      <c r="F915" s="39">
        <f t="shared" si="57"/>
        <v>116156.45597743544</v>
      </c>
      <c r="G915" s="39">
        <f t="shared" si="58"/>
        <v>31912.973399869818</v>
      </c>
      <c r="H915" s="207"/>
      <c r="I915" s="207" t="s">
        <v>12545</v>
      </c>
      <c r="J915" s="66" t="s">
        <v>12547</v>
      </c>
      <c r="K915" s="207"/>
      <c r="L915" s="66"/>
      <c r="M915" s="201" t="s">
        <v>12550</v>
      </c>
      <c r="N915" s="207"/>
      <c r="O915" s="38"/>
    </row>
    <row r="916" spans="1:15" ht="72" customHeight="1" x14ac:dyDescent="0.3">
      <c r="A916" s="242">
        <v>896</v>
      </c>
      <c r="B916" s="38" t="s">
        <v>12468</v>
      </c>
      <c r="C916" s="38" t="s">
        <v>12755</v>
      </c>
      <c r="D916" s="88"/>
      <c r="E916" s="245">
        <v>42.3</v>
      </c>
      <c r="F916" s="39">
        <f t="shared" si="57"/>
        <v>86503.839574745056</v>
      </c>
      <c r="G916" s="39">
        <f t="shared" si="58"/>
        <v>23766.17561293122</v>
      </c>
      <c r="H916" s="207"/>
      <c r="I916" s="207" t="s">
        <v>12545</v>
      </c>
      <c r="J916" s="66" t="s">
        <v>12547</v>
      </c>
      <c r="K916" s="207"/>
      <c r="L916" s="66"/>
      <c r="M916" s="201" t="s">
        <v>12550</v>
      </c>
      <c r="N916" s="207"/>
      <c r="O916" s="38"/>
    </row>
    <row r="917" spans="1:15" ht="72" customHeight="1" x14ac:dyDescent="0.3">
      <c r="A917" s="242">
        <v>897</v>
      </c>
      <c r="B917" s="38" t="s">
        <v>12468</v>
      </c>
      <c r="C917" s="38" t="s">
        <v>12756</v>
      </c>
      <c r="D917" s="88"/>
      <c r="E917" s="245">
        <v>45.3</v>
      </c>
      <c r="F917" s="39">
        <f t="shared" si="57"/>
        <v>92638.863658060305</v>
      </c>
      <c r="G917" s="39">
        <f t="shared" si="58"/>
        <v>25451.719982642655</v>
      </c>
      <c r="H917" s="207"/>
      <c r="I917" s="207" t="s">
        <v>12545</v>
      </c>
      <c r="J917" s="66" t="s">
        <v>12547</v>
      </c>
      <c r="K917" s="207"/>
      <c r="L917" s="66"/>
      <c r="M917" s="201" t="s">
        <v>12550</v>
      </c>
      <c r="N917" s="207"/>
      <c r="O917" s="38"/>
    </row>
    <row r="918" spans="1:15" ht="72" customHeight="1" x14ac:dyDescent="0.3">
      <c r="A918" s="242">
        <v>898</v>
      </c>
      <c r="B918" s="38" t="s">
        <v>12468</v>
      </c>
      <c r="C918" s="38" t="s">
        <v>12757</v>
      </c>
      <c r="D918" s="88"/>
      <c r="E918" s="245">
        <v>42.3</v>
      </c>
      <c r="F918" s="39">
        <f t="shared" si="57"/>
        <v>86503.839574745056</v>
      </c>
      <c r="G918" s="39">
        <f t="shared" si="58"/>
        <v>23766.17561293122</v>
      </c>
      <c r="H918" s="207"/>
      <c r="I918" s="207" t="s">
        <v>12545</v>
      </c>
      <c r="J918" s="66" t="s">
        <v>12547</v>
      </c>
      <c r="K918" s="207"/>
      <c r="L918" s="66"/>
      <c r="M918" s="201" t="s">
        <v>12550</v>
      </c>
      <c r="N918" s="207"/>
      <c r="O918" s="38"/>
    </row>
    <row r="919" spans="1:15" ht="72" customHeight="1" x14ac:dyDescent="0.3">
      <c r="A919" s="242">
        <v>899</v>
      </c>
      <c r="B919" s="38" t="s">
        <v>12468</v>
      </c>
      <c r="C919" s="38" t="s">
        <v>12758</v>
      </c>
      <c r="D919" s="88"/>
      <c r="E919" s="245">
        <v>45.3</v>
      </c>
      <c r="F919" s="39">
        <f t="shared" si="57"/>
        <v>92638.863658060305</v>
      </c>
      <c r="G919" s="39">
        <f t="shared" si="58"/>
        <v>25451.719982642655</v>
      </c>
      <c r="H919" s="207"/>
      <c r="I919" s="207" t="s">
        <v>12545</v>
      </c>
      <c r="J919" s="66" t="s">
        <v>12547</v>
      </c>
      <c r="K919" s="207"/>
      <c r="L919" s="66"/>
      <c r="M919" s="201" t="s">
        <v>12550</v>
      </c>
      <c r="N919" s="207"/>
      <c r="O919" s="38"/>
    </row>
    <row r="920" spans="1:15" ht="72" customHeight="1" x14ac:dyDescent="0.3">
      <c r="A920" s="242">
        <v>900</v>
      </c>
      <c r="B920" s="38" t="s">
        <v>12475</v>
      </c>
      <c r="C920" s="38" t="s">
        <v>12759</v>
      </c>
      <c r="D920" s="88"/>
      <c r="E920" s="245">
        <v>19.7</v>
      </c>
      <c r="F920" s="39">
        <f t="shared" ref="F920:F932" si="59">1381374.55/508.4*E920</f>
        <v>53526.905261605032</v>
      </c>
      <c r="G920" s="39">
        <f t="shared" ref="G920:G932" si="60">369860.23/508.4*E920</f>
        <v>14331.720163257278</v>
      </c>
      <c r="H920" s="207"/>
      <c r="I920" s="207" t="s">
        <v>12545</v>
      </c>
      <c r="J920" s="66" t="s">
        <v>12547</v>
      </c>
      <c r="K920" s="207"/>
      <c r="L920" s="66"/>
      <c r="M920" s="201" t="s">
        <v>12550</v>
      </c>
      <c r="N920" s="207"/>
      <c r="O920" s="38"/>
    </row>
    <row r="921" spans="1:15" ht="72" customHeight="1" x14ac:dyDescent="0.3">
      <c r="A921" s="242">
        <v>901</v>
      </c>
      <c r="B921" s="38" t="s">
        <v>12468</v>
      </c>
      <c r="C921" s="38" t="s">
        <v>12760</v>
      </c>
      <c r="D921" s="88"/>
      <c r="E921" s="245">
        <v>42.4</v>
      </c>
      <c r="F921" s="39">
        <f t="shared" si="59"/>
        <v>115205.11589299764</v>
      </c>
      <c r="G921" s="39">
        <f t="shared" si="60"/>
        <v>30845.935782848152</v>
      </c>
      <c r="H921" s="207"/>
      <c r="I921" s="207" t="s">
        <v>12545</v>
      </c>
      <c r="J921" s="66" t="s">
        <v>12547</v>
      </c>
      <c r="K921" s="207"/>
      <c r="L921" s="66"/>
      <c r="M921" s="201" t="s">
        <v>12550</v>
      </c>
      <c r="N921" s="207"/>
      <c r="O921" s="38"/>
    </row>
    <row r="922" spans="1:15" ht="72" customHeight="1" x14ac:dyDescent="0.3">
      <c r="A922" s="2">
        <v>902</v>
      </c>
      <c r="B922" s="38" t="s">
        <v>12471</v>
      </c>
      <c r="C922" s="38" t="s">
        <v>12761</v>
      </c>
      <c r="D922" s="88"/>
      <c r="E922" s="245">
        <v>28</v>
      </c>
      <c r="F922" s="39">
        <f t="shared" si="59"/>
        <v>76078.850118017304</v>
      </c>
      <c r="G922" s="39">
        <f t="shared" si="60"/>
        <v>20369.957592446892</v>
      </c>
      <c r="H922" s="207"/>
      <c r="I922" s="207" t="s">
        <v>12545</v>
      </c>
      <c r="J922" s="245" t="s">
        <v>12547</v>
      </c>
      <c r="K922" s="207"/>
      <c r="L922" s="66"/>
      <c r="M922" s="201" t="s">
        <v>12550</v>
      </c>
      <c r="N922" s="207"/>
      <c r="O922" s="38"/>
    </row>
    <row r="923" spans="1:15" ht="72" customHeight="1" x14ac:dyDescent="0.3">
      <c r="A923" s="242">
        <v>903</v>
      </c>
      <c r="B923" s="38" t="s">
        <v>12468</v>
      </c>
      <c r="C923" s="38" t="s">
        <v>12762</v>
      </c>
      <c r="D923" s="88"/>
      <c r="E923" s="245">
        <v>46.5</v>
      </c>
      <c r="F923" s="39">
        <f t="shared" si="59"/>
        <v>126345.23323170732</v>
      </c>
      <c r="G923" s="39">
        <f t="shared" si="60"/>
        <v>33828.679573170732</v>
      </c>
      <c r="H923" s="207"/>
      <c r="I923" s="207" t="s">
        <v>12545</v>
      </c>
      <c r="J923" s="66" t="s">
        <v>12547</v>
      </c>
      <c r="K923" s="207"/>
      <c r="L923" s="66"/>
      <c r="M923" s="201" t="s">
        <v>12550</v>
      </c>
      <c r="N923" s="207"/>
      <c r="O923" s="38"/>
    </row>
    <row r="924" spans="1:15" ht="72" customHeight="1" x14ac:dyDescent="0.3">
      <c r="A924" s="242">
        <v>904</v>
      </c>
      <c r="B924" s="38" t="s">
        <v>12471</v>
      </c>
      <c r="C924" s="38" t="s">
        <v>12763</v>
      </c>
      <c r="D924" s="88"/>
      <c r="E924" s="245">
        <v>28</v>
      </c>
      <c r="F924" s="39">
        <f t="shared" si="59"/>
        <v>76078.850118017304</v>
      </c>
      <c r="G924" s="39">
        <f t="shared" si="60"/>
        <v>20369.957592446892</v>
      </c>
      <c r="H924" s="207"/>
      <c r="I924" s="207" t="s">
        <v>12545</v>
      </c>
      <c r="J924" s="66" t="s">
        <v>12547</v>
      </c>
      <c r="K924" s="207"/>
      <c r="L924" s="66"/>
      <c r="M924" s="201" t="s">
        <v>12550</v>
      </c>
      <c r="N924" s="207"/>
      <c r="O924" s="38"/>
    </row>
    <row r="925" spans="1:15" ht="72" customHeight="1" x14ac:dyDescent="0.3">
      <c r="A925" s="242">
        <v>905</v>
      </c>
      <c r="B925" s="38" t="s">
        <v>12468</v>
      </c>
      <c r="C925" s="38" t="s">
        <v>12764</v>
      </c>
      <c r="D925" s="88"/>
      <c r="E925" s="245">
        <v>46.5</v>
      </c>
      <c r="F925" s="39">
        <f t="shared" si="59"/>
        <v>126345.23323170732</v>
      </c>
      <c r="G925" s="39">
        <f t="shared" si="60"/>
        <v>33828.679573170732</v>
      </c>
      <c r="H925" s="207"/>
      <c r="I925" s="207" t="s">
        <v>12545</v>
      </c>
      <c r="J925" s="66" t="s">
        <v>12547</v>
      </c>
      <c r="K925" s="207"/>
      <c r="L925" s="66"/>
      <c r="M925" s="201" t="s">
        <v>12550</v>
      </c>
      <c r="N925" s="207"/>
      <c r="O925" s="38"/>
    </row>
    <row r="926" spans="1:15" ht="72" customHeight="1" x14ac:dyDescent="0.3">
      <c r="A926" s="242">
        <v>906</v>
      </c>
      <c r="B926" s="38" t="s">
        <v>12468</v>
      </c>
      <c r="C926" s="38" t="s">
        <v>12765</v>
      </c>
      <c r="D926" s="88"/>
      <c r="E926" s="245">
        <v>46.5</v>
      </c>
      <c r="F926" s="39">
        <f t="shared" si="59"/>
        <v>126345.23323170732</v>
      </c>
      <c r="G926" s="39">
        <f t="shared" si="60"/>
        <v>33828.679573170732</v>
      </c>
      <c r="H926" s="207"/>
      <c r="I926" s="207" t="s">
        <v>12545</v>
      </c>
      <c r="J926" s="245" t="s">
        <v>12547</v>
      </c>
      <c r="K926" s="207"/>
      <c r="L926" s="66"/>
      <c r="M926" s="201" t="s">
        <v>12550</v>
      </c>
      <c r="N926" s="207"/>
      <c r="O926" s="38"/>
    </row>
    <row r="927" spans="1:15" ht="72" customHeight="1" x14ac:dyDescent="0.3">
      <c r="A927" s="242">
        <v>907</v>
      </c>
      <c r="B927" s="38" t="s">
        <v>12468</v>
      </c>
      <c r="C927" s="38" t="s">
        <v>12766</v>
      </c>
      <c r="D927" s="88"/>
      <c r="E927" s="245">
        <v>46</v>
      </c>
      <c r="F927" s="39">
        <f t="shared" si="59"/>
        <v>124986.68233674273</v>
      </c>
      <c r="G927" s="39">
        <f t="shared" si="60"/>
        <v>33464.930330448464</v>
      </c>
      <c r="H927" s="207"/>
      <c r="I927" s="207" t="s">
        <v>12545</v>
      </c>
      <c r="J927" s="66" t="s">
        <v>12547</v>
      </c>
      <c r="K927" s="207"/>
      <c r="L927" s="66"/>
      <c r="M927" s="201" t="s">
        <v>12550</v>
      </c>
      <c r="N927" s="207"/>
      <c r="O927" s="38"/>
    </row>
    <row r="928" spans="1:15" ht="72" customHeight="1" x14ac:dyDescent="0.3">
      <c r="A928" s="242">
        <v>908</v>
      </c>
      <c r="B928" s="38" t="s">
        <v>12468</v>
      </c>
      <c r="C928" s="38" t="s">
        <v>12767</v>
      </c>
      <c r="D928" s="88"/>
      <c r="E928" s="245">
        <v>46.1</v>
      </c>
      <c r="F928" s="39">
        <f t="shared" si="59"/>
        <v>125258.39251573564</v>
      </c>
      <c r="G928" s="39">
        <f t="shared" si="60"/>
        <v>33537.680178992923</v>
      </c>
      <c r="H928" s="207"/>
      <c r="I928" s="207" t="s">
        <v>12545</v>
      </c>
      <c r="J928" s="66" t="s">
        <v>12547</v>
      </c>
      <c r="K928" s="207"/>
      <c r="L928" s="66"/>
      <c r="M928" s="201" t="s">
        <v>12550</v>
      </c>
      <c r="N928" s="207"/>
      <c r="O928" s="38"/>
    </row>
    <row r="929" spans="1:15" ht="72" customHeight="1" x14ac:dyDescent="0.3">
      <c r="A929" s="242">
        <v>909</v>
      </c>
      <c r="B929" s="38" t="s">
        <v>12468</v>
      </c>
      <c r="C929" s="38" t="s">
        <v>12768</v>
      </c>
      <c r="D929" s="88"/>
      <c r="E929" s="245">
        <v>46</v>
      </c>
      <c r="F929" s="39">
        <f t="shared" si="59"/>
        <v>124986.68233674273</v>
      </c>
      <c r="G929" s="39">
        <f t="shared" si="60"/>
        <v>33464.930330448464</v>
      </c>
      <c r="H929" s="207"/>
      <c r="I929" s="207" t="s">
        <v>12545</v>
      </c>
      <c r="J929" s="66" t="s">
        <v>12547</v>
      </c>
      <c r="K929" s="207"/>
      <c r="L929" s="66"/>
      <c r="M929" s="201" t="s">
        <v>12550</v>
      </c>
      <c r="N929" s="207"/>
      <c r="O929" s="38" t="s">
        <v>22109</v>
      </c>
    </row>
    <row r="930" spans="1:15" ht="72" customHeight="1" x14ac:dyDescent="0.3">
      <c r="A930" s="242">
        <v>910</v>
      </c>
      <c r="B930" s="38" t="s">
        <v>12471</v>
      </c>
      <c r="C930" s="38" t="s">
        <v>12769</v>
      </c>
      <c r="D930" s="88"/>
      <c r="E930" s="245">
        <v>27.7</v>
      </c>
      <c r="F930" s="39">
        <f t="shared" si="59"/>
        <v>75263.719581038546</v>
      </c>
      <c r="G930" s="39">
        <f t="shared" si="60"/>
        <v>20151.708046813532</v>
      </c>
      <c r="H930" s="207"/>
      <c r="I930" s="207" t="s">
        <v>12545</v>
      </c>
      <c r="J930" s="66" t="s">
        <v>12547</v>
      </c>
      <c r="K930" s="207"/>
      <c r="L930" s="66"/>
      <c r="M930" s="201" t="s">
        <v>12550</v>
      </c>
      <c r="N930" s="207"/>
      <c r="O930" s="38"/>
    </row>
    <row r="931" spans="1:15" ht="72" customHeight="1" x14ac:dyDescent="0.3">
      <c r="A931" s="2">
        <v>911</v>
      </c>
      <c r="B931" s="38" t="s">
        <v>12468</v>
      </c>
      <c r="C931" s="38" t="s">
        <v>12770</v>
      </c>
      <c r="D931" s="88"/>
      <c r="E931" s="245">
        <v>42.5</v>
      </c>
      <c r="F931" s="39">
        <f t="shared" si="59"/>
        <v>115476.82607199057</v>
      </c>
      <c r="G931" s="39">
        <f t="shared" si="60"/>
        <v>30918.685631392604</v>
      </c>
      <c r="H931" s="207"/>
      <c r="I931" s="207" t="s">
        <v>12545</v>
      </c>
      <c r="J931" s="245" t="s">
        <v>12547</v>
      </c>
      <c r="K931" s="207"/>
      <c r="L931" s="66"/>
      <c r="M931" s="201" t="s">
        <v>12550</v>
      </c>
      <c r="N931" s="207"/>
      <c r="O931" s="38"/>
    </row>
    <row r="932" spans="1:15" ht="72" customHeight="1" x14ac:dyDescent="0.3">
      <c r="A932" s="242">
        <v>912</v>
      </c>
      <c r="B932" s="38" t="s">
        <v>12468</v>
      </c>
      <c r="C932" s="38" t="s">
        <v>12771</v>
      </c>
      <c r="D932" s="88"/>
      <c r="E932" s="245">
        <v>42.5</v>
      </c>
      <c r="F932" s="39">
        <f t="shared" si="59"/>
        <v>115476.82607199057</v>
      </c>
      <c r="G932" s="39">
        <f t="shared" si="60"/>
        <v>30918.685631392604</v>
      </c>
      <c r="H932" s="207"/>
      <c r="I932" s="207" t="s">
        <v>12545</v>
      </c>
      <c r="J932" s="66" t="s">
        <v>12547</v>
      </c>
      <c r="K932" s="207"/>
      <c r="L932" s="66"/>
      <c r="M932" s="201" t="s">
        <v>12550</v>
      </c>
      <c r="N932" s="207"/>
      <c r="O932" s="38"/>
    </row>
    <row r="933" spans="1:15" ht="72" customHeight="1" x14ac:dyDescent="0.3">
      <c r="A933" s="242">
        <v>913</v>
      </c>
      <c r="B933" s="38" t="s">
        <v>12468</v>
      </c>
      <c r="C933" s="38" t="s">
        <v>12772</v>
      </c>
      <c r="D933" s="88"/>
      <c r="E933" s="245">
        <v>44.6</v>
      </c>
      <c r="F933" s="39">
        <f t="shared" ref="F933:F941" si="61">1207534.33/423.1*E933</f>
        <v>127289.13050815411</v>
      </c>
      <c r="G933" s="39">
        <f t="shared" ref="G933:G941" si="62">393656.23/423.1*E933</f>
        <v>41496.260595603875</v>
      </c>
      <c r="H933" s="207"/>
      <c r="I933" s="207" t="s">
        <v>12545</v>
      </c>
      <c r="J933" s="66" t="s">
        <v>12547</v>
      </c>
      <c r="K933" s="207"/>
      <c r="L933" s="66"/>
      <c r="M933" s="201" t="s">
        <v>12550</v>
      </c>
      <c r="N933" s="207"/>
      <c r="O933" s="38"/>
    </row>
    <row r="934" spans="1:15" ht="72" customHeight="1" x14ac:dyDescent="0.3">
      <c r="A934" s="242">
        <v>914</v>
      </c>
      <c r="B934" s="38" t="s">
        <v>12468</v>
      </c>
      <c r="C934" s="38" t="s">
        <v>12773</v>
      </c>
      <c r="D934" s="88"/>
      <c r="E934" s="245">
        <v>44.8</v>
      </c>
      <c r="F934" s="39">
        <f t="shared" si="61"/>
        <v>127859.93378397542</v>
      </c>
      <c r="G934" s="39">
        <f t="shared" si="62"/>
        <v>41682.342481682812</v>
      </c>
      <c r="H934" s="207"/>
      <c r="I934" s="207" t="s">
        <v>12545</v>
      </c>
      <c r="J934" s="66" t="s">
        <v>12547</v>
      </c>
      <c r="K934" s="207"/>
      <c r="L934" s="66"/>
      <c r="M934" s="201" t="s">
        <v>12550</v>
      </c>
      <c r="N934" s="207"/>
      <c r="O934" s="38"/>
    </row>
    <row r="935" spans="1:15" ht="72" customHeight="1" x14ac:dyDescent="0.3">
      <c r="A935" s="242">
        <v>915</v>
      </c>
      <c r="B935" s="38" t="s">
        <v>12468</v>
      </c>
      <c r="C935" s="38" t="s">
        <v>12774</v>
      </c>
      <c r="D935" s="88"/>
      <c r="E935" s="245">
        <v>44.6</v>
      </c>
      <c r="F935" s="39">
        <f t="shared" si="61"/>
        <v>127289.13050815411</v>
      </c>
      <c r="G935" s="39">
        <f t="shared" si="62"/>
        <v>41496.260595603875</v>
      </c>
      <c r="H935" s="207"/>
      <c r="I935" s="207" t="s">
        <v>12545</v>
      </c>
      <c r="J935" s="66" t="s">
        <v>12547</v>
      </c>
      <c r="K935" s="207"/>
      <c r="L935" s="66"/>
      <c r="M935" s="201" t="s">
        <v>12550</v>
      </c>
      <c r="N935" s="207"/>
      <c r="O935" s="38"/>
    </row>
    <row r="936" spans="1:15" ht="72" customHeight="1" x14ac:dyDescent="0.3">
      <c r="A936" s="242">
        <v>916</v>
      </c>
      <c r="B936" s="38" t="s">
        <v>12468</v>
      </c>
      <c r="C936" s="38" t="s">
        <v>12775</v>
      </c>
      <c r="D936" s="88"/>
      <c r="E936" s="245">
        <v>45.2</v>
      </c>
      <c r="F936" s="39">
        <f t="shared" si="61"/>
        <v>129001.54033561808</v>
      </c>
      <c r="G936" s="39">
        <f t="shared" si="62"/>
        <v>42054.5062538407</v>
      </c>
      <c r="H936" s="207"/>
      <c r="I936" s="207" t="s">
        <v>12545</v>
      </c>
      <c r="J936" s="66" t="s">
        <v>12547</v>
      </c>
      <c r="K936" s="207"/>
      <c r="L936" s="66"/>
      <c r="M936" s="201" t="s">
        <v>12550</v>
      </c>
      <c r="N936" s="207"/>
      <c r="O936" s="38"/>
    </row>
    <row r="937" spans="1:15" ht="72" customHeight="1" x14ac:dyDescent="0.3">
      <c r="A937" s="242">
        <v>917</v>
      </c>
      <c r="B937" s="38" t="s">
        <v>12471</v>
      </c>
      <c r="C937" s="38" t="s">
        <v>12776</v>
      </c>
      <c r="D937" s="88"/>
      <c r="E937" s="245">
        <v>29.5</v>
      </c>
      <c r="F937" s="39">
        <f t="shared" si="61"/>
        <v>84193.483183644537</v>
      </c>
      <c r="G937" s="39">
        <f t="shared" si="62"/>
        <v>27447.078196643815</v>
      </c>
      <c r="H937" s="207"/>
      <c r="I937" s="207" t="s">
        <v>12545</v>
      </c>
      <c r="J937" s="66" t="s">
        <v>12547</v>
      </c>
      <c r="K937" s="207"/>
      <c r="L937" s="66"/>
      <c r="M937" s="201" t="s">
        <v>12550</v>
      </c>
      <c r="N937" s="207"/>
      <c r="O937" s="38"/>
    </row>
    <row r="938" spans="1:15" ht="120" customHeight="1" x14ac:dyDescent="0.3">
      <c r="A938" s="242">
        <v>918</v>
      </c>
      <c r="B938" s="38" t="s">
        <v>12467</v>
      </c>
      <c r="C938" s="38" t="s">
        <v>12777</v>
      </c>
      <c r="D938" s="88" t="s">
        <v>19486</v>
      </c>
      <c r="E938" s="245">
        <v>62.4</v>
      </c>
      <c r="F938" s="39">
        <f t="shared" si="61"/>
        <v>178090.62205625148</v>
      </c>
      <c r="G938" s="39">
        <f t="shared" si="62"/>
        <v>58057.548456629629</v>
      </c>
      <c r="H938" s="207"/>
      <c r="I938" s="207" t="s">
        <v>12545</v>
      </c>
      <c r="J938" s="66" t="s">
        <v>12547</v>
      </c>
      <c r="K938" s="26">
        <v>42768</v>
      </c>
      <c r="L938" s="66" t="s">
        <v>19485</v>
      </c>
      <c r="M938" s="201" t="s">
        <v>12550</v>
      </c>
      <c r="N938" s="207"/>
      <c r="O938" s="38"/>
    </row>
    <row r="939" spans="1:15" ht="72" customHeight="1" x14ac:dyDescent="0.3">
      <c r="A939" s="242">
        <v>919</v>
      </c>
      <c r="B939" s="38" t="s">
        <v>12467</v>
      </c>
      <c r="C939" s="38" t="s">
        <v>12778</v>
      </c>
      <c r="D939" s="88"/>
      <c r="E939" s="245">
        <v>62.4</v>
      </c>
      <c r="F939" s="39">
        <f t="shared" si="61"/>
        <v>178090.62205625148</v>
      </c>
      <c r="G939" s="39">
        <f t="shared" si="62"/>
        <v>58057.548456629629</v>
      </c>
      <c r="H939" s="207"/>
      <c r="I939" s="207" t="s">
        <v>12545</v>
      </c>
      <c r="J939" s="66" t="s">
        <v>12547</v>
      </c>
      <c r="K939" s="207"/>
      <c r="L939" s="66"/>
      <c r="M939" s="201" t="s">
        <v>12550</v>
      </c>
      <c r="N939" s="207"/>
      <c r="O939" s="38"/>
    </row>
    <row r="940" spans="1:15" ht="72" customHeight="1" x14ac:dyDescent="0.3">
      <c r="A940" s="242">
        <v>920</v>
      </c>
      <c r="B940" s="38" t="s">
        <v>12468</v>
      </c>
      <c r="C940" s="38" t="s">
        <v>12779</v>
      </c>
      <c r="D940" s="88"/>
      <c r="E940" s="245">
        <v>46.1</v>
      </c>
      <c r="F940" s="39">
        <f t="shared" si="61"/>
        <v>131570.155076814</v>
      </c>
      <c r="G940" s="39">
        <f t="shared" si="62"/>
        <v>42891.874741195934</v>
      </c>
      <c r="H940" s="207"/>
      <c r="I940" s="207" t="s">
        <v>12545</v>
      </c>
      <c r="J940" s="66" t="s">
        <v>12547</v>
      </c>
      <c r="K940" s="207"/>
      <c r="L940" s="66"/>
      <c r="M940" s="201" t="s">
        <v>12550</v>
      </c>
      <c r="N940" s="207"/>
      <c r="O940" s="38"/>
    </row>
    <row r="941" spans="1:15" ht="132" customHeight="1" x14ac:dyDescent="0.3">
      <c r="A941" s="242">
        <v>921</v>
      </c>
      <c r="B941" s="38" t="s">
        <v>12468</v>
      </c>
      <c r="C941" s="38" t="s">
        <v>12780</v>
      </c>
      <c r="D941" s="88"/>
      <c r="E941" s="245">
        <v>43.5</v>
      </c>
      <c r="F941" s="39">
        <f t="shared" si="61"/>
        <v>124149.71249113684</v>
      </c>
      <c r="G941" s="39">
        <f t="shared" si="62"/>
        <v>40472.810222169697</v>
      </c>
      <c r="H941" s="207"/>
      <c r="I941" s="207" t="s">
        <v>12545</v>
      </c>
      <c r="J941" s="66" t="s">
        <v>12547</v>
      </c>
      <c r="K941" s="207" t="s">
        <v>19355</v>
      </c>
      <c r="L941" s="66" t="s">
        <v>19356</v>
      </c>
      <c r="M941" s="201" t="s">
        <v>12550</v>
      </c>
      <c r="N941" s="207"/>
      <c r="O941" s="38"/>
    </row>
    <row r="942" spans="1:15" ht="72" customHeight="1" x14ac:dyDescent="0.3">
      <c r="A942" s="242">
        <v>922</v>
      </c>
      <c r="B942" s="154" t="s">
        <v>12471</v>
      </c>
      <c r="C942" s="154" t="s">
        <v>12781</v>
      </c>
      <c r="D942" s="88"/>
      <c r="E942" s="134">
        <v>35</v>
      </c>
      <c r="F942" s="40">
        <f>1253099.9/215*E942</f>
        <v>203993.00697674419</v>
      </c>
      <c r="G942" s="40">
        <f>546351.61/215*E942</f>
        <v>88940.959767441847</v>
      </c>
      <c r="H942" s="207"/>
      <c r="I942" s="207" t="s">
        <v>12545</v>
      </c>
      <c r="J942" s="66" t="s">
        <v>12547</v>
      </c>
      <c r="K942" s="207"/>
      <c r="L942" s="66"/>
      <c r="M942" s="201" t="s">
        <v>12550</v>
      </c>
      <c r="N942" s="207"/>
      <c r="O942" s="38"/>
    </row>
    <row r="943" spans="1:15" ht="72" customHeight="1" x14ac:dyDescent="0.3">
      <c r="A943" s="242">
        <v>923</v>
      </c>
      <c r="B943" s="154" t="s">
        <v>12468</v>
      </c>
      <c r="C943" s="154" t="s">
        <v>12782</v>
      </c>
      <c r="D943" s="88"/>
      <c r="E943" s="134">
        <v>55</v>
      </c>
      <c r="F943" s="40">
        <f>1253099.9/215*E943</f>
        <v>320560.43953488371</v>
      </c>
      <c r="G943" s="40">
        <f>546351.61/215*E943</f>
        <v>139764.36534883719</v>
      </c>
      <c r="H943" s="207"/>
      <c r="I943" s="207" t="s">
        <v>12545</v>
      </c>
      <c r="J943" s="66" t="s">
        <v>12547</v>
      </c>
      <c r="K943" s="207"/>
      <c r="L943" s="66"/>
      <c r="M943" s="201" t="s">
        <v>12550</v>
      </c>
      <c r="N943" s="207"/>
      <c r="O943" s="38"/>
    </row>
    <row r="944" spans="1:15" ht="72" customHeight="1" x14ac:dyDescent="0.3">
      <c r="A944" s="242">
        <v>924</v>
      </c>
      <c r="B944" s="154" t="s">
        <v>12468</v>
      </c>
      <c r="C944" s="154" t="s">
        <v>12783</v>
      </c>
      <c r="D944" s="88"/>
      <c r="E944" s="134">
        <v>55</v>
      </c>
      <c r="F944" s="40">
        <f>1253099.9/215*E944</f>
        <v>320560.43953488371</v>
      </c>
      <c r="G944" s="40">
        <f>546351.61/215*E944</f>
        <v>139764.36534883719</v>
      </c>
      <c r="H944" s="207"/>
      <c r="I944" s="207" t="s">
        <v>12545</v>
      </c>
      <c r="J944" s="66" t="s">
        <v>12547</v>
      </c>
      <c r="K944" s="207"/>
      <c r="L944" s="66"/>
      <c r="M944" s="201" t="s">
        <v>12550</v>
      </c>
      <c r="N944" s="207"/>
      <c r="O944" s="38"/>
    </row>
    <row r="945" spans="1:15" ht="72" customHeight="1" x14ac:dyDescent="0.3">
      <c r="A945" s="242">
        <v>925</v>
      </c>
      <c r="B945" s="154" t="s">
        <v>12471</v>
      </c>
      <c r="C945" s="154" t="s">
        <v>12784</v>
      </c>
      <c r="D945" s="88"/>
      <c r="E945" s="134">
        <v>35</v>
      </c>
      <c r="F945" s="40">
        <f>1253099.9/215*E945</f>
        <v>203993.00697674419</v>
      </c>
      <c r="G945" s="40">
        <f>546351.61/215*E945</f>
        <v>88940.959767441847</v>
      </c>
      <c r="H945" s="207"/>
      <c r="I945" s="207" t="s">
        <v>12545</v>
      </c>
      <c r="J945" s="66" t="s">
        <v>12547</v>
      </c>
      <c r="K945" s="207"/>
      <c r="L945" s="66"/>
      <c r="M945" s="201" t="s">
        <v>12550</v>
      </c>
      <c r="N945" s="207"/>
      <c r="O945" s="38"/>
    </row>
    <row r="946" spans="1:15" ht="72" customHeight="1" x14ac:dyDescent="0.3">
      <c r="A946" s="242">
        <v>926</v>
      </c>
      <c r="B946" s="154" t="s">
        <v>12471</v>
      </c>
      <c r="C946" s="154" t="s">
        <v>12785</v>
      </c>
      <c r="D946" s="88"/>
      <c r="E946" s="134">
        <v>35</v>
      </c>
      <c r="F946" s="40">
        <f>1253099.9/215*E946</f>
        <v>203993.00697674419</v>
      </c>
      <c r="G946" s="40">
        <f>546351.61/215*E946</f>
        <v>88940.959767441847</v>
      </c>
      <c r="H946" s="207"/>
      <c r="I946" s="207" t="s">
        <v>12545</v>
      </c>
      <c r="J946" s="66" t="s">
        <v>12547</v>
      </c>
      <c r="K946" s="207"/>
      <c r="L946" s="66"/>
      <c r="M946" s="201" t="s">
        <v>12550</v>
      </c>
      <c r="N946" s="207"/>
      <c r="O946" s="38"/>
    </row>
    <row r="947" spans="1:15" ht="72" customHeight="1" x14ac:dyDescent="0.3">
      <c r="A947" s="242">
        <v>927</v>
      </c>
      <c r="B947" s="38" t="s">
        <v>12468</v>
      </c>
      <c r="C947" s="38" t="s">
        <v>12786</v>
      </c>
      <c r="D947" s="88"/>
      <c r="E947" s="245">
        <v>59.1</v>
      </c>
      <c r="F947" s="39">
        <f>286930.12/258.2*E947</f>
        <v>65676.104151820298</v>
      </c>
      <c r="G947" s="39">
        <f>90669.92/258.2*E947</f>
        <v>20753.649388071266</v>
      </c>
      <c r="H947" s="207"/>
      <c r="I947" s="207" t="s">
        <v>12545</v>
      </c>
      <c r="J947" s="66" t="s">
        <v>18595</v>
      </c>
      <c r="K947" s="207"/>
      <c r="L947" s="66"/>
      <c r="M947" s="201" t="s">
        <v>12550</v>
      </c>
      <c r="N947" s="207"/>
      <c r="O947" s="38"/>
    </row>
    <row r="948" spans="1:15" ht="72" customHeight="1" x14ac:dyDescent="0.3">
      <c r="A948" s="242">
        <v>928</v>
      </c>
      <c r="B948" s="38" t="s">
        <v>12471</v>
      </c>
      <c r="C948" s="38" t="s">
        <v>12787</v>
      </c>
      <c r="D948" s="88" t="s">
        <v>21049</v>
      </c>
      <c r="E948" s="245">
        <v>31.5</v>
      </c>
      <c r="F948" s="39">
        <v>1081179</v>
      </c>
      <c r="G948" s="39">
        <v>0</v>
      </c>
      <c r="H948" s="207"/>
      <c r="I948" s="207" t="s">
        <v>12545</v>
      </c>
      <c r="J948" s="66" t="s">
        <v>12547</v>
      </c>
      <c r="K948" s="243">
        <v>42884</v>
      </c>
      <c r="L948" s="66" t="s">
        <v>18593</v>
      </c>
      <c r="M948" s="201" t="s">
        <v>12550</v>
      </c>
      <c r="N948" s="207"/>
      <c r="O948" s="38" t="s">
        <v>18884</v>
      </c>
    </row>
    <row r="949" spans="1:15" ht="72" customHeight="1" x14ac:dyDescent="0.3">
      <c r="A949" s="242">
        <v>929</v>
      </c>
      <c r="B949" s="38" t="s">
        <v>12471</v>
      </c>
      <c r="C949" s="38" t="s">
        <v>12788</v>
      </c>
      <c r="D949" s="88"/>
      <c r="E949" s="245">
        <v>32.700000000000003</v>
      </c>
      <c r="F949" s="39">
        <f>286930.12/258.2*E949</f>
        <v>36338.55508907824</v>
      </c>
      <c r="G949" s="39">
        <f>90669.92/258.2*E949</f>
        <v>11482.983671572427</v>
      </c>
      <c r="H949" s="207"/>
      <c r="I949" s="207" t="s">
        <v>12545</v>
      </c>
      <c r="J949" s="66" t="s">
        <v>18595</v>
      </c>
      <c r="K949" s="207"/>
      <c r="L949" s="66"/>
      <c r="M949" s="201" t="s">
        <v>12550</v>
      </c>
      <c r="N949" s="207"/>
      <c r="O949" s="38"/>
    </row>
    <row r="950" spans="1:15" ht="72" customHeight="1" x14ac:dyDescent="0.3">
      <c r="A950" s="242">
        <v>930</v>
      </c>
      <c r="B950" s="38" t="s">
        <v>12468</v>
      </c>
      <c r="C950" s="38" t="s">
        <v>12789</v>
      </c>
      <c r="D950" s="88"/>
      <c r="E950" s="245">
        <v>48.2</v>
      </c>
      <c r="F950" s="39">
        <f>286930.12/258.2*E950</f>
        <v>53563.25245546089</v>
      </c>
      <c r="G950" s="39">
        <f>90669.92/258.2*E950</f>
        <v>16925.988164213792</v>
      </c>
      <c r="H950" s="207"/>
      <c r="I950" s="207" t="s">
        <v>12545</v>
      </c>
      <c r="J950" s="66" t="s">
        <v>18595</v>
      </c>
      <c r="K950" s="207"/>
      <c r="L950" s="66"/>
      <c r="M950" s="201" t="s">
        <v>12550</v>
      </c>
      <c r="N950" s="207"/>
      <c r="O950" s="38"/>
    </row>
    <row r="951" spans="1:15" ht="72" customHeight="1" x14ac:dyDescent="0.3">
      <c r="A951" s="242">
        <v>931</v>
      </c>
      <c r="B951" s="38" t="s">
        <v>12468</v>
      </c>
      <c r="C951" s="38" t="s">
        <v>12790</v>
      </c>
      <c r="D951" s="88"/>
      <c r="E951" s="245">
        <v>59.1</v>
      </c>
      <c r="F951" s="39">
        <f>286930.12/258.2*E951</f>
        <v>65676.104151820298</v>
      </c>
      <c r="G951" s="39">
        <f>90669.92/258.2*E951</f>
        <v>20753.649388071266</v>
      </c>
      <c r="H951" s="207"/>
      <c r="I951" s="207" t="s">
        <v>12545</v>
      </c>
      <c r="J951" s="66" t="s">
        <v>18595</v>
      </c>
      <c r="K951" s="207"/>
      <c r="L951" s="66"/>
      <c r="M951" s="201" t="s">
        <v>12550</v>
      </c>
      <c r="N951" s="207"/>
      <c r="O951" s="38"/>
    </row>
    <row r="952" spans="1:15" ht="72" customHeight="1" x14ac:dyDescent="0.3">
      <c r="A952" s="242">
        <v>932</v>
      </c>
      <c r="B952" s="38" t="s">
        <v>12468</v>
      </c>
      <c r="C952" s="38" t="s">
        <v>12791</v>
      </c>
      <c r="D952" s="88"/>
      <c r="E952" s="245">
        <v>59.1</v>
      </c>
      <c r="F952" s="39">
        <f>286930.12/258.2*E952</f>
        <v>65676.104151820298</v>
      </c>
      <c r="G952" s="39">
        <f>90669.92/258.2*E952</f>
        <v>20753.649388071266</v>
      </c>
      <c r="H952" s="207"/>
      <c r="I952" s="207" t="s">
        <v>12545</v>
      </c>
      <c r="J952" s="66" t="s">
        <v>18595</v>
      </c>
      <c r="K952" s="207"/>
      <c r="L952" s="66"/>
      <c r="M952" s="201" t="s">
        <v>12550</v>
      </c>
      <c r="N952" s="207"/>
      <c r="O952" s="38" t="s">
        <v>21569</v>
      </c>
    </row>
    <row r="953" spans="1:15" ht="84" customHeight="1" x14ac:dyDescent="0.3">
      <c r="A953" s="242">
        <v>933</v>
      </c>
      <c r="B953" s="38" t="s">
        <v>12471</v>
      </c>
      <c r="C953" s="38" t="s">
        <v>12792</v>
      </c>
      <c r="D953" s="88"/>
      <c r="E953" s="20">
        <v>33.299999999999997</v>
      </c>
      <c r="F953" s="39">
        <f>SUM(F815:F817)</f>
        <v>300274.11</v>
      </c>
      <c r="G953" s="38"/>
      <c r="H953" s="207"/>
      <c r="I953" s="207" t="s">
        <v>12545</v>
      </c>
      <c r="J953" s="245" t="s">
        <v>12547</v>
      </c>
      <c r="K953" s="26">
        <v>42821</v>
      </c>
      <c r="L953" s="66" t="s">
        <v>18341</v>
      </c>
      <c r="M953" s="201" t="s">
        <v>12550</v>
      </c>
      <c r="N953" s="207"/>
      <c r="O953" s="38"/>
    </row>
    <row r="954" spans="1:15" ht="72" customHeight="1" x14ac:dyDescent="0.3">
      <c r="A954" s="242">
        <v>934</v>
      </c>
      <c r="B954" s="38" t="s">
        <v>12471</v>
      </c>
      <c r="C954" s="38" t="s">
        <v>12793</v>
      </c>
      <c r="D954" s="88"/>
      <c r="E954" s="245">
        <v>34.299999999999997</v>
      </c>
      <c r="F954" s="39">
        <f>514355.98/125.7*E954</f>
        <v>140353.30241845662</v>
      </c>
      <c r="G954" s="39">
        <f>137713.26/125.7*E954</f>
        <v>37578.081288782814</v>
      </c>
      <c r="H954" s="207"/>
      <c r="I954" s="207" t="s">
        <v>12545</v>
      </c>
      <c r="J954" s="245" t="s">
        <v>12547</v>
      </c>
      <c r="K954" s="207"/>
      <c r="L954" s="66"/>
      <c r="M954" s="201" t="s">
        <v>12550</v>
      </c>
      <c r="N954" s="207"/>
      <c r="O954" s="38"/>
    </row>
    <row r="955" spans="1:15" ht="72" customHeight="1" x14ac:dyDescent="0.3">
      <c r="A955" s="242">
        <v>935</v>
      </c>
      <c r="B955" s="38" t="s">
        <v>12468</v>
      </c>
      <c r="C955" s="38" t="s">
        <v>12794</v>
      </c>
      <c r="D955" s="88"/>
      <c r="E955" s="245">
        <v>58.6</v>
      </c>
      <c r="F955" s="39">
        <f>514355.98/125.7*E955</f>
        <v>239787.27468575974</v>
      </c>
      <c r="G955" s="39">
        <f>137713.26/125.7*E955</f>
        <v>64200.453747016712</v>
      </c>
      <c r="H955" s="207"/>
      <c r="I955" s="207" t="s">
        <v>12545</v>
      </c>
      <c r="J955" s="66" t="s">
        <v>12547</v>
      </c>
      <c r="K955" s="207"/>
      <c r="L955" s="66"/>
      <c r="M955" s="201" t="s">
        <v>12550</v>
      </c>
      <c r="N955" s="207"/>
      <c r="O955" s="38"/>
    </row>
    <row r="956" spans="1:15" ht="96" customHeight="1" x14ac:dyDescent="0.3">
      <c r="A956" s="242">
        <v>936</v>
      </c>
      <c r="B956" s="38" t="s">
        <v>12471</v>
      </c>
      <c r="C956" s="38" t="s">
        <v>12795</v>
      </c>
      <c r="D956" s="88"/>
      <c r="E956" s="245">
        <v>32.799999999999997</v>
      </c>
      <c r="F956" s="39">
        <f>514355.98/125.7*E956</f>
        <v>134215.4028957836</v>
      </c>
      <c r="G956" s="39">
        <f>137713.26/125.7*E956</f>
        <v>35934.724964200475</v>
      </c>
      <c r="H956" s="207"/>
      <c r="I956" s="207" t="s">
        <v>12545</v>
      </c>
      <c r="J956" s="66" t="s">
        <v>12547</v>
      </c>
      <c r="K956" s="207"/>
      <c r="L956" s="66"/>
      <c r="M956" s="201" t="s">
        <v>12550</v>
      </c>
      <c r="N956" s="207"/>
      <c r="O956" s="38" t="s">
        <v>21570</v>
      </c>
    </row>
    <row r="957" spans="1:15" ht="84" customHeight="1" x14ac:dyDescent="0.3">
      <c r="A957" s="2">
        <v>937</v>
      </c>
      <c r="B957" s="38" t="s">
        <v>12468</v>
      </c>
      <c r="C957" s="38" t="s">
        <v>12796</v>
      </c>
      <c r="D957" s="88"/>
      <c r="E957" s="20">
        <v>53.5</v>
      </c>
      <c r="F957" s="39">
        <v>19320.490000000002</v>
      </c>
      <c r="G957" s="39">
        <v>4946.05</v>
      </c>
      <c r="H957" s="207"/>
      <c r="I957" s="207" t="s">
        <v>12545</v>
      </c>
      <c r="J957" s="245" t="s">
        <v>12547</v>
      </c>
      <c r="K957" s="26">
        <v>42724</v>
      </c>
      <c r="L957" s="66" t="s">
        <v>18030</v>
      </c>
      <c r="M957" s="201" t="s">
        <v>12550</v>
      </c>
      <c r="N957" s="207"/>
      <c r="O957" s="38"/>
    </row>
    <row r="958" spans="1:15" ht="72" customHeight="1" x14ac:dyDescent="0.3">
      <c r="A958" s="242">
        <v>938</v>
      </c>
      <c r="B958" s="38" t="s">
        <v>12467</v>
      </c>
      <c r="C958" s="38" t="s">
        <v>12797</v>
      </c>
      <c r="D958" s="88"/>
      <c r="E958" s="20">
        <v>67.2</v>
      </c>
      <c r="F958" s="39">
        <v>2542650</v>
      </c>
      <c r="G958" s="38">
        <v>0</v>
      </c>
      <c r="H958" s="207"/>
      <c r="I958" s="207" t="s">
        <v>12545</v>
      </c>
      <c r="J958" s="66" t="s">
        <v>12547</v>
      </c>
      <c r="K958" s="243">
        <v>42884</v>
      </c>
      <c r="L958" s="66" t="s">
        <v>18593</v>
      </c>
      <c r="M958" s="201" t="s">
        <v>12550</v>
      </c>
      <c r="N958" s="207"/>
      <c r="O958" s="38" t="s">
        <v>18885</v>
      </c>
    </row>
    <row r="959" spans="1:15" ht="72" customHeight="1" x14ac:dyDescent="0.3">
      <c r="A959" s="242">
        <v>939</v>
      </c>
      <c r="B959" s="38" t="s">
        <v>12468</v>
      </c>
      <c r="C959" s="38" t="s">
        <v>12798</v>
      </c>
      <c r="D959" s="88"/>
      <c r="E959" s="245">
        <v>57.5</v>
      </c>
      <c r="F959" s="39">
        <f>826093.92/214.4*E959</f>
        <v>221550.375</v>
      </c>
      <c r="G959" s="39">
        <f>194958.16/214.4*E959</f>
        <v>52285.887126865666</v>
      </c>
      <c r="H959" s="207"/>
      <c r="I959" s="207" t="s">
        <v>12545</v>
      </c>
      <c r="J959" s="66" t="s">
        <v>12547</v>
      </c>
      <c r="K959" s="207"/>
      <c r="L959" s="66"/>
      <c r="M959" s="201" t="s">
        <v>12550</v>
      </c>
      <c r="N959" s="207"/>
      <c r="O959" s="38"/>
    </row>
    <row r="960" spans="1:15" ht="108" x14ac:dyDescent="0.3">
      <c r="A960" s="242">
        <v>940</v>
      </c>
      <c r="B960" s="38" t="s">
        <v>12468</v>
      </c>
      <c r="C960" s="38" t="s">
        <v>12799</v>
      </c>
      <c r="D960" s="88"/>
      <c r="E960" s="245">
        <v>49.3</v>
      </c>
      <c r="F960" s="39">
        <f>826093.92/214.4*E960</f>
        <v>189955.36499999999</v>
      </c>
      <c r="G960" s="39">
        <f>194958.16/214.4*E960</f>
        <v>44829.464962686565</v>
      </c>
      <c r="H960" s="207"/>
      <c r="I960" s="207" t="s">
        <v>12545</v>
      </c>
      <c r="J960" s="66" t="s">
        <v>12547</v>
      </c>
      <c r="K960" s="207" t="s">
        <v>23592</v>
      </c>
      <c r="L960" s="66" t="s">
        <v>23593</v>
      </c>
      <c r="M960" s="201" t="s">
        <v>12550</v>
      </c>
      <c r="N960" s="207"/>
      <c r="O960" s="38" t="s">
        <v>21184</v>
      </c>
    </row>
    <row r="961" spans="1:15" ht="84" customHeight="1" x14ac:dyDescent="0.3">
      <c r="A961" s="242">
        <v>941</v>
      </c>
      <c r="B961" s="38" t="s">
        <v>12468</v>
      </c>
      <c r="C961" s="38" t="s">
        <v>12800</v>
      </c>
      <c r="D961" s="88"/>
      <c r="E961" s="245">
        <v>49.7</v>
      </c>
      <c r="F961" s="39">
        <f>826093.92/214.4*E961</f>
        <v>191496.58500000002</v>
      </c>
      <c r="G961" s="39">
        <f>194958.16/214.4*E961</f>
        <v>45193.192873134329</v>
      </c>
      <c r="H961" s="207"/>
      <c r="I961" s="207" t="s">
        <v>12545</v>
      </c>
      <c r="J961" s="66" t="s">
        <v>12547</v>
      </c>
      <c r="K961" s="26">
        <v>42817</v>
      </c>
      <c r="L961" s="66" t="s">
        <v>18342</v>
      </c>
      <c r="M961" s="201" t="s">
        <v>12550</v>
      </c>
      <c r="N961" s="207"/>
      <c r="O961" s="38"/>
    </row>
    <row r="962" spans="1:15" ht="72" customHeight="1" x14ac:dyDescent="0.3">
      <c r="A962" s="242">
        <v>942</v>
      </c>
      <c r="B962" s="38" t="s">
        <v>12471</v>
      </c>
      <c r="C962" s="38" t="s">
        <v>12801</v>
      </c>
      <c r="D962" s="88"/>
      <c r="E962" s="20">
        <v>32.1</v>
      </c>
      <c r="F962" s="39">
        <v>1056000</v>
      </c>
      <c r="G962" s="38">
        <v>0</v>
      </c>
      <c r="H962" s="207"/>
      <c r="I962" s="207" t="s">
        <v>12545</v>
      </c>
      <c r="J962" s="245" t="s">
        <v>12547</v>
      </c>
      <c r="K962" s="243">
        <v>42884</v>
      </c>
      <c r="L962" s="66" t="s">
        <v>18593</v>
      </c>
      <c r="M962" s="201" t="s">
        <v>12550</v>
      </c>
      <c r="N962" s="207"/>
      <c r="O962" s="38" t="s">
        <v>18886</v>
      </c>
    </row>
    <row r="963" spans="1:15" ht="72" customHeight="1" x14ac:dyDescent="0.3">
      <c r="A963" s="242">
        <v>943</v>
      </c>
      <c r="B963" s="38" t="s">
        <v>12468</v>
      </c>
      <c r="C963" s="38" t="s">
        <v>12802</v>
      </c>
      <c r="D963" s="88"/>
      <c r="E963" s="245">
        <v>57.9</v>
      </c>
      <c r="F963" s="39">
        <f>826093.92/214.4*E963</f>
        <v>223091.595</v>
      </c>
      <c r="G963" s="39">
        <f>194958.16/214.4*E963</f>
        <v>52649.61503731343</v>
      </c>
      <c r="H963" s="207"/>
      <c r="I963" s="207" t="s">
        <v>12545</v>
      </c>
      <c r="J963" s="66" t="s">
        <v>12547</v>
      </c>
      <c r="K963" s="207"/>
      <c r="L963" s="66"/>
      <c r="M963" s="201" t="s">
        <v>12550</v>
      </c>
      <c r="N963" s="207"/>
      <c r="O963" s="38"/>
    </row>
    <row r="964" spans="1:15" ht="72" customHeight="1" x14ac:dyDescent="0.3">
      <c r="A964" s="242">
        <v>944</v>
      </c>
      <c r="B964" s="38" t="s">
        <v>12467</v>
      </c>
      <c r="C964" s="38" t="s">
        <v>12803</v>
      </c>
      <c r="D964" s="88"/>
      <c r="E964" s="245">
        <v>67.599999999999994</v>
      </c>
      <c r="F964" s="39">
        <f>431700.62/181.9*E964</f>
        <v>160434.09517317204</v>
      </c>
      <c r="G964" s="39">
        <f>93247.33/181.9*E964</f>
        <v>34653.763100604723</v>
      </c>
      <c r="H964" s="207"/>
      <c r="I964" s="207" t="s">
        <v>12545</v>
      </c>
      <c r="J964" s="245" t="s">
        <v>12547</v>
      </c>
      <c r="K964" s="207"/>
      <c r="L964" s="66"/>
      <c r="M964" s="201" t="s">
        <v>12550</v>
      </c>
      <c r="N964" s="207"/>
      <c r="O964" s="38"/>
    </row>
    <row r="965" spans="1:15" ht="72" customHeight="1" x14ac:dyDescent="0.3">
      <c r="A965" s="242">
        <v>945</v>
      </c>
      <c r="B965" s="38" t="s">
        <v>12467</v>
      </c>
      <c r="C965" s="38" t="s">
        <v>12804</v>
      </c>
      <c r="D965" s="88"/>
      <c r="E965" s="245">
        <v>67.099999999999994</v>
      </c>
      <c r="F965" s="39">
        <f>431700.62/181.9*E965</f>
        <v>159247.45245739416</v>
      </c>
      <c r="G965" s="39">
        <f>93247.33/181.9*E965</f>
        <v>34397.448284771846</v>
      </c>
      <c r="H965" s="207"/>
      <c r="I965" s="207" t="s">
        <v>12545</v>
      </c>
      <c r="J965" s="66" t="s">
        <v>12547</v>
      </c>
      <c r="K965" s="207"/>
      <c r="L965" s="66"/>
      <c r="M965" s="201" t="s">
        <v>12550</v>
      </c>
      <c r="N965" s="207"/>
      <c r="O965" s="38"/>
    </row>
    <row r="966" spans="1:15" ht="72" customHeight="1" x14ac:dyDescent="0.3">
      <c r="A966" s="242">
        <v>946</v>
      </c>
      <c r="B966" s="38" t="s">
        <v>12471</v>
      </c>
      <c r="C966" s="38" t="s">
        <v>12805</v>
      </c>
      <c r="D966" s="88"/>
      <c r="E966" s="245">
        <v>47.2</v>
      </c>
      <c r="F966" s="39">
        <f>431700.62/181.9*E966</f>
        <v>112019.07236943375</v>
      </c>
      <c r="G966" s="39">
        <f>93247.33/181.9*E966</f>
        <v>24196.118614623418</v>
      </c>
      <c r="H966" s="207"/>
      <c r="I966" s="207" t="s">
        <v>12545</v>
      </c>
      <c r="J966" s="66" t="s">
        <v>12547</v>
      </c>
      <c r="K966" s="207"/>
      <c r="L966" s="66"/>
      <c r="M966" s="201" t="s">
        <v>12550</v>
      </c>
      <c r="N966" s="207"/>
      <c r="O966" s="38"/>
    </row>
    <row r="967" spans="1:15" ht="72" customHeight="1" x14ac:dyDescent="0.3">
      <c r="A967" s="242">
        <v>947</v>
      </c>
      <c r="B967" s="38" t="s">
        <v>12468</v>
      </c>
      <c r="C967" s="38" t="s">
        <v>12806</v>
      </c>
      <c r="D967" s="88"/>
      <c r="E967" s="245">
        <v>53.6</v>
      </c>
      <c r="F967" s="39">
        <f t="shared" ref="F967:F973" si="63">1690150.26/398*E967</f>
        <v>227618.22596984924</v>
      </c>
      <c r="G967" s="39">
        <f t="shared" ref="G967:G973" si="64">348170.93/398*E967</f>
        <v>46889.351376884428</v>
      </c>
      <c r="H967" s="207"/>
      <c r="I967" s="207" t="s">
        <v>12545</v>
      </c>
      <c r="J967" s="66" t="s">
        <v>12547</v>
      </c>
      <c r="K967" s="207"/>
      <c r="L967" s="66"/>
      <c r="M967" s="201" t="s">
        <v>12550</v>
      </c>
      <c r="N967" s="207"/>
      <c r="O967" s="38"/>
    </row>
    <row r="968" spans="1:15" ht="72" customHeight="1" x14ac:dyDescent="0.3">
      <c r="A968" s="242">
        <v>948</v>
      </c>
      <c r="B968" s="38" t="s">
        <v>12467</v>
      </c>
      <c r="C968" s="38" t="s">
        <v>12807</v>
      </c>
      <c r="D968" s="88"/>
      <c r="E968" s="245">
        <v>67</v>
      </c>
      <c r="F968" s="39">
        <f t="shared" si="63"/>
        <v>284522.78246231156</v>
      </c>
      <c r="G968" s="39">
        <f t="shared" si="64"/>
        <v>58611.689221105531</v>
      </c>
      <c r="H968" s="207"/>
      <c r="I968" s="207" t="s">
        <v>12545</v>
      </c>
      <c r="J968" s="66" t="s">
        <v>12547</v>
      </c>
      <c r="K968" s="207"/>
      <c r="L968" s="66"/>
      <c r="M968" s="201" t="s">
        <v>12550</v>
      </c>
      <c r="N968" s="207"/>
      <c r="O968" s="38"/>
    </row>
    <row r="969" spans="1:15" ht="72" customHeight="1" x14ac:dyDescent="0.3">
      <c r="A969" s="242">
        <v>949</v>
      </c>
      <c r="B969" s="38" t="s">
        <v>12468</v>
      </c>
      <c r="C969" s="38" t="s">
        <v>12808</v>
      </c>
      <c r="D969" s="88"/>
      <c r="E969" s="245">
        <v>54.1</v>
      </c>
      <c r="F969" s="39">
        <f t="shared" si="63"/>
        <v>229741.53031658291</v>
      </c>
      <c r="G969" s="39">
        <f t="shared" si="64"/>
        <v>47326.752042713568</v>
      </c>
      <c r="H969" s="207"/>
      <c r="I969" s="207" t="s">
        <v>12545</v>
      </c>
      <c r="J969" s="245" t="s">
        <v>12547</v>
      </c>
      <c r="K969" s="207"/>
      <c r="L969" s="66"/>
      <c r="M969" s="201" t="s">
        <v>12550</v>
      </c>
      <c r="N969" s="207"/>
      <c r="O969" s="38"/>
    </row>
    <row r="970" spans="1:15" ht="72" customHeight="1" x14ac:dyDescent="0.3">
      <c r="A970" s="2">
        <v>950</v>
      </c>
      <c r="B970" s="38" t="s">
        <v>12468</v>
      </c>
      <c r="C970" s="38" t="s">
        <v>12809</v>
      </c>
      <c r="D970" s="88"/>
      <c r="E970" s="245">
        <v>54</v>
      </c>
      <c r="F970" s="39">
        <f t="shared" si="63"/>
        <v>229316.86944723618</v>
      </c>
      <c r="G970" s="39">
        <f t="shared" si="64"/>
        <v>47239.271909547737</v>
      </c>
      <c r="H970" s="207"/>
      <c r="I970" s="207" t="s">
        <v>12545</v>
      </c>
      <c r="J970" s="66" t="s">
        <v>12547</v>
      </c>
      <c r="K970" s="207"/>
      <c r="L970" s="66"/>
      <c r="M970" s="201" t="s">
        <v>12550</v>
      </c>
      <c r="N970" s="207"/>
      <c r="O970" s="38"/>
    </row>
    <row r="971" spans="1:15" ht="72" customHeight="1" x14ac:dyDescent="0.3">
      <c r="A971" s="2">
        <v>951</v>
      </c>
      <c r="B971" s="38" t="s">
        <v>12467</v>
      </c>
      <c r="C971" s="38" t="s">
        <v>12810</v>
      </c>
      <c r="D971" s="88"/>
      <c r="E971" s="245">
        <v>67.599999999999994</v>
      </c>
      <c r="F971" s="39">
        <f t="shared" si="63"/>
        <v>287070.74767839193</v>
      </c>
      <c r="G971" s="39">
        <f t="shared" si="64"/>
        <v>59136.570020100502</v>
      </c>
      <c r="H971" s="207"/>
      <c r="I971" s="207" t="s">
        <v>12545</v>
      </c>
      <c r="J971" s="66" t="s">
        <v>12547</v>
      </c>
      <c r="K971" s="207"/>
      <c r="L971" s="66"/>
      <c r="M971" s="201" t="s">
        <v>12550</v>
      </c>
      <c r="N971" s="207"/>
      <c r="O971" s="38"/>
    </row>
    <row r="972" spans="1:15" ht="72" customHeight="1" x14ac:dyDescent="0.3">
      <c r="A972" s="242">
        <v>952</v>
      </c>
      <c r="B972" s="38" t="s">
        <v>12467</v>
      </c>
      <c r="C972" s="38" t="s">
        <v>12811</v>
      </c>
      <c r="D972" s="88"/>
      <c r="E972" s="245">
        <v>68.099999999999994</v>
      </c>
      <c r="F972" s="39">
        <f t="shared" si="63"/>
        <v>289194.05202512559</v>
      </c>
      <c r="G972" s="39">
        <f t="shared" si="64"/>
        <v>59573.970685929642</v>
      </c>
      <c r="H972" s="207"/>
      <c r="I972" s="207" t="s">
        <v>12545</v>
      </c>
      <c r="J972" s="245" t="s">
        <v>12547</v>
      </c>
      <c r="K972" s="207"/>
      <c r="L972" s="66"/>
      <c r="M972" s="201" t="s">
        <v>12550</v>
      </c>
      <c r="N972" s="207"/>
      <c r="O972" s="38" t="s">
        <v>21571</v>
      </c>
    </row>
    <row r="973" spans="1:15" ht="72" customHeight="1" x14ac:dyDescent="0.3">
      <c r="A973" s="2">
        <v>953</v>
      </c>
      <c r="B973" s="38" t="s">
        <v>12471</v>
      </c>
      <c r="C973" s="38" t="s">
        <v>12812</v>
      </c>
      <c r="D973" s="88"/>
      <c r="E973" s="245">
        <v>33.6</v>
      </c>
      <c r="F973" s="39">
        <f t="shared" si="63"/>
        <v>142686.05210050251</v>
      </c>
      <c r="G973" s="39">
        <f t="shared" si="64"/>
        <v>29393.324743718596</v>
      </c>
      <c r="H973" s="207"/>
      <c r="I973" s="207" t="s">
        <v>12545</v>
      </c>
      <c r="J973" s="245" t="s">
        <v>12547</v>
      </c>
      <c r="K973" s="207"/>
      <c r="L973" s="66"/>
      <c r="M973" s="201" t="s">
        <v>12550</v>
      </c>
      <c r="N973" s="207"/>
      <c r="O973" s="38" t="s">
        <v>21572</v>
      </c>
    </row>
    <row r="974" spans="1:15" ht="72" customHeight="1" x14ac:dyDescent="0.3">
      <c r="A974" s="242">
        <v>954</v>
      </c>
      <c r="B974" s="38" t="s">
        <v>12471</v>
      </c>
      <c r="C974" s="38" t="s">
        <v>12813</v>
      </c>
      <c r="D974" s="88"/>
      <c r="E974" s="20">
        <v>44</v>
      </c>
      <c r="F974" s="39">
        <f t="shared" ref="F974:F985" si="65">11258.99/480*E974</f>
        <v>1032.0740833333334</v>
      </c>
      <c r="G974" s="39">
        <f t="shared" ref="G974:G985" si="66">2949.9/480*E974</f>
        <v>270.40749999999997</v>
      </c>
      <c r="H974" s="207"/>
      <c r="I974" s="207" t="s">
        <v>12545</v>
      </c>
      <c r="J974" s="66" t="s">
        <v>12547</v>
      </c>
      <c r="K974" s="207"/>
      <c r="L974" s="66"/>
      <c r="M974" s="201" t="s">
        <v>12550</v>
      </c>
      <c r="N974" s="207"/>
      <c r="O974" s="38"/>
    </row>
    <row r="975" spans="1:15" ht="72" customHeight="1" x14ac:dyDescent="0.3">
      <c r="A975" s="242">
        <v>955</v>
      </c>
      <c r="B975" s="38" t="s">
        <v>12471</v>
      </c>
      <c r="C975" s="38" t="s">
        <v>12814</v>
      </c>
      <c r="D975" s="88"/>
      <c r="E975" s="20">
        <v>44</v>
      </c>
      <c r="F975" s="39">
        <f t="shared" si="65"/>
        <v>1032.0740833333334</v>
      </c>
      <c r="G975" s="39">
        <f t="shared" si="66"/>
        <v>270.40749999999997</v>
      </c>
      <c r="H975" s="207"/>
      <c r="I975" s="207" t="s">
        <v>12545</v>
      </c>
      <c r="J975" s="66" t="s">
        <v>12547</v>
      </c>
      <c r="K975" s="207"/>
      <c r="L975" s="66"/>
      <c r="M975" s="201" t="s">
        <v>12550</v>
      </c>
      <c r="N975" s="207"/>
      <c r="O975" s="38"/>
    </row>
    <row r="976" spans="1:15" ht="84" customHeight="1" x14ac:dyDescent="0.3">
      <c r="A976" s="242">
        <v>956</v>
      </c>
      <c r="B976" s="38" t="s">
        <v>12471</v>
      </c>
      <c r="C976" s="38" t="s">
        <v>12815</v>
      </c>
      <c r="D976" s="88"/>
      <c r="E976" s="20">
        <v>44</v>
      </c>
      <c r="F976" s="39">
        <f t="shared" si="65"/>
        <v>1032.0740833333334</v>
      </c>
      <c r="G976" s="39">
        <f t="shared" si="66"/>
        <v>270.40749999999997</v>
      </c>
      <c r="H976" s="207"/>
      <c r="I976" s="207" t="s">
        <v>12545</v>
      </c>
      <c r="J976" s="66" t="s">
        <v>12547</v>
      </c>
      <c r="K976" s="26">
        <v>42810</v>
      </c>
      <c r="L976" s="66" t="s">
        <v>18206</v>
      </c>
      <c r="M976" s="201" t="s">
        <v>12550</v>
      </c>
      <c r="N976" s="207"/>
      <c r="O976" s="38"/>
    </row>
    <row r="977" spans="1:15" ht="72" customHeight="1" x14ac:dyDescent="0.3">
      <c r="A977" s="242">
        <v>957</v>
      </c>
      <c r="B977" s="38" t="s">
        <v>12475</v>
      </c>
      <c r="C977" s="38" t="s">
        <v>12816</v>
      </c>
      <c r="D977" s="88"/>
      <c r="E977" s="20">
        <v>28</v>
      </c>
      <c r="F977" s="39">
        <f t="shared" si="65"/>
        <v>656.77441666666664</v>
      </c>
      <c r="G977" s="39">
        <f t="shared" si="66"/>
        <v>172.07749999999999</v>
      </c>
      <c r="H977" s="207"/>
      <c r="I977" s="207" t="s">
        <v>12545</v>
      </c>
      <c r="J977" s="245" t="s">
        <v>12547</v>
      </c>
      <c r="K977" s="207"/>
      <c r="L977" s="66"/>
      <c r="M977" s="201" t="s">
        <v>12550</v>
      </c>
      <c r="N977" s="207"/>
      <c r="O977" s="38"/>
    </row>
    <row r="978" spans="1:15" ht="72" customHeight="1" x14ac:dyDescent="0.3">
      <c r="A978" s="242">
        <v>958</v>
      </c>
      <c r="B978" s="38" t="s">
        <v>12471</v>
      </c>
      <c r="C978" s="38" t="s">
        <v>12817</v>
      </c>
      <c r="D978" s="88" t="s">
        <v>19358</v>
      </c>
      <c r="E978" s="20">
        <v>41.4</v>
      </c>
      <c r="F978" s="39">
        <f t="shared" si="65"/>
        <v>971.08788749999997</v>
      </c>
      <c r="G978" s="39">
        <f t="shared" si="66"/>
        <v>254.42887499999998</v>
      </c>
      <c r="H978" s="25"/>
      <c r="I978" s="207" t="s">
        <v>12545</v>
      </c>
      <c r="J978" s="66" t="s">
        <v>12547</v>
      </c>
      <c r="K978" s="207"/>
      <c r="L978" s="66"/>
      <c r="M978" s="201" t="s">
        <v>12550</v>
      </c>
      <c r="N978" s="207"/>
      <c r="O978" s="38"/>
    </row>
    <row r="979" spans="1:15" ht="72" customHeight="1" x14ac:dyDescent="0.3">
      <c r="A979" s="242">
        <v>959</v>
      </c>
      <c r="B979" s="38" t="s">
        <v>12471</v>
      </c>
      <c r="C979" s="38" t="s">
        <v>12818</v>
      </c>
      <c r="D979" s="88" t="s">
        <v>19359</v>
      </c>
      <c r="E979" s="20">
        <v>43.7</v>
      </c>
      <c r="F979" s="39">
        <f t="shared" si="65"/>
        <v>1025.0372145833335</v>
      </c>
      <c r="G979" s="39">
        <f t="shared" si="66"/>
        <v>268.56381250000004</v>
      </c>
      <c r="H979" s="25"/>
      <c r="I979" s="207" t="s">
        <v>12545</v>
      </c>
      <c r="J979" s="66" t="s">
        <v>12547</v>
      </c>
      <c r="K979" s="207"/>
      <c r="L979" s="66"/>
      <c r="M979" s="201" t="s">
        <v>12550</v>
      </c>
      <c r="N979" s="207"/>
      <c r="O979" s="38"/>
    </row>
    <row r="980" spans="1:15" ht="72" customHeight="1" x14ac:dyDescent="0.3">
      <c r="A980" s="242">
        <v>960</v>
      </c>
      <c r="B980" s="38" t="s">
        <v>12471</v>
      </c>
      <c r="C980" s="38" t="s">
        <v>12819</v>
      </c>
      <c r="D980" s="88"/>
      <c r="E980" s="20">
        <v>44</v>
      </c>
      <c r="F980" s="39">
        <f t="shared" si="65"/>
        <v>1032.0740833333334</v>
      </c>
      <c r="G980" s="39">
        <f t="shared" si="66"/>
        <v>270.40749999999997</v>
      </c>
      <c r="H980" s="207"/>
      <c r="I980" s="207" t="s">
        <v>12545</v>
      </c>
      <c r="J980" s="245" t="s">
        <v>12547</v>
      </c>
      <c r="K980" s="207"/>
      <c r="L980" s="66"/>
      <c r="M980" s="201" t="s">
        <v>12550</v>
      </c>
      <c r="N980" s="207"/>
      <c r="O980" s="38"/>
    </row>
    <row r="981" spans="1:15" ht="72" customHeight="1" x14ac:dyDescent="0.3">
      <c r="A981" s="242">
        <v>961</v>
      </c>
      <c r="B981" s="38" t="s">
        <v>12471</v>
      </c>
      <c r="C981" s="38" t="s">
        <v>12820</v>
      </c>
      <c r="D981" s="88"/>
      <c r="E981" s="20">
        <v>44</v>
      </c>
      <c r="F981" s="39">
        <f t="shared" si="65"/>
        <v>1032.0740833333334</v>
      </c>
      <c r="G981" s="39">
        <f t="shared" si="66"/>
        <v>270.40749999999997</v>
      </c>
      <c r="H981" s="207"/>
      <c r="I981" s="207" t="s">
        <v>12545</v>
      </c>
      <c r="J981" s="66" t="s">
        <v>12547</v>
      </c>
      <c r="K981" s="207"/>
      <c r="L981" s="66"/>
      <c r="M981" s="201" t="s">
        <v>12550</v>
      </c>
      <c r="N981" s="207"/>
      <c r="O981" s="38"/>
    </row>
    <row r="982" spans="1:15" ht="72" customHeight="1" x14ac:dyDescent="0.3">
      <c r="A982" s="242">
        <v>962</v>
      </c>
      <c r="B982" s="38" t="s">
        <v>12475</v>
      </c>
      <c r="C982" s="38" t="s">
        <v>12821</v>
      </c>
      <c r="D982" s="88"/>
      <c r="E982" s="20">
        <v>28</v>
      </c>
      <c r="F982" s="39">
        <f t="shared" si="65"/>
        <v>656.77441666666664</v>
      </c>
      <c r="G982" s="39">
        <f t="shared" si="66"/>
        <v>172.07749999999999</v>
      </c>
      <c r="H982" s="207"/>
      <c r="I982" s="207" t="s">
        <v>12545</v>
      </c>
      <c r="J982" s="66" t="s">
        <v>12547</v>
      </c>
      <c r="K982" s="207"/>
      <c r="L982" s="66"/>
      <c r="M982" s="201" t="s">
        <v>12550</v>
      </c>
      <c r="N982" s="207"/>
      <c r="O982" s="38"/>
    </row>
    <row r="983" spans="1:15" ht="72" customHeight="1" x14ac:dyDescent="0.3">
      <c r="A983" s="242">
        <v>963</v>
      </c>
      <c r="B983" s="38" t="s">
        <v>12471</v>
      </c>
      <c r="C983" s="38" t="s">
        <v>12822</v>
      </c>
      <c r="D983" s="88"/>
      <c r="E983" s="20">
        <v>44</v>
      </c>
      <c r="F983" s="39">
        <f t="shared" si="65"/>
        <v>1032.0740833333334</v>
      </c>
      <c r="G983" s="39">
        <f t="shared" si="66"/>
        <v>270.40749999999997</v>
      </c>
      <c r="H983" s="207"/>
      <c r="I983" s="207" t="s">
        <v>12545</v>
      </c>
      <c r="J983" s="66" t="s">
        <v>12547</v>
      </c>
      <c r="K983" s="207"/>
      <c r="L983" s="66"/>
      <c r="M983" s="201" t="s">
        <v>12550</v>
      </c>
      <c r="N983" s="207"/>
      <c r="O983" s="38"/>
    </row>
    <row r="984" spans="1:15" ht="72" customHeight="1" x14ac:dyDescent="0.3">
      <c r="A984" s="242">
        <v>964</v>
      </c>
      <c r="B984" s="38" t="s">
        <v>12471</v>
      </c>
      <c r="C984" s="38" t="s">
        <v>12823</v>
      </c>
      <c r="D984" s="88"/>
      <c r="E984" s="20">
        <v>44</v>
      </c>
      <c r="F984" s="39">
        <f t="shared" si="65"/>
        <v>1032.0740833333334</v>
      </c>
      <c r="G984" s="39">
        <f t="shared" si="66"/>
        <v>270.40749999999997</v>
      </c>
      <c r="H984" s="207"/>
      <c r="I984" s="207" t="s">
        <v>12545</v>
      </c>
      <c r="J984" s="66" t="s">
        <v>12547</v>
      </c>
      <c r="K984" s="207"/>
      <c r="L984" s="66"/>
      <c r="M984" s="201" t="s">
        <v>12550</v>
      </c>
      <c r="N984" s="207"/>
      <c r="O984" s="38"/>
    </row>
    <row r="985" spans="1:15" ht="72" customHeight="1" x14ac:dyDescent="0.3">
      <c r="A985" s="242">
        <v>965</v>
      </c>
      <c r="B985" s="38" t="s">
        <v>12475</v>
      </c>
      <c r="C985" s="38" t="s">
        <v>12824</v>
      </c>
      <c r="D985" s="88"/>
      <c r="E985" s="20">
        <v>28</v>
      </c>
      <c r="F985" s="39">
        <f t="shared" si="65"/>
        <v>656.77441666666664</v>
      </c>
      <c r="G985" s="39">
        <f t="shared" si="66"/>
        <v>172.07749999999999</v>
      </c>
      <c r="H985" s="207"/>
      <c r="I985" s="207" t="s">
        <v>12545</v>
      </c>
      <c r="J985" s="245" t="s">
        <v>12547</v>
      </c>
      <c r="K985" s="207"/>
      <c r="L985" s="66"/>
      <c r="M985" s="201" t="s">
        <v>12550</v>
      </c>
      <c r="N985" s="207"/>
      <c r="O985" s="38"/>
    </row>
    <row r="986" spans="1:15" ht="72" customHeight="1" x14ac:dyDescent="0.3">
      <c r="A986" s="242">
        <v>966</v>
      </c>
      <c r="B986" s="242" t="s">
        <v>12480</v>
      </c>
      <c r="C986" s="242" t="s">
        <v>13258</v>
      </c>
      <c r="D986" s="88"/>
      <c r="E986" s="207">
        <v>45.9</v>
      </c>
      <c r="F986" s="58">
        <v>244548.5</v>
      </c>
      <c r="G986" s="242">
        <v>78255.509999999995</v>
      </c>
      <c r="H986" s="207"/>
      <c r="I986" s="207" t="s">
        <v>12545</v>
      </c>
      <c r="J986" s="66" t="s">
        <v>12548</v>
      </c>
      <c r="K986" s="207"/>
      <c r="L986" s="66"/>
      <c r="M986" s="201" t="s">
        <v>12550</v>
      </c>
      <c r="N986" s="207"/>
      <c r="O986" s="38"/>
    </row>
    <row r="987" spans="1:15" ht="72" customHeight="1" x14ac:dyDescent="0.3">
      <c r="A987" s="242">
        <v>967</v>
      </c>
      <c r="B987" s="246" t="s">
        <v>12480</v>
      </c>
      <c r="C987" s="246" t="s">
        <v>13259</v>
      </c>
      <c r="D987" s="88"/>
      <c r="E987" s="207">
        <v>47.7</v>
      </c>
      <c r="F987" s="42">
        <f>1460429/138.7*E987</f>
        <v>502252.79956741177</v>
      </c>
      <c r="G987" s="22">
        <f>328987.3/138.7*E987</f>
        <v>113141.27043979813</v>
      </c>
      <c r="H987" s="207"/>
      <c r="I987" s="207" t="s">
        <v>12545</v>
      </c>
      <c r="J987" s="66" t="s">
        <v>12548</v>
      </c>
      <c r="K987" s="207"/>
      <c r="L987" s="66"/>
      <c r="M987" s="201" t="s">
        <v>12550</v>
      </c>
      <c r="N987" s="207"/>
      <c r="O987" s="38"/>
    </row>
    <row r="988" spans="1:15" ht="72" customHeight="1" x14ac:dyDescent="0.3">
      <c r="A988" s="242">
        <v>968</v>
      </c>
      <c r="B988" s="246" t="s">
        <v>12480</v>
      </c>
      <c r="C988" s="246" t="s">
        <v>13260</v>
      </c>
      <c r="D988" s="88"/>
      <c r="E988" s="207">
        <v>58.3</v>
      </c>
      <c r="F988" s="42">
        <f>1460429/138.7*E988</f>
        <v>613864.53280461428</v>
      </c>
      <c r="G988" s="22">
        <f>328987.3/138.7*E988</f>
        <v>138283.77498197547</v>
      </c>
      <c r="H988" s="207"/>
      <c r="I988" s="207" t="s">
        <v>12545</v>
      </c>
      <c r="J988" s="66" t="s">
        <v>12548</v>
      </c>
      <c r="K988" s="207"/>
      <c r="L988" s="66"/>
      <c r="M988" s="201" t="s">
        <v>12550</v>
      </c>
      <c r="N988" s="207"/>
      <c r="O988" s="38"/>
    </row>
    <row r="989" spans="1:15" ht="72" customHeight="1" x14ac:dyDescent="0.3">
      <c r="A989" s="242">
        <v>969</v>
      </c>
      <c r="B989" s="82" t="s">
        <v>12481</v>
      </c>
      <c r="C989" s="246" t="s">
        <v>13261</v>
      </c>
      <c r="D989" s="88"/>
      <c r="E989" s="207">
        <v>32.700000000000003</v>
      </c>
      <c r="F989" s="42">
        <f>1460429/138.7*E989</f>
        <v>344311.66762797412</v>
      </c>
      <c r="G989" s="22">
        <f>328987.3/138.7*E989</f>
        <v>77562.254578226391</v>
      </c>
      <c r="H989" s="207"/>
      <c r="I989" s="207" t="s">
        <v>12545</v>
      </c>
      <c r="J989" s="66" t="s">
        <v>12548</v>
      </c>
      <c r="K989" s="207"/>
      <c r="L989" s="66"/>
      <c r="M989" s="201" t="s">
        <v>12550</v>
      </c>
      <c r="N989" s="207"/>
      <c r="O989" s="38"/>
    </row>
    <row r="990" spans="1:15" ht="72" customHeight="1" x14ac:dyDescent="0.3">
      <c r="A990" s="242">
        <v>970</v>
      </c>
      <c r="B990" s="246" t="s">
        <v>12480</v>
      </c>
      <c r="C990" s="246" t="s">
        <v>13262</v>
      </c>
      <c r="D990" s="88"/>
      <c r="E990" s="242">
        <v>48.7</v>
      </c>
      <c r="F990" s="42">
        <f>921147.5/230.2*E990</f>
        <v>194873.51542137275</v>
      </c>
      <c r="G990" s="22">
        <f>201017.7/230.2*E990</f>
        <v>42526.333579496095</v>
      </c>
      <c r="H990" s="207"/>
      <c r="I990" s="207" t="s">
        <v>12545</v>
      </c>
      <c r="J990" s="66" t="s">
        <v>12548</v>
      </c>
      <c r="K990" s="207"/>
      <c r="L990" s="66"/>
      <c r="M990" s="201" t="s">
        <v>12550</v>
      </c>
      <c r="N990" s="207"/>
      <c r="O990" s="38"/>
    </row>
    <row r="991" spans="1:15" ht="72" customHeight="1" x14ac:dyDescent="0.3">
      <c r="A991" s="242">
        <v>971</v>
      </c>
      <c r="B991" s="246" t="s">
        <v>12480</v>
      </c>
      <c r="C991" s="246" t="s">
        <v>13263</v>
      </c>
      <c r="D991" s="88"/>
      <c r="E991" s="242">
        <v>46.2</v>
      </c>
      <c r="F991" s="42">
        <f>921147.5/230.2*E991</f>
        <v>184869.74152910514</v>
      </c>
      <c r="G991" s="22">
        <f>201017.7/230.2*E991</f>
        <v>40343.256907037365</v>
      </c>
      <c r="H991" s="207"/>
      <c r="I991" s="207" t="s">
        <v>12545</v>
      </c>
      <c r="J991" s="66" t="s">
        <v>12548</v>
      </c>
      <c r="K991" s="207"/>
      <c r="L991" s="66"/>
      <c r="M991" s="201" t="s">
        <v>12550</v>
      </c>
      <c r="N991" s="207"/>
      <c r="O991" s="38"/>
    </row>
    <row r="992" spans="1:15" ht="72" customHeight="1" x14ac:dyDescent="0.3">
      <c r="A992" s="2">
        <v>972</v>
      </c>
      <c r="B992" s="246" t="s">
        <v>12480</v>
      </c>
      <c r="C992" s="246" t="s">
        <v>13264</v>
      </c>
      <c r="D992" s="88"/>
      <c r="E992" s="242">
        <v>46.2</v>
      </c>
      <c r="F992" s="42">
        <f>921147.5/230.2*E992</f>
        <v>184869.74152910514</v>
      </c>
      <c r="G992" s="22">
        <f>201017.7/230.2*E992</f>
        <v>40343.256907037365</v>
      </c>
      <c r="H992" s="207"/>
      <c r="I992" s="207" t="s">
        <v>12545</v>
      </c>
      <c r="J992" s="66" t="s">
        <v>12548</v>
      </c>
      <c r="K992" s="207"/>
      <c r="L992" s="66"/>
      <c r="M992" s="201" t="s">
        <v>12550</v>
      </c>
      <c r="N992" s="207"/>
      <c r="O992" s="38"/>
    </row>
    <row r="993" spans="1:15" ht="84" customHeight="1" x14ac:dyDescent="0.3">
      <c r="A993" s="242">
        <v>973</v>
      </c>
      <c r="B993" s="246" t="s">
        <v>12480</v>
      </c>
      <c r="C993" s="246" t="s">
        <v>13265</v>
      </c>
      <c r="D993" s="88"/>
      <c r="E993" s="242">
        <v>58.6</v>
      </c>
      <c r="F993" s="42">
        <f>921147.5/230.2*E993</f>
        <v>234488.46003475241</v>
      </c>
      <c r="G993" s="22">
        <f>201017.7/230.2*E993</f>
        <v>51171.31720243267</v>
      </c>
      <c r="H993" s="207"/>
      <c r="I993" s="207" t="s">
        <v>12545</v>
      </c>
      <c r="J993" s="66" t="s">
        <v>19294</v>
      </c>
      <c r="K993" s="207" t="s">
        <v>19292</v>
      </c>
      <c r="L993" s="66" t="s">
        <v>19293</v>
      </c>
      <c r="M993" s="201" t="s">
        <v>12550</v>
      </c>
      <c r="N993" s="207"/>
      <c r="O993" s="38"/>
    </row>
    <row r="994" spans="1:15" ht="72" customHeight="1" x14ac:dyDescent="0.3">
      <c r="A994" s="242">
        <v>974</v>
      </c>
      <c r="B994" s="246" t="s">
        <v>12481</v>
      </c>
      <c r="C994" s="246" t="s">
        <v>13266</v>
      </c>
      <c r="D994" s="88"/>
      <c r="E994" s="242">
        <v>30.5</v>
      </c>
      <c r="F994" s="42">
        <f>921147.5/230.2*E994</f>
        <v>122046.04148566465</v>
      </c>
      <c r="G994" s="22">
        <f>201017.7/230.2*E994</f>
        <v>26633.535403996528</v>
      </c>
      <c r="H994" s="207"/>
      <c r="I994" s="207" t="s">
        <v>12545</v>
      </c>
      <c r="J994" s="66" t="s">
        <v>12548</v>
      </c>
      <c r="K994" s="207"/>
      <c r="L994" s="66"/>
      <c r="M994" s="201" t="s">
        <v>12550</v>
      </c>
      <c r="N994" s="207"/>
      <c r="O994" s="38" t="s">
        <v>21573</v>
      </c>
    </row>
    <row r="995" spans="1:15" ht="72" customHeight="1" x14ac:dyDescent="0.3">
      <c r="A995" s="242">
        <v>975</v>
      </c>
      <c r="B995" s="246" t="s">
        <v>12480</v>
      </c>
      <c r="C995" s="246" t="s">
        <v>18034</v>
      </c>
      <c r="D995" s="88"/>
      <c r="E995" s="244">
        <v>57.3</v>
      </c>
      <c r="F995" s="42">
        <f>745684.9/89.6*E995</f>
        <v>476872.15145089285</v>
      </c>
      <c r="G995" s="22">
        <f>162727.37/89.6*E995</f>
        <v>104065.60603794642</v>
      </c>
      <c r="H995" s="207"/>
      <c r="I995" s="207" t="s">
        <v>12545</v>
      </c>
      <c r="J995" s="66" t="s">
        <v>12548</v>
      </c>
      <c r="K995" s="207"/>
      <c r="L995" s="66"/>
      <c r="M995" s="201" t="s">
        <v>12550</v>
      </c>
      <c r="N995" s="207"/>
      <c r="O995" s="38" t="s">
        <v>21574</v>
      </c>
    </row>
    <row r="996" spans="1:15" ht="72" customHeight="1" x14ac:dyDescent="0.3">
      <c r="A996" s="242">
        <v>976</v>
      </c>
      <c r="B996" s="246" t="s">
        <v>12481</v>
      </c>
      <c r="C996" s="246" t="s">
        <v>18035</v>
      </c>
      <c r="D996" s="88"/>
      <c r="E996" s="244">
        <v>32.299999999999997</v>
      </c>
      <c r="F996" s="42">
        <f>745684.9/89.6*E996</f>
        <v>268812.74854910717</v>
      </c>
      <c r="G996" s="22">
        <f>162727.37/89.6*E996</f>
        <v>58661.763962053563</v>
      </c>
      <c r="H996" s="207"/>
      <c r="I996" s="207" t="s">
        <v>12545</v>
      </c>
      <c r="J996" s="66" t="s">
        <v>12548</v>
      </c>
      <c r="K996" s="207"/>
      <c r="L996" s="66"/>
      <c r="M996" s="201" t="s">
        <v>12550</v>
      </c>
      <c r="N996" s="207"/>
      <c r="O996" s="38"/>
    </row>
    <row r="997" spans="1:15" ht="72" customHeight="1" x14ac:dyDescent="0.3">
      <c r="A997" s="242">
        <v>977</v>
      </c>
      <c r="B997" s="246" t="s">
        <v>12480</v>
      </c>
      <c r="C997" s="246" t="s">
        <v>13267</v>
      </c>
      <c r="D997" s="88"/>
      <c r="E997" s="242">
        <v>59.2</v>
      </c>
      <c r="F997" s="42">
        <f>635208.8/168.5*E997</f>
        <v>223171.28166172109</v>
      </c>
      <c r="G997" s="22">
        <f>133543.06/168.5*E997</f>
        <v>46918.392593471814</v>
      </c>
      <c r="H997" s="207"/>
      <c r="I997" s="207" t="s">
        <v>12545</v>
      </c>
      <c r="J997" s="66" t="s">
        <v>12548</v>
      </c>
      <c r="K997" s="207"/>
      <c r="L997" s="66"/>
      <c r="M997" s="201" t="s">
        <v>12550</v>
      </c>
      <c r="N997" s="207"/>
      <c r="O997" s="38"/>
    </row>
    <row r="998" spans="1:15" ht="72" customHeight="1" x14ac:dyDescent="0.3">
      <c r="A998" s="242">
        <v>978</v>
      </c>
      <c r="B998" s="246" t="s">
        <v>12480</v>
      </c>
      <c r="C998" s="246" t="s">
        <v>13268</v>
      </c>
      <c r="D998" s="88"/>
      <c r="E998" s="242">
        <v>59.3</v>
      </c>
      <c r="F998" s="42">
        <f>635208.8/168.5*E998</f>
        <v>223548.26017804156</v>
      </c>
      <c r="G998" s="22">
        <f>133543.06/168.5*E998</f>
        <v>46997.64663501484</v>
      </c>
      <c r="H998" s="207"/>
      <c r="I998" s="207" t="s">
        <v>12545</v>
      </c>
      <c r="J998" s="66" t="s">
        <v>12548</v>
      </c>
      <c r="K998" s="207"/>
      <c r="L998" s="66"/>
      <c r="M998" s="201" t="s">
        <v>12550</v>
      </c>
      <c r="N998" s="207"/>
      <c r="O998" s="38" t="s">
        <v>21575</v>
      </c>
    </row>
    <row r="999" spans="1:15" ht="84" customHeight="1" x14ac:dyDescent="0.3">
      <c r="A999" s="242">
        <v>979</v>
      </c>
      <c r="B999" s="246" t="s">
        <v>12480</v>
      </c>
      <c r="C999" s="246" t="s">
        <v>13269</v>
      </c>
      <c r="D999" s="88"/>
      <c r="E999" s="242">
        <v>50</v>
      </c>
      <c r="F999" s="42">
        <f>635208.8/168.5*E999</f>
        <v>188489.2581602374</v>
      </c>
      <c r="G999" s="22">
        <f>133543.06/168.5*E999</f>
        <v>39627.020771513358</v>
      </c>
      <c r="H999" s="207"/>
      <c r="I999" s="207" t="s">
        <v>12545</v>
      </c>
      <c r="J999" s="66" t="s">
        <v>12548</v>
      </c>
      <c r="K999" s="207" t="s">
        <v>15055</v>
      </c>
      <c r="L999" s="66" t="s">
        <v>15056</v>
      </c>
      <c r="M999" s="201" t="s">
        <v>12550</v>
      </c>
      <c r="N999" s="207"/>
      <c r="O999" s="38"/>
    </row>
    <row r="1000" spans="1:15" ht="96" x14ac:dyDescent="0.3">
      <c r="A1000" s="242">
        <v>980</v>
      </c>
      <c r="B1000" s="246" t="s">
        <v>12480</v>
      </c>
      <c r="C1000" s="246" t="s">
        <v>13270</v>
      </c>
      <c r="D1000" s="88" t="s">
        <v>23625</v>
      </c>
      <c r="E1000" s="242">
        <v>57.9</v>
      </c>
      <c r="F1000" s="22">
        <f>793634.4/152.2*E1000</f>
        <v>301914.79474375822</v>
      </c>
      <c r="G1000" s="43">
        <f>145246.26/152.2*E1000</f>
        <v>55254.654756898824</v>
      </c>
      <c r="H1000" s="207"/>
      <c r="I1000" s="207" t="s">
        <v>12545</v>
      </c>
      <c r="J1000" s="66" t="s">
        <v>12548</v>
      </c>
      <c r="K1000" s="207" t="s">
        <v>23624</v>
      </c>
      <c r="L1000" s="66" t="s">
        <v>23626</v>
      </c>
      <c r="M1000" s="201" t="s">
        <v>12550</v>
      </c>
      <c r="N1000" s="207"/>
      <c r="O1000" s="38" t="s">
        <v>21576</v>
      </c>
    </row>
    <row r="1001" spans="1:15" ht="72" customHeight="1" x14ac:dyDescent="0.3">
      <c r="A1001" s="242">
        <v>981</v>
      </c>
      <c r="B1001" s="246" t="s">
        <v>12480</v>
      </c>
      <c r="C1001" s="246" t="s">
        <v>13271</v>
      </c>
      <c r="D1001" s="88"/>
      <c r="E1001" s="2">
        <v>46.8</v>
      </c>
      <c r="F1001" s="22">
        <f>793634.4/152.2*E1001</f>
        <v>244034.75637319317</v>
      </c>
      <c r="G1001" s="43">
        <f>145246.26/152.2*E1001</f>
        <v>44661.793482260189</v>
      </c>
      <c r="H1001" s="207"/>
      <c r="I1001" s="207" t="s">
        <v>12545</v>
      </c>
      <c r="J1001" s="245" t="s">
        <v>12548</v>
      </c>
      <c r="K1001" s="207"/>
      <c r="L1001" s="66"/>
      <c r="M1001" s="201" t="s">
        <v>12550</v>
      </c>
      <c r="N1001" s="207"/>
      <c r="O1001" s="38" t="s">
        <v>21577</v>
      </c>
    </row>
    <row r="1002" spans="1:15" ht="84" customHeight="1" x14ac:dyDescent="0.3">
      <c r="A1002" s="242">
        <v>982</v>
      </c>
      <c r="B1002" s="246" t="s">
        <v>12480</v>
      </c>
      <c r="C1002" s="246" t="s">
        <v>13272</v>
      </c>
      <c r="D1002" s="88"/>
      <c r="E1002" s="242">
        <v>47.5</v>
      </c>
      <c r="F1002" s="22">
        <f>793634.4/152.2*E1002</f>
        <v>247684.84888304863</v>
      </c>
      <c r="G1002" s="43">
        <f>145246.26/152.2*E1002</f>
        <v>45329.811760841003</v>
      </c>
      <c r="H1002" s="207"/>
      <c r="I1002" s="207" t="s">
        <v>12545</v>
      </c>
      <c r="J1002" s="66" t="s">
        <v>12548</v>
      </c>
      <c r="K1002" s="207" t="s">
        <v>15055</v>
      </c>
      <c r="L1002" s="66" t="s">
        <v>15059</v>
      </c>
      <c r="M1002" s="201" t="s">
        <v>12550</v>
      </c>
      <c r="N1002" s="207"/>
      <c r="O1002" s="38"/>
    </row>
    <row r="1003" spans="1:15" ht="108" customHeight="1" x14ac:dyDescent="0.3">
      <c r="A1003" s="242">
        <v>983</v>
      </c>
      <c r="B1003" s="242" t="s">
        <v>12480</v>
      </c>
      <c r="C1003" s="242" t="s">
        <v>13273</v>
      </c>
      <c r="D1003" s="88" t="s">
        <v>20437</v>
      </c>
      <c r="E1003" s="242">
        <v>53.3</v>
      </c>
      <c r="F1003" s="244">
        <v>192006.6</v>
      </c>
      <c r="G1003" s="25">
        <v>32007.439999999999</v>
      </c>
      <c r="H1003" s="25">
        <v>1121077.27</v>
      </c>
      <c r="I1003" s="207" t="s">
        <v>12545</v>
      </c>
      <c r="J1003" s="66" t="s">
        <v>12548</v>
      </c>
      <c r="K1003" s="26">
        <v>43304</v>
      </c>
      <c r="L1003" s="66" t="s">
        <v>20907</v>
      </c>
      <c r="M1003" s="201" t="s">
        <v>12550</v>
      </c>
      <c r="N1003" s="207"/>
      <c r="O1003" s="38" t="s">
        <v>22964</v>
      </c>
    </row>
    <row r="1004" spans="1:15" ht="72" customHeight="1" x14ac:dyDescent="0.3">
      <c r="A1004" s="242">
        <v>984</v>
      </c>
      <c r="B1004" s="246" t="s">
        <v>12480</v>
      </c>
      <c r="C1004" s="246" t="s">
        <v>13274</v>
      </c>
      <c r="D1004" s="88"/>
      <c r="E1004" s="242">
        <v>59.5</v>
      </c>
      <c r="F1004" s="22">
        <f>553000/210.6*E1004</f>
        <v>156236.9420702754</v>
      </c>
      <c r="G1004" s="43">
        <f>29749.42/210.6*E1004</f>
        <v>8404.9880816714158</v>
      </c>
      <c r="H1004" s="207"/>
      <c r="I1004" s="207" t="s">
        <v>12545</v>
      </c>
      <c r="J1004" s="245" t="s">
        <v>12548</v>
      </c>
      <c r="K1004" s="207"/>
      <c r="L1004" s="66"/>
      <c r="M1004" s="201" t="s">
        <v>12550</v>
      </c>
      <c r="N1004" s="207"/>
      <c r="O1004" s="38" t="s">
        <v>19876</v>
      </c>
    </row>
    <row r="1005" spans="1:15" ht="72" customHeight="1" x14ac:dyDescent="0.3">
      <c r="A1005" s="2">
        <v>985</v>
      </c>
      <c r="B1005" s="246" t="s">
        <v>12480</v>
      </c>
      <c r="C1005" s="246" t="s">
        <v>13275</v>
      </c>
      <c r="D1005" s="88"/>
      <c r="E1005" s="242">
        <v>51.4</v>
      </c>
      <c r="F1005" s="22">
        <f>553000/210.6*E1005</f>
        <v>134967.71130104462</v>
      </c>
      <c r="G1005" s="43">
        <f>29749.42/210.6*E1005</f>
        <v>7260.7796201329529</v>
      </c>
      <c r="H1005" s="207"/>
      <c r="I1005" s="207" t="s">
        <v>12545</v>
      </c>
      <c r="J1005" s="245" t="s">
        <v>12548</v>
      </c>
      <c r="K1005" s="207"/>
      <c r="L1005" s="66"/>
      <c r="M1005" s="201" t="s">
        <v>12550</v>
      </c>
      <c r="N1005" s="207"/>
      <c r="O1005" s="38" t="s">
        <v>21578</v>
      </c>
    </row>
    <row r="1006" spans="1:15" ht="72" customHeight="1" x14ac:dyDescent="0.3">
      <c r="A1006" s="242">
        <v>986</v>
      </c>
      <c r="B1006" s="246" t="s">
        <v>12480</v>
      </c>
      <c r="C1006" s="246" t="s">
        <v>13276</v>
      </c>
      <c r="D1006" s="88"/>
      <c r="E1006" s="242">
        <v>51.3</v>
      </c>
      <c r="F1006" s="22">
        <f>553000/210.6*E1006</f>
        <v>134705.12820512819</v>
      </c>
      <c r="G1006" s="43">
        <f>29749.42/210.6*E1006</f>
        <v>7246.6535897435897</v>
      </c>
      <c r="H1006" s="207"/>
      <c r="I1006" s="207" t="s">
        <v>12545</v>
      </c>
      <c r="J1006" s="66" t="s">
        <v>12548</v>
      </c>
      <c r="K1006" s="207"/>
      <c r="L1006" s="66"/>
      <c r="M1006" s="201" t="s">
        <v>12550</v>
      </c>
      <c r="N1006" s="207"/>
      <c r="O1006" s="38" t="s">
        <v>21579</v>
      </c>
    </row>
    <row r="1007" spans="1:15" ht="84" customHeight="1" x14ac:dyDescent="0.3">
      <c r="A1007" s="242">
        <v>987</v>
      </c>
      <c r="B1007" s="82" t="s">
        <v>12480</v>
      </c>
      <c r="C1007" s="246" t="s">
        <v>13277</v>
      </c>
      <c r="D1007" s="88"/>
      <c r="E1007" s="242">
        <v>48.4</v>
      </c>
      <c r="F1007" s="22">
        <f>553000/210.6*E1007</f>
        <v>127090.21842355175</v>
      </c>
      <c r="G1007" s="43">
        <f>29749.42/210.6*E1007</f>
        <v>6836.9987084520417</v>
      </c>
      <c r="H1007" s="207"/>
      <c r="I1007" s="207" t="s">
        <v>12545</v>
      </c>
      <c r="J1007" s="66" t="s">
        <v>12548</v>
      </c>
      <c r="K1007" s="26">
        <v>42909</v>
      </c>
      <c r="L1007" s="66" t="s">
        <v>19088</v>
      </c>
      <c r="M1007" s="201" t="s">
        <v>12550</v>
      </c>
      <c r="N1007" s="207"/>
      <c r="O1007" s="38"/>
    </row>
    <row r="1008" spans="1:15" ht="72" customHeight="1" x14ac:dyDescent="0.3">
      <c r="A1008" s="242">
        <v>988</v>
      </c>
      <c r="B1008" s="246" t="s">
        <v>12481</v>
      </c>
      <c r="C1008" s="2" t="s">
        <v>13278</v>
      </c>
      <c r="D1008" s="88"/>
      <c r="E1008" s="2">
        <v>34.299999999999997</v>
      </c>
      <c r="F1008" s="246">
        <v>1193867.3999999999</v>
      </c>
      <c r="G1008" s="6"/>
      <c r="H1008" s="207"/>
      <c r="I1008" s="207" t="s">
        <v>12545</v>
      </c>
      <c r="J1008" s="245" t="s">
        <v>12548</v>
      </c>
      <c r="K1008" s="207"/>
      <c r="L1008" s="66"/>
      <c r="M1008" s="201" t="s">
        <v>12550</v>
      </c>
      <c r="N1008" s="207"/>
      <c r="O1008" s="38"/>
    </row>
    <row r="1009" spans="1:15" ht="84" customHeight="1" x14ac:dyDescent="0.3">
      <c r="A1009" s="2">
        <v>989</v>
      </c>
      <c r="B1009" s="246" t="s">
        <v>12482</v>
      </c>
      <c r="C1009" s="246" t="s">
        <v>13279</v>
      </c>
      <c r="D1009" s="88"/>
      <c r="E1009" s="2">
        <v>67.599999999999994</v>
      </c>
      <c r="F1009" s="22">
        <f t="shared" ref="F1009:F1015" si="67">2267284/404.1*E1009</f>
        <v>379283.34174709226</v>
      </c>
      <c r="G1009" s="43">
        <f t="shared" ref="G1009:G1015" si="68">359601.92/404.1*E1009</f>
        <v>60156.124206879475</v>
      </c>
      <c r="H1009" s="207"/>
      <c r="I1009" s="207" t="s">
        <v>12545</v>
      </c>
      <c r="J1009" s="245" t="s">
        <v>12548</v>
      </c>
      <c r="K1009" s="207"/>
      <c r="L1009" s="66"/>
      <c r="M1009" s="201" t="s">
        <v>12550</v>
      </c>
      <c r="N1009" s="207"/>
      <c r="O1009" s="38" t="s">
        <v>21580</v>
      </c>
    </row>
    <row r="1010" spans="1:15" ht="72" customHeight="1" x14ac:dyDescent="0.3">
      <c r="A1010" s="2">
        <v>990</v>
      </c>
      <c r="B1010" s="246" t="s">
        <v>12480</v>
      </c>
      <c r="C1010" s="246" t="s">
        <v>13280</v>
      </c>
      <c r="D1010" s="88"/>
      <c r="E1010" s="2">
        <v>53.6</v>
      </c>
      <c r="F1010" s="22">
        <f t="shared" si="67"/>
        <v>300733.53724325664</v>
      </c>
      <c r="G1010" s="43">
        <f t="shared" si="68"/>
        <v>47697.755288294975</v>
      </c>
      <c r="H1010" s="207"/>
      <c r="I1010" s="207" t="s">
        <v>12545</v>
      </c>
      <c r="J1010" s="245" t="s">
        <v>12548</v>
      </c>
      <c r="K1010" s="207"/>
      <c r="L1010" s="66"/>
      <c r="M1010" s="201" t="s">
        <v>12550</v>
      </c>
      <c r="N1010" s="207"/>
      <c r="O1010" s="38" t="s">
        <v>21581</v>
      </c>
    </row>
    <row r="1011" spans="1:15" ht="72" customHeight="1" x14ac:dyDescent="0.3">
      <c r="A1011" s="2">
        <v>991</v>
      </c>
      <c r="B1011" s="246" t="s">
        <v>12482</v>
      </c>
      <c r="C1011" s="246" t="s">
        <v>13281</v>
      </c>
      <c r="D1011" s="88"/>
      <c r="E1011" s="2">
        <v>67.599999999999994</v>
      </c>
      <c r="F1011" s="22">
        <f t="shared" si="67"/>
        <v>379283.34174709226</v>
      </c>
      <c r="G1011" s="43">
        <f t="shared" si="68"/>
        <v>60156.124206879475</v>
      </c>
      <c r="H1011" s="207"/>
      <c r="I1011" s="207" t="s">
        <v>12545</v>
      </c>
      <c r="J1011" s="245" t="s">
        <v>12548</v>
      </c>
      <c r="K1011" s="207"/>
      <c r="L1011" s="66"/>
      <c r="M1011" s="201" t="s">
        <v>12550</v>
      </c>
      <c r="N1011" s="207"/>
      <c r="O1011" s="38" t="s">
        <v>21582</v>
      </c>
    </row>
    <row r="1012" spans="1:15" ht="72" customHeight="1" x14ac:dyDescent="0.3">
      <c r="A1012" s="2">
        <v>992</v>
      </c>
      <c r="B1012" s="246" t="s">
        <v>12480</v>
      </c>
      <c r="C1012" s="246" t="s">
        <v>13282</v>
      </c>
      <c r="D1012" s="88"/>
      <c r="E1012" s="2">
        <v>54.1</v>
      </c>
      <c r="F1012" s="22">
        <f t="shared" si="67"/>
        <v>303538.8874041079</v>
      </c>
      <c r="G1012" s="43">
        <f t="shared" si="68"/>
        <v>48142.697035387275</v>
      </c>
      <c r="H1012" s="207"/>
      <c r="I1012" s="207" t="s">
        <v>12545</v>
      </c>
      <c r="J1012" s="245" t="s">
        <v>12548</v>
      </c>
      <c r="K1012" s="207"/>
      <c r="L1012" s="66"/>
      <c r="M1012" s="201" t="s">
        <v>12550</v>
      </c>
      <c r="N1012" s="207"/>
      <c r="O1012" s="38"/>
    </row>
    <row r="1013" spans="1:15" ht="72" customHeight="1" x14ac:dyDescent="0.3">
      <c r="A1013" s="242">
        <v>993</v>
      </c>
      <c r="B1013" s="246" t="s">
        <v>12480</v>
      </c>
      <c r="C1013" s="246" t="s">
        <v>13283</v>
      </c>
      <c r="D1013" s="88"/>
      <c r="E1013" s="242">
        <v>53.8</v>
      </c>
      <c r="F1013" s="22">
        <f t="shared" si="67"/>
        <v>301855.67730759707</v>
      </c>
      <c r="G1013" s="43">
        <f t="shared" si="68"/>
        <v>47875.73198713189</v>
      </c>
      <c r="H1013" s="207"/>
      <c r="I1013" s="207" t="s">
        <v>12545</v>
      </c>
      <c r="J1013" s="66" t="s">
        <v>12548</v>
      </c>
      <c r="K1013" s="207"/>
      <c r="L1013" s="66"/>
      <c r="M1013" s="201" t="s">
        <v>12550</v>
      </c>
      <c r="N1013" s="207"/>
      <c r="O1013" s="38" t="s">
        <v>21583</v>
      </c>
    </row>
    <row r="1014" spans="1:15" ht="108" x14ac:dyDescent="0.3">
      <c r="A1014" s="242">
        <v>994</v>
      </c>
      <c r="B1014" s="246" t="s">
        <v>12480</v>
      </c>
      <c r="C1014" s="246" t="s">
        <v>13284</v>
      </c>
      <c r="D1014" s="88" t="s">
        <v>23481</v>
      </c>
      <c r="E1014" s="242">
        <v>53.8</v>
      </c>
      <c r="F1014" s="22">
        <f t="shared" si="67"/>
        <v>301855.67730759707</v>
      </c>
      <c r="G1014" s="43">
        <f t="shared" si="68"/>
        <v>47875.73198713189</v>
      </c>
      <c r="H1014" s="207"/>
      <c r="I1014" s="207" t="s">
        <v>12545</v>
      </c>
      <c r="J1014" s="66" t="s">
        <v>12548</v>
      </c>
      <c r="K1014" s="207" t="s">
        <v>22180</v>
      </c>
      <c r="L1014" s="66" t="s">
        <v>23482</v>
      </c>
      <c r="M1014" s="201" t="s">
        <v>12550</v>
      </c>
      <c r="N1014" s="207"/>
      <c r="O1014" s="38" t="s">
        <v>21584</v>
      </c>
    </row>
    <row r="1015" spans="1:15" ht="72" customHeight="1" x14ac:dyDescent="0.3">
      <c r="A1015" s="242">
        <v>995</v>
      </c>
      <c r="B1015" s="246" t="s">
        <v>12480</v>
      </c>
      <c r="C1015" s="246" t="s">
        <v>13285</v>
      </c>
      <c r="D1015" s="88"/>
      <c r="E1015" s="242">
        <v>53.6</v>
      </c>
      <c r="F1015" s="22">
        <f t="shared" si="67"/>
        <v>300733.53724325664</v>
      </c>
      <c r="G1015" s="43">
        <f t="shared" si="68"/>
        <v>47697.755288294975</v>
      </c>
      <c r="H1015" s="207"/>
      <c r="I1015" s="207" t="s">
        <v>12545</v>
      </c>
      <c r="J1015" s="66" t="s">
        <v>12548</v>
      </c>
      <c r="K1015" s="207"/>
      <c r="L1015" s="66"/>
      <c r="M1015" s="201" t="s">
        <v>12550</v>
      </c>
      <c r="N1015" s="207"/>
      <c r="O1015" s="38" t="s">
        <v>21585</v>
      </c>
    </row>
    <row r="1016" spans="1:15" ht="72" customHeight="1" x14ac:dyDescent="0.3">
      <c r="A1016" s="242">
        <v>996</v>
      </c>
      <c r="B1016" s="246" t="s">
        <v>12480</v>
      </c>
      <c r="C1016" s="246" t="s">
        <v>13286</v>
      </c>
      <c r="D1016" s="88"/>
      <c r="E1016" s="242">
        <v>50.2</v>
      </c>
      <c r="F1016" s="45">
        <v>181200.5</v>
      </c>
      <c r="G1016" s="6">
        <v>46051.65</v>
      </c>
      <c r="H1016" s="207"/>
      <c r="I1016" s="207" t="s">
        <v>12545</v>
      </c>
      <c r="J1016" s="245" t="s">
        <v>12548</v>
      </c>
      <c r="K1016" s="207"/>
      <c r="L1016" s="66"/>
      <c r="M1016" s="201" t="s">
        <v>12550</v>
      </c>
      <c r="N1016" s="207"/>
      <c r="O1016" s="38" t="s">
        <v>21586</v>
      </c>
    </row>
    <row r="1017" spans="1:15" ht="72" customHeight="1" x14ac:dyDescent="0.3">
      <c r="A1017" s="242">
        <v>997</v>
      </c>
      <c r="B1017" s="246" t="s">
        <v>12481</v>
      </c>
      <c r="C1017" s="246" t="s">
        <v>13287</v>
      </c>
      <c r="D1017" s="88"/>
      <c r="E1017" s="242">
        <v>38.4</v>
      </c>
      <c r="F1017" s="22">
        <f t="shared" ref="F1017:F1024" si="69">855678.8/239.7*E1017</f>
        <v>137079.9579474343</v>
      </c>
      <c r="G1017" s="43">
        <f t="shared" ref="G1017:G1024" si="70">355962.4/239.7*E1017</f>
        <v>57025.265581977481</v>
      </c>
      <c r="H1017" s="207"/>
      <c r="I1017" s="207" t="s">
        <v>12545</v>
      </c>
      <c r="J1017" s="66" t="s">
        <v>12548</v>
      </c>
      <c r="K1017" s="207"/>
      <c r="L1017" s="66"/>
      <c r="M1017" s="201" t="s">
        <v>12550</v>
      </c>
      <c r="N1017" s="207"/>
      <c r="O1017" s="38"/>
    </row>
    <row r="1018" spans="1:15" ht="72" customHeight="1" x14ac:dyDescent="0.3">
      <c r="A1018" s="2">
        <v>998</v>
      </c>
      <c r="B1018" s="246" t="s">
        <v>12481</v>
      </c>
      <c r="C1018" s="246" t="s">
        <v>13288</v>
      </c>
      <c r="D1018" s="88"/>
      <c r="E1018" s="242">
        <v>40</v>
      </c>
      <c r="F1018" s="22">
        <f t="shared" si="69"/>
        <v>142791.62286191073</v>
      </c>
      <c r="G1018" s="43">
        <f t="shared" si="70"/>
        <v>59401.318314559874</v>
      </c>
      <c r="H1018" s="207"/>
      <c r="I1018" s="207" t="s">
        <v>12545</v>
      </c>
      <c r="J1018" s="245" t="s">
        <v>12548</v>
      </c>
      <c r="K1018" s="207"/>
      <c r="L1018" s="66"/>
      <c r="M1018" s="201" t="s">
        <v>12550</v>
      </c>
      <c r="N1018" s="207"/>
      <c r="O1018" s="38"/>
    </row>
    <row r="1019" spans="1:15" ht="72" customHeight="1" x14ac:dyDescent="0.3">
      <c r="A1019" s="242">
        <v>999</v>
      </c>
      <c r="B1019" s="246" t="s">
        <v>12483</v>
      </c>
      <c r="C1019" s="246" t="s">
        <v>13289</v>
      </c>
      <c r="D1019" s="88"/>
      <c r="E1019" s="242">
        <v>20</v>
      </c>
      <c r="F1019" s="22">
        <f t="shared" si="69"/>
        <v>71395.811430955364</v>
      </c>
      <c r="G1019" s="43">
        <f t="shared" si="70"/>
        <v>29700.659157279937</v>
      </c>
      <c r="H1019" s="207"/>
      <c r="I1019" s="207" t="s">
        <v>12545</v>
      </c>
      <c r="J1019" s="66" t="s">
        <v>12548</v>
      </c>
      <c r="K1019" s="207"/>
      <c r="L1019" s="66"/>
      <c r="M1019" s="201" t="s">
        <v>12550</v>
      </c>
      <c r="N1019" s="207"/>
      <c r="O1019" s="38" t="s">
        <v>21587</v>
      </c>
    </row>
    <row r="1020" spans="1:15" ht="72" customHeight="1" x14ac:dyDescent="0.3">
      <c r="A1020" s="2">
        <v>1000</v>
      </c>
      <c r="B1020" s="246" t="s">
        <v>12483</v>
      </c>
      <c r="C1020" s="246" t="s">
        <v>13290</v>
      </c>
      <c r="D1020" s="88"/>
      <c r="E1020" s="2">
        <v>23.1</v>
      </c>
      <c r="F1020" s="22">
        <f t="shared" si="69"/>
        <v>82462.162202753447</v>
      </c>
      <c r="G1020" s="43">
        <f t="shared" si="70"/>
        <v>34304.261326658328</v>
      </c>
      <c r="H1020" s="207"/>
      <c r="I1020" s="207" t="s">
        <v>12545</v>
      </c>
      <c r="J1020" s="245" t="s">
        <v>12548</v>
      </c>
      <c r="K1020" s="207"/>
      <c r="L1020" s="66"/>
      <c r="M1020" s="201" t="s">
        <v>12550</v>
      </c>
      <c r="N1020" s="207"/>
      <c r="O1020" s="38" t="s">
        <v>21588</v>
      </c>
    </row>
    <row r="1021" spans="1:15" ht="72" customHeight="1" x14ac:dyDescent="0.3">
      <c r="A1021" s="242">
        <v>1001</v>
      </c>
      <c r="B1021" s="246" t="s">
        <v>12480</v>
      </c>
      <c r="C1021" s="246" t="s">
        <v>13291</v>
      </c>
      <c r="D1021" s="88"/>
      <c r="E1021" s="242">
        <v>40</v>
      </c>
      <c r="F1021" s="22">
        <f t="shared" si="69"/>
        <v>142791.62286191073</v>
      </c>
      <c r="G1021" s="43">
        <f t="shared" si="70"/>
        <v>59401.318314559874</v>
      </c>
      <c r="H1021" s="207"/>
      <c r="I1021" s="207" t="s">
        <v>12545</v>
      </c>
      <c r="J1021" s="66" t="s">
        <v>12548</v>
      </c>
      <c r="K1021" s="207"/>
      <c r="L1021" s="66"/>
      <c r="M1021" s="201" t="s">
        <v>12550</v>
      </c>
      <c r="N1021" s="207"/>
      <c r="O1021" s="38"/>
    </row>
    <row r="1022" spans="1:15" ht="72" customHeight="1" x14ac:dyDescent="0.3">
      <c r="A1022" s="242">
        <v>1002</v>
      </c>
      <c r="B1022" s="246" t="s">
        <v>12483</v>
      </c>
      <c r="C1022" s="246" t="s">
        <v>13292</v>
      </c>
      <c r="D1022" s="88"/>
      <c r="E1022" s="242">
        <v>20</v>
      </c>
      <c r="F1022" s="22">
        <f t="shared" si="69"/>
        <v>71395.811430955364</v>
      </c>
      <c r="G1022" s="43">
        <f t="shared" si="70"/>
        <v>29700.659157279937</v>
      </c>
      <c r="H1022" s="207"/>
      <c r="I1022" s="207" t="s">
        <v>12545</v>
      </c>
      <c r="J1022" s="66" t="s">
        <v>12548</v>
      </c>
      <c r="K1022" s="207"/>
      <c r="L1022" s="66"/>
      <c r="M1022" s="201" t="s">
        <v>12550</v>
      </c>
      <c r="N1022" s="207"/>
      <c r="O1022" s="38"/>
    </row>
    <row r="1023" spans="1:15" ht="72" customHeight="1" x14ac:dyDescent="0.3">
      <c r="A1023" s="242">
        <v>1003</v>
      </c>
      <c r="B1023" s="246" t="s">
        <v>12483</v>
      </c>
      <c r="C1023" s="246" t="s">
        <v>13293</v>
      </c>
      <c r="D1023" s="88"/>
      <c r="E1023" s="242">
        <v>20</v>
      </c>
      <c r="F1023" s="22">
        <f t="shared" si="69"/>
        <v>71395.811430955364</v>
      </c>
      <c r="G1023" s="43">
        <f t="shared" si="70"/>
        <v>29700.659157279937</v>
      </c>
      <c r="H1023" s="207"/>
      <c r="I1023" s="207" t="s">
        <v>12545</v>
      </c>
      <c r="J1023" s="66" t="s">
        <v>12548</v>
      </c>
      <c r="K1023" s="207"/>
      <c r="L1023" s="66"/>
      <c r="M1023" s="201" t="s">
        <v>12550</v>
      </c>
      <c r="N1023" s="207"/>
      <c r="O1023" s="38"/>
    </row>
    <row r="1024" spans="1:15" ht="72" customHeight="1" x14ac:dyDescent="0.3">
      <c r="A1024" s="242">
        <v>1004</v>
      </c>
      <c r="B1024" s="246" t="s">
        <v>12481</v>
      </c>
      <c r="C1024" s="246" t="s">
        <v>13294</v>
      </c>
      <c r="D1024" s="88"/>
      <c r="E1024" s="242">
        <v>38.200000000000003</v>
      </c>
      <c r="F1024" s="22">
        <f t="shared" si="69"/>
        <v>136365.99983312475</v>
      </c>
      <c r="G1024" s="43">
        <f t="shared" si="70"/>
        <v>56728.258990404684</v>
      </c>
      <c r="H1024" s="207"/>
      <c r="I1024" s="207" t="s">
        <v>12545</v>
      </c>
      <c r="J1024" s="66" t="s">
        <v>12548</v>
      </c>
      <c r="K1024" s="207"/>
      <c r="L1024" s="66"/>
      <c r="M1024" s="201" t="s">
        <v>12550</v>
      </c>
      <c r="N1024" s="207"/>
      <c r="O1024" s="38" t="s">
        <v>21589</v>
      </c>
    </row>
    <row r="1025" spans="1:15" ht="84" customHeight="1" x14ac:dyDescent="0.3">
      <c r="A1025" s="242">
        <v>1005</v>
      </c>
      <c r="B1025" s="246" t="s">
        <v>12481</v>
      </c>
      <c r="C1025" s="246" t="s">
        <v>13295</v>
      </c>
      <c r="D1025" s="88"/>
      <c r="E1025" s="242">
        <v>28.6</v>
      </c>
      <c r="F1025" s="22">
        <f t="shared" ref="F1025:F1030" si="71">433975.3/192.3*E1025</f>
        <v>64543.388351534057</v>
      </c>
      <c r="G1025" s="43">
        <f t="shared" ref="G1025:G1030" si="72">156231.07/192.3*E1025</f>
        <v>23235.614154966199</v>
      </c>
      <c r="H1025" s="207"/>
      <c r="I1025" s="207" t="s">
        <v>12545</v>
      </c>
      <c r="J1025" s="66" t="s">
        <v>12548</v>
      </c>
      <c r="K1025" s="207"/>
      <c r="L1025" s="66"/>
      <c r="M1025" s="201" t="s">
        <v>12550</v>
      </c>
      <c r="N1025" s="207"/>
      <c r="O1025" s="38" t="s">
        <v>19944</v>
      </c>
    </row>
    <row r="1026" spans="1:15" ht="72" customHeight="1" x14ac:dyDescent="0.3">
      <c r="A1026" s="2">
        <v>1006</v>
      </c>
      <c r="B1026" s="246" t="s">
        <v>12481</v>
      </c>
      <c r="C1026" s="246" t="s">
        <v>13296</v>
      </c>
      <c r="D1026" s="88"/>
      <c r="E1026" s="2">
        <v>27.3</v>
      </c>
      <c r="F1026" s="22">
        <f t="shared" si="71"/>
        <v>61609.597971918869</v>
      </c>
      <c r="G1026" s="43">
        <f t="shared" si="72"/>
        <v>22179.449875195009</v>
      </c>
      <c r="H1026" s="207"/>
      <c r="I1026" s="207" t="s">
        <v>12545</v>
      </c>
      <c r="J1026" s="245" t="s">
        <v>12548</v>
      </c>
      <c r="K1026" s="207"/>
      <c r="L1026" s="66"/>
      <c r="M1026" s="201" t="s">
        <v>12550</v>
      </c>
      <c r="N1026" s="207"/>
      <c r="O1026" s="38"/>
    </row>
    <row r="1027" spans="1:15" ht="72" customHeight="1" x14ac:dyDescent="0.3">
      <c r="A1027" s="242">
        <v>1007</v>
      </c>
      <c r="B1027" s="246" t="s">
        <v>12481</v>
      </c>
      <c r="C1027" s="246" t="s">
        <v>13297</v>
      </c>
      <c r="D1027" s="88"/>
      <c r="E1027" s="2">
        <v>27.1</v>
      </c>
      <c r="F1027" s="22">
        <f t="shared" si="71"/>
        <v>61158.245605824231</v>
      </c>
      <c r="G1027" s="43">
        <f t="shared" si="72"/>
        <v>22016.963062922518</v>
      </c>
      <c r="H1027" s="207"/>
      <c r="I1027" s="207" t="s">
        <v>12545</v>
      </c>
      <c r="J1027" s="245" t="s">
        <v>12548</v>
      </c>
      <c r="K1027" s="207"/>
      <c r="L1027" s="66"/>
      <c r="M1027" s="201" t="s">
        <v>12550</v>
      </c>
      <c r="N1027" s="207"/>
      <c r="O1027" s="38" t="s">
        <v>19878</v>
      </c>
    </row>
    <row r="1028" spans="1:15" ht="72" customHeight="1" x14ac:dyDescent="0.3">
      <c r="A1028" s="2">
        <v>1008</v>
      </c>
      <c r="B1028" s="246" t="s">
        <v>12481</v>
      </c>
      <c r="C1028" s="246" t="s">
        <v>13298</v>
      </c>
      <c r="D1028" s="88"/>
      <c r="E1028" s="2">
        <v>32.5</v>
      </c>
      <c r="F1028" s="22">
        <f t="shared" si="71"/>
        <v>73344.759490379613</v>
      </c>
      <c r="G1028" s="43">
        <f t="shared" si="72"/>
        <v>26404.106994279769</v>
      </c>
      <c r="H1028" s="207"/>
      <c r="I1028" s="207" t="s">
        <v>12545</v>
      </c>
      <c r="J1028" s="245" t="s">
        <v>12548</v>
      </c>
      <c r="K1028" s="207"/>
      <c r="L1028" s="66"/>
      <c r="M1028" s="201" t="s">
        <v>12550</v>
      </c>
      <c r="N1028" s="207"/>
      <c r="O1028" s="38"/>
    </row>
    <row r="1029" spans="1:15" ht="72" customHeight="1" x14ac:dyDescent="0.3">
      <c r="A1029" s="242">
        <v>1009</v>
      </c>
      <c r="B1029" s="82" t="s">
        <v>12481</v>
      </c>
      <c r="C1029" s="246" t="s">
        <v>13299</v>
      </c>
      <c r="D1029" s="88"/>
      <c r="E1029" s="242">
        <v>38.4</v>
      </c>
      <c r="F1029" s="22">
        <f t="shared" si="71"/>
        <v>86659.654290171587</v>
      </c>
      <c r="G1029" s="43">
        <f t="shared" si="72"/>
        <v>31197.467956318251</v>
      </c>
      <c r="H1029" s="207"/>
      <c r="I1029" s="207" t="s">
        <v>12545</v>
      </c>
      <c r="J1029" s="66" t="s">
        <v>12548</v>
      </c>
      <c r="K1029" s="207"/>
      <c r="L1029" s="66"/>
      <c r="M1029" s="201" t="s">
        <v>12550</v>
      </c>
      <c r="N1029" s="207"/>
      <c r="O1029" s="38"/>
    </row>
    <row r="1030" spans="1:15" ht="72" customHeight="1" x14ac:dyDescent="0.3">
      <c r="A1030" s="2">
        <v>1010</v>
      </c>
      <c r="B1030" s="246" t="s">
        <v>12481</v>
      </c>
      <c r="C1030" s="246" t="s">
        <v>13300</v>
      </c>
      <c r="D1030" s="88"/>
      <c r="E1030" s="2">
        <v>38.4</v>
      </c>
      <c r="F1030" s="22">
        <f t="shared" si="71"/>
        <v>86659.654290171587</v>
      </c>
      <c r="G1030" s="43">
        <f t="shared" si="72"/>
        <v>31197.467956318251</v>
      </c>
      <c r="H1030" s="207"/>
      <c r="I1030" s="207" t="s">
        <v>12545</v>
      </c>
      <c r="J1030" s="245" t="s">
        <v>12548</v>
      </c>
      <c r="K1030" s="207"/>
      <c r="L1030" s="66"/>
      <c r="M1030" s="201" t="s">
        <v>12550</v>
      </c>
      <c r="N1030" s="207"/>
      <c r="O1030" s="38" t="s">
        <v>21590</v>
      </c>
    </row>
    <row r="1031" spans="1:15" ht="72" customHeight="1" x14ac:dyDescent="0.3">
      <c r="A1031" s="242">
        <v>1011</v>
      </c>
      <c r="B1031" s="82" t="s">
        <v>12480</v>
      </c>
      <c r="C1031" s="246" t="s">
        <v>13301</v>
      </c>
      <c r="D1031" s="88"/>
      <c r="E1031" s="30">
        <v>43.3</v>
      </c>
      <c r="F1031" s="22">
        <f t="shared" ref="F1031:F1038" si="73">2676932.6/349*E1031</f>
        <v>332123.7294555874</v>
      </c>
      <c r="G1031" s="43">
        <f t="shared" ref="G1031:G1038" si="74">513971.1/349*E1031</f>
        <v>63767.761117478505</v>
      </c>
      <c r="H1031" s="207"/>
      <c r="I1031" s="207" t="s">
        <v>12545</v>
      </c>
      <c r="J1031" s="66" t="s">
        <v>12548</v>
      </c>
      <c r="K1031" s="207"/>
      <c r="L1031" s="66"/>
      <c r="M1031" s="201" t="s">
        <v>12550</v>
      </c>
      <c r="N1031" s="207"/>
      <c r="O1031" s="38" t="s">
        <v>21591</v>
      </c>
    </row>
    <row r="1032" spans="1:15" ht="72" customHeight="1" x14ac:dyDescent="0.3">
      <c r="A1032" s="242">
        <v>1012</v>
      </c>
      <c r="B1032" s="246" t="s">
        <v>12480</v>
      </c>
      <c r="C1032" s="246" t="s">
        <v>13302</v>
      </c>
      <c r="D1032" s="88"/>
      <c r="E1032" s="30">
        <v>40.9</v>
      </c>
      <c r="F1032" s="22">
        <f t="shared" si="73"/>
        <v>313715.02389684814</v>
      </c>
      <c r="G1032" s="43">
        <f t="shared" si="74"/>
        <v>60233.289369627506</v>
      </c>
      <c r="H1032" s="207"/>
      <c r="I1032" s="207" t="s">
        <v>12545</v>
      </c>
      <c r="J1032" s="245" t="s">
        <v>12548</v>
      </c>
      <c r="K1032" s="207"/>
      <c r="L1032" s="66"/>
      <c r="M1032" s="201" t="s">
        <v>12550</v>
      </c>
      <c r="N1032" s="207"/>
      <c r="O1032" s="38" t="s">
        <v>21592</v>
      </c>
    </row>
    <row r="1033" spans="1:15" ht="72" customHeight="1" x14ac:dyDescent="0.3">
      <c r="A1033" s="242">
        <v>1013</v>
      </c>
      <c r="B1033" s="246" t="s">
        <v>12480</v>
      </c>
      <c r="C1033" s="246" t="s">
        <v>13303</v>
      </c>
      <c r="D1033" s="88"/>
      <c r="E1033" s="30">
        <v>43.6</v>
      </c>
      <c r="F1033" s="22">
        <f t="shared" si="73"/>
        <v>334424.81765042985</v>
      </c>
      <c r="G1033" s="43">
        <f t="shared" si="74"/>
        <v>64209.570085959887</v>
      </c>
      <c r="H1033" s="207"/>
      <c r="I1033" s="207" t="s">
        <v>12545</v>
      </c>
      <c r="J1033" s="245" t="s">
        <v>12548</v>
      </c>
      <c r="K1033" s="207"/>
      <c r="L1033" s="66"/>
      <c r="M1033" s="201" t="s">
        <v>12550</v>
      </c>
      <c r="N1033" s="207"/>
      <c r="O1033" s="38" t="s">
        <v>21593</v>
      </c>
    </row>
    <row r="1034" spans="1:15" ht="72" customHeight="1" x14ac:dyDescent="0.3">
      <c r="A1034" s="242">
        <v>1014</v>
      </c>
      <c r="B1034" s="246" t="s">
        <v>12480</v>
      </c>
      <c r="C1034" s="246" t="s">
        <v>13304</v>
      </c>
      <c r="D1034" s="88"/>
      <c r="E1034" s="30">
        <v>41.6</v>
      </c>
      <c r="F1034" s="22">
        <f t="shared" si="73"/>
        <v>319084.22968481376</v>
      </c>
      <c r="G1034" s="43">
        <f t="shared" si="74"/>
        <v>61264.176962750716</v>
      </c>
      <c r="H1034" s="207"/>
      <c r="I1034" s="207" t="s">
        <v>12545</v>
      </c>
      <c r="J1034" s="66" t="s">
        <v>12548</v>
      </c>
      <c r="K1034" s="207"/>
      <c r="L1034" s="66"/>
      <c r="M1034" s="201" t="s">
        <v>12550</v>
      </c>
      <c r="N1034" s="207"/>
      <c r="O1034" s="38" t="s">
        <v>21594</v>
      </c>
    </row>
    <row r="1035" spans="1:15" ht="108" customHeight="1" x14ac:dyDescent="0.3">
      <c r="A1035" s="242">
        <v>1015</v>
      </c>
      <c r="B1035" s="246" t="s">
        <v>12480</v>
      </c>
      <c r="C1035" s="246" t="s">
        <v>13305</v>
      </c>
      <c r="D1035" s="88"/>
      <c r="E1035" s="30">
        <v>43.6</v>
      </c>
      <c r="F1035" s="22">
        <f t="shared" si="73"/>
        <v>334424.81765042985</v>
      </c>
      <c r="G1035" s="43">
        <f t="shared" si="74"/>
        <v>64209.570085959887</v>
      </c>
      <c r="H1035" s="207"/>
      <c r="I1035" s="207" t="s">
        <v>12545</v>
      </c>
      <c r="J1035" s="66" t="s">
        <v>12548</v>
      </c>
      <c r="K1035" s="207" t="s">
        <v>19682</v>
      </c>
      <c r="L1035" s="66" t="s">
        <v>19683</v>
      </c>
      <c r="M1035" s="201" t="s">
        <v>12550</v>
      </c>
      <c r="N1035" s="207"/>
      <c r="O1035" s="38"/>
    </row>
    <row r="1036" spans="1:15" ht="72" customHeight="1" x14ac:dyDescent="0.3">
      <c r="A1036" s="242">
        <v>1016</v>
      </c>
      <c r="B1036" s="82" t="s">
        <v>12480</v>
      </c>
      <c r="C1036" s="246" t="s">
        <v>13306</v>
      </c>
      <c r="D1036" s="88"/>
      <c r="E1036" s="30">
        <v>50.2</v>
      </c>
      <c r="F1036" s="22">
        <f t="shared" si="73"/>
        <v>385048.75793696282</v>
      </c>
      <c r="G1036" s="43">
        <f t="shared" si="74"/>
        <v>73929.36739255015</v>
      </c>
      <c r="H1036" s="207"/>
      <c r="I1036" s="207" t="s">
        <v>12545</v>
      </c>
      <c r="J1036" s="66" t="s">
        <v>12548</v>
      </c>
      <c r="K1036" s="207"/>
      <c r="L1036" s="66"/>
      <c r="M1036" s="201" t="s">
        <v>12550</v>
      </c>
      <c r="N1036" s="207"/>
      <c r="O1036" s="38" t="s">
        <v>21595</v>
      </c>
    </row>
    <row r="1037" spans="1:15" ht="72" customHeight="1" x14ac:dyDescent="0.3">
      <c r="A1037" s="2">
        <v>1017</v>
      </c>
      <c r="B1037" s="246" t="s">
        <v>12480</v>
      </c>
      <c r="C1037" s="246" t="s">
        <v>13307</v>
      </c>
      <c r="D1037" s="88"/>
      <c r="E1037" s="30">
        <v>50.1</v>
      </c>
      <c r="F1037" s="22">
        <f t="shared" si="73"/>
        <v>384281.72853868199</v>
      </c>
      <c r="G1037" s="43">
        <f t="shared" si="74"/>
        <v>73782.097736389682</v>
      </c>
      <c r="H1037" s="207"/>
      <c r="I1037" s="207" t="s">
        <v>12545</v>
      </c>
      <c r="J1037" s="245" t="s">
        <v>12548</v>
      </c>
      <c r="K1037" s="207"/>
      <c r="L1037" s="66"/>
      <c r="M1037" s="201" t="s">
        <v>12550</v>
      </c>
      <c r="N1037" s="207"/>
      <c r="O1037" s="38" t="s">
        <v>21596</v>
      </c>
    </row>
    <row r="1038" spans="1:15" ht="72" customHeight="1" x14ac:dyDescent="0.3">
      <c r="A1038" s="242">
        <v>1018</v>
      </c>
      <c r="B1038" s="246" t="s">
        <v>12481</v>
      </c>
      <c r="C1038" s="246" t="s">
        <v>13308</v>
      </c>
      <c r="D1038" s="88"/>
      <c r="E1038" s="30">
        <v>35.700000000000003</v>
      </c>
      <c r="F1038" s="22">
        <f t="shared" si="73"/>
        <v>273829.49518624647</v>
      </c>
      <c r="G1038" s="43">
        <f t="shared" si="74"/>
        <v>52575.267249283672</v>
      </c>
      <c r="H1038" s="207"/>
      <c r="I1038" s="207" t="s">
        <v>12545</v>
      </c>
      <c r="J1038" s="66" t="s">
        <v>12548</v>
      </c>
      <c r="K1038" s="207"/>
      <c r="L1038" s="66"/>
      <c r="M1038" s="201" t="s">
        <v>12550</v>
      </c>
      <c r="N1038" s="207"/>
      <c r="O1038" s="38"/>
    </row>
    <row r="1039" spans="1:15" ht="72" customHeight="1" x14ac:dyDescent="0.3">
      <c r="A1039" s="242">
        <v>1019</v>
      </c>
      <c r="B1039" s="246" t="s">
        <v>12480</v>
      </c>
      <c r="C1039" s="246" t="s">
        <v>13309</v>
      </c>
      <c r="D1039" s="88"/>
      <c r="E1039" s="242">
        <v>44.2</v>
      </c>
      <c r="F1039" s="22">
        <f>330817.1/87.2*E1039</f>
        <v>167684.81444954127</v>
      </c>
      <c r="G1039" s="43">
        <f>105861.45/87.2*E1039</f>
        <v>53659.129472477063</v>
      </c>
      <c r="H1039" s="207"/>
      <c r="I1039" s="207" t="s">
        <v>12545</v>
      </c>
      <c r="J1039" s="66" t="s">
        <v>12548</v>
      </c>
      <c r="K1039" s="207"/>
      <c r="L1039" s="66"/>
      <c r="M1039" s="201" t="s">
        <v>12550</v>
      </c>
      <c r="N1039" s="207"/>
      <c r="O1039" s="38"/>
    </row>
    <row r="1040" spans="1:15" ht="72" customHeight="1" x14ac:dyDescent="0.3">
      <c r="A1040" s="2">
        <v>1020</v>
      </c>
      <c r="B1040" s="246" t="s">
        <v>12480</v>
      </c>
      <c r="C1040" s="246" t="s">
        <v>13310</v>
      </c>
      <c r="D1040" s="88"/>
      <c r="E1040" s="242">
        <v>43</v>
      </c>
      <c r="F1040" s="22">
        <f>330817.1/87.2*E1040</f>
        <v>163132.28555045871</v>
      </c>
      <c r="G1040" s="43">
        <f>105861.45/87.2*E1040</f>
        <v>52202.320527522934</v>
      </c>
      <c r="H1040" s="207"/>
      <c r="I1040" s="207" t="s">
        <v>12545</v>
      </c>
      <c r="J1040" s="66" t="s">
        <v>12548</v>
      </c>
      <c r="K1040" s="207"/>
      <c r="L1040" s="66"/>
      <c r="M1040" s="201" t="s">
        <v>12550</v>
      </c>
      <c r="N1040" s="207"/>
      <c r="O1040" s="38" t="s">
        <v>22108</v>
      </c>
    </row>
    <row r="1041" spans="1:15" ht="72" customHeight="1" x14ac:dyDescent="0.3">
      <c r="A1041" s="242">
        <v>1021</v>
      </c>
      <c r="B1041" s="246" t="s">
        <v>12480</v>
      </c>
      <c r="C1041" s="246" t="s">
        <v>13311</v>
      </c>
      <c r="D1041" s="88"/>
      <c r="E1041" s="30">
        <v>47.2</v>
      </c>
      <c r="F1041" s="22">
        <f>219359.2/166*E1041</f>
        <v>62372.013493975915</v>
      </c>
      <c r="G1041" s="43">
        <f>77214.46/166*E1041</f>
        <v>21954.954891566267</v>
      </c>
      <c r="H1041" s="207"/>
      <c r="I1041" s="207" t="s">
        <v>12545</v>
      </c>
      <c r="J1041" s="66" t="s">
        <v>12548</v>
      </c>
      <c r="K1041" s="207"/>
      <c r="L1041" s="66"/>
      <c r="M1041" s="201" t="s">
        <v>12550</v>
      </c>
      <c r="N1041" s="207"/>
      <c r="O1041" s="38" t="s">
        <v>21597</v>
      </c>
    </row>
    <row r="1042" spans="1:15" ht="96" customHeight="1" x14ac:dyDescent="0.3">
      <c r="A1042" s="242">
        <v>1022</v>
      </c>
      <c r="B1042" s="246" t="s">
        <v>12480</v>
      </c>
      <c r="C1042" s="246" t="s">
        <v>13312</v>
      </c>
      <c r="D1042" s="88"/>
      <c r="E1042" s="30">
        <v>45.3</v>
      </c>
      <c r="F1042" s="22">
        <f>219359.2/166*E1042</f>
        <v>59861.275662650609</v>
      </c>
      <c r="G1042" s="43">
        <f>77214.46/166*E1042</f>
        <v>21071.174927710843</v>
      </c>
      <c r="H1042" s="207"/>
      <c r="I1042" s="207" t="s">
        <v>12545</v>
      </c>
      <c r="J1042" s="66" t="s">
        <v>12548</v>
      </c>
      <c r="K1042" s="207"/>
      <c r="L1042" s="66"/>
      <c r="M1042" s="201" t="s">
        <v>12550</v>
      </c>
      <c r="N1042" s="207"/>
      <c r="O1042" s="38" t="s">
        <v>21598</v>
      </c>
    </row>
    <row r="1043" spans="1:15" ht="72" customHeight="1" x14ac:dyDescent="0.3">
      <c r="A1043" s="242">
        <v>1023</v>
      </c>
      <c r="B1043" s="246" t="s">
        <v>12480</v>
      </c>
      <c r="C1043" s="246" t="s">
        <v>13313</v>
      </c>
      <c r="D1043" s="88"/>
      <c r="E1043" s="30">
        <v>42.7</v>
      </c>
      <c r="F1043" s="22">
        <f>219359.2/166*E1043</f>
        <v>56425.529156626515</v>
      </c>
      <c r="G1043" s="43">
        <f>77214.46/166*E1043</f>
        <v>19861.79181927711</v>
      </c>
      <c r="H1043" s="207"/>
      <c r="I1043" s="207" t="s">
        <v>12545</v>
      </c>
      <c r="J1043" s="66" t="s">
        <v>12548</v>
      </c>
      <c r="K1043" s="207"/>
      <c r="L1043" s="66"/>
      <c r="M1043" s="201" t="s">
        <v>12550</v>
      </c>
      <c r="N1043" s="207"/>
      <c r="O1043" s="38" t="s">
        <v>21599</v>
      </c>
    </row>
    <row r="1044" spans="1:15" ht="72" customHeight="1" x14ac:dyDescent="0.3">
      <c r="A1044" s="2">
        <v>1024</v>
      </c>
      <c r="B1044" s="246" t="s">
        <v>12481</v>
      </c>
      <c r="C1044" s="246" t="s">
        <v>13314</v>
      </c>
      <c r="D1044" s="88"/>
      <c r="E1044" s="30">
        <v>30.8</v>
      </c>
      <c r="F1044" s="22">
        <f>219359.2/166*E1044</f>
        <v>40700.381686746994</v>
      </c>
      <c r="G1044" s="43">
        <f>77214.46/166*E1044</f>
        <v>14326.538361445784</v>
      </c>
      <c r="H1044" s="207"/>
      <c r="I1044" s="207" t="s">
        <v>12545</v>
      </c>
      <c r="J1044" s="66" t="s">
        <v>12548</v>
      </c>
      <c r="K1044" s="207"/>
      <c r="L1044" s="66"/>
      <c r="M1044" s="201" t="s">
        <v>12550</v>
      </c>
      <c r="N1044" s="207"/>
      <c r="O1044" s="38"/>
    </row>
    <row r="1045" spans="1:15" ht="72" customHeight="1" x14ac:dyDescent="0.3">
      <c r="A1045" s="242">
        <v>1025</v>
      </c>
      <c r="B1045" s="246" t="s">
        <v>12480</v>
      </c>
      <c r="C1045" s="246" t="s">
        <v>13315</v>
      </c>
      <c r="D1045" s="88"/>
      <c r="E1045" s="30">
        <v>41.5</v>
      </c>
      <c r="F1045" s="22">
        <f>737607/170*E1045</f>
        <v>180062.88529411764</v>
      </c>
      <c r="G1045" s="43">
        <f>265538.54/170*E1045</f>
        <v>64822.643588235296</v>
      </c>
      <c r="H1045" s="207"/>
      <c r="I1045" s="207" t="s">
        <v>12545</v>
      </c>
      <c r="J1045" s="66" t="s">
        <v>12548</v>
      </c>
      <c r="K1045" s="207"/>
      <c r="L1045" s="66"/>
      <c r="M1045" s="201" t="s">
        <v>12550</v>
      </c>
      <c r="N1045" s="207"/>
      <c r="O1045" s="38" t="s">
        <v>19883</v>
      </c>
    </row>
    <row r="1046" spans="1:15" ht="72" customHeight="1" x14ac:dyDescent="0.3">
      <c r="A1046" s="242">
        <v>1026</v>
      </c>
      <c r="B1046" s="246" t="s">
        <v>12480</v>
      </c>
      <c r="C1046" s="246" t="s">
        <v>13316</v>
      </c>
      <c r="D1046" s="88"/>
      <c r="E1046" s="30">
        <v>41.6</v>
      </c>
      <c r="F1046" s="22">
        <f>737607/170*E1046</f>
        <v>180496.77176470589</v>
      </c>
      <c r="G1046" s="43">
        <f>265538.54/170*E1046</f>
        <v>64978.842729411765</v>
      </c>
      <c r="H1046" s="207"/>
      <c r="I1046" s="207" t="s">
        <v>12545</v>
      </c>
      <c r="J1046" s="66" t="s">
        <v>12548</v>
      </c>
      <c r="K1046" s="207"/>
      <c r="L1046" s="66"/>
      <c r="M1046" s="201" t="s">
        <v>12550</v>
      </c>
      <c r="N1046" s="207"/>
      <c r="O1046" s="38" t="s">
        <v>19867</v>
      </c>
    </row>
    <row r="1047" spans="1:15" ht="72" customHeight="1" x14ac:dyDescent="0.3">
      <c r="A1047" s="242">
        <v>1027</v>
      </c>
      <c r="B1047" s="246" t="s">
        <v>12480</v>
      </c>
      <c r="C1047" s="246" t="s">
        <v>13317</v>
      </c>
      <c r="D1047" s="88"/>
      <c r="E1047" s="30">
        <v>41.6</v>
      </c>
      <c r="F1047" s="22">
        <f>737607/170*E1047</f>
        <v>180496.77176470589</v>
      </c>
      <c r="G1047" s="43">
        <f>265538.54/170*E1047</f>
        <v>64978.842729411765</v>
      </c>
      <c r="H1047" s="207"/>
      <c r="I1047" s="207" t="s">
        <v>12545</v>
      </c>
      <c r="J1047" s="66" t="s">
        <v>12548</v>
      </c>
      <c r="K1047" s="207"/>
      <c r="L1047" s="66"/>
      <c r="M1047" s="201" t="s">
        <v>12550</v>
      </c>
      <c r="N1047" s="207"/>
      <c r="O1047" s="38"/>
    </row>
    <row r="1048" spans="1:15" ht="72" customHeight="1" x14ac:dyDescent="0.3">
      <c r="A1048" s="242">
        <v>1028</v>
      </c>
      <c r="B1048" s="246" t="s">
        <v>12480</v>
      </c>
      <c r="C1048" s="246" t="s">
        <v>13318</v>
      </c>
      <c r="D1048" s="88"/>
      <c r="E1048" s="30">
        <v>45.3</v>
      </c>
      <c r="F1048" s="22">
        <f>737607/170*E1048</f>
        <v>196550.57117647055</v>
      </c>
      <c r="G1048" s="43">
        <f>265538.54/170*E1048</f>
        <v>70758.210952941168</v>
      </c>
      <c r="H1048" s="207"/>
      <c r="I1048" s="207" t="s">
        <v>12545</v>
      </c>
      <c r="J1048" s="245" t="s">
        <v>12548</v>
      </c>
      <c r="K1048" s="207"/>
      <c r="L1048" s="66"/>
      <c r="M1048" s="201" t="s">
        <v>12550</v>
      </c>
      <c r="N1048" s="207"/>
      <c r="O1048" s="38" t="s">
        <v>21600</v>
      </c>
    </row>
    <row r="1049" spans="1:15" ht="72" customHeight="1" x14ac:dyDescent="0.3">
      <c r="A1049" s="242">
        <v>1029</v>
      </c>
      <c r="B1049" s="246" t="s">
        <v>12480</v>
      </c>
      <c r="C1049" s="246" t="s">
        <v>13319</v>
      </c>
      <c r="D1049" s="88"/>
      <c r="E1049" s="242">
        <v>54.9</v>
      </c>
      <c r="F1049" s="22">
        <f>629915.2/232.6*E1049</f>
        <v>148677.31934651762</v>
      </c>
      <c r="G1049" s="43">
        <f>206612.2/232.6*E1049</f>
        <v>48766.164144454007</v>
      </c>
      <c r="H1049" s="207"/>
      <c r="I1049" s="207" t="s">
        <v>12545</v>
      </c>
      <c r="J1049" s="66" t="s">
        <v>12548</v>
      </c>
      <c r="K1049" s="207"/>
      <c r="L1049" s="66"/>
      <c r="M1049" s="201" t="s">
        <v>12550</v>
      </c>
      <c r="N1049" s="207"/>
      <c r="O1049" s="38"/>
    </row>
    <row r="1050" spans="1:15" ht="72" customHeight="1" x14ac:dyDescent="0.3">
      <c r="A1050" s="242">
        <v>1030</v>
      </c>
      <c r="B1050" s="246" t="s">
        <v>12480</v>
      </c>
      <c r="C1050" s="246" t="s">
        <v>13320</v>
      </c>
      <c r="D1050" s="88"/>
      <c r="E1050" s="242">
        <v>54.9</v>
      </c>
      <c r="F1050" s="22">
        <f>629915.2/232.6*E1050</f>
        <v>148677.31934651762</v>
      </c>
      <c r="G1050" s="43">
        <f>206612.2/232.6*E1050</f>
        <v>48766.164144454007</v>
      </c>
      <c r="H1050" s="207"/>
      <c r="I1050" s="207" t="s">
        <v>12545</v>
      </c>
      <c r="J1050" s="66" t="s">
        <v>12548</v>
      </c>
      <c r="K1050" s="207"/>
      <c r="L1050" s="66"/>
      <c r="M1050" s="201" t="s">
        <v>12550</v>
      </c>
      <c r="N1050" s="207"/>
      <c r="O1050" s="38" t="s">
        <v>21601</v>
      </c>
    </row>
    <row r="1051" spans="1:15" ht="72" customHeight="1" x14ac:dyDescent="0.3">
      <c r="A1051" s="242">
        <v>1031</v>
      </c>
      <c r="B1051" s="246" t="s">
        <v>12481</v>
      </c>
      <c r="C1051" s="246" t="s">
        <v>13321</v>
      </c>
      <c r="D1051" s="88"/>
      <c r="E1051" s="242">
        <v>41</v>
      </c>
      <c r="F1051" s="22">
        <f>629915.2/232.6*E1051</f>
        <v>111034.06362854686</v>
      </c>
      <c r="G1051" s="43">
        <f>206612.2/232.6*E1051</f>
        <v>36419.17540842649</v>
      </c>
      <c r="H1051" s="207"/>
      <c r="I1051" s="207" t="s">
        <v>12545</v>
      </c>
      <c r="J1051" s="66" t="s">
        <v>12548</v>
      </c>
      <c r="K1051" s="207"/>
      <c r="L1051" s="66"/>
      <c r="M1051" s="201" t="s">
        <v>12550</v>
      </c>
      <c r="N1051" s="207"/>
      <c r="O1051" s="38" t="s">
        <v>20249</v>
      </c>
    </row>
    <row r="1052" spans="1:15" ht="72" customHeight="1" x14ac:dyDescent="0.3">
      <c r="A1052" s="242">
        <v>1032</v>
      </c>
      <c r="B1052" s="246" t="s">
        <v>12481</v>
      </c>
      <c r="C1052" s="246" t="s">
        <v>13322</v>
      </c>
      <c r="D1052" s="88"/>
      <c r="E1052" s="242">
        <v>40.4</v>
      </c>
      <c r="F1052" s="22">
        <f>629915.2/232.6*E1052</f>
        <v>109409.17489251934</v>
      </c>
      <c r="G1052" s="43">
        <f>206612.2/232.6*E1052</f>
        <v>35886.211865864148</v>
      </c>
      <c r="H1052" s="207"/>
      <c r="I1052" s="207" t="s">
        <v>12545</v>
      </c>
      <c r="J1052" s="66" t="s">
        <v>12548</v>
      </c>
      <c r="K1052" s="207"/>
      <c r="L1052" s="66"/>
      <c r="M1052" s="201" t="s">
        <v>12550</v>
      </c>
      <c r="N1052" s="207"/>
      <c r="O1052" s="38" t="s">
        <v>21602</v>
      </c>
    </row>
    <row r="1053" spans="1:15" ht="72" customHeight="1" x14ac:dyDescent="0.3">
      <c r="A1053" s="2">
        <v>1033</v>
      </c>
      <c r="B1053" s="246" t="s">
        <v>12481</v>
      </c>
      <c r="C1053" s="246" t="s">
        <v>13323</v>
      </c>
      <c r="D1053" s="88"/>
      <c r="E1053" s="2">
        <v>41.4</v>
      </c>
      <c r="F1053" s="22">
        <f>629915.2/232.6*E1053</f>
        <v>112117.32278589853</v>
      </c>
      <c r="G1053" s="43">
        <f>206612.2/232.6*E1053</f>
        <v>36774.48443680138</v>
      </c>
      <c r="H1053" s="207"/>
      <c r="I1053" s="207" t="s">
        <v>12545</v>
      </c>
      <c r="J1053" s="245" t="s">
        <v>12548</v>
      </c>
      <c r="K1053" s="207"/>
      <c r="L1053" s="66"/>
      <c r="M1053" s="201" t="s">
        <v>12550</v>
      </c>
      <c r="N1053" s="207"/>
      <c r="O1053" s="38"/>
    </row>
    <row r="1054" spans="1:15" ht="72" customHeight="1" x14ac:dyDescent="0.3">
      <c r="A1054" s="2">
        <v>1034</v>
      </c>
      <c r="B1054" s="246" t="s">
        <v>12483</v>
      </c>
      <c r="C1054" s="246" t="s">
        <v>13324</v>
      </c>
      <c r="D1054" s="88"/>
      <c r="E1054" s="242">
        <v>26.6</v>
      </c>
      <c r="F1054" s="22">
        <f t="shared" ref="F1054:F1063" si="75">875237.5/316.7*E1054</f>
        <v>73512.211872434491</v>
      </c>
      <c r="G1054" s="43">
        <f t="shared" ref="G1054:G1063" si="76">322087.41/316.7*E1054</f>
        <v>27052.494808967476</v>
      </c>
      <c r="H1054" s="207"/>
      <c r="I1054" s="207" t="s">
        <v>12545</v>
      </c>
      <c r="J1054" s="245" t="s">
        <v>12548</v>
      </c>
      <c r="K1054" s="207"/>
      <c r="L1054" s="66"/>
      <c r="M1054" s="201" t="s">
        <v>12550</v>
      </c>
      <c r="N1054" s="207"/>
      <c r="O1054" s="38" t="s">
        <v>20250</v>
      </c>
    </row>
    <row r="1055" spans="1:15" ht="72" customHeight="1" x14ac:dyDescent="0.3">
      <c r="A1055" s="242">
        <v>1035</v>
      </c>
      <c r="B1055" s="246" t="s">
        <v>12483</v>
      </c>
      <c r="C1055" s="246" t="s">
        <v>13325</v>
      </c>
      <c r="D1055" s="88"/>
      <c r="E1055" s="242">
        <v>27.1</v>
      </c>
      <c r="F1055" s="22">
        <f t="shared" si="75"/>
        <v>74894.02036627724</v>
      </c>
      <c r="G1055" s="43">
        <f t="shared" si="76"/>
        <v>27561.000350489423</v>
      </c>
      <c r="H1055" s="207"/>
      <c r="I1055" s="207" t="s">
        <v>12545</v>
      </c>
      <c r="J1055" s="66" t="s">
        <v>12548</v>
      </c>
      <c r="K1055" s="207"/>
      <c r="L1055" s="66"/>
      <c r="M1055" s="201" t="s">
        <v>12550</v>
      </c>
      <c r="N1055" s="207"/>
      <c r="O1055" s="38"/>
    </row>
    <row r="1056" spans="1:15" ht="72" customHeight="1" x14ac:dyDescent="0.3">
      <c r="A1056" s="242">
        <v>1036</v>
      </c>
      <c r="B1056" s="246" t="s">
        <v>12481</v>
      </c>
      <c r="C1056" s="246" t="s">
        <v>13326</v>
      </c>
      <c r="D1056" s="88"/>
      <c r="E1056" s="242">
        <v>38.6</v>
      </c>
      <c r="F1056" s="22">
        <f t="shared" si="75"/>
        <v>106675.61572466057</v>
      </c>
      <c r="G1056" s="43">
        <f t="shared" si="76"/>
        <v>39256.627805494158</v>
      </c>
      <c r="H1056" s="207"/>
      <c r="I1056" s="207" t="s">
        <v>12545</v>
      </c>
      <c r="J1056" s="66" t="s">
        <v>12548</v>
      </c>
      <c r="K1056" s="207"/>
      <c r="L1056" s="66"/>
      <c r="M1056" s="201" t="s">
        <v>12550</v>
      </c>
      <c r="N1056" s="207"/>
      <c r="O1056" s="38"/>
    </row>
    <row r="1057" spans="1:15" ht="72" customHeight="1" x14ac:dyDescent="0.3">
      <c r="A1057" s="242">
        <v>1037</v>
      </c>
      <c r="B1057" s="246" t="s">
        <v>12481</v>
      </c>
      <c r="C1057" s="246" t="s">
        <v>13327</v>
      </c>
      <c r="D1057" s="88"/>
      <c r="E1057" s="242">
        <v>39.4</v>
      </c>
      <c r="F1057" s="22">
        <f t="shared" si="75"/>
        <v>108886.50931480897</v>
      </c>
      <c r="G1057" s="43">
        <f t="shared" si="76"/>
        <v>40070.23667192927</v>
      </c>
      <c r="H1057" s="207"/>
      <c r="I1057" s="207" t="s">
        <v>12545</v>
      </c>
      <c r="J1057" s="245" t="s">
        <v>12548</v>
      </c>
      <c r="K1057" s="207"/>
      <c r="L1057" s="66"/>
      <c r="M1057" s="201" t="s">
        <v>12550</v>
      </c>
      <c r="N1057" s="207"/>
      <c r="O1057" s="38" t="s">
        <v>21603</v>
      </c>
    </row>
    <row r="1058" spans="1:15" ht="72" customHeight="1" x14ac:dyDescent="0.3">
      <c r="A1058" s="242">
        <v>1038</v>
      </c>
      <c r="B1058" s="246" t="s">
        <v>12481</v>
      </c>
      <c r="C1058" s="246" t="s">
        <v>13328</v>
      </c>
      <c r="D1058" s="88"/>
      <c r="E1058" s="242">
        <v>39.299999999999997</v>
      </c>
      <c r="F1058" s="22">
        <f t="shared" si="75"/>
        <v>108610.14761604041</v>
      </c>
      <c r="G1058" s="43">
        <f t="shared" si="76"/>
        <v>39968.535563624879</v>
      </c>
      <c r="H1058" s="207"/>
      <c r="I1058" s="207" t="s">
        <v>12545</v>
      </c>
      <c r="J1058" s="66" t="s">
        <v>12548</v>
      </c>
      <c r="K1058" s="207"/>
      <c r="L1058" s="66"/>
      <c r="M1058" s="201" t="s">
        <v>12550</v>
      </c>
      <c r="N1058" s="207"/>
      <c r="O1058" s="38" t="s">
        <v>21604</v>
      </c>
    </row>
    <row r="1059" spans="1:15" ht="72" customHeight="1" x14ac:dyDescent="0.3">
      <c r="A1059" s="242">
        <v>1039</v>
      </c>
      <c r="B1059" s="246" t="s">
        <v>12481</v>
      </c>
      <c r="C1059" s="246" t="s">
        <v>13329</v>
      </c>
      <c r="D1059" s="88"/>
      <c r="E1059" s="242">
        <v>27.6</v>
      </c>
      <c r="F1059" s="22">
        <f t="shared" si="75"/>
        <v>76275.828860119989</v>
      </c>
      <c r="G1059" s="43">
        <f t="shared" si="76"/>
        <v>28069.505892011366</v>
      </c>
      <c r="H1059" s="207"/>
      <c r="I1059" s="207" t="s">
        <v>12545</v>
      </c>
      <c r="J1059" s="66" t="s">
        <v>12548</v>
      </c>
      <c r="K1059" s="207"/>
      <c r="L1059" s="66"/>
      <c r="M1059" s="201" t="s">
        <v>12550</v>
      </c>
      <c r="N1059" s="207"/>
      <c r="O1059" s="38" t="s">
        <v>21605</v>
      </c>
    </row>
    <row r="1060" spans="1:15" ht="72" customHeight="1" x14ac:dyDescent="0.3">
      <c r="A1060" s="242">
        <v>1040</v>
      </c>
      <c r="B1060" s="246" t="s">
        <v>12481</v>
      </c>
      <c r="C1060" s="246" t="s">
        <v>13330</v>
      </c>
      <c r="D1060" s="88"/>
      <c r="E1060" s="242">
        <v>26.4</v>
      </c>
      <c r="F1060" s="22">
        <f t="shared" si="75"/>
        <v>72959.488474897385</v>
      </c>
      <c r="G1060" s="43">
        <f t="shared" si="76"/>
        <v>26849.092592358695</v>
      </c>
      <c r="H1060" s="207"/>
      <c r="I1060" s="207" t="s">
        <v>12545</v>
      </c>
      <c r="J1060" s="66" t="s">
        <v>12548</v>
      </c>
      <c r="K1060" s="207"/>
      <c r="L1060" s="66"/>
      <c r="M1060" s="201" t="s">
        <v>12550</v>
      </c>
      <c r="N1060" s="207"/>
      <c r="O1060" s="38"/>
    </row>
    <row r="1061" spans="1:15" ht="144" customHeight="1" x14ac:dyDescent="0.3">
      <c r="A1061" s="242">
        <v>1041</v>
      </c>
      <c r="B1061" s="246" t="s">
        <v>12481</v>
      </c>
      <c r="C1061" s="246" t="s">
        <v>13331</v>
      </c>
      <c r="D1061" s="88" t="s">
        <v>21180</v>
      </c>
      <c r="E1061" s="242">
        <v>25.8</v>
      </c>
      <c r="F1061" s="22">
        <f t="shared" si="75"/>
        <v>71301.318282286084</v>
      </c>
      <c r="G1061" s="43">
        <f t="shared" si="76"/>
        <v>26238.885942532364</v>
      </c>
      <c r="H1061" s="207">
        <v>835228.53</v>
      </c>
      <c r="I1061" s="207" t="s">
        <v>12545</v>
      </c>
      <c r="J1061" s="245" t="s">
        <v>21181</v>
      </c>
      <c r="K1061" s="207" t="s">
        <v>21329</v>
      </c>
      <c r="L1061" s="66" t="s">
        <v>21424</v>
      </c>
      <c r="M1061" s="201" t="s">
        <v>12550</v>
      </c>
      <c r="N1061" s="207"/>
      <c r="O1061" s="38" t="s">
        <v>20548</v>
      </c>
    </row>
    <row r="1062" spans="1:15" ht="72" customHeight="1" x14ac:dyDescent="0.3">
      <c r="A1062" s="242">
        <v>1042</v>
      </c>
      <c r="B1062" s="246" t="s">
        <v>12481</v>
      </c>
      <c r="C1062" s="246" t="s">
        <v>13332</v>
      </c>
      <c r="D1062" s="88"/>
      <c r="E1062" s="242">
        <v>27.5</v>
      </c>
      <c r="F1062" s="22">
        <f t="shared" si="75"/>
        <v>75999.467161351437</v>
      </c>
      <c r="G1062" s="43">
        <f t="shared" si="76"/>
        <v>27967.804783706975</v>
      </c>
      <c r="H1062" s="207"/>
      <c r="I1062" s="207" t="s">
        <v>12545</v>
      </c>
      <c r="J1062" s="66" t="s">
        <v>12548</v>
      </c>
      <c r="K1062" s="207" t="s">
        <v>16258</v>
      </c>
      <c r="L1062" s="66" t="s">
        <v>16259</v>
      </c>
      <c r="M1062" s="201" t="s">
        <v>12550</v>
      </c>
      <c r="N1062" s="207"/>
      <c r="O1062" s="38"/>
    </row>
    <row r="1063" spans="1:15" ht="72" customHeight="1" x14ac:dyDescent="0.3">
      <c r="A1063" s="2">
        <v>1043</v>
      </c>
      <c r="B1063" s="246" t="s">
        <v>12481</v>
      </c>
      <c r="C1063" s="246" t="s">
        <v>13333</v>
      </c>
      <c r="D1063" s="88"/>
      <c r="E1063" s="242">
        <v>38.4</v>
      </c>
      <c r="F1063" s="22">
        <f t="shared" si="75"/>
        <v>106122.89232712347</v>
      </c>
      <c r="G1063" s="43">
        <f t="shared" si="76"/>
        <v>39053.225588885376</v>
      </c>
      <c r="H1063" s="207"/>
      <c r="I1063" s="207" t="s">
        <v>12545</v>
      </c>
      <c r="J1063" s="245" t="s">
        <v>12548</v>
      </c>
      <c r="K1063" s="207"/>
      <c r="L1063" s="66"/>
      <c r="M1063" s="201" t="s">
        <v>12550</v>
      </c>
      <c r="N1063" s="207"/>
      <c r="O1063" s="38"/>
    </row>
    <row r="1064" spans="1:15" ht="72" customHeight="1" x14ac:dyDescent="0.3">
      <c r="A1064" s="242">
        <v>1044</v>
      </c>
      <c r="B1064" s="246" t="s">
        <v>12480</v>
      </c>
      <c r="C1064" s="246" t="s">
        <v>13334</v>
      </c>
      <c r="D1064" s="88"/>
      <c r="E1064" s="242">
        <v>52.8</v>
      </c>
      <c r="F1064" s="45">
        <v>110847.3</v>
      </c>
      <c r="G1064" s="6">
        <v>38131.46</v>
      </c>
      <c r="H1064" s="207"/>
      <c r="I1064" s="207" t="s">
        <v>12545</v>
      </c>
      <c r="J1064" s="66" t="s">
        <v>12548</v>
      </c>
      <c r="K1064" s="207"/>
      <c r="L1064" s="66"/>
      <c r="M1064" s="201" t="s">
        <v>12550</v>
      </c>
      <c r="N1064" s="207"/>
      <c r="O1064" s="38" t="s">
        <v>21606</v>
      </c>
    </row>
    <row r="1065" spans="1:15" ht="72" customHeight="1" x14ac:dyDescent="0.3">
      <c r="A1065" s="242">
        <v>1045</v>
      </c>
      <c r="B1065" s="246" t="s">
        <v>12480</v>
      </c>
      <c r="C1065" s="246" t="s">
        <v>13335</v>
      </c>
      <c r="D1065" s="88"/>
      <c r="E1065" s="30">
        <v>41.1</v>
      </c>
      <c r="F1065" s="22">
        <f>513293.1/228*E1065</f>
        <v>92527.835131578948</v>
      </c>
      <c r="G1065" s="43">
        <f>234728.68/228*E1065</f>
        <v>42312.933105263161</v>
      </c>
      <c r="H1065" s="207"/>
      <c r="I1065" s="207" t="s">
        <v>12545</v>
      </c>
      <c r="J1065" s="66" t="s">
        <v>12548</v>
      </c>
      <c r="K1065" s="207"/>
      <c r="L1065" s="66"/>
      <c r="M1065" s="201" t="s">
        <v>12550</v>
      </c>
      <c r="N1065" s="207"/>
      <c r="O1065" s="38" t="s">
        <v>21607</v>
      </c>
    </row>
    <row r="1066" spans="1:15" ht="84" customHeight="1" x14ac:dyDescent="0.3">
      <c r="A1066" s="242">
        <v>1046</v>
      </c>
      <c r="B1066" s="246" t="s">
        <v>12480</v>
      </c>
      <c r="C1066" s="246" t="s">
        <v>13336</v>
      </c>
      <c r="D1066" s="88"/>
      <c r="E1066" s="30">
        <v>43.9</v>
      </c>
      <c r="F1066" s="22">
        <f>513293.1/228*E1066</f>
        <v>98831.434605263159</v>
      </c>
      <c r="G1066" s="43">
        <f>234728.68/228*E1066</f>
        <v>45195.566017543853</v>
      </c>
      <c r="H1066" s="207"/>
      <c r="I1066" s="207" t="s">
        <v>12545</v>
      </c>
      <c r="J1066" s="245" t="s">
        <v>12548</v>
      </c>
      <c r="K1066" s="26">
        <v>42446</v>
      </c>
      <c r="L1066" s="66" t="s">
        <v>15065</v>
      </c>
      <c r="M1066" s="201" t="s">
        <v>12550</v>
      </c>
      <c r="N1066" s="207"/>
      <c r="O1066" s="38"/>
    </row>
    <row r="1067" spans="1:15" ht="72" customHeight="1" x14ac:dyDescent="0.3">
      <c r="A1067" s="242">
        <v>1047</v>
      </c>
      <c r="B1067" s="246" t="s">
        <v>12480</v>
      </c>
      <c r="C1067" s="246" t="s">
        <v>13337</v>
      </c>
      <c r="D1067" s="88"/>
      <c r="E1067" s="30">
        <v>42.1</v>
      </c>
      <c r="F1067" s="22">
        <f>513293.1/228*E1067</f>
        <v>94779.120657894731</v>
      </c>
      <c r="G1067" s="43">
        <f>234728.68/228*E1067</f>
        <v>43342.44485964912</v>
      </c>
      <c r="H1067" s="207"/>
      <c r="I1067" s="207" t="s">
        <v>12545</v>
      </c>
      <c r="J1067" s="66" t="s">
        <v>12548</v>
      </c>
      <c r="K1067" s="207"/>
      <c r="L1067" s="66"/>
      <c r="M1067" s="201" t="s">
        <v>12550</v>
      </c>
      <c r="N1067" s="207"/>
      <c r="O1067" s="38"/>
    </row>
    <row r="1068" spans="1:15" ht="72" customHeight="1" x14ac:dyDescent="0.3">
      <c r="A1068" s="242">
        <v>1048</v>
      </c>
      <c r="B1068" s="246" t="s">
        <v>12480</v>
      </c>
      <c r="C1068" s="246" t="s">
        <v>13338</v>
      </c>
      <c r="D1068" s="88"/>
      <c r="E1068" s="30">
        <v>55.1</v>
      </c>
      <c r="F1068" s="22">
        <f>513293.1/228*E1068</f>
        <v>124045.8325</v>
      </c>
      <c r="G1068" s="43">
        <f>234728.68/228*E1068</f>
        <v>56726.097666666668</v>
      </c>
      <c r="H1068" s="207"/>
      <c r="I1068" s="207" t="s">
        <v>12545</v>
      </c>
      <c r="J1068" s="66" t="s">
        <v>12548</v>
      </c>
      <c r="K1068" s="207"/>
      <c r="L1068" s="66"/>
      <c r="M1068" s="201" t="s">
        <v>12550</v>
      </c>
      <c r="N1068" s="207"/>
      <c r="O1068" s="38" t="s">
        <v>21608</v>
      </c>
    </row>
    <row r="1069" spans="1:15" ht="144" customHeight="1" x14ac:dyDescent="0.3">
      <c r="A1069" s="242">
        <v>1049</v>
      </c>
      <c r="B1069" s="246" t="s">
        <v>12480</v>
      </c>
      <c r="C1069" s="246" t="s">
        <v>13339</v>
      </c>
      <c r="D1069" s="88"/>
      <c r="E1069" s="30">
        <v>45.8</v>
      </c>
      <c r="F1069" s="45">
        <f>513293.1/228*E1069</f>
        <v>103108.87710526315</v>
      </c>
      <c r="G1069" s="6">
        <f>234728.68/228*E1069</f>
        <v>47151.638350877191</v>
      </c>
      <c r="H1069" s="207"/>
      <c r="I1069" s="207" t="s">
        <v>12545</v>
      </c>
      <c r="J1069" s="66" t="s">
        <v>12548</v>
      </c>
      <c r="K1069" s="207" t="s">
        <v>20251</v>
      </c>
      <c r="L1069" s="66" t="s">
        <v>20252</v>
      </c>
      <c r="M1069" s="201" t="s">
        <v>12550</v>
      </c>
      <c r="N1069" s="207"/>
      <c r="O1069" s="38" t="s">
        <v>21609</v>
      </c>
    </row>
    <row r="1070" spans="1:15" ht="72" customHeight="1" x14ac:dyDescent="0.3">
      <c r="A1070" s="242">
        <v>1050</v>
      </c>
      <c r="B1070" s="246" t="s">
        <v>12480</v>
      </c>
      <c r="C1070" s="246" t="s">
        <v>13340</v>
      </c>
      <c r="D1070" s="88"/>
      <c r="E1070" s="242">
        <v>45.3</v>
      </c>
      <c r="F1070" s="22">
        <f>185304.2/90.2*E1070</f>
        <v>93062.97405764967</v>
      </c>
      <c r="G1070" s="43">
        <f>112825.79/90.2*E1070</f>
        <v>56663.063048780481</v>
      </c>
      <c r="H1070" s="207"/>
      <c r="I1070" s="207" t="s">
        <v>12545</v>
      </c>
      <c r="J1070" s="245" t="s">
        <v>12548</v>
      </c>
      <c r="K1070" s="207"/>
      <c r="L1070" s="66"/>
      <c r="M1070" s="201" t="s">
        <v>12550</v>
      </c>
      <c r="N1070" s="207"/>
      <c r="O1070" s="38"/>
    </row>
    <row r="1071" spans="1:15" ht="72" customHeight="1" x14ac:dyDescent="0.3">
      <c r="A1071" s="242">
        <v>1051</v>
      </c>
      <c r="B1071" s="246" t="s">
        <v>12480</v>
      </c>
      <c r="C1071" s="246" t="s">
        <v>13341</v>
      </c>
      <c r="D1071" s="88"/>
      <c r="E1071" s="242">
        <v>44.9</v>
      </c>
      <c r="F1071" s="22">
        <f>185304.2/90.2*E1071</f>
        <v>92241.225942350342</v>
      </c>
      <c r="G1071" s="43">
        <f>112825.79/90.2*E1071</f>
        <v>56162.726951219505</v>
      </c>
      <c r="H1071" s="207"/>
      <c r="I1071" s="207" t="s">
        <v>12545</v>
      </c>
      <c r="J1071" s="66" t="s">
        <v>12548</v>
      </c>
      <c r="K1071" s="207"/>
      <c r="L1071" s="66"/>
      <c r="M1071" s="201" t="s">
        <v>12550</v>
      </c>
      <c r="N1071" s="207"/>
      <c r="O1071" s="38" t="s">
        <v>21610</v>
      </c>
    </row>
    <row r="1072" spans="1:15" ht="72" customHeight="1" x14ac:dyDescent="0.3">
      <c r="A1072" s="242">
        <v>1052</v>
      </c>
      <c r="B1072" s="246" t="s">
        <v>12481</v>
      </c>
      <c r="C1072" s="246" t="s">
        <v>13342</v>
      </c>
      <c r="D1072" s="88"/>
      <c r="E1072" s="242">
        <v>28</v>
      </c>
      <c r="F1072" s="22">
        <f>261381.1/87.6*E1072</f>
        <v>83546.470319634711</v>
      </c>
      <c r="G1072" s="43">
        <f>100370.33/87.6*E1072</f>
        <v>32081.840639269409</v>
      </c>
      <c r="H1072" s="207"/>
      <c r="I1072" s="207" t="s">
        <v>12545</v>
      </c>
      <c r="J1072" s="66" t="s">
        <v>12548</v>
      </c>
      <c r="K1072" s="207"/>
      <c r="L1072" s="66"/>
      <c r="M1072" s="201" t="s">
        <v>12550</v>
      </c>
      <c r="N1072" s="207"/>
      <c r="O1072" s="38"/>
    </row>
    <row r="1073" spans="1:15" ht="72" customHeight="1" x14ac:dyDescent="0.3">
      <c r="A1073" s="242">
        <v>1053</v>
      </c>
      <c r="B1073" s="246" t="s">
        <v>12481</v>
      </c>
      <c r="C1073" s="246" t="s">
        <v>13343</v>
      </c>
      <c r="D1073" s="88"/>
      <c r="E1073" s="242">
        <v>27.6</v>
      </c>
      <c r="F1073" s="22">
        <f>261381.1/87.6*E1073</f>
        <v>82352.949315068501</v>
      </c>
      <c r="G1073" s="43">
        <f>100370.33/87.6*E1073</f>
        <v>31623.528630136989</v>
      </c>
      <c r="H1073" s="207"/>
      <c r="I1073" s="207" t="s">
        <v>12545</v>
      </c>
      <c r="J1073" s="245" t="s">
        <v>12548</v>
      </c>
      <c r="K1073" s="207"/>
      <c r="L1073" s="66"/>
      <c r="M1073" s="201" t="s">
        <v>12550</v>
      </c>
      <c r="N1073" s="207"/>
      <c r="O1073" s="38" t="s">
        <v>21611</v>
      </c>
    </row>
    <row r="1074" spans="1:15" ht="72" customHeight="1" x14ac:dyDescent="0.3">
      <c r="A1074" s="242">
        <v>1054</v>
      </c>
      <c r="B1074" s="246" t="s">
        <v>12481</v>
      </c>
      <c r="C1074" s="246" t="s">
        <v>13344</v>
      </c>
      <c r="D1074" s="88"/>
      <c r="E1074" s="242">
        <v>32</v>
      </c>
      <c r="F1074" s="22">
        <f>261381.1/87.6*E1074</f>
        <v>95481.680365296808</v>
      </c>
      <c r="G1074" s="43">
        <f>100370.33/87.6*E1074</f>
        <v>36664.960730593608</v>
      </c>
      <c r="H1074" s="207"/>
      <c r="I1074" s="207" t="s">
        <v>12545</v>
      </c>
      <c r="J1074" s="66" t="s">
        <v>12548</v>
      </c>
      <c r="K1074" s="207"/>
      <c r="L1074" s="66"/>
      <c r="M1074" s="201" t="s">
        <v>12550</v>
      </c>
      <c r="N1074" s="207"/>
      <c r="O1074" s="38"/>
    </row>
    <row r="1075" spans="1:15" ht="96" customHeight="1" x14ac:dyDescent="0.3">
      <c r="A1075" s="242">
        <v>1055</v>
      </c>
      <c r="B1075" s="246" t="s">
        <v>12482</v>
      </c>
      <c r="C1075" s="246" t="s">
        <v>13345</v>
      </c>
      <c r="D1075" s="88" t="s">
        <v>20246</v>
      </c>
      <c r="E1075" s="242">
        <v>61.1</v>
      </c>
      <c r="F1075" s="22">
        <f>353693/170*E1075</f>
        <v>127121.42529411765</v>
      </c>
      <c r="G1075" s="43">
        <f>141477.23/170*E1075</f>
        <v>50848.580900000001</v>
      </c>
      <c r="H1075" s="25">
        <v>1159395.1100000001</v>
      </c>
      <c r="I1075" s="207" t="s">
        <v>12545</v>
      </c>
      <c r="J1075" s="245" t="s">
        <v>20280</v>
      </c>
      <c r="K1075" s="207"/>
      <c r="L1075" s="66"/>
      <c r="M1075" s="201" t="s">
        <v>12550</v>
      </c>
      <c r="N1075" s="207"/>
      <c r="O1075" s="38" t="s">
        <v>22965</v>
      </c>
    </row>
    <row r="1076" spans="1:15" ht="72" customHeight="1" x14ac:dyDescent="0.3">
      <c r="A1076" s="242">
        <v>1056</v>
      </c>
      <c r="B1076" s="246" t="s">
        <v>12480</v>
      </c>
      <c r="C1076" s="246" t="s">
        <v>13346</v>
      </c>
      <c r="D1076" s="88" t="s">
        <v>20247</v>
      </c>
      <c r="E1076" s="242">
        <v>48.6</v>
      </c>
      <c r="F1076" s="22">
        <f>353693/170*E1076</f>
        <v>101114.58705882353</v>
      </c>
      <c r="G1076" s="43">
        <f>141477.23/170*E1076</f>
        <v>40445.843400000005</v>
      </c>
      <c r="H1076" s="25">
        <v>922202.98</v>
      </c>
      <c r="I1076" s="207" t="s">
        <v>12545</v>
      </c>
      <c r="J1076" s="66" t="s">
        <v>20281</v>
      </c>
      <c r="K1076" s="207"/>
      <c r="L1076" s="66"/>
      <c r="M1076" s="201" t="s">
        <v>12550</v>
      </c>
      <c r="N1076" s="207"/>
      <c r="O1076" s="38" t="s">
        <v>22966</v>
      </c>
    </row>
    <row r="1077" spans="1:15" ht="84" customHeight="1" x14ac:dyDescent="0.3">
      <c r="A1077" s="242">
        <v>1057</v>
      </c>
      <c r="B1077" s="246" t="s">
        <v>12482</v>
      </c>
      <c r="C1077" s="246" t="s">
        <v>13347</v>
      </c>
      <c r="D1077" s="88" t="s">
        <v>20248</v>
      </c>
      <c r="E1077" s="242">
        <v>60.3</v>
      </c>
      <c r="F1077" s="22">
        <f>353693/170*E1077</f>
        <v>125456.98764705882</v>
      </c>
      <c r="G1077" s="43">
        <f>141477.23/170*E1077</f>
        <v>50182.805699999997</v>
      </c>
      <c r="H1077" s="25">
        <v>1144214.81</v>
      </c>
      <c r="I1077" s="207" t="s">
        <v>12545</v>
      </c>
      <c r="J1077" s="66" t="s">
        <v>20282</v>
      </c>
      <c r="K1077" s="207"/>
      <c r="L1077" s="66"/>
      <c r="M1077" s="201" t="s">
        <v>12550</v>
      </c>
      <c r="N1077" s="207"/>
      <c r="O1077" s="38" t="s">
        <v>22967</v>
      </c>
    </row>
    <row r="1078" spans="1:15" ht="72" customHeight="1" x14ac:dyDescent="0.3">
      <c r="A1078" s="242">
        <v>1058</v>
      </c>
      <c r="B1078" s="246" t="s">
        <v>12480</v>
      </c>
      <c r="C1078" s="246" t="s">
        <v>13348</v>
      </c>
      <c r="D1078" s="88"/>
      <c r="E1078" s="242">
        <v>41.3</v>
      </c>
      <c r="F1078" s="22">
        <f>580660.5/153.2*E1078</f>
        <v>156535.7614229765</v>
      </c>
      <c r="G1078" s="43">
        <f>181166.08/153.2*E1078</f>
        <v>48839.158642297647</v>
      </c>
      <c r="H1078" s="207"/>
      <c r="I1078" s="207" t="s">
        <v>12545</v>
      </c>
      <c r="J1078" s="66" t="s">
        <v>12548</v>
      </c>
      <c r="K1078" s="207"/>
      <c r="L1078" s="66"/>
      <c r="M1078" s="201" t="s">
        <v>12550</v>
      </c>
      <c r="N1078" s="207"/>
      <c r="O1078" s="38"/>
    </row>
    <row r="1079" spans="1:15" ht="84" customHeight="1" x14ac:dyDescent="0.3">
      <c r="A1079" s="242">
        <v>1059</v>
      </c>
      <c r="B1079" s="246" t="s">
        <v>12480</v>
      </c>
      <c r="C1079" s="246" t="s">
        <v>13349</v>
      </c>
      <c r="D1079" s="88" t="s">
        <v>20131</v>
      </c>
      <c r="E1079" s="242">
        <v>43.8</v>
      </c>
      <c r="F1079" s="22">
        <f>580660.5/153.2*E1079</f>
        <v>166011.29177545692</v>
      </c>
      <c r="G1079" s="43">
        <f>181166.08/153.2*E1079</f>
        <v>51795.524177545689</v>
      </c>
      <c r="H1079" s="207"/>
      <c r="I1079" s="207" t="s">
        <v>12545</v>
      </c>
      <c r="J1079" s="66" t="s">
        <v>12548</v>
      </c>
      <c r="K1079" s="26">
        <v>42342</v>
      </c>
      <c r="L1079" s="66" t="s">
        <v>20130</v>
      </c>
      <c r="M1079" s="201" t="s">
        <v>12550</v>
      </c>
      <c r="N1079" s="207"/>
      <c r="O1079" s="38"/>
    </row>
    <row r="1080" spans="1:15" ht="72" customHeight="1" x14ac:dyDescent="0.3">
      <c r="A1080" s="242">
        <v>1060</v>
      </c>
      <c r="B1080" s="246" t="s">
        <v>12480</v>
      </c>
      <c r="C1080" s="246" t="s">
        <v>13350</v>
      </c>
      <c r="D1080" s="88"/>
      <c r="E1080" s="2">
        <v>40.4</v>
      </c>
      <c r="F1080" s="22">
        <f>580660.5/153.2*E1080</f>
        <v>153124.57049608356</v>
      </c>
      <c r="G1080" s="43">
        <f>181166.08/153.2*E1080</f>
        <v>47774.867049608358</v>
      </c>
      <c r="H1080" s="207"/>
      <c r="I1080" s="207" t="s">
        <v>12545</v>
      </c>
      <c r="J1080" s="245" t="s">
        <v>12548</v>
      </c>
      <c r="K1080" s="207"/>
      <c r="L1080" s="66"/>
      <c r="M1080" s="201" t="s">
        <v>12550</v>
      </c>
      <c r="N1080" s="207"/>
      <c r="O1080" s="38" t="s">
        <v>21612</v>
      </c>
    </row>
    <row r="1081" spans="1:15" ht="72" customHeight="1" x14ac:dyDescent="0.3">
      <c r="A1081" s="242">
        <v>1061</v>
      </c>
      <c r="B1081" s="246" t="s">
        <v>12481</v>
      </c>
      <c r="C1081" s="246" t="s">
        <v>13351</v>
      </c>
      <c r="D1081" s="88"/>
      <c r="E1081" s="242">
        <v>27.7</v>
      </c>
      <c r="F1081" s="22">
        <f>580660.5/153.2*E1081</f>
        <v>104988.87630548303</v>
      </c>
      <c r="G1081" s="43">
        <f>181166.08/153.2*E1081</f>
        <v>32756.530130548304</v>
      </c>
      <c r="H1081" s="207"/>
      <c r="I1081" s="207" t="s">
        <v>12545</v>
      </c>
      <c r="J1081" s="66" t="s">
        <v>12548</v>
      </c>
      <c r="K1081" s="207"/>
      <c r="L1081" s="66"/>
      <c r="M1081" s="201" t="s">
        <v>12550</v>
      </c>
      <c r="N1081" s="207"/>
      <c r="O1081" s="38"/>
    </row>
    <row r="1082" spans="1:15" ht="72" customHeight="1" x14ac:dyDescent="0.3">
      <c r="A1082" s="242">
        <v>1062</v>
      </c>
      <c r="B1082" s="246" t="s">
        <v>12480</v>
      </c>
      <c r="C1082" s="246" t="s">
        <v>13352</v>
      </c>
      <c r="D1082" s="88"/>
      <c r="E1082" s="30">
        <v>41.4</v>
      </c>
      <c r="F1082" s="22">
        <f>259083.1/60*E1082</f>
        <v>178767.33900000001</v>
      </c>
      <c r="G1082" s="43">
        <f>66325.99/60*E1082</f>
        <v>45764.933100000002</v>
      </c>
      <c r="H1082" s="207"/>
      <c r="I1082" s="207" t="s">
        <v>12545</v>
      </c>
      <c r="J1082" s="66" t="s">
        <v>12548</v>
      </c>
      <c r="K1082" s="207"/>
      <c r="L1082" s="66"/>
      <c r="M1082" s="201" t="s">
        <v>12550</v>
      </c>
      <c r="N1082" s="207"/>
      <c r="O1082" s="38" t="s">
        <v>21613</v>
      </c>
    </row>
    <row r="1083" spans="1:15" ht="72" customHeight="1" x14ac:dyDescent="0.3">
      <c r="A1083" s="242">
        <v>1063</v>
      </c>
      <c r="B1083" s="246" t="s">
        <v>12475</v>
      </c>
      <c r="C1083" s="246" t="s">
        <v>13353</v>
      </c>
      <c r="D1083" s="88"/>
      <c r="E1083" s="30">
        <v>18.600000000000001</v>
      </c>
      <c r="F1083" s="22">
        <f>259083.1/60*E1083</f>
        <v>80315.761000000013</v>
      </c>
      <c r="G1083" s="43">
        <f>66325.99/60*E1083</f>
        <v>20561.056900000003</v>
      </c>
      <c r="H1083" s="207"/>
      <c r="I1083" s="207" t="s">
        <v>12545</v>
      </c>
      <c r="J1083" s="66" t="s">
        <v>12548</v>
      </c>
      <c r="K1083" s="207"/>
      <c r="L1083" s="66"/>
      <c r="M1083" s="201" t="s">
        <v>12550</v>
      </c>
      <c r="N1083" s="207"/>
      <c r="O1083" s="38"/>
    </row>
    <row r="1084" spans="1:15" ht="72" customHeight="1" x14ac:dyDescent="0.3">
      <c r="A1084" s="242">
        <v>1064</v>
      </c>
      <c r="B1084" s="246" t="s">
        <v>12482</v>
      </c>
      <c r="C1084" s="246" t="s">
        <v>13354</v>
      </c>
      <c r="D1084" s="88"/>
      <c r="E1084" s="242">
        <v>69.7</v>
      </c>
      <c r="F1084" s="22">
        <f>381605.1/190.2*E1084</f>
        <v>139841.61656151421</v>
      </c>
      <c r="G1084" s="43">
        <f>91585.21/190.2*E1084</f>
        <v>33561.982844374346</v>
      </c>
      <c r="H1084" s="207"/>
      <c r="I1084" s="207" t="s">
        <v>12545</v>
      </c>
      <c r="J1084" s="66" t="s">
        <v>12548</v>
      </c>
      <c r="K1084" s="207"/>
      <c r="L1084" s="66"/>
      <c r="M1084" s="201" t="s">
        <v>12550</v>
      </c>
      <c r="N1084" s="207"/>
      <c r="O1084" s="38" t="s">
        <v>21614</v>
      </c>
    </row>
    <row r="1085" spans="1:15" ht="84" customHeight="1" x14ac:dyDescent="0.3">
      <c r="A1085" s="242">
        <v>1065</v>
      </c>
      <c r="B1085" s="246" t="s">
        <v>12480</v>
      </c>
      <c r="C1085" s="246" t="s">
        <v>13355</v>
      </c>
      <c r="D1085" s="88"/>
      <c r="E1085" s="242">
        <v>53.8</v>
      </c>
      <c r="F1085" s="22">
        <f>381605.1/190.2*E1085</f>
        <v>107940.87476340693</v>
      </c>
      <c r="G1085" s="43">
        <f>91585.21/190.2*E1085</f>
        <v>25905.805983175607</v>
      </c>
      <c r="H1085" s="207"/>
      <c r="I1085" s="207" t="s">
        <v>12545</v>
      </c>
      <c r="J1085" s="66" t="s">
        <v>12548</v>
      </c>
      <c r="K1085" s="26">
        <v>42798</v>
      </c>
      <c r="L1085" s="66" t="s">
        <v>18171</v>
      </c>
      <c r="M1085" s="201" t="s">
        <v>12550</v>
      </c>
      <c r="N1085" s="207"/>
      <c r="O1085" s="38"/>
    </row>
    <row r="1086" spans="1:15" ht="72" customHeight="1" x14ac:dyDescent="0.3">
      <c r="A1086" s="242">
        <v>1066</v>
      </c>
      <c r="B1086" s="246" t="s">
        <v>12482</v>
      </c>
      <c r="C1086" s="246" t="s">
        <v>13356</v>
      </c>
      <c r="D1086" s="88"/>
      <c r="E1086" s="242">
        <v>66.7</v>
      </c>
      <c r="F1086" s="22">
        <f>381605.1/190.2*E1086</f>
        <v>133822.60867507887</v>
      </c>
      <c r="G1086" s="43">
        <f>91585.21/190.2*E1086</f>
        <v>32117.421172450056</v>
      </c>
      <c r="H1086" s="207"/>
      <c r="I1086" s="207" t="s">
        <v>12545</v>
      </c>
      <c r="J1086" s="66" t="s">
        <v>12548</v>
      </c>
      <c r="K1086" s="207"/>
      <c r="L1086" s="66"/>
      <c r="M1086" s="201" t="s">
        <v>12550</v>
      </c>
      <c r="N1086" s="207"/>
      <c r="O1086" s="38"/>
    </row>
    <row r="1087" spans="1:15" ht="72" customHeight="1" x14ac:dyDescent="0.3">
      <c r="A1087" s="242">
        <v>1067</v>
      </c>
      <c r="B1087" s="246" t="s">
        <v>12480</v>
      </c>
      <c r="C1087" s="246" t="s">
        <v>13357</v>
      </c>
      <c r="D1087" s="88"/>
      <c r="E1087" s="242">
        <v>40.1</v>
      </c>
      <c r="F1087" s="22">
        <f>172782.5/89.9*E1087</f>
        <v>77069.835928809785</v>
      </c>
      <c r="G1087" s="43">
        <f>45614.58/89.9*E1087</f>
        <v>20346.436685205783</v>
      </c>
      <c r="H1087" s="207"/>
      <c r="I1087" s="207" t="s">
        <v>12545</v>
      </c>
      <c r="J1087" s="66" t="s">
        <v>12548</v>
      </c>
      <c r="K1087" s="207"/>
      <c r="L1087" s="66"/>
      <c r="M1087" s="201" t="s">
        <v>12550</v>
      </c>
      <c r="N1087" s="207"/>
      <c r="O1087" s="38" t="s">
        <v>21615</v>
      </c>
    </row>
    <row r="1088" spans="1:15" ht="72" customHeight="1" x14ac:dyDescent="0.3">
      <c r="A1088" s="242">
        <v>1068</v>
      </c>
      <c r="B1088" s="246" t="s">
        <v>12480</v>
      </c>
      <c r="C1088" s="246" t="s">
        <v>13358</v>
      </c>
      <c r="D1088" s="88"/>
      <c r="E1088" s="242">
        <v>49.8</v>
      </c>
      <c r="F1088" s="22">
        <f>172782.5/89.9*E1088</f>
        <v>95712.6640711902</v>
      </c>
      <c r="G1088" s="43">
        <f>45614.58/89.9*E1088</f>
        <v>25268.143314794212</v>
      </c>
      <c r="H1088" s="207"/>
      <c r="I1088" s="207" t="s">
        <v>12545</v>
      </c>
      <c r="J1088" s="66" t="s">
        <v>12548</v>
      </c>
      <c r="K1088" s="207"/>
      <c r="L1088" s="66"/>
      <c r="M1088" s="201" t="s">
        <v>12550</v>
      </c>
      <c r="N1088" s="207"/>
      <c r="O1088" s="38"/>
    </row>
    <row r="1089" spans="1:15" ht="72" customHeight="1" x14ac:dyDescent="0.3">
      <c r="A1089" s="242">
        <v>1069</v>
      </c>
      <c r="B1089" s="246" t="s">
        <v>12481</v>
      </c>
      <c r="C1089" s="246" t="s">
        <v>13359</v>
      </c>
      <c r="D1089" s="88"/>
      <c r="E1089" s="242">
        <v>39.9</v>
      </c>
      <c r="F1089" s="45">
        <v>203951.3</v>
      </c>
      <c r="G1089" s="6">
        <v>57106.36</v>
      </c>
      <c r="H1089" s="207"/>
      <c r="I1089" s="207" t="s">
        <v>12545</v>
      </c>
      <c r="J1089" s="66" t="s">
        <v>12548</v>
      </c>
      <c r="K1089" s="207"/>
      <c r="L1089" s="66"/>
      <c r="M1089" s="201" t="s">
        <v>12550</v>
      </c>
      <c r="N1089" s="207"/>
      <c r="O1089" s="38" t="s">
        <v>21616</v>
      </c>
    </row>
    <row r="1090" spans="1:15" ht="72" customHeight="1" x14ac:dyDescent="0.3">
      <c r="A1090" s="242">
        <v>1070</v>
      </c>
      <c r="B1090" s="246" t="s">
        <v>12480</v>
      </c>
      <c r="C1090" s="246" t="s">
        <v>13360</v>
      </c>
      <c r="D1090" s="88"/>
      <c r="E1090" s="242">
        <v>53.5</v>
      </c>
      <c r="F1090" s="22">
        <f>702454.2/174.2*E1090</f>
        <v>215736.50803673937</v>
      </c>
      <c r="G1090" s="43">
        <f>202306.79/174.2*E1090</f>
        <v>62132.108295063153</v>
      </c>
      <c r="H1090" s="207"/>
      <c r="I1090" s="207" t="s">
        <v>12545</v>
      </c>
      <c r="J1090" s="245" t="s">
        <v>12548</v>
      </c>
      <c r="K1090" s="207"/>
      <c r="L1090" s="66"/>
      <c r="M1090" s="201" t="s">
        <v>12550</v>
      </c>
      <c r="N1090" s="207"/>
      <c r="O1090" s="38" t="s">
        <v>19896</v>
      </c>
    </row>
    <row r="1091" spans="1:15" ht="72" customHeight="1" x14ac:dyDescent="0.3">
      <c r="A1091" s="242">
        <v>1071</v>
      </c>
      <c r="B1091" s="246" t="s">
        <v>12480</v>
      </c>
      <c r="C1091" s="246" t="s">
        <v>13361</v>
      </c>
      <c r="D1091" s="88"/>
      <c r="E1091" s="242">
        <v>42.1</v>
      </c>
      <c r="F1091" s="22">
        <f>702454.2/174.2*E1091</f>
        <v>169766.48576349023</v>
      </c>
      <c r="G1091" s="43">
        <f>202306.79/174.2*E1091</f>
        <v>48892.743163031009</v>
      </c>
      <c r="H1091" s="207"/>
      <c r="I1091" s="207" t="s">
        <v>12545</v>
      </c>
      <c r="J1091" s="245" t="s">
        <v>12548</v>
      </c>
      <c r="K1091" s="207"/>
      <c r="L1091" s="66"/>
      <c r="M1091" s="201" t="s">
        <v>12550</v>
      </c>
      <c r="N1091" s="207"/>
      <c r="O1091" s="38"/>
    </row>
    <row r="1092" spans="1:15" ht="72" customHeight="1" x14ac:dyDescent="0.3">
      <c r="A1092" s="242">
        <v>1072</v>
      </c>
      <c r="B1092" s="246" t="s">
        <v>12480</v>
      </c>
      <c r="C1092" s="246" t="s">
        <v>13362</v>
      </c>
      <c r="D1092" s="88"/>
      <c r="E1092" s="2">
        <v>40</v>
      </c>
      <c r="F1092" s="22">
        <f>702454.2/174.2*E1092</f>
        <v>161298.32376578645</v>
      </c>
      <c r="G1092" s="43">
        <f>202306.79/174.2*E1092</f>
        <v>46453.912743972454</v>
      </c>
      <c r="H1092" s="207"/>
      <c r="I1092" s="207" t="s">
        <v>12545</v>
      </c>
      <c r="J1092" s="245" t="s">
        <v>12548</v>
      </c>
      <c r="K1092" s="207"/>
      <c r="L1092" s="66"/>
      <c r="M1092" s="201" t="s">
        <v>12550</v>
      </c>
      <c r="N1092" s="207"/>
      <c r="O1092" s="38" t="s">
        <v>21617</v>
      </c>
    </row>
    <row r="1093" spans="1:15" ht="84" customHeight="1" x14ac:dyDescent="0.3">
      <c r="A1093" s="242">
        <v>1073</v>
      </c>
      <c r="B1093" s="246" t="s">
        <v>12481</v>
      </c>
      <c r="C1093" s="246" t="s">
        <v>13363</v>
      </c>
      <c r="D1093" s="88"/>
      <c r="E1093" s="242">
        <v>38.6</v>
      </c>
      <c r="F1093" s="22">
        <f>702454.2/174.2*E1093</f>
        <v>155652.88243398393</v>
      </c>
      <c r="G1093" s="43">
        <f>202306.79/174.2*E1093</f>
        <v>44828.02579793342</v>
      </c>
      <c r="H1093" s="207"/>
      <c r="I1093" s="207" t="s">
        <v>12545</v>
      </c>
      <c r="J1093" s="66" t="s">
        <v>12548</v>
      </c>
      <c r="K1093" s="207"/>
      <c r="L1093" s="66"/>
      <c r="M1093" s="201" t="s">
        <v>12550</v>
      </c>
      <c r="N1093" s="207"/>
      <c r="O1093" s="38" t="s">
        <v>21618</v>
      </c>
    </row>
    <row r="1094" spans="1:15" ht="120" customHeight="1" x14ac:dyDescent="0.3">
      <c r="A1094" s="242">
        <v>1074</v>
      </c>
      <c r="B1094" s="246" t="s">
        <v>12480</v>
      </c>
      <c r="C1094" s="246" t="s">
        <v>13364</v>
      </c>
      <c r="D1094" s="88"/>
      <c r="E1094" s="242">
        <v>48.5</v>
      </c>
      <c r="F1094" s="22">
        <f>678691.2/80.7*E1094</f>
        <v>407887.52416356874</v>
      </c>
      <c r="G1094" s="43">
        <f>179174.48/80.7*E1094</f>
        <v>107682.30830235442</v>
      </c>
      <c r="H1094" s="207"/>
      <c r="I1094" s="207" t="s">
        <v>12545</v>
      </c>
      <c r="J1094" s="66" t="s">
        <v>12548</v>
      </c>
      <c r="K1094" s="207" t="s">
        <v>19495</v>
      </c>
      <c r="L1094" s="66" t="s">
        <v>19496</v>
      </c>
      <c r="M1094" s="201" t="s">
        <v>12550</v>
      </c>
      <c r="N1094" s="207"/>
      <c r="O1094" s="38" t="s">
        <v>20456</v>
      </c>
    </row>
    <row r="1095" spans="1:15" ht="72" customHeight="1" x14ac:dyDescent="0.3">
      <c r="A1095" s="242">
        <v>1075</v>
      </c>
      <c r="B1095" s="246" t="s">
        <v>12481</v>
      </c>
      <c r="C1095" s="246" t="s">
        <v>16655</v>
      </c>
      <c r="D1095" s="88"/>
      <c r="E1095" s="242">
        <v>32.200000000000003</v>
      </c>
      <c r="F1095" s="22">
        <f>678691.2/80.7*E1095</f>
        <v>270803.67583643127</v>
      </c>
      <c r="G1095" s="43">
        <f>179174.48/80.7*E1095</f>
        <v>71492.171697645608</v>
      </c>
      <c r="H1095" s="207"/>
      <c r="I1095" s="207" t="s">
        <v>12545</v>
      </c>
      <c r="J1095" s="66" t="s">
        <v>18596</v>
      </c>
      <c r="K1095" s="207"/>
      <c r="L1095" s="66"/>
      <c r="M1095" s="201" t="s">
        <v>12550</v>
      </c>
      <c r="N1095" s="207"/>
      <c r="O1095" s="38" t="s">
        <v>19889</v>
      </c>
    </row>
    <row r="1096" spans="1:15" ht="72" customHeight="1" x14ac:dyDescent="0.3">
      <c r="A1096" s="242">
        <v>1076</v>
      </c>
      <c r="B1096" s="246" t="s">
        <v>12480</v>
      </c>
      <c r="C1096" s="246" t="s">
        <v>13365</v>
      </c>
      <c r="D1096" s="88"/>
      <c r="E1096" s="242">
        <v>44.3</v>
      </c>
      <c r="F1096" s="22">
        <f>1049225.3/156.3*E1096</f>
        <v>297381.19507357641</v>
      </c>
      <c r="G1096" s="43">
        <f>107891.23/156.3*E1096</f>
        <v>30579.536078055018</v>
      </c>
      <c r="H1096" s="207"/>
      <c r="I1096" s="207" t="s">
        <v>12545</v>
      </c>
      <c r="J1096" s="66" t="s">
        <v>12548</v>
      </c>
      <c r="K1096" s="207"/>
      <c r="L1096" s="66"/>
      <c r="M1096" s="201" t="s">
        <v>12550</v>
      </c>
      <c r="N1096" s="207"/>
      <c r="O1096" s="38" t="s">
        <v>21619</v>
      </c>
    </row>
    <row r="1097" spans="1:15" ht="84" customHeight="1" x14ac:dyDescent="0.3">
      <c r="A1097" s="242">
        <v>1077</v>
      </c>
      <c r="B1097" s="246" t="s">
        <v>12480</v>
      </c>
      <c r="C1097" s="246" t="s">
        <v>13366</v>
      </c>
      <c r="D1097" s="88"/>
      <c r="E1097" s="242">
        <v>41.2</v>
      </c>
      <c r="F1097" s="22">
        <f>1049225.3/156.3*E1097</f>
        <v>276571.22431222012</v>
      </c>
      <c r="G1097" s="43">
        <f>107891.23/156.3*E1097</f>
        <v>28439.658835572616</v>
      </c>
      <c r="H1097" s="207"/>
      <c r="I1097" s="207" t="s">
        <v>12545</v>
      </c>
      <c r="J1097" s="66" t="s">
        <v>12548</v>
      </c>
      <c r="K1097" s="207" t="s">
        <v>16049</v>
      </c>
      <c r="L1097" s="66" t="s">
        <v>16050</v>
      </c>
      <c r="M1097" s="201" t="s">
        <v>12550</v>
      </c>
      <c r="N1097" s="207"/>
      <c r="O1097" s="38"/>
    </row>
    <row r="1098" spans="1:15" ht="96" customHeight="1" x14ac:dyDescent="0.3">
      <c r="A1098" s="2">
        <v>1078</v>
      </c>
      <c r="B1098" s="246" t="s">
        <v>12481</v>
      </c>
      <c r="C1098" s="246" t="s">
        <v>13367</v>
      </c>
      <c r="D1098" s="88"/>
      <c r="E1098" s="2">
        <v>29.6</v>
      </c>
      <c r="F1098" s="22">
        <f>1049225.3/156.3*E1098</f>
        <v>198701.65630198337</v>
      </c>
      <c r="G1098" s="43">
        <f>107891.23/156.3*E1098</f>
        <v>20432.376250799745</v>
      </c>
      <c r="H1098" s="207"/>
      <c r="I1098" s="207" t="s">
        <v>12545</v>
      </c>
      <c r="J1098" s="245" t="s">
        <v>12548</v>
      </c>
      <c r="K1098" s="207"/>
      <c r="L1098" s="66"/>
      <c r="M1098" s="201" t="s">
        <v>12550</v>
      </c>
      <c r="N1098" s="207"/>
      <c r="O1098" s="38" t="s">
        <v>20457</v>
      </c>
    </row>
    <row r="1099" spans="1:15" ht="72" customHeight="1" x14ac:dyDescent="0.3">
      <c r="A1099" s="2">
        <v>1079</v>
      </c>
      <c r="B1099" s="246" t="s">
        <v>12480</v>
      </c>
      <c r="C1099" s="246" t="s">
        <v>13368</v>
      </c>
      <c r="D1099" s="88"/>
      <c r="E1099" s="2">
        <v>41.2</v>
      </c>
      <c r="F1099" s="22">
        <f>1049225.3/156.3*E1099</f>
        <v>276571.22431222012</v>
      </c>
      <c r="G1099" s="43">
        <f>107891.23/156.3*E1099</f>
        <v>28439.658835572616</v>
      </c>
      <c r="H1099" s="207"/>
      <c r="I1099" s="207" t="s">
        <v>12545</v>
      </c>
      <c r="J1099" s="245" t="s">
        <v>12548</v>
      </c>
      <c r="K1099" s="207"/>
      <c r="L1099" s="66"/>
      <c r="M1099" s="201" t="s">
        <v>12550</v>
      </c>
      <c r="N1099" s="207"/>
      <c r="O1099" s="38" t="s">
        <v>21620</v>
      </c>
    </row>
    <row r="1100" spans="1:15" ht="72" customHeight="1" x14ac:dyDescent="0.3">
      <c r="A1100" s="242">
        <v>1080</v>
      </c>
      <c r="B1100" s="246" t="s">
        <v>12480</v>
      </c>
      <c r="C1100" s="246" t="s">
        <v>13369</v>
      </c>
      <c r="D1100" s="88"/>
      <c r="E1100" s="242">
        <v>57.8</v>
      </c>
      <c r="F1100" s="22">
        <f>549870.8/90.4*E1100</f>
        <v>351576.68407079647</v>
      </c>
      <c r="G1100" s="43">
        <f>136367.96/90.4*E1100</f>
        <v>87191.018672566352</v>
      </c>
      <c r="H1100" s="207"/>
      <c r="I1100" s="207" t="s">
        <v>12545</v>
      </c>
      <c r="J1100" s="66" t="s">
        <v>12548</v>
      </c>
      <c r="K1100" s="207"/>
      <c r="L1100" s="66"/>
      <c r="M1100" s="201" t="s">
        <v>12550</v>
      </c>
      <c r="N1100" s="207"/>
      <c r="O1100" s="38"/>
    </row>
    <row r="1101" spans="1:15" ht="72" customHeight="1" x14ac:dyDescent="0.3">
      <c r="A1101" s="242">
        <v>1081</v>
      </c>
      <c r="B1101" s="246" t="s">
        <v>12481</v>
      </c>
      <c r="C1101" s="246" t="s">
        <v>13370</v>
      </c>
      <c r="D1101" s="88"/>
      <c r="E1101" s="242">
        <v>32.6</v>
      </c>
      <c r="F1101" s="22">
        <f>549870.8/90.4*E1101</f>
        <v>198294.11592920354</v>
      </c>
      <c r="G1101" s="43">
        <f>136367.96/90.4*E1101</f>
        <v>49176.941327433618</v>
      </c>
      <c r="H1101" s="207"/>
      <c r="I1101" s="207" t="s">
        <v>12545</v>
      </c>
      <c r="J1101" s="66" t="s">
        <v>12548</v>
      </c>
      <c r="K1101" s="207"/>
      <c r="L1101" s="66"/>
      <c r="M1101" s="201" t="s">
        <v>12550</v>
      </c>
      <c r="N1101" s="207"/>
      <c r="O1101" s="38"/>
    </row>
    <row r="1102" spans="1:15" ht="72" customHeight="1" x14ac:dyDescent="0.3">
      <c r="A1102" s="242">
        <v>1082</v>
      </c>
      <c r="B1102" s="246" t="s">
        <v>12480</v>
      </c>
      <c r="C1102" s="246" t="s">
        <v>19653</v>
      </c>
      <c r="D1102" s="88"/>
      <c r="E1102" s="242">
        <v>54.3</v>
      </c>
      <c r="F1102" s="45">
        <v>64381.599999999999</v>
      </c>
      <c r="G1102" s="6">
        <v>16996.759999999998</v>
      </c>
      <c r="H1102" s="207"/>
      <c r="I1102" s="207" t="s">
        <v>12545</v>
      </c>
      <c r="J1102" s="66" t="s">
        <v>12548</v>
      </c>
      <c r="K1102" s="207"/>
      <c r="L1102" s="66"/>
      <c r="M1102" s="201" t="s">
        <v>12550</v>
      </c>
      <c r="N1102" s="207"/>
      <c r="O1102" s="38" t="s">
        <v>19874</v>
      </c>
    </row>
    <row r="1103" spans="1:15" ht="72" customHeight="1" x14ac:dyDescent="0.3">
      <c r="A1103" s="242">
        <v>1083</v>
      </c>
      <c r="B1103" s="246" t="s">
        <v>12480</v>
      </c>
      <c r="C1103" s="246" t="s">
        <v>13371</v>
      </c>
      <c r="D1103" s="88"/>
      <c r="E1103" s="242">
        <v>57.8</v>
      </c>
      <c r="F1103" s="22">
        <f>178589.3/222.3*E1103</f>
        <v>46434.824741340526</v>
      </c>
      <c r="G1103" s="43">
        <f>47147.59/222.3*E1103</f>
        <v>12258.797579847051</v>
      </c>
      <c r="H1103" s="207"/>
      <c r="I1103" s="207" t="s">
        <v>12545</v>
      </c>
      <c r="J1103" s="66" t="s">
        <v>12548</v>
      </c>
      <c r="K1103" s="207"/>
      <c r="L1103" s="66"/>
      <c r="M1103" s="201" t="s">
        <v>12550</v>
      </c>
      <c r="N1103" s="207"/>
      <c r="O1103" s="38"/>
    </row>
    <row r="1104" spans="1:15" ht="84" customHeight="1" x14ac:dyDescent="0.3">
      <c r="A1104" s="242">
        <v>1084</v>
      </c>
      <c r="B1104" s="246" t="s">
        <v>12480</v>
      </c>
      <c r="C1104" s="246" t="s">
        <v>13372</v>
      </c>
      <c r="D1104" s="88"/>
      <c r="E1104" s="242">
        <v>58</v>
      </c>
      <c r="F1104" s="22">
        <f>178589.3/222.3*E1104</f>
        <v>46595.498875393612</v>
      </c>
      <c r="G1104" s="43">
        <f>47147.59/222.3*E1104</f>
        <v>12301.215564552405</v>
      </c>
      <c r="H1104" s="207"/>
      <c r="I1104" s="207" t="s">
        <v>12545</v>
      </c>
      <c r="J1104" s="245" t="s">
        <v>12548</v>
      </c>
      <c r="K1104" s="207"/>
      <c r="L1104" s="66"/>
      <c r="M1104" s="201" t="s">
        <v>12550</v>
      </c>
      <c r="N1104" s="207"/>
      <c r="O1104" s="38" t="s">
        <v>19868</v>
      </c>
    </row>
    <row r="1105" spans="1:15" ht="144" customHeight="1" x14ac:dyDescent="0.3">
      <c r="A1105" s="242">
        <v>1085</v>
      </c>
      <c r="B1105" s="82" t="s">
        <v>12480</v>
      </c>
      <c r="C1105" s="246" t="s">
        <v>13373</v>
      </c>
      <c r="D1105" s="88" t="s">
        <v>20550</v>
      </c>
      <c r="E1105" s="242">
        <v>48.4</v>
      </c>
      <c r="F1105" s="22">
        <f>178589.3/222.3*E1105</f>
        <v>38883.140440845702</v>
      </c>
      <c r="G1105" s="43">
        <f>47147.59/222.3*E1105</f>
        <v>10265.152298695455</v>
      </c>
      <c r="H1105" s="207"/>
      <c r="I1105" s="207" t="s">
        <v>12545</v>
      </c>
      <c r="J1105" s="66" t="s">
        <v>12548</v>
      </c>
      <c r="K1105" s="26">
        <v>43214</v>
      </c>
      <c r="L1105" s="66" t="s">
        <v>20551</v>
      </c>
      <c r="M1105" s="201" t="s">
        <v>12550</v>
      </c>
      <c r="N1105" s="207"/>
      <c r="O1105" s="38" t="s">
        <v>21621</v>
      </c>
    </row>
    <row r="1106" spans="1:15" ht="72" customHeight="1" x14ac:dyDescent="0.3">
      <c r="A1106" s="242">
        <v>1086</v>
      </c>
      <c r="B1106" s="82" t="s">
        <v>12480</v>
      </c>
      <c r="C1106" s="246" t="s">
        <v>13374</v>
      </c>
      <c r="D1106" s="88"/>
      <c r="E1106" s="242">
        <v>58</v>
      </c>
      <c r="F1106" s="22">
        <f>178589.3/222.3*E1106</f>
        <v>46595.498875393612</v>
      </c>
      <c r="G1106" s="43">
        <f>47147.59/222.3*E1106</f>
        <v>12301.215564552405</v>
      </c>
      <c r="H1106" s="207"/>
      <c r="I1106" s="207" t="s">
        <v>12545</v>
      </c>
      <c r="J1106" s="66" t="s">
        <v>12548</v>
      </c>
      <c r="K1106" s="207"/>
      <c r="L1106" s="66"/>
      <c r="M1106" s="201" t="s">
        <v>12550</v>
      </c>
      <c r="N1106" s="207"/>
      <c r="O1106" s="38" t="s">
        <v>21622</v>
      </c>
    </row>
    <row r="1107" spans="1:15" ht="144" customHeight="1" x14ac:dyDescent="0.3">
      <c r="A1107" s="242">
        <v>1087</v>
      </c>
      <c r="B1107" s="246" t="s">
        <v>12480</v>
      </c>
      <c r="C1107" s="246" t="s">
        <v>13375</v>
      </c>
      <c r="D1107" s="88" t="s">
        <v>20617</v>
      </c>
      <c r="E1107" s="2">
        <v>43.8</v>
      </c>
      <c r="F1107" s="22">
        <f>218903.4/85.8*E1107</f>
        <v>111747.88951048951</v>
      </c>
      <c r="G1107" s="43">
        <f>94566.25/85.8*E1107</f>
        <v>48275.078671328672</v>
      </c>
      <c r="H1107" s="207"/>
      <c r="I1107" s="207" t="s">
        <v>12545</v>
      </c>
      <c r="J1107" s="245" t="s">
        <v>12548</v>
      </c>
      <c r="K1107" s="26">
        <v>43257</v>
      </c>
      <c r="L1107" s="66" t="s">
        <v>20618</v>
      </c>
      <c r="M1107" s="201" t="s">
        <v>12550</v>
      </c>
      <c r="N1107" s="207"/>
      <c r="O1107" s="38" t="s">
        <v>21623</v>
      </c>
    </row>
    <row r="1108" spans="1:15" ht="72" customHeight="1" x14ac:dyDescent="0.3">
      <c r="A1108" s="2">
        <v>1088</v>
      </c>
      <c r="B1108" s="246" t="s">
        <v>12480</v>
      </c>
      <c r="C1108" s="246" t="s">
        <v>13376</v>
      </c>
      <c r="D1108" s="88"/>
      <c r="E1108" s="2">
        <v>42</v>
      </c>
      <c r="F1108" s="22">
        <f>218903.4/85.8*E1108</f>
        <v>107155.5104895105</v>
      </c>
      <c r="G1108" s="43">
        <f>94566.25/85.8*E1108</f>
        <v>46291.171328671328</v>
      </c>
      <c r="H1108" s="207"/>
      <c r="I1108" s="207" t="s">
        <v>12545</v>
      </c>
      <c r="J1108" s="245" t="s">
        <v>12548</v>
      </c>
      <c r="K1108" s="207"/>
      <c r="L1108" s="66"/>
      <c r="M1108" s="201" t="s">
        <v>12550</v>
      </c>
      <c r="N1108" s="207"/>
      <c r="O1108" s="38" t="s">
        <v>19891</v>
      </c>
    </row>
    <row r="1109" spans="1:15" ht="72" customHeight="1" x14ac:dyDescent="0.3">
      <c r="A1109" s="242">
        <v>1089</v>
      </c>
      <c r="B1109" s="246" t="s">
        <v>12482</v>
      </c>
      <c r="C1109" s="246" t="s">
        <v>13377</v>
      </c>
      <c r="D1109" s="88"/>
      <c r="E1109" s="242">
        <v>67.599999999999994</v>
      </c>
      <c r="F1109" s="22">
        <f>596919.3/154.8*E1109</f>
        <v>260670.18527131781</v>
      </c>
      <c r="G1109" s="43">
        <f>133709.91/154.8*E1109</f>
        <v>58390.115736434098</v>
      </c>
      <c r="H1109" s="207"/>
      <c r="I1109" s="207" t="s">
        <v>12545</v>
      </c>
      <c r="J1109" s="66" t="s">
        <v>12548</v>
      </c>
      <c r="K1109" s="207"/>
      <c r="L1109" s="66"/>
      <c r="M1109" s="201" t="s">
        <v>12550</v>
      </c>
      <c r="N1109" s="207"/>
      <c r="O1109" s="38" t="s">
        <v>21624</v>
      </c>
    </row>
    <row r="1110" spans="1:15" ht="72" customHeight="1" x14ac:dyDescent="0.3">
      <c r="A1110" s="242">
        <v>1090</v>
      </c>
      <c r="B1110" s="246" t="s">
        <v>12480</v>
      </c>
      <c r="C1110" s="246" t="s">
        <v>13378</v>
      </c>
      <c r="D1110" s="88"/>
      <c r="E1110" s="242">
        <v>53.6</v>
      </c>
      <c r="F1110" s="22">
        <f>596919.3/154.8*E1110</f>
        <v>206685.23565891475</v>
      </c>
      <c r="G1110" s="43">
        <f>133709.91/154.8*E1110</f>
        <v>46297.488217054262</v>
      </c>
      <c r="H1110" s="207"/>
      <c r="I1110" s="207" t="s">
        <v>12545</v>
      </c>
      <c r="J1110" s="66" t="s">
        <v>12548</v>
      </c>
      <c r="K1110" s="207"/>
      <c r="L1110" s="66"/>
      <c r="M1110" s="201" t="s">
        <v>12550</v>
      </c>
      <c r="N1110" s="207"/>
      <c r="O1110" s="38" t="s">
        <v>21625</v>
      </c>
    </row>
    <row r="1111" spans="1:15" ht="72" customHeight="1" x14ac:dyDescent="0.3">
      <c r="A1111" s="242">
        <v>1091</v>
      </c>
      <c r="B1111" s="82" t="s">
        <v>12481</v>
      </c>
      <c r="C1111" s="246" t="s">
        <v>13379</v>
      </c>
      <c r="D1111" s="88"/>
      <c r="E1111" s="242">
        <v>33.6</v>
      </c>
      <c r="F1111" s="22">
        <f>596919.3/154.8*E1111</f>
        <v>129563.87906976746</v>
      </c>
      <c r="G1111" s="43">
        <f>133709.91/154.8*E1111</f>
        <v>29022.306046511629</v>
      </c>
      <c r="H1111" s="207"/>
      <c r="I1111" s="207" t="s">
        <v>12545</v>
      </c>
      <c r="J1111" s="66" t="s">
        <v>12548</v>
      </c>
      <c r="K1111" s="207"/>
      <c r="L1111" s="66"/>
      <c r="M1111" s="201" t="s">
        <v>12550</v>
      </c>
      <c r="N1111" s="207"/>
      <c r="O1111" s="38" t="s">
        <v>19888</v>
      </c>
    </row>
    <row r="1112" spans="1:15" ht="72" customHeight="1" x14ac:dyDescent="0.3">
      <c r="A1112" s="2">
        <v>1092</v>
      </c>
      <c r="B1112" s="246" t="s">
        <v>12480</v>
      </c>
      <c r="C1112" s="246" t="s">
        <v>19654</v>
      </c>
      <c r="D1112" s="88"/>
      <c r="E1112" s="242">
        <v>58.7</v>
      </c>
      <c r="F1112" s="45">
        <v>169900.7</v>
      </c>
      <c r="G1112" s="6">
        <v>35339.339999999997</v>
      </c>
      <c r="H1112" s="207"/>
      <c r="I1112" s="207" t="s">
        <v>12545</v>
      </c>
      <c r="J1112" s="245" t="s">
        <v>12548</v>
      </c>
      <c r="K1112" s="207"/>
      <c r="L1112" s="66"/>
      <c r="M1112" s="201" t="s">
        <v>12550</v>
      </c>
      <c r="N1112" s="207"/>
      <c r="O1112" s="38"/>
    </row>
    <row r="1113" spans="1:15" ht="72" customHeight="1" x14ac:dyDescent="0.3">
      <c r="A1113" s="242">
        <v>1093</v>
      </c>
      <c r="B1113" s="246" t="s">
        <v>12480</v>
      </c>
      <c r="C1113" s="246" t="s">
        <v>13380</v>
      </c>
      <c r="D1113" s="88"/>
      <c r="E1113" s="242">
        <v>53.6</v>
      </c>
      <c r="F1113" s="22">
        <f>457520.6/86.6*E1113</f>
        <v>283176.7224018476</v>
      </c>
      <c r="G1113" s="43">
        <f>90412.12/86.6*E1113</f>
        <v>55959.464572748264</v>
      </c>
      <c r="H1113" s="207"/>
      <c r="I1113" s="207" t="s">
        <v>12545</v>
      </c>
      <c r="J1113" s="66" t="s">
        <v>12548</v>
      </c>
      <c r="K1113" s="207"/>
      <c r="L1113" s="66"/>
      <c r="M1113" s="201" t="s">
        <v>12550</v>
      </c>
      <c r="N1113" s="207"/>
      <c r="O1113" s="38" t="s">
        <v>21626</v>
      </c>
    </row>
    <row r="1114" spans="1:15" ht="72" customHeight="1" x14ac:dyDescent="0.3">
      <c r="A1114" s="242">
        <v>1094</v>
      </c>
      <c r="B1114" s="246" t="s">
        <v>12481</v>
      </c>
      <c r="C1114" s="246" t="s">
        <v>13381</v>
      </c>
      <c r="D1114" s="88"/>
      <c r="E1114" s="242">
        <v>33</v>
      </c>
      <c r="F1114" s="22">
        <f>457520.6/86.6*E1114</f>
        <v>174343.87759815244</v>
      </c>
      <c r="G1114" s="43">
        <f>90412.12/86.6*E1114</f>
        <v>34452.655427251731</v>
      </c>
      <c r="H1114" s="207"/>
      <c r="I1114" s="207" t="s">
        <v>12545</v>
      </c>
      <c r="J1114" s="66" t="s">
        <v>12548</v>
      </c>
      <c r="K1114" s="207"/>
      <c r="L1114" s="66"/>
      <c r="M1114" s="201" t="s">
        <v>12550</v>
      </c>
      <c r="N1114" s="207"/>
      <c r="O1114" s="38" t="s">
        <v>21627</v>
      </c>
    </row>
    <row r="1115" spans="1:15" ht="72" customHeight="1" x14ac:dyDescent="0.3">
      <c r="A1115" s="242">
        <v>1095</v>
      </c>
      <c r="B1115" s="246" t="s">
        <v>12480</v>
      </c>
      <c r="C1115" s="246" t="s">
        <v>13382</v>
      </c>
      <c r="D1115" s="88"/>
      <c r="E1115" s="242">
        <v>53.6</v>
      </c>
      <c r="F1115" s="22">
        <f>281874.7/107.7*E1115</f>
        <v>140283.04475394616</v>
      </c>
      <c r="G1115" s="43">
        <f>56374.93/107.7*E1115</f>
        <v>28056.603974001857</v>
      </c>
      <c r="H1115" s="207"/>
      <c r="I1115" s="207" t="s">
        <v>12545</v>
      </c>
      <c r="J1115" s="66" t="s">
        <v>12548</v>
      </c>
      <c r="K1115" s="207"/>
      <c r="L1115" s="66"/>
      <c r="M1115" s="201" t="s">
        <v>12550</v>
      </c>
      <c r="N1115" s="207"/>
      <c r="O1115" s="38"/>
    </row>
    <row r="1116" spans="1:15" ht="72" customHeight="1" x14ac:dyDescent="0.3">
      <c r="A1116" s="242">
        <v>1096</v>
      </c>
      <c r="B1116" s="246" t="s">
        <v>12480</v>
      </c>
      <c r="C1116" s="246" t="s">
        <v>13383</v>
      </c>
      <c r="D1116" s="88"/>
      <c r="E1116" s="242">
        <v>54.1</v>
      </c>
      <c r="F1116" s="22">
        <f>281874.7/107.7*E1116</f>
        <v>141591.65524605388</v>
      </c>
      <c r="G1116" s="43">
        <f>56374.93/107.7*E1116</f>
        <v>28318.326025998143</v>
      </c>
      <c r="H1116" s="207"/>
      <c r="I1116" s="207" t="s">
        <v>12545</v>
      </c>
      <c r="J1116" s="66" t="s">
        <v>12548</v>
      </c>
      <c r="K1116" s="207"/>
      <c r="L1116" s="66"/>
      <c r="M1116" s="201" t="s">
        <v>12550</v>
      </c>
      <c r="N1116" s="207"/>
      <c r="O1116" s="38" t="s">
        <v>19875</v>
      </c>
    </row>
    <row r="1117" spans="1:15" ht="72" customHeight="1" x14ac:dyDescent="0.3">
      <c r="A1117" s="242">
        <v>1097</v>
      </c>
      <c r="B1117" s="246" t="s">
        <v>12480</v>
      </c>
      <c r="C1117" s="47" t="s">
        <v>19655</v>
      </c>
      <c r="D1117" s="88"/>
      <c r="E1117" s="29">
        <v>48.3</v>
      </c>
      <c r="F1117" s="48">
        <v>162205.29999999999</v>
      </c>
      <c r="G1117" s="49">
        <v>45933.2</v>
      </c>
      <c r="H1117" s="207"/>
      <c r="I1117" s="207" t="s">
        <v>12545</v>
      </c>
      <c r="J1117" s="66" t="s">
        <v>12548</v>
      </c>
      <c r="K1117" s="207"/>
      <c r="L1117" s="66"/>
      <c r="M1117" s="201" t="s">
        <v>12550</v>
      </c>
      <c r="N1117" s="207"/>
      <c r="O1117" s="38"/>
    </row>
    <row r="1118" spans="1:15" ht="72" customHeight="1" x14ac:dyDescent="0.3">
      <c r="A1118" s="242">
        <v>1098</v>
      </c>
      <c r="B1118" s="47" t="s">
        <v>12481</v>
      </c>
      <c r="C1118" s="47" t="s">
        <v>13384</v>
      </c>
      <c r="D1118" s="88"/>
      <c r="E1118" s="29">
        <v>32.1</v>
      </c>
      <c r="F1118" s="42">
        <f>1054189.9/228.5*E1118</f>
        <v>148094.07347921224</v>
      </c>
      <c r="G1118" s="50">
        <f>223816.69/228.5*E1118</f>
        <v>31442.082052516416</v>
      </c>
      <c r="H1118" s="207"/>
      <c r="I1118" s="207" t="s">
        <v>12545</v>
      </c>
      <c r="J1118" s="245" t="s">
        <v>12548</v>
      </c>
      <c r="K1118" s="207"/>
      <c r="L1118" s="66"/>
      <c r="M1118" s="201" t="s">
        <v>12550</v>
      </c>
      <c r="N1118" s="207"/>
      <c r="O1118" s="38"/>
    </row>
    <row r="1119" spans="1:15" ht="136.19999999999999" customHeight="1" x14ac:dyDescent="0.3">
      <c r="A1119" s="242">
        <v>1099</v>
      </c>
      <c r="B1119" s="47" t="s">
        <v>12480</v>
      </c>
      <c r="C1119" s="47" t="s">
        <v>13385</v>
      </c>
      <c r="D1119" s="88" t="s">
        <v>23268</v>
      </c>
      <c r="E1119" s="29">
        <v>50.4</v>
      </c>
      <c r="F1119" s="42">
        <f>1054189.9/228.5*E1119</f>
        <v>232521.53592997807</v>
      </c>
      <c r="G1119" s="50">
        <f>223816.69/228.5*E1119</f>
        <v>49367.007334792121</v>
      </c>
      <c r="H1119" s="207"/>
      <c r="I1119" s="207" t="s">
        <v>12545</v>
      </c>
      <c r="J1119" s="245" t="s">
        <v>12548</v>
      </c>
      <c r="K1119" s="26">
        <v>43753</v>
      </c>
      <c r="L1119" s="66" t="s">
        <v>23378</v>
      </c>
      <c r="M1119" s="201" t="s">
        <v>12550</v>
      </c>
      <c r="N1119" s="207"/>
      <c r="O1119" s="38" t="s">
        <v>23269</v>
      </c>
    </row>
    <row r="1120" spans="1:15" ht="72" customHeight="1" x14ac:dyDescent="0.3">
      <c r="A1120" s="242">
        <v>1100</v>
      </c>
      <c r="B1120" s="47" t="s">
        <v>12480</v>
      </c>
      <c r="C1120" s="47" t="s">
        <v>13386</v>
      </c>
      <c r="D1120" s="88"/>
      <c r="E1120" s="29">
        <v>50</v>
      </c>
      <c r="F1120" s="42">
        <f>1054189.9/228.5*E1120</f>
        <v>230676.1269146608</v>
      </c>
      <c r="G1120" s="50">
        <f>223816.69/228.5*E1120</f>
        <v>48975.2056892779</v>
      </c>
      <c r="H1120" s="207"/>
      <c r="I1120" s="207" t="s">
        <v>12545</v>
      </c>
      <c r="J1120" s="66" t="s">
        <v>12548</v>
      </c>
      <c r="K1120" s="207"/>
      <c r="L1120" s="66"/>
      <c r="M1120" s="201" t="s">
        <v>12550</v>
      </c>
      <c r="N1120" s="207"/>
      <c r="O1120" s="38" t="s">
        <v>21628</v>
      </c>
    </row>
    <row r="1121" spans="1:15" ht="72" customHeight="1" x14ac:dyDescent="0.3">
      <c r="A1121" s="242">
        <v>1101</v>
      </c>
      <c r="B1121" s="47" t="s">
        <v>12480</v>
      </c>
      <c r="C1121" s="47" t="s">
        <v>13387</v>
      </c>
      <c r="D1121" s="88"/>
      <c r="E1121" s="29">
        <v>46.5</v>
      </c>
      <c r="F1121" s="42">
        <f>1054189.9/228.5*E1121</f>
        <v>214528.79803063453</v>
      </c>
      <c r="G1121" s="50">
        <f>223816.69/228.5*E1121</f>
        <v>45546.941291028452</v>
      </c>
      <c r="H1121" s="207"/>
      <c r="I1121" s="207" t="s">
        <v>12545</v>
      </c>
      <c r="J1121" s="66" t="s">
        <v>12548</v>
      </c>
      <c r="K1121" s="207"/>
      <c r="L1121" s="66"/>
      <c r="M1121" s="201" t="s">
        <v>12550</v>
      </c>
      <c r="N1121" s="207"/>
      <c r="O1121" s="38"/>
    </row>
    <row r="1122" spans="1:15" ht="72" customHeight="1" x14ac:dyDescent="0.3">
      <c r="A1122" s="2">
        <v>1102</v>
      </c>
      <c r="B1122" s="47" t="s">
        <v>12480</v>
      </c>
      <c r="C1122" s="47" t="s">
        <v>13388</v>
      </c>
      <c r="D1122" s="88"/>
      <c r="E1122" s="29">
        <v>49.8</v>
      </c>
      <c r="F1122" s="42">
        <f>1054189.9/228.5*E1122</f>
        <v>229753.42240700213</v>
      </c>
      <c r="G1122" s="50">
        <f>223816.69/228.5*E1122</f>
        <v>48779.30486652079</v>
      </c>
      <c r="H1122" s="207"/>
      <c r="I1122" s="207" t="s">
        <v>12545</v>
      </c>
      <c r="J1122" s="66" t="s">
        <v>12548</v>
      </c>
      <c r="K1122" s="207"/>
      <c r="L1122" s="66"/>
      <c r="M1122" s="201" t="s">
        <v>12550</v>
      </c>
      <c r="N1122" s="207"/>
      <c r="O1122" s="38" t="s">
        <v>21629</v>
      </c>
    </row>
    <row r="1123" spans="1:15" ht="72" customHeight="1" x14ac:dyDescent="0.3">
      <c r="A1123" s="242">
        <v>1103</v>
      </c>
      <c r="B1123" s="246" t="s">
        <v>12482</v>
      </c>
      <c r="C1123" s="246" t="s">
        <v>13389</v>
      </c>
      <c r="D1123" s="88"/>
      <c r="E1123" s="242">
        <v>66.599999999999994</v>
      </c>
      <c r="F1123" s="22">
        <f>317389.6/120.2*E1123</f>
        <v>175858.13111480861</v>
      </c>
      <c r="G1123" s="43">
        <f>60938.24/120.2*E1123</f>
        <v>33764.449118136436</v>
      </c>
      <c r="H1123" s="207"/>
      <c r="I1123" s="207" t="s">
        <v>12545</v>
      </c>
      <c r="J1123" s="245" t="s">
        <v>12548</v>
      </c>
      <c r="K1123" s="207"/>
      <c r="L1123" s="66"/>
      <c r="M1123" s="201" t="s">
        <v>12550</v>
      </c>
      <c r="N1123" s="207"/>
      <c r="O1123" s="38"/>
    </row>
    <row r="1124" spans="1:15" ht="72" customHeight="1" x14ac:dyDescent="0.3">
      <c r="A1124" s="242">
        <v>1104</v>
      </c>
      <c r="B1124" s="246" t="s">
        <v>12480</v>
      </c>
      <c r="C1124" s="246" t="s">
        <v>13390</v>
      </c>
      <c r="D1124" s="88"/>
      <c r="E1124" s="242">
        <v>53.6</v>
      </c>
      <c r="F1124" s="22">
        <f>317389.6/120.2*E1124</f>
        <v>141531.46888519134</v>
      </c>
      <c r="G1124" s="43">
        <f>60938.24/120.2*E1124</f>
        <v>27173.790881863559</v>
      </c>
      <c r="H1124" s="207"/>
      <c r="I1124" s="207" t="s">
        <v>12545</v>
      </c>
      <c r="J1124" s="66" t="s">
        <v>12548</v>
      </c>
      <c r="K1124" s="207"/>
      <c r="L1124" s="66"/>
      <c r="M1124" s="201" t="s">
        <v>12550</v>
      </c>
      <c r="N1124" s="207"/>
      <c r="O1124" s="38"/>
    </row>
    <row r="1125" spans="1:15" ht="72" customHeight="1" x14ac:dyDescent="0.3">
      <c r="A1125" s="242">
        <v>1105</v>
      </c>
      <c r="B1125" s="246" t="s">
        <v>12480</v>
      </c>
      <c r="C1125" s="246" t="s">
        <v>13391</v>
      </c>
      <c r="D1125" s="88"/>
      <c r="E1125" s="242">
        <v>54.1</v>
      </c>
      <c r="F1125" s="22">
        <f t="shared" ref="F1125:F1131" si="77">1890950.7/370.5*E1125</f>
        <v>276114.52866396762</v>
      </c>
      <c r="G1125" s="43">
        <f t="shared" ref="G1125:G1131" si="78">4689955.76/370.5*E1125</f>
        <v>684822.15011066128</v>
      </c>
      <c r="H1125" s="207"/>
      <c r="I1125" s="207" t="s">
        <v>12545</v>
      </c>
      <c r="J1125" s="66" t="s">
        <v>12548</v>
      </c>
      <c r="K1125" s="207"/>
      <c r="L1125" s="66"/>
      <c r="M1125" s="201" t="s">
        <v>12550</v>
      </c>
      <c r="N1125" s="207"/>
      <c r="O1125" s="38" t="s">
        <v>21630</v>
      </c>
    </row>
    <row r="1126" spans="1:15" ht="72" customHeight="1" x14ac:dyDescent="0.3">
      <c r="A1126" s="242">
        <v>1106</v>
      </c>
      <c r="B1126" s="246" t="s">
        <v>12480</v>
      </c>
      <c r="C1126" s="246" t="s">
        <v>13392</v>
      </c>
      <c r="D1126" s="88"/>
      <c r="E1126" s="2">
        <v>54</v>
      </c>
      <c r="F1126" s="22">
        <f t="shared" si="77"/>
        <v>275604.15060728742</v>
      </c>
      <c r="G1126" s="43">
        <f t="shared" si="78"/>
        <v>683556.30510121456</v>
      </c>
      <c r="H1126" s="207"/>
      <c r="I1126" s="207" t="s">
        <v>12545</v>
      </c>
      <c r="J1126" s="66" t="s">
        <v>12548</v>
      </c>
      <c r="K1126" s="207"/>
      <c r="L1126" s="66"/>
      <c r="M1126" s="201" t="s">
        <v>12550</v>
      </c>
      <c r="N1126" s="207"/>
      <c r="O1126" s="38" t="s">
        <v>21631</v>
      </c>
    </row>
    <row r="1127" spans="1:15" ht="72" customHeight="1" x14ac:dyDescent="0.3">
      <c r="A1127" s="2">
        <v>1107</v>
      </c>
      <c r="B1127" s="246" t="s">
        <v>12482</v>
      </c>
      <c r="C1127" s="246" t="s">
        <v>13393</v>
      </c>
      <c r="D1127" s="88"/>
      <c r="E1127" s="2">
        <v>67.599999999999994</v>
      </c>
      <c r="F1127" s="22">
        <f t="shared" si="77"/>
        <v>345015.56631578942</v>
      </c>
      <c r="G1127" s="43">
        <f t="shared" si="78"/>
        <v>855711.22638596478</v>
      </c>
      <c r="H1127" s="207"/>
      <c r="I1127" s="207" t="s">
        <v>12545</v>
      </c>
      <c r="J1127" s="245" t="s">
        <v>12548</v>
      </c>
      <c r="K1127" s="207"/>
      <c r="L1127" s="66"/>
      <c r="M1127" s="201" t="s">
        <v>12550</v>
      </c>
      <c r="N1127" s="207"/>
      <c r="O1127" s="38" t="s">
        <v>21632</v>
      </c>
    </row>
    <row r="1128" spans="1:15" ht="72" customHeight="1" x14ac:dyDescent="0.3">
      <c r="A1128" s="242">
        <v>1108</v>
      </c>
      <c r="B1128" s="246" t="s">
        <v>12480</v>
      </c>
      <c r="C1128" s="246" t="s">
        <v>13394</v>
      </c>
      <c r="D1128" s="88"/>
      <c r="E1128" s="2">
        <v>53.6</v>
      </c>
      <c r="F1128" s="22">
        <f t="shared" si="77"/>
        <v>273562.63838056679</v>
      </c>
      <c r="G1128" s="43">
        <f t="shared" si="78"/>
        <v>678492.92506342777</v>
      </c>
      <c r="H1128" s="207"/>
      <c r="I1128" s="207" t="s">
        <v>12545</v>
      </c>
      <c r="J1128" s="245" t="s">
        <v>12548</v>
      </c>
      <c r="K1128" s="207"/>
      <c r="L1128" s="66"/>
      <c r="M1128" s="201" t="s">
        <v>12550</v>
      </c>
      <c r="N1128" s="207"/>
      <c r="O1128" s="38" t="s">
        <v>21633</v>
      </c>
    </row>
    <row r="1129" spans="1:15" ht="72" customHeight="1" x14ac:dyDescent="0.3">
      <c r="A1129" s="242">
        <v>1109</v>
      </c>
      <c r="B1129" s="246" t="s">
        <v>12480</v>
      </c>
      <c r="C1129" s="246" t="s">
        <v>13395</v>
      </c>
      <c r="D1129" s="88"/>
      <c r="E1129" s="2">
        <v>53.8</v>
      </c>
      <c r="F1129" s="22">
        <f t="shared" si="77"/>
        <v>274583.39449392707</v>
      </c>
      <c r="G1129" s="43">
        <f t="shared" si="78"/>
        <v>681024.61508232111</v>
      </c>
      <c r="H1129" s="207"/>
      <c r="I1129" s="207" t="s">
        <v>12545</v>
      </c>
      <c r="J1129" s="245" t="s">
        <v>12548</v>
      </c>
      <c r="K1129" s="207"/>
      <c r="L1129" s="66"/>
      <c r="M1129" s="201" t="s">
        <v>12550</v>
      </c>
      <c r="N1129" s="207"/>
      <c r="O1129" s="38"/>
    </row>
    <row r="1130" spans="1:15" ht="72" customHeight="1" x14ac:dyDescent="0.3">
      <c r="A1130" s="242">
        <v>1110</v>
      </c>
      <c r="B1130" s="246" t="s">
        <v>12484</v>
      </c>
      <c r="C1130" s="246" t="s">
        <v>13396</v>
      </c>
      <c r="D1130" s="88"/>
      <c r="E1130" s="242">
        <v>33.6</v>
      </c>
      <c r="F1130" s="22">
        <f t="shared" si="77"/>
        <v>171487.02704453439</v>
      </c>
      <c r="G1130" s="43">
        <f t="shared" si="78"/>
        <v>425323.92317408905</v>
      </c>
      <c r="H1130" s="207"/>
      <c r="I1130" s="207" t="s">
        <v>12545</v>
      </c>
      <c r="J1130" s="66" t="s">
        <v>12548</v>
      </c>
      <c r="K1130" s="207"/>
      <c r="L1130" s="66"/>
      <c r="M1130" s="201" t="s">
        <v>12550</v>
      </c>
      <c r="N1130" s="207"/>
      <c r="O1130" s="38" t="s">
        <v>21634</v>
      </c>
    </row>
    <row r="1131" spans="1:15" ht="72" customHeight="1" x14ac:dyDescent="0.3">
      <c r="A1131" s="242">
        <v>1111</v>
      </c>
      <c r="B1131" s="246" t="s">
        <v>12480</v>
      </c>
      <c r="C1131" s="246" t="s">
        <v>13397</v>
      </c>
      <c r="D1131" s="88"/>
      <c r="E1131" s="242">
        <v>53.8</v>
      </c>
      <c r="F1131" s="22">
        <f t="shared" si="77"/>
        <v>274583.39449392707</v>
      </c>
      <c r="G1131" s="43">
        <f t="shared" si="78"/>
        <v>681024.61508232111</v>
      </c>
      <c r="H1131" s="207"/>
      <c r="I1131" s="207" t="s">
        <v>12545</v>
      </c>
      <c r="J1131" s="66" t="s">
        <v>12548</v>
      </c>
      <c r="K1131" s="207"/>
      <c r="L1131" s="66"/>
      <c r="M1131" s="201" t="s">
        <v>12550</v>
      </c>
      <c r="N1131" s="207"/>
      <c r="O1131" s="38" t="s">
        <v>21078</v>
      </c>
    </row>
    <row r="1132" spans="1:15" ht="72" customHeight="1" x14ac:dyDescent="0.3">
      <c r="A1132" s="242">
        <v>1112</v>
      </c>
      <c r="B1132" s="246" t="s">
        <v>12484</v>
      </c>
      <c r="C1132" s="246" t="s">
        <v>13398</v>
      </c>
      <c r="D1132" s="88"/>
      <c r="E1132" s="242">
        <v>33.4</v>
      </c>
      <c r="F1132" s="22">
        <f>359363.1/86.2*E1132</f>
        <v>139242.7788863109</v>
      </c>
      <c r="G1132" s="43">
        <f>51748.3/86.2*E1132</f>
        <v>20050.96542923434</v>
      </c>
      <c r="H1132" s="207"/>
      <c r="I1132" s="207" t="s">
        <v>12545</v>
      </c>
      <c r="J1132" s="66" t="s">
        <v>12548</v>
      </c>
      <c r="K1132" s="207"/>
      <c r="L1132" s="66"/>
      <c r="M1132" s="201" t="s">
        <v>12550</v>
      </c>
      <c r="N1132" s="207"/>
      <c r="O1132" s="38"/>
    </row>
    <row r="1133" spans="1:15" ht="84" customHeight="1" x14ac:dyDescent="0.3">
      <c r="A1133" s="242">
        <v>1113</v>
      </c>
      <c r="B1133" s="246" t="s">
        <v>12480</v>
      </c>
      <c r="C1133" s="246" t="s">
        <v>13399</v>
      </c>
      <c r="D1133" s="88"/>
      <c r="E1133" s="242">
        <v>52.8</v>
      </c>
      <c r="F1133" s="22">
        <f>359363.1/86.2*E1133</f>
        <v>220120.32111368907</v>
      </c>
      <c r="G1133" s="43">
        <f>51748.3/86.2*E1133</f>
        <v>31697.334570765659</v>
      </c>
      <c r="H1133" s="207"/>
      <c r="I1133" s="207" t="s">
        <v>12545</v>
      </c>
      <c r="J1133" s="66" t="s">
        <v>12548</v>
      </c>
      <c r="K1133" s="207" t="s">
        <v>14241</v>
      </c>
      <c r="L1133" s="66" t="s">
        <v>15060</v>
      </c>
      <c r="M1133" s="201" t="s">
        <v>12550</v>
      </c>
      <c r="N1133" s="207"/>
      <c r="O1133" s="38"/>
    </row>
    <row r="1134" spans="1:15" ht="84" customHeight="1" x14ac:dyDescent="0.3">
      <c r="A1134" s="242">
        <v>1114</v>
      </c>
      <c r="B1134" s="47" t="s">
        <v>12485</v>
      </c>
      <c r="C1134" s="47" t="s">
        <v>13400</v>
      </c>
      <c r="D1134" s="88"/>
      <c r="E1134" s="29">
        <v>87.2</v>
      </c>
      <c r="F1134" s="48">
        <v>100070</v>
      </c>
      <c r="G1134" s="49">
        <v>175441.1</v>
      </c>
      <c r="H1134" s="207"/>
      <c r="I1134" s="207" t="s">
        <v>12545</v>
      </c>
      <c r="J1134" s="66" t="s">
        <v>12548</v>
      </c>
      <c r="K1134" s="207" t="s">
        <v>18192</v>
      </c>
      <c r="L1134" s="66" t="s">
        <v>20152</v>
      </c>
      <c r="M1134" s="201" t="s">
        <v>12550</v>
      </c>
      <c r="N1134" s="207"/>
      <c r="O1134" s="38" t="s">
        <v>20458</v>
      </c>
    </row>
    <row r="1135" spans="1:15" ht="72" customHeight="1" x14ac:dyDescent="0.3">
      <c r="A1135" s="242">
        <v>1115</v>
      </c>
      <c r="B1135" s="47" t="s">
        <v>12479</v>
      </c>
      <c r="C1135" s="47" t="s">
        <v>13401</v>
      </c>
      <c r="D1135" s="88"/>
      <c r="E1135" s="29">
        <v>93.4</v>
      </c>
      <c r="F1135" s="48">
        <v>352205.2</v>
      </c>
      <c r="G1135" s="46">
        <v>86099.39</v>
      </c>
      <c r="H1135" s="207"/>
      <c r="I1135" s="207" t="s">
        <v>12545</v>
      </c>
      <c r="J1135" s="66" t="s">
        <v>12548</v>
      </c>
      <c r="K1135" s="207"/>
      <c r="L1135" s="66"/>
      <c r="M1135" s="201" t="s">
        <v>12550</v>
      </c>
      <c r="N1135" s="207"/>
      <c r="O1135" s="38"/>
    </row>
    <row r="1136" spans="1:15" ht="72" customHeight="1" x14ac:dyDescent="0.3">
      <c r="A1136" s="242">
        <v>1116</v>
      </c>
      <c r="B1136" s="246" t="s">
        <v>12480</v>
      </c>
      <c r="C1136" s="246" t="s">
        <v>13402</v>
      </c>
      <c r="D1136" s="88"/>
      <c r="E1136" s="242">
        <v>59.2</v>
      </c>
      <c r="F1136" s="22">
        <f t="shared" ref="F1136:F1147" si="79">2242961.2/558.1*E1136</f>
        <v>237920.27063250315</v>
      </c>
      <c r="G1136" s="43">
        <f t="shared" ref="G1136:G1147" si="80">322989.44/558.1*E1136</f>
        <v>34260.840078838919</v>
      </c>
      <c r="H1136" s="207"/>
      <c r="I1136" s="207" t="s">
        <v>12545</v>
      </c>
      <c r="J1136" s="66" t="s">
        <v>12548</v>
      </c>
      <c r="K1136" s="207"/>
      <c r="L1136" s="66"/>
      <c r="M1136" s="201" t="s">
        <v>12550</v>
      </c>
      <c r="N1136" s="207"/>
      <c r="O1136" s="38" t="s">
        <v>21635</v>
      </c>
    </row>
    <row r="1137" spans="1:15" ht="72" customHeight="1" x14ac:dyDescent="0.3">
      <c r="A1137" s="242">
        <v>1117</v>
      </c>
      <c r="B1137" s="246" t="s">
        <v>12480</v>
      </c>
      <c r="C1137" s="246" t="s">
        <v>13403</v>
      </c>
      <c r="D1137" s="88"/>
      <c r="E1137" s="242">
        <v>59</v>
      </c>
      <c r="F1137" s="22">
        <f t="shared" si="79"/>
        <v>237116.48593442034</v>
      </c>
      <c r="G1137" s="43">
        <f t="shared" si="80"/>
        <v>34145.093997491487</v>
      </c>
      <c r="H1137" s="207"/>
      <c r="I1137" s="207" t="s">
        <v>12545</v>
      </c>
      <c r="J1137" s="66" t="s">
        <v>12548</v>
      </c>
      <c r="K1137" s="207"/>
      <c r="L1137" s="66"/>
      <c r="M1137" s="201" t="s">
        <v>12550</v>
      </c>
      <c r="N1137" s="207"/>
      <c r="O1137" s="38"/>
    </row>
    <row r="1138" spans="1:15" ht="72" customHeight="1" x14ac:dyDescent="0.3">
      <c r="A1138" s="242">
        <v>1118</v>
      </c>
      <c r="B1138" s="246" t="s">
        <v>12484</v>
      </c>
      <c r="C1138" s="246" t="s">
        <v>13404</v>
      </c>
      <c r="D1138" s="88"/>
      <c r="E1138" s="242">
        <v>28.6</v>
      </c>
      <c r="F1138" s="22">
        <f t="shared" si="79"/>
        <v>114941.21182583767</v>
      </c>
      <c r="G1138" s="43">
        <f t="shared" si="80"/>
        <v>16551.689632682315</v>
      </c>
      <c r="H1138" s="207"/>
      <c r="I1138" s="207" t="s">
        <v>12545</v>
      </c>
      <c r="J1138" s="245" t="s">
        <v>12548</v>
      </c>
      <c r="K1138" s="207"/>
      <c r="L1138" s="66"/>
      <c r="M1138" s="201" t="s">
        <v>12550</v>
      </c>
      <c r="N1138" s="207"/>
      <c r="O1138" s="38" t="s">
        <v>21636</v>
      </c>
    </row>
    <row r="1139" spans="1:15" ht="72" customHeight="1" x14ac:dyDescent="0.3">
      <c r="A1139" s="242">
        <v>1119</v>
      </c>
      <c r="B1139" s="246" t="s">
        <v>12480</v>
      </c>
      <c r="C1139" s="246" t="s">
        <v>13405</v>
      </c>
      <c r="D1139" s="88"/>
      <c r="E1139" s="242">
        <v>59.1</v>
      </c>
      <c r="F1139" s="22">
        <f t="shared" si="79"/>
        <v>237518.37828346176</v>
      </c>
      <c r="G1139" s="43">
        <f t="shared" si="80"/>
        <v>34202.967038165203</v>
      </c>
      <c r="H1139" s="207"/>
      <c r="I1139" s="207" t="s">
        <v>12545</v>
      </c>
      <c r="J1139" s="66" t="s">
        <v>12548</v>
      </c>
      <c r="K1139" s="207"/>
      <c r="L1139" s="66"/>
      <c r="M1139" s="201" t="s">
        <v>12550</v>
      </c>
      <c r="N1139" s="207"/>
      <c r="O1139" s="38"/>
    </row>
    <row r="1140" spans="1:15" ht="72" customHeight="1" x14ac:dyDescent="0.3">
      <c r="A1140" s="242">
        <v>1120</v>
      </c>
      <c r="B1140" s="246" t="s">
        <v>12484</v>
      </c>
      <c r="C1140" s="246" t="s">
        <v>13406</v>
      </c>
      <c r="D1140" s="88"/>
      <c r="E1140" s="242">
        <v>29.2</v>
      </c>
      <c r="F1140" s="22">
        <f t="shared" si="79"/>
        <v>117352.56592008601</v>
      </c>
      <c r="G1140" s="43">
        <f t="shared" si="80"/>
        <v>16898.9278767246</v>
      </c>
      <c r="H1140" s="207"/>
      <c r="I1140" s="207" t="s">
        <v>12545</v>
      </c>
      <c r="J1140" s="66" t="s">
        <v>12548</v>
      </c>
      <c r="K1140" s="207"/>
      <c r="L1140" s="66"/>
      <c r="M1140" s="201" t="s">
        <v>12550</v>
      </c>
      <c r="N1140" s="207"/>
      <c r="O1140" s="38" t="s">
        <v>19943</v>
      </c>
    </row>
    <row r="1141" spans="1:15" ht="72" customHeight="1" x14ac:dyDescent="0.3">
      <c r="A1141" s="242">
        <v>1121</v>
      </c>
      <c r="B1141" s="246" t="s">
        <v>12480</v>
      </c>
      <c r="C1141" s="246" t="s">
        <v>13407</v>
      </c>
      <c r="D1141" s="88"/>
      <c r="E1141" s="242">
        <v>44.2</v>
      </c>
      <c r="F1141" s="22">
        <f t="shared" si="79"/>
        <v>177636.41827629457</v>
      </c>
      <c r="G1141" s="43">
        <f t="shared" si="80"/>
        <v>25579.883977781763</v>
      </c>
      <c r="H1141" s="207"/>
      <c r="I1141" s="207" t="s">
        <v>12545</v>
      </c>
      <c r="J1141" s="66" t="s">
        <v>12548</v>
      </c>
      <c r="K1141" s="207"/>
      <c r="L1141" s="66"/>
      <c r="M1141" s="201" t="s">
        <v>12550</v>
      </c>
      <c r="N1141" s="207"/>
      <c r="O1141" s="38"/>
    </row>
    <row r="1142" spans="1:15" ht="72" customHeight="1" x14ac:dyDescent="0.3">
      <c r="A1142" s="242">
        <v>1122</v>
      </c>
      <c r="B1142" s="246" t="s">
        <v>12481</v>
      </c>
      <c r="C1142" s="246" t="s">
        <v>13408</v>
      </c>
      <c r="D1142" s="88"/>
      <c r="E1142" s="242">
        <v>28.8</v>
      </c>
      <c r="F1142" s="22">
        <f t="shared" si="79"/>
        <v>115744.99652392045</v>
      </c>
      <c r="G1142" s="43">
        <f t="shared" si="80"/>
        <v>16667.435714029743</v>
      </c>
      <c r="H1142" s="207"/>
      <c r="I1142" s="207" t="s">
        <v>12545</v>
      </c>
      <c r="J1142" s="66" t="s">
        <v>12548</v>
      </c>
      <c r="K1142" s="207"/>
      <c r="L1142" s="66"/>
      <c r="M1142" s="201" t="s">
        <v>12550</v>
      </c>
      <c r="N1142" s="207"/>
      <c r="O1142" s="38" t="s">
        <v>21637</v>
      </c>
    </row>
    <row r="1143" spans="1:15" ht="72" customHeight="1" x14ac:dyDescent="0.3">
      <c r="A1143" s="242">
        <v>1123</v>
      </c>
      <c r="B1143" s="246" t="s">
        <v>12480</v>
      </c>
      <c r="C1143" s="246" t="s">
        <v>13409</v>
      </c>
      <c r="D1143" s="88"/>
      <c r="E1143" s="242">
        <v>58.9</v>
      </c>
      <c r="F1143" s="22">
        <f t="shared" si="79"/>
        <v>236714.59358537896</v>
      </c>
      <c r="G1143" s="43">
        <f t="shared" si="80"/>
        <v>34087.220956817771</v>
      </c>
      <c r="H1143" s="207"/>
      <c r="I1143" s="207" t="s">
        <v>12545</v>
      </c>
      <c r="J1143" s="66" t="s">
        <v>12548</v>
      </c>
      <c r="K1143" s="26">
        <v>42578</v>
      </c>
      <c r="L1143" s="66" t="s">
        <v>16053</v>
      </c>
      <c r="M1143" s="201" t="s">
        <v>12550</v>
      </c>
      <c r="N1143" s="207"/>
      <c r="O1143" s="38"/>
    </row>
    <row r="1144" spans="1:15" ht="72" customHeight="1" x14ac:dyDescent="0.3">
      <c r="A1144" s="242">
        <v>1124</v>
      </c>
      <c r="B1144" s="246" t="s">
        <v>12480</v>
      </c>
      <c r="C1144" s="246" t="s">
        <v>13410</v>
      </c>
      <c r="D1144" s="88"/>
      <c r="E1144" s="242">
        <v>59.8</v>
      </c>
      <c r="F1144" s="22">
        <f t="shared" si="79"/>
        <v>240331.62472675147</v>
      </c>
      <c r="G1144" s="43">
        <f t="shared" si="80"/>
        <v>34608.0783228812</v>
      </c>
      <c r="H1144" s="207"/>
      <c r="I1144" s="207" t="s">
        <v>12545</v>
      </c>
      <c r="J1144" s="245" t="s">
        <v>12548</v>
      </c>
      <c r="K1144" s="207"/>
      <c r="L1144" s="66"/>
      <c r="M1144" s="201" t="s">
        <v>12550</v>
      </c>
      <c r="N1144" s="207"/>
      <c r="O1144" s="38" t="s">
        <v>21638</v>
      </c>
    </row>
    <row r="1145" spans="1:15" ht="72" customHeight="1" x14ac:dyDescent="0.3">
      <c r="A1145" s="242">
        <v>1125</v>
      </c>
      <c r="B1145" s="246" t="s">
        <v>12484</v>
      </c>
      <c r="C1145" s="246" t="s">
        <v>13411</v>
      </c>
      <c r="D1145" s="88"/>
      <c r="E1145" s="242">
        <v>36.200000000000003</v>
      </c>
      <c r="F1145" s="22">
        <f t="shared" si="79"/>
        <v>145485.03035298336</v>
      </c>
      <c r="G1145" s="43">
        <f t="shared" si="80"/>
        <v>20950.040723884609</v>
      </c>
      <c r="H1145" s="207"/>
      <c r="I1145" s="207" t="s">
        <v>12545</v>
      </c>
      <c r="J1145" s="66" t="s">
        <v>12548</v>
      </c>
      <c r="K1145" s="207"/>
      <c r="L1145" s="66"/>
      <c r="M1145" s="201" t="s">
        <v>12550</v>
      </c>
      <c r="N1145" s="207"/>
      <c r="O1145" s="38" t="s">
        <v>21639</v>
      </c>
    </row>
    <row r="1146" spans="1:15" ht="72" customHeight="1" x14ac:dyDescent="0.3">
      <c r="A1146" s="2">
        <v>1126</v>
      </c>
      <c r="B1146" s="246" t="s">
        <v>12480</v>
      </c>
      <c r="C1146" s="246" t="s">
        <v>13412</v>
      </c>
      <c r="D1146" s="88"/>
      <c r="E1146" s="2">
        <v>59.1</v>
      </c>
      <c r="F1146" s="22">
        <f t="shared" si="79"/>
        <v>237518.37828346176</v>
      </c>
      <c r="G1146" s="43">
        <f t="shared" si="80"/>
        <v>34202.967038165203</v>
      </c>
      <c r="H1146" s="207"/>
      <c r="I1146" s="207" t="s">
        <v>12545</v>
      </c>
      <c r="J1146" s="245" t="s">
        <v>12548</v>
      </c>
      <c r="K1146" s="207"/>
      <c r="L1146" s="66"/>
      <c r="M1146" s="201" t="s">
        <v>12550</v>
      </c>
      <c r="N1146" s="207"/>
      <c r="O1146" s="38"/>
    </row>
    <row r="1147" spans="1:15" ht="84" customHeight="1" x14ac:dyDescent="0.3">
      <c r="A1147" s="2">
        <v>1127</v>
      </c>
      <c r="B1147" s="246" t="s">
        <v>12484</v>
      </c>
      <c r="C1147" s="246" t="s">
        <v>13413</v>
      </c>
      <c r="D1147" s="88"/>
      <c r="E1147" s="2">
        <v>36</v>
      </c>
      <c r="F1147" s="22">
        <f t="shared" si="79"/>
        <v>144681.24565490056</v>
      </c>
      <c r="G1147" s="43">
        <f t="shared" si="80"/>
        <v>20834.294642537181</v>
      </c>
      <c r="H1147" s="207"/>
      <c r="I1147" s="207" t="s">
        <v>12545</v>
      </c>
      <c r="J1147" s="245" t="s">
        <v>12548</v>
      </c>
      <c r="K1147" s="207"/>
      <c r="L1147" s="66"/>
      <c r="M1147" s="201" t="s">
        <v>12550</v>
      </c>
      <c r="N1147" s="207"/>
      <c r="O1147" s="38" t="s">
        <v>19969</v>
      </c>
    </row>
    <row r="1148" spans="1:15" ht="72" customHeight="1" x14ac:dyDescent="0.3">
      <c r="A1148" s="242">
        <v>1128</v>
      </c>
      <c r="B1148" s="246" t="s">
        <v>12484</v>
      </c>
      <c r="C1148" s="246" t="s">
        <v>13414</v>
      </c>
      <c r="D1148" s="88"/>
      <c r="E1148" s="242">
        <v>36.4</v>
      </c>
      <c r="F1148" s="22">
        <f t="shared" ref="F1148:F1153" si="81">576725/277.4*E1148</f>
        <v>75676.964671953872</v>
      </c>
      <c r="G1148" s="43">
        <f t="shared" ref="G1148:G1153" si="82">87662.15/277.4*E1148</f>
        <v>11502.892069214133</v>
      </c>
      <c r="H1148" s="207"/>
      <c r="I1148" s="207" t="s">
        <v>12545</v>
      </c>
      <c r="J1148" s="66" t="s">
        <v>12548</v>
      </c>
      <c r="K1148" s="207"/>
      <c r="L1148" s="66"/>
      <c r="M1148" s="201" t="s">
        <v>12550</v>
      </c>
      <c r="N1148" s="207"/>
      <c r="O1148" s="38"/>
    </row>
    <row r="1149" spans="1:15" ht="72" customHeight="1" x14ac:dyDescent="0.3">
      <c r="A1149" s="242">
        <v>1129</v>
      </c>
      <c r="B1149" s="246" t="s">
        <v>12480</v>
      </c>
      <c r="C1149" s="246" t="s">
        <v>13415</v>
      </c>
      <c r="D1149" s="88"/>
      <c r="E1149" s="242">
        <v>59</v>
      </c>
      <c r="F1149" s="22">
        <f t="shared" si="81"/>
        <v>122663.21196827688</v>
      </c>
      <c r="G1149" s="43">
        <f t="shared" si="82"/>
        <v>18644.797584715216</v>
      </c>
      <c r="H1149" s="207"/>
      <c r="I1149" s="207" t="s">
        <v>12545</v>
      </c>
      <c r="J1149" s="66" t="s">
        <v>12548</v>
      </c>
      <c r="K1149" s="207"/>
      <c r="L1149" s="66"/>
      <c r="M1149" s="201" t="s">
        <v>12550</v>
      </c>
      <c r="N1149" s="207"/>
      <c r="O1149" s="38" t="s">
        <v>21640</v>
      </c>
    </row>
    <row r="1150" spans="1:15" ht="72" customHeight="1" x14ac:dyDescent="0.3">
      <c r="A1150" s="242">
        <v>1130</v>
      </c>
      <c r="B1150" s="246" t="s">
        <v>12480</v>
      </c>
      <c r="C1150" s="246" t="s">
        <v>13416</v>
      </c>
      <c r="D1150" s="88"/>
      <c r="E1150" s="242">
        <v>44</v>
      </c>
      <c r="F1150" s="22">
        <f t="shared" si="81"/>
        <v>91477.649603460726</v>
      </c>
      <c r="G1150" s="43">
        <f t="shared" si="82"/>
        <v>13904.594808940161</v>
      </c>
      <c r="H1150" s="207"/>
      <c r="I1150" s="207" t="s">
        <v>12545</v>
      </c>
      <c r="J1150" s="245" t="s">
        <v>12548</v>
      </c>
      <c r="K1150" s="207"/>
      <c r="L1150" s="66"/>
      <c r="M1150" s="201" t="s">
        <v>12550</v>
      </c>
      <c r="N1150" s="207"/>
      <c r="O1150" s="38" t="s">
        <v>21641</v>
      </c>
    </row>
    <row r="1151" spans="1:15" ht="72" customHeight="1" x14ac:dyDescent="0.3">
      <c r="A1151" s="242">
        <v>1131</v>
      </c>
      <c r="B1151" s="246" t="s">
        <v>12480</v>
      </c>
      <c r="C1151" s="246" t="s">
        <v>13417</v>
      </c>
      <c r="D1151" s="88"/>
      <c r="E1151" s="242">
        <v>58.1</v>
      </c>
      <c r="F1151" s="22">
        <f t="shared" si="81"/>
        <v>120792.07822638791</v>
      </c>
      <c r="G1151" s="43">
        <f t="shared" si="82"/>
        <v>18360.385418168713</v>
      </c>
      <c r="H1151" s="207"/>
      <c r="I1151" s="207" t="s">
        <v>12545</v>
      </c>
      <c r="J1151" s="66" t="s">
        <v>12548</v>
      </c>
      <c r="K1151" s="207"/>
      <c r="L1151" s="66"/>
      <c r="M1151" s="201" t="s">
        <v>12550</v>
      </c>
      <c r="N1151" s="207"/>
      <c r="O1151" s="38" t="s">
        <v>21642</v>
      </c>
    </row>
    <row r="1152" spans="1:15" ht="72" customHeight="1" x14ac:dyDescent="0.3">
      <c r="A1152" s="242">
        <v>1132</v>
      </c>
      <c r="B1152" s="246" t="s">
        <v>12480</v>
      </c>
      <c r="C1152" s="246" t="s">
        <v>13418</v>
      </c>
      <c r="D1152" s="88"/>
      <c r="E1152" s="242">
        <v>43.9</v>
      </c>
      <c r="F1152" s="22">
        <f t="shared" si="81"/>
        <v>91269.745854361943</v>
      </c>
      <c r="G1152" s="43">
        <f t="shared" si="82"/>
        <v>13872.993457101658</v>
      </c>
      <c r="H1152" s="207"/>
      <c r="I1152" s="207" t="s">
        <v>12545</v>
      </c>
      <c r="J1152" s="66" t="s">
        <v>12548</v>
      </c>
      <c r="K1152" s="207"/>
      <c r="L1152" s="66"/>
      <c r="M1152" s="201" t="s">
        <v>12550</v>
      </c>
      <c r="N1152" s="207"/>
      <c r="O1152" s="38"/>
    </row>
    <row r="1153" spans="1:15" ht="72" customHeight="1" x14ac:dyDescent="0.3">
      <c r="A1153" s="242">
        <v>1133</v>
      </c>
      <c r="B1153" s="246" t="s">
        <v>12484</v>
      </c>
      <c r="C1153" s="246" t="s">
        <v>13419</v>
      </c>
      <c r="D1153" s="88"/>
      <c r="E1153" s="242">
        <v>36</v>
      </c>
      <c r="F1153" s="22">
        <f t="shared" si="81"/>
        <v>74845.349675558769</v>
      </c>
      <c r="G1153" s="43">
        <f t="shared" si="82"/>
        <v>11376.48666186013</v>
      </c>
      <c r="H1153" s="207"/>
      <c r="I1153" s="207" t="s">
        <v>12545</v>
      </c>
      <c r="J1153" s="66" t="s">
        <v>12548</v>
      </c>
      <c r="K1153" s="207"/>
      <c r="L1153" s="66"/>
      <c r="M1153" s="201" t="s">
        <v>12550</v>
      </c>
      <c r="N1153" s="207"/>
      <c r="O1153" s="38"/>
    </row>
    <row r="1154" spans="1:15" ht="72" customHeight="1" x14ac:dyDescent="0.3">
      <c r="A1154" s="2">
        <v>1134</v>
      </c>
      <c r="B1154" s="246" t="s">
        <v>12484</v>
      </c>
      <c r="C1154" s="246" t="s">
        <v>13420</v>
      </c>
      <c r="D1154" s="88"/>
      <c r="E1154" s="30">
        <v>36.4</v>
      </c>
      <c r="F1154" s="22">
        <f t="shared" ref="F1154:F1160" si="83">322737.2/352*E1154</f>
        <v>33373.960454545457</v>
      </c>
      <c r="G1154" s="43">
        <f t="shared" ref="G1154:G1160" si="84">55716.74/352*E1154</f>
        <v>5761.6174318181811</v>
      </c>
      <c r="H1154" s="207"/>
      <c r="I1154" s="207" t="s">
        <v>12545</v>
      </c>
      <c r="J1154" s="245" t="s">
        <v>12548</v>
      </c>
      <c r="K1154" s="207"/>
      <c r="L1154" s="66"/>
      <c r="M1154" s="201" t="s">
        <v>12550</v>
      </c>
      <c r="N1154" s="207"/>
      <c r="O1154" s="38" t="s">
        <v>19872</v>
      </c>
    </row>
    <row r="1155" spans="1:15" ht="72" customHeight="1" x14ac:dyDescent="0.3">
      <c r="A1155" s="242">
        <v>1135</v>
      </c>
      <c r="B1155" s="246" t="s">
        <v>12480</v>
      </c>
      <c r="C1155" s="246" t="s">
        <v>13421</v>
      </c>
      <c r="D1155" s="88"/>
      <c r="E1155" s="30">
        <v>59</v>
      </c>
      <c r="F1155" s="22">
        <f t="shared" si="83"/>
        <v>54095.155681818185</v>
      </c>
      <c r="G1155" s="43">
        <f t="shared" si="84"/>
        <v>9338.885397727272</v>
      </c>
      <c r="H1155" s="207"/>
      <c r="I1155" s="207" t="s">
        <v>12545</v>
      </c>
      <c r="J1155" s="66" t="s">
        <v>12548</v>
      </c>
      <c r="K1155" s="207"/>
      <c r="L1155" s="66"/>
      <c r="M1155" s="201" t="s">
        <v>12550</v>
      </c>
      <c r="N1155" s="207"/>
      <c r="O1155" s="38" t="s">
        <v>21643</v>
      </c>
    </row>
    <row r="1156" spans="1:15" ht="72" customHeight="1" x14ac:dyDescent="0.3">
      <c r="A1156" s="242">
        <v>1136</v>
      </c>
      <c r="B1156" s="246" t="s">
        <v>12480</v>
      </c>
      <c r="C1156" s="246" t="s">
        <v>13422</v>
      </c>
      <c r="D1156" s="88"/>
      <c r="E1156" s="30">
        <v>43.9</v>
      </c>
      <c r="F1156" s="22">
        <f t="shared" si="83"/>
        <v>40250.463295454545</v>
      </c>
      <c r="G1156" s="43">
        <f t="shared" si="84"/>
        <v>6948.7638806818168</v>
      </c>
      <c r="H1156" s="207"/>
      <c r="I1156" s="207" t="s">
        <v>12545</v>
      </c>
      <c r="J1156" s="66" t="s">
        <v>12548</v>
      </c>
      <c r="K1156" s="207"/>
      <c r="L1156" s="66"/>
      <c r="M1156" s="201" t="s">
        <v>12550</v>
      </c>
      <c r="N1156" s="207"/>
      <c r="O1156" s="38" t="s">
        <v>21644</v>
      </c>
    </row>
    <row r="1157" spans="1:15" ht="72" customHeight="1" x14ac:dyDescent="0.3">
      <c r="A1157" s="242">
        <v>1137</v>
      </c>
      <c r="B1157" s="246" t="s">
        <v>12480</v>
      </c>
      <c r="C1157" s="246" t="s">
        <v>13423</v>
      </c>
      <c r="D1157" s="88"/>
      <c r="E1157" s="30">
        <v>58.6</v>
      </c>
      <c r="F1157" s="22">
        <f t="shared" si="83"/>
        <v>53728.408863636367</v>
      </c>
      <c r="G1157" s="43">
        <f t="shared" si="84"/>
        <v>9275.5709204545437</v>
      </c>
      <c r="H1157" s="207"/>
      <c r="I1157" s="207" t="s">
        <v>12545</v>
      </c>
      <c r="J1157" s="66" t="s">
        <v>12548</v>
      </c>
      <c r="K1157" s="207"/>
      <c r="L1157" s="66"/>
      <c r="M1157" s="201" t="s">
        <v>12550</v>
      </c>
      <c r="N1157" s="207"/>
      <c r="O1157" s="38"/>
    </row>
    <row r="1158" spans="1:15" ht="72" customHeight="1" x14ac:dyDescent="0.3">
      <c r="A1158" s="242">
        <v>1138</v>
      </c>
      <c r="B1158" s="82" t="s">
        <v>12480</v>
      </c>
      <c r="C1158" s="246" t="s">
        <v>13424</v>
      </c>
      <c r="D1158" s="88"/>
      <c r="E1158" s="30">
        <v>58.5</v>
      </c>
      <c r="F1158" s="22">
        <f t="shared" si="83"/>
        <v>53636.72215909091</v>
      </c>
      <c r="G1158" s="43">
        <f t="shared" si="84"/>
        <v>9259.7423011363626</v>
      </c>
      <c r="H1158" s="207"/>
      <c r="I1158" s="207" t="s">
        <v>12545</v>
      </c>
      <c r="J1158" s="66" t="s">
        <v>12548</v>
      </c>
      <c r="K1158" s="207"/>
      <c r="L1158" s="66"/>
      <c r="M1158" s="201" t="s">
        <v>12550</v>
      </c>
      <c r="N1158" s="207"/>
      <c r="O1158" s="38" t="s">
        <v>21777</v>
      </c>
    </row>
    <row r="1159" spans="1:15" ht="72" customHeight="1" x14ac:dyDescent="0.3">
      <c r="A1159" s="242">
        <v>1139</v>
      </c>
      <c r="B1159" s="246" t="s">
        <v>12480</v>
      </c>
      <c r="C1159" s="246" t="s">
        <v>13425</v>
      </c>
      <c r="D1159" s="88"/>
      <c r="E1159" s="30">
        <v>58.9</v>
      </c>
      <c r="F1159" s="22">
        <f t="shared" si="83"/>
        <v>54003.468977272729</v>
      </c>
      <c r="G1159" s="43">
        <f t="shared" si="84"/>
        <v>9323.056778409089</v>
      </c>
      <c r="H1159" s="207"/>
      <c r="I1159" s="207" t="s">
        <v>12545</v>
      </c>
      <c r="J1159" s="245" t="s">
        <v>12548</v>
      </c>
      <c r="K1159" s="207"/>
      <c r="L1159" s="66"/>
      <c r="M1159" s="201" t="s">
        <v>12550</v>
      </c>
      <c r="N1159" s="207"/>
      <c r="O1159" s="38"/>
    </row>
    <row r="1160" spans="1:15" ht="72" customHeight="1" x14ac:dyDescent="0.3">
      <c r="A1160" s="242">
        <v>1140</v>
      </c>
      <c r="B1160" s="246" t="s">
        <v>12481</v>
      </c>
      <c r="C1160" s="246" t="s">
        <v>13426</v>
      </c>
      <c r="D1160" s="88"/>
      <c r="E1160" s="30">
        <v>36.700000000000003</v>
      </c>
      <c r="F1160" s="22">
        <f t="shared" si="83"/>
        <v>33649.020568181826</v>
      </c>
      <c r="G1160" s="43">
        <f t="shared" si="84"/>
        <v>5809.1032897727273</v>
      </c>
      <c r="H1160" s="207"/>
      <c r="I1160" s="207" t="s">
        <v>12545</v>
      </c>
      <c r="J1160" s="66" t="s">
        <v>12548</v>
      </c>
      <c r="K1160" s="207"/>
      <c r="L1160" s="66"/>
      <c r="M1160" s="201" t="s">
        <v>12550</v>
      </c>
      <c r="N1160" s="207"/>
      <c r="O1160" s="38" t="s">
        <v>21645</v>
      </c>
    </row>
    <row r="1161" spans="1:15" ht="72" customHeight="1" x14ac:dyDescent="0.3">
      <c r="A1161" s="2">
        <v>1141</v>
      </c>
      <c r="B1161" s="246" t="s">
        <v>12484</v>
      </c>
      <c r="C1161" s="246" t="s">
        <v>13427</v>
      </c>
      <c r="D1161" s="88"/>
      <c r="E1161" s="242">
        <v>36.1</v>
      </c>
      <c r="F1161" s="22">
        <f>1601351.7/226.3*E1161</f>
        <v>255452.03875386654</v>
      </c>
      <c r="G1161" s="43">
        <f>204973.03/226.3*E1161</f>
        <v>32697.862938577109</v>
      </c>
      <c r="H1161" s="207"/>
      <c r="I1161" s="207" t="s">
        <v>12545</v>
      </c>
      <c r="J1161" s="66" t="s">
        <v>12548</v>
      </c>
      <c r="K1161" s="207"/>
      <c r="L1161" s="66"/>
      <c r="M1161" s="201" t="s">
        <v>12550</v>
      </c>
      <c r="N1161" s="207"/>
      <c r="O1161" s="38" t="s">
        <v>21646</v>
      </c>
    </row>
    <row r="1162" spans="1:15" ht="72" customHeight="1" x14ac:dyDescent="0.3">
      <c r="A1162" s="242">
        <v>1142</v>
      </c>
      <c r="B1162" s="246" t="s">
        <v>12480</v>
      </c>
      <c r="C1162" s="246" t="s">
        <v>13428</v>
      </c>
      <c r="D1162" s="88"/>
      <c r="E1162" s="242">
        <v>58.7</v>
      </c>
      <c r="F1162" s="22">
        <f>1601351.7/226.3*E1162</f>
        <v>415374.92174105172</v>
      </c>
      <c r="G1162" s="43">
        <f>204973.03/226.3*E1162</f>
        <v>53167.993199292978</v>
      </c>
      <c r="H1162" s="207"/>
      <c r="I1162" s="207" t="s">
        <v>12545</v>
      </c>
      <c r="J1162" s="66" t="s">
        <v>12548</v>
      </c>
      <c r="K1162" s="207"/>
      <c r="L1162" s="66"/>
      <c r="M1162" s="201" t="s">
        <v>12550</v>
      </c>
      <c r="N1162" s="207"/>
      <c r="O1162" s="38" t="s">
        <v>21647</v>
      </c>
    </row>
    <row r="1163" spans="1:15" ht="72" customHeight="1" x14ac:dyDescent="0.3">
      <c r="A1163" s="242">
        <v>1143</v>
      </c>
      <c r="B1163" s="246" t="s">
        <v>12482</v>
      </c>
      <c r="C1163" s="246" t="s">
        <v>13429</v>
      </c>
      <c r="D1163" s="88"/>
      <c r="E1163" s="242">
        <v>72.599999999999994</v>
      </c>
      <c r="F1163" s="22">
        <f>1601351.7/226.3*E1163</f>
        <v>513734.571011931</v>
      </c>
      <c r="G1163" s="43">
        <f>204973.03/226.3*E1163</f>
        <v>65758.029067609357</v>
      </c>
      <c r="H1163" s="207"/>
      <c r="I1163" s="207" t="s">
        <v>12545</v>
      </c>
      <c r="J1163" s="66" t="s">
        <v>12548</v>
      </c>
      <c r="K1163" s="207"/>
      <c r="L1163" s="66"/>
      <c r="M1163" s="201" t="s">
        <v>12550</v>
      </c>
      <c r="N1163" s="207"/>
      <c r="O1163" s="38" t="s">
        <v>21648</v>
      </c>
    </row>
    <row r="1164" spans="1:15" ht="72" customHeight="1" x14ac:dyDescent="0.3">
      <c r="A1164" s="242">
        <v>1144</v>
      </c>
      <c r="B1164" s="246" t="s">
        <v>12480</v>
      </c>
      <c r="C1164" s="246" t="s">
        <v>13430</v>
      </c>
      <c r="D1164" s="88"/>
      <c r="E1164" s="242">
        <v>58.9</v>
      </c>
      <c r="F1164" s="22">
        <f>1601351.7/226.3*E1164</f>
        <v>416790.16849315068</v>
      </c>
      <c r="G1164" s="43">
        <f>204973.03/226.3*E1164</f>
        <v>53349.144794520544</v>
      </c>
      <c r="H1164" s="207"/>
      <c r="I1164" s="207" t="s">
        <v>12545</v>
      </c>
      <c r="J1164" s="66" t="s">
        <v>12548</v>
      </c>
      <c r="K1164" s="207"/>
      <c r="L1164" s="66"/>
      <c r="M1164" s="201" t="s">
        <v>12550</v>
      </c>
      <c r="N1164" s="207"/>
      <c r="O1164" s="38"/>
    </row>
    <row r="1165" spans="1:15" ht="144" customHeight="1" x14ac:dyDescent="0.3">
      <c r="A1165" s="242">
        <v>1145</v>
      </c>
      <c r="B1165" s="246" t="s">
        <v>12479</v>
      </c>
      <c r="C1165" s="246" t="s">
        <v>13431</v>
      </c>
      <c r="D1165" s="88"/>
      <c r="E1165" s="242">
        <v>59.1</v>
      </c>
      <c r="F1165" s="45">
        <v>2658006.1</v>
      </c>
      <c r="G1165" s="6">
        <v>361488.82</v>
      </c>
      <c r="H1165" s="207"/>
      <c r="I1165" s="207" t="s">
        <v>12545</v>
      </c>
      <c r="J1165" s="245" t="s">
        <v>12548</v>
      </c>
      <c r="K1165" s="242" t="s">
        <v>19110</v>
      </c>
      <c r="L1165" s="66" t="s">
        <v>19111</v>
      </c>
      <c r="M1165" s="201" t="s">
        <v>12550</v>
      </c>
      <c r="N1165" s="207"/>
      <c r="O1165" s="38" t="s">
        <v>21649</v>
      </c>
    </row>
    <row r="1166" spans="1:15" ht="84" customHeight="1" x14ac:dyDescent="0.3">
      <c r="A1166" s="242">
        <v>1146</v>
      </c>
      <c r="B1166" s="246" t="s">
        <v>12479</v>
      </c>
      <c r="C1166" s="47" t="s">
        <v>13432</v>
      </c>
      <c r="D1166" s="88"/>
      <c r="E1166" s="29">
        <v>41.4</v>
      </c>
      <c r="F1166" s="48">
        <v>742000</v>
      </c>
      <c r="G1166" s="49">
        <v>17808</v>
      </c>
      <c r="H1166" s="207"/>
      <c r="I1166" s="207" t="s">
        <v>12545</v>
      </c>
      <c r="J1166" s="66" t="s">
        <v>12548</v>
      </c>
      <c r="K1166" s="26">
        <v>41890</v>
      </c>
      <c r="L1166" s="66" t="s">
        <v>20154</v>
      </c>
      <c r="M1166" s="201" t="s">
        <v>12550</v>
      </c>
      <c r="N1166" s="207"/>
      <c r="O1166" s="38" t="s">
        <v>20456</v>
      </c>
    </row>
    <row r="1167" spans="1:15" ht="72" customHeight="1" x14ac:dyDescent="0.3">
      <c r="A1167" s="242">
        <v>1147</v>
      </c>
      <c r="B1167" s="246" t="s">
        <v>12484</v>
      </c>
      <c r="C1167" s="246" t="s">
        <v>13433</v>
      </c>
      <c r="D1167" s="88"/>
      <c r="E1167" s="242">
        <v>31.6</v>
      </c>
      <c r="F1167" s="45">
        <f t="shared" ref="F1167:F1176" si="85">74832.4/412.3*E1167</f>
        <v>5735.3961678389514</v>
      </c>
      <c r="G1167" s="6">
        <f t="shared" ref="G1167:G1176" si="86">10775.81/412.3*E1167</f>
        <v>825.89278680572397</v>
      </c>
      <c r="H1167" s="207"/>
      <c r="I1167" s="207" t="s">
        <v>12545</v>
      </c>
      <c r="J1167" s="66" t="s">
        <v>12548</v>
      </c>
      <c r="K1167" s="207" t="s">
        <v>22219</v>
      </c>
      <c r="L1167" s="66" t="s">
        <v>22220</v>
      </c>
      <c r="M1167" s="201" t="s">
        <v>12550</v>
      </c>
      <c r="N1167" s="207"/>
      <c r="O1167" s="38"/>
    </row>
    <row r="1168" spans="1:15" ht="72" customHeight="1" x14ac:dyDescent="0.3">
      <c r="A1168" s="242">
        <v>1148</v>
      </c>
      <c r="B1168" s="246" t="s">
        <v>12480</v>
      </c>
      <c r="C1168" s="246" t="s">
        <v>13434</v>
      </c>
      <c r="D1168" s="88"/>
      <c r="E1168" s="242">
        <v>51.8</v>
      </c>
      <c r="F1168" s="45">
        <f t="shared" si="85"/>
        <v>9401.6937181663816</v>
      </c>
      <c r="G1168" s="6">
        <f t="shared" si="86"/>
        <v>1353.8369100169778</v>
      </c>
      <c r="H1168" s="207"/>
      <c r="I1168" s="207" t="s">
        <v>12545</v>
      </c>
      <c r="J1168" s="66" t="s">
        <v>12548</v>
      </c>
      <c r="K1168" s="207" t="s">
        <v>22219</v>
      </c>
      <c r="L1168" s="66" t="s">
        <v>22220</v>
      </c>
      <c r="M1168" s="201" t="s">
        <v>12550</v>
      </c>
      <c r="N1168" s="207"/>
      <c r="O1168" s="38"/>
    </row>
    <row r="1169" spans="1:15" ht="72" customHeight="1" x14ac:dyDescent="0.3">
      <c r="A1169" s="242">
        <v>1149</v>
      </c>
      <c r="B1169" s="246" t="s">
        <v>12480</v>
      </c>
      <c r="C1169" s="246" t="s">
        <v>13435</v>
      </c>
      <c r="D1169" s="88"/>
      <c r="E1169" s="242">
        <v>41.3</v>
      </c>
      <c r="F1169" s="45">
        <f t="shared" si="85"/>
        <v>7495.9449915110335</v>
      </c>
      <c r="G1169" s="6">
        <f t="shared" si="86"/>
        <v>1079.4105093378607</v>
      </c>
      <c r="H1169" s="207"/>
      <c r="I1169" s="207" t="s">
        <v>12545</v>
      </c>
      <c r="J1169" s="66" t="s">
        <v>12548</v>
      </c>
      <c r="K1169" s="207" t="s">
        <v>22219</v>
      </c>
      <c r="L1169" s="66" t="s">
        <v>22220</v>
      </c>
      <c r="M1169" s="201" t="s">
        <v>12550</v>
      </c>
      <c r="N1169" s="207"/>
      <c r="O1169" s="38"/>
    </row>
    <row r="1170" spans="1:15" ht="72" customHeight="1" x14ac:dyDescent="0.3">
      <c r="A1170" s="242">
        <v>1150</v>
      </c>
      <c r="B1170" s="246" t="s">
        <v>12484</v>
      </c>
      <c r="C1170" s="246" t="s">
        <v>13436</v>
      </c>
      <c r="D1170" s="88"/>
      <c r="E1170" s="242">
        <v>30.8</v>
      </c>
      <c r="F1170" s="45">
        <f t="shared" si="85"/>
        <v>5590.1962648556864</v>
      </c>
      <c r="G1170" s="6">
        <f t="shared" si="86"/>
        <v>804.98410865874359</v>
      </c>
      <c r="H1170" s="207"/>
      <c r="I1170" s="207" t="s">
        <v>12545</v>
      </c>
      <c r="J1170" s="66" t="s">
        <v>12548</v>
      </c>
      <c r="K1170" s="207" t="s">
        <v>22219</v>
      </c>
      <c r="L1170" s="66" t="s">
        <v>22220</v>
      </c>
      <c r="M1170" s="201" t="s">
        <v>12550</v>
      </c>
      <c r="N1170" s="207"/>
      <c r="O1170" s="38"/>
    </row>
    <row r="1171" spans="1:15" ht="72" customHeight="1" x14ac:dyDescent="0.3">
      <c r="A1171" s="242">
        <v>1151</v>
      </c>
      <c r="B1171" s="246" t="s">
        <v>12484</v>
      </c>
      <c r="C1171" s="246" t="s">
        <v>13437</v>
      </c>
      <c r="D1171" s="88"/>
      <c r="E1171" s="242">
        <v>31.4</v>
      </c>
      <c r="F1171" s="45">
        <f t="shared" si="85"/>
        <v>5699.096192093135</v>
      </c>
      <c r="G1171" s="6">
        <f t="shared" si="86"/>
        <v>820.66561726897885</v>
      </c>
      <c r="H1171" s="207"/>
      <c r="I1171" s="207" t="s">
        <v>12545</v>
      </c>
      <c r="J1171" s="66" t="s">
        <v>12548</v>
      </c>
      <c r="K1171" s="207" t="s">
        <v>22219</v>
      </c>
      <c r="L1171" s="66" t="s">
        <v>22220</v>
      </c>
      <c r="M1171" s="201" t="s">
        <v>12550</v>
      </c>
      <c r="N1171" s="207"/>
      <c r="O1171" s="38"/>
    </row>
    <row r="1172" spans="1:15" ht="72" customHeight="1" x14ac:dyDescent="0.3">
      <c r="A1172" s="2">
        <v>1152</v>
      </c>
      <c r="B1172" s="246" t="s">
        <v>12480</v>
      </c>
      <c r="C1172" s="246" t="s">
        <v>13438</v>
      </c>
      <c r="D1172" s="88"/>
      <c r="E1172" s="242">
        <v>41.3</v>
      </c>
      <c r="F1172" s="45">
        <f t="shared" si="85"/>
        <v>7495.9449915110335</v>
      </c>
      <c r="G1172" s="6">
        <f t="shared" si="86"/>
        <v>1079.4105093378607</v>
      </c>
      <c r="H1172" s="207"/>
      <c r="I1172" s="207" t="s">
        <v>12545</v>
      </c>
      <c r="J1172" s="66" t="s">
        <v>12548</v>
      </c>
      <c r="K1172" s="207" t="s">
        <v>22219</v>
      </c>
      <c r="L1172" s="66" t="s">
        <v>22220</v>
      </c>
      <c r="M1172" s="201" t="s">
        <v>12550</v>
      </c>
      <c r="N1172" s="207"/>
      <c r="O1172" s="38"/>
    </row>
    <row r="1173" spans="1:15" ht="72" customHeight="1" x14ac:dyDescent="0.3">
      <c r="A1173" s="242">
        <v>1153</v>
      </c>
      <c r="B1173" s="246" t="s">
        <v>12480</v>
      </c>
      <c r="C1173" s="246" t="s">
        <v>13439</v>
      </c>
      <c r="D1173" s="88"/>
      <c r="E1173" s="242">
        <v>52.8</v>
      </c>
      <c r="F1173" s="45">
        <f t="shared" si="85"/>
        <v>9583.1935968954622</v>
      </c>
      <c r="G1173" s="6">
        <f t="shared" si="86"/>
        <v>1379.9727577007031</v>
      </c>
      <c r="H1173" s="207"/>
      <c r="I1173" s="207" t="s">
        <v>12545</v>
      </c>
      <c r="J1173" s="66" t="s">
        <v>12548</v>
      </c>
      <c r="K1173" s="207" t="s">
        <v>22219</v>
      </c>
      <c r="L1173" s="66" t="s">
        <v>22220</v>
      </c>
      <c r="M1173" s="201" t="s">
        <v>12550</v>
      </c>
      <c r="N1173" s="207"/>
      <c r="O1173" s="38"/>
    </row>
    <row r="1174" spans="1:15" ht="72" customHeight="1" x14ac:dyDescent="0.3">
      <c r="A1174" s="2">
        <v>1154</v>
      </c>
      <c r="B1174" s="246" t="s">
        <v>12484</v>
      </c>
      <c r="C1174" s="246" t="s">
        <v>13440</v>
      </c>
      <c r="D1174" s="88"/>
      <c r="E1174" s="242">
        <v>31.8</v>
      </c>
      <c r="F1174" s="45">
        <f t="shared" si="85"/>
        <v>5771.6961435847679</v>
      </c>
      <c r="G1174" s="6">
        <f t="shared" si="86"/>
        <v>831.11995634246898</v>
      </c>
      <c r="H1174" s="207"/>
      <c r="I1174" s="207" t="s">
        <v>12545</v>
      </c>
      <c r="J1174" s="66" t="s">
        <v>12548</v>
      </c>
      <c r="K1174" s="207" t="s">
        <v>22219</v>
      </c>
      <c r="L1174" s="66" t="s">
        <v>22220</v>
      </c>
      <c r="M1174" s="201" t="s">
        <v>12550</v>
      </c>
      <c r="N1174" s="207"/>
      <c r="O1174" s="38"/>
    </row>
    <row r="1175" spans="1:15" ht="72" customHeight="1" x14ac:dyDescent="0.3">
      <c r="A1175" s="2">
        <v>1155</v>
      </c>
      <c r="B1175" s="246" t="s">
        <v>12480</v>
      </c>
      <c r="C1175" s="246" t="s">
        <v>13441</v>
      </c>
      <c r="D1175" s="88"/>
      <c r="E1175" s="242">
        <v>40.9</v>
      </c>
      <c r="F1175" s="45">
        <f t="shared" si="85"/>
        <v>7423.3450400194015</v>
      </c>
      <c r="G1175" s="6">
        <f t="shared" si="86"/>
        <v>1068.9561702643705</v>
      </c>
      <c r="H1175" s="207"/>
      <c r="I1175" s="207" t="s">
        <v>12545</v>
      </c>
      <c r="J1175" s="66" t="s">
        <v>12548</v>
      </c>
      <c r="K1175" s="207" t="s">
        <v>22219</v>
      </c>
      <c r="L1175" s="66" t="s">
        <v>22220</v>
      </c>
      <c r="M1175" s="201" t="s">
        <v>12550</v>
      </c>
      <c r="N1175" s="207"/>
      <c r="O1175" s="38"/>
    </row>
    <row r="1176" spans="1:15" ht="72" customHeight="1" x14ac:dyDescent="0.3">
      <c r="A1176" s="242">
        <v>1156</v>
      </c>
      <c r="B1176" s="246" t="s">
        <v>12480</v>
      </c>
      <c r="C1176" s="246" t="s">
        <v>13442</v>
      </c>
      <c r="D1176" s="88"/>
      <c r="E1176" s="242">
        <v>52.2</v>
      </c>
      <c r="F1176" s="45">
        <f t="shared" si="85"/>
        <v>9474.2936696580146</v>
      </c>
      <c r="G1176" s="6">
        <f t="shared" si="86"/>
        <v>1364.291249090468</v>
      </c>
      <c r="H1176" s="207"/>
      <c r="I1176" s="207" t="s">
        <v>12545</v>
      </c>
      <c r="J1176" s="66" t="s">
        <v>12548</v>
      </c>
      <c r="K1176" s="207" t="s">
        <v>22219</v>
      </c>
      <c r="L1176" s="66" t="s">
        <v>22220</v>
      </c>
      <c r="M1176" s="201" t="s">
        <v>12550</v>
      </c>
      <c r="N1176" s="207"/>
      <c r="O1176" s="38"/>
    </row>
    <row r="1177" spans="1:15" ht="72" customHeight="1" x14ac:dyDescent="0.3">
      <c r="A1177" s="242">
        <v>1157</v>
      </c>
      <c r="B1177" s="246" t="s">
        <v>12486</v>
      </c>
      <c r="C1177" s="246" t="s">
        <v>13443</v>
      </c>
      <c r="D1177" s="88" t="s">
        <v>19413</v>
      </c>
      <c r="E1177" s="30">
        <v>71.400000000000006</v>
      </c>
      <c r="F1177" s="45">
        <v>739950.4</v>
      </c>
      <c r="G1177" s="51">
        <v>142070.5</v>
      </c>
      <c r="H1177" s="25"/>
      <c r="I1177" s="207" t="s">
        <v>12545</v>
      </c>
      <c r="J1177" s="245" t="s">
        <v>12548</v>
      </c>
      <c r="K1177" s="207"/>
      <c r="L1177" s="66"/>
      <c r="M1177" s="201" t="s">
        <v>12550</v>
      </c>
      <c r="N1177" s="207"/>
      <c r="O1177" s="38"/>
    </row>
    <row r="1178" spans="1:15" ht="72" customHeight="1" x14ac:dyDescent="0.3">
      <c r="A1178" s="242">
        <v>1158</v>
      </c>
      <c r="B1178" s="82" t="s">
        <v>12486</v>
      </c>
      <c r="C1178" s="246" t="s">
        <v>13444</v>
      </c>
      <c r="D1178" s="88"/>
      <c r="E1178" s="242">
        <v>66.3</v>
      </c>
      <c r="F1178" s="246">
        <v>316300.5</v>
      </c>
      <c r="G1178" s="51">
        <v>107201</v>
      </c>
      <c r="H1178" s="207"/>
      <c r="I1178" s="207" t="s">
        <v>12545</v>
      </c>
      <c r="J1178" s="245" t="s">
        <v>12548</v>
      </c>
      <c r="K1178" s="207"/>
      <c r="L1178" s="66"/>
      <c r="M1178" s="201" t="s">
        <v>12550</v>
      </c>
      <c r="N1178" s="207"/>
      <c r="O1178" s="38"/>
    </row>
    <row r="1179" spans="1:15" ht="80.400000000000006" customHeight="1" x14ac:dyDescent="0.3">
      <c r="A1179" s="242">
        <v>1159</v>
      </c>
      <c r="B1179" s="82" t="s">
        <v>23295</v>
      </c>
      <c r="C1179" s="82" t="s">
        <v>19414</v>
      </c>
      <c r="D1179" s="85" t="s">
        <v>19415</v>
      </c>
      <c r="E1179" s="242">
        <v>94.9</v>
      </c>
      <c r="F1179" s="45">
        <v>870177.5</v>
      </c>
      <c r="G1179" s="51">
        <v>153151.20000000001</v>
      </c>
      <c r="H1179" s="25"/>
      <c r="I1179" s="207" t="s">
        <v>12545</v>
      </c>
      <c r="J1179" s="245" t="s">
        <v>23377</v>
      </c>
      <c r="K1179" s="207"/>
      <c r="L1179" s="66"/>
      <c r="M1179" s="201" t="s">
        <v>12550</v>
      </c>
      <c r="N1179" s="245" t="s">
        <v>23153</v>
      </c>
      <c r="O1179" s="38"/>
    </row>
    <row r="1180" spans="1:15" ht="72" customHeight="1" x14ac:dyDescent="0.3">
      <c r="A1180" s="2">
        <v>1160</v>
      </c>
      <c r="B1180" s="246" t="s">
        <v>12486</v>
      </c>
      <c r="C1180" s="246" t="s">
        <v>13445</v>
      </c>
      <c r="D1180" s="88"/>
      <c r="E1180" s="242">
        <v>74.400000000000006</v>
      </c>
      <c r="F1180" s="45">
        <v>603270.5</v>
      </c>
      <c r="G1180" s="51">
        <v>125480.3</v>
      </c>
      <c r="H1180" s="207"/>
      <c r="I1180" s="207" t="s">
        <v>12545</v>
      </c>
      <c r="J1180" s="66" t="s">
        <v>12548</v>
      </c>
      <c r="K1180" s="207"/>
      <c r="L1180" s="245"/>
      <c r="M1180" s="201" t="s">
        <v>12550</v>
      </c>
      <c r="N1180" s="207"/>
      <c r="O1180" s="38"/>
    </row>
    <row r="1181" spans="1:15" ht="72" customHeight="1" x14ac:dyDescent="0.3">
      <c r="A1181" s="2">
        <v>1161</v>
      </c>
      <c r="B1181" s="246" t="s">
        <v>12486</v>
      </c>
      <c r="C1181" s="246" t="s">
        <v>13446</v>
      </c>
      <c r="D1181" s="88"/>
      <c r="E1181" s="2">
        <v>64.2</v>
      </c>
      <c r="F1181" s="45">
        <v>560546.6</v>
      </c>
      <c r="G1181" s="51">
        <v>238817.3</v>
      </c>
      <c r="H1181" s="207"/>
      <c r="I1181" s="207" t="s">
        <v>12545</v>
      </c>
      <c r="J1181" s="245" t="s">
        <v>12548</v>
      </c>
      <c r="K1181" s="207"/>
      <c r="L1181" s="66"/>
      <c r="M1181" s="201" t="s">
        <v>12550</v>
      </c>
      <c r="N1181" s="207"/>
      <c r="O1181" s="38" t="s">
        <v>19945</v>
      </c>
    </row>
    <row r="1182" spans="1:15" ht="84" customHeight="1" x14ac:dyDescent="0.3">
      <c r="A1182" s="242">
        <v>1162</v>
      </c>
      <c r="B1182" s="246" t="s">
        <v>12479</v>
      </c>
      <c r="C1182" s="246" t="s">
        <v>13447</v>
      </c>
      <c r="D1182" s="88"/>
      <c r="E1182" s="242">
        <v>62.3</v>
      </c>
      <c r="F1182" s="45">
        <v>532654</v>
      </c>
      <c r="G1182" s="6">
        <v>110792.03</v>
      </c>
      <c r="H1182" s="207"/>
      <c r="I1182" s="207" t="s">
        <v>12545</v>
      </c>
      <c r="J1182" s="66" t="s">
        <v>12548</v>
      </c>
      <c r="K1182" s="207"/>
      <c r="L1182" s="66"/>
      <c r="M1182" s="201" t="s">
        <v>12550</v>
      </c>
      <c r="N1182" s="207"/>
      <c r="O1182" s="38" t="s">
        <v>21650</v>
      </c>
    </row>
    <row r="1183" spans="1:15" ht="72" customHeight="1" x14ac:dyDescent="0.3">
      <c r="A1183" s="242">
        <v>1163</v>
      </c>
      <c r="B1183" s="82" t="s">
        <v>12478</v>
      </c>
      <c r="C1183" s="82" t="s">
        <v>13448</v>
      </c>
      <c r="D1183" s="88"/>
      <c r="E1183" s="242">
        <v>63.4</v>
      </c>
      <c r="F1183" s="45">
        <v>801416</v>
      </c>
      <c r="G1183" s="51">
        <v>147460.5</v>
      </c>
      <c r="H1183" s="207"/>
      <c r="I1183" s="207" t="s">
        <v>12545</v>
      </c>
      <c r="J1183" s="245" t="s">
        <v>12548</v>
      </c>
      <c r="K1183" s="207"/>
      <c r="L1183" s="66"/>
      <c r="M1183" s="201" t="s">
        <v>12550</v>
      </c>
      <c r="N1183" s="207"/>
      <c r="O1183" s="38"/>
    </row>
    <row r="1184" spans="1:15" ht="72" customHeight="1" x14ac:dyDescent="0.3">
      <c r="A1184" s="2">
        <v>1164</v>
      </c>
      <c r="B1184" s="246" t="s">
        <v>12478</v>
      </c>
      <c r="C1184" s="246" t="s">
        <v>13449</v>
      </c>
      <c r="D1184" s="88"/>
      <c r="E1184" s="2">
        <v>63.4</v>
      </c>
      <c r="F1184" s="45">
        <v>799119</v>
      </c>
      <c r="G1184" s="51">
        <v>147037.9</v>
      </c>
      <c r="H1184" s="207"/>
      <c r="I1184" s="207" t="s">
        <v>12545</v>
      </c>
      <c r="J1184" s="245" t="s">
        <v>12548</v>
      </c>
      <c r="K1184" s="207"/>
      <c r="L1184" s="66"/>
      <c r="M1184" s="201" t="s">
        <v>12550</v>
      </c>
      <c r="N1184" s="207"/>
      <c r="O1184" s="38"/>
    </row>
    <row r="1185" spans="1:15" ht="72" customHeight="1" x14ac:dyDescent="0.3">
      <c r="A1185" s="2">
        <v>1165</v>
      </c>
      <c r="B1185" s="246" t="s">
        <v>12478</v>
      </c>
      <c r="C1185" s="246" t="s">
        <v>13450</v>
      </c>
      <c r="D1185" s="88"/>
      <c r="E1185" s="2">
        <v>63.7</v>
      </c>
      <c r="F1185" s="45">
        <v>798961</v>
      </c>
      <c r="G1185" s="51">
        <v>147008.79999999999</v>
      </c>
      <c r="H1185" s="207"/>
      <c r="I1185" s="207" t="s">
        <v>12545</v>
      </c>
      <c r="J1185" s="245" t="s">
        <v>12548</v>
      </c>
      <c r="K1185" s="207"/>
      <c r="L1185" s="66"/>
      <c r="M1185" s="201" t="s">
        <v>12550</v>
      </c>
      <c r="N1185" s="207"/>
      <c r="O1185" s="38"/>
    </row>
    <row r="1186" spans="1:15" ht="72" customHeight="1" x14ac:dyDescent="0.3">
      <c r="A1186" s="242">
        <v>1166</v>
      </c>
      <c r="B1186" s="246" t="s">
        <v>12478</v>
      </c>
      <c r="C1186" s="246" t="s">
        <v>13451</v>
      </c>
      <c r="D1186" s="88"/>
      <c r="E1186" s="30">
        <v>63</v>
      </c>
      <c r="F1186" s="45">
        <v>794527</v>
      </c>
      <c r="G1186" s="51">
        <v>139836.79999999999</v>
      </c>
      <c r="H1186" s="207"/>
      <c r="I1186" s="207" t="s">
        <v>12545</v>
      </c>
      <c r="J1186" s="66" t="s">
        <v>12548</v>
      </c>
      <c r="K1186" s="207"/>
      <c r="L1186" s="66"/>
      <c r="M1186" s="201" t="s">
        <v>12550</v>
      </c>
      <c r="N1186" s="207"/>
      <c r="O1186" s="38" t="s">
        <v>21651</v>
      </c>
    </row>
    <row r="1187" spans="1:15" ht="72" customHeight="1" x14ac:dyDescent="0.3">
      <c r="A1187" s="2">
        <v>1167</v>
      </c>
      <c r="B1187" s="246" t="s">
        <v>12478</v>
      </c>
      <c r="C1187" s="246" t="s">
        <v>13452</v>
      </c>
      <c r="D1187" s="88"/>
      <c r="E1187" s="242">
        <v>62.6</v>
      </c>
      <c r="F1187" s="45">
        <v>761403.2</v>
      </c>
      <c r="G1187" s="51">
        <v>127714.8</v>
      </c>
      <c r="H1187" s="207"/>
      <c r="I1187" s="207" t="s">
        <v>12545</v>
      </c>
      <c r="J1187" s="245" t="s">
        <v>12548</v>
      </c>
      <c r="K1187" s="207"/>
      <c r="L1187" s="66"/>
      <c r="M1187" s="201" t="s">
        <v>12550</v>
      </c>
      <c r="N1187" s="207"/>
      <c r="O1187" s="38"/>
    </row>
    <row r="1188" spans="1:15" ht="72" customHeight="1" x14ac:dyDescent="0.3">
      <c r="A1188" s="242">
        <v>1168</v>
      </c>
      <c r="B1188" s="47" t="s">
        <v>12480</v>
      </c>
      <c r="C1188" s="47" t="s">
        <v>13453</v>
      </c>
      <c r="D1188" s="88"/>
      <c r="E1188" s="156">
        <v>46</v>
      </c>
      <c r="F1188" s="50">
        <f t="shared" ref="F1188:F1196" si="87">11382216/476.3*E1188</f>
        <v>1099269.2336762545</v>
      </c>
      <c r="G1188" s="43">
        <f t="shared" ref="G1188:G1196" si="88">143287.87/476.3*E1188</f>
        <v>13838.425404157044</v>
      </c>
      <c r="H1188" s="207"/>
      <c r="I1188" s="207" t="s">
        <v>12545</v>
      </c>
      <c r="J1188" s="66" t="s">
        <v>12548</v>
      </c>
      <c r="K1188" s="207"/>
      <c r="L1188" s="66"/>
      <c r="M1188" s="201" t="s">
        <v>12550</v>
      </c>
      <c r="N1188" s="207"/>
      <c r="O1188" s="38" t="s">
        <v>21652</v>
      </c>
    </row>
    <row r="1189" spans="1:15" ht="84" customHeight="1" x14ac:dyDescent="0.3">
      <c r="A1189" s="2">
        <v>1169</v>
      </c>
      <c r="B1189" s="47" t="s">
        <v>12480</v>
      </c>
      <c r="C1189" s="47" t="s">
        <v>13454</v>
      </c>
      <c r="D1189" s="88"/>
      <c r="E1189" s="156">
        <v>50.2</v>
      </c>
      <c r="F1189" s="50">
        <f t="shared" si="87"/>
        <v>1199637.2941423473</v>
      </c>
      <c r="G1189" s="43">
        <f t="shared" si="88"/>
        <v>15101.933810623557</v>
      </c>
      <c r="H1189" s="207"/>
      <c r="I1189" s="207" t="s">
        <v>12545</v>
      </c>
      <c r="J1189" s="66" t="s">
        <v>12548</v>
      </c>
      <c r="K1189" s="207"/>
      <c r="L1189" s="66"/>
      <c r="M1189" s="201" t="s">
        <v>12550</v>
      </c>
      <c r="N1189" s="207"/>
      <c r="O1189" s="38" t="s">
        <v>19970</v>
      </c>
    </row>
    <row r="1190" spans="1:15" ht="72" customHeight="1" x14ac:dyDescent="0.3">
      <c r="A1190" s="2">
        <v>1170</v>
      </c>
      <c r="B1190" s="47" t="s">
        <v>12480</v>
      </c>
      <c r="C1190" s="47" t="s">
        <v>13455</v>
      </c>
      <c r="D1190" s="88"/>
      <c r="E1190" s="156">
        <v>47.2</v>
      </c>
      <c r="F1190" s="50">
        <f t="shared" si="87"/>
        <v>1127945.8223808524</v>
      </c>
      <c r="G1190" s="43">
        <f t="shared" si="88"/>
        <v>14199.42780600462</v>
      </c>
      <c r="H1190" s="207"/>
      <c r="I1190" s="207" t="s">
        <v>12545</v>
      </c>
      <c r="J1190" s="245" t="s">
        <v>12548</v>
      </c>
      <c r="K1190" s="207"/>
      <c r="L1190" s="66"/>
      <c r="M1190" s="201" t="s">
        <v>12550</v>
      </c>
      <c r="N1190" s="207"/>
      <c r="O1190" s="38" t="s">
        <v>19899</v>
      </c>
    </row>
    <row r="1191" spans="1:15" ht="72" customHeight="1" x14ac:dyDescent="0.3">
      <c r="A1191" s="242">
        <v>1171</v>
      </c>
      <c r="B1191" s="47" t="s">
        <v>12480</v>
      </c>
      <c r="C1191" s="47" t="s">
        <v>13456</v>
      </c>
      <c r="D1191" s="88"/>
      <c r="E1191" s="156">
        <v>45.8</v>
      </c>
      <c r="F1191" s="50">
        <f t="shared" si="87"/>
        <v>1094489.802225488</v>
      </c>
      <c r="G1191" s="43">
        <f t="shared" si="88"/>
        <v>13778.258337182448</v>
      </c>
      <c r="H1191" s="207"/>
      <c r="I1191" s="207" t="s">
        <v>12545</v>
      </c>
      <c r="J1191" s="66" t="s">
        <v>12548</v>
      </c>
      <c r="K1191" s="207"/>
      <c r="L1191" s="66"/>
      <c r="M1191" s="201" t="s">
        <v>12550</v>
      </c>
      <c r="N1191" s="207"/>
      <c r="O1191" s="38"/>
    </row>
    <row r="1192" spans="1:15" ht="72" customHeight="1" x14ac:dyDescent="0.3">
      <c r="A1192" s="2">
        <v>1172</v>
      </c>
      <c r="B1192" s="47" t="s">
        <v>12480</v>
      </c>
      <c r="C1192" s="47" t="s">
        <v>13457</v>
      </c>
      <c r="D1192" s="88"/>
      <c r="E1192" s="156">
        <v>50.5</v>
      </c>
      <c r="F1192" s="50">
        <f t="shared" si="87"/>
        <v>1206806.4413184966</v>
      </c>
      <c r="G1192" s="43">
        <f t="shared" si="88"/>
        <v>15192.184411085451</v>
      </c>
      <c r="H1192" s="207"/>
      <c r="I1192" s="207" t="s">
        <v>12545</v>
      </c>
      <c r="J1192" s="66" t="s">
        <v>12548</v>
      </c>
      <c r="K1192" s="207"/>
      <c r="L1192" s="66"/>
      <c r="M1192" s="201" t="s">
        <v>12550</v>
      </c>
      <c r="N1192" s="207"/>
      <c r="O1192" s="38" t="s">
        <v>21653</v>
      </c>
    </row>
    <row r="1193" spans="1:15" ht="72" customHeight="1" x14ac:dyDescent="0.3">
      <c r="A1193" s="242">
        <v>1173</v>
      </c>
      <c r="B1193" s="47" t="s">
        <v>12482</v>
      </c>
      <c r="C1193" s="47" t="s">
        <v>13458</v>
      </c>
      <c r="D1193" s="88"/>
      <c r="E1193" s="156">
        <v>66.2</v>
      </c>
      <c r="F1193" s="50">
        <f t="shared" si="87"/>
        <v>1581991.8102036531</v>
      </c>
      <c r="G1193" s="43">
        <f t="shared" si="88"/>
        <v>19915.299168591224</v>
      </c>
      <c r="H1193" s="207"/>
      <c r="I1193" s="207" t="s">
        <v>12545</v>
      </c>
      <c r="J1193" s="66" t="s">
        <v>12548</v>
      </c>
      <c r="K1193" s="207"/>
      <c r="L1193" s="66"/>
      <c r="M1193" s="201" t="s">
        <v>12550</v>
      </c>
      <c r="N1193" s="207"/>
      <c r="O1193" s="38" t="s">
        <v>19880</v>
      </c>
    </row>
    <row r="1194" spans="1:15" ht="84" customHeight="1" x14ac:dyDescent="0.3">
      <c r="A1194" s="242">
        <v>1174</v>
      </c>
      <c r="B1194" s="47" t="s">
        <v>12480</v>
      </c>
      <c r="C1194" s="47" t="s">
        <v>13459</v>
      </c>
      <c r="D1194" s="88"/>
      <c r="E1194" s="156">
        <v>52.2</v>
      </c>
      <c r="F1194" s="50">
        <f t="shared" si="87"/>
        <v>1247431.6086500105</v>
      </c>
      <c r="G1194" s="43">
        <f t="shared" si="88"/>
        <v>15703.604480369517</v>
      </c>
      <c r="H1194" s="207"/>
      <c r="I1194" s="207" t="s">
        <v>12545</v>
      </c>
      <c r="J1194" s="66" t="s">
        <v>12548</v>
      </c>
      <c r="K1194" s="207"/>
      <c r="L1194" s="66"/>
      <c r="M1194" s="201" t="s">
        <v>12550</v>
      </c>
      <c r="N1194" s="207"/>
      <c r="O1194" s="38" t="s">
        <v>19881</v>
      </c>
    </row>
    <row r="1195" spans="1:15" ht="72" customHeight="1" x14ac:dyDescent="0.3">
      <c r="A1195" s="242">
        <v>1175</v>
      </c>
      <c r="B1195" s="47" t="s">
        <v>12482</v>
      </c>
      <c r="C1195" s="47" t="s">
        <v>13460</v>
      </c>
      <c r="D1195" s="88"/>
      <c r="E1195" s="156">
        <v>66.2</v>
      </c>
      <c r="F1195" s="50">
        <f t="shared" si="87"/>
        <v>1581991.8102036531</v>
      </c>
      <c r="G1195" s="43">
        <f t="shared" si="88"/>
        <v>19915.299168591224</v>
      </c>
      <c r="H1195" s="207"/>
      <c r="I1195" s="207" t="s">
        <v>12545</v>
      </c>
      <c r="J1195" s="66" t="s">
        <v>12548</v>
      </c>
      <c r="K1195" s="207"/>
      <c r="L1195" s="66"/>
      <c r="M1195" s="201" t="s">
        <v>12550</v>
      </c>
      <c r="N1195" s="207"/>
      <c r="O1195" s="38" t="s">
        <v>21654</v>
      </c>
    </row>
    <row r="1196" spans="1:15" ht="72" customHeight="1" x14ac:dyDescent="0.3">
      <c r="A1196" s="242">
        <v>1176</v>
      </c>
      <c r="B1196" s="47" t="s">
        <v>12480</v>
      </c>
      <c r="C1196" s="47" t="s">
        <v>13461</v>
      </c>
      <c r="D1196" s="88"/>
      <c r="E1196" s="156">
        <v>52</v>
      </c>
      <c r="F1196" s="50">
        <f t="shared" si="87"/>
        <v>1242652.177199244</v>
      </c>
      <c r="G1196" s="43">
        <f t="shared" si="88"/>
        <v>15643.437413394919</v>
      </c>
      <c r="H1196" s="207"/>
      <c r="I1196" s="207" t="s">
        <v>12545</v>
      </c>
      <c r="J1196" s="66" t="s">
        <v>12548</v>
      </c>
      <c r="K1196" s="207"/>
      <c r="L1196" s="66"/>
      <c r="M1196" s="201" t="s">
        <v>12550</v>
      </c>
      <c r="N1196" s="207"/>
      <c r="O1196" s="38" t="s">
        <v>21655</v>
      </c>
    </row>
    <row r="1197" spans="1:15" ht="72" customHeight="1" x14ac:dyDescent="0.3">
      <c r="A1197" s="242">
        <v>1177</v>
      </c>
      <c r="B1197" s="246" t="s">
        <v>12478</v>
      </c>
      <c r="C1197" s="246" t="s">
        <v>18041</v>
      </c>
      <c r="D1197" s="88"/>
      <c r="E1197" s="242">
        <v>73.099999999999994</v>
      </c>
      <c r="F1197" s="45">
        <v>715533</v>
      </c>
      <c r="G1197" s="51">
        <v>95080.8</v>
      </c>
      <c r="H1197" s="207"/>
      <c r="I1197" s="207" t="s">
        <v>12545</v>
      </c>
      <c r="J1197" s="66" t="s">
        <v>12548</v>
      </c>
      <c r="K1197" s="207"/>
      <c r="L1197" s="66"/>
      <c r="M1197" s="201" t="s">
        <v>12550</v>
      </c>
      <c r="N1197" s="207"/>
      <c r="O1197" s="38"/>
    </row>
    <row r="1198" spans="1:15" ht="120" x14ac:dyDescent="0.3">
      <c r="A1198" s="242">
        <v>1178</v>
      </c>
      <c r="B1198" s="246" t="s">
        <v>23270</v>
      </c>
      <c r="C1198" s="246" t="s">
        <v>23629</v>
      </c>
      <c r="D1198" s="88"/>
      <c r="E1198" s="242">
        <v>71.599999999999994</v>
      </c>
      <c r="F1198" s="22">
        <v>778452</v>
      </c>
      <c r="G1198" s="43">
        <v>97997.9</v>
      </c>
      <c r="H1198" s="207"/>
      <c r="I1198" s="207" t="s">
        <v>12545</v>
      </c>
      <c r="J1198" s="66" t="s">
        <v>12548</v>
      </c>
      <c r="K1198" s="207"/>
      <c r="L1198" s="66"/>
      <c r="M1198" s="201" t="s">
        <v>12550</v>
      </c>
      <c r="N1198" s="207"/>
      <c r="O1198" s="38" t="s">
        <v>23630</v>
      </c>
    </row>
    <row r="1199" spans="1:15" ht="84" customHeight="1" x14ac:dyDescent="0.3">
      <c r="A1199" s="242">
        <v>1179</v>
      </c>
      <c r="B1199" s="246" t="s">
        <v>12478</v>
      </c>
      <c r="C1199" s="246" t="s">
        <v>13462</v>
      </c>
      <c r="D1199" s="88"/>
      <c r="E1199" s="242">
        <v>73.099999999999994</v>
      </c>
      <c r="F1199" s="45">
        <v>718728</v>
      </c>
      <c r="G1199" s="51">
        <v>95505.4</v>
      </c>
      <c r="H1199" s="207"/>
      <c r="I1199" s="207" t="s">
        <v>12545</v>
      </c>
      <c r="J1199" s="66" t="s">
        <v>12548</v>
      </c>
      <c r="K1199" s="207"/>
      <c r="L1199" s="66"/>
      <c r="M1199" s="201" t="s">
        <v>12550</v>
      </c>
      <c r="N1199" s="207"/>
      <c r="O1199" s="38" t="s">
        <v>23116</v>
      </c>
    </row>
    <row r="1200" spans="1:15" ht="192.6" customHeight="1" x14ac:dyDescent="0.3">
      <c r="A1200" s="242">
        <v>1180</v>
      </c>
      <c r="B1200" s="246" t="s">
        <v>23270</v>
      </c>
      <c r="C1200" s="246" t="s">
        <v>23155</v>
      </c>
      <c r="D1200" s="88"/>
      <c r="E1200" s="242">
        <v>91.3</v>
      </c>
      <c r="F1200" s="22">
        <v>778452</v>
      </c>
      <c r="G1200" s="43">
        <v>97997.9</v>
      </c>
      <c r="H1200" s="207"/>
      <c r="I1200" s="207" t="s">
        <v>12545</v>
      </c>
      <c r="J1200" s="66" t="s">
        <v>12548</v>
      </c>
      <c r="K1200" s="207" t="s">
        <v>23594</v>
      </c>
      <c r="L1200" s="66" t="s">
        <v>23595</v>
      </c>
      <c r="M1200" s="201" t="s">
        <v>12550</v>
      </c>
      <c r="N1200" s="207"/>
      <c r="O1200" s="38" t="s">
        <v>23445</v>
      </c>
    </row>
    <row r="1201" spans="1:15" ht="72" customHeight="1" x14ac:dyDescent="0.3">
      <c r="A1201" s="242">
        <v>1181</v>
      </c>
      <c r="B1201" s="246" t="s">
        <v>12478</v>
      </c>
      <c r="C1201" s="246" t="s">
        <v>13463</v>
      </c>
      <c r="D1201" s="88"/>
      <c r="E1201" s="242">
        <v>100.1</v>
      </c>
      <c r="F1201" s="45">
        <v>906048</v>
      </c>
      <c r="G1201" s="51">
        <v>107724.7</v>
      </c>
      <c r="H1201" s="207"/>
      <c r="I1201" s="207" t="s">
        <v>12545</v>
      </c>
      <c r="J1201" s="66" t="s">
        <v>12548</v>
      </c>
      <c r="K1201" s="207"/>
      <c r="L1201" s="66"/>
      <c r="M1201" s="201" t="s">
        <v>12550</v>
      </c>
      <c r="N1201" s="207"/>
      <c r="O1201" s="38"/>
    </row>
    <row r="1202" spans="1:15" ht="72" customHeight="1" x14ac:dyDescent="0.3">
      <c r="A1202" s="242">
        <v>1182</v>
      </c>
      <c r="B1202" s="246" t="s">
        <v>12478</v>
      </c>
      <c r="C1202" s="246" t="s">
        <v>13464</v>
      </c>
      <c r="D1202" s="88"/>
      <c r="E1202" s="242">
        <v>47.9</v>
      </c>
      <c r="F1202" s="45">
        <v>56579</v>
      </c>
      <c r="G1202" s="51">
        <v>17925.2</v>
      </c>
      <c r="H1202" s="207"/>
      <c r="I1202" s="207" t="s">
        <v>12545</v>
      </c>
      <c r="J1202" s="66" t="s">
        <v>12548</v>
      </c>
      <c r="K1202" s="242" t="s">
        <v>20444</v>
      </c>
      <c r="L1202" s="66" t="s">
        <v>20445</v>
      </c>
      <c r="M1202" s="201" t="s">
        <v>12550</v>
      </c>
      <c r="N1202" s="207"/>
      <c r="O1202" s="38" t="s">
        <v>20449</v>
      </c>
    </row>
    <row r="1203" spans="1:15" ht="72" customHeight="1" x14ac:dyDescent="0.3">
      <c r="A1203" s="242">
        <v>1183</v>
      </c>
      <c r="B1203" s="246" t="s">
        <v>12478</v>
      </c>
      <c r="C1203" s="246" t="s">
        <v>13465</v>
      </c>
      <c r="D1203" s="88"/>
      <c r="E1203" s="30">
        <v>68</v>
      </c>
      <c r="F1203" s="45">
        <v>286108</v>
      </c>
      <c r="G1203" s="51">
        <v>93843.4</v>
      </c>
      <c r="H1203" s="207"/>
      <c r="I1203" s="207" t="s">
        <v>12545</v>
      </c>
      <c r="J1203" s="66" t="s">
        <v>12548</v>
      </c>
      <c r="K1203" s="207"/>
      <c r="L1203" s="66"/>
      <c r="M1203" s="201" t="s">
        <v>12550</v>
      </c>
      <c r="N1203" s="207"/>
      <c r="O1203" s="38"/>
    </row>
    <row r="1204" spans="1:15" ht="72" customHeight="1" x14ac:dyDescent="0.3">
      <c r="A1204" s="2">
        <v>1184</v>
      </c>
      <c r="B1204" s="246" t="s">
        <v>12478</v>
      </c>
      <c r="C1204" s="246" t="s">
        <v>13466</v>
      </c>
      <c r="D1204" s="88"/>
      <c r="E1204" s="242">
        <v>67.5</v>
      </c>
      <c r="F1204" s="45">
        <v>268108</v>
      </c>
      <c r="G1204" s="51">
        <v>81504.800000000003</v>
      </c>
      <c r="H1204" s="207"/>
      <c r="I1204" s="207" t="s">
        <v>12545</v>
      </c>
      <c r="J1204" s="66" t="s">
        <v>12548</v>
      </c>
      <c r="K1204" s="207"/>
      <c r="L1204" s="66"/>
      <c r="M1204" s="201" t="s">
        <v>12550</v>
      </c>
      <c r="N1204" s="207"/>
      <c r="O1204" s="38"/>
    </row>
    <row r="1205" spans="1:15" ht="72" customHeight="1" x14ac:dyDescent="0.3">
      <c r="A1205" s="2">
        <v>1185</v>
      </c>
      <c r="B1205" s="246" t="s">
        <v>12480</v>
      </c>
      <c r="C1205" s="246" t="s">
        <v>13467</v>
      </c>
      <c r="D1205" s="88"/>
      <c r="E1205" s="242">
        <v>51.5</v>
      </c>
      <c r="F1205" s="22">
        <f t="shared" ref="F1205:F1210" si="89">773313.8/306.8*E1205</f>
        <v>129809.84582790092</v>
      </c>
      <c r="G1205" s="43">
        <f t="shared" ref="G1205:G1210" si="90">228900.86/306.8*E1205</f>
        <v>38423.710202086048</v>
      </c>
      <c r="H1205" s="207"/>
      <c r="I1205" s="207" t="s">
        <v>12545</v>
      </c>
      <c r="J1205" s="66" t="s">
        <v>12548</v>
      </c>
      <c r="K1205" s="207"/>
      <c r="L1205" s="66"/>
      <c r="M1205" s="201" t="s">
        <v>12550</v>
      </c>
      <c r="N1205" s="207"/>
      <c r="O1205" s="38"/>
    </row>
    <row r="1206" spans="1:15" ht="72" customHeight="1" x14ac:dyDescent="0.3">
      <c r="A1206" s="2">
        <v>1186</v>
      </c>
      <c r="B1206" s="246" t="s">
        <v>12480</v>
      </c>
      <c r="C1206" s="246" t="s">
        <v>13468</v>
      </c>
      <c r="D1206" s="88"/>
      <c r="E1206" s="242">
        <v>50.5</v>
      </c>
      <c r="F1206" s="22">
        <f t="shared" si="89"/>
        <v>127289.26629726206</v>
      </c>
      <c r="G1206" s="43">
        <f t="shared" si="90"/>
        <v>37677.618741851365</v>
      </c>
      <c r="H1206" s="207"/>
      <c r="I1206" s="207" t="s">
        <v>12545</v>
      </c>
      <c r="J1206" s="66" t="s">
        <v>12548</v>
      </c>
      <c r="K1206" s="207"/>
      <c r="L1206" s="66"/>
      <c r="M1206" s="201" t="s">
        <v>12550</v>
      </c>
      <c r="N1206" s="207"/>
      <c r="O1206" s="38" t="s">
        <v>21656</v>
      </c>
    </row>
    <row r="1207" spans="1:15" ht="72" customHeight="1" x14ac:dyDescent="0.3">
      <c r="A1207" s="2">
        <v>1187</v>
      </c>
      <c r="B1207" s="246" t="s">
        <v>12480</v>
      </c>
      <c r="C1207" s="246" t="s">
        <v>13469</v>
      </c>
      <c r="D1207" s="88"/>
      <c r="E1207" s="242">
        <v>51.2</v>
      </c>
      <c r="F1207" s="22">
        <f t="shared" si="89"/>
        <v>129053.67196870927</v>
      </c>
      <c r="G1207" s="43">
        <f t="shared" si="90"/>
        <v>38199.882764015645</v>
      </c>
      <c r="H1207" s="207"/>
      <c r="I1207" s="207" t="s">
        <v>12545</v>
      </c>
      <c r="J1207" s="66" t="s">
        <v>12548</v>
      </c>
      <c r="K1207" s="207"/>
      <c r="L1207" s="66"/>
      <c r="M1207" s="201" t="s">
        <v>12550</v>
      </c>
      <c r="N1207" s="207"/>
      <c r="O1207" s="38" t="s">
        <v>21657</v>
      </c>
    </row>
    <row r="1208" spans="1:15" ht="72" customHeight="1" x14ac:dyDescent="0.3">
      <c r="A1208" s="2">
        <v>1188</v>
      </c>
      <c r="B1208" s="246" t="s">
        <v>12480</v>
      </c>
      <c r="C1208" s="246" t="s">
        <v>13470</v>
      </c>
      <c r="D1208" s="88"/>
      <c r="E1208" s="242">
        <v>50.5</v>
      </c>
      <c r="F1208" s="22">
        <f t="shared" si="89"/>
        <v>127289.26629726206</v>
      </c>
      <c r="G1208" s="43">
        <f t="shared" si="90"/>
        <v>37677.618741851365</v>
      </c>
      <c r="H1208" s="207"/>
      <c r="I1208" s="207" t="s">
        <v>12545</v>
      </c>
      <c r="J1208" s="66" t="s">
        <v>12548</v>
      </c>
      <c r="K1208" s="207"/>
      <c r="L1208" s="66"/>
      <c r="M1208" s="201" t="s">
        <v>12550</v>
      </c>
      <c r="N1208" s="207"/>
      <c r="O1208" s="38" t="s">
        <v>21658</v>
      </c>
    </row>
    <row r="1209" spans="1:15" ht="72" customHeight="1" x14ac:dyDescent="0.3">
      <c r="A1209" s="242">
        <v>1189</v>
      </c>
      <c r="B1209" s="246" t="s">
        <v>12480</v>
      </c>
      <c r="C1209" s="246" t="s">
        <v>13471</v>
      </c>
      <c r="D1209" s="88"/>
      <c r="E1209" s="242">
        <v>53.8</v>
      </c>
      <c r="F1209" s="22">
        <f t="shared" si="89"/>
        <v>135607.17874837026</v>
      </c>
      <c r="G1209" s="43">
        <f t="shared" si="90"/>
        <v>40139.720560625814</v>
      </c>
      <c r="H1209" s="207"/>
      <c r="I1209" s="207" t="s">
        <v>12545</v>
      </c>
      <c r="J1209" s="66" t="s">
        <v>12548</v>
      </c>
      <c r="K1209" s="207"/>
      <c r="L1209" s="66"/>
      <c r="M1209" s="201" t="s">
        <v>12550</v>
      </c>
      <c r="N1209" s="207"/>
      <c r="O1209" s="38"/>
    </row>
    <row r="1210" spans="1:15" ht="72" customHeight="1" x14ac:dyDescent="0.3">
      <c r="A1210" s="242">
        <v>1190</v>
      </c>
      <c r="B1210" s="246" t="s">
        <v>12480</v>
      </c>
      <c r="C1210" s="246" t="s">
        <v>13472</v>
      </c>
      <c r="D1210" s="88"/>
      <c r="E1210" s="242">
        <v>49.3</v>
      </c>
      <c r="F1210" s="22">
        <f t="shared" si="89"/>
        <v>124264.57086049543</v>
      </c>
      <c r="G1210" s="43">
        <f t="shared" si="90"/>
        <v>36782.308989569749</v>
      </c>
      <c r="H1210" s="207"/>
      <c r="I1210" s="207" t="s">
        <v>12545</v>
      </c>
      <c r="J1210" s="66" t="s">
        <v>12548</v>
      </c>
      <c r="K1210" s="207"/>
      <c r="L1210" s="66"/>
      <c r="M1210" s="201" t="s">
        <v>12550</v>
      </c>
      <c r="N1210" s="207"/>
      <c r="O1210" s="38" t="s">
        <v>21659</v>
      </c>
    </row>
    <row r="1211" spans="1:15" ht="72" customHeight="1" x14ac:dyDescent="0.3">
      <c r="A1211" s="242">
        <v>1191</v>
      </c>
      <c r="B1211" s="246" t="s">
        <v>12480</v>
      </c>
      <c r="C1211" s="246" t="s">
        <v>13473</v>
      </c>
      <c r="D1211" s="88"/>
      <c r="E1211" s="242">
        <v>46.6</v>
      </c>
      <c r="F1211" s="22">
        <f>282259.4/180.4*E1211</f>
        <v>72911.796230598673</v>
      </c>
      <c r="G1211" s="43">
        <f>76774.56/180.4*E1211</f>
        <v>19832.009401330375</v>
      </c>
      <c r="H1211" s="207"/>
      <c r="I1211" s="207" t="s">
        <v>12545</v>
      </c>
      <c r="J1211" s="66" t="s">
        <v>12548</v>
      </c>
      <c r="K1211" s="207"/>
      <c r="L1211" s="66"/>
      <c r="M1211" s="201" t="s">
        <v>12550</v>
      </c>
      <c r="N1211" s="207"/>
      <c r="O1211" s="38" t="s">
        <v>21660</v>
      </c>
    </row>
    <row r="1212" spans="1:15" ht="72" customHeight="1" x14ac:dyDescent="0.3">
      <c r="A1212" s="242">
        <v>1192</v>
      </c>
      <c r="B1212" s="246" t="s">
        <v>12480</v>
      </c>
      <c r="C1212" s="246" t="s">
        <v>13474</v>
      </c>
      <c r="D1212" s="88"/>
      <c r="E1212" s="242">
        <v>48.9</v>
      </c>
      <c r="F1212" s="22">
        <f>282259.4/180.4*E1212</f>
        <v>76510.44711751664</v>
      </c>
      <c r="G1212" s="43">
        <f>76774.56/180.4*E1212</f>
        <v>20810.842483370288</v>
      </c>
      <c r="H1212" s="207"/>
      <c r="I1212" s="207" t="s">
        <v>12545</v>
      </c>
      <c r="J1212" s="66" t="s">
        <v>12548</v>
      </c>
      <c r="K1212" s="207"/>
      <c r="L1212" s="66"/>
      <c r="M1212" s="201" t="s">
        <v>12550</v>
      </c>
      <c r="N1212" s="207"/>
      <c r="O1212" s="38" t="s">
        <v>21661</v>
      </c>
    </row>
    <row r="1213" spans="1:15" ht="72" customHeight="1" x14ac:dyDescent="0.3">
      <c r="A1213" s="242">
        <v>1193</v>
      </c>
      <c r="B1213" s="246" t="s">
        <v>12480</v>
      </c>
      <c r="C1213" s="246" t="s">
        <v>13475</v>
      </c>
      <c r="D1213" s="88"/>
      <c r="E1213" s="242">
        <v>50.3</v>
      </c>
      <c r="F1213" s="22">
        <f>282259.4/180.4*E1213</f>
        <v>78700.930266075389</v>
      </c>
      <c r="G1213" s="43">
        <f>76774.56/180.4*E1213</f>
        <v>21406.653924611972</v>
      </c>
      <c r="H1213" s="207"/>
      <c r="I1213" s="207" t="s">
        <v>12545</v>
      </c>
      <c r="J1213" s="66" t="s">
        <v>12548</v>
      </c>
      <c r="K1213" s="207"/>
      <c r="L1213" s="66"/>
      <c r="M1213" s="201" t="s">
        <v>12550</v>
      </c>
      <c r="N1213" s="207"/>
      <c r="O1213" s="38" t="s">
        <v>21662</v>
      </c>
    </row>
    <row r="1214" spans="1:15" ht="72" customHeight="1" x14ac:dyDescent="0.3">
      <c r="A1214" s="242">
        <v>1194</v>
      </c>
      <c r="B1214" s="246" t="s">
        <v>12484</v>
      </c>
      <c r="C1214" s="246" t="s">
        <v>13476</v>
      </c>
      <c r="D1214" s="88"/>
      <c r="E1214" s="242">
        <v>34.6</v>
      </c>
      <c r="F1214" s="22">
        <f>282259.4/180.4*E1214</f>
        <v>54136.226385809321</v>
      </c>
      <c r="G1214" s="43">
        <f>76774.56/180.4*E1214</f>
        <v>14725.054190687362</v>
      </c>
      <c r="H1214" s="207"/>
      <c r="I1214" s="207" t="s">
        <v>12545</v>
      </c>
      <c r="J1214" s="66" t="s">
        <v>12548</v>
      </c>
      <c r="K1214" s="207"/>
      <c r="L1214" s="66"/>
      <c r="M1214" s="201" t="s">
        <v>12550</v>
      </c>
      <c r="N1214" s="207"/>
      <c r="O1214" s="38" t="s">
        <v>21077</v>
      </c>
    </row>
    <row r="1215" spans="1:15" ht="72" customHeight="1" x14ac:dyDescent="0.3">
      <c r="A1215" s="2">
        <v>1195</v>
      </c>
      <c r="B1215" s="246" t="s">
        <v>12478</v>
      </c>
      <c r="C1215" s="246" t="s">
        <v>13477</v>
      </c>
      <c r="D1215" s="88"/>
      <c r="E1215" s="242">
        <v>67.599999999999994</v>
      </c>
      <c r="F1215" s="45">
        <v>286108</v>
      </c>
      <c r="G1215" s="51">
        <v>86976.8</v>
      </c>
      <c r="H1215" s="207"/>
      <c r="I1215" s="207" t="s">
        <v>12545</v>
      </c>
      <c r="J1215" s="66" t="s">
        <v>12548</v>
      </c>
      <c r="K1215" s="207"/>
      <c r="L1215" s="66"/>
      <c r="M1215" s="201" t="s">
        <v>12550</v>
      </c>
      <c r="N1215" s="207"/>
      <c r="O1215" s="38"/>
    </row>
    <row r="1216" spans="1:15" ht="72" customHeight="1" x14ac:dyDescent="0.3">
      <c r="A1216" s="2">
        <v>1196</v>
      </c>
      <c r="B1216" s="246" t="s">
        <v>12487</v>
      </c>
      <c r="C1216" s="246" t="s">
        <v>13478</v>
      </c>
      <c r="D1216" s="88"/>
      <c r="E1216" s="2">
        <v>67.099999999999994</v>
      </c>
      <c r="F1216" s="45">
        <v>286108</v>
      </c>
      <c r="G1216" s="6">
        <v>86976.8</v>
      </c>
      <c r="H1216" s="207"/>
      <c r="I1216" s="207" t="s">
        <v>12545</v>
      </c>
      <c r="J1216" s="245" t="s">
        <v>12548</v>
      </c>
      <c r="K1216" s="207"/>
      <c r="L1216" s="66"/>
      <c r="M1216" s="201" t="s">
        <v>12550</v>
      </c>
      <c r="N1216" s="207"/>
      <c r="O1216" s="38"/>
    </row>
    <row r="1217" spans="1:15" ht="72" customHeight="1" x14ac:dyDescent="0.3">
      <c r="A1217" s="2">
        <v>1197</v>
      </c>
      <c r="B1217" s="246" t="s">
        <v>12488</v>
      </c>
      <c r="C1217" s="246" t="s">
        <v>13479</v>
      </c>
      <c r="D1217" s="88"/>
      <c r="E1217" s="242">
        <v>59.7</v>
      </c>
      <c r="F1217" s="45">
        <v>291123.3</v>
      </c>
      <c r="G1217" s="6">
        <v>62882.63</v>
      </c>
      <c r="H1217" s="207"/>
      <c r="I1217" s="207" t="s">
        <v>12545</v>
      </c>
      <c r="J1217" s="66" t="s">
        <v>12548</v>
      </c>
      <c r="K1217" s="207"/>
      <c r="L1217" s="66"/>
      <c r="M1217" s="201" t="s">
        <v>12550</v>
      </c>
      <c r="N1217" s="207"/>
      <c r="O1217" s="38"/>
    </row>
    <row r="1218" spans="1:15" ht="72" customHeight="1" x14ac:dyDescent="0.3">
      <c r="A1218" s="2">
        <v>1198</v>
      </c>
      <c r="B1218" s="246" t="s">
        <v>12484</v>
      </c>
      <c r="C1218" s="246" t="s">
        <v>13480</v>
      </c>
      <c r="D1218" s="88"/>
      <c r="E1218" s="2">
        <v>32.299999999999997</v>
      </c>
      <c r="F1218" s="22">
        <f>404701.6/195.1*E1218</f>
        <v>67000.828703229097</v>
      </c>
      <c r="G1218" s="43">
        <f>90653.19/195.1*E1218</f>
        <v>15008.190861096873</v>
      </c>
      <c r="H1218" s="207"/>
      <c r="I1218" s="207" t="s">
        <v>12545</v>
      </c>
      <c r="J1218" s="245" t="s">
        <v>12548</v>
      </c>
      <c r="K1218" s="207"/>
      <c r="L1218" s="66"/>
      <c r="M1218" s="201" t="s">
        <v>12550</v>
      </c>
      <c r="N1218" s="207"/>
      <c r="O1218" s="38"/>
    </row>
    <row r="1219" spans="1:15" ht="72" customHeight="1" x14ac:dyDescent="0.3">
      <c r="A1219" s="2">
        <v>1199</v>
      </c>
      <c r="B1219" s="82" t="s">
        <v>12480</v>
      </c>
      <c r="C1219" s="82" t="s">
        <v>13481</v>
      </c>
      <c r="D1219" s="88"/>
      <c r="E1219" s="2">
        <v>49.1</v>
      </c>
      <c r="F1219" s="22">
        <f>404701.6/195.1*E1219</f>
        <v>101849.55694515632</v>
      </c>
      <c r="G1219" s="43">
        <f>90653.19/195.1*E1219</f>
        <v>22814.308708354692</v>
      </c>
      <c r="H1219" s="207"/>
      <c r="I1219" s="207" t="s">
        <v>12545</v>
      </c>
      <c r="J1219" s="66" t="s">
        <v>12548</v>
      </c>
      <c r="K1219" s="207"/>
      <c r="L1219" s="66"/>
      <c r="M1219" s="201" t="s">
        <v>12550</v>
      </c>
      <c r="N1219" s="207"/>
      <c r="O1219" s="38"/>
    </row>
    <row r="1220" spans="1:15" ht="72" customHeight="1" x14ac:dyDescent="0.3">
      <c r="A1220" s="2">
        <v>1200</v>
      </c>
      <c r="B1220" s="246" t="s">
        <v>12484</v>
      </c>
      <c r="C1220" s="246" t="s">
        <v>13482</v>
      </c>
      <c r="D1220" s="88"/>
      <c r="E1220" s="242">
        <v>32.299999999999997</v>
      </c>
      <c r="F1220" s="22">
        <f>404701.6/195.1*E1220</f>
        <v>67000.828703229097</v>
      </c>
      <c r="G1220" s="43">
        <f>90653.19/195.1*E1220</f>
        <v>15008.190861096873</v>
      </c>
      <c r="H1220" s="207"/>
      <c r="I1220" s="207" t="s">
        <v>12545</v>
      </c>
      <c r="J1220" s="245" t="s">
        <v>12548</v>
      </c>
      <c r="K1220" s="207"/>
      <c r="L1220" s="66"/>
      <c r="M1220" s="201" t="s">
        <v>12550</v>
      </c>
      <c r="N1220" s="207"/>
      <c r="O1220" s="38"/>
    </row>
    <row r="1221" spans="1:15" ht="72" customHeight="1" x14ac:dyDescent="0.3">
      <c r="A1221" s="2">
        <v>1201</v>
      </c>
      <c r="B1221" s="246" t="s">
        <v>12480</v>
      </c>
      <c r="C1221" s="246" t="s">
        <v>13483</v>
      </c>
      <c r="D1221" s="88"/>
      <c r="E1221" s="2">
        <v>49.1</v>
      </c>
      <c r="F1221" s="22">
        <f>404701.6/195.1*E1221</f>
        <v>101849.55694515632</v>
      </c>
      <c r="G1221" s="43">
        <f>90653.19/195.1*E1221</f>
        <v>22814.308708354692</v>
      </c>
      <c r="H1221" s="207"/>
      <c r="I1221" s="207" t="s">
        <v>12545</v>
      </c>
      <c r="J1221" s="245" t="s">
        <v>12548</v>
      </c>
      <c r="K1221" s="207"/>
      <c r="L1221" s="66"/>
      <c r="M1221" s="201" t="s">
        <v>12550</v>
      </c>
      <c r="N1221" s="207"/>
      <c r="O1221" s="38" t="s">
        <v>21663</v>
      </c>
    </row>
    <row r="1222" spans="1:15" ht="72" customHeight="1" x14ac:dyDescent="0.3">
      <c r="A1222" s="2">
        <v>1202</v>
      </c>
      <c r="B1222" s="246" t="s">
        <v>12484</v>
      </c>
      <c r="C1222" s="246" t="s">
        <v>13484</v>
      </c>
      <c r="D1222" s="88"/>
      <c r="E1222" s="242">
        <v>32.299999999999997</v>
      </c>
      <c r="F1222" s="22">
        <f>404701.6/195.1*E1222</f>
        <v>67000.828703229097</v>
      </c>
      <c r="G1222" s="43">
        <f>90653.19/195.1*E1222</f>
        <v>15008.190861096873</v>
      </c>
      <c r="H1222" s="207"/>
      <c r="I1222" s="207" t="s">
        <v>12545</v>
      </c>
      <c r="J1222" s="66" t="s">
        <v>12548</v>
      </c>
      <c r="K1222" s="207"/>
      <c r="L1222" s="66"/>
      <c r="M1222" s="201" t="s">
        <v>12550</v>
      </c>
      <c r="N1222" s="207"/>
      <c r="O1222" s="38" t="s">
        <v>21664</v>
      </c>
    </row>
    <row r="1223" spans="1:15" ht="72" customHeight="1" x14ac:dyDescent="0.3">
      <c r="A1223" s="242">
        <v>1203</v>
      </c>
      <c r="B1223" s="246" t="s">
        <v>12482</v>
      </c>
      <c r="C1223" s="246" t="s">
        <v>13485</v>
      </c>
      <c r="D1223" s="88"/>
      <c r="E1223" s="242">
        <v>61.8</v>
      </c>
      <c r="F1223" s="22">
        <f t="shared" ref="F1223:F1229" si="91">990464.1/411.7*E1223</f>
        <v>148677.87558902113</v>
      </c>
      <c r="G1223" s="43">
        <f t="shared" ref="G1223:G1229" si="92">174321.69/411.7*E1223</f>
        <v>26167.307364585864</v>
      </c>
      <c r="H1223" s="207"/>
      <c r="I1223" s="207" t="s">
        <v>12545</v>
      </c>
      <c r="J1223" s="245" t="s">
        <v>12548</v>
      </c>
      <c r="K1223" s="207"/>
      <c r="L1223" s="66"/>
      <c r="M1223" s="201" t="s">
        <v>12550</v>
      </c>
      <c r="N1223" s="245" t="s">
        <v>23154</v>
      </c>
      <c r="O1223" s="38"/>
    </row>
    <row r="1224" spans="1:15" ht="72" customHeight="1" x14ac:dyDescent="0.3">
      <c r="A1224" s="2">
        <v>1204</v>
      </c>
      <c r="B1224" s="246" t="s">
        <v>12482</v>
      </c>
      <c r="C1224" s="246" t="s">
        <v>13486</v>
      </c>
      <c r="D1224" s="88"/>
      <c r="E1224" s="242">
        <v>61.8</v>
      </c>
      <c r="F1224" s="22">
        <f t="shared" si="91"/>
        <v>148677.87558902113</v>
      </c>
      <c r="G1224" s="43">
        <f t="shared" si="92"/>
        <v>26167.307364585864</v>
      </c>
      <c r="H1224" s="207"/>
      <c r="I1224" s="207" t="s">
        <v>12545</v>
      </c>
      <c r="J1224" s="66" t="s">
        <v>12548</v>
      </c>
      <c r="K1224" s="207"/>
      <c r="L1224" s="66"/>
      <c r="M1224" s="201" t="s">
        <v>12550</v>
      </c>
      <c r="N1224" s="207"/>
      <c r="O1224" s="38"/>
    </row>
    <row r="1225" spans="1:15" ht="72" customHeight="1" x14ac:dyDescent="0.3">
      <c r="A1225" s="242">
        <v>1205</v>
      </c>
      <c r="B1225" s="246" t="s">
        <v>12480</v>
      </c>
      <c r="C1225" s="246" t="s">
        <v>13487</v>
      </c>
      <c r="D1225" s="88"/>
      <c r="E1225" s="242">
        <v>51.1</v>
      </c>
      <c r="F1225" s="22">
        <f t="shared" si="91"/>
        <v>122935.91331066311</v>
      </c>
      <c r="G1225" s="43">
        <f t="shared" si="92"/>
        <v>21636.721785280548</v>
      </c>
      <c r="H1225" s="207"/>
      <c r="I1225" s="207" t="s">
        <v>12545</v>
      </c>
      <c r="J1225" s="66" t="s">
        <v>12548</v>
      </c>
      <c r="K1225" s="207"/>
      <c r="L1225" s="66"/>
      <c r="M1225" s="201" t="s">
        <v>12550</v>
      </c>
      <c r="N1225" s="207"/>
      <c r="O1225" s="38" t="s">
        <v>21665</v>
      </c>
    </row>
    <row r="1226" spans="1:15" ht="72" customHeight="1" x14ac:dyDescent="0.3">
      <c r="A1226" s="242">
        <v>1206</v>
      </c>
      <c r="B1226" s="246" t="s">
        <v>12480</v>
      </c>
      <c r="C1226" s="246" t="s">
        <v>13488</v>
      </c>
      <c r="D1226" s="88"/>
      <c r="E1226" s="242">
        <v>47.4</v>
      </c>
      <c r="F1226" s="22">
        <f t="shared" si="91"/>
        <v>114034.48710225892</v>
      </c>
      <c r="G1226" s="43">
        <f t="shared" si="92"/>
        <v>20070.070697109546</v>
      </c>
      <c r="H1226" s="207"/>
      <c r="I1226" s="207" t="s">
        <v>12545</v>
      </c>
      <c r="J1226" s="66" t="s">
        <v>12548</v>
      </c>
      <c r="K1226" s="207"/>
      <c r="L1226" s="66"/>
      <c r="M1226" s="201" t="s">
        <v>12550</v>
      </c>
      <c r="N1226" s="207"/>
      <c r="O1226" s="38"/>
    </row>
    <row r="1227" spans="1:15" ht="72" customHeight="1" x14ac:dyDescent="0.3">
      <c r="A1227" s="242">
        <v>1207</v>
      </c>
      <c r="B1227" s="246" t="s">
        <v>12480</v>
      </c>
      <c r="C1227" s="246" t="s">
        <v>13489</v>
      </c>
      <c r="D1227" s="88"/>
      <c r="E1227" s="242">
        <v>51.8</v>
      </c>
      <c r="F1227" s="22">
        <f t="shared" si="91"/>
        <v>124619.96691765849</v>
      </c>
      <c r="G1227" s="43">
        <f t="shared" si="92"/>
        <v>21933.115234393976</v>
      </c>
      <c r="H1227" s="207"/>
      <c r="I1227" s="207" t="s">
        <v>12545</v>
      </c>
      <c r="J1227" s="245" t="s">
        <v>12548</v>
      </c>
      <c r="K1227" s="207"/>
      <c r="L1227" s="66"/>
      <c r="M1227" s="201" t="s">
        <v>12550</v>
      </c>
      <c r="N1227" s="207"/>
      <c r="O1227" s="38"/>
    </row>
    <row r="1228" spans="1:15" ht="72" customHeight="1" x14ac:dyDescent="0.3">
      <c r="A1228" s="242">
        <v>1208</v>
      </c>
      <c r="B1228" s="246" t="s">
        <v>12480</v>
      </c>
      <c r="C1228" s="246" t="s">
        <v>13490</v>
      </c>
      <c r="D1228" s="88"/>
      <c r="E1228" s="242">
        <v>51.8</v>
      </c>
      <c r="F1228" s="22">
        <f t="shared" si="91"/>
        <v>124619.96691765849</v>
      </c>
      <c r="G1228" s="43">
        <f t="shared" si="92"/>
        <v>21933.115234393976</v>
      </c>
      <c r="H1228" s="207"/>
      <c r="I1228" s="207" t="s">
        <v>12545</v>
      </c>
      <c r="J1228" s="66" t="s">
        <v>12548</v>
      </c>
      <c r="K1228" s="207"/>
      <c r="L1228" s="66"/>
      <c r="M1228" s="201" t="s">
        <v>12550</v>
      </c>
      <c r="N1228" s="207"/>
      <c r="O1228" s="38" t="s">
        <v>21666</v>
      </c>
    </row>
    <row r="1229" spans="1:15" ht="72" customHeight="1" x14ac:dyDescent="0.3">
      <c r="A1229" s="242">
        <v>1209</v>
      </c>
      <c r="B1229" s="246" t="s">
        <v>12484</v>
      </c>
      <c r="C1229" s="246" t="s">
        <v>13491</v>
      </c>
      <c r="D1229" s="88"/>
      <c r="E1229" s="242">
        <v>34.200000000000003</v>
      </c>
      <c r="F1229" s="22">
        <f t="shared" si="91"/>
        <v>82278.04765606024</v>
      </c>
      <c r="G1229" s="43">
        <f t="shared" si="92"/>
        <v>14480.937085256257</v>
      </c>
      <c r="H1229" s="207"/>
      <c r="I1229" s="207" t="s">
        <v>12545</v>
      </c>
      <c r="J1229" s="245" t="s">
        <v>12548</v>
      </c>
      <c r="K1229" s="207"/>
      <c r="L1229" s="66"/>
      <c r="M1229" s="201" t="s">
        <v>12550</v>
      </c>
      <c r="N1229" s="207"/>
      <c r="O1229" s="38"/>
    </row>
    <row r="1230" spans="1:15" ht="144" customHeight="1" x14ac:dyDescent="0.3">
      <c r="A1230" s="2">
        <v>1210</v>
      </c>
      <c r="B1230" s="246" t="s">
        <v>12480</v>
      </c>
      <c r="C1230" s="246" t="s">
        <v>13492</v>
      </c>
      <c r="D1230" s="88" t="s">
        <v>20438</v>
      </c>
      <c r="E1230" s="242">
        <v>53.2</v>
      </c>
      <c r="F1230" s="22">
        <f>990464.1/411.7*51.8</f>
        <v>124619.96691765849</v>
      </c>
      <c r="G1230" s="43">
        <f>174321.69/411.7*51.8</f>
        <v>21933.115234393976</v>
      </c>
      <c r="H1230" s="207"/>
      <c r="I1230" s="207" t="s">
        <v>12545</v>
      </c>
      <c r="J1230" s="66" t="s">
        <v>12548</v>
      </c>
      <c r="K1230" s="207" t="s">
        <v>20439</v>
      </c>
      <c r="L1230" s="66" t="s">
        <v>20440</v>
      </c>
      <c r="M1230" s="201" t="s">
        <v>12550</v>
      </c>
      <c r="N1230" s="207"/>
      <c r="O1230" s="38" t="s">
        <v>20459</v>
      </c>
    </row>
    <row r="1231" spans="1:15" ht="72" customHeight="1" x14ac:dyDescent="0.3">
      <c r="A1231" s="242">
        <v>1211</v>
      </c>
      <c r="B1231" s="246" t="s">
        <v>12478</v>
      </c>
      <c r="C1231" s="246" t="s">
        <v>13493</v>
      </c>
      <c r="D1231" s="88"/>
      <c r="E1231" s="30">
        <v>76</v>
      </c>
      <c r="F1231" s="45">
        <v>221087.3</v>
      </c>
      <c r="G1231" s="51">
        <v>33605.300000000003</v>
      </c>
      <c r="H1231" s="207"/>
      <c r="I1231" s="207" t="s">
        <v>12545</v>
      </c>
      <c r="J1231" s="245" t="s">
        <v>12548</v>
      </c>
      <c r="K1231" s="207"/>
      <c r="L1231" s="66"/>
      <c r="M1231" s="201" t="s">
        <v>12550</v>
      </c>
      <c r="N1231" s="207"/>
      <c r="O1231" s="38" t="s">
        <v>23117</v>
      </c>
    </row>
    <row r="1232" spans="1:15" ht="72" customHeight="1" x14ac:dyDescent="0.3">
      <c r="A1232" s="242">
        <v>1212</v>
      </c>
      <c r="B1232" s="246" t="s">
        <v>12487</v>
      </c>
      <c r="C1232" s="246" t="s">
        <v>13494</v>
      </c>
      <c r="D1232" s="88"/>
      <c r="E1232" s="242">
        <v>94.7</v>
      </c>
      <c r="F1232" s="246">
        <v>262260.59999999998</v>
      </c>
      <c r="G1232" s="6">
        <v>39863.64</v>
      </c>
      <c r="H1232" s="207"/>
      <c r="I1232" s="207" t="s">
        <v>12545</v>
      </c>
      <c r="J1232" s="66" t="s">
        <v>12548</v>
      </c>
      <c r="K1232" s="207"/>
      <c r="L1232" s="66"/>
      <c r="M1232" s="201" t="s">
        <v>12550</v>
      </c>
      <c r="N1232" s="207"/>
      <c r="O1232" s="38"/>
    </row>
    <row r="1233" spans="1:15" ht="192" customHeight="1" x14ac:dyDescent="0.3">
      <c r="A1233" s="242">
        <v>1213</v>
      </c>
      <c r="B1233" s="246" t="s">
        <v>12479</v>
      </c>
      <c r="C1233" s="246" t="s">
        <v>13495</v>
      </c>
      <c r="D1233" s="88"/>
      <c r="E1233" s="2">
        <v>182.2</v>
      </c>
      <c r="F1233" s="45">
        <v>507628</v>
      </c>
      <c r="G1233" s="51">
        <v>77159.5</v>
      </c>
      <c r="H1233" s="207"/>
      <c r="I1233" s="207" t="s">
        <v>12545</v>
      </c>
      <c r="J1233" s="245" t="s">
        <v>12548</v>
      </c>
      <c r="K1233" s="207"/>
      <c r="L1233" s="66"/>
      <c r="M1233" s="201" t="s">
        <v>12550</v>
      </c>
      <c r="N1233" s="207"/>
      <c r="O1233" s="38" t="s">
        <v>21667</v>
      </c>
    </row>
    <row r="1234" spans="1:15" ht="72" customHeight="1" x14ac:dyDescent="0.3">
      <c r="A1234" s="242">
        <v>1214</v>
      </c>
      <c r="B1234" s="246" t="s">
        <v>12478</v>
      </c>
      <c r="C1234" s="246" t="s">
        <v>13496</v>
      </c>
      <c r="D1234" s="88"/>
      <c r="E1234" s="242">
        <v>109.9</v>
      </c>
      <c r="F1234" s="45">
        <f>946490/142.5*E1234</f>
        <v>729959.65614035097</v>
      </c>
      <c r="G1234" s="51">
        <f>946490/142.5*E1234</f>
        <v>729959.65614035097</v>
      </c>
      <c r="H1234" s="207"/>
      <c r="I1234" s="207" t="s">
        <v>12545</v>
      </c>
      <c r="J1234" s="66" t="s">
        <v>12548</v>
      </c>
      <c r="K1234" s="207"/>
      <c r="L1234" s="66"/>
      <c r="M1234" s="201" t="s">
        <v>12550</v>
      </c>
      <c r="N1234" s="207"/>
      <c r="O1234" s="38"/>
    </row>
    <row r="1235" spans="1:15" ht="84" customHeight="1" x14ac:dyDescent="0.3">
      <c r="A1235" s="242">
        <v>1215</v>
      </c>
      <c r="B1235" s="246" t="s">
        <v>12471</v>
      </c>
      <c r="C1235" s="246" t="s">
        <v>13497</v>
      </c>
      <c r="D1235" s="88" t="s">
        <v>17912</v>
      </c>
      <c r="E1235" s="242">
        <v>32.6</v>
      </c>
      <c r="F1235" s="45">
        <f>946490/142.5*E1235</f>
        <v>216530.34385964915</v>
      </c>
      <c r="G1235" s="51">
        <f>946490/142.5*E1235</f>
        <v>216530.34385964915</v>
      </c>
      <c r="H1235" s="207"/>
      <c r="I1235" s="207" t="s">
        <v>12545</v>
      </c>
      <c r="J1235" s="66" t="s">
        <v>12548</v>
      </c>
      <c r="K1235" s="26">
        <v>42751</v>
      </c>
      <c r="L1235" s="66" t="s">
        <v>18031</v>
      </c>
      <c r="M1235" s="201" t="s">
        <v>12550</v>
      </c>
      <c r="N1235" s="207"/>
      <c r="O1235" s="38"/>
    </row>
    <row r="1236" spans="1:15" ht="96" customHeight="1" x14ac:dyDescent="0.3">
      <c r="A1236" s="242">
        <v>1216</v>
      </c>
      <c r="B1236" s="246" t="s">
        <v>12479</v>
      </c>
      <c r="C1236" s="246" t="s">
        <v>13498</v>
      </c>
      <c r="D1236" s="88"/>
      <c r="E1236" s="30">
        <v>132</v>
      </c>
      <c r="F1236" s="45">
        <v>881013</v>
      </c>
      <c r="G1236" s="6">
        <v>234127.69</v>
      </c>
      <c r="H1236" s="207"/>
      <c r="I1236" s="207" t="s">
        <v>12545</v>
      </c>
      <c r="J1236" s="245" t="s">
        <v>12548</v>
      </c>
      <c r="K1236" s="207"/>
      <c r="L1236" s="66"/>
      <c r="M1236" s="201" t="s">
        <v>12550</v>
      </c>
      <c r="N1236" s="207"/>
      <c r="O1236" s="38" t="s">
        <v>19968</v>
      </c>
    </row>
    <row r="1237" spans="1:15" ht="84" customHeight="1" x14ac:dyDescent="0.3">
      <c r="A1237" s="2">
        <v>1217</v>
      </c>
      <c r="B1237" s="246" t="s">
        <v>12480</v>
      </c>
      <c r="C1237" s="246" t="s">
        <v>13499</v>
      </c>
      <c r="D1237" s="88"/>
      <c r="E1237" s="242">
        <v>55.2</v>
      </c>
      <c r="F1237" s="45">
        <v>316809.40000000002</v>
      </c>
      <c r="G1237" s="51">
        <v>54746.8</v>
      </c>
      <c r="H1237" s="207"/>
      <c r="I1237" s="207" t="s">
        <v>12545</v>
      </c>
      <c r="J1237" s="66" t="s">
        <v>12548</v>
      </c>
      <c r="K1237" s="207"/>
      <c r="L1237" s="66"/>
      <c r="M1237" s="201" t="s">
        <v>12550</v>
      </c>
      <c r="N1237" s="207"/>
      <c r="O1237" s="38" t="s">
        <v>19972</v>
      </c>
    </row>
    <row r="1238" spans="1:15" ht="72" customHeight="1" x14ac:dyDescent="0.3">
      <c r="A1238" s="242">
        <v>1218</v>
      </c>
      <c r="B1238" s="246" t="s">
        <v>12480</v>
      </c>
      <c r="C1238" s="246" t="s">
        <v>13500</v>
      </c>
      <c r="D1238" s="88"/>
      <c r="E1238" s="2">
        <v>48.5</v>
      </c>
      <c r="F1238" s="22">
        <f>44120.4/80.7*E1238</f>
        <v>26515.977695167287</v>
      </c>
      <c r="G1238" s="43">
        <f>9873.74/80.7*E1238</f>
        <v>5934.0320941759601</v>
      </c>
      <c r="H1238" s="207"/>
      <c r="I1238" s="207" t="s">
        <v>12545</v>
      </c>
      <c r="J1238" s="245" t="s">
        <v>12548</v>
      </c>
      <c r="K1238" s="207"/>
      <c r="L1238" s="66"/>
      <c r="M1238" s="201" t="s">
        <v>12550</v>
      </c>
      <c r="N1238" s="207"/>
      <c r="O1238" s="38" t="s">
        <v>21668</v>
      </c>
    </row>
    <row r="1239" spans="1:15" ht="72" customHeight="1" x14ac:dyDescent="0.3">
      <c r="A1239" s="2">
        <v>1219</v>
      </c>
      <c r="B1239" s="246" t="s">
        <v>12484</v>
      </c>
      <c r="C1239" s="246" t="s">
        <v>13501</v>
      </c>
      <c r="D1239" s="88"/>
      <c r="E1239" s="242">
        <v>32.200000000000003</v>
      </c>
      <c r="F1239" s="22">
        <f>44120.4/80.7*E1239</f>
        <v>17604.422304832715</v>
      </c>
      <c r="G1239" s="43">
        <f>9873.74/80.7*E1239</f>
        <v>3939.7079058240397</v>
      </c>
      <c r="H1239" s="207"/>
      <c r="I1239" s="207" t="s">
        <v>12545</v>
      </c>
      <c r="J1239" s="66" t="s">
        <v>12548</v>
      </c>
      <c r="K1239" s="207"/>
      <c r="L1239" s="66"/>
      <c r="M1239" s="201" t="s">
        <v>12550</v>
      </c>
      <c r="N1239" s="207"/>
      <c r="O1239" s="38" t="s">
        <v>21669</v>
      </c>
    </row>
    <row r="1240" spans="1:15" ht="72" customHeight="1" x14ac:dyDescent="0.3">
      <c r="A1240" s="242">
        <v>1220</v>
      </c>
      <c r="B1240" s="246" t="s">
        <v>12480</v>
      </c>
      <c r="C1240" s="246" t="s">
        <v>13502</v>
      </c>
      <c r="D1240" s="88"/>
      <c r="E1240" s="2">
        <v>57.6</v>
      </c>
      <c r="F1240" s="22">
        <f>1662629.7/230.4*E1240</f>
        <v>415657.42499999999</v>
      </c>
      <c r="G1240" s="43">
        <f>348826.66/230.4*E1240</f>
        <v>87206.664999999994</v>
      </c>
      <c r="H1240" s="207"/>
      <c r="I1240" s="207" t="s">
        <v>12545</v>
      </c>
      <c r="J1240" s="245" t="s">
        <v>12548</v>
      </c>
      <c r="K1240" s="207"/>
      <c r="L1240" s="66"/>
      <c r="M1240" s="201" t="s">
        <v>12550</v>
      </c>
      <c r="N1240" s="207"/>
      <c r="O1240" s="38" t="s">
        <v>21670</v>
      </c>
    </row>
    <row r="1241" spans="1:15" ht="72" customHeight="1" x14ac:dyDescent="0.3">
      <c r="A1241" s="242">
        <v>1221</v>
      </c>
      <c r="B1241" s="246" t="s">
        <v>12480</v>
      </c>
      <c r="C1241" s="246" t="s">
        <v>13503</v>
      </c>
      <c r="D1241" s="88"/>
      <c r="E1241" s="242">
        <v>57.6</v>
      </c>
      <c r="F1241" s="22">
        <f>1662629.7/230.4*E1241</f>
        <v>415657.42499999999</v>
      </c>
      <c r="G1241" s="43">
        <f>348826.66/230.4*E1241</f>
        <v>87206.664999999994</v>
      </c>
      <c r="H1241" s="207"/>
      <c r="I1241" s="207" t="s">
        <v>12545</v>
      </c>
      <c r="J1241" s="66" t="s">
        <v>12548</v>
      </c>
      <c r="K1241" s="26">
        <v>42619</v>
      </c>
      <c r="L1241" s="66" t="s">
        <v>16144</v>
      </c>
      <c r="M1241" s="201" t="s">
        <v>12550</v>
      </c>
      <c r="N1241" s="207"/>
      <c r="O1241" s="38"/>
    </row>
    <row r="1242" spans="1:15" ht="72" customHeight="1" x14ac:dyDescent="0.3">
      <c r="A1242" s="242">
        <v>1222</v>
      </c>
      <c r="B1242" s="246" t="s">
        <v>12480</v>
      </c>
      <c r="C1242" s="246" t="s">
        <v>13504</v>
      </c>
      <c r="D1242" s="88"/>
      <c r="E1242" s="242">
        <v>57.6</v>
      </c>
      <c r="F1242" s="22">
        <f>1662629.7/230.4*E1242</f>
        <v>415657.42499999999</v>
      </c>
      <c r="G1242" s="43">
        <f>348826.66/230.4*E1242</f>
        <v>87206.664999999994</v>
      </c>
      <c r="H1242" s="207"/>
      <c r="I1242" s="207" t="s">
        <v>12545</v>
      </c>
      <c r="J1242" s="66" t="s">
        <v>12548</v>
      </c>
      <c r="K1242" s="207"/>
      <c r="L1242" s="66"/>
      <c r="M1242" s="201" t="s">
        <v>12550</v>
      </c>
      <c r="N1242" s="207"/>
      <c r="O1242" s="38" t="s">
        <v>21671</v>
      </c>
    </row>
    <row r="1243" spans="1:15" ht="84" customHeight="1" x14ac:dyDescent="0.3">
      <c r="A1243" s="242">
        <v>1223</v>
      </c>
      <c r="B1243" s="246" t="s">
        <v>12480</v>
      </c>
      <c r="C1243" s="246" t="s">
        <v>13505</v>
      </c>
      <c r="D1243" s="88"/>
      <c r="E1243" s="242">
        <v>57.6</v>
      </c>
      <c r="F1243" s="22">
        <f>1662629.7/230.4*E1243</f>
        <v>415657.42499999999</v>
      </c>
      <c r="G1243" s="43">
        <f>348826.66/230.4*E1243</f>
        <v>87206.664999999994</v>
      </c>
      <c r="H1243" s="207"/>
      <c r="I1243" s="207" t="s">
        <v>12545</v>
      </c>
      <c r="J1243" s="66" t="s">
        <v>12548</v>
      </c>
      <c r="K1243" s="207"/>
      <c r="L1243" s="66"/>
      <c r="M1243" s="201" t="s">
        <v>12550</v>
      </c>
      <c r="N1243" s="207"/>
      <c r="O1243" s="38" t="s">
        <v>19893</v>
      </c>
    </row>
    <row r="1244" spans="1:15" ht="72" customHeight="1" x14ac:dyDescent="0.3">
      <c r="A1244" s="242">
        <v>1224</v>
      </c>
      <c r="B1244" s="246" t="s">
        <v>12480</v>
      </c>
      <c r="C1244" s="246" t="s">
        <v>13506</v>
      </c>
      <c r="D1244" s="88"/>
      <c r="E1244" s="242">
        <v>53.1</v>
      </c>
      <c r="F1244" s="22">
        <f>159401.6/236.3*E1244</f>
        <v>35819.826322471432</v>
      </c>
      <c r="G1244" s="43">
        <f>16722.68/236.3*E1244</f>
        <v>3757.826102412188</v>
      </c>
      <c r="H1244" s="207"/>
      <c r="I1244" s="207" t="s">
        <v>12545</v>
      </c>
      <c r="J1244" s="66" t="s">
        <v>12548</v>
      </c>
      <c r="K1244" s="207"/>
      <c r="L1244" s="66"/>
      <c r="M1244" s="201" t="s">
        <v>12550</v>
      </c>
      <c r="N1244" s="207"/>
      <c r="O1244" s="38" t="s">
        <v>21672</v>
      </c>
    </row>
    <row r="1245" spans="1:15" ht="72" customHeight="1" x14ac:dyDescent="0.3">
      <c r="A1245" s="242">
        <v>1225</v>
      </c>
      <c r="B1245" s="82" t="s">
        <v>12480</v>
      </c>
      <c r="C1245" s="246" t="s">
        <v>13507</v>
      </c>
      <c r="D1245" s="88"/>
      <c r="E1245" s="242">
        <v>49.8</v>
      </c>
      <c r="F1245" s="22">
        <f>159401.6/236.3*E1245</f>
        <v>33593.735421074904</v>
      </c>
      <c r="G1245" s="43">
        <f>16722.68/236.3*E1245</f>
        <v>3524.2888870080401</v>
      </c>
      <c r="H1245" s="207"/>
      <c r="I1245" s="207" t="s">
        <v>12545</v>
      </c>
      <c r="J1245" s="66" t="s">
        <v>12548</v>
      </c>
      <c r="K1245" s="207"/>
      <c r="L1245" s="66"/>
      <c r="M1245" s="201" t="s">
        <v>12550</v>
      </c>
      <c r="N1245" s="207"/>
      <c r="O1245" s="38" t="s">
        <v>19869</v>
      </c>
    </row>
    <row r="1246" spans="1:15" ht="72" customHeight="1" x14ac:dyDescent="0.3">
      <c r="A1246" s="2">
        <v>1226</v>
      </c>
      <c r="B1246" s="246" t="s">
        <v>12480</v>
      </c>
      <c r="C1246" s="246" t="s">
        <v>13508</v>
      </c>
      <c r="D1246" s="88"/>
      <c r="E1246" s="242">
        <v>49.8</v>
      </c>
      <c r="F1246" s="22">
        <f>159401.6/236.3*E1246</f>
        <v>33593.735421074904</v>
      </c>
      <c r="G1246" s="43">
        <f>16722.68/236.3*E1246</f>
        <v>3524.2888870080401</v>
      </c>
      <c r="H1246" s="207"/>
      <c r="I1246" s="207" t="s">
        <v>12545</v>
      </c>
      <c r="J1246" s="66" t="s">
        <v>12548</v>
      </c>
      <c r="K1246" s="207"/>
      <c r="L1246" s="66"/>
      <c r="M1246" s="201" t="s">
        <v>12550</v>
      </c>
      <c r="N1246" s="207"/>
      <c r="O1246" s="38" t="s">
        <v>21673</v>
      </c>
    </row>
    <row r="1247" spans="1:15" ht="72" customHeight="1" x14ac:dyDescent="0.3">
      <c r="A1247" s="242">
        <v>1227</v>
      </c>
      <c r="B1247" s="82" t="s">
        <v>12480</v>
      </c>
      <c r="C1247" s="82" t="s">
        <v>13509</v>
      </c>
      <c r="D1247" s="88"/>
      <c r="E1247" s="242">
        <v>49.8</v>
      </c>
      <c r="F1247" s="22">
        <f>159401.6/236.3*E1247</f>
        <v>33593.735421074904</v>
      </c>
      <c r="G1247" s="43">
        <f>16722.68/236.3*E1247</f>
        <v>3524.2888870080401</v>
      </c>
      <c r="H1247" s="207"/>
      <c r="I1247" s="207" t="s">
        <v>12545</v>
      </c>
      <c r="J1247" s="245" t="s">
        <v>12548</v>
      </c>
      <c r="K1247" s="207"/>
      <c r="L1247" s="66"/>
      <c r="M1247" s="201" t="s">
        <v>12550</v>
      </c>
      <c r="N1247" s="207"/>
      <c r="O1247" s="38" t="s">
        <v>19890</v>
      </c>
    </row>
    <row r="1248" spans="1:15" ht="108" x14ac:dyDescent="0.3">
      <c r="A1248" s="242">
        <v>1228</v>
      </c>
      <c r="B1248" s="246" t="s">
        <v>12484</v>
      </c>
      <c r="C1248" s="246" t="s">
        <v>13510</v>
      </c>
      <c r="D1248" s="88"/>
      <c r="E1248" s="242">
        <v>33.4</v>
      </c>
      <c r="F1248" s="22">
        <f>159401.6/236.3*E1248</f>
        <v>22530.738214134573</v>
      </c>
      <c r="G1248" s="43">
        <f>16722.68/236.3*E1248</f>
        <v>2363.6796953025814</v>
      </c>
      <c r="H1248" s="207"/>
      <c r="I1248" s="207" t="s">
        <v>12545</v>
      </c>
      <c r="J1248" s="66" t="s">
        <v>12548</v>
      </c>
      <c r="K1248" s="207"/>
      <c r="L1248" s="66"/>
      <c r="M1248" s="201" t="s">
        <v>12550</v>
      </c>
      <c r="N1248" s="207"/>
      <c r="O1248" s="38" t="s">
        <v>23631</v>
      </c>
    </row>
    <row r="1249" spans="1:15" ht="72" customHeight="1" x14ac:dyDescent="0.3">
      <c r="A1249" s="242">
        <v>1229</v>
      </c>
      <c r="B1249" s="246" t="s">
        <v>12480</v>
      </c>
      <c r="C1249" s="246" t="s">
        <v>13511</v>
      </c>
      <c r="D1249" s="88"/>
      <c r="E1249" s="242">
        <v>57.9</v>
      </c>
      <c r="F1249" s="22">
        <f>875852.6/208.5*E1249</f>
        <v>243222.37669064751</v>
      </c>
      <c r="G1249" s="43">
        <f>147008.48/208.5*E1249</f>
        <v>40823.937611510795</v>
      </c>
      <c r="H1249" s="207"/>
      <c r="I1249" s="207" t="s">
        <v>12545</v>
      </c>
      <c r="J1249" s="66" t="s">
        <v>12548</v>
      </c>
      <c r="K1249" s="207"/>
      <c r="L1249" s="66"/>
      <c r="M1249" s="201" t="s">
        <v>12550</v>
      </c>
      <c r="N1249" s="207"/>
      <c r="O1249" s="38"/>
    </row>
    <row r="1250" spans="1:15" ht="72" customHeight="1" x14ac:dyDescent="0.3">
      <c r="A1250" s="2">
        <v>1230</v>
      </c>
      <c r="B1250" s="246" t="s">
        <v>12480</v>
      </c>
      <c r="C1250" s="246" t="s">
        <v>13512</v>
      </c>
      <c r="D1250" s="88"/>
      <c r="E1250" s="242">
        <v>50.1</v>
      </c>
      <c r="F1250" s="22">
        <f>875852.6/208.5*E1250</f>
        <v>210456.66791366908</v>
      </c>
      <c r="G1250" s="43">
        <f>147008.48/208.5*E1250</f>
        <v>35324.339798561159</v>
      </c>
      <c r="H1250" s="207"/>
      <c r="I1250" s="207" t="s">
        <v>12545</v>
      </c>
      <c r="J1250" s="66" t="s">
        <v>12548</v>
      </c>
      <c r="K1250" s="207"/>
      <c r="L1250" s="66"/>
      <c r="M1250" s="201" t="s">
        <v>12550</v>
      </c>
      <c r="N1250" s="207"/>
      <c r="O1250" s="38" t="s">
        <v>19892</v>
      </c>
    </row>
    <row r="1251" spans="1:15" ht="72" customHeight="1" x14ac:dyDescent="0.3">
      <c r="A1251" s="2">
        <v>1231</v>
      </c>
      <c r="B1251" s="246" t="s">
        <v>12480</v>
      </c>
      <c r="C1251" s="246" t="s">
        <v>13513</v>
      </c>
      <c r="D1251" s="88"/>
      <c r="E1251" s="242">
        <v>50.2</v>
      </c>
      <c r="F1251" s="22">
        <f>875852.6/208.5*E1251</f>
        <v>210876.74110311753</v>
      </c>
      <c r="G1251" s="43">
        <f>147008.48/208.5*E1251</f>
        <v>35394.847462829741</v>
      </c>
      <c r="H1251" s="207"/>
      <c r="I1251" s="207" t="s">
        <v>12545</v>
      </c>
      <c r="J1251" s="66" t="s">
        <v>12548</v>
      </c>
      <c r="K1251" s="207"/>
      <c r="L1251" s="66"/>
      <c r="M1251" s="201" t="s">
        <v>12550</v>
      </c>
      <c r="N1251" s="207"/>
      <c r="O1251" s="38"/>
    </row>
    <row r="1252" spans="1:15" ht="72" customHeight="1" x14ac:dyDescent="0.3">
      <c r="A1252" s="242">
        <v>1232</v>
      </c>
      <c r="B1252" s="246" t="s">
        <v>12480</v>
      </c>
      <c r="C1252" s="246" t="s">
        <v>13514</v>
      </c>
      <c r="D1252" s="88"/>
      <c r="E1252" s="242">
        <v>50.3</v>
      </c>
      <c r="F1252" s="22">
        <f>875852.6/208.5*E1252</f>
        <v>211296.81429256595</v>
      </c>
      <c r="G1252" s="43">
        <f>147008.48/208.5*E1252</f>
        <v>35465.355127098323</v>
      </c>
      <c r="H1252" s="207"/>
      <c r="I1252" s="207" t="s">
        <v>12545</v>
      </c>
      <c r="J1252" s="66" t="s">
        <v>12548</v>
      </c>
      <c r="K1252" s="207"/>
      <c r="L1252" s="66"/>
      <c r="M1252" s="201" t="s">
        <v>12550</v>
      </c>
      <c r="N1252" s="207"/>
      <c r="O1252" s="38" t="s">
        <v>21674</v>
      </c>
    </row>
    <row r="1253" spans="1:15" ht="72" customHeight="1" x14ac:dyDescent="0.3">
      <c r="A1253" s="242">
        <v>1233</v>
      </c>
      <c r="B1253" s="246" t="s">
        <v>12480</v>
      </c>
      <c r="C1253" s="246" t="s">
        <v>13515</v>
      </c>
      <c r="D1253" s="88"/>
      <c r="E1253" s="242">
        <v>57.9</v>
      </c>
      <c r="F1253" s="22">
        <f>1057186/89.7*E1253</f>
        <v>682397.65217391297</v>
      </c>
      <c r="G1253" s="43">
        <f>184837.5/89.7*E1253</f>
        <v>119309.82441471569</v>
      </c>
      <c r="H1253" s="207"/>
      <c r="I1253" s="207" t="s">
        <v>12545</v>
      </c>
      <c r="J1253" s="66" t="s">
        <v>12548</v>
      </c>
      <c r="K1253" s="207"/>
      <c r="L1253" s="66"/>
      <c r="M1253" s="201" t="s">
        <v>12550</v>
      </c>
      <c r="N1253" s="207"/>
      <c r="O1253" s="38" t="s">
        <v>21675</v>
      </c>
    </row>
    <row r="1254" spans="1:15" ht="72" customHeight="1" x14ac:dyDescent="0.3">
      <c r="A1254" s="2">
        <v>1234</v>
      </c>
      <c r="B1254" s="246" t="s">
        <v>12481</v>
      </c>
      <c r="C1254" s="246" t="s">
        <v>13516</v>
      </c>
      <c r="D1254" s="88"/>
      <c r="E1254" s="2">
        <v>31.8</v>
      </c>
      <c r="F1254" s="22">
        <f>1057186/89.7*E1254</f>
        <v>374788.34782608692</v>
      </c>
      <c r="G1254" s="43">
        <f>184837.5/89.7*E1254</f>
        <v>65527.675585284276</v>
      </c>
      <c r="H1254" s="207"/>
      <c r="I1254" s="207" t="s">
        <v>12545</v>
      </c>
      <c r="J1254" s="245" t="s">
        <v>12548</v>
      </c>
      <c r="K1254" s="207"/>
      <c r="L1254" s="66"/>
      <c r="M1254" s="201" t="s">
        <v>12550</v>
      </c>
      <c r="N1254" s="207"/>
      <c r="O1254" s="38"/>
    </row>
    <row r="1255" spans="1:15" ht="84" customHeight="1" x14ac:dyDescent="0.3">
      <c r="A1255" s="2">
        <v>1235</v>
      </c>
      <c r="B1255" s="246" t="s">
        <v>12478</v>
      </c>
      <c r="C1255" s="246" t="s">
        <v>13517</v>
      </c>
      <c r="D1255" s="88"/>
      <c r="E1255" s="242">
        <v>24.8</v>
      </c>
      <c r="F1255" s="45">
        <v>163145.60000000001</v>
      </c>
      <c r="G1255" s="6">
        <v>58732.42</v>
      </c>
      <c r="H1255" s="207"/>
      <c r="I1255" s="207" t="s">
        <v>12545</v>
      </c>
      <c r="J1255" s="66" t="s">
        <v>12548</v>
      </c>
      <c r="K1255" s="207"/>
      <c r="L1255" s="66"/>
      <c r="M1255" s="201" t="s">
        <v>12550</v>
      </c>
      <c r="N1255" s="207"/>
      <c r="O1255" s="38" t="s">
        <v>19974</v>
      </c>
    </row>
    <row r="1256" spans="1:15" ht="180" customHeight="1" x14ac:dyDescent="0.3">
      <c r="A1256" s="2">
        <v>1236</v>
      </c>
      <c r="B1256" s="246" t="s">
        <v>22538</v>
      </c>
      <c r="C1256" s="246" t="s">
        <v>13518</v>
      </c>
      <c r="D1256" s="88"/>
      <c r="E1256" s="242">
        <v>190.9</v>
      </c>
      <c r="F1256" s="22">
        <v>478506.4</v>
      </c>
      <c r="G1256" s="43">
        <v>141827.73000000001</v>
      </c>
      <c r="H1256" s="207"/>
      <c r="I1256" s="207" t="s">
        <v>12545</v>
      </c>
      <c r="J1256" s="66" t="s">
        <v>12548</v>
      </c>
      <c r="K1256" s="207"/>
      <c r="L1256" s="66"/>
      <c r="M1256" s="201" t="s">
        <v>12550</v>
      </c>
      <c r="N1256" s="207"/>
      <c r="O1256" s="38" t="s">
        <v>22590</v>
      </c>
    </row>
    <row r="1257" spans="1:15" ht="72" customHeight="1" x14ac:dyDescent="0.3">
      <c r="A1257" s="242">
        <v>1237</v>
      </c>
      <c r="B1257" s="82" t="s">
        <v>12478</v>
      </c>
      <c r="C1257" s="82" t="s">
        <v>13519</v>
      </c>
      <c r="D1257" s="88"/>
      <c r="E1257" s="242">
        <v>78.8</v>
      </c>
      <c r="F1257" s="45">
        <v>230334.8</v>
      </c>
      <c r="G1257" s="51">
        <v>68179.100000000006</v>
      </c>
      <c r="H1257" s="207"/>
      <c r="I1257" s="207" t="s">
        <v>12545</v>
      </c>
      <c r="J1257" s="245" t="s">
        <v>12548</v>
      </c>
      <c r="K1257" s="207"/>
      <c r="L1257" s="66"/>
      <c r="M1257" s="201" t="s">
        <v>12550</v>
      </c>
      <c r="N1257" s="207"/>
      <c r="O1257" s="38"/>
    </row>
    <row r="1258" spans="1:15" ht="108" customHeight="1" x14ac:dyDescent="0.3">
      <c r="A1258" s="242">
        <v>1238</v>
      </c>
      <c r="B1258" s="246" t="s">
        <v>12479</v>
      </c>
      <c r="C1258" s="82" t="s">
        <v>13520</v>
      </c>
      <c r="D1258" s="88"/>
      <c r="E1258" s="242">
        <v>81.099999999999994</v>
      </c>
      <c r="F1258" s="45">
        <v>164089</v>
      </c>
      <c r="G1258" s="51">
        <v>51638.7</v>
      </c>
      <c r="H1258" s="207"/>
      <c r="I1258" s="207" t="s">
        <v>12545</v>
      </c>
      <c r="J1258" s="245" t="s">
        <v>12548</v>
      </c>
      <c r="K1258" s="207"/>
      <c r="L1258" s="66"/>
      <c r="M1258" s="201" t="s">
        <v>12550</v>
      </c>
      <c r="N1258" s="207"/>
      <c r="O1258" s="38" t="s">
        <v>21676</v>
      </c>
    </row>
    <row r="1259" spans="1:15" ht="72" customHeight="1" x14ac:dyDescent="0.3">
      <c r="A1259" s="2">
        <v>1239</v>
      </c>
      <c r="B1259" s="246" t="s">
        <v>12482</v>
      </c>
      <c r="C1259" s="246" t="s">
        <v>13521</v>
      </c>
      <c r="D1259" s="88"/>
      <c r="E1259" s="2">
        <v>67.3</v>
      </c>
      <c r="F1259" s="22">
        <f t="shared" ref="F1259:F1267" si="93">1785668.6/521.1*E1259</f>
        <v>230618.87695260026</v>
      </c>
      <c r="G1259" s="43">
        <f t="shared" ref="G1259:G1267" si="94">246860.24/521.1*E1259</f>
        <v>31881.969203607747</v>
      </c>
      <c r="H1259" s="207"/>
      <c r="I1259" s="207" t="s">
        <v>12545</v>
      </c>
      <c r="J1259" s="245" t="s">
        <v>12548</v>
      </c>
      <c r="K1259" s="207"/>
      <c r="L1259" s="66"/>
      <c r="M1259" s="201" t="s">
        <v>12550</v>
      </c>
      <c r="N1259" s="207"/>
      <c r="O1259" s="38" t="s">
        <v>21677</v>
      </c>
    </row>
    <row r="1260" spans="1:15" ht="72" customHeight="1" x14ac:dyDescent="0.3">
      <c r="A1260" s="242">
        <v>1240</v>
      </c>
      <c r="B1260" s="246" t="s">
        <v>12482</v>
      </c>
      <c r="C1260" s="246" t="s">
        <v>13522</v>
      </c>
      <c r="D1260" s="88"/>
      <c r="E1260" s="242">
        <v>66.5</v>
      </c>
      <c r="F1260" s="22">
        <f t="shared" si="93"/>
        <v>227877.4935712915</v>
      </c>
      <c r="G1260" s="43">
        <f t="shared" si="94"/>
        <v>31502.985914411816</v>
      </c>
      <c r="H1260" s="207"/>
      <c r="I1260" s="207" t="s">
        <v>12545</v>
      </c>
      <c r="J1260" s="66" t="s">
        <v>12548</v>
      </c>
      <c r="K1260" s="207" t="s">
        <v>15077</v>
      </c>
      <c r="L1260" s="66" t="s">
        <v>15078</v>
      </c>
      <c r="M1260" s="201" t="s">
        <v>12550</v>
      </c>
      <c r="N1260" s="207"/>
      <c r="O1260" s="38"/>
    </row>
    <row r="1261" spans="1:15" ht="72" customHeight="1" x14ac:dyDescent="0.3">
      <c r="A1261" s="242">
        <v>1241</v>
      </c>
      <c r="B1261" s="246" t="s">
        <v>12480</v>
      </c>
      <c r="C1261" s="246" t="s">
        <v>13523</v>
      </c>
      <c r="D1261" s="88"/>
      <c r="E1261" s="242">
        <v>53.5</v>
      </c>
      <c r="F1261" s="22">
        <f t="shared" si="93"/>
        <v>183330.01362502397</v>
      </c>
      <c r="G1261" s="43">
        <f t="shared" si="94"/>
        <v>25344.507464977927</v>
      </c>
      <c r="H1261" s="207"/>
      <c r="I1261" s="207" t="s">
        <v>12545</v>
      </c>
      <c r="J1261" s="66" t="s">
        <v>12548</v>
      </c>
      <c r="K1261" s="26">
        <v>42776</v>
      </c>
      <c r="L1261" s="66" t="s">
        <v>18205</v>
      </c>
      <c r="M1261" s="201" t="s">
        <v>12550</v>
      </c>
      <c r="N1261" s="207"/>
      <c r="O1261" s="38"/>
    </row>
    <row r="1262" spans="1:15" ht="72" customHeight="1" x14ac:dyDescent="0.3">
      <c r="A1262" s="2">
        <v>1242</v>
      </c>
      <c r="B1262" s="246" t="s">
        <v>12480</v>
      </c>
      <c r="C1262" s="246" t="s">
        <v>13524</v>
      </c>
      <c r="D1262" s="88"/>
      <c r="E1262" s="2">
        <v>53.6</v>
      </c>
      <c r="F1262" s="22">
        <f t="shared" si="93"/>
        <v>183672.6865476876</v>
      </c>
      <c r="G1262" s="43">
        <f t="shared" si="94"/>
        <v>25391.880376127421</v>
      </c>
      <c r="H1262" s="207"/>
      <c r="I1262" s="207" t="s">
        <v>12545</v>
      </c>
      <c r="J1262" s="245" t="s">
        <v>12548</v>
      </c>
      <c r="K1262" s="26">
        <v>42612</v>
      </c>
      <c r="L1262" s="66" t="s">
        <v>16257</v>
      </c>
      <c r="M1262" s="201" t="s">
        <v>12550</v>
      </c>
      <c r="N1262" s="207"/>
      <c r="O1262" s="38"/>
    </row>
    <row r="1263" spans="1:15" ht="72" customHeight="1" x14ac:dyDescent="0.3">
      <c r="A1263" s="2">
        <v>1243</v>
      </c>
      <c r="B1263" s="246" t="s">
        <v>12480</v>
      </c>
      <c r="C1263" s="246" t="s">
        <v>13525</v>
      </c>
      <c r="D1263" s="88"/>
      <c r="E1263" s="2">
        <v>53.4</v>
      </c>
      <c r="F1263" s="22">
        <f t="shared" si="93"/>
        <v>182987.34070236038</v>
      </c>
      <c r="G1263" s="43">
        <f t="shared" si="94"/>
        <v>25297.134553828437</v>
      </c>
      <c r="H1263" s="207"/>
      <c r="I1263" s="207" t="s">
        <v>12545</v>
      </c>
      <c r="J1263" s="245" t="s">
        <v>12548</v>
      </c>
      <c r="K1263" s="207"/>
      <c r="L1263" s="66"/>
      <c r="M1263" s="201" t="s">
        <v>12550</v>
      </c>
      <c r="N1263" s="207"/>
      <c r="O1263" s="38" t="s">
        <v>21678</v>
      </c>
    </row>
    <row r="1264" spans="1:15" ht="104.4" customHeight="1" x14ac:dyDescent="0.3">
      <c r="A1264" s="2">
        <v>1244</v>
      </c>
      <c r="B1264" s="246" t="s">
        <v>12480</v>
      </c>
      <c r="C1264" s="246" t="s">
        <v>13526</v>
      </c>
      <c r="D1264" s="88"/>
      <c r="E1264" s="2">
        <v>53</v>
      </c>
      <c r="F1264" s="22">
        <f t="shared" si="93"/>
        <v>181616.649011706</v>
      </c>
      <c r="G1264" s="43">
        <f t="shared" si="94"/>
        <v>25107.642909230472</v>
      </c>
      <c r="H1264" s="207"/>
      <c r="I1264" s="207" t="s">
        <v>12545</v>
      </c>
      <c r="J1264" s="245" t="s">
        <v>12548</v>
      </c>
      <c r="K1264" s="207"/>
      <c r="L1264" s="66"/>
      <c r="M1264" s="201" t="s">
        <v>12550</v>
      </c>
      <c r="N1264" s="245" t="s">
        <v>21023</v>
      </c>
      <c r="O1264" s="38"/>
    </row>
    <row r="1265" spans="1:15" ht="72" customHeight="1" x14ac:dyDescent="0.3">
      <c r="A1265" s="2">
        <v>1245</v>
      </c>
      <c r="B1265" s="246" t="s">
        <v>12480</v>
      </c>
      <c r="C1265" s="246" t="s">
        <v>13527</v>
      </c>
      <c r="D1265" s="88"/>
      <c r="E1265" s="2">
        <v>53.4</v>
      </c>
      <c r="F1265" s="22">
        <f t="shared" si="93"/>
        <v>182987.34070236038</v>
      </c>
      <c r="G1265" s="43">
        <f t="shared" si="94"/>
        <v>25297.134553828437</v>
      </c>
      <c r="H1265" s="207"/>
      <c r="I1265" s="207" t="s">
        <v>12545</v>
      </c>
      <c r="J1265" s="245" t="s">
        <v>12548</v>
      </c>
      <c r="K1265" s="207" t="s">
        <v>15063</v>
      </c>
      <c r="L1265" s="66" t="s">
        <v>15079</v>
      </c>
      <c r="M1265" s="201" t="s">
        <v>12550</v>
      </c>
      <c r="N1265" s="207"/>
      <c r="O1265" s="38"/>
    </row>
    <row r="1266" spans="1:15" ht="108" x14ac:dyDescent="0.3">
      <c r="A1266" s="2">
        <v>1246</v>
      </c>
      <c r="B1266" s="246" t="s">
        <v>12482</v>
      </c>
      <c r="C1266" s="246" t="s">
        <v>13528</v>
      </c>
      <c r="D1266" s="88" t="s">
        <v>23477</v>
      </c>
      <c r="E1266" s="2">
        <v>67.099999999999994</v>
      </c>
      <c r="F1266" s="22">
        <f t="shared" si="93"/>
        <v>229933.53110727304</v>
      </c>
      <c r="G1266" s="43">
        <f t="shared" si="94"/>
        <v>31787.223381308762</v>
      </c>
      <c r="H1266" s="207"/>
      <c r="I1266" s="207" t="s">
        <v>12545</v>
      </c>
      <c r="J1266" s="245" t="s">
        <v>12548</v>
      </c>
      <c r="K1266" s="207" t="s">
        <v>23475</v>
      </c>
      <c r="L1266" s="66" t="s">
        <v>23476</v>
      </c>
      <c r="M1266" s="201" t="s">
        <v>12550</v>
      </c>
      <c r="N1266" s="207"/>
      <c r="O1266" s="38" t="s">
        <v>21679</v>
      </c>
    </row>
    <row r="1267" spans="1:15" ht="72" customHeight="1" x14ac:dyDescent="0.3">
      <c r="A1267" s="2">
        <v>1247</v>
      </c>
      <c r="B1267" s="246" t="s">
        <v>12480</v>
      </c>
      <c r="C1267" s="246" t="s">
        <v>13529</v>
      </c>
      <c r="D1267" s="88"/>
      <c r="E1267" s="2">
        <v>53.3</v>
      </c>
      <c r="F1267" s="22">
        <f t="shared" si="93"/>
        <v>182644.66777969679</v>
      </c>
      <c r="G1267" s="43">
        <f t="shared" si="94"/>
        <v>25249.761642678943</v>
      </c>
      <c r="H1267" s="207"/>
      <c r="I1267" s="207" t="s">
        <v>12545</v>
      </c>
      <c r="J1267" s="245" t="s">
        <v>12548</v>
      </c>
      <c r="K1267" s="207"/>
      <c r="L1267" s="66"/>
      <c r="M1267" s="201" t="s">
        <v>12550</v>
      </c>
      <c r="N1267" s="207"/>
      <c r="O1267" s="38" t="s">
        <v>21680</v>
      </c>
    </row>
    <row r="1268" spans="1:15" ht="72" customHeight="1" x14ac:dyDescent="0.3">
      <c r="A1268" s="2">
        <v>1248</v>
      </c>
      <c r="B1268" s="245" t="s">
        <v>12212</v>
      </c>
      <c r="C1268" s="245" t="s">
        <v>13530</v>
      </c>
      <c r="D1268" s="88" t="s">
        <v>12213</v>
      </c>
      <c r="E1268" s="207">
        <v>45.9</v>
      </c>
      <c r="F1268" s="25">
        <v>1261689</v>
      </c>
      <c r="G1268" s="207"/>
      <c r="H1268" s="207">
        <v>1284013.03</v>
      </c>
      <c r="I1268" s="26">
        <v>42327</v>
      </c>
      <c r="J1268" s="245" t="s">
        <v>18597</v>
      </c>
      <c r="K1268" s="207"/>
      <c r="L1268" s="66"/>
      <c r="M1268" s="201" t="s">
        <v>12550</v>
      </c>
      <c r="N1268" s="245" t="s">
        <v>15037</v>
      </c>
      <c r="O1268" s="38"/>
    </row>
    <row r="1269" spans="1:15" ht="72" customHeight="1" x14ac:dyDescent="0.3">
      <c r="A1269" s="242">
        <v>1249</v>
      </c>
      <c r="B1269" s="246" t="s">
        <v>12480</v>
      </c>
      <c r="C1269" s="246" t="s">
        <v>13531</v>
      </c>
      <c r="D1269" s="88"/>
      <c r="E1269" s="242">
        <v>44.2</v>
      </c>
      <c r="F1269" s="22">
        <f>512613.8/116.7*E1269</f>
        <v>194151.92767780635</v>
      </c>
      <c r="G1269" s="43">
        <f>123590.19/116.7*E1269</f>
        <v>46809.652082262211</v>
      </c>
      <c r="H1269" s="207"/>
      <c r="I1269" s="207" t="s">
        <v>12545</v>
      </c>
      <c r="J1269" s="66" t="s">
        <v>12548</v>
      </c>
      <c r="K1269" s="207"/>
      <c r="L1269" s="66"/>
      <c r="M1269" s="201" t="s">
        <v>12550</v>
      </c>
      <c r="N1269" s="207"/>
      <c r="O1269" s="38" t="s">
        <v>21681</v>
      </c>
    </row>
    <row r="1270" spans="1:15" ht="72" customHeight="1" x14ac:dyDescent="0.3">
      <c r="A1270" s="242">
        <v>1250</v>
      </c>
      <c r="B1270" s="246" t="s">
        <v>12480</v>
      </c>
      <c r="C1270" s="246" t="s">
        <v>13532</v>
      </c>
      <c r="D1270" s="88"/>
      <c r="E1270" s="242">
        <v>44.3</v>
      </c>
      <c r="F1270" s="22">
        <f>512613.8/116.7*E1270</f>
        <v>194591.1854327335</v>
      </c>
      <c r="G1270" s="43">
        <f>123590.19/116.7*E1270</f>
        <v>46915.556272493566</v>
      </c>
      <c r="H1270" s="207"/>
      <c r="I1270" s="207" t="s">
        <v>12545</v>
      </c>
      <c r="J1270" s="66" t="s">
        <v>12548</v>
      </c>
      <c r="K1270" s="207"/>
      <c r="L1270" s="66"/>
      <c r="M1270" s="201" t="s">
        <v>12550</v>
      </c>
      <c r="N1270" s="207"/>
      <c r="O1270" s="38" t="s">
        <v>21682</v>
      </c>
    </row>
    <row r="1271" spans="1:15" ht="72" customHeight="1" x14ac:dyDescent="0.3">
      <c r="A1271" s="2">
        <v>1251</v>
      </c>
      <c r="B1271" s="246" t="s">
        <v>12484</v>
      </c>
      <c r="C1271" s="246" t="s">
        <v>13533</v>
      </c>
      <c r="D1271" s="88"/>
      <c r="E1271" s="242">
        <v>28.2</v>
      </c>
      <c r="F1271" s="22">
        <f>512613.8/116.7*E1271</f>
        <v>123870.68688946015</v>
      </c>
      <c r="G1271" s="43">
        <f>123590.19/116.7*E1271</f>
        <v>29864.981645244214</v>
      </c>
      <c r="H1271" s="207"/>
      <c r="I1271" s="207" t="s">
        <v>12545</v>
      </c>
      <c r="J1271" s="66" t="s">
        <v>12548</v>
      </c>
      <c r="K1271" s="207"/>
      <c r="L1271" s="66"/>
      <c r="M1271" s="201" t="s">
        <v>12550</v>
      </c>
      <c r="N1271" s="207"/>
      <c r="O1271" s="38" t="s">
        <v>21683</v>
      </c>
    </row>
    <row r="1272" spans="1:15" ht="72" customHeight="1" x14ac:dyDescent="0.3">
      <c r="A1272" s="2">
        <v>1252</v>
      </c>
      <c r="B1272" s="246" t="s">
        <v>12480</v>
      </c>
      <c r="C1272" s="246" t="s">
        <v>13534</v>
      </c>
      <c r="D1272" s="88"/>
      <c r="E1272" s="242">
        <v>42.1</v>
      </c>
      <c r="F1272" s="22">
        <f>445688.1/154.6*E1272</f>
        <v>121367.84611901682</v>
      </c>
      <c r="G1272" s="43">
        <f>127934.07/154.6*E1272</f>
        <v>34838.449851228979</v>
      </c>
      <c r="H1272" s="207"/>
      <c r="I1272" s="207" t="s">
        <v>12545</v>
      </c>
      <c r="J1272" s="66" t="s">
        <v>12548</v>
      </c>
      <c r="K1272" s="207"/>
      <c r="L1272" s="66"/>
      <c r="M1272" s="201" t="s">
        <v>12550</v>
      </c>
      <c r="N1272" s="207"/>
      <c r="O1272" s="38"/>
    </row>
    <row r="1273" spans="1:15" ht="84" customHeight="1" x14ac:dyDescent="0.3">
      <c r="A1273" s="242">
        <v>1253</v>
      </c>
      <c r="B1273" s="246" t="s">
        <v>12480</v>
      </c>
      <c r="C1273" s="246" t="s">
        <v>13535</v>
      </c>
      <c r="D1273" s="88"/>
      <c r="E1273" s="242">
        <v>40.9</v>
      </c>
      <c r="F1273" s="22">
        <f>445688.1/154.6*E1273</f>
        <v>117908.43007761965</v>
      </c>
      <c r="G1273" s="43">
        <f>127934.07/154.6*E1273</f>
        <v>33845.429902975418</v>
      </c>
      <c r="H1273" s="207"/>
      <c r="I1273" s="207" t="s">
        <v>12545</v>
      </c>
      <c r="J1273" s="66" t="s">
        <v>12548</v>
      </c>
      <c r="K1273" s="207"/>
      <c r="L1273" s="66"/>
      <c r="M1273" s="201" t="s">
        <v>12550</v>
      </c>
      <c r="N1273" s="207"/>
      <c r="O1273" s="38" t="s">
        <v>21684</v>
      </c>
    </row>
    <row r="1274" spans="1:15" ht="84" customHeight="1" x14ac:dyDescent="0.3">
      <c r="A1274" s="2">
        <v>1254</v>
      </c>
      <c r="B1274" s="246" t="s">
        <v>12480</v>
      </c>
      <c r="C1274" s="246" t="s">
        <v>13536</v>
      </c>
      <c r="D1274" s="88"/>
      <c r="E1274" s="2">
        <v>40.799999999999997</v>
      </c>
      <c r="F1274" s="22">
        <f>445688.1/154.6*E1274</f>
        <v>117620.14540750321</v>
      </c>
      <c r="G1274" s="43">
        <f>127934.07/154.6*E1274</f>
        <v>33762.678240620953</v>
      </c>
      <c r="H1274" s="207"/>
      <c r="I1274" s="207" t="s">
        <v>12545</v>
      </c>
      <c r="J1274" s="245" t="s">
        <v>12548</v>
      </c>
      <c r="K1274" s="207"/>
      <c r="L1274" s="66"/>
      <c r="M1274" s="201" t="s">
        <v>12550</v>
      </c>
      <c r="N1274" s="207"/>
      <c r="O1274" s="38" t="s">
        <v>21685</v>
      </c>
    </row>
    <row r="1275" spans="1:15" ht="72" customHeight="1" x14ac:dyDescent="0.3">
      <c r="A1275" s="242">
        <v>1255</v>
      </c>
      <c r="B1275" s="246" t="s">
        <v>12484</v>
      </c>
      <c r="C1275" s="246" t="s">
        <v>13537</v>
      </c>
      <c r="D1275" s="88"/>
      <c r="E1275" s="242">
        <v>30.8</v>
      </c>
      <c r="F1275" s="22">
        <f>445688.1/154.6*E1275</f>
        <v>88791.678395860275</v>
      </c>
      <c r="G1275" s="43">
        <f>127934.07/154.6*E1275</f>
        <v>25487.512005174645</v>
      </c>
      <c r="H1275" s="207"/>
      <c r="I1275" s="207" t="s">
        <v>12545</v>
      </c>
      <c r="J1275" s="66" t="s">
        <v>12548</v>
      </c>
      <c r="K1275" s="207"/>
      <c r="L1275" s="66"/>
      <c r="M1275" s="201" t="s">
        <v>12550</v>
      </c>
      <c r="N1275" s="207"/>
      <c r="O1275" s="38"/>
    </row>
    <row r="1276" spans="1:15" ht="72" customHeight="1" x14ac:dyDescent="0.3">
      <c r="A1276" s="2">
        <v>1256</v>
      </c>
      <c r="B1276" s="246" t="s">
        <v>12480</v>
      </c>
      <c r="C1276" s="246" t="s">
        <v>18023</v>
      </c>
      <c r="D1276" s="88"/>
      <c r="E1276" s="2">
        <v>41.1</v>
      </c>
      <c r="F1276" s="45">
        <f>451669.9/157.2*E1276</f>
        <v>118089.26774809163</v>
      </c>
      <c r="G1276" s="6">
        <f>127558.11/157.2*E1276</f>
        <v>33350.116545801531</v>
      </c>
      <c r="H1276" s="207"/>
      <c r="I1276" s="207" t="s">
        <v>12545</v>
      </c>
      <c r="J1276" s="245" t="s">
        <v>12548</v>
      </c>
      <c r="K1276" s="207"/>
      <c r="L1276" s="66"/>
      <c r="M1276" s="201" t="s">
        <v>12550</v>
      </c>
      <c r="N1276" s="207"/>
      <c r="O1276" s="38" t="s">
        <v>21686</v>
      </c>
    </row>
    <row r="1277" spans="1:15" ht="72" customHeight="1" x14ac:dyDescent="0.3">
      <c r="A1277" s="2">
        <v>1257</v>
      </c>
      <c r="B1277" s="246" t="s">
        <v>12480</v>
      </c>
      <c r="C1277" s="246" t="s">
        <v>18024</v>
      </c>
      <c r="D1277" s="88"/>
      <c r="E1277" s="2">
        <v>40.799999999999997</v>
      </c>
      <c r="F1277" s="45">
        <f>451669.9/157.2*E1277</f>
        <v>117227.30229007635</v>
      </c>
      <c r="G1277" s="6">
        <f>127558.11/157.2*E1277</f>
        <v>33106.68503816794</v>
      </c>
      <c r="H1277" s="207"/>
      <c r="I1277" s="207" t="s">
        <v>12545</v>
      </c>
      <c r="J1277" s="245" t="s">
        <v>12548</v>
      </c>
      <c r="K1277" s="207"/>
      <c r="L1277" s="66"/>
      <c r="M1277" s="201" t="s">
        <v>12550</v>
      </c>
      <c r="N1277" s="207"/>
      <c r="O1277" s="38"/>
    </row>
    <row r="1278" spans="1:15" ht="72" customHeight="1" x14ac:dyDescent="0.3">
      <c r="A1278" s="2">
        <v>1258</v>
      </c>
      <c r="B1278" s="246" t="s">
        <v>12484</v>
      </c>
      <c r="C1278" s="246" t="s">
        <v>18025</v>
      </c>
      <c r="D1278" s="88"/>
      <c r="E1278" s="2">
        <v>30.8</v>
      </c>
      <c r="F1278" s="45">
        <f>451669.9/157.2*E1278</f>
        <v>88495.120356234111</v>
      </c>
      <c r="G1278" s="6">
        <f>127558.11/157.2*E1278</f>
        <v>24992.301450381681</v>
      </c>
      <c r="H1278" s="207"/>
      <c r="I1278" s="207" t="s">
        <v>12545</v>
      </c>
      <c r="J1278" s="245" t="s">
        <v>12548</v>
      </c>
      <c r="K1278" s="207"/>
      <c r="L1278" s="66"/>
      <c r="M1278" s="201" t="s">
        <v>12550</v>
      </c>
      <c r="N1278" s="207"/>
      <c r="O1278" s="38"/>
    </row>
    <row r="1279" spans="1:15" ht="72" customHeight="1" x14ac:dyDescent="0.3">
      <c r="A1279" s="2">
        <v>1259</v>
      </c>
      <c r="B1279" s="246" t="s">
        <v>12480</v>
      </c>
      <c r="C1279" s="246" t="s">
        <v>18026</v>
      </c>
      <c r="D1279" s="88"/>
      <c r="E1279" s="2">
        <v>44.5</v>
      </c>
      <c r="F1279" s="45">
        <f>451669.9/157.2*E1279</f>
        <v>127858.20960559798</v>
      </c>
      <c r="G1279" s="6">
        <f>127558.11/157.2*E1279</f>
        <v>36109.006965648856</v>
      </c>
      <c r="H1279" s="207"/>
      <c r="I1279" s="207" t="s">
        <v>12545</v>
      </c>
      <c r="J1279" s="245" t="s">
        <v>12548</v>
      </c>
      <c r="K1279" s="207"/>
      <c r="L1279" s="66"/>
      <c r="M1279" s="201" t="s">
        <v>12550</v>
      </c>
      <c r="N1279" s="207"/>
      <c r="O1279" s="38"/>
    </row>
    <row r="1280" spans="1:15" ht="72" customHeight="1" x14ac:dyDescent="0.3">
      <c r="A1280" s="242">
        <v>1260</v>
      </c>
      <c r="B1280" s="246" t="s">
        <v>12482</v>
      </c>
      <c r="C1280" s="246" t="s">
        <v>13538</v>
      </c>
      <c r="D1280" s="88"/>
      <c r="E1280" s="242">
        <v>67.3</v>
      </c>
      <c r="F1280" s="22">
        <f>1118635.6/254.1*E1280</f>
        <v>296277.74844549393</v>
      </c>
      <c r="G1280" s="43">
        <f>121919.5/254.1*E1280</f>
        <v>32291.154466745375</v>
      </c>
      <c r="H1280" s="207"/>
      <c r="I1280" s="207" t="s">
        <v>12545</v>
      </c>
      <c r="J1280" s="245" t="s">
        <v>12548</v>
      </c>
      <c r="K1280" s="207"/>
      <c r="L1280" s="66"/>
      <c r="M1280" s="201" t="s">
        <v>12550</v>
      </c>
      <c r="N1280" s="207"/>
      <c r="O1280" s="38" t="s">
        <v>19870</v>
      </c>
    </row>
    <row r="1281" spans="1:15" ht="72" customHeight="1" x14ac:dyDescent="0.3">
      <c r="A1281" s="2">
        <v>1261</v>
      </c>
      <c r="B1281" s="246" t="s">
        <v>12480</v>
      </c>
      <c r="C1281" s="246" t="s">
        <v>13539</v>
      </c>
      <c r="D1281" s="88"/>
      <c r="E1281" s="2">
        <v>53.2</v>
      </c>
      <c r="F1281" s="22">
        <f>1118635.6/254.1*E1281</f>
        <v>234204.69862258958</v>
      </c>
      <c r="G1281" s="43">
        <f>121919.5/254.1*E1281</f>
        <v>25525.845730027551</v>
      </c>
      <c r="H1281" s="207"/>
      <c r="I1281" s="207" t="s">
        <v>12545</v>
      </c>
      <c r="J1281" s="245" t="s">
        <v>12548</v>
      </c>
      <c r="K1281" s="207"/>
      <c r="L1281" s="66"/>
      <c r="M1281" s="201" t="s">
        <v>12550</v>
      </c>
      <c r="N1281" s="207"/>
      <c r="O1281" s="38"/>
    </row>
    <row r="1282" spans="1:15" ht="72" customHeight="1" x14ac:dyDescent="0.3">
      <c r="A1282" s="2">
        <v>1262</v>
      </c>
      <c r="B1282" s="246" t="s">
        <v>12482</v>
      </c>
      <c r="C1282" s="246" t="s">
        <v>13540</v>
      </c>
      <c r="D1282" s="88"/>
      <c r="E1282" s="2">
        <v>66.8</v>
      </c>
      <c r="F1282" s="22">
        <f>1118635.6/254.1*E1282</f>
        <v>294076.57646595832</v>
      </c>
      <c r="G1282" s="43">
        <f>121919.5/254.1*E1282</f>
        <v>32051.249901613537</v>
      </c>
      <c r="H1282" s="207"/>
      <c r="I1282" s="207" t="s">
        <v>12545</v>
      </c>
      <c r="J1282" s="245" t="s">
        <v>12548</v>
      </c>
      <c r="K1282" s="207"/>
      <c r="L1282" s="66"/>
      <c r="M1282" s="201" t="s">
        <v>12550</v>
      </c>
      <c r="N1282" s="207"/>
      <c r="O1282" s="38" t="s">
        <v>21687</v>
      </c>
    </row>
    <row r="1283" spans="1:15" ht="72" customHeight="1" x14ac:dyDescent="0.3">
      <c r="A1283" s="2">
        <v>1263</v>
      </c>
      <c r="B1283" s="246" t="s">
        <v>12482</v>
      </c>
      <c r="C1283" s="246" t="s">
        <v>13541</v>
      </c>
      <c r="D1283" s="88"/>
      <c r="E1283" s="2">
        <v>66.8</v>
      </c>
      <c r="F1283" s="22">
        <f>1118635.6/254.1*E1283</f>
        <v>294076.57646595832</v>
      </c>
      <c r="G1283" s="43">
        <f>121919.5/254.1*E1283</f>
        <v>32051.249901613537</v>
      </c>
      <c r="H1283" s="207"/>
      <c r="I1283" s="207" t="s">
        <v>12545</v>
      </c>
      <c r="J1283" s="245" t="s">
        <v>12548</v>
      </c>
      <c r="K1283" s="207"/>
      <c r="L1283" s="66"/>
      <c r="M1283" s="201" t="s">
        <v>12550</v>
      </c>
      <c r="N1283" s="207"/>
      <c r="O1283" s="38" t="s">
        <v>21688</v>
      </c>
    </row>
    <row r="1284" spans="1:15" ht="72" customHeight="1" x14ac:dyDescent="0.3">
      <c r="A1284" s="2">
        <v>1264</v>
      </c>
      <c r="B1284" s="246" t="s">
        <v>12480</v>
      </c>
      <c r="C1284" s="246" t="s">
        <v>13542</v>
      </c>
      <c r="D1284" s="88"/>
      <c r="E1284" s="2">
        <v>50.1</v>
      </c>
      <c r="F1284" s="45">
        <f>641624.2/118.6*E1284</f>
        <v>271040.23962900502</v>
      </c>
      <c r="G1284" s="45">
        <f>72537.75/118.6*E1284</f>
        <v>30642.000632377745</v>
      </c>
      <c r="H1284" s="207"/>
      <c r="I1284" s="207" t="s">
        <v>12545</v>
      </c>
      <c r="J1284" s="245" t="s">
        <v>12548</v>
      </c>
      <c r="K1284" s="207"/>
      <c r="L1284" s="66"/>
      <c r="M1284" s="201" t="s">
        <v>12550</v>
      </c>
      <c r="N1284" s="207"/>
      <c r="O1284" s="38"/>
    </row>
    <row r="1285" spans="1:15" ht="72" customHeight="1" x14ac:dyDescent="0.3">
      <c r="A1285" s="2">
        <v>1265</v>
      </c>
      <c r="B1285" s="246" t="s">
        <v>12482</v>
      </c>
      <c r="C1285" s="246" t="s">
        <v>13543</v>
      </c>
      <c r="D1285" s="88"/>
      <c r="E1285" s="2">
        <v>68.5</v>
      </c>
      <c r="F1285" s="45">
        <f>641624.2/118.6*E1285</f>
        <v>370583.96037099493</v>
      </c>
      <c r="G1285" s="45">
        <f>72537.75/118.6*E1285</f>
        <v>41895.749367622266</v>
      </c>
      <c r="H1285" s="207"/>
      <c r="I1285" s="207" t="s">
        <v>12545</v>
      </c>
      <c r="J1285" s="245" t="s">
        <v>12548</v>
      </c>
      <c r="K1285" s="207"/>
      <c r="L1285" s="66"/>
      <c r="M1285" s="201" t="s">
        <v>12550</v>
      </c>
      <c r="N1285" s="207"/>
      <c r="O1285" s="38" t="s">
        <v>21689</v>
      </c>
    </row>
    <row r="1286" spans="1:15" ht="72" customHeight="1" x14ac:dyDescent="0.3">
      <c r="A1286" s="2">
        <v>1266</v>
      </c>
      <c r="B1286" s="246" t="s">
        <v>12480</v>
      </c>
      <c r="C1286" s="246" t="s">
        <v>13544</v>
      </c>
      <c r="D1286" s="88"/>
      <c r="E1286" s="30">
        <v>48.9</v>
      </c>
      <c r="F1286" s="22">
        <f>81867.6/99*E1286</f>
        <v>40437.632727272729</v>
      </c>
      <c r="G1286" s="43">
        <f>12331.83/99*E1286</f>
        <v>6091.1766363636361</v>
      </c>
      <c r="H1286" s="207"/>
      <c r="I1286" s="207" t="s">
        <v>12545</v>
      </c>
      <c r="J1286" s="245" t="s">
        <v>12548</v>
      </c>
      <c r="K1286" s="207"/>
      <c r="L1286" s="66"/>
      <c r="M1286" s="201" t="s">
        <v>12550</v>
      </c>
      <c r="N1286" s="207"/>
      <c r="O1286" s="38"/>
    </row>
    <row r="1287" spans="1:15" ht="72" customHeight="1" x14ac:dyDescent="0.3">
      <c r="A1287" s="2">
        <v>1267</v>
      </c>
      <c r="B1287" s="246" t="s">
        <v>12480</v>
      </c>
      <c r="C1287" s="246" t="s">
        <v>13545</v>
      </c>
      <c r="D1287" s="88"/>
      <c r="E1287" s="30">
        <v>50.1</v>
      </c>
      <c r="F1287" s="22">
        <f>81867.6/99*E1287</f>
        <v>41429.967272727277</v>
      </c>
      <c r="G1287" s="43">
        <f>12331.83/99*E1287</f>
        <v>6240.6533636363638</v>
      </c>
      <c r="H1287" s="207"/>
      <c r="I1287" s="207" t="s">
        <v>12545</v>
      </c>
      <c r="J1287" s="245" t="s">
        <v>12548</v>
      </c>
      <c r="K1287" s="207"/>
      <c r="L1287" s="66"/>
      <c r="M1287" s="201" t="s">
        <v>12550</v>
      </c>
      <c r="N1287" s="207"/>
      <c r="O1287" s="38" t="s">
        <v>21690</v>
      </c>
    </row>
    <row r="1288" spans="1:15" ht="72" customHeight="1" x14ac:dyDescent="0.3">
      <c r="A1288" s="2">
        <v>1268</v>
      </c>
      <c r="B1288" s="246" t="s">
        <v>12480</v>
      </c>
      <c r="C1288" s="2" t="s">
        <v>13546</v>
      </c>
      <c r="D1288" s="88"/>
      <c r="E1288" s="2">
        <v>52.8</v>
      </c>
      <c r="F1288" s="45">
        <v>1800000</v>
      </c>
      <c r="G1288" s="6"/>
      <c r="H1288" s="207"/>
      <c r="I1288" s="207" t="s">
        <v>12545</v>
      </c>
      <c r="J1288" s="245" t="s">
        <v>12548</v>
      </c>
      <c r="K1288" s="207"/>
      <c r="L1288" s="66"/>
      <c r="M1288" s="201" t="s">
        <v>12550</v>
      </c>
      <c r="N1288" s="207"/>
      <c r="O1288" s="38"/>
    </row>
    <row r="1289" spans="1:15" ht="72" customHeight="1" x14ac:dyDescent="0.3">
      <c r="A1289" s="2">
        <v>1269</v>
      </c>
      <c r="B1289" s="246" t="s">
        <v>12481</v>
      </c>
      <c r="C1289" s="246" t="s">
        <v>13547</v>
      </c>
      <c r="D1289" s="88"/>
      <c r="E1289" s="2">
        <v>32.1</v>
      </c>
      <c r="F1289" s="22">
        <f>703038.2/64.2*E1289</f>
        <v>351519.1</v>
      </c>
      <c r="G1289" s="43">
        <f>152554.38/64.2*E1289</f>
        <v>76277.19</v>
      </c>
      <c r="H1289" s="207"/>
      <c r="I1289" s="207" t="s">
        <v>12545</v>
      </c>
      <c r="J1289" s="245" t="s">
        <v>12548</v>
      </c>
      <c r="K1289" s="207"/>
      <c r="L1289" s="66"/>
      <c r="M1289" s="201" t="s">
        <v>12550</v>
      </c>
      <c r="N1289" s="207"/>
      <c r="O1289" s="38"/>
    </row>
    <row r="1290" spans="1:15" ht="72" customHeight="1" x14ac:dyDescent="0.3">
      <c r="A1290" s="2">
        <v>1270</v>
      </c>
      <c r="B1290" s="246" t="s">
        <v>12481</v>
      </c>
      <c r="C1290" s="246" t="s">
        <v>13548</v>
      </c>
      <c r="D1290" s="88"/>
      <c r="E1290" s="2">
        <v>32.1</v>
      </c>
      <c r="F1290" s="22">
        <f>703038.2/64.2*E1290</f>
        <v>351519.1</v>
      </c>
      <c r="G1290" s="43">
        <f>152554.38/64.2*E1290</f>
        <v>76277.19</v>
      </c>
      <c r="H1290" s="207"/>
      <c r="I1290" s="207" t="s">
        <v>12545</v>
      </c>
      <c r="J1290" s="245" t="s">
        <v>12548</v>
      </c>
      <c r="K1290" s="207"/>
      <c r="L1290" s="66"/>
      <c r="M1290" s="201" t="s">
        <v>12550</v>
      </c>
      <c r="N1290" s="207"/>
      <c r="O1290" s="38" t="s">
        <v>21691</v>
      </c>
    </row>
    <row r="1291" spans="1:15" ht="72" customHeight="1" x14ac:dyDescent="0.3">
      <c r="A1291" s="2">
        <v>1271</v>
      </c>
      <c r="B1291" s="246" t="s">
        <v>12480</v>
      </c>
      <c r="C1291" s="246" t="s">
        <v>13549</v>
      </c>
      <c r="D1291" s="88"/>
      <c r="E1291" s="30">
        <v>50.4</v>
      </c>
      <c r="F1291" s="45">
        <f>1369033.6/119*E1291</f>
        <v>579825.9952941176</v>
      </c>
      <c r="G1291" s="6">
        <f>137068.64/119*E1291</f>
        <v>58052.600470588237</v>
      </c>
      <c r="H1291" s="207"/>
      <c r="I1291" s="207" t="s">
        <v>12545</v>
      </c>
      <c r="J1291" s="245" t="s">
        <v>12548</v>
      </c>
      <c r="K1291" s="207"/>
      <c r="L1291" s="66"/>
      <c r="M1291" s="201" t="s">
        <v>12550</v>
      </c>
      <c r="N1291" s="207"/>
      <c r="O1291" s="38"/>
    </row>
    <row r="1292" spans="1:15" ht="72" customHeight="1" x14ac:dyDescent="0.3">
      <c r="A1292" s="2">
        <v>1272</v>
      </c>
      <c r="B1292" s="246" t="s">
        <v>12482</v>
      </c>
      <c r="C1292" s="246" t="s">
        <v>13550</v>
      </c>
      <c r="D1292" s="88"/>
      <c r="E1292" s="30">
        <v>68.599999999999994</v>
      </c>
      <c r="F1292" s="45">
        <f>1369033.6/119*E1292</f>
        <v>789207.60470588226</v>
      </c>
      <c r="G1292" s="6">
        <f>137068.64/119*E1292</f>
        <v>79016.039529411762</v>
      </c>
      <c r="H1292" s="207"/>
      <c r="I1292" s="207" t="s">
        <v>12545</v>
      </c>
      <c r="J1292" s="245" t="s">
        <v>12548</v>
      </c>
      <c r="K1292" s="207"/>
      <c r="L1292" s="66"/>
      <c r="M1292" s="201" t="s">
        <v>12550</v>
      </c>
      <c r="N1292" s="207"/>
      <c r="O1292" s="38"/>
    </row>
    <row r="1293" spans="1:15" ht="72" customHeight="1" x14ac:dyDescent="0.3">
      <c r="A1293" s="2">
        <v>1273</v>
      </c>
      <c r="B1293" s="246" t="s">
        <v>12481</v>
      </c>
      <c r="C1293" s="246" t="s">
        <v>13551</v>
      </c>
      <c r="D1293" s="88"/>
      <c r="E1293" s="2">
        <v>37</v>
      </c>
      <c r="F1293" s="22">
        <f>306942.8/72.1*E1293</f>
        <v>157515.72260748962</v>
      </c>
      <c r="G1293" s="43">
        <f>77276.61/72.1*E1293</f>
        <v>39656.512760055484</v>
      </c>
      <c r="H1293" s="207"/>
      <c r="I1293" s="207" t="s">
        <v>12545</v>
      </c>
      <c r="J1293" s="245" t="s">
        <v>12548</v>
      </c>
      <c r="K1293" s="207"/>
      <c r="L1293" s="66"/>
      <c r="M1293" s="201" t="s">
        <v>12550</v>
      </c>
      <c r="N1293" s="207"/>
      <c r="O1293" s="38"/>
    </row>
    <row r="1294" spans="1:15" ht="72" customHeight="1" x14ac:dyDescent="0.3">
      <c r="A1294" s="2">
        <v>1274</v>
      </c>
      <c r="B1294" s="246" t="s">
        <v>12481</v>
      </c>
      <c r="C1294" s="246" t="s">
        <v>13552</v>
      </c>
      <c r="D1294" s="88"/>
      <c r="E1294" s="2">
        <v>35.1</v>
      </c>
      <c r="F1294" s="22">
        <f>306942.8/72.1*E1294</f>
        <v>149427.07739251043</v>
      </c>
      <c r="G1294" s="43">
        <f>77276.61/72.1*E1294</f>
        <v>37620.097239944531</v>
      </c>
      <c r="H1294" s="207"/>
      <c r="I1294" s="207" t="s">
        <v>12545</v>
      </c>
      <c r="J1294" s="245" t="s">
        <v>12548</v>
      </c>
      <c r="K1294" s="207"/>
      <c r="L1294" s="66"/>
      <c r="M1294" s="201" t="s">
        <v>12550</v>
      </c>
      <c r="N1294" s="207"/>
      <c r="O1294" s="38"/>
    </row>
    <row r="1295" spans="1:15" ht="72" customHeight="1" x14ac:dyDescent="0.3">
      <c r="A1295" s="2">
        <v>1275</v>
      </c>
      <c r="B1295" s="246" t="s">
        <v>12481</v>
      </c>
      <c r="C1295" s="246" t="s">
        <v>13553</v>
      </c>
      <c r="D1295" s="88"/>
      <c r="E1295" s="2">
        <v>37.9</v>
      </c>
      <c r="F1295" s="45">
        <v>69238.100000000006</v>
      </c>
      <c r="G1295" s="51">
        <v>16947.400000000001</v>
      </c>
      <c r="H1295" s="207"/>
      <c r="I1295" s="207" t="s">
        <v>12545</v>
      </c>
      <c r="J1295" s="245" t="s">
        <v>12548</v>
      </c>
      <c r="K1295" s="207"/>
      <c r="L1295" s="66"/>
      <c r="M1295" s="201" t="s">
        <v>12550</v>
      </c>
      <c r="N1295" s="207"/>
      <c r="O1295" s="38"/>
    </row>
    <row r="1296" spans="1:15" ht="72" customHeight="1" x14ac:dyDescent="0.3">
      <c r="A1296" s="2">
        <v>1276</v>
      </c>
      <c r="B1296" s="246" t="s">
        <v>12481</v>
      </c>
      <c r="C1296" s="2" t="s">
        <v>13554</v>
      </c>
      <c r="D1296" s="88"/>
      <c r="E1296" s="2">
        <v>36.200000000000003</v>
      </c>
      <c r="F1296" s="246">
        <v>20314.54</v>
      </c>
      <c r="G1296" s="6"/>
      <c r="H1296" s="207"/>
      <c r="I1296" s="207" t="s">
        <v>12545</v>
      </c>
      <c r="J1296" s="245" t="s">
        <v>12548</v>
      </c>
      <c r="K1296" s="207"/>
      <c r="L1296" s="66"/>
      <c r="M1296" s="201" t="s">
        <v>12550</v>
      </c>
      <c r="N1296" s="207"/>
      <c r="O1296" s="38" t="s">
        <v>21692</v>
      </c>
    </row>
    <row r="1297" spans="1:15" ht="72" customHeight="1" x14ac:dyDescent="0.3">
      <c r="A1297" s="2">
        <v>1277</v>
      </c>
      <c r="B1297" s="246" t="s">
        <v>12481</v>
      </c>
      <c r="C1297" s="246" t="s">
        <v>13555</v>
      </c>
      <c r="D1297" s="88"/>
      <c r="E1297" s="2">
        <v>37.700000000000003</v>
      </c>
      <c r="F1297" s="45">
        <v>57199.3</v>
      </c>
      <c r="G1297" s="6">
        <v>15196.18</v>
      </c>
      <c r="H1297" s="207"/>
      <c r="I1297" s="207" t="s">
        <v>12545</v>
      </c>
      <c r="J1297" s="245" t="s">
        <v>12548</v>
      </c>
      <c r="K1297" s="207"/>
      <c r="L1297" s="66"/>
      <c r="M1297" s="201" t="s">
        <v>12550</v>
      </c>
      <c r="N1297" s="207"/>
      <c r="O1297" s="38"/>
    </row>
    <row r="1298" spans="1:15" ht="72" customHeight="1" x14ac:dyDescent="0.3">
      <c r="A1298" s="242">
        <v>1278</v>
      </c>
      <c r="B1298" s="246" t="s">
        <v>12479</v>
      </c>
      <c r="C1298" s="246" t="s">
        <v>13556</v>
      </c>
      <c r="D1298" s="88"/>
      <c r="E1298" s="30">
        <v>35</v>
      </c>
      <c r="F1298" s="246">
        <v>100150.24</v>
      </c>
      <c r="G1298" s="51">
        <v>73003.399999999994</v>
      </c>
      <c r="H1298" s="207"/>
      <c r="I1298" s="207" t="s">
        <v>12545</v>
      </c>
      <c r="J1298" s="245" t="s">
        <v>12548</v>
      </c>
      <c r="K1298" s="207"/>
      <c r="L1298" s="66"/>
      <c r="M1298" s="201" t="s">
        <v>12550</v>
      </c>
      <c r="N1298" s="207"/>
      <c r="O1298" s="38"/>
    </row>
    <row r="1299" spans="1:15" ht="72" customHeight="1" x14ac:dyDescent="0.3">
      <c r="A1299" s="242">
        <v>1279</v>
      </c>
      <c r="B1299" s="246" t="s">
        <v>12480</v>
      </c>
      <c r="C1299" s="246" t="s">
        <v>13557</v>
      </c>
      <c r="D1299" s="88"/>
      <c r="E1299" s="242">
        <v>48</v>
      </c>
      <c r="F1299" s="22">
        <f>408957.5/144*E1299</f>
        <v>136319.16666666666</v>
      </c>
      <c r="G1299" s="43">
        <f>142889.15/144*E1299</f>
        <v>47629.71666666666</v>
      </c>
      <c r="H1299" s="207"/>
      <c r="I1299" s="207" t="s">
        <v>12545</v>
      </c>
      <c r="J1299" s="245" t="s">
        <v>12548</v>
      </c>
      <c r="K1299" s="207"/>
      <c r="L1299" s="66"/>
      <c r="M1299" s="201" t="s">
        <v>12550</v>
      </c>
      <c r="N1299" s="207"/>
      <c r="O1299" s="38" t="s">
        <v>21693</v>
      </c>
    </row>
    <row r="1300" spans="1:15" ht="72" customHeight="1" x14ac:dyDescent="0.3">
      <c r="A1300" s="2">
        <v>1280</v>
      </c>
      <c r="B1300" s="246" t="s">
        <v>12484</v>
      </c>
      <c r="C1300" s="246" t="s">
        <v>13558</v>
      </c>
      <c r="D1300" s="88"/>
      <c r="E1300" s="2">
        <v>33</v>
      </c>
      <c r="F1300" s="22">
        <f>408957.5/144*E1300</f>
        <v>93719.427083333328</v>
      </c>
      <c r="G1300" s="43">
        <f>142889.15/144*E1300</f>
        <v>32745.430208333331</v>
      </c>
      <c r="H1300" s="207"/>
      <c r="I1300" s="207" t="s">
        <v>12545</v>
      </c>
      <c r="J1300" s="245" t="s">
        <v>12548</v>
      </c>
      <c r="K1300" s="207"/>
      <c r="L1300" s="66"/>
      <c r="M1300" s="201" t="s">
        <v>12550</v>
      </c>
      <c r="N1300" s="207"/>
      <c r="O1300" s="38"/>
    </row>
    <row r="1301" spans="1:15" ht="72" customHeight="1" x14ac:dyDescent="0.3">
      <c r="A1301" s="2">
        <v>1281</v>
      </c>
      <c r="B1301" s="246" t="s">
        <v>12482</v>
      </c>
      <c r="C1301" s="246" t="s">
        <v>13559</v>
      </c>
      <c r="D1301" s="88"/>
      <c r="E1301" s="2">
        <v>63</v>
      </c>
      <c r="F1301" s="22">
        <f>408957.5/144*E1301</f>
        <v>178918.90625</v>
      </c>
      <c r="G1301" s="43">
        <f>142889.15/144*E1301</f>
        <v>62514.003124999996</v>
      </c>
      <c r="H1301" s="207"/>
      <c r="I1301" s="207" t="s">
        <v>12545</v>
      </c>
      <c r="J1301" s="245" t="s">
        <v>12548</v>
      </c>
      <c r="K1301" s="207"/>
      <c r="L1301" s="66"/>
      <c r="M1301" s="201" t="s">
        <v>12550</v>
      </c>
      <c r="N1301" s="207"/>
      <c r="O1301" s="38" t="s">
        <v>21694</v>
      </c>
    </row>
    <row r="1302" spans="1:15" ht="72" customHeight="1" x14ac:dyDescent="0.3">
      <c r="A1302" s="242">
        <v>1282</v>
      </c>
      <c r="B1302" s="246" t="s">
        <v>12484</v>
      </c>
      <c r="C1302" s="246" t="s">
        <v>13560</v>
      </c>
      <c r="D1302" s="88"/>
      <c r="E1302" s="30">
        <v>33</v>
      </c>
      <c r="F1302" s="22">
        <f>653489.8/96*E1302</f>
        <v>224637.11875000002</v>
      </c>
      <c r="G1302" s="43">
        <f>173663.8/96*E1302</f>
        <v>59696.931249999994</v>
      </c>
      <c r="H1302" s="207"/>
      <c r="I1302" s="207" t="s">
        <v>12545</v>
      </c>
      <c r="J1302" s="245" t="s">
        <v>12548</v>
      </c>
      <c r="K1302" s="207"/>
      <c r="L1302" s="66"/>
      <c r="M1302" s="201" t="s">
        <v>12550</v>
      </c>
      <c r="N1302" s="207"/>
      <c r="O1302" s="38" t="s">
        <v>21695</v>
      </c>
    </row>
    <row r="1303" spans="1:15" ht="84" customHeight="1" x14ac:dyDescent="0.3">
      <c r="A1303" s="2">
        <v>1283</v>
      </c>
      <c r="B1303" s="246" t="s">
        <v>12482</v>
      </c>
      <c r="C1303" s="246" t="s">
        <v>13561</v>
      </c>
      <c r="D1303" s="88"/>
      <c r="E1303" s="30">
        <v>63</v>
      </c>
      <c r="F1303" s="22">
        <f>653489.8/96*E1303</f>
        <v>428852.68125000002</v>
      </c>
      <c r="G1303" s="43">
        <f>173663.8/96*E1303</f>
        <v>113966.86874999999</v>
      </c>
      <c r="H1303" s="207"/>
      <c r="I1303" s="207" t="s">
        <v>12545</v>
      </c>
      <c r="J1303" s="245" t="s">
        <v>12548</v>
      </c>
      <c r="K1303" s="207"/>
      <c r="L1303" s="66"/>
      <c r="M1303" s="201" t="s">
        <v>12550</v>
      </c>
      <c r="N1303" s="207"/>
      <c r="O1303" s="38" t="s">
        <v>19882</v>
      </c>
    </row>
    <row r="1304" spans="1:15" ht="72" customHeight="1" x14ac:dyDescent="0.3">
      <c r="A1304" s="2">
        <v>1284</v>
      </c>
      <c r="B1304" s="246" t="s">
        <v>12480</v>
      </c>
      <c r="C1304" s="246" t="s">
        <v>13562</v>
      </c>
      <c r="D1304" s="88"/>
      <c r="E1304" s="2">
        <v>48</v>
      </c>
      <c r="F1304" s="22">
        <f>47580.6/159*E1304</f>
        <v>14363.95471698113</v>
      </c>
      <c r="G1304" s="43">
        <f>11313.54/159*E1304</f>
        <v>3415.4083018867927</v>
      </c>
      <c r="H1304" s="207"/>
      <c r="I1304" s="207" t="s">
        <v>12545</v>
      </c>
      <c r="J1304" s="245" t="s">
        <v>12548</v>
      </c>
      <c r="K1304" s="207"/>
      <c r="L1304" s="66"/>
      <c r="M1304" s="201" t="s">
        <v>12550</v>
      </c>
      <c r="N1304" s="207"/>
      <c r="O1304" s="38"/>
    </row>
    <row r="1305" spans="1:15" ht="72" customHeight="1" x14ac:dyDescent="0.3">
      <c r="A1305" s="2">
        <v>1285</v>
      </c>
      <c r="B1305" s="246" t="s">
        <v>12482</v>
      </c>
      <c r="C1305" s="246" t="s">
        <v>13563</v>
      </c>
      <c r="D1305" s="88"/>
      <c r="E1305" s="2">
        <v>63</v>
      </c>
      <c r="F1305" s="22">
        <f>47580.6/159*E1305</f>
        <v>18852.690566037734</v>
      </c>
      <c r="G1305" s="43">
        <f>11313.54/159*E1305</f>
        <v>4482.7233962264154</v>
      </c>
      <c r="H1305" s="207"/>
      <c r="I1305" s="207" t="s">
        <v>12545</v>
      </c>
      <c r="J1305" s="245" t="s">
        <v>12548</v>
      </c>
      <c r="K1305" s="207"/>
      <c r="L1305" s="66"/>
      <c r="M1305" s="201" t="s">
        <v>12550</v>
      </c>
      <c r="N1305" s="207"/>
      <c r="O1305" s="38"/>
    </row>
    <row r="1306" spans="1:15" ht="72" customHeight="1" x14ac:dyDescent="0.3">
      <c r="A1306" s="2">
        <v>1286</v>
      </c>
      <c r="B1306" s="246" t="s">
        <v>12480</v>
      </c>
      <c r="C1306" s="246" t="s">
        <v>13564</v>
      </c>
      <c r="D1306" s="88"/>
      <c r="E1306" s="2">
        <v>48</v>
      </c>
      <c r="F1306" s="22">
        <f>47580.6/159*E1306</f>
        <v>14363.95471698113</v>
      </c>
      <c r="G1306" s="43">
        <f>11313.54/159*E1306</f>
        <v>3415.4083018867927</v>
      </c>
      <c r="H1306" s="207"/>
      <c r="I1306" s="207" t="s">
        <v>12545</v>
      </c>
      <c r="J1306" s="245" t="s">
        <v>12548</v>
      </c>
      <c r="K1306" s="207"/>
      <c r="L1306" s="66"/>
      <c r="M1306" s="201" t="s">
        <v>12550</v>
      </c>
      <c r="N1306" s="207"/>
      <c r="O1306" s="38" t="s">
        <v>21696</v>
      </c>
    </row>
    <row r="1307" spans="1:15" ht="72" customHeight="1" x14ac:dyDescent="0.3">
      <c r="A1307" s="2">
        <v>1287</v>
      </c>
      <c r="B1307" s="246" t="s">
        <v>12482</v>
      </c>
      <c r="C1307" s="246" t="s">
        <v>13565</v>
      </c>
      <c r="D1307" s="88"/>
      <c r="E1307" s="2">
        <v>65.599999999999994</v>
      </c>
      <c r="F1307" s="22">
        <f t="shared" ref="F1307:F1314" si="95">1988652.8/452.2*E1307</f>
        <v>288490.98558160104</v>
      </c>
      <c r="G1307" s="43">
        <f t="shared" ref="G1307:G1314" si="96">458947.71/452.2*E1307</f>
        <v>66578.880530738606</v>
      </c>
      <c r="H1307" s="207"/>
      <c r="I1307" s="207" t="s">
        <v>12545</v>
      </c>
      <c r="J1307" s="245" t="s">
        <v>12548</v>
      </c>
      <c r="K1307" s="207"/>
      <c r="L1307" s="66"/>
      <c r="M1307" s="201" t="s">
        <v>12550</v>
      </c>
      <c r="N1307" s="207"/>
      <c r="O1307" s="38" t="s">
        <v>21697</v>
      </c>
    </row>
    <row r="1308" spans="1:15" ht="72" customHeight="1" x14ac:dyDescent="0.3">
      <c r="A1308" s="2">
        <v>1288</v>
      </c>
      <c r="B1308" s="246" t="s">
        <v>12480</v>
      </c>
      <c r="C1308" s="246" t="s">
        <v>13566</v>
      </c>
      <c r="D1308" s="88"/>
      <c r="E1308" s="2">
        <v>53.5</v>
      </c>
      <c r="F1308" s="22">
        <f t="shared" si="95"/>
        <v>235278.47147279963</v>
      </c>
      <c r="G1308" s="43">
        <f t="shared" si="96"/>
        <v>54298.324823087132</v>
      </c>
      <c r="H1308" s="207"/>
      <c r="I1308" s="207" t="s">
        <v>12545</v>
      </c>
      <c r="J1308" s="245" t="s">
        <v>12548</v>
      </c>
      <c r="K1308" s="207"/>
      <c r="L1308" s="66"/>
      <c r="M1308" s="201" t="s">
        <v>12550</v>
      </c>
      <c r="N1308" s="207"/>
      <c r="O1308" s="38" t="s">
        <v>21698</v>
      </c>
    </row>
    <row r="1309" spans="1:15" ht="72" customHeight="1" x14ac:dyDescent="0.3">
      <c r="A1309" s="2">
        <v>1289</v>
      </c>
      <c r="B1309" s="246" t="s">
        <v>12482</v>
      </c>
      <c r="C1309" s="246" t="s">
        <v>13567</v>
      </c>
      <c r="D1309" s="88"/>
      <c r="E1309" s="2">
        <v>65.599999999999994</v>
      </c>
      <c r="F1309" s="22">
        <f t="shared" si="95"/>
        <v>288490.98558160104</v>
      </c>
      <c r="G1309" s="43">
        <f t="shared" si="96"/>
        <v>66578.880530738606</v>
      </c>
      <c r="H1309" s="207"/>
      <c r="I1309" s="207" t="s">
        <v>12545</v>
      </c>
      <c r="J1309" s="245" t="s">
        <v>12548</v>
      </c>
      <c r="K1309" s="207"/>
      <c r="L1309" s="66"/>
      <c r="M1309" s="201" t="s">
        <v>12550</v>
      </c>
      <c r="N1309" s="207"/>
      <c r="O1309" s="38" t="s">
        <v>21699</v>
      </c>
    </row>
    <row r="1310" spans="1:15" ht="72" customHeight="1" x14ac:dyDescent="0.3">
      <c r="A1310" s="2">
        <v>1290</v>
      </c>
      <c r="B1310" s="246" t="s">
        <v>12480</v>
      </c>
      <c r="C1310" s="246" t="s">
        <v>13568</v>
      </c>
      <c r="D1310" s="88"/>
      <c r="E1310" s="2">
        <v>53.5</v>
      </c>
      <c r="F1310" s="22">
        <f t="shared" si="95"/>
        <v>235278.47147279963</v>
      </c>
      <c r="G1310" s="43">
        <f t="shared" si="96"/>
        <v>54298.324823087132</v>
      </c>
      <c r="H1310" s="207"/>
      <c r="I1310" s="207" t="s">
        <v>12545</v>
      </c>
      <c r="J1310" s="245" t="s">
        <v>12548</v>
      </c>
      <c r="K1310" s="207"/>
      <c r="L1310" s="66"/>
      <c r="M1310" s="201" t="s">
        <v>12550</v>
      </c>
      <c r="N1310" s="207"/>
      <c r="O1310" s="38" t="s">
        <v>21700</v>
      </c>
    </row>
    <row r="1311" spans="1:15" ht="72" customHeight="1" x14ac:dyDescent="0.3">
      <c r="A1311" s="2">
        <v>1291</v>
      </c>
      <c r="B1311" s="246" t="s">
        <v>12480</v>
      </c>
      <c r="C1311" s="246" t="s">
        <v>13569</v>
      </c>
      <c r="D1311" s="88"/>
      <c r="E1311" s="2">
        <v>53.5</v>
      </c>
      <c r="F1311" s="22">
        <f t="shared" si="95"/>
        <v>235278.47147279963</v>
      </c>
      <c r="G1311" s="43">
        <f t="shared" si="96"/>
        <v>54298.324823087132</v>
      </c>
      <c r="H1311" s="207"/>
      <c r="I1311" s="207" t="s">
        <v>12545</v>
      </c>
      <c r="J1311" s="245" t="s">
        <v>12548</v>
      </c>
      <c r="K1311" s="207"/>
      <c r="L1311" s="66"/>
      <c r="M1311" s="201" t="s">
        <v>12550</v>
      </c>
      <c r="N1311" s="207"/>
      <c r="O1311" s="38" t="s">
        <v>21701</v>
      </c>
    </row>
    <row r="1312" spans="1:15" ht="72" customHeight="1" x14ac:dyDescent="0.3">
      <c r="A1312" s="2">
        <v>1292</v>
      </c>
      <c r="B1312" s="246" t="s">
        <v>12480</v>
      </c>
      <c r="C1312" s="246" t="s">
        <v>13570</v>
      </c>
      <c r="D1312" s="88"/>
      <c r="E1312" s="2">
        <v>53.5</v>
      </c>
      <c r="F1312" s="22">
        <f t="shared" si="95"/>
        <v>235278.47147279963</v>
      </c>
      <c r="G1312" s="43">
        <f t="shared" si="96"/>
        <v>54298.324823087132</v>
      </c>
      <c r="H1312" s="207"/>
      <c r="I1312" s="207" t="s">
        <v>12545</v>
      </c>
      <c r="J1312" s="245" t="s">
        <v>12548</v>
      </c>
      <c r="K1312" s="207"/>
      <c r="L1312" s="66"/>
      <c r="M1312" s="201" t="s">
        <v>12550</v>
      </c>
      <c r="N1312" s="207"/>
      <c r="O1312" s="38" t="s">
        <v>21702</v>
      </c>
    </row>
    <row r="1313" spans="1:15" ht="72" customHeight="1" x14ac:dyDescent="0.3">
      <c r="A1313" s="2">
        <v>1293</v>
      </c>
      <c r="B1313" s="246" t="s">
        <v>12480</v>
      </c>
      <c r="C1313" s="246" t="s">
        <v>13571</v>
      </c>
      <c r="D1313" s="88"/>
      <c r="E1313" s="2">
        <v>53.5</v>
      </c>
      <c r="F1313" s="22">
        <f t="shared" si="95"/>
        <v>235278.47147279963</v>
      </c>
      <c r="G1313" s="43">
        <f t="shared" si="96"/>
        <v>54298.324823087132</v>
      </c>
      <c r="H1313" s="207"/>
      <c r="I1313" s="207" t="s">
        <v>12545</v>
      </c>
      <c r="J1313" s="245" t="s">
        <v>12548</v>
      </c>
      <c r="K1313" s="207"/>
      <c r="L1313" s="66"/>
      <c r="M1313" s="201" t="s">
        <v>12550</v>
      </c>
      <c r="N1313" s="207"/>
      <c r="O1313" s="38" t="s">
        <v>19887</v>
      </c>
    </row>
    <row r="1314" spans="1:15" ht="72" customHeight="1" x14ac:dyDescent="0.3">
      <c r="A1314" s="2">
        <v>1294</v>
      </c>
      <c r="B1314" s="246" t="s">
        <v>12480</v>
      </c>
      <c r="C1314" s="246" t="s">
        <v>13572</v>
      </c>
      <c r="D1314" s="88"/>
      <c r="E1314" s="2">
        <v>53.5</v>
      </c>
      <c r="F1314" s="22">
        <f t="shared" si="95"/>
        <v>235278.47147279963</v>
      </c>
      <c r="G1314" s="43">
        <f t="shared" si="96"/>
        <v>54298.324823087132</v>
      </c>
      <c r="H1314" s="207"/>
      <c r="I1314" s="207" t="s">
        <v>12545</v>
      </c>
      <c r="J1314" s="245" t="s">
        <v>12548</v>
      </c>
      <c r="K1314" s="207"/>
      <c r="L1314" s="66"/>
      <c r="M1314" s="201" t="s">
        <v>12550</v>
      </c>
      <c r="N1314" s="207"/>
      <c r="O1314" s="38"/>
    </row>
    <row r="1315" spans="1:15" ht="72" customHeight="1" x14ac:dyDescent="0.3">
      <c r="A1315" s="2">
        <v>1295</v>
      </c>
      <c r="B1315" s="246" t="s">
        <v>12482</v>
      </c>
      <c r="C1315" s="246" t="s">
        <v>13573</v>
      </c>
      <c r="D1315" s="88"/>
      <c r="E1315" s="2">
        <v>65.599999999999994</v>
      </c>
      <c r="F1315" s="22">
        <f>760885.9/279.6*E1315</f>
        <v>178519.72474964234</v>
      </c>
      <c r="G1315" s="43">
        <f>170278.81/279.6*E1315</f>
        <v>39950.965436337618</v>
      </c>
      <c r="H1315" s="207"/>
      <c r="I1315" s="207" t="s">
        <v>12545</v>
      </c>
      <c r="J1315" s="245" t="s">
        <v>12548</v>
      </c>
      <c r="K1315" s="207"/>
      <c r="L1315" s="66"/>
      <c r="M1315" s="201" t="s">
        <v>12550</v>
      </c>
      <c r="N1315" s="207"/>
      <c r="O1315" s="38" t="s">
        <v>21703</v>
      </c>
    </row>
    <row r="1316" spans="1:15" ht="72" customHeight="1" x14ac:dyDescent="0.3">
      <c r="A1316" s="2">
        <v>1296</v>
      </c>
      <c r="B1316" s="246" t="s">
        <v>12480</v>
      </c>
      <c r="C1316" s="246" t="s">
        <v>13574</v>
      </c>
      <c r="D1316" s="88"/>
      <c r="E1316" s="2">
        <v>53.5</v>
      </c>
      <c r="F1316" s="22">
        <f>760885.9/279.6*E1316</f>
        <v>145591.5438125894</v>
      </c>
      <c r="G1316" s="43">
        <f>170278.81/279.6*E1316</f>
        <v>32581.961140915591</v>
      </c>
      <c r="H1316" s="207"/>
      <c r="I1316" s="207" t="s">
        <v>12545</v>
      </c>
      <c r="J1316" s="245" t="s">
        <v>12548</v>
      </c>
      <c r="K1316" s="207" t="s">
        <v>15075</v>
      </c>
      <c r="L1316" s="66" t="s">
        <v>15076</v>
      </c>
      <c r="M1316" s="201" t="s">
        <v>12550</v>
      </c>
      <c r="N1316" s="207"/>
      <c r="O1316" s="38"/>
    </row>
    <row r="1317" spans="1:15" ht="72" customHeight="1" x14ac:dyDescent="0.3">
      <c r="A1317" s="2">
        <v>1297</v>
      </c>
      <c r="B1317" s="246" t="s">
        <v>12480</v>
      </c>
      <c r="C1317" s="246" t="s">
        <v>13575</v>
      </c>
      <c r="D1317" s="88"/>
      <c r="E1317" s="2">
        <v>53.5</v>
      </c>
      <c r="F1317" s="22">
        <f>760885.9/279.6*E1317</f>
        <v>145591.5438125894</v>
      </c>
      <c r="G1317" s="43">
        <f>170278.81/279.6*E1317</f>
        <v>32581.961140915591</v>
      </c>
      <c r="H1317" s="207"/>
      <c r="I1317" s="207" t="s">
        <v>12545</v>
      </c>
      <c r="J1317" s="245" t="s">
        <v>12548</v>
      </c>
      <c r="K1317" s="207"/>
      <c r="L1317" s="66"/>
      <c r="M1317" s="201" t="s">
        <v>12550</v>
      </c>
      <c r="N1317" s="207"/>
      <c r="O1317" s="38" t="s">
        <v>21704</v>
      </c>
    </row>
    <row r="1318" spans="1:15" ht="72" customHeight="1" x14ac:dyDescent="0.3">
      <c r="A1318" s="2">
        <v>1298</v>
      </c>
      <c r="B1318" s="246" t="s">
        <v>12480</v>
      </c>
      <c r="C1318" s="246" t="s">
        <v>13576</v>
      </c>
      <c r="D1318" s="88"/>
      <c r="E1318" s="2">
        <v>53.5</v>
      </c>
      <c r="F1318" s="22">
        <f>760885.9/279.6*E1318</f>
        <v>145591.5438125894</v>
      </c>
      <c r="G1318" s="43">
        <f>170278.81/279.6*E1318</f>
        <v>32581.961140915591</v>
      </c>
      <c r="H1318" s="207"/>
      <c r="I1318" s="207" t="s">
        <v>12545</v>
      </c>
      <c r="J1318" s="245" t="s">
        <v>12548</v>
      </c>
      <c r="K1318" s="207" t="s">
        <v>15054</v>
      </c>
      <c r="L1318" s="66" t="s">
        <v>15057</v>
      </c>
      <c r="M1318" s="201" t="s">
        <v>12550</v>
      </c>
      <c r="N1318" s="207"/>
      <c r="O1318" s="38"/>
    </row>
    <row r="1319" spans="1:15" ht="72" customHeight="1" x14ac:dyDescent="0.3">
      <c r="A1319" s="2">
        <v>1299</v>
      </c>
      <c r="B1319" s="246" t="s">
        <v>12480</v>
      </c>
      <c r="C1319" s="246" t="s">
        <v>13577</v>
      </c>
      <c r="D1319" s="88"/>
      <c r="E1319" s="2">
        <v>53.5</v>
      </c>
      <c r="F1319" s="22">
        <f>760885.9/279.6*E1319</f>
        <v>145591.5438125894</v>
      </c>
      <c r="G1319" s="43">
        <f>170278.81/279.6*E1319</f>
        <v>32581.961140915591</v>
      </c>
      <c r="H1319" s="207"/>
      <c r="I1319" s="207" t="s">
        <v>12545</v>
      </c>
      <c r="J1319" s="245" t="s">
        <v>12548</v>
      </c>
      <c r="K1319" s="207"/>
      <c r="L1319" s="66"/>
      <c r="M1319" s="201" t="s">
        <v>12550</v>
      </c>
      <c r="N1319" s="207"/>
      <c r="O1319" s="38" t="s">
        <v>21705</v>
      </c>
    </row>
    <row r="1320" spans="1:15" ht="72" customHeight="1" x14ac:dyDescent="0.3">
      <c r="A1320" s="242">
        <v>1300</v>
      </c>
      <c r="B1320" s="246" t="s">
        <v>12480</v>
      </c>
      <c r="C1320" s="246" t="s">
        <v>13578</v>
      </c>
      <c r="D1320" s="88"/>
      <c r="E1320" s="242">
        <v>51.75</v>
      </c>
      <c r="F1320" s="22">
        <f>1032043.7/194.2*E1320</f>
        <v>275016.79441297631</v>
      </c>
      <c r="G1320" s="43">
        <f>209309.96/194.2*E1320</f>
        <v>55776.46977342946</v>
      </c>
      <c r="H1320" s="207"/>
      <c r="I1320" s="207" t="s">
        <v>12545</v>
      </c>
      <c r="J1320" s="66" t="s">
        <v>12548</v>
      </c>
      <c r="K1320" s="207"/>
      <c r="L1320" s="66"/>
      <c r="M1320" s="201" t="s">
        <v>12550</v>
      </c>
      <c r="N1320" s="207"/>
      <c r="O1320" s="38" t="s">
        <v>21706</v>
      </c>
    </row>
    <row r="1321" spans="1:15" ht="72" customHeight="1" x14ac:dyDescent="0.3">
      <c r="A1321" s="242">
        <v>1301</v>
      </c>
      <c r="B1321" s="246" t="s">
        <v>12480</v>
      </c>
      <c r="C1321" s="246" t="s">
        <v>13579</v>
      </c>
      <c r="D1321" s="88"/>
      <c r="E1321" s="242">
        <v>51.75</v>
      </c>
      <c r="F1321" s="22">
        <f>1032043.7/194.2*E1321</f>
        <v>275016.79441297631</v>
      </c>
      <c r="G1321" s="43">
        <f>209309.96/194.2*E1321</f>
        <v>55776.46977342946</v>
      </c>
      <c r="H1321" s="207"/>
      <c r="I1321" s="207" t="s">
        <v>12545</v>
      </c>
      <c r="J1321" s="245" t="s">
        <v>12548</v>
      </c>
      <c r="K1321" s="207"/>
      <c r="L1321" s="66"/>
      <c r="M1321" s="201" t="s">
        <v>12550</v>
      </c>
      <c r="N1321" s="207"/>
      <c r="O1321" s="38" t="s">
        <v>21707</v>
      </c>
    </row>
    <row r="1322" spans="1:15" ht="72" customHeight="1" x14ac:dyDescent="0.3">
      <c r="A1322" s="242">
        <v>1302</v>
      </c>
      <c r="B1322" s="246" t="s">
        <v>12480</v>
      </c>
      <c r="C1322" s="246" t="s">
        <v>13580</v>
      </c>
      <c r="D1322" s="88"/>
      <c r="E1322" s="242">
        <v>58</v>
      </c>
      <c r="F1322" s="22">
        <f>1032043.7/194.2*E1322</f>
        <v>308231.38311019569</v>
      </c>
      <c r="G1322" s="43">
        <f>209309.96/194.2*E1322</f>
        <v>62512.758393408862</v>
      </c>
      <c r="H1322" s="207"/>
      <c r="I1322" s="207" t="s">
        <v>12545</v>
      </c>
      <c r="J1322" s="66" t="s">
        <v>12548</v>
      </c>
      <c r="K1322" s="207"/>
      <c r="L1322" s="66"/>
      <c r="M1322" s="201" t="s">
        <v>12550</v>
      </c>
      <c r="N1322" s="207"/>
      <c r="O1322" s="38" t="s">
        <v>19942</v>
      </c>
    </row>
    <row r="1323" spans="1:15" ht="108" x14ac:dyDescent="0.3">
      <c r="A1323" s="242">
        <v>1303</v>
      </c>
      <c r="B1323" s="246" t="s">
        <v>12481</v>
      </c>
      <c r="C1323" s="246" t="s">
        <v>13581</v>
      </c>
      <c r="D1323" s="88" t="s">
        <v>23380</v>
      </c>
      <c r="E1323" s="242">
        <v>32.700000000000003</v>
      </c>
      <c r="F1323" s="22">
        <f>1032043.7/194.2*E1323</f>
        <v>173778.72806385171</v>
      </c>
      <c r="G1323" s="43">
        <f>209309.96/194.2*E1323</f>
        <v>35244.262059732238</v>
      </c>
      <c r="H1323" s="207"/>
      <c r="I1323" s="207" t="s">
        <v>12545</v>
      </c>
      <c r="J1323" s="66" t="s">
        <v>12548</v>
      </c>
      <c r="K1323" s="26">
        <v>43747</v>
      </c>
      <c r="L1323" s="66" t="s">
        <v>23379</v>
      </c>
      <c r="M1323" s="201" t="s">
        <v>12550</v>
      </c>
      <c r="N1323" s="207"/>
      <c r="O1323" s="38"/>
    </row>
    <row r="1324" spans="1:15" ht="72" customHeight="1" x14ac:dyDescent="0.3">
      <c r="A1324" s="2">
        <v>1304</v>
      </c>
      <c r="B1324" s="246" t="s">
        <v>12481</v>
      </c>
      <c r="C1324" s="246" t="s">
        <v>13582</v>
      </c>
      <c r="D1324" s="88"/>
      <c r="E1324" s="2">
        <v>32.700000000000003</v>
      </c>
      <c r="F1324" s="45">
        <v>434409.4</v>
      </c>
      <c r="G1324" s="6">
        <v>82027.41</v>
      </c>
      <c r="H1324" s="207"/>
      <c r="I1324" s="207" t="s">
        <v>12545</v>
      </c>
      <c r="J1324" s="245" t="s">
        <v>12548</v>
      </c>
      <c r="K1324" s="207"/>
      <c r="L1324" s="66"/>
      <c r="M1324" s="201" t="s">
        <v>12550</v>
      </c>
      <c r="N1324" s="207"/>
      <c r="O1324" s="38" t="s">
        <v>20029</v>
      </c>
    </row>
    <row r="1325" spans="1:15" ht="72" customHeight="1" x14ac:dyDescent="0.3">
      <c r="A1325" s="2">
        <v>1305</v>
      </c>
      <c r="B1325" s="246" t="s">
        <v>12482</v>
      </c>
      <c r="C1325" s="246" t="s">
        <v>13583</v>
      </c>
      <c r="D1325" s="88"/>
      <c r="E1325" s="2">
        <v>64.400000000000006</v>
      </c>
      <c r="F1325" s="22">
        <f t="shared" ref="F1325:F1330" si="97">1389363.8/309.3*E1325</f>
        <v>289282.34309731651</v>
      </c>
      <c r="G1325" s="43">
        <f t="shared" ref="G1325:G1330" si="98">252085.53/309.3*E1325</f>
        <v>52487.255518913676</v>
      </c>
      <c r="H1325" s="207"/>
      <c r="I1325" s="207" t="s">
        <v>12545</v>
      </c>
      <c r="J1325" s="245" t="s">
        <v>12548</v>
      </c>
      <c r="K1325" s="207"/>
      <c r="L1325" s="66"/>
      <c r="M1325" s="201" t="s">
        <v>12550</v>
      </c>
      <c r="N1325" s="207"/>
      <c r="O1325" s="38"/>
    </row>
    <row r="1326" spans="1:15" ht="72" customHeight="1" x14ac:dyDescent="0.3">
      <c r="A1326" s="2">
        <v>1306</v>
      </c>
      <c r="B1326" s="246" t="s">
        <v>12484</v>
      </c>
      <c r="C1326" s="246" t="s">
        <v>13584</v>
      </c>
      <c r="D1326" s="88"/>
      <c r="E1326" s="2">
        <v>32.1</v>
      </c>
      <c r="F1326" s="22">
        <f t="shared" si="97"/>
        <v>144191.97536372454</v>
      </c>
      <c r="G1326" s="43">
        <f t="shared" si="98"/>
        <v>26162.125809893307</v>
      </c>
      <c r="H1326" s="207"/>
      <c r="I1326" s="207" t="s">
        <v>12545</v>
      </c>
      <c r="J1326" s="245" t="s">
        <v>12548</v>
      </c>
      <c r="K1326" s="207"/>
      <c r="L1326" s="66"/>
      <c r="M1326" s="201" t="s">
        <v>12550</v>
      </c>
      <c r="N1326" s="207"/>
      <c r="O1326" s="38" t="s">
        <v>21708</v>
      </c>
    </row>
    <row r="1327" spans="1:15" ht="72" customHeight="1" x14ac:dyDescent="0.3">
      <c r="A1327" s="2">
        <v>1307</v>
      </c>
      <c r="B1327" s="246" t="s">
        <v>12480</v>
      </c>
      <c r="C1327" s="246" t="s">
        <v>13585</v>
      </c>
      <c r="D1327" s="88"/>
      <c r="E1327" s="2">
        <v>53.3</v>
      </c>
      <c r="F1327" s="22">
        <f t="shared" si="97"/>
        <v>239421.56656967342</v>
      </c>
      <c r="G1327" s="43">
        <f t="shared" si="98"/>
        <v>43440.539117361783</v>
      </c>
      <c r="H1327" s="207"/>
      <c r="I1327" s="207" t="s">
        <v>12545</v>
      </c>
      <c r="J1327" s="245" t="s">
        <v>12548</v>
      </c>
      <c r="K1327" s="207"/>
      <c r="L1327" s="66"/>
      <c r="M1327" s="201" t="s">
        <v>12550</v>
      </c>
      <c r="N1327" s="207"/>
      <c r="O1327" s="38" t="s">
        <v>23632</v>
      </c>
    </row>
    <row r="1328" spans="1:15" ht="72" customHeight="1" x14ac:dyDescent="0.3">
      <c r="A1328" s="2">
        <v>1308</v>
      </c>
      <c r="B1328" s="246" t="s">
        <v>12480</v>
      </c>
      <c r="C1328" s="246" t="s">
        <v>13586</v>
      </c>
      <c r="D1328" s="88"/>
      <c r="E1328" s="2">
        <v>45</v>
      </c>
      <c r="F1328" s="22">
        <f t="shared" si="97"/>
        <v>202138.28322017458</v>
      </c>
      <c r="G1328" s="43">
        <f t="shared" si="98"/>
        <v>36675.87730358875</v>
      </c>
      <c r="H1328" s="207"/>
      <c r="I1328" s="207" t="s">
        <v>12545</v>
      </c>
      <c r="J1328" s="245" t="s">
        <v>12548</v>
      </c>
      <c r="K1328" s="207"/>
      <c r="L1328" s="66"/>
      <c r="M1328" s="201" t="s">
        <v>12550</v>
      </c>
      <c r="N1328" s="207"/>
      <c r="O1328" s="38"/>
    </row>
    <row r="1329" spans="1:15" ht="84" customHeight="1" x14ac:dyDescent="0.3">
      <c r="A1329" s="242">
        <v>1309</v>
      </c>
      <c r="B1329" s="246" t="s">
        <v>12482</v>
      </c>
      <c r="C1329" s="246" t="s">
        <v>13587</v>
      </c>
      <c r="D1329" s="88"/>
      <c r="E1329" s="242">
        <v>64.400000000000006</v>
      </c>
      <c r="F1329" s="22">
        <f t="shared" si="97"/>
        <v>289282.34309731651</v>
      </c>
      <c r="G1329" s="43">
        <f t="shared" si="98"/>
        <v>52487.255518913676</v>
      </c>
      <c r="H1329" s="207"/>
      <c r="I1329" s="207" t="s">
        <v>12545</v>
      </c>
      <c r="J1329" s="66" t="s">
        <v>12548</v>
      </c>
      <c r="K1329" s="26">
        <v>42655</v>
      </c>
      <c r="L1329" s="66" t="s">
        <v>17574</v>
      </c>
      <c r="M1329" s="201" t="s">
        <v>12550</v>
      </c>
      <c r="N1329" s="207"/>
      <c r="O1329" s="38"/>
    </row>
    <row r="1330" spans="1:15" ht="72" customHeight="1" x14ac:dyDescent="0.3">
      <c r="A1330" s="242">
        <v>1310</v>
      </c>
      <c r="B1330" s="246" t="s">
        <v>12480</v>
      </c>
      <c r="C1330" s="246" t="s">
        <v>13588</v>
      </c>
      <c r="D1330" s="88"/>
      <c r="E1330" s="242">
        <v>51.7</v>
      </c>
      <c r="F1330" s="22">
        <f t="shared" si="97"/>
        <v>232234.4276107339</v>
      </c>
      <c r="G1330" s="43">
        <f t="shared" si="98"/>
        <v>42136.507924345293</v>
      </c>
      <c r="H1330" s="207"/>
      <c r="I1330" s="207" t="s">
        <v>12545</v>
      </c>
      <c r="J1330" s="245" t="s">
        <v>12548</v>
      </c>
      <c r="K1330" s="207"/>
      <c r="L1330" s="66"/>
      <c r="M1330" s="201" t="s">
        <v>12550</v>
      </c>
      <c r="N1330" s="207"/>
      <c r="O1330" s="38"/>
    </row>
    <row r="1331" spans="1:15" ht="72" customHeight="1" x14ac:dyDescent="0.3">
      <c r="A1331" s="242">
        <v>1311</v>
      </c>
      <c r="B1331" s="246" t="s">
        <v>12484</v>
      </c>
      <c r="C1331" s="246" t="s">
        <v>13589</v>
      </c>
      <c r="D1331" s="88"/>
      <c r="E1331" s="242">
        <v>33.200000000000003</v>
      </c>
      <c r="F1331" s="22">
        <f t="shared" ref="F1331:F1337" si="99">3285625/326.2*E1331</f>
        <v>334404.50643776829</v>
      </c>
      <c r="G1331" s="43">
        <f t="shared" ref="G1331:G1337" si="100">505526.71/326.2*E1331</f>
        <v>51451.522906192527</v>
      </c>
      <c r="H1331" s="207"/>
      <c r="I1331" s="207" t="s">
        <v>12545</v>
      </c>
      <c r="J1331" s="245" t="s">
        <v>12548</v>
      </c>
      <c r="K1331" s="207"/>
      <c r="L1331" s="66"/>
      <c r="M1331" s="201" t="s">
        <v>12550</v>
      </c>
      <c r="N1331" s="207"/>
      <c r="O1331" s="38"/>
    </row>
    <row r="1332" spans="1:15" ht="72" customHeight="1" x14ac:dyDescent="0.3">
      <c r="A1332" s="242">
        <v>1312</v>
      </c>
      <c r="B1332" s="246" t="s">
        <v>12482</v>
      </c>
      <c r="C1332" s="246" t="s">
        <v>13590</v>
      </c>
      <c r="D1332" s="88"/>
      <c r="E1332" s="242">
        <v>65.599999999999994</v>
      </c>
      <c r="F1332" s="22">
        <f t="shared" si="99"/>
        <v>660751.07296137337</v>
      </c>
      <c r="G1332" s="43">
        <f t="shared" si="100"/>
        <v>101663.2500797057</v>
      </c>
      <c r="H1332" s="207"/>
      <c r="I1332" s="207" t="s">
        <v>12545</v>
      </c>
      <c r="J1332" s="245" t="s">
        <v>12548</v>
      </c>
      <c r="K1332" s="207"/>
      <c r="L1332" s="66"/>
      <c r="M1332" s="201" t="s">
        <v>12550</v>
      </c>
      <c r="N1332" s="207"/>
      <c r="O1332" s="38"/>
    </row>
    <row r="1333" spans="1:15" ht="72" customHeight="1" x14ac:dyDescent="0.3">
      <c r="A1333" s="242">
        <v>1313</v>
      </c>
      <c r="B1333" s="246" t="s">
        <v>12484</v>
      </c>
      <c r="C1333" s="246" t="s">
        <v>13591</v>
      </c>
      <c r="D1333" s="88"/>
      <c r="E1333" s="242">
        <v>33.200000000000003</v>
      </c>
      <c r="F1333" s="22">
        <f t="shared" si="99"/>
        <v>334404.50643776829</v>
      </c>
      <c r="G1333" s="43">
        <f t="shared" si="100"/>
        <v>51451.522906192527</v>
      </c>
      <c r="H1333" s="207"/>
      <c r="I1333" s="207" t="s">
        <v>12545</v>
      </c>
      <c r="J1333" s="66" t="s">
        <v>12548</v>
      </c>
      <c r="K1333" s="207"/>
      <c r="L1333" s="66"/>
      <c r="M1333" s="201" t="s">
        <v>12550</v>
      </c>
      <c r="N1333" s="207"/>
      <c r="O1333" s="38"/>
    </row>
    <row r="1334" spans="1:15" ht="72" customHeight="1" x14ac:dyDescent="0.3">
      <c r="A1334" s="242">
        <v>1314</v>
      </c>
      <c r="B1334" s="246" t="s">
        <v>12480</v>
      </c>
      <c r="C1334" s="246" t="s">
        <v>13592</v>
      </c>
      <c r="D1334" s="88"/>
      <c r="E1334" s="242">
        <v>53</v>
      </c>
      <c r="F1334" s="22">
        <f t="shared" si="99"/>
        <v>533838.51931330469</v>
      </c>
      <c r="G1334" s="43">
        <f t="shared" si="100"/>
        <v>82136.467290006141</v>
      </c>
      <c r="H1334" s="207"/>
      <c r="I1334" s="207" t="s">
        <v>12545</v>
      </c>
      <c r="J1334" s="245" t="s">
        <v>12548</v>
      </c>
      <c r="K1334" s="207"/>
      <c r="L1334" s="66"/>
      <c r="M1334" s="201" t="s">
        <v>12550</v>
      </c>
      <c r="N1334" s="207"/>
      <c r="O1334" s="38" t="s">
        <v>21709</v>
      </c>
    </row>
    <row r="1335" spans="1:15" ht="72" customHeight="1" x14ac:dyDescent="0.3">
      <c r="A1335" s="242">
        <v>1315</v>
      </c>
      <c r="B1335" s="246" t="s">
        <v>12484</v>
      </c>
      <c r="C1335" s="246" t="s">
        <v>13593</v>
      </c>
      <c r="D1335" s="88"/>
      <c r="E1335" s="242">
        <v>33.200000000000003</v>
      </c>
      <c r="F1335" s="22">
        <f t="shared" si="99"/>
        <v>334404.50643776829</v>
      </c>
      <c r="G1335" s="43">
        <f t="shared" si="100"/>
        <v>51451.522906192527</v>
      </c>
      <c r="H1335" s="207"/>
      <c r="I1335" s="207" t="s">
        <v>12545</v>
      </c>
      <c r="J1335" s="245" t="s">
        <v>12548</v>
      </c>
      <c r="K1335" s="207"/>
      <c r="L1335" s="245"/>
      <c r="M1335" s="201" t="s">
        <v>12550</v>
      </c>
      <c r="N1335" s="207"/>
      <c r="O1335" s="38" t="s">
        <v>21710</v>
      </c>
    </row>
    <row r="1336" spans="1:15" ht="84" customHeight="1" x14ac:dyDescent="0.3">
      <c r="A1336" s="242">
        <v>1316</v>
      </c>
      <c r="B1336" s="246" t="s">
        <v>12480</v>
      </c>
      <c r="C1336" s="246" t="s">
        <v>13594</v>
      </c>
      <c r="D1336" s="88"/>
      <c r="E1336" s="242">
        <v>54</v>
      </c>
      <c r="F1336" s="22">
        <f t="shared" si="99"/>
        <v>543910.94420600857</v>
      </c>
      <c r="G1336" s="43">
        <f t="shared" si="100"/>
        <v>83686.211955855309</v>
      </c>
      <c r="H1336" s="207"/>
      <c r="I1336" s="207" t="s">
        <v>12545</v>
      </c>
      <c r="J1336" s="66" t="s">
        <v>12548</v>
      </c>
      <c r="K1336" s="26">
        <v>42759</v>
      </c>
      <c r="L1336" s="66" t="s">
        <v>18032</v>
      </c>
      <c r="M1336" s="201" t="s">
        <v>12550</v>
      </c>
      <c r="N1336" s="207"/>
      <c r="O1336" s="38"/>
    </row>
    <row r="1337" spans="1:15" ht="84" customHeight="1" x14ac:dyDescent="0.3">
      <c r="A1337" s="242">
        <v>1317</v>
      </c>
      <c r="B1337" s="246" t="s">
        <v>12480</v>
      </c>
      <c r="C1337" s="246" t="s">
        <v>13595</v>
      </c>
      <c r="D1337" s="88"/>
      <c r="E1337" s="242">
        <v>54</v>
      </c>
      <c r="F1337" s="22">
        <f t="shared" si="99"/>
        <v>543910.94420600857</v>
      </c>
      <c r="G1337" s="43">
        <f t="shared" si="100"/>
        <v>83686.211955855309</v>
      </c>
      <c r="H1337" s="207"/>
      <c r="I1337" s="207" t="s">
        <v>12545</v>
      </c>
      <c r="J1337" s="245" t="s">
        <v>12548</v>
      </c>
      <c r="K1337" s="207"/>
      <c r="L1337" s="66"/>
      <c r="M1337" s="201" t="s">
        <v>12550</v>
      </c>
      <c r="N1337" s="207"/>
      <c r="O1337" s="38" t="s">
        <v>19941</v>
      </c>
    </row>
    <row r="1338" spans="1:15" ht="72" customHeight="1" x14ac:dyDescent="0.3">
      <c r="A1338" s="242">
        <v>1318</v>
      </c>
      <c r="B1338" s="246" t="s">
        <v>12482</v>
      </c>
      <c r="C1338" s="246" t="s">
        <v>13596</v>
      </c>
      <c r="D1338" s="88"/>
      <c r="E1338" s="242">
        <v>65.599999999999994</v>
      </c>
      <c r="F1338" s="22">
        <f t="shared" ref="F1338:F1343" si="101">3572401.9/328.4*E1338</f>
        <v>713610.12375152251</v>
      </c>
      <c r="G1338" s="43">
        <f t="shared" ref="G1338:G1343" si="102">499686.56/328.4*E1338</f>
        <v>99815.585676004863</v>
      </c>
      <c r="H1338" s="207"/>
      <c r="I1338" s="207" t="s">
        <v>12545</v>
      </c>
      <c r="J1338" s="245" t="s">
        <v>12548</v>
      </c>
      <c r="K1338" s="207"/>
      <c r="L1338" s="66"/>
      <c r="M1338" s="201" t="s">
        <v>12550</v>
      </c>
      <c r="N1338" s="207"/>
      <c r="O1338" s="38" t="s">
        <v>21711</v>
      </c>
    </row>
    <row r="1339" spans="1:15" ht="72" customHeight="1" x14ac:dyDescent="0.3">
      <c r="A1339" s="242">
        <v>1319</v>
      </c>
      <c r="B1339" s="82" t="s">
        <v>12482</v>
      </c>
      <c r="C1339" s="246" t="s">
        <v>13597</v>
      </c>
      <c r="D1339" s="88"/>
      <c r="E1339" s="242">
        <v>65.599999999999994</v>
      </c>
      <c r="F1339" s="22">
        <f t="shared" si="101"/>
        <v>713610.12375152251</v>
      </c>
      <c r="G1339" s="43">
        <f t="shared" si="102"/>
        <v>99815.585676004863</v>
      </c>
      <c r="H1339" s="207"/>
      <c r="I1339" s="207" t="s">
        <v>12545</v>
      </c>
      <c r="J1339" s="245" t="s">
        <v>12548</v>
      </c>
      <c r="K1339" s="207"/>
      <c r="L1339" s="66"/>
      <c r="M1339" s="201" t="s">
        <v>12550</v>
      </c>
      <c r="N1339" s="207"/>
      <c r="O1339" s="38" t="s">
        <v>21712</v>
      </c>
    </row>
    <row r="1340" spans="1:15" ht="72" customHeight="1" x14ac:dyDescent="0.3">
      <c r="A1340" s="242">
        <v>1320</v>
      </c>
      <c r="B1340" s="246" t="s">
        <v>12482</v>
      </c>
      <c r="C1340" s="246" t="s">
        <v>13598</v>
      </c>
      <c r="D1340" s="88"/>
      <c r="E1340" s="2">
        <v>65.599999999999994</v>
      </c>
      <c r="F1340" s="22">
        <f t="shared" si="101"/>
        <v>713610.12375152251</v>
      </c>
      <c r="G1340" s="43">
        <f t="shared" si="102"/>
        <v>99815.585676004863</v>
      </c>
      <c r="H1340" s="207"/>
      <c r="I1340" s="207" t="s">
        <v>12545</v>
      </c>
      <c r="J1340" s="245" t="s">
        <v>12548</v>
      </c>
      <c r="K1340" s="207"/>
      <c r="L1340" s="66"/>
      <c r="M1340" s="201" t="s">
        <v>12550</v>
      </c>
      <c r="N1340" s="207"/>
      <c r="O1340" s="38" t="s">
        <v>19894</v>
      </c>
    </row>
    <row r="1341" spans="1:15" ht="84" customHeight="1" x14ac:dyDescent="0.3">
      <c r="A1341" s="2">
        <v>1321</v>
      </c>
      <c r="B1341" s="246" t="s">
        <v>12482</v>
      </c>
      <c r="C1341" s="246" t="s">
        <v>13599</v>
      </c>
      <c r="D1341" s="88"/>
      <c r="E1341" s="2">
        <v>65.599999999999994</v>
      </c>
      <c r="F1341" s="22">
        <f t="shared" si="101"/>
        <v>713610.12375152251</v>
      </c>
      <c r="G1341" s="43">
        <f t="shared" si="102"/>
        <v>99815.585676004863</v>
      </c>
      <c r="H1341" s="207"/>
      <c r="I1341" s="207" t="s">
        <v>12545</v>
      </c>
      <c r="J1341" s="245" t="s">
        <v>12548</v>
      </c>
      <c r="K1341" s="207"/>
      <c r="L1341" s="66"/>
      <c r="M1341" s="201" t="s">
        <v>12550</v>
      </c>
      <c r="N1341" s="207"/>
      <c r="O1341" s="38" t="s">
        <v>21713</v>
      </c>
    </row>
    <row r="1342" spans="1:15" ht="72" customHeight="1" x14ac:dyDescent="0.3">
      <c r="A1342" s="242">
        <v>1322</v>
      </c>
      <c r="B1342" s="246" t="s">
        <v>12481</v>
      </c>
      <c r="C1342" s="246" t="s">
        <v>13600</v>
      </c>
      <c r="D1342" s="88"/>
      <c r="E1342" s="242">
        <v>33</v>
      </c>
      <c r="F1342" s="22">
        <f t="shared" si="101"/>
        <v>358980.70249695494</v>
      </c>
      <c r="G1342" s="43">
        <f t="shared" si="102"/>
        <v>50212.108647990259</v>
      </c>
      <c r="H1342" s="207"/>
      <c r="I1342" s="207" t="s">
        <v>12545</v>
      </c>
      <c r="J1342" s="245" t="s">
        <v>12548</v>
      </c>
      <c r="K1342" s="207"/>
      <c r="L1342" s="66"/>
      <c r="M1342" s="201" t="s">
        <v>12550</v>
      </c>
      <c r="N1342" s="207"/>
      <c r="O1342" s="38" t="s">
        <v>21714</v>
      </c>
    </row>
    <row r="1343" spans="1:15" ht="72" customHeight="1" x14ac:dyDescent="0.3">
      <c r="A1343" s="242">
        <v>1323</v>
      </c>
      <c r="B1343" s="246" t="s">
        <v>12481</v>
      </c>
      <c r="C1343" s="246" t="s">
        <v>13601</v>
      </c>
      <c r="D1343" s="88"/>
      <c r="E1343" s="242">
        <v>33</v>
      </c>
      <c r="F1343" s="22">
        <f t="shared" si="101"/>
        <v>358980.70249695494</v>
      </c>
      <c r="G1343" s="43">
        <f t="shared" si="102"/>
        <v>50212.108647990259</v>
      </c>
      <c r="H1343" s="207"/>
      <c r="I1343" s="207" t="s">
        <v>12545</v>
      </c>
      <c r="J1343" s="66" t="s">
        <v>12548</v>
      </c>
      <c r="K1343" s="207"/>
      <c r="L1343" s="66"/>
      <c r="M1343" s="201" t="s">
        <v>12550</v>
      </c>
      <c r="N1343" s="207"/>
      <c r="O1343" s="38" t="s">
        <v>21715</v>
      </c>
    </row>
    <row r="1344" spans="1:15" ht="84" customHeight="1" x14ac:dyDescent="0.3">
      <c r="A1344" s="2">
        <v>1324</v>
      </c>
      <c r="B1344" s="246" t="s">
        <v>12481</v>
      </c>
      <c r="C1344" s="242" t="s">
        <v>13602</v>
      </c>
      <c r="D1344" s="88"/>
      <c r="E1344" s="242">
        <v>33.5</v>
      </c>
      <c r="F1344" s="45">
        <v>1276665</v>
      </c>
      <c r="G1344" s="6"/>
      <c r="H1344" s="207"/>
      <c r="I1344" s="207" t="s">
        <v>12545</v>
      </c>
      <c r="J1344" s="66" t="s">
        <v>12548</v>
      </c>
      <c r="K1344" s="26">
        <v>42914</v>
      </c>
      <c r="L1344" s="66" t="s">
        <v>19051</v>
      </c>
      <c r="M1344" s="201" t="s">
        <v>12550</v>
      </c>
      <c r="N1344" s="207"/>
      <c r="O1344" s="38"/>
    </row>
    <row r="1345" spans="1:15" ht="72" customHeight="1" x14ac:dyDescent="0.3">
      <c r="A1345" s="242">
        <v>1325</v>
      </c>
      <c r="B1345" s="246" t="s">
        <v>12482</v>
      </c>
      <c r="C1345" s="246" t="s">
        <v>13603</v>
      </c>
      <c r="D1345" s="88"/>
      <c r="E1345" s="242">
        <v>69.5</v>
      </c>
      <c r="F1345" s="22">
        <f>933079.5/222.3*E1345</f>
        <v>291718.512145749</v>
      </c>
      <c r="G1345" s="43">
        <f>110938.58/222.3*E1345</f>
        <v>34683.901529464689</v>
      </c>
      <c r="H1345" s="207"/>
      <c r="I1345" s="207" t="s">
        <v>12545</v>
      </c>
      <c r="J1345" s="66" t="s">
        <v>12548</v>
      </c>
      <c r="K1345" s="207"/>
      <c r="L1345" s="66"/>
      <c r="M1345" s="201" t="s">
        <v>12550</v>
      </c>
      <c r="N1345" s="207"/>
      <c r="O1345" s="38" t="s">
        <v>19946</v>
      </c>
    </row>
    <row r="1346" spans="1:15" ht="72" customHeight="1" x14ac:dyDescent="0.3">
      <c r="A1346" s="2">
        <v>1326</v>
      </c>
      <c r="B1346" s="246" t="s">
        <v>12484</v>
      </c>
      <c r="C1346" s="246" t="s">
        <v>13604</v>
      </c>
      <c r="D1346" s="88"/>
      <c r="E1346" s="242">
        <v>31.3</v>
      </c>
      <c r="F1346" s="22">
        <f>933079.5/222.3*E1346</f>
        <v>131378.26518218624</v>
      </c>
      <c r="G1346" s="43">
        <f>110938.58/222.3*E1346</f>
        <v>15620.231911830859</v>
      </c>
      <c r="H1346" s="207"/>
      <c r="I1346" s="207" t="s">
        <v>12545</v>
      </c>
      <c r="J1346" s="66" t="s">
        <v>12548</v>
      </c>
      <c r="K1346" s="207"/>
      <c r="L1346" s="66"/>
      <c r="M1346" s="201" t="s">
        <v>12550</v>
      </c>
      <c r="N1346" s="207"/>
      <c r="O1346" s="38" t="s">
        <v>21716</v>
      </c>
    </row>
    <row r="1347" spans="1:15" ht="72" customHeight="1" x14ac:dyDescent="0.3">
      <c r="A1347" s="242">
        <v>1327</v>
      </c>
      <c r="B1347" s="246" t="s">
        <v>12480</v>
      </c>
      <c r="C1347" s="246" t="s">
        <v>13605</v>
      </c>
      <c r="D1347" s="88"/>
      <c r="E1347" s="242">
        <v>51.1</v>
      </c>
      <c r="F1347" s="22">
        <f>933079.5/222.3*E1347</f>
        <v>214486.56072874492</v>
      </c>
      <c r="G1347" s="43">
        <f>110938.58/222.3*E1347</f>
        <v>25501.40098065677</v>
      </c>
      <c r="H1347" s="207"/>
      <c r="I1347" s="207" t="s">
        <v>12545</v>
      </c>
      <c r="J1347" s="245" t="s">
        <v>12548</v>
      </c>
      <c r="K1347" s="207"/>
      <c r="L1347" s="66"/>
      <c r="M1347" s="201" t="s">
        <v>12550</v>
      </c>
      <c r="N1347" s="207"/>
      <c r="O1347" s="38" t="s">
        <v>21717</v>
      </c>
    </row>
    <row r="1348" spans="1:15" ht="72" customHeight="1" x14ac:dyDescent="0.3">
      <c r="A1348" s="242">
        <v>1328</v>
      </c>
      <c r="B1348" s="246" t="s">
        <v>12482</v>
      </c>
      <c r="C1348" s="246" t="s">
        <v>13606</v>
      </c>
      <c r="D1348" s="88"/>
      <c r="E1348" s="242">
        <v>70.400000000000006</v>
      </c>
      <c r="F1348" s="22">
        <f>933079.5/222.3*E1348</f>
        <v>295496.16194331984</v>
      </c>
      <c r="G1348" s="43">
        <f>110938.58/222.3*E1348</f>
        <v>35133.045578047684</v>
      </c>
      <c r="H1348" s="207"/>
      <c r="I1348" s="207" t="s">
        <v>12545</v>
      </c>
      <c r="J1348" s="245" t="s">
        <v>12548</v>
      </c>
      <c r="K1348" s="207"/>
      <c r="L1348" s="66"/>
      <c r="M1348" s="201" t="s">
        <v>12550</v>
      </c>
      <c r="N1348" s="207"/>
      <c r="O1348" s="38"/>
    </row>
    <row r="1349" spans="1:15" ht="72" customHeight="1" x14ac:dyDescent="0.3">
      <c r="A1349" s="242">
        <v>1329</v>
      </c>
      <c r="B1349" s="246" t="s">
        <v>12480</v>
      </c>
      <c r="C1349" s="246" t="s">
        <v>13607</v>
      </c>
      <c r="D1349" s="88"/>
      <c r="E1349" s="242">
        <v>57.4</v>
      </c>
      <c r="F1349" s="45">
        <v>641973.19999999995</v>
      </c>
      <c r="G1349" s="51">
        <v>128394.6</v>
      </c>
      <c r="H1349" s="207"/>
      <c r="I1349" s="207" t="s">
        <v>12545</v>
      </c>
      <c r="J1349" s="245" t="s">
        <v>12548</v>
      </c>
      <c r="K1349" s="207"/>
      <c r="L1349" s="66"/>
      <c r="M1349" s="201" t="s">
        <v>12550</v>
      </c>
      <c r="N1349" s="207"/>
      <c r="O1349" s="38" t="s">
        <v>21718</v>
      </c>
    </row>
    <row r="1350" spans="1:15" ht="72" customHeight="1" x14ac:dyDescent="0.3">
      <c r="A1350" s="242">
        <v>1330</v>
      </c>
      <c r="B1350" s="246" t="s">
        <v>12482</v>
      </c>
      <c r="C1350" s="246" t="s">
        <v>13608</v>
      </c>
      <c r="D1350" s="88"/>
      <c r="E1350" s="242">
        <v>67.099999999999994</v>
      </c>
      <c r="F1350" s="45">
        <v>213803.5</v>
      </c>
      <c r="G1350" s="51">
        <v>461181.55</v>
      </c>
      <c r="H1350" s="207"/>
      <c r="I1350" s="207" t="s">
        <v>12545</v>
      </c>
      <c r="J1350" s="245" t="s">
        <v>12548</v>
      </c>
      <c r="K1350" s="207"/>
      <c r="L1350" s="66"/>
      <c r="M1350" s="201" t="s">
        <v>12550</v>
      </c>
      <c r="N1350" s="207"/>
      <c r="O1350" s="38"/>
    </row>
    <row r="1351" spans="1:15" ht="192" customHeight="1" x14ac:dyDescent="0.3">
      <c r="A1351" s="242">
        <v>1331</v>
      </c>
      <c r="B1351" s="246" t="s">
        <v>12479</v>
      </c>
      <c r="C1351" s="246" t="s">
        <v>13609</v>
      </c>
      <c r="D1351" s="88"/>
      <c r="E1351" s="30">
        <v>129</v>
      </c>
      <c r="F1351" s="45">
        <v>411038</v>
      </c>
      <c r="G1351" s="51">
        <v>88784.2</v>
      </c>
      <c r="H1351" s="207"/>
      <c r="I1351" s="207" t="s">
        <v>12545</v>
      </c>
      <c r="J1351" s="245" t="s">
        <v>12548</v>
      </c>
      <c r="K1351" s="207"/>
      <c r="L1351" s="66"/>
      <c r="M1351" s="201" t="s">
        <v>12550</v>
      </c>
      <c r="N1351" s="207"/>
      <c r="O1351" s="38" t="s">
        <v>21719</v>
      </c>
    </row>
    <row r="1352" spans="1:15" ht="84" customHeight="1" x14ac:dyDescent="0.3">
      <c r="A1352" s="242">
        <v>1332</v>
      </c>
      <c r="B1352" s="246" t="s">
        <v>12489</v>
      </c>
      <c r="C1352" s="246" t="s">
        <v>13610</v>
      </c>
      <c r="D1352" s="88"/>
      <c r="E1352" s="30">
        <v>96</v>
      </c>
      <c r="F1352" s="45">
        <v>277968</v>
      </c>
      <c r="G1352" s="51">
        <v>88949.8</v>
      </c>
      <c r="H1352" s="207"/>
      <c r="I1352" s="207" t="s">
        <v>12545</v>
      </c>
      <c r="J1352" s="245" t="s">
        <v>12548</v>
      </c>
      <c r="K1352" s="207"/>
      <c r="L1352" s="66"/>
      <c r="M1352" s="201" t="s">
        <v>12550</v>
      </c>
      <c r="N1352" s="207"/>
      <c r="O1352" s="38" t="s">
        <v>19877</v>
      </c>
    </row>
    <row r="1353" spans="1:15" ht="72" customHeight="1" x14ac:dyDescent="0.3">
      <c r="A1353" s="242">
        <v>1333</v>
      </c>
      <c r="B1353" s="246" t="s">
        <v>12480</v>
      </c>
      <c r="C1353" s="246" t="s">
        <v>13611</v>
      </c>
      <c r="D1353" s="88"/>
      <c r="E1353" s="242">
        <v>54.2</v>
      </c>
      <c r="F1353" s="45">
        <v>156936.1</v>
      </c>
      <c r="G1353" s="51">
        <v>50219.6</v>
      </c>
      <c r="H1353" s="207"/>
      <c r="I1353" s="207" t="s">
        <v>12545</v>
      </c>
      <c r="J1353" s="245" t="s">
        <v>12548</v>
      </c>
      <c r="K1353" s="207"/>
      <c r="L1353" s="66"/>
      <c r="M1353" s="201" t="s">
        <v>12550</v>
      </c>
      <c r="N1353" s="207"/>
      <c r="O1353" s="38" t="s">
        <v>21720</v>
      </c>
    </row>
    <row r="1354" spans="1:15" ht="84" customHeight="1" x14ac:dyDescent="0.3">
      <c r="A1354" s="242">
        <v>1334</v>
      </c>
      <c r="B1354" s="246" t="s">
        <v>12479</v>
      </c>
      <c r="C1354" s="246" t="s">
        <v>13612</v>
      </c>
      <c r="D1354" s="88"/>
      <c r="E1354" s="242">
        <v>168.5</v>
      </c>
      <c r="F1354" s="45">
        <v>1011906</v>
      </c>
      <c r="G1354" s="51">
        <v>247683.5</v>
      </c>
      <c r="H1354" s="207"/>
      <c r="I1354" s="207" t="s">
        <v>12545</v>
      </c>
      <c r="J1354" s="245" t="s">
        <v>12548</v>
      </c>
      <c r="K1354" s="207"/>
      <c r="L1354" s="66"/>
      <c r="M1354" s="201" t="s">
        <v>12550</v>
      </c>
      <c r="N1354" s="207"/>
      <c r="O1354" s="38" t="s">
        <v>21721</v>
      </c>
    </row>
    <row r="1355" spans="1:15" ht="72" customHeight="1" x14ac:dyDescent="0.3">
      <c r="A1355" s="242">
        <v>1335</v>
      </c>
      <c r="B1355" s="246" t="s">
        <v>12478</v>
      </c>
      <c r="C1355" s="246" t="s">
        <v>13613</v>
      </c>
      <c r="D1355" s="88" t="s">
        <v>23031</v>
      </c>
      <c r="E1355" s="242">
        <v>65.8</v>
      </c>
      <c r="F1355" s="22">
        <v>575195.9</v>
      </c>
      <c r="G1355" s="43">
        <v>140790.29999999999</v>
      </c>
      <c r="H1355" s="25">
        <v>1371683.91</v>
      </c>
      <c r="I1355" s="207" t="s">
        <v>12545</v>
      </c>
      <c r="J1355" s="245" t="s">
        <v>12548</v>
      </c>
      <c r="K1355" s="207"/>
      <c r="L1355" s="66"/>
      <c r="M1355" s="201" t="s">
        <v>12550</v>
      </c>
      <c r="N1355" s="207"/>
      <c r="O1355" s="38" t="s">
        <v>23032</v>
      </c>
    </row>
    <row r="1356" spans="1:15" ht="84" customHeight="1" x14ac:dyDescent="0.3">
      <c r="A1356" s="242">
        <v>1336</v>
      </c>
      <c r="B1356" s="246" t="s">
        <v>12478</v>
      </c>
      <c r="C1356" s="246" t="s">
        <v>13614</v>
      </c>
      <c r="D1356" s="88"/>
      <c r="E1356" s="242">
        <v>61.1</v>
      </c>
      <c r="F1356" s="45">
        <v>490679.1</v>
      </c>
      <c r="G1356" s="51">
        <v>130397.1</v>
      </c>
      <c r="H1356" s="207"/>
      <c r="I1356" s="207" t="s">
        <v>12545</v>
      </c>
      <c r="J1356" s="245" t="s">
        <v>12548</v>
      </c>
      <c r="K1356" s="26">
        <v>40268</v>
      </c>
      <c r="L1356" s="66" t="s">
        <v>20153</v>
      </c>
      <c r="M1356" s="201" t="s">
        <v>12550</v>
      </c>
      <c r="N1356" s="207"/>
      <c r="O1356" s="38" t="s">
        <v>20456</v>
      </c>
    </row>
    <row r="1357" spans="1:15" ht="72" customHeight="1" x14ac:dyDescent="0.3">
      <c r="A1357" s="242">
        <v>1337</v>
      </c>
      <c r="B1357" s="246" t="s">
        <v>12478</v>
      </c>
      <c r="C1357" s="246" t="s">
        <v>13615</v>
      </c>
      <c r="D1357" s="88"/>
      <c r="E1357" s="242">
        <v>61.9</v>
      </c>
      <c r="F1357" s="45">
        <v>517981.9</v>
      </c>
      <c r="G1357" s="6">
        <v>132104.43</v>
      </c>
      <c r="H1357" s="207"/>
      <c r="I1357" s="207" t="s">
        <v>12545</v>
      </c>
      <c r="J1357" s="245" t="s">
        <v>12548</v>
      </c>
      <c r="K1357" s="207"/>
      <c r="L1357" s="66"/>
      <c r="M1357" s="201" t="s">
        <v>12550</v>
      </c>
      <c r="N1357" s="207"/>
      <c r="O1357" s="38"/>
    </row>
    <row r="1358" spans="1:15" ht="72" customHeight="1" x14ac:dyDescent="0.3">
      <c r="A1358" s="242">
        <v>1338</v>
      </c>
      <c r="B1358" s="246" t="s">
        <v>12481</v>
      </c>
      <c r="C1358" s="246" t="s">
        <v>13616</v>
      </c>
      <c r="D1358" s="88"/>
      <c r="E1358" s="30">
        <v>36</v>
      </c>
      <c r="F1358" s="45">
        <v>359611</v>
      </c>
      <c r="G1358" s="51">
        <v>136652.20000000001</v>
      </c>
      <c r="H1358" s="207"/>
      <c r="I1358" s="207" t="s">
        <v>12545</v>
      </c>
      <c r="J1358" s="245" t="s">
        <v>12548</v>
      </c>
      <c r="K1358" s="207"/>
      <c r="L1358" s="66"/>
      <c r="M1358" s="201" t="s">
        <v>12550</v>
      </c>
      <c r="N1358" s="207"/>
      <c r="O1358" s="38"/>
    </row>
    <row r="1359" spans="1:15" ht="72" customHeight="1" x14ac:dyDescent="0.3">
      <c r="A1359" s="242">
        <v>1339</v>
      </c>
      <c r="B1359" s="246" t="s">
        <v>12480</v>
      </c>
      <c r="C1359" s="246" t="s">
        <v>13617</v>
      </c>
      <c r="D1359" s="88"/>
      <c r="E1359" s="242">
        <v>48.9</v>
      </c>
      <c r="F1359" s="45">
        <v>150091.5</v>
      </c>
      <c r="G1359" s="6">
        <v>48029.25</v>
      </c>
      <c r="H1359" s="207"/>
      <c r="I1359" s="207" t="s">
        <v>12545</v>
      </c>
      <c r="J1359" s="245" t="s">
        <v>12548</v>
      </c>
      <c r="K1359" s="207"/>
      <c r="L1359" s="66"/>
      <c r="M1359" s="201" t="s">
        <v>12550</v>
      </c>
      <c r="N1359" s="207"/>
      <c r="O1359" s="38"/>
    </row>
    <row r="1360" spans="1:15" ht="72" customHeight="1" x14ac:dyDescent="0.3">
      <c r="A1360" s="242">
        <v>1340</v>
      </c>
      <c r="B1360" s="246" t="s">
        <v>12480</v>
      </c>
      <c r="C1360" s="246" t="s">
        <v>13618</v>
      </c>
      <c r="D1360" s="88"/>
      <c r="E1360" s="242">
        <v>48.9</v>
      </c>
      <c r="F1360" s="45">
        <v>254924.2</v>
      </c>
      <c r="G1360" s="51">
        <v>81575.8</v>
      </c>
      <c r="H1360" s="207"/>
      <c r="I1360" s="207" t="s">
        <v>12545</v>
      </c>
      <c r="J1360" s="245" t="s">
        <v>12548</v>
      </c>
      <c r="K1360" s="207"/>
      <c r="L1360" s="66"/>
      <c r="M1360" s="201" t="s">
        <v>12550</v>
      </c>
      <c r="N1360" s="207"/>
      <c r="O1360" s="38"/>
    </row>
    <row r="1361" spans="1:15" ht="72" customHeight="1" x14ac:dyDescent="0.3">
      <c r="A1361" s="242">
        <v>1341</v>
      </c>
      <c r="B1361" s="246" t="s">
        <v>12479</v>
      </c>
      <c r="C1361" s="246" t="s">
        <v>13619</v>
      </c>
      <c r="D1361" s="88"/>
      <c r="E1361" s="30">
        <v>132</v>
      </c>
      <c r="F1361" s="45">
        <v>359611</v>
      </c>
      <c r="G1361" s="6">
        <v>115075.49</v>
      </c>
      <c r="H1361" s="207"/>
      <c r="I1361" s="207" t="s">
        <v>12545</v>
      </c>
      <c r="J1361" s="66" t="s">
        <v>12548</v>
      </c>
      <c r="K1361" s="207"/>
      <c r="L1361" s="66"/>
      <c r="M1361" s="201" t="s">
        <v>12550</v>
      </c>
      <c r="N1361" s="207"/>
      <c r="O1361" s="38"/>
    </row>
    <row r="1362" spans="1:15" ht="72" customHeight="1" x14ac:dyDescent="0.3">
      <c r="A1362" s="242">
        <v>1342</v>
      </c>
      <c r="B1362" s="246" t="s">
        <v>12479</v>
      </c>
      <c r="C1362" s="246" t="s">
        <v>13620</v>
      </c>
      <c r="D1362" s="88"/>
      <c r="E1362" s="30">
        <v>90</v>
      </c>
      <c r="F1362" s="45">
        <v>124531</v>
      </c>
      <c r="G1362" s="51">
        <v>47321.8</v>
      </c>
      <c r="H1362" s="207"/>
      <c r="I1362" s="207" t="s">
        <v>12545</v>
      </c>
      <c r="J1362" s="66" t="s">
        <v>12548</v>
      </c>
      <c r="K1362" s="207"/>
      <c r="L1362" s="66"/>
      <c r="M1362" s="201" t="s">
        <v>12550</v>
      </c>
      <c r="N1362" s="207"/>
      <c r="O1362" s="38"/>
    </row>
    <row r="1363" spans="1:15" ht="72" customHeight="1" x14ac:dyDescent="0.3">
      <c r="A1363" s="242">
        <v>1343</v>
      </c>
      <c r="B1363" s="246" t="s">
        <v>12478</v>
      </c>
      <c r="C1363" s="246" t="s">
        <v>13621</v>
      </c>
      <c r="D1363" s="88"/>
      <c r="E1363" s="242">
        <v>90.3</v>
      </c>
      <c r="F1363" s="45">
        <v>885940</v>
      </c>
      <c r="G1363" s="51">
        <v>519751.5</v>
      </c>
      <c r="H1363" s="207"/>
      <c r="I1363" s="207" t="s">
        <v>12545</v>
      </c>
      <c r="J1363" s="66" t="s">
        <v>12548</v>
      </c>
      <c r="K1363" s="207"/>
      <c r="L1363" s="66"/>
      <c r="M1363" s="201" t="s">
        <v>12550</v>
      </c>
      <c r="N1363" s="207"/>
      <c r="O1363" s="38"/>
    </row>
    <row r="1364" spans="1:15" ht="72" customHeight="1" x14ac:dyDescent="0.3">
      <c r="A1364" s="242">
        <v>1344</v>
      </c>
      <c r="B1364" s="246" t="s">
        <v>12467</v>
      </c>
      <c r="C1364" s="246" t="s">
        <v>13622</v>
      </c>
      <c r="D1364" s="88"/>
      <c r="E1364" s="2">
        <v>62.6</v>
      </c>
      <c r="F1364" s="45">
        <v>549868.19999999995</v>
      </c>
      <c r="G1364" s="51">
        <v>120971</v>
      </c>
      <c r="H1364" s="207"/>
      <c r="I1364" s="207" t="s">
        <v>12545</v>
      </c>
      <c r="J1364" s="66" t="s">
        <v>12548</v>
      </c>
      <c r="K1364" s="207"/>
      <c r="L1364" s="66"/>
      <c r="M1364" s="201" t="s">
        <v>12550</v>
      </c>
      <c r="N1364" s="207"/>
      <c r="O1364" s="38"/>
    </row>
    <row r="1365" spans="1:15" ht="72" customHeight="1" x14ac:dyDescent="0.3">
      <c r="A1365" s="242">
        <v>1345</v>
      </c>
      <c r="B1365" s="246" t="s">
        <v>12479</v>
      </c>
      <c r="C1365" s="246" t="s">
        <v>13623</v>
      </c>
      <c r="D1365" s="88"/>
      <c r="E1365" s="242">
        <v>132</v>
      </c>
      <c r="F1365" s="45">
        <v>511333</v>
      </c>
      <c r="G1365" s="51">
        <v>178966.6</v>
      </c>
      <c r="H1365" s="207"/>
      <c r="I1365" s="207" t="s">
        <v>12545</v>
      </c>
      <c r="J1365" s="245" t="s">
        <v>12548</v>
      </c>
      <c r="K1365" s="207"/>
      <c r="L1365" s="66"/>
      <c r="M1365" s="201" t="s">
        <v>12550</v>
      </c>
      <c r="N1365" s="207"/>
      <c r="O1365" s="38"/>
    </row>
    <row r="1366" spans="1:15" ht="72" customHeight="1" x14ac:dyDescent="0.3">
      <c r="A1366" s="2">
        <v>1346</v>
      </c>
      <c r="B1366" s="246" t="s">
        <v>12481</v>
      </c>
      <c r="C1366" s="246" t="s">
        <v>13624</v>
      </c>
      <c r="D1366" s="88"/>
      <c r="E1366" s="30">
        <v>35</v>
      </c>
      <c r="F1366" s="45">
        <v>30462</v>
      </c>
      <c r="G1366" s="51">
        <v>30462</v>
      </c>
      <c r="H1366" s="207"/>
      <c r="I1366" s="207" t="s">
        <v>12545</v>
      </c>
      <c r="J1366" s="245" t="s">
        <v>12548</v>
      </c>
      <c r="K1366" s="207"/>
      <c r="L1366" s="66"/>
      <c r="M1366" s="201" t="s">
        <v>12550</v>
      </c>
      <c r="N1366" s="207"/>
      <c r="O1366" s="38"/>
    </row>
    <row r="1367" spans="1:15" ht="72" customHeight="1" x14ac:dyDescent="0.3">
      <c r="A1367" s="242">
        <v>1347</v>
      </c>
      <c r="B1367" s="246" t="s">
        <v>12479</v>
      </c>
      <c r="C1367" s="246" t="s">
        <v>13625</v>
      </c>
      <c r="D1367" s="88"/>
      <c r="E1367" s="242">
        <v>49.6</v>
      </c>
      <c r="F1367" s="45">
        <v>82124</v>
      </c>
      <c r="G1367" s="51">
        <v>82124</v>
      </c>
      <c r="H1367" s="207"/>
      <c r="I1367" s="207" t="s">
        <v>12545</v>
      </c>
      <c r="J1367" s="245" t="s">
        <v>12548</v>
      </c>
      <c r="K1367" s="207"/>
      <c r="L1367" s="66"/>
      <c r="M1367" s="201" t="s">
        <v>12550</v>
      </c>
      <c r="N1367" s="207"/>
      <c r="O1367" s="38"/>
    </row>
    <row r="1368" spans="1:15" ht="72" customHeight="1" x14ac:dyDescent="0.3">
      <c r="A1368" s="2">
        <v>1348</v>
      </c>
      <c r="B1368" s="246" t="s">
        <v>12484</v>
      </c>
      <c r="C1368" s="246" t="s">
        <v>13626</v>
      </c>
      <c r="D1368" s="88"/>
      <c r="E1368" s="30">
        <v>31.7</v>
      </c>
      <c r="F1368" s="45">
        <f>7330235.7/435.1*E1368</f>
        <v>534057.62282233976</v>
      </c>
      <c r="G1368" s="51">
        <f>1179091.5/435.1*E1368</f>
        <v>85904.850723971496</v>
      </c>
      <c r="H1368" s="207"/>
      <c r="I1368" s="207" t="s">
        <v>12545</v>
      </c>
      <c r="J1368" s="66" t="s">
        <v>12548</v>
      </c>
      <c r="K1368" s="207" t="s">
        <v>15071</v>
      </c>
      <c r="L1368" s="66" t="s">
        <v>15073</v>
      </c>
      <c r="M1368" s="201" t="s">
        <v>12550</v>
      </c>
      <c r="N1368" s="207"/>
      <c r="O1368" s="38"/>
    </row>
    <row r="1369" spans="1:15" ht="72" customHeight="1" x14ac:dyDescent="0.3">
      <c r="A1369" s="2">
        <v>1349</v>
      </c>
      <c r="B1369" s="246" t="s">
        <v>12482</v>
      </c>
      <c r="C1369" s="246" t="s">
        <v>13627</v>
      </c>
      <c r="D1369" s="88"/>
      <c r="E1369" s="30">
        <v>60.5</v>
      </c>
      <c r="F1369" s="45">
        <f>7330235.7/435.1*E1369</f>
        <v>1019258.2391404276</v>
      </c>
      <c r="G1369" s="51">
        <f>1179091.5/435.1*E1369</f>
        <v>163950.8980694093</v>
      </c>
      <c r="H1369" s="207"/>
      <c r="I1369" s="207" t="s">
        <v>12545</v>
      </c>
      <c r="J1369" s="66" t="s">
        <v>12548</v>
      </c>
      <c r="K1369" s="207"/>
      <c r="L1369" s="66"/>
      <c r="M1369" s="201" t="s">
        <v>12550</v>
      </c>
      <c r="N1369" s="207"/>
      <c r="O1369" s="38" t="s">
        <v>21722</v>
      </c>
    </row>
    <row r="1370" spans="1:15" ht="108" customHeight="1" x14ac:dyDescent="0.3">
      <c r="A1370" s="2">
        <v>1350</v>
      </c>
      <c r="B1370" s="246" t="s">
        <v>12481</v>
      </c>
      <c r="C1370" s="242" t="s">
        <v>13628</v>
      </c>
      <c r="D1370" s="88"/>
      <c r="E1370" s="242">
        <v>31.9</v>
      </c>
      <c r="F1370" s="45">
        <v>1000000</v>
      </c>
      <c r="G1370" s="6"/>
      <c r="H1370" s="207"/>
      <c r="I1370" s="207" t="s">
        <v>12545</v>
      </c>
      <c r="J1370" s="66" t="s">
        <v>12548</v>
      </c>
      <c r="K1370" s="207"/>
      <c r="L1370" s="66"/>
      <c r="M1370" s="201" t="s">
        <v>12550</v>
      </c>
      <c r="N1370" s="79" t="s">
        <v>19528</v>
      </c>
      <c r="O1370" s="212"/>
    </row>
    <row r="1371" spans="1:15" ht="132" customHeight="1" x14ac:dyDescent="0.3">
      <c r="A1371" s="2">
        <v>1351</v>
      </c>
      <c r="B1371" s="246" t="s">
        <v>12480</v>
      </c>
      <c r="C1371" s="246" t="s">
        <v>13629</v>
      </c>
      <c r="D1371" s="88"/>
      <c r="E1371" s="30">
        <v>47.2</v>
      </c>
      <c r="F1371" s="45">
        <f t="shared" ref="F1371:F1378" si="103">7330235.7/435.1*E1371</f>
        <v>795189.89896575513</v>
      </c>
      <c r="G1371" s="51">
        <f t="shared" ref="G1371:G1378" si="104">1179091.5/435.1*E1371</f>
        <v>127908.79981613423</v>
      </c>
      <c r="H1371" s="207"/>
      <c r="I1371" s="207" t="s">
        <v>12545</v>
      </c>
      <c r="J1371" s="66" t="s">
        <v>12548</v>
      </c>
      <c r="K1371" s="26">
        <v>43066</v>
      </c>
      <c r="L1371" s="66" t="s">
        <v>19566</v>
      </c>
      <c r="M1371" s="201" t="s">
        <v>12550</v>
      </c>
      <c r="N1371" s="207"/>
      <c r="O1371" s="38"/>
    </row>
    <row r="1372" spans="1:15" ht="72" customHeight="1" x14ac:dyDescent="0.3">
      <c r="A1372" s="2">
        <v>1352</v>
      </c>
      <c r="B1372" s="246" t="s">
        <v>12481</v>
      </c>
      <c r="C1372" s="246" t="s">
        <v>13630</v>
      </c>
      <c r="D1372" s="88"/>
      <c r="E1372" s="30">
        <v>31.2</v>
      </c>
      <c r="F1372" s="45">
        <f t="shared" si="103"/>
        <v>525634.00101126183</v>
      </c>
      <c r="G1372" s="51">
        <f t="shared" si="104"/>
        <v>84549.884624224302</v>
      </c>
      <c r="H1372" s="207"/>
      <c r="I1372" s="207" t="s">
        <v>12545</v>
      </c>
      <c r="J1372" s="66" t="s">
        <v>12548</v>
      </c>
      <c r="K1372" s="207"/>
      <c r="L1372" s="66"/>
      <c r="M1372" s="201" t="s">
        <v>12550</v>
      </c>
      <c r="N1372" s="207"/>
      <c r="O1372" s="38"/>
    </row>
    <row r="1373" spans="1:15" ht="72" customHeight="1" x14ac:dyDescent="0.3">
      <c r="A1373" s="2">
        <v>1353</v>
      </c>
      <c r="B1373" s="246" t="s">
        <v>12480</v>
      </c>
      <c r="C1373" s="246" t="s">
        <v>13631</v>
      </c>
      <c r="D1373" s="88"/>
      <c r="E1373" s="30">
        <v>47.2</v>
      </c>
      <c r="F1373" s="45">
        <f t="shared" si="103"/>
        <v>795189.89896575513</v>
      </c>
      <c r="G1373" s="51">
        <f t="shared" si="104"/>
        <v>127908.79981613423</v>
      </c>
      <c r="H1373" s="207"/>
      <c r="I1373" s="207" t="s">
        <v>12545</v>
      </c>
      <c r="J1373" s="66" t="s">
        <v>12548</v>
      </c>
      <c r="K1373" s="207"/>
      <c r="L1373" s="66"/>
      <c r="M1373" s="201" t="s">
        <v>12550</v>
      </c>
      <c r="N1373" s="207"/>
      <c r="O1373" s="38" t="s">
        <v>19886</v>
      </c>
    </row>
    <row r="1374" spans="1:15" ht="108" x14ac:dyDescent="0.3">
      <c r="A1374" s="2">
        <v>1354</v>
      </c>
      <c r="B1374" s="246" t="s">
        <v>12480</v>
      </c>
      <c r="C1374" s="246" t="s">
        <v>13632</v>
      </c>
      <c r="D1374" s="88" t="s">
        <v>23676</v>
      </c>
      <c r="E1374" s="30">
        <v>46.7</v>
      </c>
      <c r="F1374" s="45">
        <f t="shared" si="103"/>
        <v>786766.2771546772</v>
      </c>
      <c r="G1374" s="51">
        <f t="shared" si="104"/>
        <v>126553.83371638703</v>
      </c>
      <c r="H1374" s="207"/>
      <c r="I1374" s="207" t="s">
        <v>12545</v>
      </c>
      <c r="J1374" s="66" t="s">
        <v>12548</v>
      </c>
      <c r="K1374" s="207" t="s">
        <v>23677</v>
      </c>
      <c r="L1374" s="66" t="s">
        <v>23678</v>
      </c>
      <c r="M1374" s="201" t="s">
        <v>12550</v>
      </c>
      <c r="N1374" s="207"/>
      <c r="O1374" s="38" t="s">
        <v>21723</v>
      </c>
    </row>
    <row r="1375" spans="1:15" ht="72" customHeight="1" x14ac:dyDescent="0.3">
      <c r="A1375" s="2">
        <v>1355</v>
      </c>
      <c r="B1375" s="246" t="s">
        <v>12480</v>
      </c>
      <c r="C1375" s="246" t="s">
        <v>13633</v>
      </c>
      <c r="D1375" s="88"/>
      <c r="E1375" s="30">
        <v>48.2</v>
      </c>
      <c r="F1375" s="45">
        <f t="shared" si="103"/>
        <v>812037.14258791087</v>
      </c>
      <c r="G1375" s="51">
        <f t="shared" si="104"/>
        <v>130618.73201562859</v>
      </c>
      <c r="H1375" s="207"/>
      <c r="I1375" s="207" t="s">
        <v>12545</v>
      </c>
      <c r="J1375" s="66" t="s">
        <v>12548</v>
      </c>
      <c r="K1375" s="207"/>
      <c r="L1375" s="66"/>
      <c r="M1375" s="201" t="s">
        <v>12550</v>
      </c>
      <c r="N1375" s="207"/>
      <c r="O1375" s="38" t="s">
        <v>21724</v>
      </c>
    </row>
    <row r="1376" spans="1:15" ht="84" customHeight="1" x14ac:dyDescent="0.3">
      <c r="A1376" s="2">
        <v>1356</v>
      </c>
      <c r="B1376" s="246" t="s">
        <v>12480</v>
      </c>
      <c r="C1376" s="246" t="s">
        <v>13634</v>
      </c>
      <c r="D1376" s="88"/>
      <c r="E1376" s="30">
        <v>58.9</v>
      </c>
      <c r="F1376" s="45">
        <f t="shared" si="103"/>
        <v>992302.64934497816</v>
      </c>
      <c r="G1376" s="51">
        <f t="shared" si="104"/>
        <v>159615.00655021833</v>
      </c>
      <c r="H1376" s="207"/>
      <c r="I1376" s="207" t="s">
        <v>12545</v>
      </c>
      <c r="J1376" s="66" t="s">
        <v>12548</v>
      </c>
      <c r="K1376" s="207"/>
      <c r="L1376" s="66"/>
      <c r="M1376" s="201" t="s">
        <v>12550</v>
      </c>
      <c r="N1376" s="207"/>
      <c r="O1376" s="38" t="s">
        <v>21725</v>
      </c>
    </row>
    <row r="1377" spans="1:15" ht="72" customHeight="1" x14ac:dyDescent="0.3">
      <c r="A1377" s="2">
        <v>1357</v>
      </c>
      <c r="B1377" s="246" t="s">
        <v>12481</v>
      </c>
      <c r="C1377" s="246" t="s">
        <v>13635</v>
      </c>
      <c r="D1377" s="88"/>
      <c r="E1377" s="30">
        <v>31.7</v>
      </c>
      <c r="F1377" s="45">
        <f t="shared" si="103"/>
        <v>534057.62282233976</v>
      </c>
      <c r="G1377" s="51">
        <f t="shared" si="104"/>
        <v>85904.850723971496</v>
      </c>
      <c r="H1377" s="207"/>
      <c r="I1377" s="207" t="s">
        <v>12545</v>
      </c>
      <c r="J1377" s="66" t="s">
        <v>12548</v>
      </c>
      <c r="K1377" s="207"/>
      <c r="L1377" s="66"/>
      <c r="M1377" s="201" t="s">
        <v>12550</v>
      </c>
      <c r="N1377" s="207"/>
      <c r="O1377" s="38" t="s">
        <v>21726</v>
      </c>
    </row>
    <row r="1378" spans="1:15" ht="84" customHeight="1" x14ac:dyDescent="0.3">
      <c r="A1378" s="2">
        <v>1358</v>
      </c>
      <c r="B1378" s="246" t="s">
        <v>12481</v>
      </c>
      <c r="C1378" s="246" t="s">
        <v>13636</v>
      </c>
      <c r="D1378" s="88"/>
      <c r="E1378" s="30">
        <v>31.8</v>
      </c>
      <c r="F1378" s="45">
        <f t="shared" si="103"/>
        <v>535742.34718455537</v>
      </c>
      <c r="G1378" s="51">
        <f t="shared" si="104"/>
        <v>86175.843943920932</v>
      </c>
      <c r="H1378" s="207"/>
      <c r="I1378" s="207" t="s">
        <v>12545</v>
      </c>
      <c r="J1378" s="66" t="s">
        <v>12548</v>
      </c>
      <c r="K1378" s="207"/>
      <c r="L1378" s="66"/>
      <c r="M1378" s="201" t="s">
        <v>12550</v>
      </c>
      <c r="N1378" s="207"/>
      <c r="O1378" s="38" t="s">
        <v>19967</v>
      </c>
    </row>
    <row r="1379" spans="1:15" ht="72" customHeight="1" x14ac:dyDescent="0.3">
      <c r="A1379" s="2">
        <v>1359</v>
      </c>
      <c r="B1379" s="246" t="s">
        <v>12480</v>
      </c>
      <c r="C1379" s="246" t="s">
        <v>13637</v>
      </c>
      <c r="D1379" s="88"/>
      <c r="E1379" s="30">
        <v>42.1</v>
      </c>
      <c r="F1379" s="22">
        <f t="shared" ref="F1379:F1385" si="105">1879440.3/324*E1379</f>
        <v>244211.22416666668</v>
      </c>
      <c r="G1379" s="43">
        <f t="shared" ref="G1379:G1385" si="106">882929.35/324*E1379</f>
        <v>114726.31368827161</v>
      </c>
      <c r="H1379" s="207"/>
      <c r="I1379" s="207" t="s">
        <v>12545</v>
      </c>
      <c r="J1379" s="66" t="s">
        <v>12548</v>
      </c>
      <c r="K1379" s="207"/>
      <c r="L1379" s="66"/>
      <c r="M1379" s="201" t="s">
        <v>12550</v>
      </c>
      <c r="N1379" s="207"/>
      <c r="O1379" s="38"/>
    </row>
    <row r="1380" spans="1:15" ht="72" customHeight="1" x14ac:dyDescent="0.3">
      <c r="A1380" s="2">
        <v>1360</v>
      </c>
      <c r="B1380" s="246" t="s">
        <v>12480</v>
      </c>
      <c r="C1380" s="246" t="s">
        <v>13638</v>
      </c>
      <c r="D1380" s="88"/>
      <c r="E1380" s="30">
        <v>57.2</v>
      </c>
      <c r="F1380" s="22">
        <f t="shared" si="105"/>
        <v>331802.42333333334</v>
      </c>
      <c r="G1380" s="43">
        <f t="shared" si="106"/>
        <v>155875.18154320988</v>
      </c>
      <c r="H1380" s="207"/>
      <c r="I1380" s="207" t="s">
        <v>12545</v>
      </c>
      <c r="J1380" s="66" t="s">
        <v>12548</v>
      </c>
      <c r="K1380" s="207"/>
      <c r="L1380" s="66"/>
      <c r="M1380" s="201" t="s">
        <v>12550</v>
      </c>
      <c r="N1380" s="207"/>
      <c r="O1380" s="38" t="s">
        <v>19885</v>
      </c>
    </row>
    <row r="1381" spans="1:15" ht="72" customHeight="1" x14ac:dyDescent="0.3">
      <c r="A1381" s="2">
        <v>1361</v>
      </c>
      <c r="B1381" s="246" t="s">
        <v>12481</v>
      </c>
      <c r="C1381" s="246" t="s">
        <v>13639</v>
      </c>
      <c r="D1381" s="88"/>
      <c r="E1381" s="30">
        <v>28.3</v>
      </c>
      <c r="F1381" s="22">
        <f t="shared" si="105"/>
        <v>164160.98916666667</v>
      </c>
      <c r="G1381" s="43">
        <f t="shared" si="106"/>
        <v>77120.063595679007</v>
      </c>
      <c r="H1381" s="207"/>
      <c r="I1381" s="207" t="s">
        <v>12545</v>
      </c>
      <c r="J1381" s="66" t="s">
        <v>12548</v>
      </c>
      <c r="K1381" s="207"/>
      <c r="L1381" s="66"/>
      <c r="M1381" s="201" t="s">
        <v>12550</v>
      </c>
      <c r="N1381" s="207"/>
      <c r="O1381" s="38" t="s">
        <v>21727</v>
      </c>
    </row>
    <row r="1382" spans="1:15" ht="72" customHeight="1" x14ac:dyDescent="0.3">
      <c r="A1382" s="2">
        <v>1362</v>
      </c>
      <c r="B1382" s="246" t="s">
        <v>12480</v>
      </c>
      <c r="C1382" s="246" t="s">
        <v>13640</v>
      </c>
      <c r="D1382" s="88"/>
      <c r="E1382" s="30">
        <v>57.2</v>
      </c>
      <c r="F1382" s="22">
        <f t="shared" si="105"/>
        <v>331802.42333333334</v>
      </c>
      <c r="G1382" s="43">
        <f t="shared" si="106"/>
        <v>155875.18154320988</v>
      </c>
      <c r="H1382" s="207"/>
      <c r="I1382" s="207" t="s">
        <v>12545</v>
      </c>
      <c r="J1382" s="66" t="s">
        <v>12548</v>
      </c>
      <c r="K1382" s="207"/>
      <c r="L1382" s="66"/>
      <c r="M1382" s="201" t="s">
        <v>12550</v>
      </c>
      <c r="N1382" s="207"/>
      <c r="O1382" s="38"/>
    </row>
    <row r="1383" spans="1:15" ht="72" customHeight="1" x14ac:dyDescent="0.3">
      <c r="A1383" s="2">
        <v>1363</v>
      </c>
      <c r="B1383" s="246" t="s">
        <v>12480</v>
      </c>
      <c r="C1383" s="246" t="s">
        <v>13641</v>
      </c>
      <c r="D1383" s="88"/>
      <c r="E1383" s="30">
        <v>57.8</v>
      </c>
      <c r="F1383" s="22">
        <f t="shared" si="105"/>
        <v>335282.86833333335</v>
      </c>
      <c r="G1383" s="43">
        <f t="shared" si="106"/>
        <v>157510.23589506172</v>
      </c>
      <c r="H1383" s="207"/>
      <c r="I1383" s="207" t="s">
        <v>12545</v>
      </c>
      <c r="J1383" s="66" t="s">
        <v>12548</v>
      </c>
      <c r="K1383" s="207"/>
      <c r="L1383" s="66"/>
      <c r="M1383" s="201" t="s">
        <v>12550</v>
      </c>
      <c r="N1383" s="207"/>
      <c r="O1383" s="38" t="s">
        <v>21728</v>
      </c>
    </row>
    <row r="1384" spans="1:15" ht="72" customHeight="1" x14ac:dyDescent="0.3">
      <c r="A1384" s="2">
        <v>1364</v>
      </c>
      <c r="B1384" s="246" t="s">
        <v>12481</v>
      </c>
      <c r="C1384" s="246" t="s">
        <v>13642</v>
      </c>
      <c r="D1384" s="88"/>
      <c r="E1384" s="30">
        <v>39.700000000000003</v>
      </c>
      <c r="F1384" s="22">
        <f t="shared" si="105"/>
        <v>230289.44416666668</v>
      </c>
      <c r="G1384" s="43">
        <f t="shared" si="106"/>
        <v>108186.09628086421</v>
      </c>
      <c r="H1384" s="207"/>
      <c r="I1384" s="207" t="s">
        <v>12545</v>
      </c>
      <c r="J1384" s="66" t="s">
        <v>12548</v>
      </c>
      <c r="K1384" s="207"/>
      <c r="L1384" s="66"/>
      <c r="M1384" s="201" t="s">
        <v>12550</v>
      </c>
      <c r="N1384" s="207"/>
      <c r="O1384" s="38" t="s">
        <v>21729</v>
      </c>
    </row>
    <row r="1385" spans="1:15" ht="72" customHeight="1" x14ac:dyDescent="0.3">
      <c r="A1385" s="2">
        <v>1365</v>
      </c>
      <c r="B1385" s="246" t="s">
        <v>12480</v>
      </c>
      <c r="C1385" s="246" t="s">
        <v>13643</v>
      </c>
      <c r="D1385" s="88"/>
      <c r="E1385" s="30">
        <v>41.7</v>
      </c>
      <c r="F1385" s="22">
        <f t="shared" si="105"/>
        <v>241890.92750000002</v>
      </c>
      <c r="G1385" s="43">
        <f t="shared" si="106"/>
        <v>113636.2774537037</v>
      </c>
      <c r="H1385" s="207"/>
      <c r="I1385" s="207" t="s">
        <v>12545</v>
      </c>
      <c r="J1385" s="66" t="s">
        <v>12548</v>
      </c>
      <c r="K1385" s="207"/>
      <c r="L1385" s="66"/>
      <c r="M1385" s="201" t="s">
        <v>12550</v>
      </c>
      <c r="N1385" s="207"/>
      <c r="O1385" s="38" t="s">
        <v>21730</v>
      </c>
    </row>
    <row r="1386" spans="1:15" ht="72" customHeight="1" x14ac:dyDescent="0.3">
      <c r="A1386" s="2">
        <v>1366</v>
      </c>
      <c r="B1386" s="246" t="s">
        <v>12480</v>
      </c>
      <c r="C1386" s="246" t="s">
        <v>13644</v>
      </c>
      <c r="D1386" s="88"/>
      <c r="E1386" s="242">
        <v>43.6</v>
      </c>
      <c r="F1386" s="22">
        <f>64697.6/88.5*E1386</f>
        <v>31873.619887005651</v>
      </c>
      <c r="G1386" s="43">
        <f>19409.28/88.5*E1386</f>
        <v>9562.0859661016948</v>
      </c>
      <c r="H1386" s="207"/>
      <c r="I1386" s="207" t="s">
        <v>12545</v>
      </c>
      <c r="J1386" s="66" t="s">
        <v>12548</v>
      </c>
      <c r="K1386" s="207"/>
      <c r="L1386" s="66"/>
      <c r="M1386" s="201" t="s">
        <v>12550</v>
      </c>
      <c r="N1386" s="207"/>
      <c r="O1386" s="38" t="s">
        <v>19884</v>
      </c>
    </row>
    <row r="1387" spans="1:15" ht="72" customHeight="1" x14ac:dyDescent="0.3">
      <c r="A1387" s="2">
        <v>1367</v>
      </c>
      <c r="B1387" s="246" t="s">
        <v>12480</v>
      </c>
      <c r="C1387" s="246" t="s">
        <v>13645</v>
      </c>
      <c r="D1387" s="88"/>
      <c r="E1387" s="242">
        <v>44.9</v>
      </c>
      <c r="F1387" s="22">
        <f>64697.6/88.5*E1387</f>
        <v>32823.980112994352</v>
      </c>
      <c r="G1387" s="43">
        <f>19409.28/88.5*E1387</f>
        <v>9847.194033898304</v>
      </c>
      <c r="H1387" s="207"/>
      <c r="I1387" s="207" t="s">
        <v>12545</v>
      </c>
      <c r="J1387" s="66" t="s">
        <v>12548</v>
      </c>
      <c r="K1387" s="207"/>
      <c r="L1387" s="66"/>
      <c r="M1387" s="201" t="s">
        <v>12550</v>
      </c>
      <c r="N1387" s="207"/>
      <c r="O1387" s="38" t="s">
        <v>21731</v>
      </c>
    </row>
    <row r="1388" spans="1:15" ht="72" customHeight="1" x14ac:dyDescent="0.3">
      <c r="A1388" s="2">
        <v>1368</v>
      </c>
      <c r="B1388" s="246" t="s">
        <v>12480</v>
      </c>
      <c r="C1388" s="246" t="s">
        <v>13646</v>
      </c>
      <c r="D1388" s="88"/>
      <c r="E1388" s="242">
        <v>43.8</v>
      </c>
      <c r="F1388" s="22">
        <f>344629.2/89.4*E1388</f>
        <v>168845.17852348991</v>
      </c>
      <c r="G1388" s="43">
        <f>102260.18/89.4*E1388</f>
        <v>50100.625100671125</v>
      </c>
      <c r="H1388" s="207"/>
      <c r="I1388" s="207" t="s">
        <v>12545</v>
      </c>
      <c r="J1388" s="66" t="s">
        <v>12548</v>
      </c>
      <c r="K1388" s="207"/>
      <c r="L1388" s="66"/>
      <c r="M1388" s="201" t="s">
        <v>12550</v>
      </c>
      <c r="N1388" s="207"/>
      <c r="O1388" s="38" t="s">
        <v>21732</v>
      </c>
    </row>
    <row r="1389" spans="1:15" ht="72" customHeight="1" x14ac:dyDescent="0.3">
      <c r="A1389" s="2">
        <v>1369</v>
      </c>
      <c r="B1389" s="246" t="s">
        <v>12480</v>
      </c>
      <c r="C1389" s="246" t="s">
        <v>13647</v>
      </c>
      <c r="D1389" s="88"/>
      <c r="E1389" s="242">
        <v>45.6</v>
      </c>
      <c r="F1389" s="22">
        <f>344629.2/89.4*E1389</f>
        <v>175784.02147651007</v>
      </c>
      <c r="G1389" s="43">
        <f>102260.18/89.4*E1389</f>
        <v>52159.554899328847</v>
      </c>
      <c r="H1389" s="207"/>
      <c r="I1389" s="207" t="s">
        <v>12545</v>
      </c>
      <c r="J1389" s="66" t="s">
        <v>12548</v>
      </c>
      <c r="K1389" s="207"/>
      <c r="L1389" s="66"/>
      <c r="M1389" s="201" t="s">
        <v>12550</v>
      </c>
      <c r="N1389" s="207"/>
      <c r="O1389" s="38" t="s">
        <v>21733</v>
      </c>
    </row>
    <row r="1390" spans="1:15" ht="72" customHeight="1" x14ac:dyDescent="0.3">
      <c r="A1390" s="2">
        <v>1370</v>
      </c>
      <c r="B1390" s="246" t="s">
        <v>12480</v>
      </c>
      <c r="C1390" s="246" t="s">
        <v>13648</v>
      </c>
      <c r="D1390" s="88"/>
      <c r="E1390" s="242">
        <v>48.7</v>
      </c>
      <c r="F1390" s="45">
        <f>1198330.4/93.2*E1390</f>
        <v>626166.20686695271</v>
      </c>
      <c r="G1390" s="6">
        <f>275615.98/93.2*E1390</f>
        <v>144018.22130901288</v>
      </c>
      <c r="H1390" s="207"/>
      <c r="I1390" s="207" t="s">
        <v>12545</v>
      </c>
      <c r="J1390" s="66" t="s">
        <v>12548</v>
      </c>
      <c r="K1390" s="207"/>
      <c r="L1390" s="66"/>
      <c r="M1390" s="201" t="s">
        <v>12550</v>
      </c>
      <c r="N1390" s="207"/>
      <c r="O1390" s="38" t="s">
        <v>19895</v>
      </c>
    </row>
    <row r="1391" spans="1:15" ht="72" customHeight="1" x14ac:dyDescent="0.3">
      <c r="A1391" s="2">
        <v>1371</v>
      </c>
      <c r="B1391" s="246" t="s">
        <v>12480</v>
      </c>
      <c r="C1391" s="246" t="s">
        <v>13649</v>
      </c>
      <c r="D1391" s="88"/>
      <c r="E1391" s="242">
        <v>44.5</v>
      </c>
      <c r="F1391" s="45">
        <f>1198330.4/93.2*E1391</f>
        <v>572164.19313304708</v>
      </c>
      <c r="G1391" s="6">
        <f>275615.98/93.2*E1391</f>
        <v>131597.7586909871</v>
      </c>
      <c r="H1391" s="207"/>
      <c r="I1391" s="207" t="s">
        <v>12545</v>
      </c>
      <c r="J1391" s="66" t="s">
        <v>12548</v>
      </c>
      <c r="K1391" s="207"/>
      <c r="L1391" s="66"/>
      <c r="M1391" s="201" t="s">
        <v>12550</v>
      </c>
      <c r="N1391" s="207"/>
      <c r="O1391" s="38" t="s">
        <v>21734</v>
      </c>
    </row>
    <row r="1392" spans="1:15" ht="72" customHeight="1" x14ac:dyDescent="0.3">
      <c r="A1392" s="2">
        <v>1372</v>
      </c>
      <c r="B1392" s="246" t="s">
        <v>12480</v>
      </c>
      <c r="C1392" s="246" t="s">
        <v>13650</v>
      </c>
      <c r="D1392" s="88"/>
      <c r="E1392" s="242">
        <v>52.5</v>
      </c>
      <c r="F1392" s="45">
        <f t="shared" ref="F1392:F1403" si="107">1517272.9/489.1*E1392</f>
        <v>162864.09169903904</v>
      </c>
      <c r="G1392" s="6">
        <f t="shared" ref="G1392:G1403" si="108">785910.77/489.1*E1392</f>
        <v>84359.671692905336</v>
      </c>
      <c r="H1392" s="207"/>
      <c r="I1392" s="207" t="s">
        <v>12545</v>
      </c>
      <c r="J1392" s="66" t="s">
        <v>12548</v>
      </c>
      <c r="K1392" s="207"/>
      <c r="L1392" s="66"/>
      <c r="M1392" s="201" t="s">
        <v>12550</v>
      </c>
      <c r="N1392" s="207"/>
      <c r="O1392" s="38" t="s">
        <v>19898</v>
      </c>
    </row>
    <row r="1393" spans="1:15" ht="72" customHeight="1" x14ac:dyDescent="0.3">
      <c r="A1393" s="2">
        <v>1373</v>
      </c>
      <c r="B1393" s="246" t="s">
        <v>12481</v>
      </c>
      <c r="C1393" s="246" t="s">
        <v>13651</v>
      </c>
      <c r="D1393" s="88"/>
      <c r="E1393" s="242">
        <v>26.5</v>
      </c>
      <c r="F1393" s="45">
        <f t="shared" si="107"/>
        <v>82207.589143324469</v>
      </c>
      <c r="G1393" s="6">
        <f t="shared" si="108"/>
        <v>42581.548568799837</v>
      </c>
      <c r="H1393" s="207"/>
      <c r="I1393" s="207" t="s">
        <v>12545</v>
      </c>
      <c r="J1393" s="66" t="s">
        <v>12548</v>
      </c>
      <c r="K1393" s="207"/>
      <c r="L1393" s="66"/>
      <c r="M1393" s="201" t="s">
        <v>12550</v>
      </c>
      <c r="N1393" s="207"/>
      <c r="O1393" s="38" t="s">
        <v>20010</v>
      </c>
    </row>
    <row r="1394" spans="1:15" ht="72" customHeight="1" x14ac:dyDescent="0.3">
      <c r="A1394" s="2">
        <v>1374</v>
      </c>
      <c r="B1394" s="246" t="s">
        <v>12480</v>
      </c>
      <c r="C1394" s="246" t="s">
        <v>13652</v>
      </c>
      <c r="D1394" s="88"/>
      <c r="E1394" s="242">
        <v>43.5</v>
      </c>
      <c r="F1394" s="45">
        <f t="shared" si="107"/>
        <v>134944.53312206091</v>
      </c>
      <c r="G1394" s="6">
        <f t="shared" si="108"/>
        <v>69898.013688407285</v>
      </c>
      <c r="H1394" s="207"/>
      <c r="I1394" s="207" t="s">
        <v>12545</v>
      </c>
      <c r="J1394" s="66" t="s">
        <v>12548</v>
      </c>
      <c r="K1394" s="207"/>
      <c r="L1394" s="66"/>
      <c r="M1394" s="201" t="s">
        <v>12550</v>
      </c>
      <c r="N1394" s="207"/>
      <c r="O1394" s="38" t="s">
        <v>19897</v>
      </c>
    </row>
    <row r="1395" spans="1:15" ht="72" customHeight="1" x14ac:dyDescent="0.3">
      <c r="A1395" s="2">
        <v>1375</v>
      </c>
      <c r="B1395" s="246" t="s">
        <v>12480</v>
      </c>
      <c r="C1395" s="246" t="s">
        <v>13653</v>
      </c>
      <c r="D1395" s="88"/>
      <c r="E1395" s="242">
        <v>52.5</v>
      </c>
      <c r="F1395" s="45">
        <f t="shared" si="107"/>
        <v>162864.09169903904</v>
      </c>
      <c r="G1395" s="6">
        <f t="shared" si="108"/>
        <v>84359.671692905336</v>
      </c>
      <c r="H1395" s="207"/>
      <c r="I1395" s="207" t="s">
        <v>12545</v>
      </c>
      <c r="J1395" s="66" t="s">
        <v>12548</v>
      </c>
      <c r="K1395" s="207"/>
      <c r="L1395" s="66"/>
      <c r="M1395" s="201" t="s">
        <v>12550</v>
      </c>
      <c r="N1395" s="207"/>
      <c r="O1395" s="38"/>
    </row>
    <row r="1396" spans="1:15" ht="72" customHeight="1" x14ac:dyDescent="0.3">
      <c r="A1396" s="2">
        <v>1376</v>
      </c>
      <c r="B1396" s="246" t="s">
        <v>12481</v>
      </c>
      <c r="C1396" s="246" t="s">
        <v>13654</v>
      </c>
      <c r="D1396" s="88"/>
      <c r="E1396" s="242">
        <v>26.5</v>
      </c>
      <c r="F1396" s="45">
        <f t="shared" si="107"/>
        <v>82207.589143324469</v>
      </c>
      <c r="G1396" s="6">
        <f t="shared" si="108"/>
        <v>42581.548568799837</v>
      </c>
      <c r="H1396" s="207"/>
      <c r="I1396" s="207" t="s">
        <v>12545</v>
      </c>
      <c r="J1396" s="66" t="s">
        <v>12548</v>
      </c>
      <c r="K1396" s="207"/>
      <c r="L1396" s="66"/>
      <c r="M1396" s="201" t="s">
        <v>12550</v>
      </c>
      <c r="N1396" s="207"/>
      <c r="O1396" s="38"/>
    </row>
    <row r="1397" spans="1:15" ht="72" customHeight="1" x14ac:dyDescent="0.3">
      <c r="A1397" s="2">
        <v>1377</v>
      </c>
      <c r="B1397" s="246" t="s">
        <v>12480</v>
      </c>
      <c r="C1397" s="246" t="s">
        <v>13655</v>
      </c>
      <c r="D1397" s="88"/>
      <c r="E1397" s="242">
        <v>43.5</v>
      </c>
      <c r="F1397" s="45">
        <f t="shared" si="107"/>
        <v>134944.53312206091</v>
      </c>
      <c r="G1397" s="6">
        <f t="shared" si="108"/>
        <v>69898.013688407285</v>
      </c>
      <c r="H1397" s="207"/>
      <c r="I1397" s="207" t="s">
        <v>12545</v>
      </c>
      <c r="J1397" s="66" t="s">
        <v>12548</v>
      </c>
      <c r="K1397" s="207"/>
      <c r="L1397" s="66"/>
      <c r="M1397" s="201" t="s">
        <v>12550</v>
      </c>
      <c r="N1397" s="207"/>
      <c r="O1397" s="38" t="s">
        <v>21735</v>
      </c>
    </row>
    <row r="1398" spans="1:15" ht="72" customHeight="1" x14ac:dyDescent="0.3">
      <c r="A1398" s="2">
        <v>1378</v>
      </c>
      <c r="B1398" s="246" t="s">
        <v>12480</v>
      </c>
      <c r="C1398" s="246" t="s">
        <v>13656</v>
      </c>
      <c r="D1398" s="88"/>
      <c r="E1398" s="2">
        <v>41</v>
      </c>
      <c r="F1398" s="45">
        <f t="shared" si="107"/>
        <v>127189.10018401143</v>
      </c>
      <c r="G1398" s="6">
        <f t="shared" si="108"/>
        <v>65880.886464935596</v>
      </c>
      <c r="H1398" s="207"/>
      <c r="I1398" s="207" t="s">
        <v>12545</v>
      </c>
      <c r="J1398" s="66" t="s">
        <v>12548</v>
      </c>
      <c r="K1398" s="207"/>
      <c r="L1398" s="66"/>
      <c r="M1398" s="201" t="s">
        <v>12550</v>
      </c>
      <c r="N1398" s="207"/>
      <c r="O1398" s="38" t="s">
        <v>21736</v>
      </c>
    </row>
    <row r="1399" spans="1:15" ht="72" customHeight="1" x14ac:dyDescent="0.3">
      <c r="A1399" s="2">
        <v>1379</v>
      </c>
      <c r="B1399" s="246" t="s">
        <v>12481</v>
      </c>
      <c r="C1399" s="246" t="s">
        <v>13657</v>
      </c>
      <c r="D1399" s="88"/>
      <c r="E1399" s="2">
        <v>29.2</v>
      </c>
      <c r="F1399" s="45">
        <f t="shared" si="107"/>
        <v>90583.456716417902</v>
      </c>
      <c r="G1399" s="6">
        <f t="shared" si="108"/>
        <v>46920.045970149251</v>
      </c>
      <c r="H1399" s="207"/>
      <c r="I1399" s="207" t="s">
        <v>12545</v>
      </c>
      <c r="J1399" s="245" t="s">
        <v>12548</v>
      </c>
      <c r="K1399" s="207"/>
      <c r="L1399" s="66"/>
      <c r="M1399" s="201" t="s">
        <v>12550</v>
      </c>
      <c r="N1399" s="207"/>
      <c r="O1399" s="38" t="s">
        <v>21737</v>
      </c>
    </row>
    <row r="1400" spans="1:15" ht="72" customHeight="1" x14ac:dyDescent="0.3">
      <c r="A1400" s="2">
        <v>1380</v>
      </c>
      <c r="B1400" s="246" t="s">
        <v>12480</v>
      </c>
      <c r="C1400" s="246" t="s">
        <v>13658</v>
      </c>
      <c r="D1400" s="88"/>
      <c r="E1400" s="2">
        <v>53</v>
      </c>
      <c r="F1400" s="45">
        <f t="shared" si="107"/>
        <v>164415.17828664894</v>
      </c>
      <c r="G1400" s="6">
        <f t="shared" si="108"/>
        <v>85163.097137599674</v>
      </c>
      <c r="H1400" s="207"/>
      <c r="I1400" s="207" t="s">
        <v>12545</v>
      </c>
      <c r="J1400" s="66" t="s">
        <v>12548</v>
      </c>
      <c r="K1400" s="207"/>
      <c r="L1400" s="66"/>
      <c r="M1400" s="201" t="s">
        <v>12550</v>
      </c>
      <c r="N1400" s="207"/>
      <c r="O1400" s="38" t="s">
        <v>21738</v>
      </c>
    </row>
    <row r="1401" spans="1:15" ht="72" customHeight="1" x14ac:dyDescent="0.3">
      <c r="A1401" s="2">
        <v>1381</v>
      </c>
      <c r="B1401" s="246" t="s">
        <v>12481</v>
      </c>
      <c r="C1401" s="246" t="s">
        <v>13659</v>
      </c>
      <c r="D1401" s="88"/>
      <c r="E1401" s="2">
        <v>26.9</v>
      </c>
      <c r="F1401" s="45">
        <f t="shared" si="107"/>
        <v>83448.458413412372</v>
      </c>
      <c r="G1401" s="6">
        <f t="shared" si="108"/>
        <v>43224.288924555301</v>
      </c>
      <c r="H1401" s="207"/>
      <c r="I1401" s="207" t="s">
        <v>12545</v>
      </c>
      <c r="J1401" s="66" t="s">
        <v>12548</v>
      </c>
      <c r="K1401" s="207"/>
      <c r="L1401" s="66"/>
      <c r="M1401" s="201" t="s">
        <v>12550</v>
      </c>
      <c r="N1401" s="207"/>
      <c r="O1401" s="38" t="s">
        <v>19873</v>
      </c>
    </row>
    <row r="1402" spans="1:15" ht="72" customHeight="1" x14ac:dyDescent="0.3">
      <c r="A1402" s="2">
        <v>1382</v>
      </c>
      <c r="B1402" s="246" t="s">
        <v>12480</v>
      </c>
      <c r="C1402" s="246" t="s">
        <v>13660</v>
      </c>
      <c r="D1402" s="88"/>
      <c r="E1402" s="2">
        <v>41</v>
      </c>
      <c r="F1402" s="45">
        <f t="shared" si="107"/>
        <v>127189.10018401143</v>
      </c>
      <c r="G1402" s="6">
        <f t="shared" si="108"/>
        <v>65880.886464935596</v>
      </c>
      <c r="H1402" s="207"/>
      <c r="I1402" s="207" t="s">
        <v>12545</v>
      </c>
      <c r="J1402" s="66" t="s">
        <v>12548</v>
      </c>
      <c r="K1402" s="207"/>
      <c r="L1402" s="66"/>
      <c r="M1402" s="201" t="s">
        <v>12550</v>
      </c>
      <c r="N1402" s="207"/>
      <c r="O1402" s="38"/>
    </row>
    <row r="1403" spans="1:15" ht="72" customHeight="1" x14ac:dyDescent="0.3">
      <c r="A1403" s="2">
        <v>1383</v>
      </c>
      <c r="B1403" s="246" t="s">
        <v>12480</v>
      </c>
      <c r="C1403" s="246" t="s">
        <v>13661</v>
      </c>
      <c r="D1403" s="88"/>
      <c r="E1403" s="242">
        <v>53</v>
      </c>
      <c r="F1403" s="45">
        <f t="shared" si="107"/>
        <v>164415.17828664894</v>
      </c>
      <c r="G1403" s="6">
        <f t="shared" si="108"/>
        <v>85163.097137599674</v>
      </c>
      <c r="H1403" s="207"/>
      <c r="I1403" s="207" t="s">
        <v>12545</v>
      </c>
      <c r="J1403" s="66" t="s">
        <v>12548</v>
      </c>
      <c r="K1403" s="207"/>
      <c r="L1403" s="66"/>
      <c r="M1403" s="201" t="s">
        <v>12550</v>
      </c>
      <c r="N1403" s="207"/>
      <c r="O1403" s="38" t="s">
        <v>21739</v>
      </c>
    </row>
    <row r="1404" spans="1:15" ht="84" customHeight="1" x14ac:dyDescent="0.3">
      <c r="A1404" s="2">
        <v>1384</v>
      </c>
      <c r="B1404" s="246" t="s">
        <v>12480</v>
      </c>
      <c r="C1404" s="246" t="s">
        <v>13662</v>
      </c>
      <c r="D1404" s="88"/>
      <c r="E1404" s="242">
        <v>41.7</v>
      </c>
      <c r="F1404" s="22">
        <f t="shared" ref="F1404:F1409" si="109">1674435.4/281.3*E1404</f>
        <v>248218.82751510842</v>
      </c>
      <c r="G1404" s="43">
        <f t="shared" ref="G1404:G1409" si="110">573720.69/281.3*E1404</f>
        <v>85048.534564521862</v>
      </c>
      <c r="H1404" s="207"/>
      <c r="I1404" s="207" t="s">
        <v>12545</v>
      </c>
      <c r="J1404" s="66" t="s">
        <v>12548</v>
      </c>
      <c r="K1404" s="207"/>
      <c r="L1404" s="66"/>
      <c r="M1404" s="201" t="s">
        <v>12550</v>
      </c>
      <c r="N1404" s="207"/>
      <c r="O1404" s="38" t="s">
        <v>19879</v>
      </c>
    </row>
    <row r="1405" spans="1:15" ht="72" customHeight="1" x14ac:dyDescent="0.3">
      <c r="A1405" s="2">
        <v>1385</v>
      </c>
      <c r="B1405" s="246" t="s">
        <v>12480</v>
      </c>
      <c r="C1405" s="246" t="s">
        <v>13663</v>
      </c>
      <c r="D1405" s="88"/>
      <c r="E1405" s="2">
        <v>41.7</v>
      </c>
      <c r="F1405" s="22">
        <f t="shared" si="109"/>
        <v>248218.82751510842</v>
      </c>
      <c r="G1405" s="43">
        <f t="shared" si="110"/>
        <v>85048.534564521862</v>
      </c>
      <c r="H1405" s="207"/>
      <c r="I1405" s="207" t="s">
        <v>12545</v>
      </c>
      <c r="J1405" s="245" t="s">
        <v>12548</v>
      </c>
      <c r="K1405" s="207"/>
      <c r="L1405" s="66"/>
      <c r="M1405" s="201" t="s">
        <v>12550</v>
      </c>
      <c r="N1405" s="207"/>
      <c r="O1405" s="38" t="s">
        <v>21740</v>
      </c>
    </row>
    <row r="1406" spans="1:15" ht="72" customHeight="1" x14ac:dyDescent="0.3">
      <c r="A1406" s="2">
        <v>1386</v>
      </c>
      <c r="B1406" s="246" t="s">
        <v>12482</v>
      </c>
      <c r="C1406" s="246" t="s">
        <v>13664</v>
      </c>
      <c r="D1406" s="88"/>
      <c r="E1406" s="242">
        <v>62.9</v>
      </c>
      <c r="F1406" s="22">
        <f t="shared" si="109"/>
        <v>374411.61272662634</v>
      </c>
      <c r="G1406" s="43">
        <f t="shared" si="110"/>
        <v>128286.63846782793</v>
      </c>
      <c r="H1406" s="207"/>
      <c r="I1406" s="207" t="s">
        <v>12545</v>
      </c>
      <c r="J1406" s="66" t="s">
        <v>12548</v>
      </c>
      <c r="K1406" s="207"/>
      <c r="L1406" s="66"/>
      <c r="M1406" s="201" t="s">
        <v>12550</v>
      </c>
      <c r="N1406" s="207"/>
      <c r="O1406" s="38" t="s">
        <v>21741</v>
      </c>
    </row>
    <row r="1407" spans="1:15" ht="72" customHeight="1" x14ac:dyDescent="0.3">
      <c r="A1407" s="2">
        <v>1387</v>
      </c>
      <c r="B1407" s="246" t="s">
        <v>12480</v>
      </c>
      <c r="C1407" s="246" t="s">
        <v>13665</v>
      </c>
      <c r="D1407" s="88"/>
      <c r="E1407" s="2">
        <v>59</v>
      </c>
      <c r="F1407" s="22">
        <f t="shared" si="109"/>
        <v>351196.90223960183</v>
      </c>
      <c r="G1407" s="43">
        <f t="shared" si="110"/>
        <v>120332.458976182</v>
      </c>
      <c r="H1407" s="207"/>
      <c r="I1407" s="207" t="s">
        <v>12545</v>
      </c>
      <c r="J1407" s="245" t="s">
        <v>12548</v>
      </c>
      <c r="K1407" s="207"/>
      <c r="L1407" s="66"/>
      <c r="M1407" s="201" t="s">
        <v>12550</v>
      </c>
      <c r="N1407" s="207"/>
      <c r="O1407" s="38" t="s">
        <v>20729</v>
      </c>
    </row>
    <row r="1408" spans="1:15" ht="72" customHeight="1" x14ac:dyDescent="0.3">
      <c r="A1408" s="2">
        <v>1388</v>
      </c>
      <c r="B1408" s="246" t="s">
        <v>12481</v>
      </c>
      <c r="C1408" s="246" t="s">
        <v>13666</v>
      </c>
      <c r="D1408" s="88"/>
      <c r="E1408" s="242">
        <v>38</v>
      </c>
      <c r="F1408" s="22">
        <f t="shared" si="109"/>
        <v>226194.61500177745</v>
      </c>
      <c r="G1408" s="43">
        <f t="shared" si="110"/>
        <v>77502.261713473155</v>
      </c>
      <c r="H1408" s="207"/>
      <c r="I1408" s="207" t="s">
        <v>12545</v>
      </c>
      <c r="J1408" s="245" t="s">
        <v>12548</v>
      </c>
      <c r="K1408" s="207"/>
      <c r="L1408" s="66"/>
      <c r="M1408" s="201" t="s">
        <v>12550</v>
      </c>
      <c r="N1408" s="207"/>
      <c r="O1408" s="38" t="s">
        <v>21076</v>
      </c>
    </row>
    <row r="1409" spans="1:15" ht="72" customHeight="1" x14ac:dyDescent="0.3">
      <c r="A1409" s="2">
        <v>1389</v>
      </c>
      <c r="B1409" s="246" t="s">
        <v>12481</v>
      </c>
      <c r="C1409" s="246" t="s">
        <v>13667</v>
      </c>
      <c r="D1409" s="88"/>
      <c r="E1409" s="2">
        <v>38</v>
      </c>
      <c r="F1409" s="22">
        <f t="shared" si="109"/>
        <v>226194.61500177745</v>
      </c>
      <c r="G1409" s="43">
        <f t="shared" si="110"/>
        <v>77502.261713473155</v>
      </c>
      <c r="H1409" s="207"/>
      <c r="I1409" s="207" t="s">
        <v>12545</v>
      </c>
      <c r="J1409" s="245" t="s">
        <v>12548</v>
      </c>
      <c r="K1409" s="207"/>
      <c r="L1409" s="66"/>
      <c r="M1409" s="201" t="s">
        <v>12550</v>
      </c>
      <c r="N1409" s="207"/>
      <c r="O1409" s="38" t="s">
        <v>21742</v>
      </c>
    </row>
    <row r="1410" spans="1:15" ht="72" customHeight="1" x14ac:dyDescent="0.3">
      <c r="A1410" s="2">
        <v>1390</v>
      </c>
      <c r="B1410" s="246" t="s">
        <v>12481</v>
      </c>
      <c r="C1410" s="246" t="s">
        <v>13668</v>
      </c>
      <c r="D1410" s="88"/>
      <c r="E1410" s="242">
        <v>39.6</v>
      </c>
      <c r="F1410" s="22">
        <f>14596882/228.2*E1410</f>
        <v>2533025.9737072745</v>
      </c>
      <c r="G1410" s="43">
        <f>472024.45/228.2*E1410</f>
        <v>81911.341893076256</v>
      </c>
      <c r="H1410" s="207"/>
      <c r="I1410" s="207" t="s">
        <v>12545</v>
      </c>
      <c r="J1410" s="66" t="s">
        <v>12548</v>
      </c>
      <c r="K1410" s="207"/>
      <c r="L1410" s="66"/>
      <c r="M1410" s="201" t="s">
        <v>12550</v>
      </c>
      <c r="N1410" s="207"/>
      <c r="O1410" s="38"/>
    </row>
    <row r="1411" spans="1:15" ht="108" x14ac:dyDescent="0.3">
      <c r="A1411" s="2">
        <v>1391</v>
      </c>
      <c r="B1411" s="246" t="s">
        <v>12480</v>
      </c>
      <c r="C1411" s="246" t="s">
        <v>13669</v>
      </c>
      <c r="D1411" s="88" t="s">
        <v>23381</v>
      </c>
      <c r="E1411" s="2">
        <v>51.8</v>
      </c>
      <c r="F1411" s="22">
        <f>14596882/228.2*E1411</f>
        <v>3313402.6625766871</v>
      </c>
      <c r="G1411" s="43">
        <f>472024.45/228.2*E1411</f>
        <v>107146.65429447852</v>
      </c>
      <c r="H1411" s="207"/>
      <c r="I1411" s="207" t="s">
        <v>12545</v>
      </c>
      <c r="J1411" s="245" t="s">
        <v>12548</v>
      </c>
      <c r="K1411" s="26">
        <v>43740</v>
      </c>
      <c r="L1411" s="66" t="s">
        <v>23382</v>
      </c>
      <c r="M1411" s="201" t="s">
        <v>12550</v>
      </c>
      <c r="N1411" s="207"/>
      <c r="O1411" s="38"/>
    </row>
    <row r="1412" spans="1:15" ht="72" customHeight="1" x14ac:dyDescent="0.3">
      <c r="A1412" s="2">
        <v>1392</v>
      </c>
      <c r="B1412" s="246" t="s">
        <v>12480</v>
      </c>
      <c r="C1412" s="246" t="s">
        <v>13670</v>
      </c>
      <c r="D1412" s="88"/>
      <c r="E1412" s="242">
        <v>57.4</v>
      </c>
      <c r="F1412" s="22">
        <f>14596882/228.2*E1412</f>
        <v>3671608.355828221</v>
      </c>
      <c r="G1412" s="43">
        <f>472024.45/228.2*E1412</f>
        <v>118730.0763803681</v>
      </c>
      <c r="H1412" s="207"/>
      <c r="I1412" s="207" t="s">
        <v>12545</v>
      </c>
      <c r="J1412" s="66" t="s">
        <v>12548</v>
      </c>
      <c r="K1412" s="207"/>
      <c r="L1412" s="66"/>
      <c r="M1412" s="201" t="s">
        <v>12550</v>
      </c>
      <c r="N1412" s="207"/>
      <c r="O1412" s="38" t="s">
        <v>21743</v>
      </c>
    </row>
    <row r="1413" spans="1:15" ht="72" customHeight="1" x14ac:dyDescent="0.3">
      <c r="A1413" s="2">
        <v>1393</v>
      </c>
      <c r="B1413" s="246" t="s">
        <v>12481</v>
      </c>
      <c r="C1413" s="246" t="s">
        <v>13671</v>
      </c>
      <c r="D1413" s="88"/>
      <c r="E1413" s="2">
        <v>39.6</v>
      </c>
      <c r="F1413" s="22">
        <f>14596882/228.2*E1413</f>
        <v>2533025.9737072745</v>
      </c>
      <c r="G1413" s="43">
        <f>472024.45/228.2*E1413</f>
        <v>81911.341893076256</v>
      </c>
      <c r="H1413" s="207"/>
      <c r="I1413" s="207" t="s">
        <v>12545</v>
      </c>
      <c r="J1413" s="245" t="s">
        <v>12548</v>
      </c>
      <c r="K1413" s="207"/>
      <c r="L1413" s="66"/>
      <c r="M1413" s="201" t="s">
        <v>12550</v>
      </c>
      <c r="N1413" s="207"/>
      <c r="O1413" s="38"/>
    </row>
    <row r="1414" spans="1:15" ht="72" customHeight="1" x14ac:dyDescent="0.3">
      <c r="A1414" s="2">
        <v>1394</v>
      </c>
      <c r="B1414" s="246" t="s">
        <v>12481</v>
      </c>
      <c r="C1414" s="246" t="s">
        <v>13672</v>
      </c>
      <c r="D1414" s="88"/>
      <c r="E1414" s="2">
        <v>39.799999999999997</v>
      </c>
      <c r="F1414" s="22">
        <f>14596882/228.2*E1414</f>
        <v>2545819.0341805434</v>
      </c>
      <c r="G1414" s="43">
        <f>472024.45/228.2*E1414</f>
        <v>82325.035539000877</v>
      </c>
      <c r="H1414" s="207"/>
      <c r="I1414" s="207" t="s">
        <v>12545</v>
      </c>
      <c r="J1414" s="245" t="s">
        <v>12548</v>
      </c>
      <c r="K1414" s="207"/>
      <c r="L1414" s="66"/>
      <c r="M1414" s="201" t="s">
        <v>12550</v>
      </c>
      <c r="N1414" s="207"/>
      <c r="O1414" s="38" t="s">
        <v>21744</v>
      </c>
    </row>
    <row r="1415" spans="1:15" ht="72" customHeight="1" x14ac:dyDescent="0.3">
      <c r="A1415" s="2">
        <v>1395</v>
      </c>
      <c r="B1415" s="246" t="s">
        <v>12482</v>
      </c>
      <c r="C1415" s="246" t="s">
        <v>13673</v>
      </c>
      <c r="D1415" s="88"/>
      <c r="E1415" s="2">
        <v>65.5</v>
      </c>
      <c r="F1415" s="45">
        <v>780696.62</v>
      </c>
      <c r="G1415" s="6">
        <v>58315.93</v>
      </c>
      <c r="H1415" s="207"/>
      <c r="I1415" s="207" t="s">
        <v>12545</v>
      </c>
      <c r="J1415" s="245" t="s">
        <v>12548</v>
      </c>
      <c r="K1415" s="207"/>
      <c r="L1415" s="66"/>
      <c r="M1415" s="201" t="s">
        <v>12550</v>
      </c>
      <c r="N1415" s="207"/>
      <c r="O1415" s="38" t="s">
        <v>21745</v>
      </c>
    </row>
    <row r="1416" spans="1:15" ht="72" customHeight="1" x14ac:dyDescent="0.3">
      <c r="A1416" s="2">
        <v>1396</v>
      </c>
      <c r="B1416" s="246" t="s">
        <v>12480</v>
      </c>
      <c r="C1416" s="246" t="s">
        <v>13674</v>
      </c>
      <c r="D1416" s="88"/>
      <c r="E1416" s="242">
        <v>45.8</v>
      </c>
      <c r="F1416" s="45">
        <v>575790.19999999995</v>
      </c>
      <c r="G1416" s="6">
        <v>132887.32</v>
      </c>
      <c r="H1416" s="207"/>
      <c r="I1416" s="207" t="s">
        <v>12545</v>
      </c>
      <c r="J1416" s="66" t="s">
        <v>12548</v>
      </c>
      <c r="K1416" s="207"/>
      <c r="L1416" s="66"/>
      <c r="M1416" s="201" t="s">
        <v>12550</v>
      </c>
      <c r="N1416" s="207"/>
      <c r="O1416" s="38" t="s">
        <v>21746</v>
      </c>
    </row>
    <row r="1417" spans="1:15" ht="72" customHeight="1" x14ac:dyDescent="0.3">
      <c r="A1417" s="242">
        <v>1397</v>
      </c>
      <c r="B1417" s="246" t="s">
        <v>12480</v>
      </c>
      <c r="C1417" s="246" t="s">
        <v>13675</v>
      </c>
      <c r="D1417" s="88"/>
      <c r="E1417" s="242">
        <v>45.1</v>
      </c>
      <c r="F1417" s="22">
        <f>2852637.7/273.3*E1417</f>
        <v>470742.62813757779</v>
      </c>
      <c r="G1417" s="43">
        <f>564320.7/273.3*E1417</f>
        <v>93124.272118551031</v>
      </c>
      <c r="H1417" s="207"/>
      <c r="I1417" s="207" t="s">
        <v>12545</v>
      </c>
      <c r="J1417" s="245" t="s">
        <v>12548</v>
      </c>
      <c r="K1417" s="207"/>
      <c r="L1417" s="245"/>
      <c r="M1417" s="201" t="s">
        <v>12550</v>
      </c>
      <c r="N1417" s="207"/>
      <c r="O1417" s="38"/>
    </row>
    <row r="1418" spans="1:15" ht="72" customHeight="1" x14ac:dyDescent="0.3">
      <c r="A1418" s="2">
        <v>1398</v>
      </c>
      <c r="B1418" s="246" t="s">
        <v>12482</v>
      </c>
      <c r="C1418" s="246" t="s">
        <v>13676</v>
      </c>
      <c r="D1418" s="88"/>
      <c r="E1418" s="242">
        <v>66.7</v>
      </c>
      <c r="F1418" s="22">
        <f>2852637.7/273.3*E1418</f>
        <v>696198.07753384567</v>
      </c>
      <c r="G1418" s="43">
        <f>564320.7/273.3*E1418</f>
        <v>137724.81042810096</v>
      </c>
      <c r="H1418" s="207"/>
      <c r="I1418" s="207" t="s">
        <v>12545</v>
      </c>
      <c r="J1418" s="66" t="s">
        <v>12548</v>
      </c>
      <c r="K1418" s="207"/>
      <c r="L1418" s="66"/>
      <c r="M1418" s="201" t="s">
        <v>12550</v>
      </c>
      <c r="N1418" s="207"/>
      <c r="O1418" s="38" t="s">
        <v>21747</v>
      </c>
    </row>
    <row r="1419" spans="1:15" ht="72" customHeight="1" x14ac:dyDescent="0.3">
      <c r="A1419" s="2">
        <v>1399</v>
      </c>
      <c r="B1419" s="246" t="s">
        <v>12482</v>
      </c>
      <c r="C1419" s="246" t="s">
        <v>13677</v>
      </c>
      <c r="D1419" s="88"/>
      <c r="E1419" s="2">
        <v>66.7</v>
      </c>
      <c r="F1419" s="22">
        <f>2852637.7/273.3*E1419</f>
        <v>696198.07753384567</v>
      </c>
      <c r="G1419" s="43">
        <f>564320.7/273.3*E1419</f>
        <v>137724.81042810096</v>
      </c>
      <c r="H1419" s="207"/>
      <c r="I1419" s="207" t="s">
        <v>12545</v>
      </c>
      <c r="J1419" s="245" t="s">
        <v>12548</v>
      </c>
      <c r="K1419" s="207"/>
      <c r="L1419" s="66"/>
      <c r="M1419" s="201" t="s">
        <v>12550</v>
      </c>
      <c r="N1419" s="207"/>
      <c r="O1419" s="38" t="s">
        <v>21748</v>
      </c>
    </row>
    <row r="1420" spans="1:15" ht="72" customHeight="1" x14ac:dyDescent="0.3">
      <c r="A1420" s="2">
        <v>1400</v>
      </c>
      <c r="B1420" s="246" t="s">
        <v>12480</v>
      </c>
      <c r="C1420" s="246" t="s">
        <v>13678</v>
      </c>
      <c r="D1420" s="88"/>
      <c r="E1420" s="2">
        <v>47.4</v>
      </c>
      <c r="F1420" s="22">
        <f>2852637.7/273.3*E1420</f>
        <v>494749.45839736552</v>
      </c>
      <c r="G1420" s="43">
        <f>564320.7/273.3*E1420</f>
        <v>97873.403512623467</v>
      </c>
      <c r="H1420" s="207"/>
      <c r="I1420" s="207" t="s">
        <v>12545</v>
      </c>
      <c r="J1420" s="245" t="s">
        <v>12548</v>
      </c>
      <c r="K1420" s="207"/>
      <c r="L1420" s="66"/>
      <c r="M1420" s="201" t="s">
        <v>12550</v>
      </c>
      <c r="N1420" s="207"/>
      <c r="O1420" s="38" t="s">
        <v>21749</v>
      </c>
    </row>
    <row r="1421" spans="1:15" ht="72" customHeight="1" x14ac:dyDescent="0.3">
      <c r="A1421" s="2">
        <v>1401</v>
      </c>
      <c r="B1421" s="246" t="s">
        <v>12480</v>
      </c>
      <c r="C1421" s="246" t="s">
        <v>13679</v>
      </c>
      <c r="D1421" s="88"/>
      <c r="E1421" s="242">
        <v>47.4</v>
      </c>
      <c r="F1421" s="22">
        <f>2852637.7/273.3*E1421</f>
        <v>494749.45839736552</v>
      </c>
      <c r="G1421" s="43">
        <f>564320.7/273.3*E1421</f>
        <v>97873.403512623467</v>
      </c>
      <c r="H1421" s="207"/>
      <c r="I1421" s="207" t="s">
        <v>12545</v>
      </c>
      <c r="J1421" s="66" t="s">
        <v>12548</v>
      </c>
      <c r="K1421" s="207"/>
      <c r="L1421" s="66"/>
      <c r="M1421" s="201" t="s">
        <v>12550</v>
      </c>
      <c r="N1421" s="207"/>
      <c r="O1421" s="38"/>
    </row>
    <row r="1422" spans="1:15" ht="84" customHeight="1" x14ac:dyDescent="0.3">
      <c r="A1422" s="2">
        <v>1402</v>
      </c>
      <c r="B1422" s="53" t="s">
        <v>12490</v>
      </c>
      <c r="C1422" s="53" t="s">
        <v>13680</v>
      </c>
      <c r="D1422" s="88"/>
      <c r="E1422" s="157">
        <v>78</v>
      </c>
      <c r="F1422" s="207">
        <v>265228.13</v>
      </c>
      <c r="G1422" s="207">
        <v>95482.14</v>
      </c>
      <c r="H1422" s="207"/>
      <c r="I1422" s="207" t="s">
        <v>12545</v>
      </c>
      <c r="J1422" s="66" t="s">
        <v>12549</v>
      </c>
      <c r="K1422" s="207"/>
      <c r="L1422" s="66"/>
      <c r="M1422" s="201" t="s">
        <v>12550</v>
      </c>
      <c r="N1422" s="207"/>
      <c r="O1422" s="38"/>
    </row>
    <row r="1423" spans="1:15" ht="84" customHeight="1" x14ac:dyDescent="0.3">
      <c r="A1423" s="242">
        <v>1403</v>
      </c>
      <c r="B1423" s="52" t="s">
        <v>12491</v>
      </c>
      <c r="C1423" s="53" t="s">
        <v>13681</v>
      </c>
      <c r="D1423" s="88" t="s">
        <v>13988</v>
      </c>
      <c r="E1423" s="157">
        <v>45.3</v>
      </c>
      <c r="F1423" s="6">
        <v>82092.45</v>
      </c>
      <c r="G1423" s="6">
        <v>31186</v>
      </c>
      <c r="H1423" s="25"/>
      <c r="I1423" s="207" t="s">
        <v>12545</v>
      </c>
      <c r="J1423" s="245" t="s">
        <v>12549</v>
      </c>
      <c r="K1423" s="207"/>
      <c r="L1423" s="66"/>
      <c r="M1423" s="201" t="s">
        <v>12550</v>
      </c>
      <c r="N1423" s="207"/>
      <c r="O1423" s="38"/>
    </row>
    <row r="1424" spans="1:15" ht="84" customHeight="1" x14ac:dyDescent="0.3">
      <c r="A1424" s="242">
        <v>1404</v>
      </c>
      <c r="B1424" s="52" t="s">
        <v>12491</v>
      </c>
      <c r="C1424" s="53" t="s">
        <v>13682</v>
      </c>
      <c r="D1424" s="88" t="s">
        <v>13989</v>
      </c>
      <c r="E1424" s="157">
        <v>43.8</v>
      </c>
      <c r="F1424" s="6">
        <v>25974.95</v>
      </c>
      <c r="G1424" s="6">
        <v>11699.01</v>
      </c>
      <c r="H1424" s="25"/>
      <c r="I1424" s="207" t="s">
        <v>12545</v>
      </c>
      <c r="J1424" s="245" t="s">
        <v>12549</v>
      </c>
      <c r="K1424" s="207"/>
      <c r="L1424" s="66"/>
      <c r="M1424" s="201" t="s">
        <v>12550</v>
      </c>
      <c r="N1424" s="207"/>
      <c r="O1424" s="38"/>
    </row>
    <row r="1425" spans="1:15" ht="84" customHeight="1" x14ac:dyDescent="0.3">
      <c r="A1425" s="2">
        <v>1405</v>
      </c>
      <c r="B1425" s="54" t="s">
        <v>12491</v>
      </c>
      <c r="C1425" s="55" t="s">
        <v>13683</v>
      </c>
      <c r="D1425" s="88" t="s">
        <v>13987</v>
      </c>
      <c r="E1425" s="158">
        <v>51.5</v>
      </c>
      <c r="F1425" s="6">
        <v>49434.239999999998</v>
      </c>
      <c r="G1425" s="6">
        <v>49434.239999999998</v>
      </c>
      <c r="H1425" s="25"/>
      <c r="I1425" s="207" t="s">
        <v>12545</v>
      </c>
      <c r="J1425" s="66" t="s">
        <v>12549</v>
      </c>
      <c r="K1425" s="207"/>
      <c r="L1425" s="66"/>
      <c r="M1425" s="201" t="s">
        <v>12550</v>
      </c>
      <c r="N1425" s="207"/>
      <c r="O1425" s="38"/>
    </row>
    <row r="1426" spans="1:15" ht="84" customHeight="1" x14ac:dyDescent="0.3">
      <c r="A1426" s="2">
        <v>1406</v>
      </c>
      <c r="B1426" s="52" t="s">
        <v>12491</v>
      </c>
      <c r="C1426" s="53" t="s">
        <v>13684</v>
      </c>
      <c r="D1426" s="88"/>
      <c r="E1426" s="157">
        <v>37.4</v>
      </c>
      <c r="F1426" s="6">
        <v>127173.48</v>
      </c>
      <c r="G1426" s="6">
        <v>45782.46</v>
      </c>
      <c r="H1426" s="207"/>
      <c r="I1426" s="207" t="s">
        <v>12545</v>
      </c>
      <c r="J1426" s="66" t="s">
        <v>12549</v>
      </c>
      <c r="K1426" s="207"/>
      <c r="L1426" s="66"/>
      <c r="M1426" s="201" t="s">
        <v>12550</v>
      </c>
      <c r="N1426" s="207"/>
      <c r="O1426" s="38"/>
    </row>
    <row r="1427" spans="1:15" ht="84" customHeight="1" x14ac:dyDescent="0.3">
      <c r="A1427" s="2">
        <v>1407</v>
      </c>
      <c r="B1427" s="52" t="s">
        <v>12492</v>
      </c>
      <c r="C1427" s="53" t="s">
        <v>13685</v>
      </c>
      <c r="D1427" s="88"/>
      <c r="E1427" s="157">
        <v>32.9</v>
      </c>
      <c r="F1427" s="6">
        <v>13521.77</v>
      </c>
      <c r="G1427" s="6">
        <v>6090.15</v>
      </c>
      <c r="H1427" s="207"/>
      <c r="I1427" s="207" t="s">
        <v>12545</v>
      </c>
      <c r="J1427" s="66" t="s">
        <v>12549</v>
      </c>
      <c r="K1427" s="207"/>
      <c r="L1427" s="66"/>
      <c r="M1427" s="201" t="s">
        <v>12550</v>
      </c>
      <c r="N1427" s="207"/>
      <c r="O1427" s="38"/>
    </row>
    <row r="1428" spans="1:15" ht="144" customHeight="1" x14ac:dyDescent="0.3">
      <c r="A1428" s="2">
        <v>1408</v>
      </c>
      <c r="B1428" s="52" t="s">
        <v>12492</v>
      </c>
      <c r="C1428" s="53" t="s">
        <v>13686</v>
      </c>
      <c r="D1428" s="88" t="s">
        <v>20955</v>
      </c>
      <c r="E1428" s="157">
        <v>38.799999999999997</v>
      </c>
      <c r="F1428" s="6">
        <v>13480.67</v>
      </c>
      <c r="G1428" s="6">
        <v>6071.64</v>
      </c>
      <c r="H1428" s="207"/>
      <c r="I1428" s="207" t="s">
        <v>12545</v>
      </c>
      <c r="J1428" s="66" t="s">
        <v>12549</v>
      </c>
      <c r="K1428" s="26">
        <v>43347</v>
      </c>
      <c r="L1428" s="66" t="s">
        <v>21119</v>
      </c>
      <c r="M1428" s="201" t="s">
        <v>12550</v>
      </c>
      <c r="N1428" s="207"/>
      <c r="O1428" s="38" t="s">
        <v>21118</v>
      </c>
    </row>
    <row r="1429" spans="1:15" ht="72" customHeight="1" x14ac:dyDescent="0.3">
      <c r="A1429" s="2">
        <v>1409</v>
      </c>
      <c r="B1429" s="52" t="s">
        <v>12490</v>
      </c>
      <c r="C1429" s="53" t="s">
        <v>13687</v>
      </c>
      <c r="D1429" s="88"/>
      <c r="E1429" s="157">
        <v>69.2</v>
      </c>
      <c r="F1429" s="6">
        <v>156467.84</v>
      </c>
      <c r="G1429" s="6">
        <v>23471.48</v>
      </c>
      <c r="H1429" s="207"/>
      <c r="I1429" s="207" t="s">
        <v>12545</v>
      </c>
      <c r="J1429" s="66" t="s">
        <v>12549</v>
      </c>
      <c r="K1429" s="207"/>
      <c r="L1429" s="66"/>
      <c r="M1429" s="201" t="s">
        <v>12550</v>
      </c>
      <c r="N1429" s="207"/>
      <c r="O1429" s="38"/>
    </row>
    <row r="1430" spans="1:15" ht="72" customHeight="1" x14ac:dyDescent="0.3">
      <c r="A1430" s="2">
        <v>1410</v>
      </c>
      <c r="B1430" s="52" t="s">
        <v>12491</v>
      </c>
      <c r="C1430" s="53" t="s">
        <v>13688</v>
      </c>
      <c r="D1430" s="88"/>
      <c r="E1430" s="157">
        <v>48.6</v>
      </c>
      <c r="F1430" s="6">
        <v>509772.92</v>
      </c>
      <c r="G1430" s="6">
        <v>110110.92</v>
      </c>
      <c r="H1430" s="207"/>
      <c r="I1430" s="207" t="s">
        <v>12545</v>
      </c>
      <c r="J1430" s="66" t="s">
        <v>12549</v>
      </c>
      <c r="K1430" s="207"/>
      <c r="L1430" s="66"/>
      <c r="M1430" s="201" t="s">
        <v>12550</v>
      </c>
      <c r="N1430" s="207"/>
      <c r="O1430" s="38"/>
    </row>
    <row r="1431" spans="1:15" ht="72" customHeight="1" x14ac:dyDescent="0.3">
      <c r="A1431" s="2">
        <v>1411</v>
      </c>
      <c r="B1431" s="52" t="s">
        <v>12490</v>
      </c>
      <c r="C1431" s="52" t="s">
        <v>13689</v>
      </c>
      <c r="D1431" s="88"/>
      <c r="E1431" s="157">
        <v>59.5</v>
      </c>
      <c r="F1431" s="6">
        <v>222010.13</v>
      </c>
      <c r="G1431" s="6">
        <v>37684.089999999997</v>
      </c>
      <c r="H1431" s="207"/>
      <c r="I1431" s="207" t="s">
        <v>12545</v>
      </c>
      <c r="J1431" s="66" t="s">
        <v>12549</v>
      </c>
      <c r="K1431" s="207"/>
      <c r="L1431" s="66"/>
      <c r="M1431" s="201" t="s">
        <v>12550</v>
      </c>
      <c r="N1431" s="207"/>
      <c r="O1431" s="38"/>
    </row>
    <row r="1432" spans="1:15" ht="72" customHeight="1" x14ac:dyDescent="0.3">
      <c r="A1432" s="2">
        <v>1412</v>
      </c>
      <c r="B1432" s="54" t="s">
        <v>12492</v>
      </c>
      <c r="C1432" s="52" t="s">
        <v>13690</v>
      </c>
      <c r="D1432" s="88" t="s">
        <v>13990</v>
      </c>
      <c r="E1432" s="157">
        <v>31.8</v>
      </c>
      <c r="F1432" s="6">
        <v>1048096.2</v>
      </c>
      <c r="G1432" s="6"/>
      <c r="H1432" s="25"/>
      <c r="I1432" s="207" t="s">
        <v>12545</v>
      </c>
      <c r="J1432" s="66" t="s">
        <v>12549</v>
      </c>
      <c r="K1432" s="207"/>
      <c r="L1432" s="66"/>
      <c r="M1432" s="201" t="s">
        <v>12550</v>
      </c>
      <c r="N1432" s="207"/>
      <c r="O1432" s="38"/>
    </row>
    <row r="1433" spans="1:15" ht="72" customHeight="1" x14ac:dyDescent="0.3">
      <c r="A1433" s="2">
        <v>1413</v>
      </c>
      <c r="B1433" s="52" t="s">
        <v>12490</v>
      </c>
      <c r="C1433" s="52" t="s">
        <v>13691</v>
      </c>
      <c r="D1433" s="88"/>
      <c r="E1433" s="157">
        <v>66.3</v>
      </c>
      <c r="F1433" s="6">
        <v>6336.18</v>
      </c>
      <c r="G1433" s="6"/>
      <c r="H1433" s="207"/>
      <c r="I1433" s="207" t="s">
        <v>12545</v>
      </c>
      <c r="J1433" s="66" t="s">
        <v>12549</v>
      </c>
      <c r="K1433" s="207"/>
      <c r="L1433" s="66"/>
      <c r="M1433" s="201" t="s">
        <v>12550</v>
      </c>
      <c r="N1433" s="207"/>
      <c r="O1433" s="38"/>
    </row>
    <row r="1434" spans="1:15" ht="72" customHeight="1" x14ac:dyDescent="0.3">
      <c r="A1434" s="2">
        <v>1414</v>
      </c>
      <c r="B1434" s="52" t="s">
        <v>12490</v>
      </c>
      <c r="C1434" s="52" t="s">
        <v>13692</v>
      </c>
      <c r="D1434" s="88"/>
      <c r="E1434" s="157">
        <v>68.400000000000006</v>
      </c>
      <c r="F1434" s="6">
        <v>154658.97</v>
      </c>
      <c r="G1434" s="6">
        <v>23200.12</v>
      </c>
      <c r="H1434" s="207"/>
      <c r="I1434" s="207" t="s">
        <v>12545</v>
      </c>
      <c r="J1434" s="66" t="s">
        <v>12549</v>
      </c>
      <c r="K1434" s="207"/>
      <c r="L1434" s="66"/>
      <c r="M1434" s="201" t="s">
        <v>12550</v>
      </c>
      <c r="N1434" s="207"/>
      <c r="O1434" s="38"/>
    </row>
    <row r="1435" spans="1:15" ht="72" customHeight="1" x14ac:dyDescent="0.3">
      <c r="A1435" s="2">
        <v>1415</v>
      </c>
      <c r="B1435" s="52" t="s">
        <v>12490</v>
      </c>
      <c r="C1435" s="52" t="s">
        <v>13693</v>
      </c>
      <c r="D1435" s="88"/>
      <c r="E1435" s="157">
        <v>69.2</v>
      </c>
      <c r="F1435" s="6">
        <v>156467.85</v>
      </c>
      <c r="G1435" s="6">
        <v>23471.47</v>
      </c>
      <c r="H1435" s="207"/>
      <c r="I1435" s="207" t="s">
        <v>12545</v>
      </c>
      <c r="J1435" s="66" t="s">
        <v>12549</v>
      </c>
      <c r="K1435" s="207"/>
      <c r="L1435" s="66"/>
      <c r="M1435" s="201" t="s">
        <v>12550</v>
      </c>
      <c r="N1435" s="207"/>
      <c r="O1435" s="38"/>
    </row>
    <row r="1436" spans="1:15" ht="72" customHeight="1" x14ac:dyDescent="0.3">
      <c r="A1436" s="2">
        <v>1416</v>
      </c>
      <c r="B1436" s="52" t="s">
        <v>12492</v>
      </c>
      <c r="C1436" s="52" t="s">
        <v>13694</v>
      </c>
      <c r="D1436" s="88" t="s">
        <v>13991</v>
      </c>
      <c r="E1436" s="157">
        <v>31.8</v>
      </c>
      <c r="F1436" s="6">
        <v>88917.42</v>
      </c>
      <c r="G1436" s="6">
        <v>24185.54</v>
      </c>
      <c r="H1436" s="25"/>
      <c r="I1436" s="207" t="s">
        <v>12545</v>
      </c>
      <c r="J1436" s="66" t="s">
        <v>12549</v>
      </c>
      <c r="K1436" s="207"/>
      <c r="L1436" s="66"/>
      <c r="M1436" s="201" t="s">
        <v>12550</v>
      </c>
      <c r="N1436" s="207"/>
      <c r="O1436" s="38"/>
    </row>
    <row r="1437" spans="1:15" ht="72" customHeight="1" x14ac:dyDescent="0.3">
      <c r="A1437" s="2">
        <v>1417</v>
      </c>
      <c r="B1437" s="52" t="s">
        <v>12491</v>
      </c>
      <c r="C1437" s="52" t="s">
        <v>13695</v>
      </c>
      <c r="D1437" s="88"/>
      <c r="E1437" s="157">
        <v>47.6</v>
      </c>
      <c r="F1437" s="6">
        <v>133096.51999999999</v>
      </c>
      <c r="G1437" s="6">
        <v>36202.26</v>
      </c>
      <c r="H1437" s="207"/>
      <c r="I1437" s="207" t="s">
        <v>12545</v>
      </c>
      <c r="J1437" s="66" t="s">
        <v>12549</v>
      </c>
      <c r="K1437" s="207"/>
      <c r="L1437" s="66"/>
      <c r="M1437" s="201" t="s">
        <v>12550</v>
      </c>
      <c r="N1437" s="207"/>
      <c r="O1437" s="38"/>
    </row>
    <row r="1438" spans="1:15" ht="72" customHeight="1" x14ac:dyDescent="0.3">
      <c r="A1438" s="2">
        <v>1418</v>
      </c>
      <c r="B1438" s="52" t="s">
        <v>12492</v>
      </c>
      <c r="C1438" s="52" t="s">
        <v>13696</v>
      </c>
      <c r="D1438" s="88"/>
      <c r="E1438" s="157">
        <v>31.2</v>
      </c>
      <c r="F1438" s="6">
        <v>327261.62</v>
      </c>
      <c r="G1438" s="6">
        <v>70688.490000000005</v>
      </c>
      <c r="H1438" s="207"/>
      <c r="I1438" s="207" t="s">
        <v>12545</v>
      </c>
      <c r="J1438" s="66" t="s">
        <v>12549</v>
      </c>
      <c r="K1438" s="207"/>
      <c r="L1438" s="66"/>
      <c r="M1438" s="201" t="s">
        <v>12550</v>
      </c>
      <c r="N1438" s="207"/>
      <c r="O1438" s="38"/>
    </row>
    <row r="1439" spans="1:15" ht="72" customHeight="1" x14ac:dyDescent="0.3">
      <c r="A1439" s="2">
        <v>1419</v>
      </c>
      <c r="B1439" s="52" t="s">
        <v>12492</v>
      </c>
      <c r="C1439" s="52" t="s">
        <v>13697</v>
      </c>
      <c r="D1439" s="88" t="s">
        <v>13992</v>
      </c>
      <c r="E1439" s="157">
        <v>32.299999999999997</v>
      </c>
      <c r="F1439" s="6">
        <v>120519.79</v>
      </c>
      <c r="G1439" s="6">
        <v>20457.080000000002</v>
      </c>
      <c r="H1439" s="25"/>
      <c r="I1439" s="207" t="s">
        <v>12545</v>
      </c>
      <c r="J1439" s="66" t="s">
        <v>12549</v>
      </c>
      <c r="K1439" s="207"/>
      <c r="L1439" s="66"/>
      <c r="M1439" s="201" t="s">
        <v>12550</v>
      </c>
      <c r="N1439" s="207"/>
      <c r="O1439" s="38"/>
    </row>
    <row r="1440" spans="1:15" ht="72" customHeight="1" x14ac:dyDescent="0.3">
      <c r="A1440" s="2">
        <v>1420</v>
      </c>
      <c r="B1440" s="52" t="s">
        <v>12490</v>
      </c>
      <c r="C1440" s="52" t="s">
        <v>13698</v>
      </c>
      <c r="D1440" s="88"/>
      <c r="E1440" s="157">
        <v>59.5</v>
      </c>
      <c r="F1440" s="6">
        <v>222010.13</v>
      </c>
      <c r="G1440" s="6">
        <v>37684.089999999997</v>
      </c>
      <c r="H1440" s="207"/>
      <c r="I1440" s="207" t="s">
        <v>12545</v>
      </c>
      <c r="J1440" s="66" t="s">
        <v>12549</v>
      </c>
      <c r="K1440" s="207"/>
      <c r="L1440" s="66"/>
      <c r="M1440" s="201" t="s">
        <v>12550</v>
      </c>
      <c r="N1440" s="207"/>
      <c r="O1440" s="38"/>
    </row>
    <row r="1441" spans="1:15" ht="109.2" customHeight="1" x14ac:dyDescent="0.3">
      <c r="A1441" s="2">
        <v>1421</v>
      </c>
      <c r="B1441" s="54" t="s">
        <v>12492</v>
      </c>
      <c r="C1441" s="54" t="s">
        <v>13699</v>
      </c>
      <c r="D1441" s="88" t="s">
        <v>13993</v>
      </c>
      <c r="E1441" s="159">
        <v>34.6</v>
      </c>
      <c r="F1441" s="6">
        <v>374749.14</v>
      </c>
      <c r="G1441" s="6"/>
      <c r="H1441" s="25"/>
      <c r="I1441" s="207" t="s">
        <v>12545</v>
      </c>
      <c r="J1441" s="66" t="s">
        <v>12549</v>
      </c>
      <c r="K1441" s="207" t="s">
        <v>23674</v>
      </c>
      <c r="L1441" s="66" t="s">
        <v>23675</v>
      </c>
      <c r="M1441" s="201" t="s">
        <v>12550</v>
      </c>
      <c r="N1441" s="245"/>
      <c r="O1441" s="38"/>
    </row>
    <row r="1442" spans="1:15" ht="72" customHeight="1" x14ac:dyDescent="0.3">
      <c r="A1442" s="2">
        <v>1422</v>
      </c>
      <c r="B1442" s="242" t="s">
        <v>12225</v>
      </c>
      <c r="C1442" s="242" t="s">
        <v>18533</v>
      </c>
      <c r="D1442" s="87" t="s">
        <v>12226</v>
      </c>
      <c r="E1442" s="27">
        <v>28.9</v>
      </c>
      <c r="F1442" s="244">
        <v>1261689</v>
      </c>
      <c r="G1442" s="242"/>
      <c r="H1442" s="242">
        <v>855311.39</v>
      </c>
      <c r="I1442" s="243" t="s">
        <v>12227</v>
      </c>
      <c r="J1442" s="242" t="s">
        <v>12228</v>
      </c>
      <c r="K1442" s="242"/>
      <c r="L1442" s="66"/>
      <c r="M1442" s="201" t="s">
        <v>12550</v>
      </c>
      <c r="N1442" s="242" t="s">
        <v>15035</v>
      </c>
      <c r="O1442" s="38"/>
    </row>
    <row r="1443" spans="1:15" ht="72" customHeight="1" x14ac:dyDescent="0.3">
      <c r="A1443" s="2">
        <v>1423</v>
      </c>
      <c r="B1443" s="52" t="s">
        <v>12492</v>
      </c>
      <c r="C1443" s="52" t="s">
        <v>13700</v>
      </c>
      <c r="D1443" s="88" t="s">
        <v>13919</v>
      </c>
      <c r="E1443" s="157">
        <v>34.5</v>
      </c>
      <c r="F1443" s="6">
        <v>106249.96</v>
      </c>
      <c r="G1443" s="6">
        <v>45900.01</v>
      </c>
      <c r="H1443" s="25"/>
      <c r="I1443" s="207" t="s">
        <v>12545</v>
      </c>
      <c r="J1443" s="66" t="s">
        <v>12549</v>
      </c>
      <c r="K1443" s="207"/>
      <c r="L1443" s="66"/>
      <c r="M1443" s="201" t="s">
        <v>12550</v>
      </c>
      <c r="N1443" s="207"/>
      <c r="O1443" s="38"/>
    </row>
    <row r="1444" spans="1:15" ht="72" customHeight="1" x14ac:dyDescent="0.3">
      <c r="A1444" s="2">
        <v>1424</v>
      </c>
      <c r="B1444" s="52" t="s">
        <v>12490</v>
      </c>
      <c r="C1444" s="52" t="s">
        <v>13701</v>
      </c>
      <c r="D1444" s="88" t="s">
        <v>13924</v>
      </c>
      <c r="E1444" s="157">
        <v>77.900000000000006</v>
      </c>
      <c r="F1444" s="6">
        <v>94816.68</v>
      </c>
      <c r="G1444" s="6">
        <v>40960.92</v>
      </c>
      <c r="H1444" s="25"/>
      <c r="I1444" s="207" t="s">
        <v>12545</v>
      </c>
      <c r="J1444" s="66" t="s">
        <v>12549</v>
      </c>
      <c r="K1444" s="207"/>
      <c r="L1444" s="66"/>
      <c r="M1444" s="201" t="s">
        <v>12550</v>
      </c>
      <c r="N1444" s="207"/>
      <c r="O1444" s="38"/>
    </row>
    <row r="1445" spans="1:15" ht="72" customHeight="1" x14ac:dyDescent="0.3">
      <c r="A1445" s="2">
        <v>1425</v>
      </c>
      <c r="B1445" s="52" t="s">
        <v>12491</v>
      </c>
      <c r="C1445" s="52" t="s">
        <v>13702</v>
      </c>
      <c r="D1445" s="88"/>
      <c r="E1445" s="157">
        <v>44.7</v>
      </c>
      <c r="F1445" s="6">
        <v>131182.74</v>
      </c>
      <c r="G1445" s="6">
        <v>43027.88</v>
      </c>
      <c r="H1445" s="207"/>
      <c r="I1445" s="207" t="s">
        <v>12545</v>
      </c>
      <c r="J1445" s="66" t="s">
        <v>12549</v>
      </c>
      <c r="K1445" s="207"/>
      <c r="L1445" s="66"/>
      <c r="M1445" s="201" t="s">
        <v>12550</v>
      </c>
      <c r="N1445" s="207"/>
      <c r="O1445" s="38"/>
    </row>
    <row r="1446" spans="1:15" ht="84" customHeight="1" x14ac:dyDescent="0.3">
      <c r="A1446" s="2">
        <v>1426</v>
      </c>
      <c r="B1446" s="52" t="s">
        <v>12492</v>
      </c>
      <c r="C1446" s="52" t="s">
        <v>13703</v>
      </c>
      <c r="D1446" s="88" t="s">
        <v>13928</v>
      </c>
      <c r="E1446" s="157">
        <v>35.1</v>
      </c>
      <c r="F1446" s="6">
        <v>144653.66</v>
      </c>
      <c r="G1446" s="6">
        <v>29337.34</v>
      </c>
      <c r="H1446" s="207"/>
      <c r="I1446" s="207" t="s">
        <v>12545</v>
      </c>
      <c r="J1446" s="66" t="s">
        <v>12549</v>
      </c>
      <c r="K1446" s="207" t="s">
        <v>15063</v>
      </c>
      <c r="L1446" s="66" t="s">
        <v>15064</v>
      </c>
      <c r="M1446" s="201" t="s">
        <v>12550</v>
      </c>
      <c r="N1446" s="207"/>
      <c r="O1446" s="38"/>
    </row>
    <row r="1447" spans="1:15" ht="72" customHeight="1" x14ac:dyDescent="0.3">
      <c r="A1447" s="2">
        <v>1427</v>
      </c>
      <c r="B1447" s="52" t="s">
        <v>12490</v>
      </c>
      <c r="C1447" s="52" t="s">
        <v>13704</v>
      </c>
      <c r="D1447" s="88" t="s">
        <v>13931</v>
      </c>
      <c r="E1447" s="157">
        <v>67.3</v>
      </c>
      <c r="F1447" s="6">
        <v>485144.4</v>
      </c>
      <c r="G1447" s="6">
        <v>67266.53</v>
      </c>
      <c r="H1447" s="25"/>
      <c r="I1447" s="207" t="s">
        <v>12545</v>
      </c>
      <c r="J1447" s="66" t="s">
        <v>12549</v>
      </c>
      <c r="K1447" s="207"/>
      <c r="L1447" s="66"/>
      <c r="M1447" s="201" t="s">
        <v>12550</v>
      </c>
      <c r="N1447" s="207"/>
      <c r="O1447" s="38"/>
    </row>
    <row r="1448" spans="1:15" ht="72" customHeight="1" x14ac:dyDescent="0.3">
      <c r="A1448" s="2">
        <v>1428</v>
      </c>
      <c r="B1448" s="52" t="s">
        <v>12490</v>
      </c>
      <c r="C1448" s="52" t="s">
        <v>13705</v>
      </c>
      <c r="D1448" s="88" t="s">
        <v>13940</v>
      </c>
      <c r="E1448" s="157">
        <v>66.5</v>
      </c>
      <c r="F1448" s="6">
        <v>323422.59999999998</v>
      </c>
      <c r="G1448" s="6">
        <v>64329.72</v>
      </c>
      <c r="H1448" s="25"/>
      <c r="I1448" s="207" t="s">
        <v>12545</v>
      </c>
      <c r="J1448" s="66" t="s">
        <v>12549</v>
      </c>
      <c r="K1448" s="207"/>
      <c r="L1448" s="66"/>
      <c r="M1448" s="201" t="s">
        <v>12550</v>
      </c>
      <c r="N1448" s="207"/>
      <c r="O1448" s="38"/>
    </row>
    <row r="1449" spans="1:15" ht="72" customHeight="1" x14ac:dyDescent="0.3">
      <c r="A1449" s="2">
        <v>1429</v>
      </c>
      <c r="B1449" s="52" t="s">
        <v>12490</v>
      </c>
      <c r="C1449" s="52" t="s">
        <v>13706</v>
      </c>
      <c r="D1449" s="88" t="s">
        <v>13949</v>
      </c>
      <c r="E1449" s="157">
        <v>66.900000000000006</v>
      </c>
      <c r="F1449" s="6">
        <v>478400.41</v>
      </c>
      <c r="G1449" s="6">
        <v>87945.43</v>
      </c>
      <c r="H1449" s="25"/>
      <c r="I1449" s="207" t="s">
        <v>12545</v>
      </c>
      <c r="J1449" s="66" t="s">
        <v>12549</v>
      </c>
      <c r="K1449" s="207"/>
      <c r="L1449" s="66"/>
      <c r="M1449" s="201" t="s">
        <v>12550</v>
      </c>
      <c r="N1449" s="207"/>
      <c r="O1449" s="38"/>
    </row>
    <row r="1450" spans="1:15" ht="72" customHeight="1" x14ac:dyDescent="0.3">
      <c r="A1450" s="2">
        <v>1430</v>
      </c>
      <c r="B1450" s="52" t="s">
        <v>12491</v>
      </c>
      <c r="C1450" s="52" t="s">
        <v>13707</v>
      </c>
      <c r="D1450" s="88" t="s">
        <v>13916</v>
      </c>
      <c r="E1450" s="207">
        <v>42.7</v>
      </c>
      <c r="F1450" s="6">
        <v>116365.66</v>
      </c>
      <c r="G1450" s="6">
        <v>43753.52</v>
      </c>
      <c r="H1450" s="25"/>
      <c r="I1450" s="207" t="s">
        <v>12545</v>
      </c>
      <c r="J1450" s="66" t="s">
        <v>12549</v>
      </c>
      <c r="K1450" s="207"/>
      <c r="L1450" s="66"/>
      <c r="M1450" s="201" t="s">
        <v>12550</v>
      </c>
      <c r="N1450" s="207"/>
      <c r="O1450" s="38"/>
    </row>
    <row r="1451" spans="1:15" ht="72" customHeight="1" x14ac:dyDescent="0.3">
      <c r="A1451" s="2">
        <v>1431</v>
      </c>
      <c r="B1451" s="52" t="s">
        <v>12491</v>
      </c>
      <c r="C1451" s="52" t="s">
        <v>13708</v>
      </c>
      <c r="D1451" s="88" t="s">
        <v>13917</v>
      </c>
      <c r="E1451" s="207">
        <v>45.4</v>
      </c>
      <c r="F1451" s="6">
        <v>123723.68</v>
      </c>
      <c r="G1451" s="6">
        <v>46520.13</v>
      </c>
      <c r="H1451" s="25"/>
      <c r="I1451" s="207" t="s">
        <v>12545</v>
      </c>
      <c r="J1451" s="66" t="s">
        <v>12549</v>
      </c>
      <c r="K1451" s="207"/>
      <c r="L1451" s="66"/>
      <c r="M1451" s="201" t="s">
        <v>12550</v>
      </c>
      <c r="N1451" s="207"/>
      <c r="O1451" s="38"/>
    </row>
    <row r="1452" spans="1:15" ht="72" customHeight="1" x14ac:dyDescent="0.3">
      <c r="A1452" s="2">
        <v>1432</v>
      </c>
      <c r="B1452" s="52" t="s">
        <v>12491</v>
      </c>
      <c r="C1452" s="52" t="s">
        <v>13709</v>
      </c>
      <c r="D1452" s="88" t="s">
        <v>13918</v>
      </c>
      <c r="E1452" s="207">
        <v>40.6</v>
      </c>
      <c r="F1452" s="6">
        <v>110642.76</v>
      </c>
      <c r="G1452" s="6">
        <v>41601.699999999997</v>
      </c>
      <c r="H1452" s="25"/>
      <c r="I1452" s="207" t="s">
        <v>12545</v>
      </c>
      <c r="J1452" s="66" t="s">
        <v>12549</v>
      </c>
      <c r="K1452" s="207"/>
      <c r="L1452" s="66"/>
      <c r="M1452" s="201" t="s">
        <v>12550</v>
      </c>
      <c r="N1452" s="207"/>
      <c r="O1452" s="38"/>
    </row>
    <row r="1453" spans="1:15" ht="72" customHeight="1" x14ac:dyDescent="0.3">
      <c r="A1453" s="2">
        <v>1433</v>
      </c>
      <c r="B1453" s="57" t="s">
        <v>12492</v>
      </c>
      <c r="C1453" s="52" t="s">
        <v>13710</v>
      </c>
      <c r="D1453" s="88" t="s">
        <v>13920</v>
      </c>
      <c r="E1453" s="242">
        <v>33.6</v>
      </c>
      <c r="F1453" s="6">
        <v>103478.22</v>
      </c>
      <c r="G1453" s="6">
        <v>44702.62</v>
      </c>
      <c r="H1453" s="25"/>
      <c r="I1453" s="207" t="s">
        <v>12545</v>
      </c>
      <c r="J1453" s="66" t="s">
        <v>12549</v>
      </c>
      <c r="K1453" s="207"/>
      <c r="L1453" s="66"/>
      <c r="M1453" s="201" t="s">
        <v>12550</v>
      </c>
      <c r="N1453" s="207"/>
      <c r="O1453" s="38"/>
    </row>
    <row r="1454" spans="1:15" ht="72" customHeight="1" x14ac:dyDescent="0.3">
      <c r="A1454" s="242">
        <v>1434</v>
      </c>
      <c r="B1454" s="57" t="s">
        <v>12492</v>
      </c>
      <c r="C1454" s="52" t="s">
        <v>13711</v>
      </c>
      <c r="D1454" s="88" t="s">
        <v>13923</v>
      </c>
      <c r="E1454" s="242">
        <v>35.200000000000003</v>
      </c>
      <c r="F1454" s="6">
        <v>108405.75999999999</v>
      </c>
      <c r="G1454" s="6">
        <v>46831.32</v>
      </c>
      <c r="H1454" s="25"/>
      <c r="I1454" s="207" t="s">
        <v>12545</v>
      </c>
      <c r="J1454" s="66" t="s">
        <v>12549</v>
      </c>
      <c r="K1454" s="207"/>
      <c r="L1454" s="66"/>
      <c r="M1454" s="201" t="s">
        <v>12550</v>
      </c>
      <c r="N1454" s="207"/>
      <c r="O1454" s="38"/>
    </row>
    <row r="1455" spans="1:15" ht="72" customHeight="1" x14ac:dyDescent="0.3">
      <c r="A1455" s="242">
        <v>1435</v>
      </c>
      <c r="B1455" s="57" t="s">
        <v>12491</v>
      </c>
      <c r="C1455" s="52" t="s">
        <v>13712</v>
      </c>
      <c r="D1455" s="88" t="s">
        <v>13921</v>
      </c>
      <c r="E1455" s="242">
        <v>42.7</v>
      </c>
      <c r="F1455" s="6">
        <v>131503.57999999999</v>
      </c>
      <c r="G1455" s="6">
        <v>56809.58</v>
      </c>
      <c r="H1455" s="25"/>
      <c r="I1455" s="207" t="s">
        <v>12545</v>
      </c>
      <c r="J1455" s="66" t="s">
        <v>12549</v>
      </c>
      <c r="K1455" s="207"/>
      <c r="L1455" s="66"/>
      <c r="M1455" s="201" t="s">
        <v>12550</v>
      </c>
      <c r="N1455" s="207"/>
      <c r="O1455" s="38"/>
    </row>
    <row r="1456" spans="1:15" ht="72" customHeight="1" x14ac:dyDescent="0.3">
      <c r="A1456" s="242">
        <v>1436</v>
      </c>
      <c r="B1456" s="57" t="s">
        <v>12491</v>
      </c>
      <c r="C1456" s="52" t="s">
        <v>13713</v>
      </c>
      <c r="D1456" s="88" t="s">
        <v>13922</v>
      </c>
      <c r="E1456" s="242">
        <v>40.4</v>
      </c>
      <c r="F1456" s="6">
        <v>103478.22</v>
      </c>
      <c r="G1456" s="6">
        <v>44702.62</v>
      </c>
      <c r="H1456" s="25"/>
      <c r="I1456" s="207" t="s">
        <v>12545</v>
      </c>
      <c r="J1456" s="245" t="s">
        <v>12549</v>
      </c>
      <c r="K1456" s="207"/>
      <c r="L1456" s="66"/>
      <c r="M1456" s="201" t="s">
        <v>12550</v>
      </c>
      <c r="N1456" s="207"/>
      <c r="O1456" s="38"/>
    </row>
    <row r="1457" spans="1:15" ht="108" customHeight="1" x14ac:dyDescent="0.3">
      <c r="A1457" s="242">
        <v>1437</v>
      </c>
      <c r="B1457" s="52" t="s">
        <v>12491</v>
      </c>
      <c r="C1457" s="52" t="s">
        <v>13714</v>
      </c>
      <c r="D1457" s="88" t="s">
        <v>13925</v>
      </c>
      <c r="E1457" s="157">
        <v>62.4</v>
      </c>
      <c r="F1457" s="6">
        <v>75950.720000000001</v>
      </c>
      <c r="G1457" s="6">
        <v>32810.800000000003</v>
      </c>
      <c r="H1457" s="207"/>
      <c r="I1457" s="207" t="s">
        <v>12545</v>
      </c>
      <c r="J1457" s="66" t="s">
        <v>12549</v>
      </c>
      <c r="K1457" s="26">
        <v>42653</v>
      </c>
      <c r="L1457" s="66" t="s">
        <v>19494</v>
      </c>
      <c r="M1457" s="201" t="s">
        <v>12550</v>
      </c>
      <c r="N1457" s="207"/>
      <c r="O1457" s="38" t="s">
        <v>20460</v>
      </c>
    </row>
    <row r="1458" spans="1:15" ht="72" customHeight="1" x14ac:dyDescent="0.3">
      <c r="A1458" s="242">
        <v>1438</v>
      </c>
      <c r="B1458" s="52" t="s">
        <v>12490</v>
      </c>
      <c r="C1458" s="52" t="s">
        <v>13715</v>
      </c>
      <c r="D1458" s="88" t="s">
        <v>13926</v>
      </c>
      <c r="E1458" s="157">
        <v>64</v>
      </c>
      <c r="F1458" s="6">
        <v>100537.33</v>
      </c>
      <c r="G1458" s="6">
        <v>43432.25</v>
      </c>
      <c r="H1458" s="207"/>
      <c r="I1458" s="207" t="s">
        <v>12545</v>
      </c>
      <c r="J1458" s="66" t="s">
        <v>12549</v>
      </c>
      <c r="K1458" s="26">
        <v>42668</v>
      </c>
      <c r="L1458" s="66" t="s">
        <v>20013</v>
      </c>
      <c r="M1458" s="201" t="s">
        <v>12550</v>
      </c>
      <c r="N1458" s="207"/>
      <c r="O1458" s="38" t="s">
        <v>19871</v>
      </c>
    </row>
    <row r="1459" spans="1:15" ht="72" customHeight="1" x14ac:dyDescent="0.3">
      <c r="A1459" s="242">
        <v>1439</v>
      </c>
      <c r="B1459" s="52" t="s">
        <v>12490</v>
      </c>
      <c r="C1459" s="52" t="s">
        <v>13716</v>
      </c>
      <c r="D1459" s="88" t="s">
        <v>13927</v>
      </c>
      <c r="E1459" s="157">
        <v>61</v>
      </c>
      <c r="F1459" s="6">
        <v>179018.95</v>
      </c>
      <c r="G1459" s="6">
        <v>58718.13</v>
      </c>
      <c r="H1459" s="25"/>
      <c r="I1459" s="207" t="s">
        <v>12545</v>
      </c>
      <c r="J1459" s="66" t="s">
        <v>12549</v>
      </c>
      <c r="K1459" s="207"/>
      <c r="L1459" s="66"/>
      <c r="M1459" s="201" t="s">
        <v>12550</v>
      </c>
      <c r="N1459" s="207"/>
      <c r="O1459" s="38"/>
    </row>
    <row r="1460" spans="1:15" ht="72" customHeight="1" x14ac:dyDescent="0.3">
      <c r="A1460" s="242">
        <v>1440</v>
      </c>
      <c r="B1460" s="52" t="s">
        <v>12493</v>
      </c>
      <c r="C1460" s="52" t="s">
        <v>13717</v>
      </c>
      <c r="D1460" s="88" t="s">
        <v>13929</v>
      </c>
      <c r="E1460" s="157">
        <v>56</v>
      </c>
      <c r="F1460" s="6">
        <v>230786.47</v>
      </c>
      <c r="G1460" s="6">
        <v>46806.01</v>
      </c>
      <c r="H1460" s="25"/>
      <c r="I1460" s="207" t="s">
        <v>12545</v>
      </c>
      <c r="J1460" s="66" t="s">
        <v>12549</v>
      </c>
      <c r="K1460" s="207"/>
      <c r="L1460" s="66"/>
      <c r="M1460" s="201" t="s">
        <v>12550</v>
      </c>
      <c r="N1460" s="207"/>
      <c r="O1460" s="38"/>
    </row>
    <row r="1461" spans="1:15" ht="72" customHeight="1" x14ac:dyDescent="0.3">
      <c r="A1461" s="242">
        <v>1441</v>
      </c>
      <c r="B1461" s="52" t="s">
        <v>12493</v>
      </c>
      <c r="C1461" s="52" t="s">
        <v>13718</v>
      </c>
      <c r="D1461" s="88" t="s">
        <v>13930</v>
      </c>
      <c r="E1461" s="157">
        <v>54.8</v>
      </c>
      <c r="F1461" s="6">
        <v>225841.05</v>
      </c>
      <c r="G1461" s="6">
        <v>45803.03</v>
      </c>
      <c r="H1461" s="25"/>
      <c r="I1461" s="207" t="s">
        <v>12545</v>
      </c>
      <c r="J1461" s="66" t="s">
        <v>12549</v>
      </c>
      <c r="K1461" s="207"/>
      <c r="L1461" s="66"/>
      <c r="M1461" s="201" t="s">
        <v>12550</v>
      </c>
      <c r="N1461" s="207"/>
      <c r="O1461" s="38"/>
    </row>
    <row r="1462" spans="1:15" ht="72" customHeight="1" x14ac:dyDescent="0.3">
      <c r="A1462" s="242">
        <v>1442</v>
      </c>
      <c r="B1462" s="52" t="s">
        <v>12490</v>
      </c>
      <c r="C1462" s="52" t="s">
        <v>13719</v>
      </c>
      <c r="D1462" s="88" t="s">
        <v>13932</v>
      </c>
      <c r="E1462" s="157">
        <v>67.099999999999994</v>
      </c>
      <c r="F1462" s="6">
        <v>485144.4</v>
      </c>
      <c r="G1462" s="6">
        <v>67266.53</v>
      </c>
      <c r="H1462" s="25"/>
      <c r="I1462" s="207" t="s">
        <v>12545</v>
      </c>
      <c r="J1462" s="66" t="s">
        <v>12549</v>
      </c>
      <c r="K1462" s="207"/>
      <c r="L1462" s="66"/>
      <c r="M1462" s="201" t="s">
        <v>12550</v>
      </c>
      <c r="N1462" s="207"/>
      <c r="O1462" s="38"/>
    </row>
    <row r="1463" spans="1:15" ht="72" customHeight="1" x14ac:dyDescent="0.3">
      <c r="A1463" s="242">
        <v>1443</v>
      </c>
      <c r="B1463" s="52" t="s">
        <v>12491</v>
      </c>
      <c r="C1463" s="52" t="s">
        <v>13720</v>
      </c>
      <c r="D1463" s="88" t="s">
        <v>13933</v>
      </c>
      <c r="E1463" s="157">
        <v>52.4</v>
      </c>
      <c r="F1463" s="6">
        <v>372175.06</v>
      </c>
      <c r="G1463" s="6">
        <v>51603.040000000001</v>
      </c>
      <c r="H1463" s="25"/>
      <c r="I1463" s="207" t="s">
        <v>12545</v>
      </c>
      <c r="J1463" s="66" t="s">
        <v>12549</v>
      </c>
      <c r="K1463" s="207"/>
      <c r="L1463" s="66"/>
      <c r="M1463" s="201" t="s">
        <v>12550</v>
      </c>
      <c r="N1463" s="207"/>
      <c r="O1463" s="38"/>
    </row>
    <row r="1464" spans="1:15" ht="72" customHeight="1" x14ac:dyDescent="0.3">
      <c r="A1464" s="242">
        <v>1444</v>
      </c>
      <c r="B1464" s="52" t="s">
        <v>12491</v>
      </c>
      <c r="C1464" s="52" t="s">
        <v>13721</v>
      </c>
      <c r="D1464" s="88" t="s">
        <v>13934</v>
      </c>
      <c r="E1464" s="157">
        <v>53.2</v>
      </c>
      <c r="F1464" s="6">
        <v>378412.64</v>
      </c>
      <c r="G1464" s="6">
        <v>52467.89</v>
      </c>
      <c r="H1464" s="25"/>
      <c r="I1464" s="207" t="s">
        <v>12545</v>
      </c>
      <c r="J1464" s="66" t="s">
        <v>12549</v>
      </c>
      <c r="K1464" s="207"/>
      <c r="L1464" s="66"/>
      <c r="M1464" s="201" t="s">
        <v>12550</v>
      </c>
      <c r="N1464" s="207"/>
      <c r="O1464" s="38"/>
    </row>
    <row r="1465" spans="1:15" ht="72" customHeight="1" x14ac:dyDescent="0.3">
      <c r="A1465" s="242">
        <v>1445</v>
      </c>
      <c r="B1465" s="52" t="s">
        <v>12491</v>
      </c>
      <c r="C1465" s="52" t="s">
        <v>13722</v>
      </c>
      <c r="D1465" s="88" t="s">
        <v>13935</v>
      </c>
      <c r="E1465" s="157">
        <v>53.2</v>
      </c>
      <c r="F1465" s="6">
        <v>377719.57</v>
      </c>
      <c r="G1465" s="6">
        <v>52371.8</v>
      </c>
      <c r="H1465" s="25"/>
      <c r="I1465" s="207" t="s">
        <v>12545</v>
      </c>
      <c r="J1465" s="66" t="s">
        <v>12549</v>
      </c>
      <c r="K1465" s="207"/>
      <c r="L1465" s="66"/>
      <c r="M1465" s="201" t="s">
        <v>12550</v>
      </c>
      <c r="N1465" s="207"/>
      <c r="O1465" s="38"/>
    </row>
    <row r="1466" spans="1:15" ht="72" customHeight="1" x14ac:dyDescent="0.3">
      <c r="A1466" s="242">
        <v>1446</v>
      </c>
      <c r="B1466" s="52" t="s">
        <v>12490</v>
      </c>
      <c r="C1466" s="52" t="s">
        <v>13723</v>
      </c>
      <c r="D1466" s="88" t="s">
        <v>13936</v>
      </c>
      <c r="E1466" s="157">
        <v>67.400000000000006</v>
      </c>
      <c r="F1466" s="6">
        <v>476827.64</v>
      </c>
      <c r="G1466" s="6">
        <v>66113.39</v>
      </c>
      <c r="H1466" s="25"/>
      <c r="I1466" s="207" t="s">
        <v>12545</v>
      </c>
      <c r="J1466" s="66" t="s">
        <v>12549</v>
      </c>
      <c r="K1466" s="207"/>
      <c r="L1466" s="66"/>
      <c r="M1466" s="201" t="s">
        <v>12550</v>
      </c>
      <c r="N1466" s="207"/>
      <c r="O1466" s="38"/>
    </row>
    <row r="1467" spans="1:15" ht="72" customHeight="1" x14ac:dyDescent="0.3">
      <c r="A1467" s="242">
        <v>1447</v>
      </c>
      <c r="B1467" s="52" t="s">
        <v>12491</v>
      </c>
      <c r="C1467" s="52" t="s">
        <v>13724</v>
      </c>
      <c r="D1467" s="88" t="s">
        <v>13937</v>
      </c>
      <c r="E1467" s="157">
        <v>54</v>
      </c>
      <c r="F1467" s="6">
        <v>383957.14</v>
      </c>
      <c r="G1467" s="6">
        <v>53236.65</v>
      </c>
      <c r="H1467" s="25"/>
      <c r="I1467" s="207" t="s">
        <v>12545</v>
      </c>
      <c r="J1467" s="245" t="s">
        <v>12549</v>
      </c>
      <c r="K1467" s="207"/>
      <c r="L1467" s="66"/>
      <c r="M1467" s="201" t="s">
        <v>12550</v>
      </c>
      <c r="N1467" s="207"/>
      <c r="O1467" s="38"/>
    </row>
    <row r="1468" spans="1:15" ht="72" customHeight="1" x14ac:dyDescent="0.3">
      <c r="A1468" s="2">
        <v>1448</v>
      </c>
      <c r="B1468" s="52" t="s">
        <v>12491</v>
      </c>
      <c r="C1468" s="52" t="s">
        <v>13725</v>
      </c>
      <c r="D1468" s="88" t="s">
        <v>13938</v>
      </c>
      <c r="E1468" s="157">
        <v>54</v>
      </c>
      <c r="F1468" s="6">
        <v>383957.14</v>
      </c>
      <c r="G1468" s="6">
        <v>53236.65</v>
      </c>
      <c r="H1468" s="25"/>
      <c r="I1468" s="207" t="s">
        <v>12545</v>
      </c>
      <c r="J1468" s="245" t="s">
        <v>12549</v>
      </c>
      <c r="K1468" s="207"/>
      <c r="L1468" s="245"/>
      <c r="M1468" s="201" t="s">
        <v>12550</v>
      </c>
      <c r="N1468" s="207"/>
      <c r="O1468" s="38"/>
    </row>
    <row r="1469" spans="1:15" ht="72" customHeight="1" x14ac:dyDescent="0.3">
      <c r="A1469" s="242">
        <v>1449</v>
      </c>
      <c r="B1469" s="52" t="s">
        <v>12492</v>
      </c>
      <c r="C1469" s="52" t="s">
        <v>13726</v>
      </c>
      <c r="D1469" s="88" t="s">
        <v>13939</v>
      </c>
      <c r="E1469" s="157">
        <v>33.700000000000003</v>
      </c>
      <c r="F1469" s="6">
        <v>245344.46</v>
      </c>
      <c r="G1469" s="6">
        <v>34017.65</v>
      </c>
      <c r="H1469" s="25"/>
      <c r="I1469" s="207" t="s">
        <v>12545</v>
      </c>
      <c r="J1469" s="66" t="s">
        <v>12549</v>
      </c>
      <c r="K1469" s="207"/>
      <c r="L1469" s="66"/>
      <c r="M1469" s="201" t="s">
        <v>12550</v>
      </c>
      <c r="N1469" s="207"/>
      <c r="O1469" s="38"/>
    </row>
    <row r="1470" spans="1:15" ht="72" customHeight="1" x14ac:dyDescent="0.3">
      <c r="A1470" s="2">
        <v>1450</v>
      </c>
      <c r="B1470" s="52" t="s">
        <v>12491</v>
      </c>
      <c r="C1470" s="52" t="s">
        <v>13727</v>
      </c>
      <c r="D1470" s="88" t="s">
        <v>13941</v>
      </c>
      <c r="E1470" s="157">
        <v>53.2</v>
      </c>
      <c r="F1470" s="6">
        <v>254916.66</v>
      </c>
      <c r="G1470" s="6">
        <v>50703.69</v>
      </c>
      <c r="H1470" s="25"/>
      <c r="I1470" s="207" t="s">
        <v>12545</v>
      </c>
      <c r="J1470" s="245" t="s">
        <v>12549</v>
      </c>
      <c r="K1470" s="207"/>
      <c r="L1470" s="66"/>
      <c r="M1470" s="201" t="s">
        <v>12550</v>
      </c>
      <c r="N1470" s="207"/>
      <c r="O1470" s="38"/>
    </row>
    <row r="1471" spans="1:15" ht="132" customHeight="1" x14ac:dyDescent="0.3">
      <c r="A1471" s="2">
        <v>1451</v>
      </c>
      <c r="B1471" s="52" t="s">
        <v>12491</v>
      </c>
      <c r="C1471" s="52" t="s">
        <v>13728</v>
      </c>
      <c r="D1471" s="88" t="s">
        <v>13942</v>
      </c>
      <c r="E1471" s="157">
        <v>47.7</v>
      </c>
      <c r="F1471" s="6">
        <v>229285.19</v>
      </c>
      <c r="G1471" s="6">
        <v>45605.51</v>
      </c>
      <c r="H1471" s="207"/>
      <c r="I1471" s="207" t="s">
        <v>12545</v>
      </c>
      <c r="J1471" s="66" t="s">
        <v>12549</v>
      </c>
      <c r="K1471" s="26">
        <v>43026</v>
      </c>
      <c r="L1471" s="66" t="s">
        <v>19360</v>
      </c>
      <c r="M1471" s="201" t="s">
        <v>12550</v>
      </c>
      <c r="N1471" s="207"/>
      <c r="O1471" s="38"/>
    </row>
    <row r="1472" spans="1:15" ht="72" customHeight="1" x14ac:dyDescent="0.3">
      <c r="A1472" s="2">
        <v>1452</v>
      </c>
      <c r="B1472" s="52" t="s">
        <v>12491</v>
      </c>
      <c r="C1472" s="52" t="s">
        <v>13729</v>
      </c>
      <c r="D1472" s="88" t="s">
        <v>13943</v>
      </c>
      <c r="E1472" s="157">
        <v>53.1</v>
      </c>
      <c r="F1472" s="6">
        <v>254450.63</v>
      </c>
      <c r="G1472" s="6">
        <v>50610.99</v>
      </c>
      <c r="H1472" s="25"/>
      <c r="I1472" s="207" t="s">
        <v>12545</v>
      </c>
      <c r="J1472" s="66" t="s">
        <v>12549</v>
      </c>
      <c r="K1472" s="207"/>
      <c r="L1472" s="66"/>
      <c r="M1472" s="201" t="s">
        <v>12550</v>
      </c>
      <c r="N1472" s="207"/>
      <c r="O1472" s="38"/>
    </row>
    <row r="1473" spans="1:15" ht="72" customHeight="1" x14ac:dyDescent="0.3">
      <c r="A1473" s="2">
        <v>1453</v>
      </c>
      <c r="B1473" s="52" t="s">
        <v>12491</v>
      </c>
      <c r="C1473" s="52" t="s">
        <v>13730</v>
      </c>
      <c r="D1473" s="88" t="s">
        <v>13944</v>
      </c>
      <c r="E1473" s="157">
        <v>53</v>
      </c>
      <c r="F1473" s="6">
        <v>253984.61</v>
      </c>
      <c r="G1473" s="6">
        <v>50518.3</v>
      </c>
      <c r="H1473" s="25"/>
      <c r="I1473" s="207" t="s">
        <v>12545</v>
      </c>
      <c r="J1473" s="66" t="s">
        <v>12549</v>
      </c>
      <c r="K1473" s="207"/>
      <c r="L1473" s="66"/>
      <c r="M1473" s="201" t="s">
        <v>12550</v>
      </c>
      <c r="N1473" s="207"/>
      <c r="O1473" s="38"/>
    </row>
    <row r="1474" spans="1:15" ht="72" customHeight="1" x14ac:dyDescent="0.3">
      <c r="A1474" s="2">
        <v>1454</v>
      </c>
      <c r="B1474" s="52" t="s">
        <v>12491</v>
      </c>
      <c r="C1474" s="52" t="s">
        <v>13731</v>
      </c>
      <c r="D1474" s="88" t="s">
        <v>13945</v>
      </c>
      <c r="E1474" s="157">
        <v>53</v>
      </c>
      <c r="F1474" s="6">
        <v>260508.98</v>
      </c>
      <c r="G1474" s="6">
        <v>51816.02</v>
      </c>
      <c r="H1474" s="25"/>
      <c r="I1474" s="207" t="s">
        <v>12545</v>
      </c>
      <c r="J1474" s="245" t="s">
        <v>12549</v>
      </c>
      <c r="K1474" s="207"/>
      <c r="L1474" s="66"/>
      <c r="M1474" s="201" t="s">
        <v>12550</v>
      </c>
      <c r="N1474" s="207"/>
      <c r="O1474" s="38"/>
    </row>
    <row r="1475" spans="1:15" ht="72" customHeight="1" x14ac:dyDescent="0.3">
      <c r="A1475" s="242">
        <v>1455</v>
      </c>
      <c r="B1475" s="52" t="s">
        <v>12490</v>
      </c>
      <c r="C1475" s="52" t="s">
        <v>13732</v>
      </c>
      <c r="D1475" s="88" t="s">
        <v>13946</v>
      </c>
      <c r="E1475" s="157">
        <v>67.400000000000006</v>
      </c>
      <c r="F1475" s="6">
        <v>321092.46999999997</v>
      </c>
      <c r="G1475" s="6">
        <v>63866.25</v>
      </c>
      <c r="H1475" s="25"/>
      <c r="I1475" s="207" t="s">
        <v>12545</v>
      </c>
      <c r="J1475" s="66" t="s">
        <v>12549</v>
      </c>
      <c r="K1475" s="207"/>
      <c r="L1475" s="66"/>
      <c r="M1475" s="201" t="s">
        <v>12550</v>
      </c>
      <c r="N1475" s="207"/>
      <c r="O1475" s="38"/>
    </row>
    <row r="1476" spans="1:15" ht="72" customHeight="1" x14ac:dyDescent="0.3">
      <c r="A1476" s="2">
        <v>1456</v>
      </c>
      <c r="B1476" s="52" t="s">
        <v>12491</v>
      </c>
      <c r="C1476" s="52" t="s">
        <v>13733</v>
      </c>
      <c r="D1476" s="88" t="s">
        <v>13947</v>
      </c>
      <c r="E1476" s="157">
        <v>52.8</v>
      </c>
      <c r="F1476" s="6">
        <v>253052.56</v>
      </c>
      <c r="G1476" s="6">
        <v>50332.91</v>
      </c>
      <c r="H1476" s="25"/>
      <c r="I1476" s="207" t="s">
        <v>12545</v>
      </c>
      <c r="J1476" s="245" t="s">
        <v>12549</v>
      </c>
      <c r="K1476" s="207"/>
      <c r="L1476" s="66"/>
      <c r="M1476" s="201" t="s">
        <v>12550</v>
      </c>
      <c r="N1476" s="207"/>
      <c r="O1476" s="38"/>
    </row>
    <row r="1477" spans="1:15" ht="72" customHeight="1" x14ac:dyDescent="0.3">
      <c r="A1477" s="242">
        <v>1457</v>
      </c>
      <c r="B1477" s="52" t="s">
        <v>12491</v>
      </c>
      <c r="C1477" s="52" t="s">
        <v>13734</v>
      </c>
      <c r="D1477" s="88" t="s">
        <v>13948</v>
      </c>
      <c r="E1477" s="157">
        <v>53.7</v>
      </c>
      <c r="F1477" s="6">
        <v>256780.77</v>
      </c>
      <c r="G1477" s="6">
        <v>51074.46</v>
      </c>
      <c r="H1477" s="25"/>
      <c r="I1477" s="207" t="s">
        <v>12545</v>
      </c>
      <c r="J1477" s="66" t="s">
        <v>12549</v>
      </c>
      <c r="K1477" s="207"/>
      <c r="L1477" s="66"/>
      <c r="M1477" s="201" t="s">
        <v>12550</v>
      </c>
      <c r="N1477" s="207"/>
      <c r="O1477" s="38"/>
    </row>
    <row r="1478" spans="1:15" ht="84" customHeight="1" x14ac:dyDescent="0.3">
      <c r="A1478" s="242">
        <v>1458</v>
      </c>
      <c r="B1478" s="52" t="s">
        <v>12490</v>
      </c>
      <c r="C1478" s="52" t="s">
        <v>13735</v>
      </c>
      <c r="D1478" s="88" t="s">
        <v>13950</v>
      </c>
      <c r="E1478" s="157">
        <v>67.2</v>
      </c>
      <c r="F1478" s="6">
        <v>489623.88</v>
      </c>
      <c r="G1478" s="6">
        <v>90008.67</v>
      </c>
      <c r="H1478" s="207"/>
      <c r="I1478" s="207" t="s">
        <v>12545</v>
      </c>
      <c r="J1478" s="245" t="s">
        <v>12549</v>
      </c>
      <c r="K1478" s="26">
        <v>42684</v>
      </c>
      <c r="L1478" s="66" t="s">
        <v>16399</v>
      </c>
      <c r="M1478" s="201" t="s">
        <v>12550</v>
      </c>
      <c r="N1478" s="207"/>
      <c r="O1478" s="38"/>
    </row>
    <row r="1479" spans="1:15" ht="72" customHeight="1" x14ac:dyDescent="0.3">
      <c r="A1479" s="242">
        <v>1459</v>
      </c>
      <c r="B1479" s="52" t="s">
        <v>12490</v>
      </c>
      <c r="C1479" s="52" t="s">
        <v>13736</v>
      </c>
      <c r="D1479" s="88" t="s">
        <v>13951</v>
      </c>
      <c r="E1479" s="157">
        <v>67</v>
      </c>
      <c r="F1479" s="6">
        <v>488220.95</v>
      </c>
      <c r="G1479" s="6">
        <v>89750.76</v>
      </c>
      <c r="H1479" s="25"/>
      <c r="I1479" s="207" t="s">
        <v>12545</v>
      </c>
      <c r="J1479" s="66" t="s">
        <v>12549</v>
      </c>
      <c r="K1479" s="207"/>
      <c r="L1479" s="66"/>
      <c r="M1479" s="201" t="s">
        <v>12550</v>
      </c>
      <c r="N1479" s="207"/>
      <c r="O1479" s="38"/>
    </row>
    <row r="1480" spans="1:15" ht="72" customHeight="1" x14ac:dyDescent="0.3">
      <c r="A1480" s="242">
        <v>1460</v>
      </c>
      <c r="B1480" s="52" t="s">
        <v>12491</v>
      </c>
      <c r="C1480" s="52" t="s">
        <v>13737</v>
      </c>
      <c r="D1480" s="88" t="s">
        <v>13952</v>
      </c>
      <c r="E1480" s="157">
        <v>47.3</v>
      </c>
      <c r="F1480" s="6">
        <v>342315.85</v>
      </c>
      <c r="G1480" s="6">
        <v>62928.7</v>
      </c>
      <c r="H1480" s="25"/>
      <c r="I1480" s="207" t="s">
        <v>12545</v>
      </c>
      <c r="J1480" s="66" t="s">
        <v>12549</v>
      </c>
      <c r="K1480" s="207"/>
      <c r="L1480" s="66"/>
      <c r="M1480" s="201" t="s">
        <v>12550</v>
      </c>
      <c r="N1480" s="207"/>
      <c r="O1480" s="38"/>
    </row>
    <row r="1481" spans="1:15" ht="72" customHeight="1" x14ac:dyDescent="0.3">
      <c r="A1481" s="242">
        <v>1461</v>
      </c>
      <c r="B1481" s="52" t="s">
        <v>12491</v>
      </c>
      <c r="C1481" s="52" t="s">
        <v>13738</v>
      </c>
      <c r="D1481" s="88" t="s">
        <v>13953</v>
      </c>
      <c r="E1481" s="157">
        <v>53.9</v>
      </c>
      <c r="F1481" s="6">
        <v>387209.72</v>
      </c>
      <c r="G1481" s="6">
        <v>71181.64</v>
      </c>
      <c r="H1481" s="25"/>
      <c r="I1481" s="207" t="s">
        <v>12545</v>
      </c>
      <c r="J1481" s="66" t="s">
        <v>12549</v>
      </c>
      <c r="K1481" s="207"/>
      <c r="L1481" s="66"/>
      <c r="M1481" s="201" t="s">
        <v>12550</v>
      </c>
      <c r="N1481" s="207"/>
      <c r="O1481" s="38"/>
    </row>
    <row r="1482" spans="1:15" ht="72" customHeight="1" x14ac:dyDescent="0.3">
      <c r="A1482" s="2">
        <v>1462</v>
      </c>
      <c r="B1482" s="52" t="s">
        <v>12491</v>
      </c>
      <c r="C1482" s="52" t="s">
        <v>13739</v>
      </c>
      <c r="D1482" s="88" t="s">
        <v>13954</v>
      </c>
      <c r="E1482" s="157">
        <v>53.3</v>
      </c>
      <c r="F1482" s="6">
        <v>383000.92</v>
      </c>
      <c r="G1482" s="6">
        <v>70407.94</v>
      </c>
      <c r="H1482" s="25"/>
      <c r="I1482" s="207" t="s">
        <v>12545</v>
      </c>
      <c r="J1482" s="66" t="s">
        <v>12549</v>
      </c>
      <c r="K1482" s="207"/>
      <c r="L1482" s="66"/>
      <c r="M1482" s="201" t="s">
        <v>12550</v>
      </c>
      <c r="N1482" s="207"/>
      <c r="O1482" s="38"/>
    </row>
    <row r="1483" spans="1:15" ht="72" customHeight="1" x14ac:dyDescent="0.3">
      <c r="A1483" s="242">
        <v>1463</v>
      </c>
      <c r="B1483" s="52" t="s">
        <v>12492</v>
      </c>
      <c r="C1483" s="52" t="s">
        <v>13740</v>
      </c>
      <c r="D1483" s="88" t="s">
        <v>13955</v>
      </c>
      <c r="E1483" s="157">
        <v>33.299999999999997</v>
      </c>
      <c r="F1483" s="6">
        <v>244110.47</v>
      </c>
      <c r="G1483" s="6">
        <v>44875.39</v>
      </c>
      <c r="H1483" s="25"/>
      <c r="I1483" s="207" t="s">
        <v>12545</v>
      </c>
      <c r="J1483" s="66" t="s">
        <v>12549</v>
      </c>
      <c r="K1483" s="207"/>
      <c r="L1483" s="66"/>
      <c r="M1483" s="201" t="s">
        <v>12550</v>
      </c>
      <c r="N1483" s="207"/>
      <c r="O1483" s="38"/>
    </row>
    <row r="1484" spans="1:15" ht="72" customHeight="1" x14ac:dyDescent="0.3">
      <c r="A1484" s="242">
        <v>1464</v>
      </c>
      <c r="B1484" s="52" t="s">
        <v>12490</v>
      </c>
      <c r="C1484" s="52" t="s">
        <v>13741</v>
      </c>
      <c r="D1484" s="88" t="s">
        <v>13956</v>
      </c>
      <c r="E1484" s="157">
        <v>66.900000000000006</v>
      </c>
      <c r="F1484" s="6">
        <v>631698.1</v>
      </c>
      <c r="G1484" s="6">
        <v>97827.46</v>
      </c>
      <c r="H1484" s="25"/>
      <c r="I1484" s="207" t="s">
        <v>12545</v>
      </c>
      <c r="J1484" s="245" t="s">
        <v>12549</v>
      </c>
      <c r="K1484" s="207"/>
      <c r="L1484" s="66"/>
      <c r="M1484" s="201" t="s">
        <v>12550</v>
      </c>
      <c r="N1484" s="207"/>
      <c r="O1484" s="38"/>
    </row>
    <row r="1485" spans="1:15" ht="72" customHeight="1" x14ac:dyDescent="0.3">
      <c r="A1485" s="242">
        <v>1465</v>
      </c>
      <c r="B1485" s="52" t="s">
        <v>12490</v>
      </c>
      <c r="C1485" s="52" t="s">
        <v>13742</v>
      </c>
      <c r="D1485" s="88" t="s">
        <v>13957</v>
      </c>
      <c r="E1485" s="157">
        <v>67</v>
      </c>
      <c r="F1485" s="6">
        <v>525193.25</v>
      </c>
      <c r="G1485" s="6">
        <v>85586.83</v>
      </c>
      <c r="H1485" s="25"/>
      <c r="I1485" s="207" t="s">
        <v>12545</v>
      </c>
      <c r="J1485" s="245" t="s">
        <v>12549</v>
      </c>
      <c r="K1485" s="207"/>
      <c r="L1485" s="66"/>
      <c r="M1485" s="201" t="s">
        <v>12550</v>
      </c>
      <c r="N1485" s="207"/>
      <c r="O1485" s="38"/>
    </row>
    <row r="1486" spans="1:15" ht="72" customHeight="1" x14ac:dyDescent="0.3">
      <c r="A1486" s="242">
        <v>1466</v>
      </c>
      <c r="B1486" s="52" t="s">
        <v>12490</v>
      </c>
      <c r="C1486" s="52" t="s">
        <v>13743</v>
      </c>
      <c r="D1486" s="88" t="s">
        <v>13962</v>
      </c>
      <c r="E1486" s="157">
        <v>69</v>
      </c>
      <c r="F1486" s="6">
        <v>837745.77</v>
      </c>
      <c r="G1486" s="6">
        <v>105462.43</v>
      </c>
      <c r="H1486" s="25"/>
      <c r="I1486" s="207" t="s">
        <v>12545</v>
      </c>
      <c r="J1486" s="245" t="s">
        <v>12549</v>
      </c>
      <c r="K1486" s="207"/>
      <c r="L1486" s="66"/>
      <c r="M1486" s="201" t="s">
        <v>12550</v>
      </c>
      <c r="N1486" s="207"/>
      <c r="O1486" s="38"/>
    </row>
    <row r="1487" spans="1:15" ht="72" customHeight="1" x14ac:dyDescent="0.3">
      <c r="A1487" s="2">
        <v>1467</v>
      </c>
      <c r="B1487" s="52" t="s">
        <v>12491</v>
      </c>
      <c r="C1487" s="52" t="s">
        <v>13744</v>
      </c>
      <c r="D1487" s="88" t="s">
        <v>13958</v>
      </c>
      <c r="E1487" s="157">
        <v>53.8</v>
      </c>
      <c r="F1487" s="6">
        <v>414586.65</v>
      </c>
      <c r="G1487" s="6">
        <v>67562.09</v>
      </c>
      <c r="H1487" s="25"/>
      <c r="I1487" s="207" t="s">
        <v>12545</v>
      </c>
      <c r="J1487" s="66" t="s">
        <v>12549</v>
      </c>
      <c r="K1487" s="207"/>
      <c r="L1487" s="66"/>
      <c r="M1487" s="201" t="s">
        <v>12550</v>
      </c>
      <c r="N1487" s="207"/>
      <c r="O1487" s="38"/>
    </row>
    <row r="1488" spans="1:15" ht="120" customHeight="1" x14ac:dyDescent="0.3">
      <c r="A1488" s="2">
        <v>1468</v>
      </c>
      <c r="B1488" s="52" t="s">
        <v>12491</v>
      </c>
      <c r="C1488" s="52" t="s">
        <v>13745</v>
      </c>
      <c r="D1488" s="88" t="s">
        <v>13959</v>
      </c>
      <c r="E1488" s="157">
        <v>53.8</v>
      </c>
      <c r="F1488" s="6">
        <v>414586.65</v>
      </c>
      <c r="G1488" s="6">
        <v>67562.09</v>
      </c>
      <c r="H1488" s="207"/>
      <c r="I1488" s="207" t="s">
        <v>12545</v>
      </c>
      <c r="J1488" s="245" t="s">
        <v>12549</v>
      </c>
      <c r="K1488" s="26" t="s">
        <v>20009</v>
      </c>
      <c r="L1488" s="66" t="s">
        <v>20008</v>
      </c>
      <c r="M1488" s="201" t="s">
        <v>12550</v>
      </c>
      <c r="N1488" s="207"/>
      <c r="O1488" s="38"/>
    </row>
    <row r="1489" spans="1:15" ht="72" customHeight="1" x14ac:dyDescent="0.3">
      <c r="A1489" s="2">
        <v>1469</v>
      </c>
      <c r="B1489" s="52" t="s">
        <v>12491</v>
      </c>
      <c r="C1489" s="52" t="s">
        <v>13746</v>
      </c>
      <c r="D1489" s="88" t="s">
        <v>13960</v>
      </c>
      <c r="E1489" s="157">
        <v>47.8</v>
      </c>
      <c r="F1489" s="6">
        <v>370193.53</v>
      </c>
      <c r="G1489" s="6">
        <v>60327.68</v>
      </c>
      <c r="H1489" s="25"/>
      <c r="I1489" s="207" t="s">
        <v>12545</v>
      </c>
      <c r="J1489" s="66" t="s">
        <v>12549</v>
      </c>
      <c r="K1489" s="207"/>
      <c r="L1489" s="66"/>
      <c r="M1489" s="201" t="s">
        <v>12550</v>
      </c>
      <c r="N1489" s="207"/>
      <c r="O1489" s="38"/>
    </row>
    <row r="1490" spans="1:15" ht="72" customHeight="1" x14ac:dyDescent="0.3">
      <c r="A1490" s="2">
        <v>1470</v>
      </c>
      <c r="B1490" s="52" t="s">
        <v>12491</v>
      </c>
      <c r="C1490" s="52" t="s">
        <v>13747</v>
      </c>
      <c r="D1490" s="88" t="s">
        <v>13961</v>
      </c>
      <c r="E1490" s="157">
        <v>52.9</v>
      </c>
      <c r="F1490" s="6">
        <v>419101.21</v>
      </c>
      <c r="G1490" s="6">
        <v>68297.8</v>
      </c>
      <c r="H1490" s="25"/>
      <c r="I1490" s="207" t="s">
        <v>12545</v>
      </c>
      <c r="J1490" s="66" t="s">
        <v>12549</v>
      </c>
      <c r="K1490" s="207"/>
      <c r="L1490" s="66"/>
      <c r="M1490" s="201" t="s">
        <v>12550</v>
      </c>
      <c r="N1490" s="207"/>
      <c r="O1490" s="38"/>
    </row>
    <row r="1491" spans="1:15" ht="84" customHeight="1" x14ac:dyDescent="0.3">
      <c r="A1491" s="2">
        <v>1471</v>
      </c>
      <c r="B1491" s="52" t="s">
        <v>12491</v>
      </c>
      <c r="C1491" s="52" t="s">
        <v>13748</v>
      </c>
      <c r="D1491" s="88" t="s">
        <v>13963</v>
      </c>
      <c r="E1491" s="157">
        <v>50.3</v>
      </c>
      <c r="F1491" s="6">
        <v>628889.49</v>
      </c>
      <c r="G1491" s="6">
        <v>79169.850000000006</v>
      </c>
      <c r="H1491" s="207"/>
      <c r="I1491" s="207" t="s">
        <v>12545</v>
      </c>
      <c r="J1491" s="245" t="s">
        <v>12549</v>
      </c>
      <c r="K1491" s="207" t="s">
        <v>15055</v>
      </c>
      <c r="L1491" s="66" t="s">
        <v>15058</v>
      </c>
      <c r="M1491" s="201" t="s">
        <v>12550</v>
      </c>
      <c r="N1491" s="207"/>
      <c r="O1491" s="38"/>
    </row>
    <row r="1492" spans="1:15" ht="72" customHeight="1" x14ac:dyDescent="0.3">
      <c r="A1492" s="2">
        <v>1472</v>
      </c>
      <c r="B1492" s="52" t="s">
        <v>12490</v>
      </c>
      <c r="C1492" s="52" t="s">
        <v>13749</v>
      </c>
      <c r="D1492" s="88" t="s">
        <v>13964</v>
      </c>
      <c r="E1492" s="157">
        <v>71.2</v>
      </c>
      <c r="F1492" s="6">
        <v>858631.4</v>
      </c>
      <c r="G1492" s="6">
        <v>108091.68</v>
      </c>
      <c r="H1492" s="25"/>
      <c r="I1492" s="207" t="s">
        <v>12545</v>
      </c>
      <c r="J1492" s="245" t="s">
        <v>12549</v>
      </c>
      <c r="K1492" s="207"/>
      <c r="L1492" s="66"/>
      <c r="M1492" s="201" t="s">
        <v>12550</v>
      </c>
      <c r="N1492" s="207"/>
      <c r="O1492" s="38"/>
    </row>
    <row r="1493" spans="1:15" ht="72" customHeight="1" x14ac:dyDescent="0.3">
      <c r="A1493" s="2">
        <v>1473</v>
      </c>
      <c r="B1493" s="52" t="s">
        <v>12494</v>
      </c>
      <c r="C1493" s="52" t="s">
        <v>13750</v>
      </c>
      <c r="D1493" s="88" t="s">
        <v>13965</v>
      </c>
      <c r="E1493" s="157">
        <v>33</v>
      </c>
      <c r="F1493" s="6">
        <v>393346.01</v>
      </c>
      <c r="G1493" s="6">
        <v>49517.68</v>
      </c>
      <c r="H1493" s="25"/>
      <c r="I1493" s="207" t="s">
        <v>12545</v>
      </c>
      <c r="J1493" s="245" t="s">
        <v>12549</v>
      </c>
      <c r="K1493" s="207"/>
      <c r="L1493" s="66"/>
      <c r="M1493" s="201" t="s">
        <v>12550</v>
      </c>
      <c r="N1493" s="207"/>
      <c r="O1493" s="38"/>
    </row>
    <row r="1494" spans="1:15" ht="72" customHeight="1" x14ac:dyDescent="0.3">
      <c r="A1494" s="2">
        <v>1474</v>
      </c>
      <c r="B1494" s="52" t="s">
        <v>12490</v>
      </c>
      <c r="C1494" s="52" t="s">
        <v>13751</v>
      </c>
      <c r="D1494" s="88" t="s">
        <v>13966</v>
      </c>
      <c r="E1494" s="157">
        <v>70.900000000000006</v>
      </c>
      <c r="F1494" s="6">
        <v>855150.47</v>
      </c>
      <c r="G1494" s="6">
        <v>107653.47</v>
      </c>
      <c r="H1494" s="25"/>
      <c r="I1494" s="207" t="s">
        <v>12545</v>
      </c>
      <c r="J1494" s="245" t="s">
        <v>12549</v>
      </c>
      <c r="K1494" s="207"/>
      <c r="L1494" s="66"/>
      <c r="M1494" s="201" t="s">
        <v>12550</v>
      </c>
      <c r="N1494" s="207"/>
      <c r="O1494" s="38"/>
    </row>
    <row r="1495" spans="1:15" ht="72" customHeight="1" x14ac:dyDescent="0.3">
      <c r="A1495" s="2">
        <v>1475</v>
      </c>
      <c r="B1495" s="52" t="s">
        <v>12490</v>
      </c>
      <c r="C1495" s="52" t="s">
        <v>13752</v>
      </c>
      <c r="D1495" s="88" t="s">
        <v>13967</v>
      </c>
      <c r="E1495" s="157">
        <v>68.8</v>
      </c>
      <c r="F1495" s="6">
        <v>833104.52</v>
      </c>
      <c r="G1495" s="6">
        <v>104878.15</v>
      </c>
      <c r="H1495" s="25"/>
      <c r="I1495" s="207" t="s">
        <v>12545</v>
      </c>
      <c r="J1495" s="245" t="s">
        <v>12549</v>
      </c>
      <c r="K1495" s="207"/>
      <c r="L1495" s="66"/>
      <c r="M1495" s="201" t="s">
        <v>12550</v>
      </c>
      <c r="N1495" s="207"/>
      <c r="O1495" s="38"/>
    </row>
    <row r="1496" spans="1:15" ht="72" customHeight="1" x14ac:dyDescent="0.3">
      <c r="A1496" s="2">
        <v>1476</v>
      </c>
      <c r="B1496" s="52" t="s">
        <v>12491</v>
      </c>
      <c r="C1496" s="52" t="s">
        <v>13753</v>
      </c>
      <c r="D1496" s="88" t="s">
        <v>13968</v>
      </c>
      <c r="E1496" s="157">
        <v>56.7</v>
      </c>
      <c r="F1496" s="6">
        <v>700828.88</v>
      </c>
      <c r="G1496" s="6">
        <v>88226.18</v>
      </c>
      <c r="H1496" s="25"/>
      <c r="I1496" s="207" t="s">
        <v>12545</v>
      </c>
      <c r="J1496" s="245" t="s">
        <v>12549</v>
      </c>
      <c r="K1496" s="207"/>
      <c r="L1496" s="66"/>
      <c r="M1496" s="201" t="s">
        <v>12550</v>
      </c>
      <c r="N1496" s="207"/>
      <c r="O1496" s="38"/>
    </row>
    <row r="1497" spans="1:15" ht="72" customHeight="1" x14ac:dyDescent="0.3">
      <c r="A1497" s="2">
        <v>1477</v>
      </c>
      <c r="B1497" s="52" t="s">
        <v>12491</v>
      </c>
      <c r="C1497" s="52" t="s">
        <v>13754</v>
      </c>
      <c r="D1497" s="88" t="s">
        <v>13969</v>
      </c>
      <c r="E1497" s="157">
        <v>50.7</v>
      </c>
      <c r="F1497" s="6">
        <v>598721.35</v>
      </c>
      <c r="G1497" s="6">
        <v>75372.039999999994</v>
      </c>
      <c r="H1497" s="25"/>
      <c r="I1497" s="207" t="s">
        <v>12545</v>
      </c>
      <c r="J1497" s="245" t="s">
        <v>12549</v>
      </c>
      <c r="K1497" s="207"/>
      <c r="L1497" s="66"/>
      <c r="M1497" s="201" t="s">
        <v>12550</v>
      </c>
      <c r="N1497" s="207"/>
      <c r="O1497" s="38"/>
    </row>
    <row r="1498" spans="1:15" ht="72" customHeight="1" x14ac:dyDescent="0.3">
      <c r="A1498" s="2">
        <v>1478</v>
      </c>
      <c r="B1498" s="52" t="s">
        <v>12491</v>
      </c>
      <c r="C1498" s="52" t="s">
        <v>13755</v>
      </c>
      <c r="D1498" s="88" t="s">
        <v>13970</v>
      </c>
      <c r="E1498" s="157">
        <v>56.4</v>
      </c>
      <c r="F1498" s="6">
        <v>697347.94</v>
      </c>
      <c r="G1498" s="6">
        <v>87787.98</v>
      </c>
      <c r="H1498" s="25"/>
      <c r="I1498" s="207" t="s">
        <v>12545</v>
      </c>
      <c r="J1498" s="245" t="s">
        <v>12549</v>
      </c>
      <c r="K1498" s="207"/>
      <c r="L1498" s="66"/>
      <c r="M1498" s="201" t="s">
        <v>12550</v>
      </c>
      <c r="N1498" s="207"/>
      <c r="O1498" s="38"/>
    </row>
    <row r="1499" spans="1:15" ht="72" customHeight="1" x14ac:dyDescent="0.3">
      <c r="A1499" s="2">
        <v>1479</v>
      </c>
      <c r="B1499" s="52" t="s">
        <v>12491</v>
      </c>
      <c r="C1499" s="52" t="s">
        <v>13756</v>
      </c>
      <c r="D1499" s="88" t="s">
        <v>13906</v>
      </c>
      <c r="E1499" s="157">
        <v>40.4</v>
      </c>
      <c r="F1499" s="6">
        <v>60647.57</v>
      </c>
      <c r="G1499" s="6">
        <v>16750.91</v>
      </c>
      <c r="H1499" s="25"/>
      <c r="I1499" s="207" t="s">
        <v>12545</v>
      </c>
      <c r="J1499" s="245" t="s">
        <v>12549</v>
      </c>
      <c r="K1499" s="207"/>
      <c r="L1499" s="66"/>
      <c r="M1499" s="201" t="s">
        <v>12550</v>
      </c>
      <c r="N1499" s="207"/>
      <c r="O1499" s="38"/>
    </row>
    <row r="1500" spans="1:15" ht="72" customHeight="1" x14ac:dyDescent="0.3">
      <c r="A1500" s="2">
        <v>1480</v>
      </c>
      <c r="B1500" s="52" t="s">
        <v>12491</v>
      </c>
      <c r="C1500" s="52" t="s">
        <v>13757</v>
      </c>
      <c r="D1500" s="88" t="s">
        <v>13909</v>
      </c>
      <c r="E1500" s="157">
        <v>41.4</v>
      </c>
      <c r="F1500" s="6">
        <v>125124.28</v>
      </c>
      <c r="G1500" s="6">
        <v>33251.61</v>
      </c>
      <c r="H1500" s="25"/>
      <c r="I1500" s="207" t="s">
        <v>12545</v>
      </c>
      <c r="J1500" s="245" t="s">
        <v>12549</v>
      </c>
      <c r="K1500" s="207"/>
      <c r="L1500" s="66"/>
      <c r="M1500" s="201" t="s">
        <v>12550</v>
      </c>
      <c r="N1500" s="207"/>
      <c r="O1500" s="38"/>
    </row>
    <row r="1501" spans="1:15" ht="72" customHeight="1" x14ac:dyDescent="0.3">
      <c r="A1501" s="2">
        <v>1481</v>
      </c>
      <c r="B1501" s="52" t="s">
        <v>12491</v>
      </c>
      <c r="C1501" s="52" t="s">
        <v>13758</v>
      </c>
      <c r="D1501" s="88"/>
      <c r="E1501" s="157">
        <v>41</v>
      </c>
      <c r="F1501" s="6">
        <v>165157.75</v>
      </c>
      <c r="G1501" s="6">
        <v>125943.42</v>
      </c>
      <c r="H1501" s="207"/>
      <c r="I1501" s="207" t="s">
        <v>12545</v>
      </c>
      <c r="J1501" s="245" t="s">
        <v>12549</v>
      </c>
      <c r="K1501" s="207"/>
      <c r="L1501" s="66"/>
      <c r="M1501" s="201" t="s">
        <v>12550</v>
      </c>
      <c r="N1501" s="207"/>
      <c r="O1501" s="38"/>
    </row>
    <row r="1502" spans="1:15" ht="72" customHeight="1" x14ac:dyDescent="0.3">
      <c r="A1502" s="2">
        <v>1482</v>
      </c>
      <c r="B1502" s="52" t="s">
        <v>12491</v>
      </c>
      <c r="C1502" s="52" t="s">
        <v>13759</v>
      </c>
      <c r="D1502" s="88"/>
      <c r="E1502" s="157">
        <v>38.700000000000003</v>
      </c>
      <c r="F1502" s="6">
        <v>404604.97</v>
      </c>
      <c r="G1502" s="6">
        <v>10987.49</v>
      </c>
      <c r="H1502" s="207"/>
      <c r="I1502" s="207" t="s">
        <v>12545</v>
      </c>
      <c r="J1502" s="245" t="s">
        <v>12549</v>
      </c>
      <c r="K1502" s="207"/>
      <c r="L1502" s="66"/>
      <c r="M1502" s="201" t="s">
        <v>12550</v>
      </c>
      <c r="N1502" s="207"/>
      <c r="O1502" s="38"/>
    </row>
    <row r="1503" spans="1:15" ht="72" customHeight="1" x14ac:dyDescent="0.3">
      <c r="A1503" s="2">
        <v>1483</v>
      </c>
      <c r="B1503" s="52" t="s">
        <v>12491</v>
      </c>
      <c r="C1503" s="52" t="s">
        <v>13760</v>
      </c>
      <c r="D1503" s="88"/>
      <c r="E1503" s="157">
        <v>38.700000000000003</v>
      </c>
      <c r="F1503" s="6">
        <v>18324.509999999998</v>
      </c>
      <c r="G1503" s="6">
        <v>18324.509999999998</v>
      </c>
      <c r="H1503" s="207"/>
      <c r="I1503" s="207" t="s">
        <v>12545</v>
      </c>
      <c r="J1503" s="245" t="s">
        <v>12549</v>
      </c>
      <c r="K1503" s="207"/>
      <c r="L1503" s="66"/>
      <c r="M1503" s="201" t="s">
        <v>12550</v>
      </c>
      <c r="N1503" s="207"/>
      <c r="O1503" s="38"/>
    </row>
    <row r="1504" spans="1:15" ht="72" customHeight="1" x14ac:dyDescent="0.3">
      <c r="A1504" s="2">
        <v>1484</v>
      </c>
      <c r="B1504" s="52" t="s">
        <v>12491</v>
      </c>
      <c r="C1504" s="52" t="s">
        <v>13761</v>
      </c>
      <c r="D1504" s="88"/>
      <c r="E1504" s="157">
        <v>40</v>
      </c>
      <c r="F1504" s="6">
        <v>122375.61</v>
      </c>
      <c r="G1504" s="6">
        <v>35944.300000000003</v>
      </c>
      <c r="H1504" s="207"/>
      <c r="I1504" s="207" t="s">
        <v>12545</v>
      </c>
      <c r="J1504" s="245" t="s">
        <v>12549</v>
      </c>
      <c r="K1504" s="207"/>
      <c r="L1504" s="66"/>
      <c r="M1504" s="201" t="s">
        <v>12550</v>
      </c>
      <c r="N1504" s="207"/>
      <c r="O1504" s="38"/>
    </row>
    <row r="1505" spans="1:15" ht="120" customHeight="1" x14ac:dyDescent="0.3">
      <c r="A1505" s="2">
        <v>1485</v>
      </c>
      <c r="B1505" s="52" t="s">
        <v>12491</v>
      </c>
      <c r="C1505" s="52" t="s">
        <v>13762</v>
      </c>
      <c r="D1505" s="88" t="s">
        <v>20732</v>
      </c>
      <c r="E1505" s="157">
        <v>39.4</v>
      </c>
      <c r="F1505" s="6">
        <v>97370.17</v>
      </c>
      <c r="G1505" s="6">
        <v>27869.7</v>
      </c>
      <c r="H1505" s="25"/>
      <c r="I1505" s="207" t="s">
        <v>12545</v>
      </c>
      <c r="J1505" s="245" t="s">
        <v>12549</v>
      </c>
      <c r="K1505" s="207" t="s">
        <v>22565</v>
      </c>
      <c r="L1505" s="66" t="s">
        <v>22566</v>
      </c>
      <c r="M1505" s="201" t="s">
        <v>12550</v>
      </c>
      <c r="N1505" s="207"/>
      <c r="O1505" s="38"/>
    </row>
    <row r="1506" spans="1:15" ht="72" customHeight="1" x14ac:dyDescent="0.3">
      <c r="A1506" s="2">
        <v>1486</v>
      </c>
      <c r="B1506" s="52" t="s">
        <v>12491</v>
      </c>
      <c r="C1506" s="52" t="s">
        <v>13763</v>
      </c>
      <c r="D1506" s="88" t="s">
        <v>13912</v>
      </c>
      <c r="E1506" s="157">
        <v>43</v>
      </c>
      <c r="F1506" s="6">
        <v>192322.07</v>
      </c>
      <c r="G1506" s="6">
        <v>53124.26</v>
      </c>
      <c r="H1506" s="25"/>
      <c r="I1506" s="207" t="s">
        <v>12545</v>
      </c>
      <c r="J1506" s="245" t="s">
        <v>12549</v>
      </c>
      <c r="K1506" s="207"/>
      <c r="L1506" s="66"/>
      <c r="M1506" s="201" t="s">
        <v>12550</v>
      </c>
      <c r="N1506" s="207"/>
      <c r="O1506" s="38" t="s">
        <v>21750</v>
      </c>
    </row>
    <row r="1507" spans="1:15" ht="96" x14ac:dyDescent="0.3">
      <c r="A1507" s="2">
        <v>1487</v>
      </c>
      <c r="B1507" s="54" t="s">
        <v>12492</v>
      </c>
      <c r="C1507" s="52" t="s">
        <v>13764</v>
      </c>
      <c r="D1507" s="88" t="s">
        <v>23478</v>
      </c>
      <c r="E1507" s="157">
        <v>27</v>
      </c>
      <c r="F1507" s="6">
        <v>1031292</v>
      </c>
      <c r="G1507" s="6"/>
      <c r="H1507" s="207"/>
      <c r="I1507" s="207" t="s">
        <v>12545</v>
      </c>
      <c r="J1507" s="245" t="s">
        <v>12549</v>
      </c>
      <c r="K1507" s="207" t="s">
        <v>23479</v>
      </c>
      <c r="L1507" s="66" t="s">
        <v>23480</v>
      </c>
      <c r="M1507" s="201" t="s">
        <v>12550</v>
      </c>
      <c r="N1507" s="207"/>
      <c r="O1507" s="38" t="s">
        <v>23636</v>
      </c>
    </row>
    <row r="1508" spans="1:15" ht="72" customHeight="1" x14ac:dyDescent="0.3">
      <c r="A1508" s="2">
        <v>1488</v>
      </c>
      <c r="B1508" s="52" t="s">
        <v>12491</v>
      </c>
      <c r="C1508" s="52" t="s">
        <v>13765</v>
      </c>
      <c r="D1508" s="88" t="s">
        <v>13907</v>
      </c>
      <c r="E1508" s="157">
        <v>43.8</v>
      </c>
      <c r="F1508" s="6">
        <v>64474.85</v>
      </c>
      <c r="G1508" s="6">
        <v>17808.009999999998</v>
      </c>
      <c r="H1508" s="25"/>
      <c r="I1508" s="207" t="s">
        <v>12545</v>
      </c>
      <c r="J1508" s="245" t="s">
        <v>12549</v>
      </c>
      <c r="K1508" s="207"/>
      <c r="L1508" s="66"/>
      <c r="M1508" s="201" t="s">
        <v>12550</v>
      </c>
      <c r="N1508" s="207"/>
      <c r="O1508" s="38"/>
    </row>
    <row r="1509" spans="1:15" ht="72" customHeight="1" x14ac:dyDescent="0.3">
      <c r="A1509" s="2">
        <v>1489</v>
      </c>
      <c r="B1509" s="52" t="s">
        <v>12493</v>
      </c>
      <c r="C1509" s="52" t="s">
        <v>13766</v>
      </c>
      <c r="D1509" s="88" t="s">
        <v>13908</v>
      </c>
      <c r="E1509" s="157">
        <v>39</v>
      </c>
      <c r="F1509" s="6">
        <v>57409.120000000003</v>
      </c>
      <c r="G1509" s="6">
        <v>15856.44</v>
      </c>
      <c r="H1509" s="25"/>
      <c r="I1509" s="207" t="s">
        <v>12545</v>
      </c>
      <c r="J1509" s="245" t="s">
        <v>12549</v>
      </c>
      <c r="K1509" s="207"/>
      <c r="L1509" s="66"/>
      <c r="M1509" s="201" t="s">
        <v>12550</v>
      </c>
      <c r="N1509" s="207"/>
      <c r="O1509" s="38"/>
    </row>
    <row r="1510" spans="1:15" ht="72" customHeight="1" x14ac:dyDescent="0.3">
      <c r="A1510" s="2">
        <v>1490</v>
      </c>
      <c r="B1510" s="52" t="s">
        <v>12491</v>
      </c>
      <c r="C1510" s="52" t="s">
        <v>13767</v>
      </c>
      <c r="D1510" s="88" t="s">
        <v>13910</v>
      </c>
      <c r="E1510" s="157">
        <v>42.3</v>
      </c>
      <c r="F1510" s="6">
        <v>127844.37</v>
      </c>
      <c r="G1510" s="6">
        <v>33974.47</v>
      </c>
      <c r="H1510" s="25"/>
      <c r="I1510" s="207" t="s">
        <v>12545</v>
      </c>
      <c r="J1510" s="245" t="s">
        <v>12549</v>
      </c>
      <c r="K1510" s="207"/>
      <c r="L1510" s="66"/>
      <c r="M1510" s="201" t="s">
        <v>12550</v>
      </c>
      <c r="N1510" s="207"/>
      <c r="O1510" s="38"/>
    </row>
    <row r="1511" spans="1:15" ht="72" customHeight="1" x14ac:dyDescent="0.3">
      <c r="A1511" s="2">
        <v>1491</v>
      </c>
      <c r="B1511" s="52" t="s">
        <v>12491</v>
      </c>
      <c r="C1511" s="52" t="s">
        <v>13768</v>
      </c>
      <c r="D1511" s="88" t="s">
        <v>13911</v>
      </c>
      <c r="E1511" s="157">
        <v>45</v>
      </c>
      <c r="F1511" s="6">
        <v>136004.65</v>
      </c>
      <c r="G1511" s="6">
        <v>36143.06</v>
      </c>
      <c r="H1511" s="25"/>
      <c r="I1511" s="207" t="s">
        <v>12545</v>
      </c>
      <c r="J1511" s="245" t="s">
        <v>12549</v>
      </c>
      <c r="K1511" s="207"/>
      <c r="L1511" s="66"/>
      <c r="M1511" s="201" t="s">
        <v>12550</v>
      </c>
      <c r="N1511" s="207"/>
      <c r="O1511" s="38"/>
    </row>
    <row r="1512" spans="1:15" ht="132" customHeight="1" x14ac:dyDescent="0.3">
      <c r="A1512" s="2">
        <v>1492</v>
      </c>
      <c r="B1512" s="52" t="s">
        <v>12491</v>
      </c>
      <c r="C1512" s="52" t="s">
        <v>13769</v>
      </c>
      <c r="D1512" s="88" t="s">
        <v>19353</v>
      </c>
      <c r="E1512" s="157">
        <v>46.7</v>
      </c>
      <c r="F1512" s="6">
        <v>141142.6</v>
      </c>
      <c r="G1512" s="6">
        <v>37508.46</v>
      </c>
      <c r="H1512" s="207"/>
      <c r="I1512" s="207" t="s">
        <v>12545</v>
      </c>
      <c r="J1512" s="245" t="s">
        <v>19354</v>
      </c>
      <c r="K1512" s="26">
        <v>43052</v>
      </c>
      <c r="L1512" s="66" t="s">
        <v>19476</v>
      </c>
      <c r="M1512" s="201" t="s">
        <v>12550</v>
      </c>
      <c r="N1512" s="207"/>
      <c r="O1512" s="38"/>
    </row>
    <row r="1513" spans="1:15" ht="72" customHeight="1" x14ac:dyDescent="0.3">
      <c r="A1513" s="2">
        <v>1493</v>
      </c>
      <c r="B1513" s="52" t="s">
        <v>12491</v>
      </c>
      <c r="C1513" s="52" t="s">
        <v>13770</v>
      </c>
      <c r="D1513" s="88"/>
      <c r="E1513" s="157">
        <v>38.200000000000003</v>
      </c>
      <c r="F1513" s="6">
        <v>399377.51</v>
      </c>
      <c r="G1513" s="6">
        <v>10845.54</v>
      </c>
      <c r="H1513" s="207"/>
      <c r="I1513" s="207" t="s">
        <v>12545</v>
      </c>
      <c r="J1513" s="245" t="s">
        <v>12549</v>
      </c>
      <c r="K1513" s="207"/>
      <c r="L1513" s="66"/>
      <c r="M1513" s="201" t="s">
        <v>12550</v>
      </c>
      <c r="N1513" s="207"/>
      <c r="O1513" s="38"/>
    </row>
    <row r="1514" spans="1:15" ht="72" customHeight="1" x14ac:dyDescent="0.3">
      <c r="A1514" s="2">
        <v>1494</v>
      </c>
      <c r="B1514" s="52" t="s">
        <v>12491</v>
      </c>
      <c r="C1514" s="52" t="s">
        <v>13771</v>
      </c>
      <c r="D1514" s="88" t="s">
        <v>19565</v>
      </c>
      <c r="E1514" s="157">
        <v>42.4</v>
      </c>
      <c r="F1514" s="6">
        <v>20076.47</v>
      </c>
      <c r="G1514" s="6">
        <v>20076.47</v>
      </c>
      <c r="H1514" s="25"/>
      <c r="I1514" s="207" t="s">
        <v>12545</v>
      </c>
      <c r="J1514" s="245" t="s">
        <v>12549</v>
      </c>
      <c r="K1514" s="207"/>
      <c r="L1514" s="66"/>
      <c r="M1514" s="201" t="s">
        <v>12550</v>
      </c>
      <c r="N1514" s="207"/>
      <c r="O1514" s="38"/>
    </row>
    <row r="1515" spans="1:15" ht="72" customHeight="1" x14ac:dyDescent="0.3">
      <c r="A1515" s="2">
        <v>1495</v>
      </c>
      <c r="B1515" s="52" t="s">
        <v>12491</v>
      </c>
      <c r="C1515" s="52" t="s">
        <v>13772</v>
      </c>
      <c r="D1515" s="88"/>
      <c r="E1515" s="157">
        <v>44.1</v>
      </c>
      <c r="F1515" s="6">
        <v>134919.10999999999</v>
      </c>
      <c r="G1515" s="6">
        <v>39628.589999999997</v>
      </c>
      <c r="H1515" s="207"/>
      <c r="I1515" s="207" t="s">
        <v>12545</v>
      </c>
      <c r="J1515" s="245" t="s">
        <v>12549</v>
      </c>
      <c r="K1515" s="207"/>
      <c r="L1515" s="66"/>
      <c r="M1515" s="201" t="s">
        <v>12550</v>
      </c>
      <c r="N1515" s="207"/>
      <c r="O1515" s="38"/>
    </row>
    <row r="1516" spans="1:15" ht="72" customHeight="1" x14ac:dyDescent="0.3">
      <c r="A1516" s="2">
        <v>1496</v>
      </c>
      <c r="B1516" s="52" t="s">
        <v>12491</v>
      </c>
      <c r="C1516" s="52" t="s">
        <v>13773</v>
      </c>
      <c r="D1516" s="88"/>
      <c r="E1516" s="157">
        <v>42</v>
      </c>
      <c r="F1516" s="6">
        <v>128494.39</v>
      </c>
      <c r="G1516" s="6">
        <v>37741.51</v>
      </c>
      <c r="H1516" s="207"/>
      <c r="I1516" s="207" t="s">
        <v>12545</v>
      </c>
      <c r="J1516" s="245" t="s">
        <v>12549</v>
      </c>
      <c r="K1516" s="207"/>
      <c r="L1516" s="66"/>
      <c r="M1516" s="201" t="s">
        <v>12550</v>
      </c>
      <c r="N1516" s="207"/>
      <c r="O1516" s="38"/>
    </row>
    <row r="1517" spans="1:15" ht="72" customHeight="1" x14ac:dyDescent="0.3">
      <c r="A1517" s="2">
        <v>1497</v>
      </c>
      <c r="B1517" s="52" t="s">
        <v>12491</v>
      </c>
      <c r="C1517" s="52" t="s">
        <v>13774</v>
      </c>
      <c r="D1517" s="88"/>
      <c r="E1517" s="157">
        <v>44.6</v>
      </c>
      <c r="F1517" s="6">
        <v>110221.06</v>
      </c>
      <c r="G1517" s="6">
        <v>31547.93</v>
      </c>
      <c r="H1517" s="207"/>
      <c r="I1517" s="207" t="s">
        <v>12545</v>
      </c>
      <c r="J1517" s="245" t="s">
        <v>12549</v>
      </c>
      <c r="K1517" s="207"/>
      <c r="L1517" s="66"/>
      <c r="M1517" s="201" t="s">
        <v>12550</v>
      </c>
      <c r="N1517" s="207"/>
      <c r="O1517" s="38"/>
    </row>
    <row r="1518" spans="1:15" ht="72" customHeight="1" x14ac:dyDescent="0.3">
      <c r="A1518" s="2">
        <v>1498</v>
      </c>
      <c r="B1518" s="52" t="s">
        <v>12491</v>
      </c>
      <c r="C1518" s="52" t="s">
        <v>13775</v>
      </c>
      <c r="D1518" s="88"/>
      <c r="E1518" s="157">
        <v>50.8</v>
      </c>
      <c r="F1518" s="6">
        <v>125543.27</v>
      </c>
      <c r="G1518" s="6">
        <v>35933.519999999997</v>
      </c>
      <c r="H1518" s="207"/>
      <c r="I1518" s="207" t="s">
        <v>12545</v>
      </c>
      <c r="J1518" s="245" t="s">
        <v>12549</v>
      </c>
      <c r="K1518" s="207"/>
      <c r="L1518" s="66"/>
      <c r="M1518" s="201" t="s">
        <v>12550</v>
      </c>
      <c r="N1518" s="207"/>
      <c r="O1518" s="38"/>
    </row>
    <row r="1519" spans="1:15" ht="72" customHeight="1" x14ac:dyDescent="0.3">
      <c r="A1519" s="2">
        <v>1499</v>
      </c>
      <c r="B1519" s="52" t="s">
        <v>12491</v>
      </c>
      <c r="C1519" s="52" t="s">
        <v>13776</v>
      </c>
      <c r="D1519" s="88"/>
      <c r="E1519" s="157">
        <v>39.299999999999997</v>
      </c>
      <c r="F1519" s="6">
        <v>97123.04</v>
      </c>
      <c r="G1519" s="6">
        <v>27798.959999999999</v>
      </c>
      <c r="H1519" s="207"/>
      <c r="I1519" s="207" t="s">
        <v>12545</v>
      </c>
      <c r="J1519" s="245" t="s">
        <v>12549</v>
      </c>
      <c r="K1519" s="207"/>
      <c r="L1519" s="66"/>
      <c r="M1519" s="201" t="s">
        <v>12550</v>
      </c>
      <c r="N1519" s="207"/>
      <c r="O1519" s="38"/>
    </row>
    <row r="1520" spans="1:15" ht="72" customHeight="1" x14ac:dyDescent="0.3">
      <c r="A1520" s="2">
        <v>1500</v>
      </c>
      <c r="B1520" s="52" t="s">
        <v>12491</v>
      </c>
      <c r="C1520" s="52" t="s">
        <v>13777</v>
      </c>
      <c r="D1520" s="88" t="s">
        <v>13913</v>
      </c>
      <c r="E1520" s="157">
        <v>41.3</v>
      </c>
      <c r="F1520" s="6">
        <v>184718.64</v>
      </c>
      <c r="G1520" s="6">
        <v>51023.99</v>
      </c>
      <c r="H1520" s="25"/>
      <c r="I1520" s="207" t="s">
        <v>12545</v>
      </c>
      <c r="J1520" s="245" t="s">
        <v>12549</v>
      </c>
      <c r="K1520" s="207"/>
      <c r="L1520" s="66"/>
      <c r="M1520" s="201" t="s">
        <v>12550</v>
      </c>
      <c r="N1520" s="207"/>
      <c r="O1520" s="38"/>
    </row>
    <row r="1521" spans="1:15" ht="72" customHeight="1" x14ac:dyDescent="0.3">
      <c r="A1521" s="2">
        <v>1501</v>
      </c>
      <c r="B1521" s="52" t="s">
        <v>12491</v>
      </c>
      <c r="C1521" s="52" t="s">
        <v>13778</v>
      </c>
      <c r="D1521" s="88" t="s">
        <v>13914</v>
      </c>
      <c r="E1521" s="157">
        <v>40.5</v>
      </c>
      <c r="F1521" s="6">
        <v>181140.56</v>
      </c>
      <c r="G1521" s="6">
        <v>50035.64</v>
      </c>
      <c r="H1521" s="25"/>
      <c r="I1521" s="207" t="s">
        <v>12545</v>
      </c>
      <c r="J1521" s="245" t="s">
        <v>12549</v>
      </c>
      <c r="K1521" s="207"/>
      <c r="L1521" s="66"/>
      <c r="M1521" s="201" t="s">
        <v>12550</v>
      </c>
      <c r="N1521" s="207"/>
      <c r="O1521" s="38"/>
    </row>
    <row r="1522" spans="1:15" ht="72" customHeight="1" x14ac:dyDescent="0.3">
      <c r="A1522" s="2">
        <v>1502</v>
      </c>
      <c r="B1522" s="52" t="s">
        <v>12491</v>
      </c>
      <c r="C1522" s="52" t="s">
        <v>13779</v>
      </c>
      <c r="D1522" s="88" t="s">
        <v>13915</v>
      </c>
      <c r="E1522" s="157">
        <v>44.2</v>
      </c>
      <c r="F1522" s="6">
        <v>197689.2</v>
      </c>
      <c r="G1522" s="6">
        <v>54606.79</v>
      </c>
      <c r="H1522" s="25"/>
      <c r="I1522" s="207" t="s">
        <v>12545</v>
      </c>
      <c r="J1522" s="245" t="s">
        <v>12549</v>
      </c>
      <c r="K1522" s="207"/>
      <c r="L1522" s="66"/>
      <c r="M1522" s="201" t="s">
        <v>12550</v>
      </c>
      <c r="N1522" s="207"/>
      <c r="O1522" s="38"/>
    </row>
    <row r="1523" spans="1:15" ht="72" customHeight="1" x14ac:dyDescent="0.3">
      <c r="A1523" s="2">
        <v>1503</v>
      </c>
      <c r="B1523" s="52" t="s">
        <v>12491</v>
      </c>
      <c r="C1523" s="52" t="s">
        <v>13780</v>
      </c>
      <c r="D1523" s="88" t="s">
        <v>13971</v>
      </c>
      <c r="E1523" s="157">
        <v>47.6</v>
      </c>
      <c r="F1523" s="6">
        <v>342630.01</v>
      </c>
      <c r="G1523" s="6">
        <v>107420.58</v>
      </c>
      <c r="H1523" s="25"/>
      <c r="I1523" s="207" t="s">
        <v>12545</v>
      </c>
      <c r="J1523" s="245" t="s">
        <v>12549</v>
      </c>
      <c r="K1523" s="207"/>
      <c r="L1523" s="66"/>
      <c r="M1523" s="201" t="s">
        <v>12550</v>
      </c>
      <c r="N1523" s="207"/>
      <c r="O1523" s="38"/>
    </row>
    <row r="1524" spans="1:15" ht="72" customHeight="1" x14ac:dyDescent="0.3">
      <c r="A1524" s="2">
        <v>1504</v>
      </c>
      <c r="B1524" s="52" t="s">
        <v>12490</v>
      </c>
      <c r="C1524" s="52" t="s">
        <v>13781</v>
      </c>
      <c r="D1524" s="88" t="s">
        <v>13973</v>
      </c>
      <c r="E1524" s="157">
        <v>66.900000000000006</v>
      </c>
      <c r="F1524" s="6">
        <v>259127.97</v>
      </c>
      <c r="G1524" s="6">
        <v>59163.89</v>
      </c>
      <c r="H1524" s="25"/>
      <c r="I1524" s="207" t="s">
        <v>12545</v>
      </c>
      <c r="J1524" s="245" t="s">
        <v>12549</v>
      </c>
      <c r="K1524" s="207"/>
      <c r="L1524" s="66"/>
      <c r="M1524" s="201" t="s">
        <v>12550</v>
      </c>
      <c r="N1524" s="207"/>
      <c r="O1524" s="38"/>
    </row>
    <row r="1525" spans="1:15" ht="72" customHeight="1" x14ac:dyDescent="0.3">
      <c r="A1525" s="2">
        <v>1505</v>
      </c>
      <c r="B1525" s="52" t="s">
        <v>12492</v>
      </c>
      <c r="C1525" s="52" t="s">
        <v>13782</v>
      </c>
      <c r="D1525" s="88" t="s">
        <v>13979</v>
      </c>
      <c r="E1525" s="157">
        <v>33.4</v>
      </c>
      <c r="F1525" s="6">
        <v>171334.6</v>
      </c>
      <c r="G1525" s="6">
        <v>55134.75</v>
      </c>
      <c r="H1525" s="25"/>
      <c r="I1525" s="207" t="s">
        <v>12545</v>
      </c>
      <c r="J1525" s="245" t="s">
        <v>12549</v>
      </c>
      <c r="K1525" s="207"/>
      <c r="L1525" s="66"/>
      <c r="M1525" s="201" t="s">
        <v>12550</v>
      </c>
      <c r="N1525" s="207"/>
      <c r="O1525" s="38"/>
    </row>
    <row r="1526" spans="1:15" ht="84" customHeight="1" x14ac:dyDescent="0.3">
      <c r="A1526" s="2">
        <v>1506</v>
      </c>
      <c r="B1526" s="54" t="s">
        <v>12491</v>
      </c>
      <c r="C1526" s="52" t="s">
        <v>13783</v>
      </c>
      <c r="D1526" s="88" t="s">
        <v>13976</v>
      </c>
      <c r="E1526" s="157">
        <v>53</v>
      </c>
      <c r="F1526" s="6">
        <v>1258250</v>
      </c>
      <c r="G1526" s="6">
        <v>8807.7999999999993</v>
      </c>
      <c r="H1526" s="207"/>
      <c r="I1526" s="207" t="s">
        <v>12545</v>
      </c>
      <c r="J1526" s="245" t="s">
        <v>12549</v>
      </c>
      <c r="K1526" s="26">
        <v>42859</v>
      </c>
      <c r="L1526" s="66" t="s">
        <v>18679</v>
      </c>
      <c r="M1526" s="201" t="s">
        <v>12550</v>
      </c>
      <c r="N1526" s="207"/>
      <c r="O1526" s="38" t="s">
        <v>20461</v>
      </c>
    </row>
    <row r="1527" spans="1:15" ht="120" customHeight="1" x14ac:dyDescent="0.3">
      <c r="A1527" s="2">
        <v>1507</v>
      </c>
      <c r="B1527" s="52" t="s">
        <v>12491</v>
      </c>
      <c r="C1527" s="52" t="s">
        <v>13784</v>
      </c>
      <c r="D1527" s="88" t="s">
        <v>13972</v>
      </c>
      <c r="E1527" s="157">
        <v>44.1</v>
      </c>
      <c r="F1527" s="6">
        <v>317436.62</v>
      </c>
      <c r="G1527" s="6">
        <v>99521.99</v>
      </c>
      <c r="H1527" s="207"/>
      <c r="I1527" s="207" t="s">
        <v>12545</v>
      </c>
      <c r="J1527" s="245" t="s">
        <v>12549</v>
      </c>
      <c r="K1527" s="207" t="s">
        <v>19686</v>
      </c>
      <c r="L1527" s="66" t="s">
        <v>19687</v>
      </c>
      <c r="M1527" s="201" t="s">
        <v>12550</v>
      </c>
      <c r="N1527" s="207"/>
      <c r="O1527" s="38"/>
    </row>
    <row r="1528" spans="1:15" ht="72" customHeight="1" x14ac:dyDescent="0.3">
      <c r="A1528" s="2">
        <v>1508</v>
      </c>
      <c r="B1528" s="52" t="s">
        <v>12491</v>
      </c>
      <c r="C1528" s="52" t="s">
        <v>13785</v>
      </c>
      <c r="D1528" s="88" t="s">
        <v>13974</v>
      </c>
      <c r="E1528" s="157">
        <v>46.7</v>
      </c>
      <c r="F1528" s="6">
        <v>182335.3</v>
      </c>
      <c r="G1528" s="6">
        <v>41630.65</v>
      </c>
      <c r="H1528" s="25"/>
      <c r="I1528" s="207" t="s">
        <v>12545</v>
      </c>
      <c r="J1528" s="245" t="s">
        <v>12549</v>
      </c>
      <c r="K1528" s="207"/>
      <c r="L1528" s="66"/>
      <c r="M1528" s="201" t="s">
        <v>12550</v>
      </c>
      <c r="N1528" s="207"/>
      <c r="O1528" s="38"/>
    </row>
    <row r="1529" spans="1:15" ht="72" customHeight="1" x14ac:dyDescent="0.3">
      <c r="A1529" s="2">
        <v>1509</v>
      </c>
      <c r="B1529" s="52" t="s">
        <v>12491</v>
      </c>
      <c r="C1529" s="52" t="s">
        <v>13786</v>
      </c>
      <c r="D1529" s="88" t="s">
        <v>13975</v>
      </c>
      <c r="E1529" s="157">
        <v>47.2</v>
      </c>
      <c r="F1529" s="6">
        <v>184226.75</v>
      </c>
      <c r="G1529" s="6">
        <v>42062.5</v>
      </c>
      <c r="H1529" s="25"/>
      <c r="I1529" s="207" t="s">
        <v>12545</v>
      </c>
      <c r="J1529" s="245" t="s">
        <v>12549</v>
      </c>
      <c r="K1529" s="207"/>
      <c r="L1529" s="66"/>
      <c r="M1529" s="201" t="s">
        <v>12550</v>
      </c>
      <c r="N1529" s="207"/>
      <c r="O1529" s="38"/>
    </row>
    <row r="1530" spans="1:15" ht="72" customHeight="1" x14ac:dyDescent="0.3">
      <c r="A1530" s="2">
        <v>1510</v>
      </c>
      <c r="B1530" s="52" t="s">
        <v>12491</v>
      </c>
      <c r="C1530" s="52" t="s">
        <v>13787</v>
      </c>
      <c r="D1530" s="88" t="s">
        <v>13977</v>
      </c>
      <c r="E1530" s="157">
        <v>47.2</v>
      </c>
      <c r="F1530" s="6">
        <v>184226.75</v>
      </c>
      <c r="G1530" s="6">
        <v>42062.5</v>
      </c>
      <c r="H1530" s="25"/>
      <c r="I1530" s="207" t="s">
        <v>12545</v>
      </c>
      <c r="J1530" s="245" t="s">
        <v>12549</v>
      </c>
      <c r="K1530" s="207"/>
      <c r="L1530" s="66"/>
      <c r="M1530" s="201" t="s">
        <v>12550</v>
      </c>
      <c r="N1530" s="207"/>
      <c r="O1530" s="38"/>
    </row>
    <row r="1531" spans="1:15" ht="72" customHeight="1" x14ac:dyDescent="0.3">
      <c r="A1531" s="2">
        <v>1511</v>
      </c>
      <c r="B1531" s="52" t="s">
        <v>12491</v>
      </c>
      <c r="C1531" s="52" t="s">
        <v>13788</v>
      </c>
      <c r="D1531" s="88" t="s">
        <v>13978</v>
      </c>
      <c r="E1531" s="157">
        <v>46.7</v>
      </c>
      <c r="F1531" s="6">
        <v>184226.75</v>
      </c>
      <c r="G1531" s="6">
        <v>42062.5</v>
      </c>
      <c r="H1531" s="25"/>
      <c r="I1531" s="207" t="s">
        <v>12545</v>
      </c>
      <c r="J1531" s="245" t="s">
        <v>12549</v>
      </c>
      <c r="K1531" s="207"/>
      <c r="L1531" s="66"/>
      <c r="M1531" s="201" t="s">
        <v>12550</v>
      </c>
      <c r="N1531" s="207"/>
      <c r="O1531" s="38"/>
    </row>
    <row r="1532" spans="1:15" ht="72" customHeight="1" x14ac:dyDescent="0.3">
      <c r="A1532" s="2">
        <v>1512</v>
      </c>
      <c r="B1532" s="52" t="s">
        <v>12490</v>
      </c>
      <c r="C1532" s="52" t="s">
        <v>13789</v>
      </c>
      <c r="D1532" s="88" t="s">
        <v>13980</v>
      </c>
      <c r="E1532" s="157">
        <v>66.599999999999994</v>
      </c>
      <c r="F1532" s="6">
        <v>339732.04</v>
      </c>
      <c r="G1532" s="6">
        <v>109324.33</v>
      </c>
      <c r="H1532" s="25"/>
      <c r="I1532" s="207" t="s">
        <v>12545</v>
      </c>
      <c r="J1532" s="245" t="s">
        <v>12549</v>
      </c>
      <c r="K1532" s="207"/>
      <c r="L1532" s="66"/>
      <c r="M1532" s="201" t="s">
        <v>12550</v>
      </c>
      <c r="N1532" s="207"/>
      <c r="O1532" s="38"/>
    </row>
    <row r="1533" spans="1:15" ht="72" customHeight="1" x14ac:dyDescent="0.3">
      <c r="A1533" s="2">
        <v>1513</v>
      </c>
      <c r="B1533" s="52" t="s">
        <v>12494</v>
      </c>
      <c r="C1533" s="52" t="s">
        <v>13790</v>
      </c>
      <c r="D1533" s="88" t="s">
        <v>13981</v>
      </c>
      <c r="E1533" s="157">
        <v>33.1</v>
      </c>
      <c r="F1533" s="6">
        <v>169866.02</v>
      </c>
      <c r="G1533" s="6">
        <v>54662.16</v>
      </c>
      <c r="H1533" s="25"/>
      <c r="I1533" s="207" t="s">
        <v>12545</v>
      </c>
      <c r="J1533" s="245" t="s">
        <v>12549</v>
      </c>
      <c r="K1533" s="207"/>
      <c r="L1533" s="66"/>
      <c r="M1533" s="201" t="s">
        <v>12550</v>
      </c>
      <c r="N1533" s="207"/>
      <c r="O1533" s="38"/>
    </row>
    <row r="1534" spans="1:15" ht="72" customHeight="1" x14ac:dyDescent="0.3">
      <c r="A1534" s="2">
        <v>1514</v>
      </c>
      <c r="B1534" s="52" t="s">
        <v>12491</v>
      </c>
      <c r="C1534" s="52" t="s">
        <v>13791</v>
      </c>
      <c r="D1534" s="88" t="s">
        <v>13982</v>
      </c>
      <c r="E1534" s="157">
        <v>53.2</v>
      </c>
      <c r="F1534" s="6">
        <v>270219.14</v>
      </c>
      <c r="G1534" s="6">
        <v>86955.37</v>
      </c>
      <c r="H1534" s="25"/>
      <c r="I1534" s="207" t="s">
        <v>12545</v>
      </c>
      <c r="J1534" s="245" t="s">
        <v>12549</v>
      </c>
      <c r="K1534" s="207"/>
      <c r="L1534" s="66"/>
      <c r="M1534" s="201" t="s">
        <v>12550</v>
      </c>
      <c r="N1534" s="207"/>
      <c r="O1534" s="38"/>
    </row>
    <row r="1535" spans="1:15" ht="72" customHeight="1" x14ac:dyDescent="0.3">
      <c r="A1535" s="2">
        <v>1515</v>
      </c>
      <c r="B1535" s="52" t="s">
        <v>12491</v>
      </c>
      <c r="C1535" s="52" t="s">
        <v>13792</v>
      </c>
      <c r="D1535" s="88" t="s">
        <v>13983</v>
      </c>
      <c r="E1535" s="157">
        <v>53.4</v>
      </c>
      <c r="F1535" s="6">
        <v>267281.98</v>
      </c>
      <c r="G1535" s="6">
        <v>86010.2</v>
      </c>
      <c r="H1535" s="25"/>
      <c r="I1535" s="207" t="s">
        <v>12545</v>
      </c>
      <c r="J1535" s="245" t="s">
        <v>12549</v>
      </c>
      <c r="K1535" s="207"/>
      <c r="L1535" s="66"/>
      <c r="M1535" s="201" t="s">
        <v>12550</v>
      </c>
      <c r="N1535" s="207"/>
      <c r="O1535" s="38"/>
    </row>
    <row r="1536" spans="1:15" ht="240" customHeight="1" x14ac:dyDescent="0.3">
      <c r="A1536" s="2">
        <v>1516</v>
      </c>
      <c r="B1536" s="52" t="s">
        <v>19684</v>
      </c>
      <c r="C1536" s="52" t="s">
        <v>13793</v>
      </c>
      <c r="D1536" s="88"/>
      <c r="E1536" s="229">
        <v>21.87</v>
      </c>
      <c r="F1536" s="6">
        <v>268261.03000000003</v>
      </c>
      <c r="G1536" s="6">
        <v>86325.26</v>
      </c>
      <c r="H1536" s="207"/>
      <c r="I1536" s="207" t="s">
        <v>12545</v>
      </c>
      <c r="J1536" s="245" t="s">
        <v>12549</v>
      </c>
      <c r="K1536" s="207"/>
      <c r="L1536" s="66"/>
      <c r="M1536" s="201" t="s">
        <v>12550</v>
      </c>
      <c r="N1536" s="207"/>
      <c r="O1536" s="38" t="s">
        <v>20462</v>
      </c>
    </row>
    <row r="1537" spans="1:15" ht="72" customHeight="1" x14ac:dyDescent="0.3">
      <c r="A1537" s="242">
        <v>1517</v>
      </c>
      <c r="B1537" s="52" t="s">
        <v>12491</v>
      </c>
      <c r="C1537" s="52" t="s">
        <v>13794</v>
      </c>
      <c r="D1537" s="88" t="s">
        <v>13984</v>
      </c>
      <c r="E1537" s="157">
        <v>53.3</v>
      </c>
      <c r="F1537" s="6">
        <v>267771.5</v>
      </c>
      <c r="G1537" s="6">
        <v>86167.73</v>
      </c>
      <c r="H1537" s="25"/>
      <c r="I1537" s="207" t="s">
        <v>12545</v>
      </c>
      <c r="J1537" s="245" t="s">
        <v>12549</v>
      </c>
      <c r="K1537" s="207"/>
      <c r="L1537" s="66"/>
      <c r="M1537" s="201" t="s">
        <v>12550</v>
      </c>
      <c r="N1537" s="207"/>
      <c r="O1537" s="38"/>
    </row>
    <row r="1538" spans="1:15" ht="72" customHeight="1" x14ac:dyDescent="0.3">
      <c r="A1538" s="2">
        <v>1518</v>
      </c>
      <c r="B1538" s="52" t="s">
        <v>12491</v>
      </c>
      <c r="C1538" s="52" t="s">
        <v>13795</v>
      </c>
      <c r="D1538" s="88" t="s">
        <v>13985</v>
      </c>
      <c r="E1538" s="157">
        <v>53</v>
      </c>
      <c r="F1538" s="6">
        <v>266302.92</v>
      </c>
      <c r="G1538" s="6">
        <v>85695.15</v>
      </c>
      <c r="H1538" s="25"/>
      <c r="I1538" s="207" t="s">
        <v>12545</v>
      </c>
      <c r="J1538" s="66" t="s">
        <v>12549</v>
      </c>
      <c r="K1538" s="207"/>
      <c r="L1538" s="66"/>
      <c r="M1538" s="201" t="s">
        <v>12550</v>
      </c>
      <c r="N1538" s="207"/>
      <c r="O1538" s="38"/>
    </row>
    <row r="1539" spans="1:15" ht="72" customHeight="1" x14ac:dyDescent="0.3">
      <c r="A1539" s="2">
        <v>1519</v>
      </c>
      <c r="B1539" s="52" t="s">
        <v>12490</v>
      </c>
      <c r="C1539" s="52" t="s">
        <v>13796</v>
      </c>
      <c r="D1539" s="88" t="s">
        <v>13986</v>
      </c>
      <c r="E1539" s="157">
        <v>67.2</v>
      </c>
      <c r="F1539" s="6">
        <v>342669.2</v>
      </c>
      <c r="G1539" s="6">
        <v>110269.49</v>
      </c>
      <c r="H1539" s="25"/>
      <c r="I1539" s="207" t="s">
        <v>12545</v>
      </c>
      <c r="J1539" s="66" t="s">
        <v>12549</v>
      </c>
      <c r="K1539" s="207"/>
      <c r="L1539" s="66"/>
      <c r="M1539" s="201" t="s">
        <v>12550</v>
      </c>
      <c r="N1539" s="207"/>
      <c r="O1539" s="38"/>
    </row>
    <row r="1540" spans="1:15" ht="96" customHeight="1" x14ac:dyDescent="0.3">
      <c r="A1540" s="2">
        <v>1520</v>
      </c>
      <c r="B1540" s="52" t="s">
        <v>12495</v>
      </c>
      <c r="C1540" s="52" t="s">
        <v>13797</v>
      </c>
      <c r="D1540" s="87" t="s">
        <v>14022</v>
      </c>
      <c r="E1540" s="157">
        <v>37.9</v>
      </c>
      <c r="F1540" s="6">
        <v>95218</v>
      </c>
      <c r="G1540" s="6">
        <v>49513.4</v>
      </c>
      <c r="H1540" s="25"/>
      <c r="I1540" s="207" t="s">
        <v>12545</v>
      </c>
      <c r="J1540" s="66" t="s">
        <v>12549</v>
      </c>
      <c r="K1540" s="207"/>
      <c r="L1540" s="66"/>
      <c r="M1540" s="201" t="s">
        <v>12550</v>
      </c>
      <c r="N1540" s="207"/>
      <c r="O1540" s="38"/>
    </row>
    <row r="1541" spans="1:15" ht="96" customHeight="1" x14ac:dyDescent="0.3">
      <c r="A1541" s="2">
        <v>1521</v>
      </c>
      <c r="B1541" s="52" t="s">
        <v>12491</v>
      </c>
      <c r="C1541" s="52" t="s">
        <v>13798</v>
      </c>
      <c r="D1541" s="87" t="s">
        <v>14023</v>
      </c>
      <c r="E1541" s="157">
        <v>38.1</v>
      </c>
      <c r="F1541" s="6">
        <v>70613</v>
      </c>
      <c r="G1541" s="6">
        <v>70613</v>
      </c>
      <c r="H1541" s="207"/>
      <c r="I1541" s="207" t="s">
        <v>12545</v>
      </c>
      <c r="J1541" s="66" t="s">
        <v>12549</v>
      </c>
      <c r="K1541" s="207" t="s">
        <v>20148</v>
      </c>
      <c r="L1541" s="66" t="s">
        <v>20149</v>
      </c>
      <c r="M1541" s="201" t="s">
        <v>12550</v>
      </c>
      <c r="N1541" s="207"/>
      <c r="O1541" s="38" t="s">
        <v>20463</v>
      </c>
    </row>
    <row r="1542" spans="1:15" ht="84" customHeight="1" x14ac:dyDescent="0.3">
      <c r="A1542" s="2">
        <v>1522</v>
      </c>
      <c r="B1542" s="52" t="s">
        <v>12491</v>
      </c>
      <c r="C1542" s="52" t="s">
        <v>13799</v>
      </c>
      <c r="D1542" s="87" t="s">
        <v>14024</v>
      </c>
      <c r="E1542" s="157">
        <v>73.099999999999994</v>
      </c>
      <c r="F1542" s="6">
        <v>82654.5</v>
      </c>
      <c r="G1542" s="6">
        <v>82654.5</v>
      </c>
      <c r="H1542" s="207"/>
      <c r="I1542" s="207" t="s">
        <v>12545</v>
      </c>
      <c r="J1542" s="66" t="s">
        <v>12549</v>
      </c>
      <c r="K1542" s="26">
        <v>40345</v>
      </c>
      <c r="L1542" s="66" t="s">
        <v>20150</v>
      </c>
      <c r="M1542" s="201" t="s">
        <v>12550</v>
      </c>
      <c r="N1542" s="207"/>
      <c r="O1542" s="38"/>
    </row>
    <row r="1543" spans="1:15" ht="84" customHeight="1" x14ac:dyDescent="0.3">
      <c r="A1543" s="2">
        <v>1523</v>
      </c>
      <c r="B1543" s="52" t="s">
        <v>12490</v>
      </c>
      <c r="C1543" s="52" t="s">
        <v>13800</v>
      </c>
      <c r="D1543" s="88"/>
      <c r="E1543" s="157">
        <v>82</v>
      </c>
      <c r="F1543" s="6">
        <v>464167</v>
      </c>
      <c r="G1543" s="6"/>
      <c r="H1543" s="207"/>
      <c r="I1543" s="207" t="s">
        <v>12545</v>
      </c>
      <c r="J1543" s="66" t="s">
        <v>12549</v>
      </c>
      <c r="K1543" s="207"/>
      <c r="L1543" s="66"/>
      <c r="M1543" s="201" t="s">
        <v>12550</v>
      </c>
      <c r="N1543" s="207"/>
      <c r="O1543" s="38"/>
    </row>
    <row r="1544" spans="1:15" ht="84" customHeight="1" x14ac:dyDescent="0.3">
      <c r="A1544" s="2">
        <v>1524</v>
      </c>
      <c r="B1544" s="52" t="s">
        <v>12490</v>
      </c>
      <c r="C1544" s="52" t="s">
        <v>13801</v>
      </c>
      <c r="D1544" s="88"/>
      <c r="E1544" s="157">
        <v>66.400000000000006</v>
      </c>
      <c r="F1544" s="6">
        <v>809465.28</v>
      </c>
      <c r="G1544" s="6">
        <v>110087.13</v>
      </c>
      <c r="H1544" s="207"/>
      <c r="I1544" s="207" t="s">
        <v>12545</v>
      </c>
      <c r="J1544" s="66" t="s">
        <v>12549</v>
      </c>
      <c r="K1544" s="207"/>
      <c r="L1544" s="66"/>
      <c r="M1544" s="201" t="s">
        <v>12550</v>
      </c>
      <c r="N1544" s="207"/>
      <c r="O1544" s="38"/>
    </row>
    <row r="1545" spans="1:15" ht="84" customHeight="1" x14ac:dyDescent="0.3">
      <c r="A1545" s="2">
        <v>1525</v>
      </c>
      <c r="B1545" s="52" t="s">
        <v>12496</v>
      </c>
      <c r="C1545" s="52" t="s">
        <v>13802</v>
      </c>
      <c r="D1545" s="88"/>
      <c r="E1545" s="157">
        <v>49.3</v>
      </c>
      <c r="F1545" s="6">
        <v>10622.1</v>
      </c>
      <c r="G1545" s="6">
        <v>10622.1</v>
      </c>
      <c r="H1545" s="207"/>
      <c r="I1545" s="207" t="s">
        <v>12545</v>
      </c>
      <c r="J1545" s="66" t="s">
        <v>12549</v>
      </c>
      <c r="K1545" s="207"/>
      <c r="L1545" s="66"/>
      <c r="M1545" s="201" t="s">
        <v>12550</v>
      </c>
      <c r="N1545" s="207"/>
      <c r="O1545" s="38"/>
    </row>
    <row r="1546" spans="1:15" ht="84" customHeight="1" x14ac:dyDescent="0.3">
      <c r="A1546" s="2">
        <v>1526</v>
      </c>
      <c r="B1546" s="52" t="s">
        <v>12492</v>
      </c>
      <c r="C1546" s="52" t="s">
        <v>13803</v>
      </c>
      <c r="D1546" s="88" t="s">
        <v>14009</v>
      </c>
      <c r="E1546" s="157">
        <v>29.8</v>
      </c>
      <c r="F1546" s="6">
        <v>8895.67</v>
      </c>
      <c r="G1546" s="6">
        <v>4003.03</v>
      </c>
      <c r="H1546" s="25"/>
      <c r="I1546" s="207" t="s">
        <v>12545</v>
      </c>
      <c r="J1546" s="66" t="s">
        <v>12549</v>
      </c>
      <c r="K1546" s="207"/>
      <c r="L1546" s="66"/>
      <c r="M1546" s="201" t="s">
        <v>12550</v>
      </c>
      <c r="N1546" s="207"/>
      <c r="O1546" s="38"/>
    </row>
    <row r="1547" spans="1:15" ht="84" customHeight="1" x14ac:dyDescent="0.3">
      <c r="A1547" s="2">
        <v>1527</v>
      </c>
      <c r="B1547" s="52" t="s">
        <v>12492</v>
      </c>
      <c r="C1547" s="52" t="s">
        <v>13804</v>
      </c>
      <c r="D1547" s="88" t="s">
        <v>14014</v>
      </c>
      <c r="E1547" s="157">
        <v>33.5</v>
      </c>
      <c r="F1547" s="6">
        <v>13174.07</v>
      </c>
      <c r="G1547" s="6">
        <v>5796.62</v>
      </c>
      <c r="H1547" s="25"/>
      <c r="I1547" s="207" t="s">
        <v>12545</v>
      </c>
      <c r="J1547" s="66" t="s">
        <v>12549</v>
      </c>
      <c r="K1547" s="207"/>
      <c r="L1547" s="66"/>
      <c r="M1547" s="201" t="s">
        <v>12550</v>
      </c>
      <c r="N1547" s="207"/>
      <c r="O1547" s="38"/>
    </row>
    <row r="1548" spans="1:15" ht="84" customHeight="1" x14ac:dyDescent="0.3">
      <c r="A1548" s="2">
        <v>1528</v>
      </c>
      <c r="B1548" s="52" t="s">
        <v>12491</v>
      </c>
      <c r="C1548" s="52" t="s">
        <v>13805</v>
      </c>
      <c r="D1548" s="88" t="s">
        <v>14021</v>
      </c>
      <c r="E1548" s="157">
        <v>46.5</v>
      </c>
      <c r="F1548" s="6">
        <v>133256.89000000001</v>
      </c>
      <c r="G1548" s="6">
        <v>133256.89000000001</v>
      </c>
      <c r="H1548" s="25"/>
      <c r="I1548" s="207" t="s">
        <v>12545</v>
      </c>
      <c r="J1548" s="66" t="s">
        <v>12549</v>
      </c>
      <c r="K1548" s="207"/>
      <c r="L1548" s="66"/>
      <c r="M1548" s="201" t="s">
        <v>12550</v>
      </c>
      <c r="N1548" s="207"/>
      <c r="O1548" s="38"/>
    </row>
    <row r="1549" spans="1:15" ht="84" customHeight="1" x14ac:dyDescent="0.3">
      <c r="A1549" s="2">
        <v>1529</v>
      </c>
      <c r="B1549" s="52" t="s">
        <v>12491</v>
      </c>
      <c r="C1549" s="52" t="s">
        <v>13806</v>
      </c>
      <c r="D1549" s="88"/>
      <c r="E1549" s="157">
        <v>40.799999999999997</v>
      </c>
      <c r="F1549" s="6">
        <v>497382.28</v>
      </c>
      <c r="G1549" s="6">
        <v>67643.899999999994</v>
      </c>
      <c r="H1549" s="207"/>
      <c r="I1549" s="207" t="s">
        <v>12545</v>
      </c>
      <c r="J1549" s="66" t="s">
        <v>12549</v>
      </c>
      <c r="K1549" s="207"/>
      <c r="L1549" s="66"/>
      <c r="M1549" s="201" t="s">
        <v>12550</v>
      </c>
      <c r="N1549" s="207"/>
      <c r="O1549" s="38"/>
    </row>
    <row r="1550" spans="1:15" ht="84" customHeight="1" x14ac:dyDescent="0.3">
      <c r="A1550" s="2">
        <v>1530</v>
      </c>
      <c r="B1550" s="52" t="s">
        <v>12491</v>
      </c>
      <c r="C1550" s="52" t="s">
        <v>13807</v>
      </c>
      <c r="D1550" s="88"/>
      <c r="E1550" s="157">
        <v>45.4</v>
      </c>
      <c r="F1550" s="6">
        <v>553459.69999999995</v>
      </c>
      <c r="G1550" s="6">
        <v>75270.42</v>
      </c>
      <c r="H1550" s="207"/>
      <c r="I1550" s="207" t="s">
        <v>12545</v>
      </c>
      <c r="J1550" s="66" t="s">
        <v>12549</v>
      </c>
      <c r="K1550" s="207"/>
      <c r="L1550" s="66"/>
      <c r="M1550" s="201" t="s">
        <v>12550</v>
      </c>
      <c r="N1550" s="207"/>
      <c r="O1550" s="38"/>
    </row>
    <row r="1551" spans="1:15" ht="84" customHeight="1" x14ac:dyDescent="0.3">
      <c r="A1551" s="2">
        <v>1531</v>
      </c>
      <c r="B1551" s="52" t="s">
        <v>12491</v>
      </c>
      <c r="C1551" s="52" t="s">
        <v>13808</v>
      </c>
      <c r="D1551" s="88" t="s">
        <v>14010</v>
      </c>
      <c r="E1551" s="157">
        <v>32.4</v>
      </c>
      <c r="F1551" s="6">
        <v>23075.02</v>
      </c>
      <c r="G1551" s="6">
        <v>10383.700000000001</v>
      </c>
      <c r="H1551" s="25"/>
      <c r="I1551" s="207" t="s">
        <v>12545</v>
      </c>
      <c r="J1551" s="66" t="s">
        <v>12549</v>
      </c>
      <c r="K1551" s="207"/>
      <c r="L1551" s="66"/>
      <c r="M1551" s="201" t="s">
        <v>12550</v>
      </c>
      <c r="N1551" s="207"/>
      <c r="O1551" s="38"/>
    </row>
    <row r="1552" spans="1:15" ht="84" customHeight="1" x14ac:dyDescent="0.3">
      <c r="A1552" s="2">
        <v>1532</v>
      </c>
      <c r="B1552" s="52" t="s">
        <v>12492</v>
      </c>
      <c r="C1552" s="52" t="s">
        <v>13809</v>
      </c>
      <c r="D1552" s="88" t="s">
        <v>14011</v>
      </c>
      <c r="E1552" s="157">
        <v>32.299999999999997</v>
      </c>
      <c r="F1552" s="6">
        <v>11224.07</v>
      </c>
      <c r="G1552" s="6">
        <v>5050.8</v>
      </c>
      <c r="H1552" s="207"/>
      <c r="I1552" s="207" t="s">
        <v>12545</v>
      </c>
      <c r="J1552" s="66" t="s">
        <v>12549</v>
      </c>
      <c r="K1552" s="26">
        <v>42152</v>
      </c>
      <c r="L1552" s="66" t="s">
        <v>19035</v>
      </c>
      <c r="M1552" s="201" t="s">
        <v>12550</v>
      </c>
      <c r="N1552" s="207"/>
      <c r="O1552" s="38"/>
    </row>
    <row r="1553" spans="1:15" ht="84" customHeight="1" x14ac:dyDescent="0.3">
      <c r="A1553" s="2">
        <v>1533</v>
      </c>
      <c r="B1553" s="52" t="s">
        <v>12494</v>
      </c>
      <c r="C1553" s="52" t="s">
        <v>13810</v>
      </c>
      <c r="D1553" s="88" t="s">
        <v>14012</v>
      </c>
      <c r="E1553" s="157">
        <v>34.799999999999997</v>
      </c>
      <c r="F1553" s="6">
        <v>11970.35</v>
      </c>
      <c r="G1553" s="6">
        <v>5386.63</v>
      </c>
      <c r="H1553" s="25"/>
      <c r="I1553" s="207" t="s">
        <v>12545</v>
      </c>
      <c r="J1553" s="66" t="s">
        <v>12549</v>
      </c>
      <c r="K1553" s="207"/>
      <c r="L1553" s="66"/>
      <c r="M1553" s="201" t="s">
        <v>12550</v>
      </c>
      <c r="N1553" s="207"/>
      <c r="O1553" s="38"/>
    </row>
    <row r="1554" spans="1:15" ht="84" customHeight="1" x14ac:dyDescent="0.3">
      <c r="A1554" s="2">
        <v>1534</v>
      </c>
      <c r="B1554" s="52" t="s">
        <v>12492</v>
      </c>
      <c r="C1554" s="52" t="s">
        <v>13811</v>
      </c>
      <c r="D1554" s="88" t="s">
        <v>14013</v>
      </c>
      <c r="E1554" s="157">
        <v>32.4</v>
      </c>
      <c r="F1554" s="6">
        <v>11791.24</v>
      </c>
      <c r="G1554" s="6">
        <v>5306.03</v>
      </c>
      <c r="H1554" s="25"/>
      <c r="I1554" s="207" t="s">
        <v>12545</v>
      </c>
      <c r="J1554" s="66" t="s">
        <v>12549</v>
      </c>
      <c r="K1554" s="207"/>
      <c r="L1554" s="66"/>
      <c r="M1554" s="201" t="s">
        <v>12550</v>
      </c>
      <c r="N1554" s="207"/>
      <c r="O1554" s="38"/>
    </row>
    <row r="1555" spans="1:15" ht="84" customHeight="1" x14ac:dyDescent="0.3">
      <c r="A1555" s="2">
        <v>1535</v>
      </c>
      <c r="B1555" s="52" t="s">
        <v>12492</v>
      </c>
      <c r="C1555" s="52" t="s">
        <v>13812</v>
      </c>
      <c r="D1555" s="88" t="s">
        <v>14015</v>
      </c>
      <c r="E1555" s="157">
        <v>34.299999999999997</v>
      </c>
      <c r="F1555" s="6">
        <v>10410.469999999999</v>
      </c>
      <c r="G1555" s="6">
        <v>4580.63</v>
      </c>
      <c r="H1555" s="25"/>
      <c r="I1555" s="207" t="s">
        <v>12545</v>
      </c>
      <c r="J1555" s="66" t="s">
        <v>12549</v>
      </c>
      <c r="K1555" s="207"/>
      <c r="L1555" s="66"/>
      <c r="M1555" s="201" t="s">
        <v>12550</v>
      </c>
      <c r="N1555" s="207"/>
      <c r="O1555" s="38"/>
    </row>
    <row r="1556" spans="1:15" ht="96" customHeight="1" x14ac:dyDescent="0.3">
      <c r="A1556" s="2">
        <v>1536</v>
      </c>
      <c r="B1556" s="52" t="s">
        <v>12492</v>
      </c>
      <c r="C1556" s="52" t="s">
        <v>13813</v>
      </c>
      <c r="D1556" s="88" t="s">
        <v>14016</v>
      </c>
      <c r="E1556" s="157">
        <v>33</v>
      </c>
      <c r="F1556" s="6">
        <v>11671.53</v>
      </c>
      <c r="G1556" s="6">
        <v>5135.5</v>
      </c>
      <c r="H1556" s="207"/>
      <c r="I1556" s="207" t="s">
        <v>12545</v>
      </c>
      <c r="J1556" s="66" t="s">
        <v>12549</v>
      </c>
      <c r="K1556" s="207" t="s">
        <v>18516</v>
      </c>
      <c r="L1556" s="66" t="s">
        <v>18517</v>
      </c>
      <c r="M1556" s="201" t="s">
        <v>12550</v>
      </c>
      <c r="N1556" s="207"/>
      <c r="O1556" s="38" t="s">
        <v>20456</v>
      </c>
    </row>
    <row r="1557" spans="1:15" ht="84" customHeight="1" x14ac:dyDescent="0.3">
      <c r="A1557" s="2">
        <v>1537</v>
      </c>
      <c r="B1557" s="52" t="s">
        <v>12492</v>
      </c>
      <c r="C1557" s="52" t="s">
        <v>13814</v>
      </c>
      <c r="D1557" s="88" t="s">
        <v>14017</v>
      </c>
      <c r="E1557" s="157">
        <v>33.1</v>
      </c>
      <c r="F1557" s="6">
        <v>8881.09</v>
      </c>
      <c r="G1557" s="6">
        <v>3907.7</v>
      </c>
      <c r="H1557" s="25"/>
      <c r="I1557" s="207" t="s">
        <v>12545</v>
      </c>
      <c r="J1557" s="66" t="s">
        <v>12549</v>
      </c>
      <c r="K1557" s="207"/>
      <c r="L1557" s="66"/>
      <c r="M1557" s="201" t="s">
        <v>12550</v>
      </c>
      <c r="N1557" s="207"/>
      <c r="O1557" s="38"/>
    </row>
    <row r="1558" spans="1:15" ht="84" customHeight="1" x14ac:dyDescent="0.3">
      <c r="A1558" s="2">
        <v>1538</v>
      </c>
      <c r="B1558" s="52" t="s">
        <v>12492</v>
      </c>
      <c r="C1558" s="52" t="s">
        <v>13815</v>
      </c>
      <c r="D1558" s="88" t="s">
        <v>14018</v>
      </c>
      <c r="E1558" s="157">
        <v>33.1</v>
      </c>
      <c r="F1558" s="6">
        <v>11591.04</v>
      </c>
      <c r="G1558" s="6">
        <v>5100.08</v>
      </c>
      <c r="H1558" s="25"/>
      <c r="I1558" s="207" t="s">
        <v>12545</v>
      </c>
      <c r="J1558" s="66" t="s">
        <v>12549</v>
      </c>
      <c r="K1558" s="207"/>
      <c r="L1558" s="66"/>
      <c r="M1558" s="201" t="s">
        <v>12550</v>
      </c>
      <c r="N1558" s="207"/>
      <c r="O1558" s="38"/>
    </row>
    <row r="1559" spans="1:15" ht="84" customHeight="1" x14ac:dyDescent="0.3">
      <c r="A1559" s="2">
        <v>1539</v>
      </c>
      <c r="B1559" s="52" t="s">
        <v>12492</v>
      </c>
      <c r="C1559" s="52" t="s">
        <v>13816</v>
      </c>
      <c r="D1559" s="88" t="s">
        <v>14019</v>
      </c>
      <c r="E1559" s="157">
        <v>33</v>
      </c>
      <c r="F1559" s="6">
        <v>10464.11</v>
      </c>
      <c r="G1559" s="6">
        <v>4604.24</v>
      </c>
      <c r="H1559" s="25"/>
      <c r="I1559" s="207" t="s">
        <v>12545</v>
      </c>
      <c r="J1559" s="66" t="s">
        <v>12549</v>
      </c>
      <c r="K1559" s="207"/>
      <c r="L1559" s="66"/>
      <c r="M1559" s="201" t="s">
        <v>12550</v>
      </c>
      <c r="N1559" s="207"/>
      <c r="O1559" s="38"/>
    </row>
    <row r="1560" spans="1:15" ht="84" customHeight="1" x14ac:dyDescent="0.3">
      <c r="A1560" s="2">
        <v>1540</v>
      </c>
      <c r="B1560" s="52" t="s">
        <v>12492</v>
      </c>
      <c r="C1560" s="52" t="s">
        <v>13817</v>
      </c>
      <c r="D1560" s="88" t="s">
        <v>14020</v>
      </c>
      <c r="E1560" s="157">
        <v>32.799999999999997</v>
      </c>
      <c r="F1560" s="6">
        <v>11591.07</v>
      </c>
      <c r="G1560" s="6">
        <v>5100.08</v>
      </c>
      <c r="H1560" s="25"/>
      <c r="I1560" s="207" t="s">
        <v>12545</v>
      </c>
      <c r="J1560" s="66" t="s">
        <v>12549</v>
      </c>
      <c r="K1560" s="207"/>
      <c r="L1560" s="66"/>
      <c r="M1560" s="201" t="s">
        <v>12550</v>
      </c>
      <c r="N1560" s="207"/>
      <c r="O1560" s="38" t="s">
        <v>20221</v>
      </c>
    </row>
    <row r="1561" spans="1:15" ht="84" customHeight="1" x14ac:dyDescent="0.3">
      <c r="A1561" s="2">
        <v>1541</v>
      </c>
      <c r="B1561" s="52" t="s">
        <v>12491</v>
      </c>
      <c r="C1561" s="52" t="s">
        <v>13818</v>
      </c>
      <c r="D1561" s="88"/>
      <c r="E1561" s="157">
        <v>49.7</v>
      </c>
      <c r="F1561" s="6">
        <v>125671.1</v>
      </c>
      <c r="G1561" s="6">
        <v>125671.11</v>
      </c>
      <c r="H1561" s="207"/>
      <c r="I1561" s="207" t="s">
        <v>12545</v>
      </c>
      <c r="J1561" s="66" t="s">
        <v>12549</v>
      </c>
      <c r="K1561" s="207"/>
      <c r="L1561" s="66"/>
      <c r="M1561" s="201" t="s">
        <v>12550</v>
      </c>
      <c r="N1561" s="207"/>
      <c r="O1561" s="38"/>
    </row>
    <row r="1562" spans="1:15" ht="72" customHeight="1" x14ac:dyDescent="0.3">
      <c r="A1562" s="242">
        <v>1542</v>
      </c>
      <c r="B1562" s="52" t="s">
        <v>17807</v>
      </c>
      <c r="C1562" s="52" t="s">
        <v>13819</v>
      </c>
      <c r="D1562" s="85" t="s">
        <v>14025</v>
      </c>
      <c r="E1562" s="157">
        <v>59.8</v>
      </c>
      <c r="F1562" s="6">
        <v>66663.75</v>
      </c>
      <c r="G1562" s="6">
        <v>12586.86</v>
      </c>
      <c r="H1562" s="25"/>
      <c r="I1562" s="207" t="s">
        <v>12545</v>
      </c>
      <c r="J1562" s="66" t="s">
        <v>18579</v>
      </c>
      <c r="K1562" s="207"/>
      <c r="L1562" s="66"/>
      <c r="M1562" s="201" t="s">
        <v>12550</v>
      </c>
      <c r="N1562" s="245"/>
      <c r="O1562" s="38"/>
    </row>
    <row r="1563" spans="1:15" ht="72" customHeight="1" x14ac:dyDescent="0.3">
      <c r="A1563" s="2">
        <v>1543</v>
      </c>
      <c r="B1563" s="52" t="s">
        <v>12490</v>
      </c>
      <c r="C1563" s="52" t="s">
        <v>13820</v>
      </c>
      <c r="D1563" s="88"/>
      <c r="E1563" s="157">
        <v>58.3</v>
      </c>
      <c r="F1563" s="6">
        <v>88085.8</v>
      </c>
      <c r="G1563" s="6">
        <v>16632.810000000001</v>
      </c>
      <c r="H1563" s="207"/>
      <c r="I1563" s="207" t="s">
        <v>12545</v>
      </c>
      <c r="J1563" s="66" t="s">
        <v>12549</v>
      </c>
      <c r="K1563" s="207"/>
      <c r="L1563" s="66"/>
      <c r="M1563" s="201" t="s">
        <v>12550</v>
      </c>
      <c r="N1563" s="207"/>
      <c r="O1563" s="38"/>
    </row>
    <row r="1564" spans="1:15" ht="72" customHeight="1" x14ac:dyDescent="0.3">
      <c r="A1564" s="2">
        <v>1544</v>
      </c>
      <c r="B1564" s="52" t="s">
        <v>12491</v>
      </c>
      <c r="C1564" s="52" t="s">
        <v>13821</v>
      </c>
      <c r="D1564" s="88"/>
      <c r="E1564" s="157">
        <v>49.2</v>
      </c>
      <c r="F1564" s="6">
        <v>53057.25</v>
      </c>
      <c r="G1564" s="6">
        <v>8905.4599999999991</v>
      </c>
      <c r="H1564" s="207"/>
      <c r="I1564" s="207" t="s">
        <v>12545</v>
      </c>
      <c r="J1564" s="66" t="s">
        <v>12549</v>
      </c>
      <c r="K1564" s="207"/>
      <c r="L1564" s="66"/>
      <c r="M1564" s="201" t="s">
        <v>12550</v>
      </c>
      <c r="N1564" s="207"/>
      <c r="O1564" s="38"/>
    </row>
    <row r="1565" spans="1:15" ht="72" customHeight="1" x14ac:dyDescent="0.3">
      <c r="A1565" s="2">
        <v>1545</v>
      </c>
      <c r="B1565" s="52" t="s">
        <v>12491</v>
      </c>
      <c r="C1565" s="52" t="s">
        <v>13822</v>
      </c>
      <c r="D1565" s="88"/>
      <c r="E1565" s="157">
        <v>48.7</v>
      </c>
      <c r="F1565" s="6">
        <v>58290.9</v>
      </c>
      <c r="G1565" s="6">
        <v>8854.94</v>
      </c>
      <c r="H1565" s="207"/>
      <c r="I1565" s="207" t="s">
        <v>12545</v>
      </c>
      <c r="J1565" s="66" t="s">
        <v>12549</v>
      </c>
      <c r="K1565" s="207"/>
      <c r="L1565" s="66"/>
      <c r="M1565" s="201" t="s">
        <v>12550</v>
      </c>
      <c r="N1565" s="207"/>
      <c r="O1565" s="38"/>
    </row>
    <row r="1566" spans="1:15" ht="72" customHeight="1" x14ac:dyDescent="0.3">
      <c r="A1566" s="2">
        <v>1546</v>
      </c>
      <c r="B1566" s="52" t="s">
        <v>12490</v>
      </c>
      <c r="C1566" s="52" t="s">
        <v>13823</v>
      </c>
      <c r="D1566" s="88"/>
      <c r="E1566" s="157">
        <v>58.3</v>
      </c>
      <c r="F1566" s="6">
        <v>66605.7</v>
      </c>
      <c r="G1566" s="6">
        <v>10247.969999999999</v>
      </c>
      <c r="H1566" s="207"/>
      <c r="I1566" s="207" t="s">
        <v>12545</v>
      </c>
      <c r="J1566" s="66" t="s">
        <v>12549</v>
      </c>
      <c r="K1566" s="207"/>
      <c r="L1566" s="66"/>
      <c r="M1566" s="201" t="s">
        <v>12550</v>
      </c>
      <c r="N1566" s="207"/>
      <c r="O1566" s="38"/>
    </row>
    <row r="1567" spans="1:15" ht="72" customHeight="1" x14ac:dyDescent="0.3">
      <c r="A1567" s="2">
        <v>1547</v>
      </c>
      <c r="B1567" s="52" t="s">
        <v>12490</v>
      </c>
      <c r="C1567" s="52" t="s">
        <v>13824</v>
      </c>
      <c r="D1567" s="88"/>
      <c r="E1567" s="157">
        <v>58.1</v>
      </c>
      <c r="F1567" s="6">
        <v>72492.97</v>
      </c>
      <c r="G1567" s="6">
        <v>11153.77</v>
      </c>
      <c r="H1567" s="207"/>
      <c r="I1567" s="207" t="s">
        <v>12545</v>
      </c>
      <c r="J1567" s="66" t="s">
        <v>12549</v>
      </c>
      <c r="K1567" s="207"/>
      <c r="L1567" s="66"/>
      <c r="M1567" s="201" t="s">
        <v>12550</v>
      </c>
      <c r="N1567" s="207"/>
      <c r="O1567" s="38"/>
    </row>
    <row r="1568" spans="1:15" ht="72" customHeight="1" x14ac:dyDescent="0.3">
      <c r="A1568" s="2">
        <v>1548</v>
      </c>
      <c r="B1568" s="52" t="s">
        <v>12490</v>
      </c>
      <c r="C1568" s="52" t="s">
        <v>13825</v>
      </c>
      <c r="D1568" s="88" t="s">
        <v>14032</v>
      </c>
      <c r="E1568" s="157">
        <v>53.4</v>
      </c>
      <c r="F1568" s="43">
        <v>22202.81</v>
      </c>
      <c r="G1568" s="43">
        <v>6521.42</v>
      </c>
      <c r="H1568" s="25">
        <v>1021195.43</v>
      </c>
      <c r="I1568" s="207" t="s">
        <v>12545</v>
      </c>
      <c r="J1568" s="66" t="s">
        <v>20276</v>
      </c>
      <c r="K1568" s="207"/>
      <c r="L1568" s="66"/>
      <c r="M1568" s="201" t="s">
        <v>12550</v>
      </c>
      <c r="N1568" s="207"/>
      <c r="O1568" s="38" t="s">
        <v>22966</v>
      </c>
    </row>
    <row r="1569" spans="1:15" ht="120" customHeight="1" x14ac:dyDescent="0.3">
      <c r="A1569" s="2">
        <v>1549</v>
      </c>
      <c r="B1569" s="52" t="s">
        <v>12493</v>
      </c>
      <c r="C1569" s="52" t="s">
        <v>13826</v>
      </c>
      <c r="D1569" s="88" t="s">
        <v>14038</v>
      </c>
      <c r="E1569" s="157">
        <v>52.9</v>
      </c>
      <c r="F1569" s="6">
        <v>100579.91</v>
      </c>
      <c r="G1569" s="6">
        <v>26025.68</v>
      </c>
      <c r="H1569" s="207"/>
      <c r="I1569" s="207" t="s">
        <v>12545</v>
      </c>
      <c r="J1569" s="66" t="s">
        <v>12549</v>
      </c>
      <c r="K1569" s="207" t="s">
        <v>20220</v>
      </c>
      <c r="L1569" s="66" t="s">
        <v>20222</v>
      </c>
      <c r="M1569" s="201" t="s">
        <v>12550</v>
      </c>
      <c r="N1569" s="207"/>
      <c r="O1569" s="38"/>
    </row>
    <row r="1570" spans="1:15" ht="72" customHeight="1" x14ac:dyDescent="0.3">
      <c r="A1570" s="2">
        <v>1550</v>
      </c>
      <c r="B1570" s="52" t="s">
        <v>12491</v>
      </c>
      <c r="C1570" s="52" t="s">
        <v>13827</v>
      </c>
      <c r="D1570" s="88" t="s">
        <v>14039</v>
      </c>
      <c r="E1570" s="157">
        <v>40.5</v>
      </c>
      <c r="F1570" s="6">
        <v>69706.28</v>
      </c>
      <c r="G1570" s="6">
        <v>17061.96</v>
      </c>
      <c r="H1570" s="25"/>
      <c r="I1570" s="207" t="s">
        <v>12545</v>
      </c>
      <c r="J1570" s="66" t="s">
        <v>12549</v>
      </c>
      <c r="K1570" s="207"/>
      <c r="L1570" s="66"/>
      <c r="M1570" s="201" t="s">
        <v>12550</v>
      </c>
      <c r="N1570" s="207"/>
      <c r="O1570" s="38"/>
    </row>
    <row r="1571" spans="1:15" ht="72" customHeight="1" x14ac:dyDescent="0.3">
      <c r="A1571" s="2">
        <v>1551</v>
      </c>
      <c r="B1571" s="52" t="s">
        <v>12491</v>
      </c>
      <c r="C1571" s="52" t="s">
        <v>13828</v>
      </c>
      <c r="D1571" s="88" t="s">
        <v>14041</v>
      </c>
      <c r="E1571" s="157">
        <v>44.7</v>
      </c>
      <c r="F1571" s="6">
        <v>16502</v>
      </c>
      <c r="G1571" s="6">
        <v>16502</v>
      </c>
      <c r="H1571" s="25"/>
      <c r="I1571" s="207" t="s">
        <v>12545</v>
      </c>
      <c r="J1571" s="66" t="s">
        <v>12549</v>
      </c>
      <c r="K1571" s="207"/>
      <c r="L1571" s="66"/>
      <c r="M1571" s="201" t="s">
        <v>12550</v>
      </c>
      <c r="N1571" s="245" t="s">
        <v>23267</v>
      </c>
      <c r="O1571" s="38" t="s">
        <v>21751</v>
      </c>
    </row>
    <row r="1572" spans="1:15" ht="149.4" customHeight="1" x14ac:dyDescent="0.3">
      <c r="A1572" s="2">
        <v>1552</v>
      </c>
      <c r="B1572" s="54" t="s">
        <v>12492</v>
      </c>
      <c r="C1572" s="52" t="s">
        <v>13829</v>
      </c>
      <c r="D1572" s="87" t="s">
        <v>20065</v>
      </c>
      <c r="E1572" s="157">
        <v>31.9</v>
      </c>
      <c r="F1572" s="39">
        <v>750000</v>
      </c>
      <c r="G1572" s="39">
        <v>7437.5</v>
      </c>
      <c r="H1572" s="207"/>
      <c r="I1572" s="207" t="s">
        <v>12545</v>
      </c>
      <c r="J1572" s="66" t="s">
        <v>12549</v>
      </c>
      <c r="K1572" s="26">
        <v>43228</v>
      </c>
      <c r="L1572" s="66" t="s">
        <v>20283</v>
      </c>
      <c r="M1572" s="201" t="s">
        <v>12550</v>
      </c>
      <c r="N1572" s="207"/>
      <c r="O1572" s="38"/>
    </row>
    <row r="1573" spans="1:15" ht="120" customHeight="1" x14ac:dyDescent="0.3">
      <c r="A1573" s="2">
        <v>1553</v>
      </c>
      <c r="B1573" s="54" t="s">
        <v>12492</v>
      </c>
      <c r="C1573" s="52" t="s">
        <v>13830</v>
      </c>
      <c r="D1573" s="88" t="s">
        <v>14029</v>
      </c>
      <c r="E1573" s="157">
        <v>31.9</v>
      </c>
      <c r="F1573" s="6">
        <v>735000</v>
      </c>
      <c r="G1573" s="6">
        <v>8146.3</v>
      </c>
      <c r="H1573" s="25"/>
      <c r="I1573" s="207" t="s">
        <v>12545</v>
      </c>
      <c r="J1573" s="66" t="s">
        <v>12549</v>
      </c>
      <c r="K1573" s="242" t="s">
        <v>22545</v>
      </c>
      <c r="L1573" s="66" t="s">
        <v>22546</v>
      </c>
      <c r="M1573" s="201" t="s">
        <v>12550</v>
      </c>
      <c r="N1573" s="207"/>
      <c r="O1573" s="38" t="s">
        <v>22558</v>
      </c>
    </row>
    <row r="1574" spans="1:15" ht="72" customHeight="1" x14ac:dyDescent="0.3">
      <c r="A1574" s="2">
        <v>1554</v>
      </c>
      <c r="B1574" s="52" t="s">
        <v>12490</v>
      </c>
      <c r="C1574" s="52" t="s">
        <v>13831</v>
      </c>
      <c r="D1574" s="88"/>
      <c r="E1574" s="157">
        <v>57.9</v>
      </c>
      <c r="F1574" s="6">
        <v>64545.68</v>
      </c>
      <c r="G1574" s="6">
        <v>12186.94</v>
      </c>
      <c r="H1574" s="207"/>
      <c r="I1574" s="207" t="s">
        <v>12545</v>
      </c>
      <c r="J1574" s="66" t="s">
        <v>12549</v>
      </c>
      <c r="K1574" s="207"/>
      <c r="L1574" s="66"/>
      <c r="M1574" s="201" t="s">
        <v>12550</v>
      </c>
      <c r="N1574" s="207"/>
      <c r="O1574" s="38" t="s">
        <v>21752</v>
      </c>
    </row>
    <row r="1575" spans="1:15" ht="72" customHeight="1" x14ac:dyDescent="0.3">
      <c r="A1575" s="2">
        <v>1555</v>
      </c>
      <c r="B1575" s="52" t="s">
        <v>12491</v>
      </c>
      <c r="C1575" s="52" t="s">
        <v>13832</v>
      </c>
      <c r="D1575" s="88"/>
      <c r="E1575" s="157">
        <v>50.9</v>
      </c>
      <c r="F1575" s="6">
        <v>56742.23</v>
      </c>
      <c r="G1575" s="6">
        <v>10713.57</v>
      </c>
      <c r="H1575" s="207"/>
      <c r="I1575" s="207" t="s">
        <v>12545</v>
      </c>
      <c r="J1575" s="66" t="s">
        <v>12549</v>
      </c>
      <c r="K1575" s="207"/>
      <c r="L1575" s="66"/>
      <c r="M1575" s="201" t="s">
        <v>12550</v>
      </c>
      <c r="N1575" s="207"/>
      <c r="O1575" s="38"/>
    </row>
    <row r="1576" spans="1:15" ht="72" customHeight="1" x14ac:dyDescent="0.3">
      <c r="A1576" s="2">
        <v>1556</v>
      </c>
      <c r="B1576" s="52" t="s">
        <v>12491</v>
      </c>
      <c r="C1576" s="52" t="s">
        <v>13833</v>
      </c>
      <c r="D1576" s="88"/>
      <c r="E1576" s="157">
        <v>50.9</v>
      </c>
      <c r="F1576" s="6">
        <v>56742.23</v>
      </c>
      <c r="G1576" s="6">
        <v>10713.57</v>
      </c>
      <c r="H1576" s="207"/>
      <c r="I1576" s="207" t="s">
        <v>12545</v>
      </c>
      <c r="J1576" s="66" t="s">
        <v>12549</v>
      </c>
      <c r="K1576" s="207"/>
      <c r="L1576" s="66"/>
      <c r="M1576" s="201" t="s">
        <v>12550</v>
      </c>
      <c r="N1576" s="207"/>
      <c r="O1576" s="38"/>
    </row>
    <row r="1577" spans="1:15" ht="72" customHeight="1" x14ac:dyDescent="0.3">
      <c r="A1577" s="2">
        <v>1557</v>
      </c>
      <c r="B1577" s="52" t="s">
        <v>12491</v>
      </c>
      <c r="C1577" s="52" t="s">
        <v>13834</v>
      </c>
      <c r="D1577" s="88"/>
      <c r="E1577" s="157">
        <v>50.7</v>
      </c>
      <c r="F1577" s="6">
        <v>56519.27</v>
      </c>
      <c r="G1577" s="6">
        <v>10671.47</v>
      </c>
      <c r="H1577" s="207"/>
      <c r="I1577" s="207" t="s">
        <v>12545</v>
      </c>
      <c r="J1577" s="66" t="s">
        <v>12549</v>
      </c>
      <c r="K1577" s="207"/>
      <c r="L1577" s="66"/>
      <c r="M1577" s="201" t="s">
        <v>12550</v>
      </c>
      <c r="N1577" s="207"/>
      <c r="O1577" s="38"/>
    </row>
    <row r="1578" spans="1:15" ht="72" customHeight="1" x14ac:dyDescent="0.3">
      <c r="A1578" s="2">
        <v>1558</v>
      </c>
      <c r="B1578" s="52" t="s">
        <v>12491</v>
      </c>
      <c r="C1578" s="52" t="s">
        <v>13835</v>
      </c>
      <c r="D1578" s="88" t="s">
        <v>14026</v>
      </c>
      <c r="E1578" s="157">
        <v>49.3</v>
      </c>
      <c r="F1578" s="6">
        <v>55738.93</v>
      </c>
      <c r="G1578" s="6">
        <v>10524.13</v>
      </c>
      <c r="H1578" s="25"/>
      <c r="I1578" s="207" t="s">
        <v>12545</v>
      </c>
      <c r="J1578" s="66" t="s">
        <v>12549</v>
      </c>
      <c r="K1578" s="207"/>
      <c r="L1578" s="66"/>
      <c r="M1578" s="201" t="s">
        <v>12550</v>
      </c>
      <c r="N1578" s="207"/>
      <c r="O1578" s="38"/>
    </row>
    <row r="1579" spans="1:15" ht="72" customHeight="1" x14ac:dyDescent="0.3">
      <c r="A1579" s="2">
        <v>1559</v>
      </c>
      <c r="B1579" s="52" t="s">
        <v>12490</v>
      </c>
      <c r="C1579" s="52" t="s">
        <v>13836</v>
      </c>
      <c r="D1579" s="88"/>
      <c r="E1579" s="157">
        <v>57.8</v>
      </c>
      <c r="F1579" s="6">
        <v>64434.2</v>
      </c>
      <c r="G1579" s="6">
        <v>12165.9</v>
      </c>
      <c r="H1579" s="207"/>
      <c r="I1579" s="207" t="s">
        <v>12545</v>
      </c>
      <c r="J1579" s="66" t="s">
        <v>12549</v>
      </c>
      <c r="K1579" s="207"/>
      <c r="L1579" s="66"/>
      <c r="M1579" s="201" t="s">
        <v>12550</v>
      </c>
      <c r="N1579" s="207"/>
      <c r="O1579" s="38"/>
    </row>
    <row r="1580" spans="1:15" ht="72" customHeight="1" x14ac:dyDescent="0.3">
      <c r="A1580" s="2">
        <v>1560</v>
      </c>
      <c r="B1580" s="52" t="s">
        <v>12491</v>
      </c>
      <c r="C1580" s="52" t="s">
        <v>13837</v>
      </c>
      <c r="D1580" s="88"/>
      <c r="E1580" s="157">
        <v>49.4</v>
      </c>
      <c r="F1580" s="6">
        <v>55070.06</v>
      </c>
      <c r="G1580" s="6">
        <v>10397.84</v>
      </c>
      <c r="H1580" s="207"/>
      <c r="I1580" s="207" t="s">
        <v>12545</v>
      </c>
      <c r="J1580" s="66" t="s">
        <v>12549</v>
      </c>
      <c r="K1580" s="207"/>
      <c r="L1580" s="66"/>
      <c r="M1580" s="201" t="s">
        <v>12550</v>
      </c>
      <c r="N1580" s="207"/>
      <c r="O1580" s="38"/>
    </row>
    <row r="1581" spans="1:15" ht="72" customHeight="1" x14ac:dyDescent="0.3">
      <c r="A1581" s="2">
        <v>1561</v>
      </c>
      <c r="B1581" s="52" t="s">
        <v>12491</v>
      </c>
      <c r="C1581" s="52" t="s">
        <v>13838</v>
      </c>
      <c r="D1581" s="88"/>
      <c r="E1581" s="157">
        <v>49.4</v>
      </c>
      <c r="F1581" s="6">
        <v>55070.06</v>
      </c>
      <c r="G1581" s="6">
        <v>10397.84</v>
      </c>
      <c r="H1581" s="207"/>
      <c r="I1581" s="207" t="s">
        <v>12545</v>
      </c>
      <c r="J1581" s="66" t="s">
        <v>12549</v>
      </c>
      <c r="K1581" s="207"/>
      <c r="L1581" s="66"/>
      <c r="M1581" s="201" t="s">
        <v>12550</v>
      </c>
      <c r="N1581" s="207"/>
      <c r="O1581" s="38"/>
    </row>
    <row r="1582" spans="1:15" ht="72" customHeight="1" x14ac:dyDescent="0.3">
      <c r="A1582" s="2">
        <v>1562</v>
      </c>
      <c r="B1582" s="52" t="s">
        <v>12491</v>
      </c>
      <c r="C1582" s="52" t="s">
        <v>13839</v>
      </c>
      <c r="D1582" s="88"/>
      <c r="E1582" s="157">
        <v>51.8</v>
      </c>
      <c r="F1582" s="6">
        <v>78264.929999999993</v>
      </c>
      <c r="G1582" s="6">
        <v>14778.38</v>
      </c>
      <c r="H1582" s="207"/>
      <c r="I1582" s="207" t="s">
        <v>12545</v>
      </c>
      <c r="J1582" s="66" t="s">
        <v>12549</v>
      </c>
      <c r="K1582" s="207"/>
      <c r="L1582" s="66"/>
      <c r="M1582" s="201" t="s">
        <v>12550</v>
      </c>
      <c r="N1582" s="207"/>
      <c r="O1582" s="38"/>
    </row>
    <row r="1583" spans="1:15" ht="72" customHeight="1" x14ac:dyDescent="0.3">
      <c r="A1583" s="2">
        <v>1563</v>
      </c>
      <c r="B1583" s="52" t="s">
        <v>12491</v>
      </c>
      <c r="C1583" s="52" t="s">
        <v>13840</v>
      </c>
      <c r="D1583" s="88"/>
      <c r="E1583" s="157">
        <v>47.4</v>
      </c>
      <c r="F1583" s="6">
        <v>71616.94</v>
      </c>
      <c r="G1583" s="6">
        <v>13523.08</v>
      </c>
      <c r="H1583" s="207"/>
      <c r="I1583" s="207" t="s">
        <v>12545</v>
      </c>
      <c r="J1583" s="66" t="s">
        <v>12549</v>
      </c>
      <c r="K1583" s="207"/>
      <c r="L1583" s="66"/>
      <c r="M1583" s="201" t="s">
        <v>12550</v>
      </c>
      <c r="N1583" s="207"/>
      <c r="O1583" s="38"/>
    </row>
    <row r="1584" spans="1:15" ht="72" customHeight="1" x14ac:dyDescent="0.3">
      <c r="A1584" s="2">
        <v>1564</v>
      </c>
      <c r="B1584" s="52" t="s">
        <v>12491</v>
      </c>
      <c r="C1584" s="52" t="s">
        <v>13841</v>
      </c>
      <c r="D1584" s="239" t="s">
        <v>22563</v>
      </c>
      <c r="E1584" s="157">
        <v>49.1</v>
      </c>
      <c r="F1584" s="6">
        <v>76149.66</v>
      </c>
      <c r="G1584" s="6">
        <v>14378.97</v>
      </c>
      <c r="H1584" s="50">
        <v>938964.34</v>
      </c>
      <c r="I1584" s="207" t="s">
        <v>12545</v>
      </c>
      <c r="J1584" s="66" t="s">
        <v>12549</v>
      </c>
      <c r="K1584" s="207"/>
      <c r="L1584" s="66"/>
      <c r="M1584" s="201" t="s">
        <v>12550</v>
      </c>
      <c r="N1584" s="207"/>
      <c r="O1584" s="38" t="s">
        <v>22564</v>
      </c>
    </row>
    <row r="1585" spans="1:15" ht="72" customHeight="1" x14ac:dyDescent="0.3">
      <c r="A1585" s="2">
        <v>1565</v>
      </c>
      <c r="B1585" s="52" t="s">
        <v>12491</v>
      </c>
      <c r="C1585" s="52" t="s">
        <v>13842</v>
      </c>
      <c r="D1585" s="88"/>
      <c r="E1585" s="157">
        <v>46.4</v>
      </c>
      <c r="F1585" s="6">
        <v>70106.03</v>
      </c>
      <c r="G1585" s="6">
        <v>13237.78</v>
      </c>
      <c r="H1585" s="207"/>
      <c r="I1585" s="207" t="s">
        <v>12545</v>
      </c>
      <c r="J1585" s="66" t="s">
        <v>12549</v>
      </c>
      <c r="K1585" s="207"/>
      <c r="L1585" s="66"/>
      <c r="M1585" s="201" t="s">
        <v>12550</v>
      </c>
      <c r="N1585" s="207"/>
      <c r="O1585" s="38"/>
    </row>
    <row r="1586" spans="1:15" ht="72" customHeight="1" x14ac:dyDescent="0.3">
      <c r="A1586" s="2">
        <v>1566</v>
      </c>
      <c r="B1586" s="52" t="s">
        <v>12491</v>
      </c>
      <c r="C1586" s="52" t="s">
        <v>13843</v>
      </c>
      <c r="D1586" s="88" t="s">
        <v>14027</v>
      </c>
      <c r="E1586" s="157">
        <v>46.3</v>
      </c>
      <c r="F1586" s="6">
        <v>49929.9</v>
      </c>
      <c r="G1586" s="6">
        <v>8380.5400000000009</v>
      </c>
      <c r="H1586" s="25"/>
      <c r="I1586" s="207" t="s">
        <v>12545</v>
      </c>
      <c r="J1586" s="66" t="s">
        <v>12549</v>
      </c>
      <c r="K1586" s="207"/>
      <c r="L1586" s="66"/>
      <c r="M1586" s="201" t="s">
        <v>12550</v>
      </c>
      <c r="N1586" s="207"/>
      <c r="O1586" s="38"/>
    </row>
    <row r="1587" spans="1:15" ht="72" customHeight="1" x14ac:dyDescent="0.3">
      <c r="A1587" s="2">
        <v>1567</v>
      </c>
      <c r="B1587" s="52" t="s">
        <v>12490</v>
      </c>
      <c r="C1587" s="52" t="s">
        <v>13844</v>
      </c>
      <c r="D1587" s="88"/>
      <c r="E1587" s="157">
        <v>57.5</v>
      </c>
      <c r="F1587" s="6">
        <v>62007.98</v>
      </c>
      <c r="G1587" s="6">
        <v>10407.799999999999</v>
      </c>
      <c r="H1587" s="207"/>
      <c r="I1587" s="207" t="s">
        <v>12545</v>
      </c>
      <c r="J1587" s="66" t="s">
        <v>12549</v>
      </c>
      <c r="K1587" s="207"/>
      <c r="L1587" s="66"/>
      <c r="M1587" s="201" t="s">
        <v>12550</v>
      </c>
      <c r="N1587" s="207"/>
      <c r="O1587" s="38"/>
    </row>
    <row r="1588" spans="1:15" ht="72" customHeight="1" x14ac:dyDescent="0.3">
      <c r="A1588" s="2">
        <v>1568</v>
      </c>
      <c r="B1588" s="52" t="s">
        <v>12490</v>
      </c>
      <c r="C1588" s="52" t="s">
        <v>13845</v>
      </c>
      <c r="D1588" s="88"/>
      <c r="E1588" s="157">
        <v>58.2</v>
      </c>
      <c r="F1588" s="6">
        <v>62762.86</v>
      </c>
      <c r="G1588" s="6">
        <v>10534.5</v>
      </c>
      <c r="H1588" s="207"/>
      <c r="I1588" s="207" t="s">
        <v>12545</v>
      </c>
      <c r="J1588" s="66" t="s">
        <v>12549</v>
      </c>
      <c r="K1588" s="207"/>
      <c r="L1588" s="66"/>
      <c r="M1588" s="201" t="s">
        <v>12550</v>
      </c>
      <c r="N1588" s="207"/>
      <c r="O1588" s="38"/>
    </row>
    <row r="1589" spans="1:15" ht="72" customHeight="1" x14ac:dyDescent="0.3">
      <c r="A1589" s="2">
        <v>1569</v>
      </c>
      <c r="B1589" s="52" t="s">
        <v>12494</v>
      </c>
      <c r="C1589" s="52" t="s">
        <v>13846</v>
      </c>
      <c r="D1589" s="88"/>
      <c r="E1589" s="157">
        <v>32.1</v>
      </c>
      <c r="F1589" s="6">
        <v>38659.879999999997</v>
      </c>
      <c r="G1589" s="6">
        <v>5872.8</v>
      </c>
      <c r="H1589" s="207"/>
      <c r="I1589" s="207" t="s">
        <v>12545</v>
      </c>
      <c r="J1589" s="66" t="s">
        <v>12549</v>
      </c>
      <c r="K1589" s="207"/>
      <c r="L1589" s="66"/>
      <c r="M1589" s="201" t="s">
        <v>12550</v>
      </c>
      <c r="N1589" s="207"/>
      <c r="O1589" s="38"/>
    </row>
    <row r="1590" spans="1:15" ht="72" customHeight="1" x14ac:dyDescent="0.3">
      <c r="A1590" s="2">
        <v>1570</v>
      </c>
      <c r="B1590" s="52" t="s">
        <v>12494</v>
      </c>
      <c r="C1590" s="52" t="s">
        <v>13847</v>
      </c>
      <c r="D1590" s="88"/>
      <c r="E1590" s="157">
        <v>32.299999999999997</v>
      </c>
      <c r="F1590" s="6">
        <v>38900.75</v>
      </c>
      <c r="G1590" s="6">
        <v>5909.39</v>
      </c>
      <c r="H1590" s="207"/>
      <c r="I1590" s="207" t="s">
        <v>12545</v>
      </c>
      <c r="J1590" s="66" t="s">
        <v>12549</v>
      </c>
      <c r="K1590" s="207"/>
      <c r="L1590" s="66"/>
      <c r="M1590" s="201" t="s">
        <v>12550</v>
      </c>
      <c r="N1590" s="207"/>
      <c r="O1590" s="38"/>
    </row>
    <row r="1591" spans="1:15" ht="72" customHeight="1" x14ac:dyDescent="0.3">
      <c r="A1591" s="2">
        <v>1571</v>
      </c>
      <c r="B1591" s="52" t="s">
        <v>12490</v>
      </c>
      <c r="C1591" s="52" t="s">
        <v>13848</v>
      </c>
      <c r="D1591" s="88"/>
      <c r="E1591" s="157">
        <v>58.7</v>
      </c>
      <c r="F1591" s="6">
        <v>70695.789999999994</v>
      </c>
      <c r="G1591" s="6">
        <v>10739.36</v>
      </c>
      <c r="H1591" s="207"/>
      <c r="I1591" s="207" t="s">
        <v>12545</v>
      </c>
      <c r="J1591" s="66" t="s">
        <v>12549</v>
      </c>
      <c r="K1591" s="207"/>
      <c r="L1591" s="66"/>
      <c r="M1591" s="201" t="s">
        <v>12550</v>
      </c>
      <c r="N1591" s="207"/>
      <c r="O1591" s="38"/>
    </row>
    <row r="1592" spans="1:15" ht="72" customHeight="1" x14ac:dyDescent="0.3">
      <c r="A1592" s="2">
        <v>1572</v>
      </c>
      <c r="B1592" s="52" t="s">
        <v>12491</v>
      </c>
      <c r="C1592" s="52" t="s">
        <v>13849</v>
      </c>
      <c r="D1592" s="88"/>
      <c r="E1592" s="157">
        <v>51.7</v>
      </c>
      <c r="F1592" s="6">
        <v>62265.29</v>
      </c>
      <c r="G1592" s="6">
        <v>9458.69</v>
      </c>
      <c r="H1592" s="207"/>
      <c r="I1592" s="207" t="s">
        <v>12545</v>
      </c>
      <c r="J1592" s="66" t="s">
        <v>12549</v>
      </c>
      <c r="K1592" s="207"/>
      <c r="L1592" s="66"/>
      <c r="M1592" s="201" t="s">
        <v>12550</v>
      </c>
      <c r="N1592" s="207"/>
      <c r="O1592" s="38"/>
    </row>
    <row r="1593" spans="1:15" ht="72" customHeight="1" x14ac:dyDescent="0.3">
      <c r="A1593" s="2">
        <v>1573</v>
      </c>
      <c r="B1593" s="52" t="s">
        <v>12494</v>
      </c>
      <c r="C1593" s="52" t="s">
        <v>13850</v>
      </c>
      <c r="D1593" s="88"/>
      <c r="E1593" s="157">
        <v>32.299999999999997</v>
      </c>
      <c r="F1593" s="6">
        <v>38900.75</v>
      </c>
      <c r="G1593" s="6">
        <v>5909.39</v>
      </c>
      <c r="H1593" s="207"/>
      <c r="I1593" s="207" t="s">
        <v>12545</v>
      </c>
      <c r="J1593" s="66" t="s">
        <v>12549</v>
      </c>
      <c r="K1593" s="207"/>
      <c r="L1593" s="66"/>
      <c r="M1593" s="201" t="s">
        <v>12550</v>
      </c>
      <c r="N1593" s="207"/>
      <c r="O1593" s="38"/>
    </row>
    <row r="1594" spans="1:15" ht="72" customHeight="1" x14ac:dyDescent="0.3">
      <c r="A1594" s="2">
        <v>1574</v>
      </c>
      <c r="B1594" s="52" t="s">
        <v>12490</v>
      </c>
      <c r="C1594" s="52" t="s">
        <v>13851</v>
      </c>
      <c r="D1594" s="88"/>
      <c r="E1594" s="157">
        <v>58.7</v>
      </c>
      <c r="F1594" s="6">
        <v>70695.789999999994</v>
      </c>
      <c r="G1594" s="6">
        <v>10739.36</v>
      </c>
      <c r="H1594" s="207"/>
      <c r="I1594" s="207" t="s">
        <v>12545</v>
      </c>
      <c r="J1594" s="66" t="s">
        <v>12549</v>
      </c>
      <c r="K1594" s="207"/>
      <c r="L1594" s="66"/>
      <c r="M1594" s="201" t="s">
        <v>12550</v>
      </c>
      <c r="N1594" s="207"/>
      <c r="O1594" s="38"/>
    </row>
    <row r="1595" spans="1:15" ht="72" customHeight="1" x14ac:dyDescent="0.3">
      <c r="A1595" s="2">
        <v>1575</v>
      </c>
      <c r="B1595" s="52" t="s">
        <v>12490</v>
      </c>
      <c r="C1595" s="52" t="s">
        <v>13852</v>
      </c>
      <c r="D1595" s="88"/>
      <c r="E1595" s="157">
        <v>58</v>
      </c>
      <c r="F1595" s="6">
        <v>69852.740000000005</v>
      </c>
      <c r="G1595" s="6">
        <v>10611.29</v>
      </c>
      <c r="H1595" s="207"/>
      <c r="I1595" s="207" t="s">
        <v>12545</v>
      </c>
      <c r="J1595" s="66" t="s">
        <v>12549</v>
      </c>
      <c r="K1595" s="207"/>
      <c r="L1595" s="66"/>
      <c r="M1595" s="201" t="s">
        <v>12550</v>
      </c>
      <c r="N1595" s="207"/>
      <c r="O1595" s="38"/>
    </row>
    <row r="1596" spans="1:15" ht="72" customHeight="1" x14ac:dyDescent="0.3">
      <c r="A1596" s="2">
        <v>1576</v>
      </c>
      <c r="B1596" s="52" t="s">
        <v>12494</v>
      </c>
      <c r="C1596" s="52" t="s">
        <v>13853</v>
      </c>
      <c r="D1596" s="88"/>
      <c r="E1596" s="157">
        <v>31.4</v>
      </c>
      <c r="F1596" s="6">
        <v>37816.83</v>
      </c>
      <c r="G1596" s="6">
        <v>5744.73</v>
      </c>
      <c r="H1596" s="207"/>
      <c r="I1596" s="207" t="s">
        <v>12545</v>
      </c>
      <c r="J1596" s="66" t="s">
        <v>12549</v>
      </c>
      <c r="K1596" s="207"/>
      <c r="L1596" s="66"/>
      <c r="M1596" s="201" t="s">
        <v>12550</v>
      </c>
      <c r="N1596" s="207"/>
      <c r="O1596" s="38"/>
    </row>
    <row r="1597" spans="1:15" ht="96" customHeight="1" x14ac:dyDescent="0.3">
      <c r="A1597" s="2">
        <v>1577</v>
      </c>
      <c r="B1597" s="52" t="s">
        <v>12490</v>
      </c>
      <c r="C1597" s="52" t="s">
        <v>13854</v>
      </c>
      <c r="D1597" s="88" t="s">
        <v>14028</v>
      </c>
      <c r="E1597" s="157">
        <v>57.7</v>
      </c>
      <c r="F1597" s="6">
        <v>66491.460000000006</v>
      </c>
      <c r="G1597" s="6">
        <v>10230.39</v>
      </c>
      <c r="H1597" s="207"/>
      <c r="I1597" s="207" t="s">
        <v>12545</v>
      </c>
      <c r="J1597" s="66" t="s">
        <v>12549</v>
      </c>
      <c r="K1597" s="26">
        <v>34652</v>
      </c>
      <c r="L1597" s="66" t="s">
        <v>20151</v>
      </c>
      <c r="M1597" s="201" t="s">
        <v>12550</v>
      </c>
      <c r="N1597" s="207"/>
      <c r="O1597" s="38" t="s">
        <v>20456</v>
      </c>
    </row>
    <row r="1598" spans="1:15" ht="72" customHeight="1" x14ac:dyDescent="0.3">
      <c r="A1598" s="2">
        <v>1578</v>
      </c>
      <c r="B1598" s="52" t="s">
        <v>12491</v>
      </c>
      <c r="C1598" s="52" t="s">
        <v>13855</v>
      </c>
      <c r="D1598" s="88"/>
      <c r="E1598" s="157">
        <v>48.2</v>
      </c>
      <c r="F1598" s="6">
        <v>55066.81</v>
      </c>
      <c r="G1598" s="6">
        <v>8472.59</v>
      </c>
      <c r="H1598" s="207"/>
      <c r="I1598" s="207" t="s">
        <v>12545</v>
      </c>
      <c r="J1598" s="66" t="s">
        <v>12549</v>
      </c>
      <c r="K1598" s="207"/>
      <c r="L1598" s="66"/>
      <c r="M1598" s="201" t="s">
        <v>12550</v>
      </c>
      <c r="N1598" s="207"/>
      <c r="O1598" s="38"/>
    </row>
    <row r="1599" spans="1:15" ht="72" customHeight="1" x14ac:dyDescent="0.3">
      <c r="A1599" s="2">
        <v>1579</v>
      </c>
      <c r="B1599" s="52" t="s">
        <v>12491</v>
      </c>
      <c r="C1599" s="52" t="s">
        <v>13856</v>
      </c>
      <c r="D1599" s="88"/>
      <c r="E1599" s="157">
        <v>49.4</v>
      </c>
      <c r="F1599" s="6">
        <v>56437.77</v>
      </c>
      <c r="G1599" s="6">
        <v>8683.5300000000007</v>
      </c>
      <c r="H1599" s="207"/>
      <c r="I1599" s="207" t="s">
        <v>12545</v>
      </c>
      <c r="J1599" s="66" t="s">
        <v>12549</v>
      </c>
      <c r="K1599" s="207"/>
      <c r="L1599" s="66"/>
      <c r="M1599" s="201" t="s">
        <v>12550</v>
      </c>
      <c r="N1599" s="207"/>
      <c r="O1599" s="38"/>
    </row>
    <row r="1600" spans="1:15" ht="72" customHeight="1" x14ac:dyDescent="0.3">
      <c r="A1600" s="2">
        <v>1580</v>
      </c>
      <c r="B1600" s="52" t="s">
        <v>12490</v>
      </c>
      <c r="C1600" s="52" t="s">
        <v>13857</v>
      </c>
      <c r="D1600" s="88"/>
      <c r="E1600" s="157">
        <v>57.5</v>
      </c>
      <c r="F1600" s="6">
        <v>65691.73</v>
      </c>
      <c r="G1600" s="6">
        <v>10107.34</v>
      </c>
      <c r="H1600" s="207"/>
      <c r="I1600" s="207" t="s">
        <v>12545</v>
      </c>
      <c r="J1600" s="66" t="s">
        <v>12549</v>
      </c>
      <c r="K1600" s="207"/>
      <c r="L1600" s="66"/>
      <c r="M1600" s="201" t="s">
        <v>12550</v>
      </c>
      <c r="N1600" s="207"/>
      <c r="O1600" s="38"/>
    </row>
    <row r="1601" spans="1:15" ht="72" customHeight="1" x14ac:dyDescent="0.3">
      <c r="A1601" s="2">
        <v>1581</v>
      </c>
      <c r="B1601" s="52" t="s">
        <v>12491</v>
      </c>
      <c r="C1601" s="52" t="s">
        <v>13858</v>
      </c>
      <c r="D1601" s="88"/>
      <c r="E1601" s="157">
        <v>49.7</v>
      </c>
      <c r="F1601" s="6">
        <v>56780.51</v>
      </c>
      <c r="G1601" s="6">
        <v>8736.26</v>
      </c>
      <c r="H1601" s="207"/>
      <c r="I1601" s="207" t="s">
        <v>12545</v>
      </c>
      <c r="J1601" s="66" t="s">
        <v>12549</v>
      </c>
      <c r="K1601" s="207"/>
      <c r="L1601" s="66"/>
      <c r="M1601" s="201" t="s">
        <v>12550</v>
      </c>
      <c r="N1601" s="207"/>
      <c r="O1601" s="38"/>
    </row>
    <row r="1602" spans="1:15" ht="72" customHeight="1" x14ac:dyDescent="0.3">
      <c r="A1602" s="2">
        <v>1582</v>
      </c>
      <c r="B1602" s="52" t="s">
        <v>12490</v>
      </c>
      <c r="C1602" s="52" t="s">
        <v>13859</v>
      </c>
      <c r="D1602" s="88"/>
      <c r="E1602" s="157">
        <v>57.4</v>
      </c>
      <c r="F1602" s="6">
        <v>65577.48</v>
      </c>
      <c r="G1602" s="6">
        <v>10089.77</v>
      </c>
      <c r="H1602" s="207"/>
      <c r="I1602" s="207" t="s">
        <v>12545</v>
      </c>
      <c r="J1602" s="66" t="s">
        <v>12549</v>
      </c>
      <c r="K1602" s="207"/>
      <c r="L1602" s="66"/>
      <c r="M1602" s="201" t="s">
        <v>12550</v>
      </c>
      <c r="N1602" s="207"/>
      <c r="O1602" s="38"/>
    </row>
    <row r="1603" spans="1:15" ht="72" customHeight="1" x14ac:dyDescent="0.3">
      <c r="A1603" s="2">
        <v>1583</v>
      </c>
      <c r="B1603" s="52" t="s">
        <v>12490</v>
      </c>
      <c r="C1603" s="52" t="s">
        <v>13860</v>
      </c>
      <c r="D1603" s="88"/>
      <c r="E1603" s="157">
        <v>57.4</v>
      </c>
      <c r="F1603" s="6">
        <v>65577.48</v>
      </c>
      <c r="G1603" s="6">
        <v>10089.77</v>
      </c>
      <c r="H1603" s="207"/>
      <c r="I1603" s="207" t="s">
        <v>12545</v>
      </c>
      <c r="J1603" s="66" t="s">
        <v>12549</v>
      </c>
      <c r="K1603" s="207"/>
      <c r="L1603" s="66"/>
      <c r="M1603" s="201" t="s">
        <v>12550</v>
      </c>
      <c r="N1603" s="207"/>
      <c r="O1603" s="38"/>
    </row>
    <row r="1604" spans="1:15" ht="72" customHeight="1" x14ac:dyDescent="0.3">
      <c r="A1604" s="2">
        <v>1584</v>
      </c>
      <c r="B1604" s="52" t="s">
        <v>12491</v>
      </c>
      <c r="C1604" s="52" t="s">
        <v>13861</v>
      </c>
      <c r="D1604" s="88"/>
      <c r="E1604" s="157">
        <v>50</v>
      </c>
      <c r="F1604" s="6">
        <v>62386.38</v>
      </c>
      <c r="G1604" s="6">
        <v>9598.77</v>
      </c>
      <c r="H1604" s="207"/>
      <c r="I1604" s="207" t="s">
        <v>12545</v>
      </c>
      <c r="J1604" s="66" t="s">
        <v>12549</v>
      </c>
      <c r="K1604" s="207"/>
      <c r="L1604" s="66"/>
      <c r="M1604" s="201" t="s">
        <v>12550</v>
      </c>
      <c r="N1604" s="207"/>
      <c r="O1604" s="38"/>
    </row>
    <row r="1605" spans="1:15" ht="72" customHeight="1" x14ac:dyDescent="0.3">
      <c r="A1605" s="2">
        <v>1585</v>
      </c>
      <c r="B1605" s="52" t="s">
        <v>12491</v>
      </c>
      <c r="C1605" s="52" t="s">
        <v>13862</v>
      </c>
      <c r="D1605" s="88"/>
      <c r="E1605" s="157">
        <v>46.9</v>
      </c>
      <c r="F1605" s="6">
        <v>58518.42</v>
      </c>
      <c r="G1605" s="6">
        <v>9003.64</v>
      </c>
      <c r="H1605" s="207"/>
      <c r="I1605" s="207" t="s">
        <v>12545</v>
      </c>
      <c r="J1605" s="66" t="s">
        <v>12549</v>
      </c>
      <c r="K1605" s="207"/>
      <c r="L1605" s="66"/>
      <c r="M1605" s="201" t="s">
        <v>12550</v>
      </c>
      <c r="N1605" s="207"/>
      <c r="O1605" s="38"/>
    </row>
    <row r="1606" spans="1:15" ht="72" customHeight="1" x14ac:dyDescent="0.3">
      <c r="A1606" s="2">
        <v>1586</v>
      </c>
      <c r="B1606" s="52" t="s">
        <v>12491</v>
      </c>
      <c r="C1606" s="52" t="s">
        <v>13863</v>
      </c>
      <c r="D1606" s="88"/>
      <c r="E1606" s="157">
        <v>49.4</v>
      </c>
      <c r="F1606" s="6">
        <v>61637.74</v>
      </c>
      <c r="G1606" s="6">
        <v>9483.58</v>
      </c>
      <c r="H1606" s="207"/>
      <c r="I1606" s="207" t="s">
        <v>12545</v>
      </c>
      <c r="J1606" s="66" t="s">
        <v>12549</v>
      </c>
      <c r="K1606" s="207"/>
      <c r="L1606" s="66"/>
      <c r="M1606" s="201" t="s">
        <v>12550</v>
      </c>
      <c r="N1606" s="207"/>
      <c r="O1606" s="38"/>
    </row>
    <row r="1607" spans="1:15" ht="72" customHeight="1" x14ac:dyDescent="0.3">
      <c r="A1607" s="2">
        <v>1587</v>
      </c>
      <c r="B1607" s="52" t="s">
        <v>12491</v>
      </c>
      <c r="C1607" s="52" t="s">
        <v>13864</v>
      </c>
      <c r="D1607" s="88"/>
      <c r="E1607" s="157">
        <v>47.2</v>
      </c>
      <c r="F1607" s="6">
        <v>58892.74</v>
      </c>
      <c r="G1607" s="6">
        <v>9061.24</v>
      </c>
      <c r="H1607" s="207"/>
      <c r="I1607" s="207" t="s">
        <v>12545</v>
      </c>
      <c r="J1607" s="66" t="s">
        <v>12549</v>
      </c>
      <c r="K1607" s="207"/>
      <c r="L1607" s="66"/>
      <c r="M1607" s="201" t="s">
        <v>12550</v>
      </c>
      <c r="N1607" s="207"/>
      <c r="O1607" s="38"/>
    </row>
    <row r="1608" spans="1:15" ht="72" customHeight="1" x14ac:dyDescent="0.3">
      <c r="A1608" s="2">
        <v>1588</v>
      </c>
      <c r="B1608" s="52" t="s">
        <v>12494</v>
      </c>
      <c r="C1608" s="52" t="s">
        <v>13865</v>
      </c>
      <c r="D1608" s="88"/>
      <c r="E1608" s="157">
        <v>32.4</v>
      </c>
      <c r="F1608" s="6">
        <v>40426.370000000003</v>
      </c>
      <c r="G1608" s="6">
        <v>6220</v>
      </c>
      <c r="H1608" s="207"/>
      <c r="I1608" s="207" t="s">
        <v>12545</v>
      </c>
      <c r="J1608" s="66" t="s">
        <v>12549</v>
      </c>
      <c r="K1608" s="207"/>
      <c r="L1608" s="66"/>
      <c r="M1608" s="201" t="s">
        <v>12550</v>
      </c>
      <c r="N1608" s="207"/>
      <c r="O1608" s="38"/>
    </row>
    <row r="1609" spans="1:15" ht="120" customHeight="1" x14ac:dyDescent="0.3">
      <c r="A1609" s="2">
        <v>1589</v>
      </c>
      <c r="B1609" s="52" t="s">
        <v>12490</v>
      </c>
      <c r="C1609" s="52" t="s">
        <v>13866</v>
      </c>
      <c r="D1609" s="88" t="s">
        <v>19484</v>
      </c>
      <c r="E1609" s="157">
        <v>58</v>
      </c>
      <c r="F1609" s="6">
        <v>72368.2</v>
      </c>
      <c r="G1609" s="6">
        <v>11134.57</v>
      </c>
      <c r="H1609" s="207"/>
      <c r="I1609" s="207" t="s">
        <v>12545</v>
      </c>
      <c r="J1609" s="66" t="s">
        <v>12549</v>
      </c>
      <c r="K1609" s="207" t="s">
        <v>19482</v>
      </c>
      <c r="L1609" s="66" t="s">
        <v>19483</v>
      </c>
      <c r="M1609" s="201" t="s">
        <v>12550</v>
      </c>
      <c r="N1609" s="207"/>
      <c r="O1609" s="38"/>
    </row>
    <row r="1610" spans="1:15" ht="72" customHeight="1" x14ac:dyDescent="0.3">
      <c r="A1610" s="2">
        <v>1590</v>
      </c>
      <c r="B1610" s="52" t="s">
        <v>12491</v>
      </c>
      <c r="C1610" s="52" t="s">
        <v>13867</v>
      </c>
      <c r="D1610" s="88" t="s">
        <v>14030</v>
      </c>
      <c r="E1610" s="157">
        <v>49</v>
      </c>
      <c r="F1610" s="6">
        <v>61138.65</v>
      </c>
      <c r="G1610" s="6">
        <v>9406.7900000000009</v>
      </c>
      <c r="H1610" s="25"/>
      <c r="I1610" s="207" t="s">
        <v>12545</v>
      </c>
      <c r="J1610" s="66" t="s">
        <v>12549</v>
      </c>
      <c r="K1610" s="207"/>
      <c r="L1610" s="66"/>
      <c r="M1610" s="201" t="s">
        <v>12550</v>
      </c>
      <c r="N1610" s="207"/>
      <c r="O1610" s="38"/>
    </row>
    <row r="1611" spans="1:15" ht="84" customHeight="1" x14ac:dyDescent="0.3">
      <c r="A1611" s="2">
        <v>1591</v>
      </c>
      <c r="B1611" s="52" t="s">
        <v>12490</v>
      </c>
      <c r="C1611" s="52" t="s">
        <v>13868</v>
      </c>
      <c r="D1611" s="88" t="s">
        <v>14031</v>
      </c>
      <c r="E1611" s="157">
        <v>57.3</v>
      </c>
      <c r="F1611" s="6">
        <v>71494.789999999994</v>
      </c>
      <c r="G1611" s="6">
        <v>11000.18</v>
      </c>
      <c r="H1611" s="207"/>
      <c r="I1611" s="207" t="s">
        <v>12545</v>
      </c>
      <c r="J1611" s="66" t="s">
        <v>12549</v>
      </c>
      <c r="K1611" s="207" t="s">
        <v>15066</v>
      </c>
      <c r="L1611" s="66" t="s">
        <v>15068</v>
      </c>
      <c r="M1611" s="201" t="s">
        <v>12550</v>
      </c>
      <c r="N1611" s="207"/>
      <c r="O1611" s="38"/>
    </row>
    <row r="1612" spans="1:15" ht="72" customHeight="1" x14ac:dyDescent="0.3">
      <c r="A1612" s="2">
        <v>1592</v>
      </c>
      <c r="B1612" s="52" t="s">
        <v>12490</v>
      </c>
      <c r="C1612" s="52" t="s">
        <v>13869</v>
      </c>
      <c r="D1612" s="88"/>
      <c r="E1612" s="157">
        <v>68.400000000000006</v>
      </c>
      <c r="F1612" s="6">
        <v>108954.74</v>
      </c>
      <c r="G1612" s="6">
        <v>14462.97</v>
      </c>
      <c r="H1612" s="207"/>
      <c r="I1612" s="207" t="s">
        <v>12545</v>
      </c>
      <c r="J1612" s="66" t="s">
        <v>12549</v>
      </c>
      <c r="K1612" s="207"/>
      <c r="L1612" s="66"/>
      <c r="M1612" s="201" t="s">
        <v>12550</v>
      </c>
      <c r="N1612" s="207"/>
      <c r="O1612" s="38"/>
    </row>
    <row r="1613" spans="1:15" ht="72" customHeight="1" x14ac:dyDescent="0.3">
      <c r="A1613" s="2">
        <v>1593</v>
      </c>
      <c r="B1613" s="52" t="s">
        <v>12490</v>
      </c>
      <c r="C1613" s="52" t="s">
        <v>13870</v>
      </c>
      <c r="D1613" s="88"/>
      <c r="E1613" s="157">
        <v>67.900000000000006</v>
      </c>
      <c r="F1613" s="6">
        <v>108158.29</v>
      </c>
      <c r="G1613" s="6">
        <v>14357.26</v>
      </c>
      <c r="H1613" s="207"/>
      <c r="I1613" s="207" t="s">
        <v>12545</v>
      </c>
      <c r="J1613" s="66" t="s">
        <v>12549</v>
      </c>
      <c r="K1613" s="207"/>
      <c r="L1613" s="66"/>
      <c r="M1613" s="201" t="s">
        <v>12550</v>
      </c>
      <c r="N1613" s="207"/>
      <c r="O1613" s="38"/>
    </row>
    <row r="1614" spans="1:15" ht="72" customHeight="1" x14ac:dyDescent="0.3">
      <c r="A1614" s="2">
        <v>1594</v>
      </c>
      <c r="B1614" s="52" t="s">
        <v>12492</v>
      </c>
      <c r="C1614" s="52" t="s">
        <v>13871</v>
      </c>
      <c r="D1614" s="88"/>
      <c r="E1614" s="157">
        <v>33.5</v>
      </c>
      <c r="F1614" s="6">
        <v>53362.34</v>
      </c>
      <c r="G1614" s="6">
        <v>7083.48</v>
      </c>
      <c r="H1614" s="207"/>
      <c r="I1614" s="207" t="s">
        <v>12545</v>
      </c>
      <c r="J1614" s="66" t="s">
        <v>12549</v>
      </c>
      <c r="K1614" s="207"/>
      <c r="L1614" s="66"/>
      <c r="M1614" s="201" t="s">
        <v>12550</v>
      </c>
      <c r="N1614" s="207"/>
      <c r="O1614" s="38"/>
    </row>
    <row r="1615" spans="1:15" ht="72" customHeight="1" x14ac:dyDescent="0.3">
      <c r="A1615" s="2">
        <v>1595</v>
      </c>
      <c r="B1615" s="52" t="s">
        <v>12494</v>
      </c>
      <c r="C1615" s="52" t="s">
        <v>13872</v>
      </c>
      <c r="D1615" s="88"/>
      <c r="E1615" s="157">
        <v>33.6</v>
      </c>
      <c r="F1615" s="6">
        <v>53521.63</v>
      </c>
      <c r="G1615" s="6">
        <v>7104.62</v>
      </c>
      <c r="H1615" s="207"/>
      <c r="I1615" s="207" t="s">
        <v>12545</v>
      </c>
      <c r="J1615" s="66" t="s">
        <v>12549</v>
      </c>
      <c r="K1615" s="207"/>
      <c r="L1615" s="66"/>
      <c r="M1615" s="201" t="s">
        <v>12550</v>
      </c>
      <c r="N1615" s="207"/>
      <c r="O1615" s="38" t="s">
        <v>23030</v>
      </c>
    </row>
    <row r="1616" spans="1:15" ht="72" customHeight="1" x14ac:dyDescent="0.3">
      <c r="A1616" s="2">
        <v>1596</v>
      </c>
      <c r="B1616" s="52" t="s">
        <v>12490</v>
      </c>
      <c r="C1616" s="52" t="s">
        <v>13873</v>
      </c>
      <c r="D1616" s="88"/>
      <c r="E1616" s="157">
        <v>68.900000000000006</v>
      </c>
      <c r="F1616" s="6">
        <v>109751.19</v>
      </c>
      <c r="G1616" s="6">
        <v>14568.71</v>
      </c>
      <c r="H1616" s="207"/>
      <c r="I1616" s="207" t="s">
        <v>12545</v>
      </c>
      <c r="J1616" s="66" t="s">
        <v>12549</v>
      </c>
      <c r="K1616" s="207"/>
      <c r="L1616" s="66"/>
      <c r="M1616" s="201" t="s">
        <v>12550</v>
      </c>
      <c r="N1616" s="207"/>
      <c r="O1616" s="38"/>
    </row>
    <row r="1617" spans="1:15" ht="72" customHeight="1" x14ac:dyDescent="0.3">
      <c r="A1617" s="2">
        <v>1597</v>
      </c>
      <c r="B1617" s="52" t="s">
        <v>12491</v>
      </c>
      <c r="C1617" s="52" t="s">
        <v>13874</v>
      </c>
      <c r="D1617" s="88" t="s">
        <v>14033</v>
      </c>
      <c r="E1617" s="157">
        <v>41</v>
      </c>
      <c r="F1617" s="43">
        <v>17047.099999999999</v>
      </c>
      <c r="G1617" s="43">
        <v>5007.08</v>
      </c>
      <c r="H1617" s="25">
        <v>784063.91</v>
      </c>
      <c r="I1617" s="207" t="s">
        <v>12545</v>
      </c>
      <c r="J1617" s="66" t="s">
        <v>20274</v>
      </c>
      <c r="K1617" s="207"/>
      <c r="L1617" s="66"/>
      <c r="M1617" s="201" t="s">
        <v>12550</v>
      </c>
      <c r="N1617" s="207"/>
      <c r="O1617" s="38" t="s">
        <v>22968</v>
      </c>
    </row>
    <row r="1618" spans="1:15" ht="72" customHeight="1" x14ac:dyDescent="0.3">
      <c r="A1618" s="2">
        <v>1598</v>
      </c>
      <c r="B1618" s="52" t="s">
        <v>12490</v>
      </c>
      <c r="C1618" s="52" t="s">
        <v>13875</v>
      </c>
      <c r="D1618" s="88" t="s">
        <v>14034</v>
      </c>
      <c r="E1618" s="157">
        <v>53.4</v>
      </c>
      <c r="F1618" s="43">
        <v>22202.81</v>
      </c>
      <c r="G1618" s="43">
        <v>6521.42</v>
      </c>
      <c r="H1618" s="25">
        <v>1021195.43</v>
      </c>
      <c r="I1618" s="207" t="s">
        <v>12545</v>
      </c>
      <c r="J1618" s="66" t="s">
        <v>20277</v>
      </c>
      <c r="K1618" s="207"/>
      <c r="L1618" s="66"/>
      <c r="M1618" s="201" t="s">
        <v>12550</v>
      </c>
      <c r="N1618" s="207"/>
      <c r="O1618" s="38" t="s">
        <v>22969</v>
      </c>
    </row>
    <row r="1619" spans="1:15" ht="72" customHeight="1" x14ac:dyDescent="0.3">
      <c r="A1619" s="2">
        <v>1599</v>
      </c>
      <c r="B1619" s="52" t="s">
        <v>12491</v>
      </c>
      <c r="C1619" s="52" t="s">
        <v>13876</v>
      </c>
      <c r="D1619" s="88" t="s">
        <v>14035</v>
      </c>
      <c r="E1619" s="157">
        <v>41.3</v>
      </c>
      <c r="F1619" s="43">
        <v>17171.830000000002</v>
      </c>
      <c r="G1619" s="43">
        <v>5043.72</v>
      </c>
      <c r="H1619" s="25">
        <v>789800.95999999996</v>
      </c>
      <c r="I1619" s="207" t="s">
        <v>12545</v>
      </c>
      <c r="J1619" s="66" t="s">
        <v>20275</v>
      </c>
      <c r="K1619" s="207"/>
      <c r="L1619" s="66"/>
      <c r="M1619" s="201" t="s">
        <v>12550</v>
      </c>
      <c r="N1619" s="207"/>
      <c r="O1619" s="38" t="s">
        <v>22970</v>
      </c>
    </row>
    <row r="1620" spans="1:15" ht="72" customHeight="1" x14ac:dyDescent="0.3">
      <c r="A1620" s="2">
        <v>1600</v>
      </c>
      <c r="B1620" s="52" t="s">
        <v>12491</v>
      </c>
      <c r="C1620" s="52" t="s">
        <v>13877</v>
      </c>
      <c r="D1620" s="88" t="s">
        <v>14036</v>
      </c>
      <c r="E1620" s="157">
        <v>41.5</v>
      </c>
      <c r="F1620" s="43">
        <v>17254.990000000002</v>
      </c>
      <c r="G1620" s="43">
        <v>5068.1400000000003</v>
      </c>
      <c r="H1620" s="25">
        <v>793625.66</v>
      </c>
      <c r="I1620" s="207" t="s">
        <v>12545</v>
      </c>
      <c r="J1620" s="66" t="s">
        <v>20278</v>
      </c>
      <c r="K1620" s="207"/>
      <c r="L1620" s="66"/>
      <c r="M1620" s="201" t="s">
        <v>12550</v>
      </c>
      <c r="N1620" s="207"/>
      <c r="O1620" s="38" t="s">
        <v>22971</v>
      </c>
    </row>
    <row r="1621" spans="1:15" ht="72" customHeight="1" x14ac:dyDescent="0.3">
      <c r="A1621" s="2">
        <v>1601</v>
      </c>
      <c r="B1621" s="52" t="s">
        <v>12490</v>
      </c>
      <c r="C1621" s="52" t="s">
        <v>13878</v>
      </c>
      <c r="D1621" s="88" t="s">
        <v>14037</v>
      </c>
      <c r="E1621" s="157">
        <v>52.7</v>
      </c>
      <c r="F1621" s="43">
        <v>21911.759999999998</v>
      </c>
      <c r="G1621" s="43">
        <v>6435.93</v>
      </c>
      <c r="H1621" s="25">
        <v>1007808.98</v>
      </c>
      <c r="I1621" s="207" t="s">
        <v>12545</v>
      </c>
      <c r="J1621" s="66" t="s">
        <v>20279</v>
      </c>
      <c r="K1621" s="207"/>
      <c r="L1621" s="66"/>
      <c r="M1621" s="201" t="s">
        <v>12550</v>
      </c>
      <c r="N1621" s="207"/>
      <c r="O1621" s="38" t="s">
        <v>22972</v>
      </c>
    </row>
    <row r="1622" spans="1:15" ht="72" customHeight="1" x14ac:dyDescent="0.3">
      <c r="A1622" s="2">
        <v>1602</v>
      </c>
      <c r="B1622" s="52" t="s">
        <v>12491</v>
      </c>
      <c r="C1622" s="52" t="s">
        <v>13879</v>
      </c>
      <c r="D1622" s="88" t="s">
        <v>14040</v>
      </c>
      <c r="E1622" s="157">
        <v>41.5</v>
      </c>
      <c r="F1622" s="6">
        <v>71427.42</v>
      </c>
      <c r="G1622" s="6">
        <v>17483.240000000002</v>
      </c>
      <c r="H1622" s="25"/>
      <c r="I1622" s="207" t="s">
        <v>12545</v>
      </c>
      <c r="J1622" s="66" t="s">
        <v>12549</v>
      </c>
      <c r="K1622" s="207"/>
      <c r="L1622" s="66"/>
      <c r="M1622" s="201" t="s">
        <v>12550</v>
      </c>
      <c r="N1622" s="207"/>
      <c r="O1622" s="38"/>
    </row>
    <row r="1623" spans="1:15" ht="72" customHeight="1" x14ac:dyDescent="0.3">
      <c r="A1623" s="2">
        <v>1603</v>
      </c>
      <c r="B1623" s="52" t="s">
        <v>12491</v>
      </c>
      <c r="C1623" s="52" t="s">
        <v>13880</v>
      </c>
      <c r="D1623" s="88"/>
      <c r="E1623" s="157">
        <v>52.8</v>
      </c>
      <c r="F1623" s="6">
        <v>16502</v>
      </c>
      <c r="G1623" s="6">
        <v>16502</v>
      </c>
      <c r="H1623" s="207"/>
      <c r="I1623" s="207" t="s">
        <v>12545</v>
      </c>
      <c r="J1623" s="66" t="s">
        <v>12549</v>
      </c>
      <c r="K1623" s="207"/>
      <c r="L1623" s="66"/>
      <c r="M1623" s="201" t="s">
        <v>12550</v>
      </c>
      <c r="N1623" s="207"/>
      <c r="O1623" s="38"/>
    </row>
    <row r="1624" spans="1:15" ht="72" customHeight="1" x14ac:dyDescent="0.3">
      <c r="A1624" s="2">
        <v>1604</v>
      </c>
      <c r="B1624" s="52" t="s">
        <v>12491</v>
      </c>
      <c r="C1624" s="52" t="s">
        <v>13881</v>
      </c>
      <c r="D1624" s="88" t="s">
        <v>13994</v>
      </c>
      <c r="E1624" s="157">
        <v>53.3</v>
      </c>
      <c r="F1624" s="6">
        <v>61593.54</v>
      </c>
      <c r="G1624" s="6">
        <v>19975.189999999999</v>
      </c>
      <c r="H1624" s="25"/>
      <c r="I1624" s="207" t="s">
        <v>12545</v>
      </c>
      <c r="J1624" s="66" t="s">
        <v>12549</v>
      </c>
      <c r="K1624" s="207"/>
      <c r="L1624" s="66"/>
      <c r="M1624" s="201" t="s">
        <v>12550</v>
      </c>
      <c r="N1624" s="207"/>
      <c r="O1624" s="38"/>
    </row>
    <row r="1625" spans="1:15" ht="72" customHeight="1" x14ac:dyDescent="0.3">
      <c r="A1625" s="2">
        <v>1605</v>
      </c>
      <c r="B1625" s="52" t="s">
        <v>12491</v>
      </c>
      <c r="C1625" s="52" t="s">
        <v>13882</v>
      </c>
      <c r="D1625" s="88"/>
      <c r="E1625" s="157">
        <v>43.6</v>
      </c>
      <c r="F1625" s="6">
        <v>37346.68</v>
      </c>
      <c r="G1625" s="6">
        <v>32743.57</v>
      </c>
      <c r="H1625" s="207"/>
      <c r="I1625" s="207" t="s">
        <v>12545</v>
      </c>
      <c r="J1625" s="66" t="s">
        <v>12549</v>
      </c>
      <c r="K1625" s="207"/>
      <c r="L1625" s="66"/>
      <c r="M1625" s="201" t="s">
        <v>12550</v>
      </c>
      <c r="N1625" s="207"/>
      <c r="O1625" s="38"/>
    </row>
    <row r="1626" spans="1:15" ht="72" customHeight="1" x14ac:dyDescent="0.3">
      <c r="A1626" s="2">
        <v>1606</v>
      </c>
      <c r="B1626" s="52" t="s">
        <v>12491</v>
      </c>
      <c r="C1626" s="52" t="s">
        <v>13883</v>
      </c>
      <c r="D1626" s="88" t="s">
        <v>14003</v>
      </c>
      <c r="E1626" s="157">
        <v>42.5</v>
      </c>
      <c r="F1626" s="6">
        <v>42171.3</v>
      </c>
      <c r="G1626" s="6"/>
      <c r="H1626" s="25"/>
      <c r="I1626" s="207" t="s">
        <v>12545</v>
      </c>
      <c r="J1626" s="66" t="s">
        <v>12549</v>
      </c>
      <c r="K1626" s="207"/>
      <c r="L1626" s="66"/>
      <c r="M1626" s="201" t="s">
        <v>12550</v>
      </c>
      <c r="N1626" s="207"/>
      <c r="O1626" s="38"/>
    </row>
    <row r="1627" spans="1:15" ht="72" customHeight="1" x14ac:dyDescent="0.3">
      <c r="A1627" s="2">
        <v>1607</v>
      </c>
      <c r="B1627" s="52" t="s">
        <v>12492</v>
      </c>
      <c r="C1627" s="52" t="s">
        <v>13884</v>
      </c>
      <c r="D1627" s="88"/>
      <c r="E1627" s="157">
        <v>31.6</v>
      </c>
      <c r="F1627" s="6">
        <v>13387.75</v>
      </c>
      <c r="G1627" s="6">
        <v>4862.6099999999997</v>
      </c>
      <c r="H1627" s="207"/>
      <c r="I1627" s="207" t="s">
        <v>12545</v>
      </c>
      <c r="J1627" s="66" t="s">
        <v>12549</v>
      </c>
      <c r="K1627" s="207"/>
      <c r="L1627" s="66"/>
      <c r="M1627" s="201" t="s">
        <v>12550</v>
      </c>
      <c r="N1627" s="207"/>
      <c r="O1627" s="38"/>
    </row>
    <row r="1628" spans="1:15" ht="72" customHeight="1" x14ac:dyDescent="0.3">
      <c r="A1628" s="2">
        <v>1608</v>
      </c>
      <c r="B1628" s="52" t="s">
        <v>12491</v>
      </c>
      <c r="C1628" s="52" t="s">
        <v>13885</v>
      </c>
      <c r="D1628" s="88" t="s">
        <v>14008</v>
      </c>
      <c r="E1628" s="157">
        <v>101.8</v>
      </c>
      <c r="F1628" s="6">
        <v>80912.91</v>
      </c>
      <c r="G1628" s="6">
        <v>35601.730000000003</v>
      </c>
      <c r="H1628" s="25"/>
      <c r="I1628" s="207" t="s">
        <v>12545</v>
      </c>
      <c r="J1628" s="66" t="s">
        <v>12549</v>
      </c>
      <c r="K1628" s="207"/>
      <c r="L1628" s="66"/>
      <c r="M1628" s="201" t="s">
        <v>12550</v>
      </c>
      <c r="N1628" s="207"/>
      <c r="O1628" s="38"/>
    </row>
    <row r="1629" spans="1:15" ht="72" customHeight="1" x14ac:dyDescent="0.3">
      <c r="A1629" s="2">
        <v>1609</v>
      </c>
      <c r="B1629" s="52" t="s">
        <v>12491</v>
      </c>
      <c r="C1629" s="52" t="s">
        <v>13886</v>
      </c>
      <c r="D1629" s="88" t="s">
        <v>13995</v>
      </c>
      <c r="E1629" s="157">
        <v>52.6</v>
      </c>
      <c r="F1629" s="6">
        <v>60784.62</v>
      </c>
      <c r="G1629" s="6">
        <v>19712.84</v>
      </c>
      <c r="H1629" s="25"/>
      <c r="I1629" s="207" t="s">
        <v>12545</v>
      </c>
      <c r="J1629" s="66" t="s">
        <v>12549</v>
      </c>
      <c r="K1629" s="207"/>
      <c r="L1629" s="66"/>
      <c r="M1629" s="201" t="s">
        <v>12550</v>
      </c>
      <c r="N1629" s="207"/>
      <c r="O1629" s="38"/>
    </row>
    <row r="1630" spans="1:15" ht="72" customHeight="1" x14ac:dyDescent="0.3">
      <c r="A1630" s="2">
        <v>1610</v>
      </c>
      <c r="B1630" s="52" t="s">
        <v>12491</v>
      </c>
      <c r="C1630" s="52" t="s">
        <v>13887</v>
      </c>
      <c r="D1630" s="88" t="s">
        <v>13996</v>
      </c>
      <c r="E1630" s="157">
        <v>53.4</v>
      </c>
      <c r="F1630" s="6">
        <v>61709.1</v>
      </c>
      <c r="G1630" s="6">
        <v>20012.650000000001</v>
      </c>
      <c r="H1630" s="25"/>
      <c r="I1630" s="207" t="s">
        <v>12545</v>
      </c>
      <c r="J1630" s="66" t="s">
        <v>12549</v>
      </c>
      <c r="K1630" s="207"/>
      <c r="L1630" s="66"/>
      <c r="M1630" s="201" t="s">
        <v>12550</v>
      </c>
      <c r="N1630" s="207"/>
      <c r="O1630" s="38"/>
    </row>
    <row r="1631" spans="1:15" ht="72" customHeight="1" x14ac:dyDescent="0.3">
      <c r="A1631" s="2">
        <v>1611</v>
      </c>
      <c r="B1631" s="52" t="s">
        <v>12491</v>
      </c>
      <c r="C1631" s="52" t="s">
        <v>13888</v>
      </c>
      <c r="D1631" s="88" t="s">
        <v>13997</v>
      </c>
      <c r="E1631" s="157">
        <v>52.9</v>
      </c>
      <c r="F1631" s="6">
        <v>61131.3</v>
      </c>
      <c r="G1631" s="6">
        <v>19825.27</v>
      </c>
      <c r="H1631" s="25"/>
      <c r="I1631" s="207" t="s">
        <v>12545</v>
      </c>
      <c r="J1631" s="66" t="s">
        <v>12549</v>
      </c>
      <c r="K1631" s="207"/>
      <c r="L1631" s="66"/>
      <c r="M1631" s="201" t="s">
        <v>12550</v>
      </c>
      <c r="N1631" s="207"/>
      <c r="O1631" s="38"/>
    </row>
    <row r="1632" spans="1:15" ht="72" customHeight="1" x14ac:dyDescent="0.3">
      <c r="A1632" s="2">
        <v>1612</v>
      </c>
      <c r="B1632" s="52" t="s">
        <v>12494</v>
      </c>
      <c r="C1632" s="52" t="s">
        <v>13889</v>
      </c>
      <c r="D1632" s="88" t="s">
        <v>13998</v>
      </c>
      <c r="E1632" s="157">
        <v>38.799999999999997</v>
      </c>
      <c r="F1632" s="6">
        <v>44837.32</v>
      </c>
      <c r="G1632" s="6">
        <v>14541.03</v>
      </c>
      <c r="H1632" s="25"/>
      <c r="I1632" s="207" t="s">
        <v>12545</v>
      </c>
      <c r="J1632" s="66" t="s">
        <v>12549</v>
      </c>
      <c r="K1632" s="207"/>
      <c r="L1632" s="66"/>
      <c r="M1632" s="201" t="s">
        <v>12550</v>
      </c>
      <c r="N1632" s="207"/>
      <c r="O1632" s="38"/>
    </row>
    <row r="1633" spans="1:26" ht="84" customHeight="1" x14ac:dyDescent="0.3">
      <c r="A1633" s="2">
        <v>1613</v>
      </c>
      <c r="B1633" s="52" t="s">
        <v>12494</v>
      </c>
      <c r="C1633" s="52" t="s">
        <v>13890</v>
      </c>
      <c r="D1633" s="88" t="s">
        <v>13999</v>
      </c>
      <c r="E1633" s="157">
        <v>39.1</v>
      </c>
      <c r="F1633" s="6">
        <v>45184</v>
      </c>
      <c r="G1633" s="6">
        <v>14653.46</v>
      </c>
      <c r="H1633" s="25"/>
      <c r="I1633" s="207" t="s">
        <v>12545</v>
      </c>
      <c r="J1633" s="66" t="s">
        <v>12549</v>
      </c>
      <c r="K1633" s="207"/>
      <c r="L1633" s="66"/>
      <c r="M1633" s="201" t="s">
        <v>12550</v>
      </c>
      <c r="N1633" s="207"/>
      <c r="O1633" s="38" t="s">
        <v>19971</v>
      </c>
    </row>
    <row r="1634" spans="1:26" ht="72" customHeight="1" x14ac:dyDescent="0.3">
      <c r="A1634" s="2">
        <v>1614</v>
      </c>
      <c r="B1634" s="52" t="s">
        <v>12491</v>
      </c>
      <c r="C1634" s="52" t="s">
        <v>13891</v>
      </c>
      <c r="D1634" s="88" t="s">
        <v>14000</v>
      </c>
      <c r="E1634" s="157">
        <v>53.2</v>
      </c>
      <c r="F1634" s="6">
        <v>61477.98</v>
      </c>
      <c r="G1634" s="6">
        <v>19937.7</v>
      </c>
      <c r="H1634" s="25"/>
      <c r="I1634" s="207" t="s">
        <v>12545</v>
      </c>
      <c r="J1634" s="66" t="s">
        <v>12549</v>
      </c>
      <c r="K1634" s="207"/>
      <c r="L1634" s="66"/>
      <c r="M1634" s="201" t="s">
        <v>12550</v>
      </c>
      <c r="N1634" s="207"/>
      <c r="O1634" s="38"/>
    </row>
    <row r="1635" spans="1:26" ht="72" customHeight="1" x14ac:dyDescent="0.3">
      <c r="A1635" s="2">
        <v>1615</v>
      </c>
      <c r="B1635" s="52" t="s">
        <v>12491</v>
      </c>
      <c r="C1635" s="52" t="s">
        <v>13892</v>
      </c>
      <c r="D1635" s="88" t="s">
        <v>14001</v>
      </c>
      <c r="E1635" s="157">
        <v>52.7</v>
      </c>
      <c r="F1635" s="6">
        <v>60900.18</v>
      </c>
      <c r="G1635" s="6">
        <v>19750.310000000001</v>
      </c>
      <c r="H1635" s="25"/>
      <c r="I1635" s="207" t="s">
        <v>12545</v>
      </c>
      <c r="J1635" s="66" t="s">
        <v>12549</v>
      </c>
      <c r="K1635" s="207"/>
      <c r="L1635" s="66"/>
      <c r="M1635" s="201" t="s">
        <v>12550</v>
      </c>
      <c r="N1635" s="207"/>
      <c r="O1635" s="38"/>
    </row>
    <row r="1636" spans="1:26" ht="72" customHeight="1" x14ac:dyDescent="0.3">
      <c r="A1636" s="2">
        <v>1616</v>
      </c>
      <c r="B1636" s="52" t="s">
        <v>12491</v>
      </c>
      <c r="C1636" s="52" t="s">
        <v>13893</v>
      </c>
      <c r="D1636" s="88" t="s">
        <v>14002</v>
      </c>
      <c r="E1636" s="157">
        <v>52.5</v>
      </c>
      <c r="F1636" s="6">
        <v>60669.06</v>
      </c>
      <c r="G1636" s="6">
        <v>19675.36</v>
      </c>
      <c r="H1636" s="25"/>
      <c r="I1636" s="207" t="s">
        <v>12545</v>
      </c>
      <c r="J1636" s="66" t="s">
        <v>12549</v>
      </c>
      <c r="K1636" s="207"/>
      <c r="L1636" s="66"/>
      <c r="M1636" s="201" t="s">
        <v>12550</v>
      </c>
      <c r="N1636" s="207"/>
      <c r="O1636" s="38"/>
    </row>
    <row r="1637" spans="1:26" ht="72" customHeight="1" x14ac:dyDescent="0.3">
      <c r="A1637" s="2">
        <v>1617</v>
      </c>
      <c r="B1637" s="52" t="s">
        <v>12491</v>
      </c>
      <c r="C1637" s="52" t="s">
        <v>13894</v>
      </c>
      <c r="D1637" s="88"/>
      <c r="E1637" s="157">
        <v>43.6</v>
      </c>
      <c r="F1637" s="6">
        <v>37346.68</v>
      </c>
      <c r="G1637" s="6">
        <v>32743.57</v>
      </c>
      <c r="H1637" s="207"/>
      <c r="I1637" s="207" t="s">
        <v>12545</v>
      </c>
      <c r="J1637" s="66" t="s">
        <v>12549</v>
      </c>
      <c r="K1637" s="207"/>
      <c r="L1637" s="66"/>
      <c r="M1637" s="201" t="s">
        <v>12550</v>
      </c>
      <c r="N1637" s="207"/>
      <c r="O1637" s="38"/>
    </row>
    <row r="1638" spans="1:26" ht="72" customHeight="1" x14ac:dyDescent="0.3">
      <c r="A1638" s="2">
        <v>1618</v>
      </c>
      <c r="B1638" s="52" t="s">
        <v>12491</v>
      </c>
      <c r="C1638" s="52" t="s">
        <v>13895</v>
      </c>
      <c r="D1638" s="88"/>
      <c r="E1638" s="157">
        <v>55.1</v>
      </c>
      <c r="F1638" s="6">
        <v>47197.3</v>
      </c>
      <c r="G1638" s="6">
        <v>41380.07</v>
      </c>
      <c r="H1638" s="207"/>
      <c r="I1638" s="207" t="s">
        <v>12545</v>
      </c>
      <c r="J1638" s="66" t="s">
        <v>12549</v>
      </c>
      <c r="K1638" s="207"/>
      <c r="L1638" s="66"/>
      <c r="M1638" s="201" t="s">
        <v>12550</v>
      </c>
      <c r="N1638" s="207"/>
      <c r="O1638" s="38"/>
    </row>
    <row r="1639" spans="1:26" ht="72" customHeight="1" x14ac:dyDescent="0.3">
      <c r="A1639" s="2">
        <v>1619</v>
      </c>
      <c r="B1639" s="52" t="s">
        <v>12491</v>
      </c>
      <c r="C1639" s="52" t="s">
        <v>13896</v>
      </c>
      <c r="D1639" s="88"/>
      <c r="E1639" s="157">
        <v>55.1</v>
      </c>
      <c r="F1639" s="6">
        <v>47197.3</v>
      </c>
      <c r="G1639" s="6">
        <v>41380.07</v>
      </c>
      <c r="H1639" s="207"/>
      <c r="I1639" s="207" t="s">
        <v>12545</v>
      </c>
      <c r="J1639" s="66" t="s">
        <v>12549</v>
      </c>
      <c r="K1639" s="207"/>
      <c r="L1639" s="66"/>
      <c r="M1639" s="201" t="s">
        <v>12550</v>
      </c>
      <c r="N1639" s="207"/>
      <c r="O1639" s="38"/>
    </row>
    <row r="1640" spans="1:26" ht="72" customHeight="1" x14ac:dyDescent="0.3">
      <c r="A1640" s="2">
        <v>1620</v>
      </c>
      <c r="B1640" s="52" t="s">
        <v>12491</v>
      </c>
      <c r="C1640" s="52" t="s">
        <v>13897</v>
      </c>
      <c r="D1640" s="88" t="s">
        <v>14004</v>
      </c>
      <c r="E1640" s="157">
        <v>42.3</v>
      </c>
      <c r="F1640" s="6">
        <v>41972.85</v>
      </c>
      <c r="G1640" s="6"/>
      <c r="H1640" s="25"/>
      <c r="I1640" s="207" t="s">
        <v>12545</v>
      </c>
      <c r="J1640" s="66" t="s">
        <v>12549</v>
      </c>
      <c r="K1640" s="207"/>
      <c r="L1640" s="66"/>
      <c r="M1640" s="201" t="s">
        <v>12550</v>
      </c>
      <c r="N1640" s="207"/>
      <c r="O1640" s="38"/>
    </row>
    <row r="1641" spans="1:26" ht="72" customHeight="1" x14ac:dyDescent="0.3">
      <c r="A1641" s="2">
        <v>1621</v>
      </c>
      <c r="B1641" s="52" t="s">
        <v>12490</v>
      </c>
      <c r="C1641" s="52" t="s">
        <v>13898</v>
      </c>
      <c r="D1641" s="88" t="s">
        <v>14005</v>
      </c>
      <c r="E1641" s="157">
        <v>53.5</v>
      </c>
      <c r="F1641" s="6">
        <v>53086.23</v>
      </c>
      <c r="G1641" s="6"/>
      <c r="H1641" s="25"/>
      <c r="I1641" s="207" t="s">
        <v>12545</v>
      </c>
      <c r="J1641" s="66" t="s">
        <v>12549</v>
      </c>
      <c r="K1641" s="207"/>
      <c r="L1641" s="66"/>
      <c r="M1641" s="201" t="s">
        <v>12550</v>
      </c>
      <c r="N1641" s="207"/>
      <c r="O1641" s="38"/>
    </row>
    <row r="1642" spans="1:26" ht="72" customHeight="1" x14ac:dyDescent="0.3">
      <c r="A1642" s="2">
        <v>1622</v>
      </c>
      <c r="B1642" s="52" t="s">
        <v>12491</v>
      </c>
      <c r="C1642" s="52" t="s">
        <v>13899</v>
      </c>
      <c r="D1642" s="88" t="s">
        <v>14006</v>
      </c>
      <c r="E1642" s="157">
        <v>42.5</v>
      </c>
      <c r="F1642" s="6">
        <v>42171.31</v>
      </c>
      <c r="G1642" s="6"/>
      <c r="H1642" s="25"/>
      <c r="I1642" s="207" t="s">
        <v>12545</v>
      </c>
      <c r="J1642" s="66" t="s">
        <v>12549</v>
      </c>
      <c r="K1642" s="207"/>
      <c r="L1642" s="66"/>
      <c r="M1642" s="201" t="s">
        <v>12550</v>
      </c>
      <c r="N1642" s="207"/>
      <c r="O1642" s="38"/>
    </row>
    <row r="1643" spans="1:26" ht="72" customHeight="1" x14ac:dyDescent="0.3">
      <c r="A1643" s="2">
        <v>1623</v>
      </c>
      <c r="B1643" s="52" t="s">
        <v>12491</v>
      </c>
      <c r="C1643" s="52" t="s">
        <v>13900</v>
      </c>
      <c r="D1643" s="88" t="s">
        <v>14007</v>
      </c>
      <c r="E1643" s="157">
        <v>41.2</v>
      </c>
      <c r="F1643" s="6">
        <v>40881.360000000001</v>
      </c>
      <c r="G1643" s="6"/>
      <c r="H1643" s="25"/>
      <c r="I1643" s="207" t="s">
        <v>12545</v>
      </c>
      <c r="J1643" s="66" t="s">
        <v>12549</v>
      </c>
      <c r="K1643" s="207"/>
      <c r="L1643" s="66"/>
      <c r="M1643" s="201" t="s">
        <v>12550</v>
      </c>
      <c r="N1643" s="207"/>
      <c r="O1643" s="38"/>
    </row>
    <row r="1644" spans="1:26" ht="72" customHeight="1" x14ac:dyDescent="0.3">
      <c r="A1644" s="2">
        <v>1624</v>
      </c>
      <c r="B1644" s="52" t="s">
        <v>12492</v>
      </c>
      <c r="C1644" s="52" t="s">
        <v>13901</v>
      </c>
      <c r="D1644" s="88"/>
      <c r="E1644" s="157">
        <v>30.7</v>
      </c>
      <c r="F1644" s="6">
        <v>13006.45</v>
      </c>
      <c r="G1644" s="6">
        <v>4724.12</v>
      </c>
      <c r="H1644" s="207"/>
      <c r="I1644" s="207" t="s">
        <v>12545</v>
      </c>
      <c r="J1644" s="66" t="s">
        <v>12549</v>
      </c>
      <c r="K1644" s="207"/>
      <c r="L1644" s="66"/>
      <c r="M1644" s="201" t="s">
        <v>12550</v>
      </c>
      <c r="N1644" s="207"/>
      <c r="O1644" s="38"/>
    </row>
    <row r="1645" spans="1:26" s="161" customFormat="1" ht="72" customHeight="1" x14ac:dyDescent="0.3">
      <c r="A1645" s="2">
        <v>1625</v>
      </c>
      <c r="B1645" s="53" t="s">
        <v>12491</v>
      </c>
      <c r="C1645" s="53" t="s">
        <v>13902</v>
      </c>
      <c r="D1645" s="207"/>
      <c r="E1645" s="157">
        <v>29</v>
      </c>
      <c r="F1645" s="207">
        <v>77441.39</v>
      </c>
      <c r="G1645" s="207">
        <v>34074.269999999997</v>
      </c>
      <c r="H1645" s="207"/>
      <c r="I1645" s="207" t="s">
        <v>12545</v>
      </c>
      <c r="J1645" s="66" t="s">
        <v>12549</v>
      </c>
      <c r="K1645" s="207"/>
      <c r="L1645" s="66"/>
      <c r="M1645" s="201" t="s">
        <v>12550</v>
      </c>
      <c r="N1645" s="207"/>
      <c r="O1645" s="245"/>
      <c r="Q1645" s="197"/>
      <c r="R1645" s="197"/>
      <c r="S1645" s="197"/>
      <c r="T1645" s="197"/>
      <c r="U1645" s="197"/>
      <c r="V1645" s="197"/>
      <c r="W1645" s="197"/>
      <c r="X1645" s="197"/>
      <c r="Y1645" s="197"/>
      <c r="Z1645" s="197"/>
    </row>
    <row r="1646" spans="1:26" s="165" customFormat="1" ht="60" customHeight="1" x14ac:dyDescent="0.3">
      <c r="A1646" s="133">
        <v>1626</v>
      </c>
      <c r="B1646" s="133" t="s">
        <v>14069</v>
      </c>
      <c r="C1646" s="29" t="s">
        <v>14070</v>
      </c>
      <c r="D1646" s="254" t="s">
        <v>14071</v>
      </c>
      <c r="E1646" s="133">
        <v>381</v>
      </c>
      <c r="F1646" s="203">
        <v>1319979.3999999999</v>
      </c>
      <c r="G1646" s="133">
        <v>1238979.3899999999</v>
      </c>
      <c r="H1646" s="133">
        <v>199236.33</v>
      </c>
      <c r="I1646" s="133" t="s">
        <v>12545</v>
      </c>
      <c r="J1646" s="134" t="s">
        <v>15668</v>
      </c>
      <c r="K1646" s="204">
        <v>42544</v>
      </c>
      <c r="L1646" s="134" t="s">
        <v>18193</v>
      </c>
      <c r="M1646" s="242" t="s">
        <v>13904</v>
      </c>
      <c r="N1646" s="133"/>
      <c r="O1646" s="134"/>
      <c r="P1646" s="197"/>
      <c r="Q1646" s="4"/>
      <c r="R1646" s="4"/>
      <c r="S1646" s="4"/>
      <c r="T1646" s="4"/>
      <c r="U1646" s="4"/>
      <c r="V1646" s="4"/>
      <c r="W1646" s="4"/>
      <c r="X1646" s="4"/>
      <c r="Y1646" s="4"/>
      <c r="Z1646" s="4"/>
    </row>
    <row r="1647" spans="1:26" s="4" customFormat="1" ht="72" customHeight="1" x14ac:dyDescent="0.3">
      <c r="A1647" s="207">
        <v>1627</v>
      </c>
      <c r="B1647" s="246" t="s">
        <v>18474</v>
      </c>
      <c r="C1647" s="246" t="s">
        <v>18475</v>
      </c>
      <c r="D1647" s="207"/>
      <c r="E1647" s="6"/>
      <c r="F1647" s="25"/>
      <c r="G1647" s="25"/>
      <c r="H1647" s="207"/>
      <c r="I1647" s="207" t="s">
        <v>12545</v>
      </c>
      <c r="J1647" s="66" t="s">
        <v>12548</v>
      </c>
      <c r="K1647" s="207"/>
      <c r="L1647" s="66"/>
      <c r="M1647" s="201" t="s">
        <v>12550</v>
      </c>
      <c r="N1647" s="199"/>
      <c r="O1647" s="245"/>
      <c r="Q1647" s="67"/>
      <c r="R1647" s="67"/>
      <c r="S1647" s="67"/>
      <c r="T1647" s="67"/>
      <c r="U1647" s="67"/>
      <c r="V1647" s="67"/>
      <c r="W1647" s="67"/>
      <c r="X1647" s="67"/>
      <c r="Y1647" s="67"/>
      <c r="Z1647" s="67"/>
    </row>
    <row r="1648" spans="1:26" ht="84" customHeight="1" x14ac:dyDescent="0.3">
      <c r="A1648" s="207">
        <v>1628</v>
      </c>
      <c r="B1648" s="207" t="s">
        <v>14728</v>
      </c>
      <c r="C1648" s="242" t="s">
        <v>14072</v>
      </c>
      <c r="D1648" s="85" t="s">
        <v>16159</v>
      </c>
      <c r="E1648" s="207">
        <v>230.1</v>
      </c>
      <c r="F1648" s="25">
        <v>144666.28</v>
      </c>
      <c r="G1648" s="25">
        <v>128333.7</v>
      </c>
      <c r="H1648" s="25">
        <v>2902331.84</v>
      </c>
      <c r="I1648" s="207" t="s">
        <v>12545</v>
      </c>
      <c r="J1648" s="66" t="s">
        <v>12548</v>
      </c>
      <c r="K1648" s="207"/>
      <c r="L1648" s="66"/>
      <c r="M1648" s="201" t="s">
        <v>12550</v>
      </c>
      <c r="N1648" s="242" t="s">
        <v>18692</v>
      </c>
      <c r="O1648" s="38"/>
    </row>
    <row r="1649" spans="1:26" ht="98.4" customHeight="1" x14ac:dyDescent="0.3">
      <c r="A1649" s="245">
        <v>1629</v>
      </c>
      <c r="B1649" s="245" t="s">
        <v>20253</v>
      </c>
      <c r="C1649" s="245" t="s">
        <v>14073</v>
      </c>
      <c r="D1649" s="86" t="s">
        <v>18627</v>
      </c>
      <c r="E1649" s="66">
        <v>9257</v>
      </c>
      <c r="F1649" s="20"/>
      <c r="G1649" s="245"/>
      <c r="H1649" s="20"/>
      <c r="I1649" s="245" t="s">
        <v>12545</v>
      </c>
      <c r="J1649" s="66" t="s">
        <v>21363</v>
      </c>
      <c r="K1649" s="245"/>
      <c r="L1649" s="66"/>
      <c r="M1649" s="201" t="s">
        <v>12550</v>
      </c>
      <c r="N1649" s="245"/>
      <c r="O1649" s="38"/>
    </row>
    <row r="1650" spans="1:26" ht="72" customHeight="1" x14ac:dyDescent="0.3">
      <c r="A1650" s="2">
        <v>1630</v>
      </c>
      <c r="B1650" s="52" t="s">
        <v>12491</v>
      </c>
      <c r="C1650" s="52" t="s">
        <v>14074</v>
      </c>
      <c r="D1650" s="88" t="s">
        <v>14075</v>
      </c>
      <c r="E1650" s="157">
        <v>43.4</v>
      </c>
      <c r="F1650" s="43">
        <v>1348710</v>
      </c>
      <c r="G1650" s="6"/>
      <c r="H1650" s="207" t="s">
        <v>14082</v>
      </c>
      <c r="I1650" s="207" t="s">
        <v>14076</v>
      </c>
      <c r="J1650" s="66" t="s">
        <v>14077</v>
      </c>
      <c r="K1650" s="207"/>
      <c r="L1650" s="66"/>
      <c r="M1650" s="201" t="s">
        <v>12550</v>
      </c>
      <c r="N1650" s="245" t="s">
        <v>18036</v>
      </c>
      <c r="O1650" s="38"/>
    </row>
    <row r="1651" spans="1:26" ht="72" customHeight="1" x14ac:dyDescent="0.3">
      <c r="A1651" s="2">
        <v>1631</v>
      </c>
      <c r="B1651" s="52" t="s">
        <v>14078</v>
      </c>
      <c r="C1651" s="52" t="s">
        <v>14079</v>
      </c>
      <c r="D1651" s="88" t="s">
        <v>14080</v>
      </c>
      <c r="E1651" s="157">
        <v>31.9</v>
      </c>
      <c r="F1651" s="43">
        <v>1348710</v>
      </c>
      <c r="G1651" s="6"/>
      <c r="H1651" s="98">
        <v>319947.43</v>
      </c>
      <c r="I1651" s="207" t="s">
        <v>14076</v>
      </c>
      <c r="J1651" s="66" t="s">
        <v>14081</v>
      </c>
      <c r="K1651" s="207"/>
      <c r="L1651" s="66"/>
      <c r="M1651" s="201" t="s">
        <v>12550</v>
      </c>
      <c r="N1651" s="245" t="s">
        <v>22668</v>
      </c>
      <c r="O1651" s="38"/>
    </row>
    <row r="1652" spans="1:26" ht="72" customHeight="1" x14ac:dyDescent="0.3">
      <c r="A1652" s="2">
        <v>1632</v>
      </c>
      <c r="B1652" s="52" t="s">
        <v>14078</v>
      </c>
      <c r="C1652" s="52" t="s">
        <v>14083</v>
      </c>
      <c r="D1652" s="88" t="s">
        <v>14084</v>
      </c>
      <c r="E1652" s="157">
        <v>31.5</v>
      </c>
      <c r="F1652" s="43">
        <v>1348710</v>
      </c>
      <c r="G1652" s="6"/>
      <c r="H1652" s="98">
        <v>315935.55</v>
      </c>
      <c r="I1652" s="207" t="s">
        <v>14076</v>
      </c>
      <c r="J1652" s="66" t="s">
        <v>14090</v>
      </c>
      <c r="K1652" s="207"/>
      <c r="L1652" s="66"/>
      <c r="M1652" s="201" t="s">
        <v>12550</v>
      </c>
      <c r="N1652" s="245" t="s">
        <v>18037</v>
      </c>
      <c r="O1652" s="38"/>
    </row>
    <row r="1653" spans="1:26" ht="72" customHeight="1" x14ac:dyDescent="0.3">
      <c r="A1653" s="2">
        <v>1633</v>
      </c>
      <c r="B1653" s="52" t="s">
        <v>14078</v>
      </c>
      <c r="C1653" s="52" t="s">
        <v>14085</v>
      </c>
      <c r="D1653" s="88" t="s">
        <v>14086</v>
      </c>
      <c r="E1653" s="157">
        <v>27.5</v>
      </c>
      <c r="F1653" s="43">
        <v>1348710</v>
      </c>
      <c r="G1653" s="6"/>
      <c r="H1653" s="98">
        <v>820157.53</v>
      </c>
      <c r="I1653" s="207" t="s">
        <v>14076</v>
      </c>
      <c r="J1653" s="66" t="s">
        <v>14089</v>
      </c>
      <c r="K1653" s="207"/>
      <c r="L1653" s="66"/>
      <c r="M1653" s="201" t="s">
        <v>12550</v>
      </c>
      <c r="N1653" s="245" t="s">
        <v>18039</v>
      </c>
      <c r="O1653" s="38"/>
    </row>
    <row r="1654" spans="1:26" ht="72" customHeight="1" x14ac:dyDescent="0.3">
      <c r="A1654" s="2">
        <v>1634</v>
      </c>
      <c r="B1654" s="52" t="s">
        <v>14078</v>
      </c>
      <c r="C1654" s="52" t="s">
        <v>18038</v>
      </c>
      <c r="D1654" s="88" t="s">
        <v>14087</v>
      </c>
      <c r="E1654" s="157">
        <v>44.7</v>
      </c>
      <c r="F1654" s="43">
        <v>1348710</v>
      </c>
      <c r="G1654" s="6"/>
      <c r="H1654" s="98" t="s">
        <v>14088</v>
      </c>
      <c r="I1654" s="207" t="s">
        <v>14076</v>
      </c>
      <c r="J1654" s="66" t="s">
        <v>18598</v>
      </c>
      <c r="K1654" s="207"/>
      <c r="L1654" s="66"/>
      <c r="M1654" s="201" t="s">
        <v>12550</v>
      </c>
      <c r="N1654" s="245" t="s">
        <v>18040</v>
      </c>
      <c r="O1654" s="38"/>
    </row>
    <row r="1655" spans="1:26" ht="72" customHeight="1" x14ac:dyDescent="0.3">
      <c r="A1655" s="207">
        <v>1635</v>
      </c>
      <c r="B1655" s="245" t="s">
        <v>14093</v>
      </c>
      <c r="C1655" s="245" t="s">
        <v>22536</v>
      </c>
      <c r="D1655" s="207"/>
      <c r="E1655" s="207"/>
      <c r="F1655" s="25">
        <v>0.01</v>
      </c>
      <c r="G1655" s="25"/>
      <c r="H1655" s="207"/>
      <c r="I1655" s="243">
        <v>40500</v>
      </c>
      <c r="J1655" s="242" t="s">
        <v>11171</v>
      </c>
      <c r="K1655" s="243"/>
      <c r="L1655" s="66"/>
      <c r="M1655" s="201" t="s">
        <v>12550</v>
      </c>
      <c r="N1655" s="242" t="s">
        <v>19384</v>
      </c>
      <c r="O1655" s="38"/>
    </row>
    <row r="1656" spans="1:26" ht="84" customHeight="1" x14ac:dyDescent="0.3">
      <c r="A1656" s="245">
        <v>1636</v>
      </c>
      <c r="B1656" s="245" t="s">
        <v>14244</v>
      </c>
      <c r="C1656" s="245" t="s">
        <v>22537</v>
      </c>
      <c r="D1656" s="86" t="s">
        <v>14243</v>
      </c>
      <c r="E1656" s="66">
        <v>332.6</v>
      </c>
      <c r="F1656" s="20">
        <v>222721.79</v>
      </c>
      <c r="G1656" s="245"/>
      <c r="H1656" s="20">
        <v>166808.88</v>
      </c>
      <c r="I1656" s="245" t="s">
        <v>14241</v>
      </c>
      <c r="J1656" s="66" t="s">
        <v>14242</v>
      </c>
      <c r="K1656" s="245"/>
      <c r="L1656" s="66"/>
      <c r="M1656" s="201" t="s">
        <v>12550</v>
      </c>
      <c r="N1656" s="245"/>
      <c r="O1656" s="38"/>
    </row>
    <row r="1657" spans="1:26" ht="84" customHeight="1" x14ac:dyDescent="0.3">
      <c r="A1657" s="245">
        <v>1637</v>
      </c>
      <c r="B1657" s="245" t="s">
        <v>14245</v>
      </c>
      <c r="C1657" s="245" t="s">
        <v>22537</v>
      </c>
      <c r="D1657" s="86" t="s">
        <v>14246</v>
      </c>
      <c r="E1657" s="207">
        <v>2157</v>
      </c>
      <c r="F1657" s="43">
        <v>2632532.2200000002</v>
      </c>
      <c r="G1657" s="25"/>
      <c r="H1657" s="43">
        <v>2632532.2200000002</v>
      </c>
      <c r="I1657" s="26">
        <v>42460</v>
      </c>
      <c r="J1657" s="66" t="s">
        <v>14247</v>
      </c>
      <c r="K1657" s="207"/>
      <c r="L1657" s="66"/>
      <c r="M1657" s="200" t="s">
        <v>12550</v>
      </c>
      <c r="N1657" s="207"/>
      <c r="O1657" s="245" t="s">
        <v>12039</v>
      </c>
    </row>
    <row r="1658" spans="1:26" ht="72" customHeight="1" x14ac:dyDescent="0.3">
      <c r="A1658" s="245">
        <v>1638</v>
      </c>
      <c r="B1658" s="242" t="s">
        <v>133</v>
      </c>
      <c r="C1658" s="242" t="s">
        <v>14248</v>
      </c>
      <c r="D1658" s="60" t="s">
        <v>14249</v>
      </c>
      <c r="E1658" s="242">
        <v>1000</v>
      </c>
      <c r="F1658" s="244">
        <v>196860</v>
      </c>
      <c r="G1658" s="244"/>
      <c r="H1658" s="244">
        <v>196860</v>
      </c>
      <c r="I1658" s="243">
        <v>42419</v>
      </c>
      <c r="J1658" s="242" t="s">
        <v>14250</v>
      </c>
      <c r="K1658" s="242"/>
      <c r="L1658" s="66"/>
      <c r="M1658" s="200" t="s">
        <v>12550</v>
      </c>
      <c r="N1658" s="207"/>
      <c r="O1658" s="245" t="s">
        <v>12039</v>
      </c>
    </row>
    <row r="1659" spans="1:26" ht="72" customHeight="1" x14ac:dyDescent="0.3">
      <c r="A1659" s="245">
        <v>1639</v>
      </c>
      <c r="B1659" s="242" t="s">
        <v>133</v>
      </c>
      <c r="C1659" s="242" t="s">
        <v>14443</v>
      </c>
      <c r="D1659" s="60" t="s">
        <v>14251</v>
      </c>
      <c r="E1659" s="242">
        <v>1741575</v>
      </c>
      <c r="F1659" s="244">
        <v>19732044.75</v>
      </c>
      <c r="G1659" s="244"/>
      <c r="H1659" s="244">
        <v>19732044.75</v>
      </c>
      <c r="I1659" s="243">
        <v>42460</v>
      </c>
      <c r="J1659" s="242" t="s">
        <v>14252</v>
      </c>
      <c r="K1659" s="242"/>
      <c r="L1659" s="66"/>
      <c r="M1659" s="200" t="s">
        <v>12550</v>
      </c>
      <c r="N1659" s="207"/>
      <c r="O1659" s="245" t="s">
        <v>12039</v>
      </c>
      <c r="Q1659" s="161"/>
      <c r="R1659" s="161"/>
      <c r="S1659" s="161"/>
      <c r="T1659" s="161"/>
      <c r="U1659" s="161"/>
      <c r="V1659" s="161"/>
      <c r="W1659" s="161"/>
      <c r="X1659" s="161"/>
      <c r="Y1659" s="161"/>
      <c r="Z1659" s="161"/>
    </row>
    <row r="1660" spans="1:26" s="161" customFormat="1" ht="72" customHeight="1" x14ac:dyDescent="0.3">
      <c r="A1660" s="245">
        <v>1640</v>
      </c>
      <c r="B1660" s="242" t="s">
        <v>14259</v>
      </c>
      <c r="C1660" s="242" t="s">
        <v>14260</v>
      </c>
      <c r="D1660" s="60" t="s">
        <v>14261</v>
      </c>
      <c r="E1660" s="242">
        <v>285.39999999999998</v>
      </c>
      <c r="F1660" s="244">
        <v>2012150</v>
      </c>
      <c r="G1660" s="244">
        <v>2012150</v>
      </c>
      <c r="H1660" s="244">
        <v>797122.2</v>
      </c>
      <c r="I1660" s="243">
        <v>42462</v>
      </c>
      <c r="J1660" s="66" t="s">
        <v>14262</v>
      </c>
      <c r="K1660" s="242"/>
      <c r="L1660" s="66"/>
      <c r="M1660" s="201" t="s">
        <v>12550</v>
      </c>
      <c r="N1660" s="23"/>
      <c r="O1660" s="245"/>
      <c r="Q1660" s="67"/>
      <c r="R1660" s="67"/>
      <c r="S1660" s="67"/>
      <c r="T1660" s="67"/>
      <c r="U1660" s="67"/>
      <c r="V1660" s="67"/>
      <c r="W1660" s="67"/>
      <c r="X1660" s="67"/>
      <c r="Y1660" s="67"/>
      <c r="Z1660" s="67"/>
    </row>
    <row r="1661" spans="1:26" ht="72" customHeight="1" x14ac:dyDescent="0.3">
      <c r="A1661" s="245">
        <v>1641</v>
      </c>
      <c r="B1661" s="242" t="s">
        <v>14263</v>
      </c>
      <c r="C1661" s="242" t="s">
        <v>14471</v>
      </c>
      <c r="D1661" s="207"/>
      <c r="E1661" s="242">
        <v>17000</v>
      </c>
      <c r="F1661" s="207"/>
      <c r="G1661" s="207"/>
      <c r="H1661" s="207"/>
      <c r="I1661" s="207" t="s">
        <v>12545</v>
      </c>
      <c r="J1661" s="66" t="s">
        <v>12549</v>
      </c>
      <c r="K1661" s="207"/>
      <c r="L1661" s="66"/>
      <c r="M1661" s="201" t="s">
        <v>12550</v>
      </c>
      <c r="N1661" s="207"/>
      <c r="O1661" s="38"/>
    </row>
    <row r="1662" spans="1:26" ht="72" customHeight="1" x14ac:dyDescent="0.3">
      <c r="A1662" s="245">
        <v>1642</v>
      </c>
      <c r="B1662" s="242" t="s">
        <v>14264</v>
      </c>
      <c r="C1662" s="242" t="s">
        <v>14471</v>
      </c>
      <c r="D1662" s="207"/>
      <c r="E1662" s="242">
        <v>3000</v>
      </c>
      <c r="F1662" s="207"/>
      <c r="G1662" s="207"/>
      <c r="H1662" s="207"/>
      <c r="I1662" s="207" t="s">
        <v>12545</v>
      </c>
      <c r="J1662" s="66" t="s">
        <v>12549</v>
      </c>
      <c r="K1662" s="207"/>
      <c r="L1662" s="66"/>
      <c r="M1662" s="201" t="s">
        <v>12550</v>
      </c>
      <c r="N1662" s="207"/>
      <c r="O1662" s="38"/>
    </row>
    <row r="1663" spans="1:26" ht="72" customHeight="1" x14ac:dyDescent="0.3">
      <c r="A1663" s="245">
        <v>1643</v>
      </c>
      <c r="B1663" s="242" t="s">
        <v>14265</v>
      </c>
      <c r="C1663" s="242" t="s">
        <v>14472</v>
      </c>
      <c r="D1663" s="207"/>
      <c r="E1663" s="242">
        <v>10000</v>
      </c>
      <c r="F1663" s="105"/>
      <c r="G1663" s="246"/>
      <c r="H1663" s="207"/>
      <c r="I1663" s="207" t="s">
        <v>12545</v>
      </c>
      <c r="J1663" s="66" t="s">
        <v>12549</v>
      </c>
      <c r="K1663" s="207"/>
      <c r="L1663" s="66"/>
      <c r="M1663" s="201" t="s">
        <v>12550</v>
      </c>
      <c r="N1663" s="207"/>
      <c r="O1663" s="38"/>
    </row>
    <row r="1664" spans="1:26" ht="72" customHeight="1" x14ac:dyDescent="0.3">
      <c r="A1664" s="245">
        <v>1644</v>
      </c>
      <c r="B1664" s="242" t="s">
        <v>14265</v>
      </c>
      <c r="C1664" s="242" t="s">
        <v>14473</v>
      </c>
      <c r="D1664" s="207"/>
      <c r="E1664" s="242">
        <v>7000</v>
      </c>
      <c r="F1664" s="207"/>
      <c r="G1664" s="207"/>
      <c r="H1664" s="207"/>
      <c r="I1664" s="207" t="s">
        <v>12545</v>
      </c>
      <c r="J1664" s="66" t="s">
        <v>12549</v>
      </c>
      <c r="K1664" s="207"/>
      <c r="L1664" s="66"/>
      <c r="M1664" s="201" t="s">
        <v>12550</v>
      </c>
      <c r="N1664" s="207"/>
      <c r="O1664" s="38"/>
    </row>
    <row r="1665" spans="1:15" ht="72" customHeight="1" x14ac:dyDescent="0.3">
      <c r="A1665" s="245">
        <v>1645</v>
      </c>
      <c r="B1665" s="55" t="s">
        <v>14266</v>
      </c>
      <c r="C1665" s="55" t="s">
        <v>14474</v>
      </c>
      <c r="D1665" s="207"/>
      <c r="E1665" s="55">
        <v>83</v>
      </c>
      <c r="F1665" s="207"/>
      <c r="G1665" s="207"/>
      <c r="H1665" s="207"/>
      <c r="I1665" s="207" t="s">
        <v>12545</v>
      </c>
      <c r="J1665" s="66" t="s">
        <v>12549</v>
      </c>
      <c r="K1665" s="207"/>
      <c r="L1665" s="66"/>
      <c r="M1665" s="201" t="s">
        <v>12550</v>
      </c>
      <c r="N1665" s="207"/>
      <c r="O1665" s="38"/>
    </row>
    <row r="1666" spans="1:15" ht="72" customHeight="1" x14ac:dyDescent="0.3">
      <c r="A1666" s="245">
        <v>1646</v>
      </c>
      <c r="B1666" s="55" t="s">
        <v>14266</v>
      </c>
      <c r="C1666" s="55" t="s">
        <v>14475</v>
      </c>
      <c r="D1666" s="207"/>
      <c r="E1666" s="55">
        <v>362</v>
      </c>
      <c r="F1666" s="207"/>
      <c r="G1666" s="207"/>
      <c r="H1666" s="207"/>
      <c r="I1666" s="207" t="s">
        <v>12545</v>
      </c>
      <c r="J1666" s="66" t="s">
        <v>12549</v>
      </c>
      <c r="K1666" s="207"/>
      <c r="L1666" s="66"/>
      <c r="M1666" s="201" t="s">
        <v>12550</v>
      </c>
      <c r="N1666" s="207"/>
      <c r="O1666" s="38"/>
    </row>
    <row r="1667" spans="1:15" ht="72" customHeight="1" x14ac:dyDescent="0.3">
      <c r="A1667" s="245">
        <v>1647</v>
      </c>
      <c r="B1667" s="55" t="s">
        <v>14266</v>
      </c>
      <c r="C1667" s="55" t="s">
        <v>14476</v>
      </c>
      <c r="D1667" s="207"/>
      <c r="E1667" s="55">
        <v>144</v>
      </c>
      <c r="F1667" s="207"/>
      <c r="G1667" s="207"/>
      <c r="H1667" s="207"/>
      <c r="I1667" s="207" t="s">
        <v>12545</v>
      </c>
      <c r="J1667" s="66" t="s">
        <v>12549</v>
      </c>
      <c r="K1667" s="207"/>
      <c r="L1667" s="66"/>
      <c r="M1667" s="201" t="s">
        <v>12550</v>
      </c>
      <c r="N1667" s="207"/>
      <c r="O1667" s="38"/>
    </row>
    <row r="1668" spans="1:15" ht="72" customHeight="1" x14ac:dyDescent="0.3">
      <c r="A1668" s="245">
        <v>1648</v>
      </c>
      <c r="B1668" s="55" t="s">
        <v>14266</v>
      </c>
      <c r="C1668" s="55" t="s">
        <v>14477</v>
      </c>
      <c r="D1668" s="207"/>
      <c r="E1668" s="55">
        <v>144</v>
      </c>
      <c r="F1668" s="207"/>
      <c r="G1668" s="207"/>
      <c r="H1668" s="207"/>
      <c r="I1668" s="207" t="s">
        <v>12545</v>
      </c>
      <c r="J1668" s="66" t="s">
        <v>12549</v>
      </c>
      <c r="K1668" s="207"/>
      <c r="L1668" s="66"/>
      <c r="M1668" s="201" t="s">
        <v>12550</v>
      </c>
      <c r="N1668" s="207"/>
      <c r="O1668" s="38"/>
    </row>
    <row r="1669" spans="1:15" ht="72" customHeight="1" x14ac:dyDescent="0.3">
      <c r="A1669" s="245">
        <v>1649</v>
      </c>
      <c r="B1669" s="55" t="s">
        <v>14266</v>
      </c>
      <c r="C1669" s="55" t="s">
        <v>14478</v>
      </c>
      <c r="D1669" s="207"/>
      <c r="E1669" s="55">
        <v>140</v>
      </c>
      <c r="F1669" s="207"/>
      <c r="G1669" s="207"/>
      <c r="H1669" s="207"/>
      <c r="I1669" s="207" t="s">
        <v>12545</v>
      </c>
      <c r="J1669" s="66" t="s">
        <v>12549</v>
      </c>
      <c r="K1669" s="207"/>
      <c r="L1669" s="66"/>
      <c r="M1669" s="201" t="s">
        <v>12550</v>
      </c>
      <c r="N1669" s="207"/>
      <c r="O1669" s="38"/>
    </row>
    <row r="1670" spans="1:15" ht="72" customHeight="1" x14ac:dyDescent="0.3">
      <c r="A1670" s="245">
        <v>1650</v>
      </c>
      <c r="B1670" s="55" t="s">
        <v>14266</v>
      </c>
      <c r="C1670" s="55" t="s">
        <v>14479</v>
      </c>
      <c r="D1670" s="207"/>
      <c r="E1670" s="55">
        <v>112</v>
      </c>
      <c r="F1670" s="207"/>
      <c r="G1670" s="207"/>
      <c r="H1670" s="207"/>
      <c r="I1670" s="207" t="s">
        <v>12545</v>
      </c>
      <c r="J1670" s="66" t="s">
        <v>12549</v>
      </c>
      <c r="K1670" s="207"/>
      <c r="L1670" s="66"/>
      <c r="M1670" s="201" t="s">
        <v>12550</v>
      </c>
      <c r="N1670" s="207"/>
      <c r="O1670" s="38"/>
    </row>
    <row r="1671" spans="1:15" ht="72" customHeight="1" x14ac:dyDescent="0.3">
      <c r="A1671" s="245">
        <v>1651</v>
      </c>
      <c r="B1671" s="55" t="s">
        <v>14267</v>
      </c>
      <c r="C1671" s="55" t="s">
        <v>14480</v>
      </c>
      <c r="D1671" s="207"/>
      <c r="E1671" s="55">
        <v>137</v>
      </c>
      <c r="F1671" s="207"/>
      <c r="G1671" s="207"/>
      <c r="H1671" s="207"/>
      <c r="I1671" s="207" t="s">
        <v>12545</v>
      </c>
      <c r="J1671" s="66" t="s">
        <v>12549</v>
      </c>
      <c r="K1671" s="207"/>
      <c r="L1671" s="66"/>
      <c r="M1671" s="201" t="s">
        <v>12550</v>
      </c>
      <c r="N1671" s="207"/>
      <c r="O1671" s="38"/>
    </row>
    <row r="1672" spans="1:15" ht="72" customHeight="1" x14ac:dyDescent="0.3">
      <c r="A1672" s="245">
        <v>1652</v>
      </c>
      <c r="B1672" s="55" t="s">
        <v>14268</v>
      </c>
      <c r="C1672" s="55" t="s">
        <v>14480</v>
      </c>
      <c r="D1672" s="207"/>
      <c r="E1672" s="55">
        <v>236</v>
      </c>
      <c r="F1672" s="207"/>
      <c r="G1672" s="207"/>
      <c r="H1672" s="207"/>
      <c r="I1672" s="207" t="s">
        <v>12545</v>
      </c>
      <c r="J1672" s="66" t="s">
        <v>12549</v>
      </c>
      <c r="K1672" s="207"/>
      <c r="L1672" s="66"/>
      <c r="M1672" s="201" t="s">
        <v>12550</v>
      </c>
      <c r="N1672" s="207"/>
      <c r="O1672" s="38"/>
    </row>
    <row r="1673" spans="1:15" ht="72" customHeight="1" x14ac:dyDescent="0.3">
      <c r="A1673" s="245">
        <v>1653</v>
      </c>
      <c r="B1673" s="55" t="s">
        <v>14269</v>
      </c>
      <c r="C1673" s="55" t="s">
        <v>14481</v>
      </c>
      <c r="D1673" s="207"/>
      <c r="E1673" s="55">
        <v>112</v>
      </c>
      <c r="F1673" s="207"/>
      <c r="G1673" s="207"/>
      <c r="H1673" s="207"/>
      <c r="I1673" s="207" t="s">
        <v>12545</v>
      </c>
      <c r="J1673" s="66" t="s">
        <v>12549</v>
      </c>
      <c r="K1673" s="207"/>
      <c r="L1673" s="66"/>
      <c r="M1673" s="201" t="s">
        <v>12550</v>
      </c>
      <c r="N1673" s="207"/>
      <c r="O1673" s="38"/>
    </row>
    <row r="1674" spans="1:15" ht="72" customHeight="1" x14ac:dyDescent="0.3">
      <c r="A1674" s="245">
        <v>1654</v>
      </c>
      <c r="B1674" s="55" t="s">
        <v>14266</v>
      </c>
      <c r="C1674" s="55" t="s">
        <v>14482</v>
      </c>
      <c r="D1674" s="207"/>
      <c r="E1674" s="55">
        <v>324</v>
      </c>
      <c r="F1674" s="207"/>
      <c r="G1674" s="207"/>
      <c r="H1674" s="207"/>
      <c r="I1674" s="207" t="s">
        <v>12545</v>
      </c>
      <c r="J1674" s="66" t="s">
        <v>12549</v>
      </c>
      <c r="K1674" s="207"/>
      <c r="L1674" s="66"/>
      <c r="M1674" s="201" t="s">
        <v>12550</v>
      </c>
      <c r="N1674" s="207"/>
      <c r="O1674" s="38"/>
    </row>
    <row r="1675" spans="1:15" ht="72" customHeight="1" x14ac:dyDescent="0.3">
      <c r="A1675" s="245">
        <v>1655</v>
      </c>
      <c r="B1675" s="55" t="s">
        <v>14269</v>
      </c>
      <c r="C1675" s="55" t="s">
        <v>14483</v>
      </c>
      <c r="D1675" s="207"/>
      <c r="E1675" s="55">
        <v>264</v>
      </c>
      <c r="F1675" s="207"/>
      <c r="G1675" s="207"/>
      <c r="H1675" s="207"/>
      <c r="I1675" s="207" t="s">
        <v>12545</v>
      </c>
      <c r="J1675" s="66" t="s">
        <v>12549</v>
      </c>
      <c r="K1675" s="207"/>
      <c r="L1675" s="66"/>
      <c r="M1675" s="201" t="s">
        <v>12550</v>
      </c>
      <c r="N1675" s="207"/>
      <c r="O1675" s="38"/>
    </row>
    <row r="1676" spans="1:15" ht="72" customHeight="1" x14ac:dyDescent="0.3">
      <c r="A1676" s="245">
        <v>1656</v>
      </c>
      <c r="B1676" s="55" t="s">
        <v>14267</v>
      </c>
      <c r="C1676" s="55" t="s">
        <v>14484</v>
      </c>
      <c r="D1676" s="207"/>
      <c r="E1676" s="55">
        <v>80</v>
      </c>
      <c r="F1676" s="207"/>
      <c r="G1676" s="207"/>
      <c r="H1676" s="207"/>
      <c r="I1676" s="207" t="s">
        <v>12545</v>
      </c>
      <c r="J1676" s="66" t="s">
        <v>12549</v>
      </c>
      <c r="K1676" s="207"/>
      <c r="L1676" s="66"/>
      <c r="M1676" s="201" t="s">
        <v>12550</v>
      </c>
      <c r="N1676" s="207"/>
      <c r="O1676" s="38"/>
    </row>
    <row r="1677" spans="1:15" ht="72" customHeight="1" x14ac:dyDescent="0.3">
      <c r="A1677" s="245">
        <v>1657</v>
      </c>
      <c r="B1677" s="55" t="s">
        <v>14268</v>
      </c>
      <c r="C1677" s="55" t="s">
        <v>14484</v>
      </c>
      <c r="D1677" s="207"/>
      <c r="E1677" s="55">
        <v>135</v>
      </c>
      <c r="F1677" s="207"/>
      <c r="G1677" s="207"/>
      <c r="H1677" s="207"/>
      <c r="I1677" s="207" t="s">
        <v>12545</v>
      </c>
      <c r="J1677" s="66" t="s">
        <v>12549</v>
      </c>
      <c r="K1677" s="207"/>
      <c r="L1677" s="66"/>
      <c r="M1677" s="201" t="s">
        <v>12550</v>
      </c>
      <c r="N1677" s="207"/>
      <c r="O1677" s="38"/>
    </row>
    <row r="1678" spans="1:15" ht="72" customHeight="1" x14ac:dyDescent="0.3">
      <c r="A1678" s="245">
        <v>1658</v>
      </c>
      <c r="B1678" s="55" t="s">
        <v>14269</v>
      </c>
      <c r="C1678" s="55" t="s">
        <v>14485</v>
      </c>
      <c r="D1678" s="207"/>
      <c r="E1678" s="55">
        <v>146</v>
      </c>
      <c r="F1678" s="207"/>
      <c r="G1678" s="207"/>
      <c r="H1678" s="207"/>
      <c r="I1678" s="207" t="s">
        <v>12545</v>
      </c>
      <c r="J1678" s="66" t="s">
        <v>12549</v>
      </c>
      <c r="K1678" s="207"/>
      <c r="L1678" s="66"/>
      <c r="M1678" s="201" t="s">
        <v>12550</v>
      </c>
      <c r="N1678" s="207"/>
      <c r="O1678" s="38"/>
    </row>
    <row r="1679" spans="1:15" ht="72" customHeight="1" x14ac:dyDescent="0.3">
      <c r="A1679" s="245">
        <v>1659</v>
      </c>
      <c r="B1679" s="55" t="s">
        <v>14269</v>
      </c>
      <c r="C1679" s="55" t="s">
        <v>14486</v>
      </c>
      <c r="D1679" s="207"/>
      <c r="E1679" s="55">
        <v>278</v>
      </c>
      <c r="F1679" s="207"/>
      <c r="G1679" s="207"/>
      <c r="H1679" s="207"/>
      <c r="I1679" s="207" t="s">
        <v>12545</v>
      </c>
      <c r="J1679" s="66" t="s">
        <v>12549</v>
      </c>
      <c r="K1679" s="207"/>
      <c r="L1679" s="66"/>
      <c r="M1679" s="201" t="s">
        <v>12550</v>
      </c>
      <c r="N1679" s="207"/>
      <c r="O1679" s="38"/>
    </row>
    <row r="1680" spans="1:15" ht="72" customHeight="1" x14ac:dyDescent="0.3">
      <c r="A1680" s="245">
        <v>1660</v>
      </c>
      <c r="B1680" s="55" t="s">
        <v>14267</v>
      </c>
      <c r="C1680" s="55" t="s">
        <v>14487</v>
      </c>
      <c r="D1680" s="207"/>
      <c r="E1680" s="55">
        <v>190</v>
      </c>
      <c r="F1680" s="207"/>
      <c r="G1680" s="207"/>
      <c r="H1680" s="207"/>
      <c r="I1680" s="207" t="s">
        <v>12545</v>
      </c>
      <c r="J1680" s="66" t="s">
        <v>12549</v>
      </c>
      <c r="K1680" s="207"/>
      <c r="L1680" s="66"/>
      <c r="M1680" s="201" t="s">
        <v>12550</v>
      </c>
      <c r="N1680" s="207"/>
      <c r="O1680" s="38"/>
    </row>
    <row r="1681" spans="1:15" ht="72" customHeight="1" x14ac:dyDescent="0.3">
      <c r="A1681" s="245">
        <v>1661</v>
      </c>
      <c r="B1681" s="55" t="s">
        <v>14268</v>
      </c>
      <c r="C1681" s="55" t="s">
        <v>14487</v>
      </c>
      <c r="D1681" s="207"/>
      <c r="E1681" s="55">
        <v>209</v>
      </c>
      <c r="F1681" s="207"/>
      <c r="G1681" s="207"/>
      <c r="H1681" s="207"/>
      <c r="I1681" s="207" t="s">
        <v>12545</v>
      </c>
      <c r="J1681" s="66" t="s">
        <v>12549</v>
      </c>
      <c r="K1681" s="207"/>
      <c r="L1681" s="66"/>
      <c r="M1681" s="201" t="s">
        <v>12550</v>
      </c>
      <c r="N1681" s="207"/>
      <c r="O1681" s="38"/>
    </row>
    <row r="1682" spans="1:15" ht="72" customHeight="1" x14ac:dyDescent="0.3">
      <c r="A1682" s="245">
        <v>1662</v>
      </c>
      <c r="B1682" s="55" t="s">
        <v>14267</v>
      </c>
      <c r="C1682" s="55" t="s">
        <v>14488</v>
      </c>
      <c r="D1682" s="207"/>
      <c r="E1682" s="55">
        <v>176</v>
      </c>
      <c r="F1682" s="207"/>
      <c r="G1682" s="207"/>
      <c r="H1682" s="207"/>
      <c r="I1682" s="207" t="s">
        <v>12545</v>
      </c>
      <c r="J1682" s="66" t="s">
        <v>12549</v>
      </c>
      <c r="K1682" s="207"/>
      <c r="L1682" s="66"/>
      <c r="M1682" s="201" t="s">
        <v>12550</v>
      </c>
      <c r="N1682" s="207"/>
      <c r="O1682" s="38"/>
    </row>
    <row r="1683" spans="1:15" ht="72" customHeight="1" x14ac:dyDescent="0.3">
      <c r="A1683" s="245">
        <v>1663</v>
      </c>
      <c r="B1683" s="55" t="s">
        <v>14268</v>
      </c>
      <c r="C1683" s="55" t="s">
        <v>14488</v>
      </c>
      <c r="D1683" s="207"/>
      <c r="E1683" s="55">
        <v>131</v>
      </c>
      <c r="F1683" s="207"/>
      <c r="G1683" s="207"/>
      <c r="H1683" s="207"/>
      <c r="I1683" s="207" t="s">
        <v>12545</v>
      </c>
      <c r="J1683" s="66" t="s">
        <v>12549</v>
      </c>
      <c r="K1683" s="207"/>
      <c r="L1683" s="66"/>
      <c r="M1683" s="201" t="s">
        <v>12550</v>
      </c>
      <c r="N1683" s="207"/>
      <c r="O1683" s="38"/>
    </row>
    <row r="1684" spans="1:15" ht="72" customHeight="1" x14ac:dyDescent="0.3">
      <c r="A1684" s="245">
        <v>1664</v>
      </c>
      <c r="B1684" s="55" t="s">
        <v>14267</v>
      </c>
      <c r="C1684" s="55" t="s">
        <v>14489</v>
      </c>
      <c r="D1684" s="207"/>
      <c r="E1684" s="55">
        <v>138</v>
      </c>
      <c r="F1684" s="207"/>
      <c r="G1684" s="207"/>
      <c r="H1684" s="207"/>
      <c r="I1684" s="207" t="s">
        <v>12545</v>
      </c>
      <c r="J1684" s="66" t="s">
        <v>12549</v>
      </c>
      <c r="K1684" s="207"/>
      <c r="L1684" s="66"/>
      <c r="M1684" s="201" t="s">
        <v>12550</v>
      </c>
      <c r="N1684" s="207"/>
      <c r="O1684" s="38"/>
    </row>
    <row r="1685" spans="1:15" ht="72" customHeight="1" x14ac:dyDescent="0.3">
      <c r="A1685" s="245">
        <v>1665</v>
      </c>
      <c r="B1685" s="55" t="s">
        <v>14268</v>
      </c>
      <c r="C1685" s="55" t="s">
        <v>14489</v>
      </c>
      <c r="D1685" s="207"/>
      <c r="E1685" s="55">
        <v>348</v>
      </c>
      <c r="F1685" s="207"/>
      <c r="G1685" s="207"/>
      <c r="H1685" s="207"/>
      <c r="I1685" s="207" t="s">
        <v>12545</v>
      </c>
      <c r="J1685" s="66" t="s">
        <v>12549</v>
      </c>
      <c r="K1685" s="207"/>
      <c r="L1685" s="66"/>
      <c r="M1685" s="201" t="s">
        <v>12550</v>
      </c>
      <c r="N1685" s="207"/>
      <c r="O1685" s="38"/>
    </row>
    <row r="1686" spans="1:15" ht="72" customHeight="1" x14ac:dyDescent="0.3">
      <c r="A1686" s="245">
        <v>1666</v>
      </c>
      <c r="B1686" s="55" t="s">
        <v>14270</v>
      </c>
      <c r="C1686" s="55" t="s">
        <v>14489</v>
      </c>
      <c r="D1686" s="207"/>
      <c r="E1686" s="55">
        <v>1160</v>
      </c>
      <c r="F1686" s="207"/>
      <c r="G1686" s="207"/>
      <c r="H1686" s="207"/>
      <c r="I1686" s="207" t="s">
        <v>12545</v>
      </c>
      <c r="J1686" s="66" t="s">
        <v>12549</v>
      </c>
      <c r="K1686" s="207"/>
      <c r="L1686" s="66"/>
      <c r="M1686" s="201" t="s">
        <v>12550</v>
      </c>
      <c r="N1686" s="207"/>
      <c r="O1686" s="38"/>
    </row>
    <row r="1687" spans="1:15" ht="72" customHeight="1" x14ac:dyDescent="0.3">
      <c r="A1687" s="245">
        <v>1667</v>
      </c>
      <c r="B1687" s="55" t="s">
        <v>14269</v>
      </c>
      <c r="C1687" s="55" t="s">
        <v>14490</v>
      </c>
      <c r="D1687" s="207"/>
      <c r="E1687" s="55">
        <v>242</v>
      </c>
      <c r="F1687" s="207"/>
      <c r="G1687" s="207"/>
      <c r="H1687" s="207"/>
      <c r="I1687" s="207" t="s">
        <v>12545</v>
      </c>
      <c r="J1687" s="66" t="s">
        <v>12549</v>
      </c>
      <c r="K1687" s="207"/>
      <c r="L1687" s="66"/>
      <c r="M1687" s="201" t="s">
        <v>12550</v>
      </c>
      <c r="N1687" s="207"/>
      <c r="O1687" s="38"/>
    </row>
    <row r="1688" spans="1:15" ht="72" customHeight="1" x14ac:dyDescent="0.3">
      <c r="A1688" s="245">
        <v>1668</v>
      </c>
      <c r="B1688" s="55" t="s">
        <v>14267</v>
      </c>
      <c r="C1688" s="55" t="s">
        <v>14491</v>
      </c>
      <c r="D1688" s="207"/>
      <c r="E1688" s="55">
        <v>161</v>
      </c>
      <c r="F1688" s="207"/>
      <c r="G1688" s="207"/>
      <c r="H1688" s="207"/>
      <c r="I1688" s="207" t="s">
        <v>12545</v>
      </c>
      <c r="J1688" s="66" t="s">
        <v>12549</v>
      </c>
      <c r="K1688" s="207"/>
      <c r="L1688" s="66"/>
      <c r="M1688" s="201" t="s">
        <v>12550</v>
      </c>
      <c r="N1688" s="207"/>
      <c r="O1688" s="38"/>
    </row>
    <row r="1689" spans="1:15" ht="72" customHeight="1" x14ac:dyDescent="0.3">
      <c r="A1689" s="245">
        <v>1669</v>
      </c>
      <c r="B1689" s="55" t="s">
        <v>14268</v>
      </c>
      <c r="C1689" s="55" t="s">
        <v>14492</v>
      </c>
      <c r="D1689" s="207"/>
      <c r="E1689" s="55">
        <v>120</v>
      </c>
      <c r="F1689" s="207"/>
      <c r="G1689" s="207"/>
      <c r="H1689" s="207"/>
      <c r="I1689" s="207" t="s">
        <v>12545</v>
      </c>
      <c r="J1689" s="66" t="s">
        <v>12549</v>
      </c>
      <c r="K1689" s="207"/>
      <c r="L1689" s="66"/>
      <c r="M1689" s="201" t="s">
        <v>12550</v>
      </c>
      <c r="N1689" s="207"/>
      <c r="O1689" s="38"/>
    </row>
    <row r="1690" spans="1:15" ht="72" customHeight="1" x14ac:dyDescent="0.3">
      <c r="A1690" s="245">
        <v>1670</v>
      </c>
      <c r="B1690" s="55" t="s">
        <v>14267</v>
      </c>
      <c r="C1690" s="55" t="s">
        <v>14493</v>
      </c>
      <c r="D1690" s="207"/>
      <c r="E1690" s="55">
        <v>207</v>
      </c>
      <c r="F1690" s="207"/>
      <c r="G1690" s="207"/>
      <c r="H1690" s="207"/>
      <c r="I1690" s="207" t="s">
        <v>12545</v>
      </c>
      <c r="J1690" s="66" t="s">
        <v>12549</v>
      </c>
      <c r="K1690" s="207"/>
      <c r="L1690" s="66"/>
      <c r="M1690" s="201" t="s">
        <v>12550</v>
      </c>
      <c r="N1690" s="207"/>
      <c r="O1690" s="38"/>
    </row>
    <row r="1691" spans="1:15" ht="72" customHeight="1" x14ac:dyDescent="0.3">
      <c r="A1691" s="245">
        <v>1671</v>
      </c>
      <c r="B1691" s="55" t="s">
        <v>14268</v>
      </c>
      <c r="C1691" s="55" t="s">
        <v>14493</v>
      </c>
      <c r="D1691" s="207"/>
      <c r="E1691" s="55">
        <v>41</v>
      </c>
      <c r="F1691" s="207"/>
      <c r="G1691" s="207"/>
      <c r="H1691" s="207"/>
      <c r="I1691" s="207" t="s">
        <v>12545</v>
      </c>
      <c r="J1691" s="66" t="s">
        <v>12549</v>
      </c>
      <c r="K1691" s="207"/>
      <c r="L1691" s="66"/>
      <c r="M1691" s="201" t="s">
        <v>12550</v>
      </c>
      <c r="N1691" s="207"/>
      <c r="O1691" s="38"/>
    </row>
    <row r="1692" spans="1:15" ht="72" customHeight="1" x14ac:dyDescent="0.3">
      <c r="A1692" s="245">
        <v>1672</v>
      </c>
      <c r="B1692" s="55" t="s">
        <v>14270</v>
      </c>
      <c r="C1692" s="55" t="s">
        <v>14493</v>
      </c>
      <c r="D1692" s="207"/>
      <c r="E1692" s="55">
        <v>41</v>
      </c>
      <c r="F1692" s="207"/>
      <c r="G1692" s="207"/>
      <c r="H1692" s="207"/>
      <c r="I1692" s="207" t="s">
        <v>12545</v>
      </c>
      <c r="J1692" s="66" t="s">
        <v>12549</v>
      </c>
      <c r="K1692" s="207"/>
      <c r="L1692" s="66"/>
      <c r="M1692" s="201" t="s">
        <v>12550</v>
      </c>
      <c r="N1692" s="207"/>
      <c r="O1692" s="38"/>
    </row>
    <row r="1693" spans="1:15" ht="72" customHeight="1" x14ac:dyDescent="0.3">
      <c r="A1693" s="245">
        <v>1673</v>
      </c>
      <c r="B1693" s="55" t="s">
        <v>14271</v>
      </c>
      <c r="C1693" s="55" t="s">
        <v>14494</v>
      </c>
      <c r="D1693" s="207"/>
      <c r="E1693" s="55">
        <v>66</v>
      </c>
      <c r="F1693" s="207"/>
      <c r="G1693" s="207"/>
      <c r="H1693" s="207"/>
      <c r="I1693" s="207" t="s">
        <v>12545</v>
      </c>
      <c r="J1693" s="66" t="s">
        <v>12549</v>
      </c>
      <c r="K1693" s="207"/>
      <c r="L1693" s="66"/>
      <c r="M1693" s="201" t="s">
        <v>12550</v>
      </c>
      <c r="N1693" s="207"/>
      <c r="O1693" s="38"/>
    </row>
    <row r="1694" spans="1:15" ht="72" customHeight="1" x14ac:dyDescent="0.3">
      <c r="A1694" s="245">
        <v>1674</v>
      </c>
      <c r="B1694" s="55" t="s">
        <v>14266</v>
      </c>
      <c r="C1694" s="55" t="s">
        <v>14495</v>
      </c>
      <c r="D1694" s="207"/>
      <c r="E1694" s="55">
        <v>100</v>
      </c>
      <c r="F1694" s="207"/>
      <c r="G1694" s="207"/>
      <c r="H1694" s="207"/>
      <c r="I1694" s="207" t="s">
        <v>12545</v>
      </c>
      <c r="J1694" s="66" t="s">
        <v>12549</v>
      </c>
      <c r="K1694" s="207"/>
      <c r="L1694" s="66"/>
      <c r="M1694" s="201" t="s">
        <v>12550</v>
      </c>
      <c r="N1694" s="207"/>
      <c r="O1694" s="38"/>
    </row>
    <row r="1695" spans="1:15" ht="72" customHeight="1" x14ac:dyDescent="0.3">
      <c r="A1695" s="245">
        <v>1675</v>
      </c>
      <c r="B1695" s="55" t="s">
        <v>14269</v>
      </c>
      <c r="C1695" s="55" t="s">
        <v>14496</v>
      </c>
      <c r="D1695" s="207"/>
      <c r="E1695" s="55">
        <v>150</v>
      </c>
      <c r="F1695" s="207"/>
      <c r="G1695" s="207"/>
      <c r="H1695" s="207"/>
      <c r="I1695" s="207" t="s">
        <v>12545</v>
      </c>
      <c r="J1695" s="66" t="s">
        <v>12549</v>
      </c>
      <c r="K1695" s="207"/>
      <c r="L1695" s="66"/>
      <c r="M1695" s="201" t="s">
        <v>12550</v>
      </c>
      <c r="N1695" s="207"/>
      <c r="O1695" s="38"/>
    </row>
    <row r="1696" spans="1:15" ht="72" customHeight="1" x14ac:dyDescent="0.3">
      <c r="A1696" s="245">
        <v>1676</v>
      </c>
      <c r="B1696" s="55" t="s">
        <v>14266</v>
      </c>
      <c r="C1696" s="55" t="s">
        <v>14497</v>
      </c>
      <c r="D1696" s="207"/>
      <c r="E1696" s="55">
        <v>190</v>
      </c>
      <c r="F1696" s="207"/>
      <c r="G1696" s="207"/>
      <c r="H1696" s="207"/>
      <c r="I1696" s="207" t="s">
        <v>12545</v>
      </c>
      <c r="J1696" s="66" t="s">
        <v>12549</v>
      </c>
      <c r="K1696" s="207"/>
      <c r="L1696" s="66"/>
      <c r="M1696" s="201" t="s">
        <v>12550</v>
      </c>
      <c r="N1696" s="207"/>
      <c r="O1696" s="38"/>
    </row>
    <row r="1697" spans="1:15" ht="72" customHeight="1" x14ac:dyDescent="0.3">
      <c r="A1697" s="245">
        <v>1677</v>
      </c>
      <c r="B1697" s="55" t="s">
        <v>14266</v>
      </c>
      <c r="C1697" s="55" t="s">
        <v>14498</v>
      </c>
      <c r="D1697" s="207"/>
      <c r="E1697" s="55">
        <v>322</v>
      </c>
      <c r="F1697" s="207"/>
      <c r="G1697" s="207"/>
      <c r="H1697" s="207"/>
      <c r="I1697" s="207" t="s">
        <v>12545</v>
      </c>
      <c r="J1697" s="66" t="s">
        <v>12549</v>
      </c>
      <c r="K1697" s="207"/>
      <c r="L1697" s="66"/>
      <c r="M1697" s="201" t="s">
        <v>12550</v>
      </c>
      <c r="N1697" s="207"/>
      <c r="O1697" s="38"/>
    </row>
    <row r="1698" spans="1:15" ht="72" customHeight="1" x14ac:dyDescent="0.3">
      <c r="A1698" s="245">
        <v>1678</v>
      </c>
      <c r="B1698" s="55" t="s">
        <v>14269</v>
      </c>
      <c r="C1698" s="55" t="s">
        <v>14499</v>
      </c>
      <c r="D1698" s="207"/>
      <c r="E1698" s="55">
        <v>320</v>
      </c>
      <c r="F1698" s="207"/>
      <c r="G1698" s="207"/>
      <c r="H1698" s="207"/>
      <c r="I1698" s="207" t="s">
        <v>12545</v>
      </c>
      <c r="J1698" s="66" t="s">
        <v>12549</v>
      </c>
      <c r="K1698" s="207"/>
      <c r="L1698" s="66"/>
      <c r="M1698" s="201" t="s">
        <v>12550</v>
      </c>
      <c r="N1698" s="207"/>
      <c r="O1698" s="38"/>
    </row>
    <row r="1699" spans="1:15" ht="72" customHeight="1" x14ac:dyDescent="0.3">
      <c r="A1699" s="245">
        <v>1679</v>
      </c>
      <c r="B1699" s="55" t="s">
        <v>14269</v>
      </c>
      <c r="C1699" s="55" t="s">
        <v>14500</v>
      </c>
      <c r="D1699" s="207"/>
      <c r="E1699" s="55">
        <v>328</v>
      </c>
      <c r="F1699" s="207"/>
      <c r="G1699" s="207"/>
      <c r="H1699" s="207"/>
      <c r="I1699" s="207" t="s">
        <v>12545</v>
      </c>
      <c r="J1699" s="66" t="s">
        <v>12549</v>
      </c>
      <c r="K1699" s="207"/>
      <c r="L1699" s="66"/>
      <c r="M1699" s="201" t="s">
        <v>12550</v>
      </c>
      <c r="N1699" s="207"/>
      <c r="O1699" s="38"/>
    </row>
    <row r="1700" spans="1:15" ht="72" customHeight="1" x14ac:dyDescent="0.3">
      <c r="A1700" s="245">
        <v>1680</v>
      </c>
      <c r="B1700" s="55" t="s">
        <v>14269</v>
      </c>
      <c r="C1700" s="55" t="s">
        <v>14496</v>
      </c>
      <c r="D1700" s="207"/>
      <c r="E1700" s="55">
        <v>209</v>
      </c>
      <c r="F1700" s="207"/>
      <c r="G1700" s="207"/>
      <c r="H1700" s="207"/>
      <c r="I1700" s="207" t="s">
        <v>12545</v>
      </c>
      <c r="J1700" s="66" t="s">
        <v>12549</v>
      </c>
      <c r="K1700" s="207"/>
      <c r="L1700" s="66"/>
      <c r="M1700" s="201" t="s">
        <v>12550</v>
      </c>
      <c r="N1700" s="207"/>
      <c r="O1700" s="38"/>
    </row>
    <row r="1701" spans="1:15" ht="72" customHeight="1" x14ac:dyDescent="0.3">
      <c r="A1701" s="245">
        <v>1681</v>
      </c>
      <c r="B1701" s="55" t="s">
        <v>14269</v>
      </c>
      <c r="C1701" s="55" t="s">
        <v>14501</v>
      </c>
      <c r="D1701" s="207"/>
      <c r="E1701" s="55">
        <v>300</v>
      </c>
      <c r="F1701" s="207"/>
      <c r="G1701" s="207"/>
      <c r="H1701" s="207"/>
      <c r="I1701" s="207" t="s">
        <v>12545</v>
      </c>
      <c r="J1701" s="66" t="s">
        <v>12549</v>
      </c>
      <c r="K1701" s="207"/>
      <c r="L1701" s="66"/>
      <c r="M1701" s="201" t="s">
        <v>12550</v>
      </c>
      <c r="N1701" s="207"/>
      <c r="O1701" s="38"/>
    </row>
    <row r="1702" spans="1:15" ht="72" customHeight="1" x14ac:dyDescent="0.3">
      <c r="A1702" s="245">
        <v>1682</v>
      </c>
      <c r="B1702" s="55" t="s">
        <v>14269</v>
      </c>
      <c r="C1702" s="55" t="s">
        <v>14502</v>
      </c>
      <c r="D1702" s="207"/>
      <c r="E1702" s="55">
        <v>160</v>
      </c>
      <c r="F1702" s="207"/>
      <c r="G1702" s="207"/>
      <c r="H1702" s="207"/>
      <c r="I1702" s="207" t="s">
        <v>12545</v>
      </c>
      <c r="J1702" s="66" t="s">
        <v>12549</v>
      </c>
      <c r="K1702" s="207"/>
      <c r="L1702" s="66"/>
      <c r="M1702" s="201" t="s">
        <v>12550</v>
      </c>
      <c r="N1702" s="207"/>
      <c r="O1702" s="38"/>
    </row>
    <row r="1703" spans="1:15" ht="72" customHeight="1" x14ac:dyDescent="0.3">
      <c r="A1703" s="245">
        <v>1683</v>
      </c>
      <c r="B1703" s="55" t="s">
        <v>14269</v>
      </c>
      <c r="C1703" s="55" t="s">
        <v>14503</v>
      </c>
      <c r="D1703" s="207"/>
      <c r="E1703" s="55">
        <v>200</v>
      </c>
      <c r="F1703" s="207"/>
      <c r="G1703" s="207"/>
      <c r="H1703" s="207"/>
      <c r="I1703" s="207" t="s">
        <v>12545</v>
      </c>
      <c r="J1703" s="66" t="s">
        <v>12549</v>
      </c>
      <c r="K1703" s="207"/>
      <c r="L1703" s="66"/>
      <c r="M1703" s="201" t="s">
        <v>12550</v>
      </c>
      <c r="N1703" s="207"/>
      <c r="O1703" s="38"/>
    </row>
    <row r="1704" spans="1:15" ht="72" customHeight="1" x14ac:dyDescent="0.3">
      <c r="A1704" s="245">
        <v>1684</v>
      </c>
      <c r="B1704" s="55" t="s">
        <v>14266</v>
      </c>
      <c r="C1704" s="55" t="s">
        <v>14504</v>
      </c>
      <c r="D1704" s="207"/>
      <c r="E1704" s="55">
        <v>172</v>
      </c>
      <c r="F1704" s="207"/>
      <c r="G1704" s="207"/>
      <c r="H1704" s="207"/>
      <c r="I1704" s="207" t="s">
        <v>12545</v>
      </c>
      <c r="J1704" s="66" t="s">
        <v>12549</v>
      </c>
      <c r="K1704" s="207"/>
      <c r="L1704" s="66"/>
      <c r="M1704" s="201" t="s">
        <v>12550</v>
      </c>
      <c r="N1704" s="207"/>
      <c r="O1704" s="38"/>
    </row>
    <row r="1705" spans="1:15" ht="72" customHeight="1" x14ac:dyDescent="0.3">
      <c r="A1705" s="245">
        <v>1685</v>
      </c>
      <c r="B1705" s="55" t="s">
        <v>14266</v>
      </c>
      <c r="C1705" s="55" t="s">
        <v>14505</v>
      </c>
      <c r="D1705" s="207"/>
      <c r="E1705" s="55">
        <v>240</v>
      </c>
      <c r="F1705" s="207"/>
      <c r="G1705" s="207"/>
      <c r="H1705" s="207"/>
      <c r="I1705" s="207" t="s">
        <v>12545</v>
      </c>
      <c r="J1705" s="66" t="s">
        <v>12549</v>
      </c>
      <c r="K1705" s="207"/>
      <c r="L1705" s="66"/>
      <c r="M1705" s="201" t="s">
        <v>12550</v>
      </c>
      <c r="N1705" s="207"/>
      <c r="O1705" s="38"/>
    </row>
    <row r="1706" spans="1:15" ht="72" customHeight="1" x14ac:dyDescent="0.3">
      <c r="A1706" s="245">
        <v>1686</v>
      </c>
      <c r="B1706" s="55" t="s">
        <v>14266</v>
      </c>
      <c r="C1706" s="55" t="s">
        <v>14506</v>
      </c>
      <c r="D1706" s="207"/>
      <c r="E1706" s="55">
        <v>72</v>
      </c>
      <c r="F1706" s="207"/>
      <c r="G1706" s="207"/>
      <c r="H1706" s="207"/>
      <c r="I1706" s="207" t="s">
        <v>12545</v>
      </c>
      <c r="J1706" s="66" t="s">
        <v>12549</v>
      </c>
      <c r="K1706" s="207"/>
      <c r="L1706" s="66"/>
      <c r="M1706" s="201" t="s">
        <v>12550</v>
      </c>
      <c r="N1706" s="207"/>
      <c r="O1706" s="38"/>
    </row>
    <row r="1707" spans="1:15" ht="72" customHeight="1" x14ac:dyDescent="0.3">
      <c r="A1707" s="245">
        <v>1687</v>
      </c>
      <c r="B1707" s="55" t="s">
        <v>14266</v>
      </c>
      <c r="C1707" s="55" t="s">
        <v>14507</v>
      </c>
      <c r="D1707" s="207"/>
      <c r="E1707" s="55">
        <v>84</v>
      </c>
      <c r="F1707" s="207"/>
      <c r="G1707" s="207"/>
      <c r="H1707" s="207"/>
      <c r="I1707" s="207" t="s">
        <v>12545</v>
      </c>
      <c r="J1707" s="66" t="s">
        <v>12549</v>
      </c>
      <c r="K1707" s="207"/>
      <c r="L1707" s="66"/>
      <c r="M1707" s="201" t="s">
        <v>12550</v>
      </c>
      <c r="N1707" s="207"/>
      <c r="O1707" s="38"/>
    </row>
    <row r="1708" spans="1:15" ht="72" customHeight="1" x14ac:dyDescent="0.3">
      <c r="A1708" s="245">
        <v>1688</v>
      </c>
      <c r="B1708" s="55" t="s">
        <v>14266</v>
      </c>
      <c r="C1708" s="55" t="s">
        <v>14508</v>
      </c>
      <c r="D1708" s="207"/>
      <c r="E1708" s="55">
        <v>180</v>
      </c>
      <c r="F1708" s="207"/>
      <c r="G1708" s="207"/>
      <c r="H1708" s="207"/>
      <c r="I1708" s="207" t="s">
        <v>12545</v>
      </c>
      <c r="J1708" s="66" t="s">
        <v>12549</v>
      </c>
      <c r="K1708" s="207"/>
      <c r="L1708" s="66"/>
      <c r="M1708" s="201" t="s">
        <v>12550</v>
      </c>
      <c r="N1708" s="207"/>
      <c r="O1708" s="38"/>
    </row>
    <row r="1709" spans="1:15" ht="72" customHeight="1" x14ac:dyDescent="0.3">
      <c r="A1709" s="245">
        <v>1689</v>
      </c>
      <c r="B1709" s="55" t="s">
        <v>14266</v>
      </c>
      <c r="C1709" s="55" t="s">
        <v>14509</v>
      </c>
      <c r="D1709" s="207"/>
      <c r="E1709" s="55">
        <v>100</v>
      </c>
      <c r="F1709" s="207"/>
      <c r="G1709" s="207"/>
      <c r="H1709" s="207"/>
      <c r="I1709" s="207" t="s">
        <v>12545</v>
      </c>
      <c r="J1709" s="66" t="s">
        <v>12549</v>
      </c>
      <c r="K1709" s="207"/>
      <c r="L1709" s="66"/>
      <c r="M1709" s="201" t="s">
        <v>12550</v>
      </c>
      <c r="N1709" s="207"/>
      <c r="O1709" s="38"/>
    </row>
    <row r="1710" spans="1:15" ht="72" customHeight="1" x14ac:dyDescent="0.3">
      <c r="A1710" s="245">
        <v>1690</v>
      </c>
      <c r="B1710" s="55" t="s">
        <v>14266</v>
      </c>
      <c r="C1710" s="55" t="s">
        <v>14510</v>
      </c>
      <c r="D1710" s="207"/>
      <c r="E1710" s="55">
        <v>60</v>
      </c>
      <c r="F1710" s="207"/>
      <c r="G1710" s="207"/>
      <c r="H1710" s="207"/>
      <c r="I1710" s="207" t="s">
        <v>12545</v>
      </c>
      <c r="J1710" s="66" t="s">
        <v>12549</v>
      </c>
      <c r="K1710" s="207"/>
      <c r="L1710" s="66"/>
      <c r="M1710" s="201" t="s">
        <v>12550</v>
      </c>
      <c r="N1710" s="207"/>
      <c r="O1710" s="38"/>
    </row>
    <row r="1711" spans="1:15" ht="72" customHeight="1" x14ac:dyDescent="0.3">
      <c r="A1711" s="245">
        <v>1691</v>
      </c>
      <c r="B1711" s="55" t="s">
        <v>14266</v>
      </c>
      <c r="C1711" s="55" t="s">
        <v>14511</v>
      </c>
      <c r="D1711" s="207"/>
      <c r="E1711" s="55">
        <v>420</v>
      </c>
      <c r="F1711" s="207"/>
      <c r="G1711" s="207"/>
      <c r="H1711" s="207"/>
      <c r="I1711" s="207" t="s">
        <v>12545</v>
      </c>
      <c r="J1711" s="66" t="s">
        <v>12549</v>
      </c>
      <c r="K1711" s="207"/>
      <c r="L1711" s="66"/>
      <c r="M1711" s="201" t="s">
        <v>12550</v>
      </c>
      <c r="N1711" s="207"/>
      <c r="O1711" s="38"/>
    </row>
    <row r="1712" spans="1:15" ht="72" customHeight="1" x14ac:dyDescent="0.3">
      <c r="A1712" s="245">
        <v>1692</v>
      </c>
      <c r="B1712" s="55" t="s">
        <v>14266</v>
      </c>
      <c r="C1712" s="55" t="s">
        <v>14512</v>
      </c>
      <c r="D1712" s="207"/>
      <c r="E1712" s="55">
        <v>420</v>
      </c>
      <c r="F1712" s="207"/>
      <c r="G1712" s="207"/>
      <c r="H1712" s="207"/>
      <c r="I1712" s="207" t="s">
        <v>12545</v>
      </c>
      <c r="J1712" s="66" t="s">
        <v>12549</v>
      </c>
      <c r="K1712" s="207"/>
      <c r="L1712" s="66"/>
      <c r="M1712" s="201" t="s">
        <v>12550</v>
      </c>
      <c r="N1712" s="207"/>
      <c r="O1712" s="38"/>
    </row>
    <row r="1713" spans="1:15" ht="72" customHeight="1" x14ac:dyDescent="0.3">
      <c r="A1713" s="245">
        <v>1693</v>
      </c>
      <c r="B1713" s="55" t="s">
        <v>14266</v>
      </c>
      <c r="C1713" s="55" t="s">
        <v>14513</v>
      </c>
      <c r="D1713" s="207"/>
      <c r="E1713" s="55">
        <v>72</v>
      </c>
      <c r="F1713" s="207"/>
      <c r="G1713" s="207"/>
      <c r="H1713" s="207"/>
      <c r="I1713" s="207" t="s">
        <v>12545</v>
      </c>
      <c r="J1713" s="66" t="s">
        <v>12549</v>
      </c>
      <c r="K1713" s="207"/>
      <c r="L1713" s="66"/>
      <c r="M1713" s="201" t="s">
        <v>12550</v>
      </c>
      <c r="N1713" s="207"/>
      <c r="O1713" s="38"/>
    </row>
    <row r="1714" spans="1:15" ht="72" customHeight="1" x14ac:dyDescent="0.3">
      <c r="A1714" s="245">
        <v>1694</v>
      </c>
      <c r="B1714" s="53" t="s">
        <v>14272</v>
      </c>
      <c r="C1714" s="53" t="s">
        <v>14514</v>
      </c>
      <c r="D1714" s="207"/>
      <c r="E1714" s="53">
        <v>480</v>
      </c>
      <c r="F1714" s="147">
        <v>113904</v>
      </c>
      <c r="G1714" s="147">
        <v>64086.12</v>
      </c>
      <c r="H1714" s="207"/>
      <c r="I1714" s="207" t="s">
        <v>12545</v>
      </c>
      <c r="J1714" s="66" t="s">
        <v>12549</v>
      </c>
      <c r="K1714" s="207"/>
      <c r="L1714" s="66"/>
      <c r="M1714" s="201" t="s">
        <v>12550</v>
      </c>
      <c r="N1714" s="207"/>
      <c r="O1714" s="38"/>
    </row>
    <row r="1715" spans="1:15" ht="72" customHeight="1" x14ac:dyDescent="0.3">
      <c r="A1715" s="245">
        <v>1695</v>
      </c>
      <c r="B1715" s="53" t="s">
        <v>14272</v>
      </c>
      <c r="C1715" s="53" t="s">
        <v>14515</v>
      </c>
      <c r="D1715" s="207"/>
      <c r="E1715" s="53">
        <v>898</v>
      </c>
      <c r="F1715" s="147">
        <v>213095.4</v>
      </c>
      <c r="G1715" s="147">
        <v>119893.3</v>
      </c>
      <c r="H1715" s="207"/>
      <c r="I1715" s="207" t="s">
        <v>12545</v>
      </c>
      <c r="J1715" s="66" t="s">
        <v>12549</v>
      </c>
      <c r="K1715" s="207"/>
      <c r="L1715" s="66"/>
      <c r="M1715" s="201" t="s">
        <v>12550</v>
      </c>
      <c r="N1715" s="207"/>
      <c r="O1715" s="38"/>
    </row>
    <row r="1716" spans="1:15" ht="72" customHeight="1" x14ac:dyDescent="0.3">
      <c r="A1716" s="245">
        <v>1696</v>
      </c>
      <c r="B1716" s="53" t="s">
        <v>14272</v>
      </c>
      <c r="C1716" s="53" t="s">
        <v>14473</v>
      </c>
      <c r="D1716" s="207"/>
      <c r="E1716" s="53">
        <v>380</v>
      </c>
      <c r="F1716" s="147">
        <v>90174</v>
      </c>
      <c r="G1716" s="147">
        <v>50735.12</v>
      </c>
      <c r="H1716" s="207"/>
      <c r="I1716" s="207" t="s">
        <v>12545</v>
      </c>
      <c r="J1716" s="66" t="s">
        <v>12549</v>
      </c>
      <c r="K1716" s="207"/>
      <c r="L1716" s="66"/>
      <c r="M1716" s="201" t="s">
        <v>12550</v>
      </c>
      <c r="N1716" s="207"/>
      <c r="O1716" s="38"/>
    </row>
    <row r="1717" spans="1:15" ht="72" customHeight="1" x14ac:dyDescent="0.3">
      <c r="A1717" s="245">
        <v>1697</v>
      </c>
      <c r="B1717" s="53" t="s">
        <v>14272</v>
      </c>
      <c r="C1717" s="53" t="s">
        <v>14516</v>
      </c>
      <c r="D1717" s="207"/>
      <c r="E1717" s="53">
        <v>551</v>
      </c>
      <c r="F1717" s="147">
        <v>130752.3</v>
      </c>
      <c r="G1717" s="147">
        <v>73565.33</v>
      </c>
      <c r="H1717" s="207"/>
      <c r="I1717" s="207" t="s">
        <v>12545</v>
      </c>
      <c r="J1717" s="66" t="s">
        <v>12549</v>
      </c>
      <c r="K1717" s="207"/>
      <c r="L1717" s="66"/>
      <c r="M1717" s="201" t="s">
        <v>12550</v>
      </c>
      <c r="N1717" s="207"/>
      <c r="O1717" s="38"/>
    </row>
    <row r="1718" spans="1:15" ht="72" customHeight="1" x14ac:dyDescent="0.3">
      <c r="A1718" s="245">
        <v>1698</v>
      </c>
      <c r="B1718" s="53" t="s">
        <v>14272</v>
      </c>
      <c r="C1718" s="53" t="s">
        <v>14517</v>
      </c>
      <c r="D1718" s="207"/>
      <c r="E1718" s="53">
        <v>382</v>
      </c>
      <c r="F1718" s="147">
        <v>90648.6</v>
      </c>
      <c r="G1718" s="147">
        <v>51002.14</v>
      </c>
      <c r="H1718" s="207"/>
      <c r="I1718" s="207" t="s">
        <v>12545</v>
      </c>
      <c r="J1718" s="66" t="s">
        <v>12549</v>
      </c>
      <c r="K1718" s="207"/>
      <c r="L1718" s="66"/>
      <c r="M1718" s="201" t="s">
        <v>12550</v>
      </c>
      <c r="N1718" s="207"/>
      <c r="O1718" s="38"/>
    </row>
    <row r="1719" spans="1:15" ht="72" customHeight="1" x14ac:dyDescent="0.3">
      <c r="A1719" s="245">
        <v>1699</v>
      </c>
      <c r="B1719" s="53" t="s">
        <v>14272</v>
      </c>
      <c r="C1719" s="53" t="s">
        <v>14518</v>
      </c>
      <c r="D1719" s="207"/>
      <c r="E1719" s="53">
        <v>527.29999999999995</v>
      </c>
      <c r="F1719" s="147">
        <v>125128.29</v>
      </c>
      <c r="G1719" s="147">
        <v>70401.13</v>
      </c>
      <c r="H1719" s="207"/>
      <c r="I1719" s="207" t="s">
        <v>12545</v>
      </c>
      <c r="J1719" s="66" t="s">
        <v>12549</v>
      </c>
      <c r="K1719" s="207"/>
      <c r="L1719" s="66"/>
      <c r="M1719" s="201" t="s">
        <v>12550</v>
      </c>
      <c r="N1719" s="207"/>
      <c r="O1719" s="38"/>
    </row>
    <row r="1720" spans="1:15" ht="72" customHeight="1" x14ac:dyDescent="0.3">
      <c r="A1720" s="245">
        <v>1700</v>
      </c>
      <c r="B1720" s="53" t="s">
        <v>14272</v>
      </c>
      <c r="C1720" s="53" t="s">
        <v>14519</v>
      </c>
      <c r="D1720" s="207"/>
      <c r="E1720" s="53">
        <v>1156.7</v>
      </c>
      <c r="F1720" s="147">
        <v>274357.40999999997</v>
      </c>
      <c r="G1720" s="147">
        <v>154432.32999999999</v>
      </c>
      <c r="H1720" s="207"/>
      <c r="I1720" s="207" t="s">
        <v>12545</v>
      </c>
      <c r="J1720" s="66" t="s">
        <v>12549</v>
      </c>
      <c r="K1720" s="207"/>
      <c r="L1720" s="66"/>
      <c r="M1720" s="201" t="s">
        <v>12550</v>
      </c>
      <c r="N1720" s="207"/>
      <c r="O1720" s="38"/>
    </row>
    <row r="1721" spans="1:15" ht="72" customHeight="1" x14ac:dyDescent="0.3">
      <c r="A1721" s="245">
        <v>1701</v>
      </c>
      <c r="B1721" s="53" t="s">
        <v>15684</v>
      </c>
      <c r="C1721" s="53" t="s">
        <v>14520</v>
      </c>
      <c r="D1721" s="85" t="s">
        <v>14350</v>
      </c>
      <c r="E1721" s="53">
        <v>1319.5</v>
      </c>
      <c r="F1721" s="147">
        <v>68411</v>
      </c>
      <c r="G1721" s="147">
        <v>68411</v>
      </c>
      <c r="H1721" s="25"/>
      <c r="I1721" s="207" t="s">
        <v>12545</v>
      </c>
      <c r="J1721" s="66" t="s">
        <v>15905</v>
      </c>
      <c r="K1721" s="207"/>
      <c r="L1721" s="66"/>
      <c r="M1721" s="201" t="s">
        <v>12550</v>
      </c>
      <c r="N1721" s="207"/>
      <c r="O1721" s="38"/>
    </row>
    <row r="1722" spans="1:15" ht="72" customHeight="1" x14ac:dyDescent="0.3">
      <c r="A1722" s="245">
        <v>1702</v>
      </c>
      <c r="B1722" s="53" t="s">
        <v>14349</v>
      </c>
      <c r="C1722" s="242" t="s">
        <v>14563</v>
      </c>
      <c r="D1722" s="85" t="s">
        <v>15681</v>
      </c>
      <c r="E1722" s="53"/>
      <c r="F1722" s="147">
        <v>13314</v>
      </c>
      <c r="G1722" s="147">
        <v>13314</v>
      </c>
      <c r="H1722" s="25"/>
      <c r="I1722" s="207" t="s">
        <v>12545</v>
      </c>
      <c r="J1722" s="66" t="s">
        <v>16239</v>
      </c>
      <c r="K1722" s="207"/>
      <c r="L1722" s="66"/>
      <c r="M1722" s="201" t="s">
        <v>12550</v>
      </c>
      <c r="N1722" s="207"/>
      <c r="O1722" s="38"/>
    </row>
    <row r="1723" spans="1:15" ht="72" customHeight="1" x14ac:dyDescent="0.3">
      <c r="A1723" s="245">
        <v>1703</v>
      </c>
      <c r="B1723" s="53" t="s">
        <v>16126</v>
      </c>
      <c r="C1723" s="53" t="s">
        <v>14514</v>
      </c>
      <c r="D1723" s="85" t="s">
        <v>16125</v>
      </c>
      <c r="E1723" s="53">
        <v>852.2</v>
      </c>
      <c r="F1723" s="147">
        <v>9510</v>
      </c>
      <c r="G1723" s="147">
        <v>9510</v>
      </c>
      <c r="H1723" s="25"/>
      <c r="I1723" s="207" t="s">
        <v>12545</v>
      </c>
      <c r="J1723" s="66" t="s">
        <v>17761</v>
      </c>
      <c r="K1723" s="207"/>
      <c r="L1723" s="66"/>
      <c r="M1723" s="201" t="s">
        <v>12550</v>
      </c>
      <c r="N1723" s="207"/>
      <c r="O1723" s="38"/>
    </row>
    <row r="1724" spans="1:15" ht="72" customHeight="1" x14ac:dyDescent="0.3">
      <c r="A1724" s="245">
        <v>1704</v>
      </c>
      <c r="B1724" s="53" t="s">
        <v>14273</v>
      </c>
      <c r="C1724" s="53" t="s">
        <v>14274</v>
      </c>
      <c r="D1724" s="85" t="s">
        <v>16123</v>
      </c>
      <c r="E1724" s="53">
        <v>1157</v>
      </c>
      <c r="F1724" s="147">
        <v>28530</v>
      </c>
      <c r="G1724" s="147">
        <v>28530</v>
      </c>
      <c r="H1724" s="25"/>
      <c r="I1724" s="207" t="s">
        <v>12545</v>
      </c>
      <c r="J1724" s="66" t="s">
        <v>12549</v>
      </c>
      <c r="K1724" s="207"/>
      <c r="L1724" s="66"/>
      <c r="M1724" s="201" t="s">
        <v>12550</v>
      </c>
      <c r="N1724" s="207"/>
      <c r="O1724" s="38"/>
    </row>
    <row r="1725" spans="1:15" ht="72" customHeight="1" x14ac:dyDescent="0.3">
      <c r="A1725" s="245">
        <v>1705</v>
      </c>
      <c r="B1725" s="53" t="s">
        <v>14273</v>
      </c>
      <c r="C1725" s="53" t="s">
        <v>14275</v>
      </c>
      <c r="D1725" s="85" t="s">
        <v>16122</v>
      </c>
      <c r="E1725" s="53">
        <v>835</v>
      </c>
      <c r="F1725" s="147">
        <v>38040</v>
      </c>
      <c r="G1725" s="147">
        <v>38040</v>
      </c>
      <c r="H1725" s="25"/>
      <c r="I1725" s="207" t="s">
        <v>12545</v>
      </c>
      <c r="J1725" s="66" t="s">
        <v>12549</v>
      </c>
      <c r="K1725" s="207"/>
      <c r="L1725" s="66"/>
      <c r="M1725" s="201" t="s">
        <v>12550</v>
      </c>
      <c r="N1725" s="207"/>
      <c r="O1725" s="38"/>
    </row>
    <row r="1726" spans="1:15" ht="96" customHeight="1" x14ac:dyDescent="0.3">
      <c r="A1726" s="245">
        <v>1706</v>
      </c>
      <c r="B1726" s="53" t="s">
        <v>14273</v>
      </c>
      <c r="C1726" s="53" t="s">
        <v>14276</v>
      </c>
      <c r="D1726" s="85" t="s">
        <v>16124</v>
      </c>
      <c r="E1726" s="53">
        <v>658</v>
      </c>
      <c r="F1726" s="147">
        <v>9510</v>
      </c>
      <c r="G1726" s="147">
        <v>9510</v>
      </c>
      <c r="H1726" s="207"/>
      <c r="I1726" s="207" t="s">
        <v>12545</v>
      </c>
      <c r="J1726" s="66" t="s">
        <v>12549</v>
      </c>
      <c r="K1726" s="26">
        <v>42937</v>
      </c>
      <c r="L1726" s="66" t="s">
        <v>19117</v>
      </c>
      <c r="M1726" s="242" t="s">
        <v>14091</v>
      </c>
      <c r="N1726" s="207"/>
      <c r="O1726" s="38" t="s">
        <v>19118</v>
      </c>
    </row>
    <row r="1727" spans="1:15" ht="72" customHeight="1" x14ac:dyDescent="0.3">
      <c r="A1727" s="245">
        <v>1707</v>
      </c>
      <c r="B1727" s="53" t="s">
        <v>14273</v>
      </c>
      <c r="C1727" s="53" t="s">
        <v>14514</v>
      </c>
      <c r="D1727" s="85" t="s">
        <v>14348</v>
      </c>
      <c r="E1727" s="53">
        <v>1280</v>
      </c>
      <c r="F1727" s="147">
        <v>14265</v>
      </c>
      <c r="G1727" s="147">
        <v>14265</v>
      </c>
      <c r="H1727" s="25"/>
      <c r="I1727" s="207" t="s">
        <v>12545</v>
      </c>
      <c r="J1727" s="66" t="s">
        <v>16238</v>
      </c>
      <c r="K1727" s="207"/>
      <c r="L1727" s="66"/>
      <c r="M1727" s="201" t="s">
        <v>12550</v>
      </c>
      <c r="N1727" s="207"/>
      <c r="O1727" s="38"/>
    </row>
    <row r="1728" spans="1:15" ht="72" customHeight="1" x14ac:dyDescent="0.3">
      <c r="A1728" s="245">
        <v>1708</v>
      </c>
      <c r="B1728" s="53" t="s">
        <v>14273</v>
      </c>
      <c r="C1728" s="53" t="s">
        <v>14521</v>
      </c>
      <c r="D1728" s="85" t="s">
        <v>16127</v>
      </c>
      <c r="E1728" s="53">
        <v>529</v>
      </c>
      <c r="F1728" s="147">
        <v>19020</v>
      </c>
      <c r="G1728" s="147">
        <v>19020</v>
      </c>
      <c r="H1728" s="25"/>
      <c r="I1728" s="207" t="s">
        <v>12545</v>
      </c>
      <c r="J1728" s="66" t="s">
        <v>16240</v>
      </c>
      <c r="K1728" s="207"/>
      <c r="L1728" s="66"/>
      <c r="M1728" s="201" t="s">
        <v>12550</v>
      </c>
      <c r="N1728" s="207"/>
      <c r="O1728" s="38"/>
    </row>
    <row r="1729" spans="1:15" ht="72" customHeight="1" x14ac:dyDescent="0.3">
      <c r="A1729" s="245">
        <v>1709</v>
      </c>
      <c r="B1729" s="53" t="s">
        <v>14273</v>
      </c>
      <c r="C1729" s="53" t="s">
        <v>14522</v>
      </c>
      <c r="D1729" s="85" t="s">
        <v>14347</v>
      </c>
      <c r="E1729" s="53">
        <v>1462</v>
      </c>
      <c r="F1729" s="147">
        <v>19020</v>
      </c>
      <c r="G1729" s="147">
        <v>19020</v>
      </c>
      <c r="H1729" s="25"/>
      <c r="I1729" s="207" t="s">
        <v>12545</v>
      </c>
      <c r="J1729" s="66" t="s">
        <v>16237</v>
      </c>
      <c r="K1729" s="207"/>
      <c r="L1729" s="66"/>
      <c r="M1729" s="201" t="s">
        <v>12550</v>
      </c>
      <c r="N1729" s="207"/>
      <c r="O1729" s="38"/>
    </row>
    <row r="1730" spans="1:15" ht="72" customHeight="1" x14ac:dyDescent="0.3">
      <c r="A1730" s="245">
        <v>1710</v>
      </c>
      <c r="B1730" s="53" t="s">
        <v>14277</v>
      </c>
      <c r="C1730" s="53" t="s">
        <v>14523</v>
      </c>
      <c r="D1730" s="207"/>
      <c r="E1730" s="53">
        <v>606</v>
      </c>
      <c r="F1730" s="207"/>
      <c r="G1730" s="207"/>
      <c r="H1730" s="207"/>
      <c r="I1730" s="207" t="s">
        <v>12545</v>
      </c>
      <c r="J1730" s="66" t="s">
        <v>12549</v>
      </c>
      <c r="K1730" s="207"/>
      <c r="L1730" s="66"/>
      <c r="M1730" s="201" t="s">
        <v>12550</v>
      </c>
      <c r="N1730" s="207"/>
      <c r="O1730" s="38"/>
    </row>
    <row r="1731" spans="1:15" ht="72" customHeight="1" x14ac:dyDescent="0.3">
      <c r="A1731" s="245">
        <v>1711</v>
      </c>
      <c r="B1731" s="53" t="s">
        <v>14277</v>
      </c>
      <c r="C1731" s="53" t="s">
        <v>14524</v>
      </c>
      <c r="D1731" s="207"/>
      <c r="E1731" s="53">
        <v>546</v>
      </c>
      <c r="F1731" s="207"/>
      <c r="G1731" s="207"/>
      <c r="H1731" s="207"/>
      <c r="I1731" s="207" t="s">
        <v>12545</v>
      </c>
      <c r="J1731" s="66" t="s">
        <v>12549</v>
      </c>
      <c r="K1731" s="207"/>
      <c r="L1731" s="66"/>
      <c r="M1731" s="201" t="s">
        <v>12550</v>
      </c>
      <c r="N1731" s="207"/>
      <c r="O1731" s="38"/>
    </row>
    <row r="1732" spans="1:15" ht="72" customHeight="1" x14ac:dyDescent="0.3">
      <c r="A1732" s="245">
        <v>1712</v>
      </c>
      <c r="B1732" s="53" t="s">
        <v>14277</v>
      </c>
      <c r="C1732" s="53" t="s">
        <v>14525</v>
      </c>
      <c r="D1732" s="207"/>
      <c r="E1732" s="53">
        <v>524</v>
      </c>
      <c r="F1732" s="207"/>
      <c r="G1732" s="207"/>
      <c r="H1732" s="207"/>
      <c r="I1732" s="207" t="s">
        <v>12545</v>
      </c>
      <c r="J1732" s="66" t="s">
        <v>12549</v>
      </c>
      <c r="K1732" s="207"/>
      <c r="L1732" s="66"/>
      <c r="M1732" s="201" t="s">
        <v>12550</v>
      </c>
      <c r="N1732" s="207"/>
      <c r="O1732" s="38"/>
    </row>
    <row r="1733" spans="1:15" ht="72" customHeight="1" x14ac:dyDescent="0.3">
      <c r="A1733" s="245">
        <v>1713</v>
      </c>
      <c r="B1733" s="53" t="s">
        <v>14277</v>
      </c>
      <c r="C1733" s="53" t="s">
        <v>14526</v>
      </c>
      <c r="D1733" s="207"/>
      <c r="E1733" s="53">
        <v>524</v>
      </c>
      <c r="F1733" s="207"/>
      <c r="G1733" s="207"/>
      <c r="H1733" s="207"/>
      <c r="I1733" s="207" t="s">
        <v>12545</v>
      </c>
      <c r="J1733" s="66" t="s">
        <v>12549</v>
      </c>
      <c r="K1733" s="207"/>
      <c r="L1733" s="66"/>
      <c r="M1733" s="201" t="s">
        <v>12550</v>
      </c>
      <c r="N1733" s="207"/>
      <c r="O1733" s="38"/>
    </row>
    <row r="1734" spans="1:15" ht="72" customHeight="1" x14ac:dyDescent="0.3">
      <c r="A1734" s="245">
        <v>1714</v>
      </c>
      <c r="B1734" s="242" t="s">
        <v>20985</v>
      </c>
      <c r="C1734" s="242" t="s">
        <v>20986</v>
      </c>
      <c r="D1734" s="207"/>
      <c r="E1734" s="242"/>
      <c r="F1734" s="207"/>
      <c r="G1734" s="207"/>
      <c r="H1734" s="207"/>
      <c r="I1734" s="207" t="s">
        <v>12545</v>
      </c>
      <c r="J1734" s="66" t="s">
        <v>12549</v>
      </c>
      <c r="K1734" s="207"/>
      <c r="L1734" s="66"/>
      <c r="M1734" s="201" t="s">
        <v>12550</v>
      </c>
      <c r="N1734" s="207"/>
      <c r="O1734" s="38"/>
    </row>
    <row r="1735" spans="1:15" ht="72" customHeight="1" x14ac:dyDescent="0.3">
      <c r="A1735" s="245">
        <v>1715</v>
      </c>
      <c r="B1735" s="242" t="s">
        <v>22030</v>
      </c>
      <c r="C1735" s="242" t="s">
        <v>20988</v>
      </c>
      <c r="D1735" s="207"/>
      <c r="E1735" s="242"/>
      <c r="F1735" s="207"/>
      <c r="G1735" s="207"/>
      <c r="H1735" s="207"/>
      <c r="I1735" s="207" t="s">
        <v>12545</v>
      </c>
      <c r="J1735" s="66" t="s">
        <v>12549</v>
      </c>
      <c r="K1735" s="207"/>
      <c r="L1735" s="66"/>
      <c r="M1735" s="201" t="s">
        <v>12550</v>
      </c>
      <c r="N1735" s="207"/>
      <c r="O1735" s="38" t="s">
        <v>22185</v>
      </c>
    </row>
    <row r="1736" spans="1:15" ht="72" customHeight="1" x14ac:dyDescent="0.3">
      <c r="A1736" s="245">
        <v>1716</v>
      </c>
      <c r="B1736" s="242" t="s">
        <v>20987</v>
      </c>
      <c r="C1736" s="242" t="s">
        <v>22031</v>
      </c>
      <c r="D1736" s="207"/>
      <c r="E1736" s="242"/>
      <c r="F1736" s="207"/>
      <c r="G1736" s="207"/>
      <c r="H1736" s="207"/>
      <c r="I1736" s="207" t="s">
        <v>12545</v>
      </c>
      <c r="J1736" s="66" t="s">
        <v>12549</v>
      </c>
      <c r="K1736" s="207"/>
      <c r="L1736" s="66"/>
      <c r="M1736" s="201" t="s">
        <v>12550</v>
      </c>
      <c r="N1736" s="207"/>
      <c r="O1736" s="38" t="s">
        <v>22186</v>
      </c>
    </row>
    <row r="1737" spans="1:15" ht="72" customHeight="1" x14ac:dyDescent="0.3">
      <c r="A1737" s="245">
        <v>1717</v>
      </c>
      <c r="B1737" s="242" t="s">
        <v>20987</v>
      </c>
      <c r="C1737" s="242" t="s">
        <v>22033</v>
      </c>
      <c r="D1737" s="207"/>
      <c r="E1737" s="242"/>
      <c r="F1737" s="207"/>
      <c r="G1737" s="207"/>
      <c r="H1737" s="207"/>
      <c r="I1737" s="207" t="s">
        <v>12545</v>
      </c>
      <c r="J1737" s="66" t="s">
        <v>12549</v>
      </c>
      <c r="K1737" s="207"/>
      <c r="L1737" s="66"/>
      <c r="M1737" s="201" t="s">
        <v>12550</v>
      </c>
      <c r="N1737" s="207"/>
      <c r="O1737" s="38" t="s">
        <v>22186</v>
      </c>
    </row>
    <row r="1738" spans="1:15" ht="72" customHeight="1" x14ac:dyDescent="0.3">
      <c r="A1738" s="245">
        <v>1718</v>
      </c>
      <c r="B1738" s="242" t="s">
        <v>20987</v>
      </c>
      <c r="C1738" s="242" t="s">
        <v>20989</v>
      </c>
      <c r="D1738" s="207"/>
      <c r="E1738" s="242"/>
      <c r="F1738" s="207"/>
      <c r="G1738" s="207"/>
      <c r="H1738" s="207"/>
      <c r="I1738" s="207" t="s">
        <v>12545</v>
      </c>
      <c r="J1738" s="66" t="s">
        <v>12549</v>
      </c>
      <c r="K1738" s="207"/>
      <c r="L1738" s="66"/>
      <c r="M1738" s="201" t="s">
        <v>12550</v>
      </c>
      <c r="N1738" s="207"/>
      <c r="O1738" s="38"/>
    </row>
    <row r="1739" spans="1:15" ht="72" customHeight="1" x14ac:dyDescent="0.3">
      <c r="A1739" s="245">
        <v>1719</v>
      </c>
      <c r="B1739" s="242" t="s">
        <v>20987</v>
      </c>
      <c r="C1739" s="242" t="s">
        <v>22035</v>
      </c>
      <c r="D1739" s="207"/>
      <c r="E1739" s="242"/>
      <c r="F1739" s="207"/>
      <c r="G1739" s="207"/>
      <c r="H1739" s="207"/>
      <c r="I1739" s="207" t="s">
        <v>12545</v>
      </c>
      <c r="J1739" s="66" t="s">
        <v>12549</v>
      </c>
      <c r="K1739" s="207"/>
      <c r="L1739" s="66"/>
      <c r="M1739" s="201" t="s">
        <v>12550</v>
      </c>
      <c r="N1739" s="207"/>
      <c r="O1739" s="38" t="s">
        <v>22186</v>
      </c>
    </row>
    <row r="1740" spans="1:15" ht="84" customHeight="1" x14ac:dyDescent="0.3">
      <c r="A1740" s="245">
        <v>1720</v>
      </c>
      <c r="B1740" s="242" t="s">
        <v>22036</v>
      </c>
      <c r="C1740" s="242" t="s">
        <v>22037</v>
      </c>
      <c r="D1740" s="207"/>
      <c r="E1740" s="242"/>
      <c r="F1740" s="207"/>
      <c r="G1740" s="207"/>
      <c r="H1740" s="207"/>
      <c r="I1740" s="207" t="s">
        <v>12545</v>
      </c>
      <c r="J1740" s="66" t="s">
        <v>12549</v>
      </c>
      <c r="K1740" s="207"/>
      <c r="L1740" s="66"/>
      <c r="M1740" s="201" t="s">
        <v>12550</v>
      </c>
      <c r="N1740" s="207"/>
      <c r="O1740" s="38" t="s">
        <v>22186</v>
      </c>
    </row>
    <row r="1741" spans="1:15" ht="72" customHeight="1" x14ac:dyDescent="0.3">
      <c r="A1741" s="245">
        <v>1721</v>
      </c>
      <c r="B1741" s="242" t="s">
        <v>20987</v>
      </c>
      <c r="C1741" s="242" t="s">
        <v>22042</v>
      </c>
      <c r="D1741" s="207"/>
      <c r="E1741" s="242"/>
      <c r="F1741" s="207"/>
      <c r="G1741" s="207"/>
      <c r="H1741" s="207"/>
      <c r="I1741" s="207" t="s">
        <v>12545</v>
      </c>
      <c r="J1741" s="66" t="s">
        <v>12549</v>
      </c>
      <c r="K1741" s="207"/>
      <c r="L1741" s="66"/>
      <c r="M1741" s="201" t="s">
        <v>12550</v>
      </c>
      <c r="N1741" s="207"/>
      <c r="O1741" s="38" t="s">
        <v>22186</v>
      </c>
    </row>
    <row r="1742" spans="1:15" ht="85.95" customHeight="1" x14ac:dyDescent="0.3">
      <c r="A1742" s="245">
        <v>1722</v>
      </c>
      <c r="B1742" s="242" t="s">
        <v>22030</v>
      </c>
      <c r="C1742" s="242" t="s">
        <v>23053</v>
      </c>
      <c r="D1742" s="207"/>
      <c r="E1742" s="242"/>
      <c r="F1742" s="207"/>
      <c r="G1742" s="207"/>
      <c r="H1742" s="207"/>
      <c r="I1742" s="207" t="s">
        <v>12545</v>
      </c>
      <c r="J1742" s="66" t="s">
        <v>12549</v>
      </c>
      <c r="K1742" s="242"/>
      <c r="L1742" s="66"/>
      <c r="M1742" s="201" t="s">
        <v>12550</v>
      </c>
      <c r="N1742" s="207"/>
      <c r="O1742" s="38" t="s">
        <v>23052</v>
      </c>
    </row>
    <row r="1743" spans="1:15" ht="72" customHeight="1" x14ac:dyDescent="0.3">
      <c r="A1743" s="245">
        <v>1723</v>
      </c>
      <c r="B1743" s="242" t="s">
        <v>20987</v>
      </c>
      <c r="C1743" s="242" t="s">
        <v>22032</v>
      </c>
      <c r="D1743" s="207"/>
      <c r="E1743" s="242"/>
      <c r="F1743" s="207"/>
      <c r="G1743" s="207"/>
      <c r="H1743" s="207"/>
      <c r="I1743" s="207" t="s">
        <v>12545</v>
      </c>
      <c r="J1743" s="66" t="s">
        <v>12549</v>
      </c>
      <c r="K1743" s="207"/>
      <c r="L1743" s="66"/>
      <c r="M1743" s="201" t="s">
        <v>12550</v>
      </c>
      <c r="N1743" s="207"/>
      <c r="O1743" s="38" t="s">
        <v>22187</v>
      </c>
    </row>
    <row r="1744" spans="1:15" ht="72" customHeight="1" x14ac:dyDescent="0.3">
      <c r="A1744" s="245">
        <v>1724</v>
      </c>
      <c r="B1744" s="242" t="s">
        <v>20987</v>
      </c>
      <c r="C1744" s="242" t="s">
        <v>22034</v>
      </c>
      <c r="D1744" s="207"/>
      <c r="E1744" s="242"/>
      <c r="F1744" s="207"/>
      <c r="G1744" s="207"/>
      <c r="H1744" s="207"/>
      <c r="I1744" s="207" t="s">
        <v>12545</v>
      </c>
      <c r="J1744" s="66" t="s">
        <v>12549</v>
      </c>
      <c r="K1744" s="207"/>
      <c r="L1744" s="66"/>
      <c r="M1744" s="201" t="s">
        <v>12550</v>
      </c>
      <c r="N1744" s="207"/>
      <c r="O1744" s="38" t="s">
        <v>22186</v>
      </c>
    </row>
    <row r="1745" spans="1:15" ht="115.2" customHeight="1" x14ac:dyDescent="0.3">
      <c r="A1745" s="245">
        <v>1725</v>
      </c>
      <c r="B1745" s="53" t="s">
        <v>14278</v>
      </c>
      <c r="C1745" s="53" t="s">
        <v>14527</v>
      </c>
      <c r="D1745" s="207"/>
      <c r="E1745" s="53">
        <v>225</v>
      </c>
      <c r="F1745" s="207"/>
      <c r="G1745" s="207"/>
      <c r="H1745" s="207"/>
      <c r="I1745" s="207" t="s">
        <v>12545</v>
      </c>
      <c r="J1745" s="66" t="s">
        <v>12549</v>
      </c>
      <c r="K1745" s="243">
        <v>43300</v>
      </c>
      <c r="L1745" s="66" t="s">
        <v>20908</v>
      </c>
      <c r="M1745" s="201" t="s">
        <v>12550</v>
      </c>
      <c r="N1745" s="207"/>
      <c r="O1745" s="38" t="s">
        <v>20910</v>
      </c>
    </row>
    <row r="1746" spans="1:15" ht="108" customHeight="1" x14ac:dyDescent="0.3">
      <c r="A1746" s="245">
        <v>1726</v>
      </c>
      <c r="B1746" s="53" t="s">
        <v>14279</v>
      </c>
      <c r="C1746" s="53" t="s">
        <v>14528</v>
      </c>
      <c r="D1746" s="207"/>
      <c r="E1746" s="53">
        <v>425</v>
      </c>
      <c r="F1746" s="207"/>
      <c r="G1746" s="207"/>
      <c r="H1746" s="207"/>
      <c r="I1746" s="207" t="s">
        <v>12545</v>
      </c>
      <c r="J1746" s="66" t="s">
        <v>12549</v>
      </c>
      <c r="K1746" s="243">
        <v>43300</v>
      </c>
      <c r="L1746" s="66" t="s">
        <v>20908</v>
      </c>
      <c r="M1746" s="201" t="s">
        <v>12550</v>
      </c>
      <c r="N1746" s="207"/>
      <c r="O1746" s="38" t="s">
        <v>20910</v>
      </c>
    </row>
    <row r="1747" spans="1:15" ht="108" customHeight="1" x14ac:dyDescent="0.3">
      <c r="A1747" s="245">
        <v>1727</v>
      </c>
      <c r="B1747" s="53" t="s">
        <v>14280</v>
      </c>
      <c r="C1747" s="53" t="s">
        <v>14529</v>
      </c>
      <c r="D1747" s="207"/>
      <c r="E1747" s="53">
        <v>450</v>
      </c>
      <c r="F1747" s="207"/>
      <c r="G1747" s="207"/>
      <c r="H1747" s="207"/>
      <c r="I1747" s="207" t="s">
        <v>12545</v>
      </c>
      <c r="J1747" s="66" t="s">
        <v>12549</v>
      </c>
      <c r="K1747" s="243">
        <v>43300</v>
      </c>
      <c r="L1747" s="66" t="s">
        <v>20908</v>
      </c>
      <c r="M1747" s="201" t="s">
        <v>12550</v>
      </c>
      <c r="N1747" s="207"/>
      <c r="O1747" s="38" t="s">
        <v>20910</v>
      </c>
    </row>
    <row r="1748" spans="1:15" ht="108" customHeight="1" x14ac:dyDescent="0.3">
      <c r="A1748" s="245">
        <v>1728</v>
      </c>
      <c r="B1748" s="53" t="s">
        <v>14281</v>
      </c>
      <c r="C1748" s="53" t="s">
        <v>14530</v>
      </c>
      <c r="D1748" s="207"/>
      <c r="E1748" s="53">
        <v>49</v>
      </c>
      <c r="F1748" s="207"/>
      <c r="G1748" s="207"/>
      <c r="H1748" s="207"/>
      <c r="I1748" s="207" t="s">
        <v>12545</v>
      </c>
      <c r="J1748" s="66" t="s">
        <v>12549</v>
      </c>
      <c r="K1748" s="243">
        <v>43300</v>
      </c>
      <c r="L1748" s="66" t="s">
        <v>20908</v>
      </c>
      <c r="M1748" s="201" t="s">
        <v>12550</v>
      </c>
      <c r="N1748" s="207"/>
      <c r="O1748" s="38" t="s">
        <v>20910</v>
      </c>
    </row>
    <row r="1749" spans="1:15" ht="108" customHeight="1" x14ac:dyDescent="0.3">
      <c r="A1749" s="245">
        <v>1729</v>
      </c>
      <c r="B1749" s="53" t="s">
        <v>14282</v>
      </c>
      <c r="C1749" s="53" t="s">
        <v>14531</v>
      </c>
      <c r="D1749" s="207"/>
      <c r="E1749" s="53">
        <v>225</v>
      </c>
      <c r="F1749" s="207"/>
      <c r="G1749" s="207"/>
      <c r="H1749" s="207"/>
      <c r="I1749" s="207" t="s">
        <v>12545</v>
      </c>
      <c r="J1749" s="66" t="s">
        <v>12549</v>
      </c>
      <c r="K1749" s="243">
        <v>43300</v>
      </c>
      <c r="L1749" s="66" t="s">
        <v>20908</v>
      </c>
      <c r="M1749" s="201" t="s">
        <v>12550</v>
      </c>
      <c r="N1749" s="207"/>
      <c r="O1749" s="38" t="s">
        <v>20910</v>
      </c>
    </row>
    <row r="1750" spans="1:15" ht="108" customHeight="1" x14ac:dyDescent="0.3">
      <c r="A1750" s="245">
        <v>1730</v>
      </c>
      <c r="B1750" s="53" t="s">
        <v>14283</v>
      </c>
      <c r="C1750" s="53" t="s">
        <v>14532</v>
      </c>
      <c r="D1750" s="207"/>
      <c r="E1750" s="53">
        <v>750</v>
      </c>
      <c r="F1750" s="207"/>
      <c r="G1750" s="207"/>
      <c r="H1750" s="207"/>
      <c r="I1750" s="207" t="s">
        <v>12545</v>
      </c>
      <c r="J1750" s="66" t="s">
        <v>12549</v>
      </c>
      <c r="K1750" s="243">
        <v>43300</v>
      </c>
      <c r="L1750" s="66" t="s">
        <v>20908</v>
      </c>
      <c r="M1750" s="201" t="s">
        <v>12550</v>
      </c>
      <c r="N1750" s="207"/>
      <c r="O1750" s="38" t="s">
        <v>20910</v>
      </c>
    </row>
    <row r="1751" spans="1:15" ht="108" customHeight="1" x14ac:dyDescent="0.3">
      <c r="A1751" s="245">
        <v>1731</v>
      </c>
      <c r="B1751" s="53" t="s">
        <v>14284</v>
      </c>
      <c r="C1751" s="53" t="s">
        <v>14533</v>
      </c>
      <c r="D1751" s="207"/>
      <c r="E1751" s="53">
        <v>49</v>
      </c>
      <c r="F1751" s="207"/>
      <c r="G1751" s="207"/>
      <c r="H1751" s="207"/>
      <c r="I1751" s="207" t="s">
        <v>12545</v>
      </c>
      <c r="J1751" s="66" t="s">
        <v>12549</v>
      </c>
      <c r="K1751" s="243">
        <v>43300</v>
      </c>
      <c r="L1751" s="66" t="s">
        <v>20908</v>
      </c>
      <c r="M1751" s="201" t="s">
        <v>12550</v>
      </c>
      <c r="N1751" s="207"/>
      <c r="O1751" s="38" t="s">
        <v>20910</v>
      </c>
    </row>
    <row r="1752" spans="1:15" ht="108" customHeight="1" x14ac:dyDescent="0.3">
      <c r="A1752" s="245">
        <v>1732</v>
      </c>
      <c r="B1752" s="53" t="s">
        <v>14285</v>
      </c>
      <c r="C1752" s="53" t="s">
        <v>14534</v>
      </c>
      <c r="D1752" s="207"/>
      <c r="E1752" s="53">
        <v>450</v>
      </c>
      <c r="F1752" s="207"/>
      <c r="G1752" s="207"/>
      <c r="H1752" s="207"/>
      <c r="I1752" s="207" t="s">
        <v>12545</v>
      </c>
      <c r="J1752" s="66" t="s">
        <v>12549</v>
      </c>
      <c r="K1752" s="243">
        <v>43300</v>
      </c>
      <c r="L1752" s="66" t="s">
        <v>20908</v>
      </c>
      <c r="M1752" s="201" t="s">
        <v>12550</v>
      </c>
      <c r="N1752" s="207"/>
      <c r="O1752" s="38" t="s">
        <v>20910</v>
      </c>
    </row>
    <row r="1753" spans="1:15" ht="108" customHeight="1" x14ac:dyDescent="0.3">
      <c r="A1753" s="245">
        <v>1733</v>
      </c>
      <c r="B1753" s="53" t="s">
        <v>14286</v>
      </c>
      <c r="C1753" s="53" t="s">
        <v>14535</v>
      </c>
      <c r="D1753" s="207"/>
      <c r="E1753" s="53">
        <v>456</v>
      </c>
      <c r="F1753" s="207"/>
      <c r="G1753" s="207"/>
      <c r="H1753" s="207"/>
      <c r="I1753" s="207" t="s">
        <v>12545</v>
      </c>
      <c r="J1753" s="66" t="s">
        <v>12549</v>
      </c>
      <c r="K1753" s="243">
        <v>43300</v>
      </c>
      <c r="L1753" s="66" t="s">
        <v>20908</v>
      </c>
      <c r="M1753" s="201" t="s">
        <v>12550</v>
      </c>
      <c r="N1753" s="207"/>
      <c r="O1753" s="38" t="s">
        <v>20910</v>
      </c>
    </row>
    <row r="1754" spans="1:15" ht="108" customHeight="1" x14ac:dyDescent="0.3">
      <c r="A1754" s="245">
        <v>1734</v>
      </c>
      <c r="B1754" s="53" t="s">
        <v>14287</v>
      </c>
      <c r="C1754" s="53" t="s">
        <v>14536</v>
      </c>
      <c r="D1754" s="207"/>
      <c r="E1754" s="53">
        <v>150</v>
      </c>
      <c r="F1754" s="207"/>
      <c r="G1754" s="207"/>
      <c r="H1754" s="207"/>
      <c r="I1754" s="207" t="s">
        <v>12545</v>
      </c>
      <c r="J1754" s="66" t="s">
        <v>12549</v>
      </c>
      <c r="K1754" s="243">
        <v>43300</v>
      </c>
      <c r="L1754" s="66" t="s">
        <v>20908</v>
      </c>
      <c r="M1754" s="201" t="s">
        <v>12550</v>
      </c>
      <c r="N1754" s="207"/>
      <c r="O1754" s="38" t="s">
        <v>20910</v>
      </c>
    </row>
    <row r="1755" spans="1:15" ht="108" customHeight="1" x14ac:dyDescent="0.3">
      <c r="A1755" s="245">
        <v>1735</v>
      </c>
      <c r="B1755" s="53" t="s">
        <v>14288</v>
      </c>
      <c r="C1755" s="53" t="s">
        <v>14537</v>
      </c>
      <c r="D1755" s="207"/>
      <c r="E1755" s="53">
        <v>540</v>
      </c>
      <c r="F1755" s="207"/>
      <c r="G1755" s="207"/>
      <c r="H1755" s="207"/>
      <c r="I1755" s="207" t="s">
        <v>12545</v>
      </c>
      <c r="J1755" s="66" t="s">
        <v>12549</v>
      </c>
      <c r="K1755" s="243">
        <v>43300</v>
      </c>
      <c r="L1755" s="66" t="s">
        <v>20908</v>
      </c>
      <c r="M1755" s="201" t="s">
        <v>12550</v>
      </c>
      <c r="N1755" s="207"/>
      <c r="O1755" s="38" t="s">
        <v>20910</v>
      </c>
    </row>
    <row r="1756" spans="1:15" ht="108" customHeight="1" x14ac:dyDescent="0.3">
      <c r="A1756" s="245">
        <v>1736</v>
      </c>
      <c r="B1756" s="53" t="s">
        <v>14289</v>
      </c>
      <c r="C1756" s="53" t="s">
        <v>14538</v>
      </c>
      <c r="D1756" s="207"/>
      <c r="E1756" s="53">
        <v>480</v>
      </c>
      <c r="F1756" s="207"/>
      <c r="G1756" s="207"/>
      <c r="H1756" s="207"/>
      <c r="I1756" s="207" t="s">
        <v>12545</v>
      </c>
      <c r="J1756" s="66" t="s">
        <v>12549</v>
      </c>
      <c r="K1756" s="243">
        <v>43300</v>
      </c>
      <c r="L1756" s="66" t="s">
        <v>20908</v>
      </c>
      <c r="M1756" s="201" t="s">
        <v>12550</v>
      </c>
      <c r="N1756" s="207"/>
      <c r="O1756" s="38" t="s">
        <v>20910</v>
      </c>
    </row>
    <row r="1757" spans="1:15" ht="108" customHeight="1" x14ac:dyDescent="0.3">
      <c r="A1757" s="245">
        <v>1737</v>
      </c>
      <c r="B1757" s="53" t="s">
        <v>14290</v>
      </c>
      <c r="C1757" s="53" t="s">
        <v>14539</v>
      </c>
      <c r="D1757" s="207"/>
      <c r="E1757" s="53">
        <v>320</v>
      </c>
      <c r="F1757" s="207"/>
      <c r="G1757" s="207"/>
      <c r="H1757" s="207"/>
      <c r="I1757" s="207" t="s">
        <v>12545</v>
      </c>
      <c r="J1757" s="66" t="s">
        <v>12549</v>
      </c>
      <c r="K1757" s="243">
        <v>43300</v>
      </c>
      <c r="L1757" s="66" t="s">
        <v>20908</v>
      </c>
      <c r="M1757" s="201" t="s">
        <v>12550</v>
      </c>
      <c r="N1757" s="207"/>
      <c r="O1757" s="38" t="s">
        <v>20910</v>
      </c>
    </row>
    <row r="1758" spans="1:15" ht="108" customHeight="1" x14ac:dyDescent="0.3">
      <c r="A1758" s="245">
        <v>1738</v>
      </c>
      <c r="B1758" s="53" t="s">
        <v>14291</v>
      </c>
      <c r="C1758" s="53" t="s">
        <v>14540</v>
      </c>
      <c r="D1758" s="207"/>
      <c r="E1758" s="53">
        <v>144</v>
      </c>
      <c r="F1758" s="207"/>
      <c r="G1758" s="207"/>
      <c r="H1758" s="207"/>
      <c r="I1758" s="207" t="s">
        <v>12545</v>
      </c>
      <c r="J1758" s="66" t="s">
        <v>12549</v>
      </c>
      <c r="K1758" s="243">
        <v>43300</v>
      </c>
      <c r="L1758" s="66" t="s">
        <v>20908</v>
      </c>
      <c r="M1758" s="201" t="s">
        <v>12550</v>
      </c>
      <c r="N1758" s="207"/>
      <c r="O1758" s="38" t="s">
        <v>20910</v>
      </c>
    </row>
    <row r="1759" spans="1:15" ht="108" customHeight="1" x14ac:dyDescent="0.3">
      <c r="A1759" s="245">
        <v>1739</v>
      </c>
      <c r="B1759" s="53" t="s">
        <v>14292</v>
      </c>
      <c r="C1759" s="53" t="s">
        <v>14541</v>
      </c>
      <c r="D1759" s="207"/>
      <c r="E1759" s="53">
        <v>35</v>
      </c>
      <c r="F1759" s="207"/>
      <c r="G1759" s="207"/>
      <c r="H1759" s="207"/>
      <c r="I1759" s="207" t="s">
        <v>12545</v>
      </c>
      <c r="J1759" s="66" t="s">
        <v>12549</v>
      </c>
      <c r="K1759" s="243">
        <v>43300</v>
      </c>
      <c r="L1759" s="66" t="s">
        <v>20908</v>
      </c>
      <c r="M1759" s="201" t="s">
        <v>12550</v>
      </c>
      <c r="N1759" s="207"/>
      <c r="O1759" s="38" t="s">
        <v>20910</v>
      </c>
    </row>
    <row r="1760" spans="1:15" ht="108" customHeight="1" x14ac:dyDescent="0.3">
      <c r="A1760" s="245">
        <v>1740</v>
      </c>
      <c r="B1760" s="53" t="s">
        <v>14293</v>
      </c>
      <c r="C1760" s="53" t="s">
        <v>14542</v>
      </c>
      <c r="D1760" s="207"/>
      <c r="E1760" s="53">
        <v>900</v>
      </c>
      <c r="F1760" s="207"/>
      <c r="G1760" s="207"/>
      <c r="H1760" s="207"/>
      <c r="I1760" s="207" t="s">
        <v>12545</v>
      </c>
      <c r="J1760" s="66" t="s">
        <v>12549</v>
      </c>
      <c r="K1760" s="243">
        <v>43300</v>
      </c>
      <c r="L1760" s="66" t="s">
        <v>20908</v>
      </c>
      <c r="M1760" s="201" t="s">
        <v>12550</v>
      </c>
      <c r="N1760" s="207"/>
      <c r="O1760" s="38" t="s">
        <v>20910</v>
      </c>
    </row>
    <row r="1761" spans="1:15" ht="108" customHeight="1" x14ac:dyDescent="0.3">
      <c r="A1761" s="245">
        <v>1741</v>
      </c>
      <c r="B1761" s="53" t="s">
        <v>14294</v>
      </c>
      <c r="C1761" s="53" t="s">
        <v>14543</v>
      </c>
      <c r="D1761" s="207"/>
      <c r="E1761" s="53">
        <v>36</v>
      </c>
      <c r="F1761" s="207"/>
      <c r="G1761" s="207"/>
      <c r="H1761" s="207"/>
      <c r="I1761" s="207" t="s">
        <v>12545</v>
      </c>
      <c r="J1761" s="66" t="s">
        <v>12549</v>
      </c>
      <c r="K1761" s="243">
        <v>43300</v>
      </c>
      <c r="L1761" s="66" t="s">
        <v>20908</v>
      </c>
      <c r="M1761" s="201" t="s">
        <v>12550</v>
      </c>
      <c r="N1761" s="207"/>
      <c r="O1761" s="38" t="s">
        <v>20910</v>
      </c>
    </row>
    <row r="1762" spans="1:15" ht="108" customHeight="1" x14ac:dyDescent="0.3">
      <c r="A1762" s="245">
        <v>1742</v>
      </c>
      <c r="B1762" s="53" t="s">
        <v>14295</v>
      </c>
      <c r="C1762" s="53" t="s">
        <v>14544</v>
      </c>
      <c r="D1762" s="207"/>
      <c r="E1762" s="53">
        <v>504</v>
      </c>
      <c r="F1762" s="207"/>
      <c r="G1762" s="207"/>
      <c r="H1762" s="207"/>
      <c r="I1762" s="207" t="s">
        <v>12545</v>
      </c>
      <c r="J1762" s="66" t="s">
        <v>12549</v>
      </c>
      <c r="K1762" s="243">
        <v>43300</v>
      </c>
      <c r="L1762" s="66" t="s">
        <v>20908</v>
      </c>
      <c r="M1762" s="201" t="s">
        <v>12550</v>
      </c>
      <c r="N1762" s="207"/>
      <c r="O1762" s="38" t="s">
        <v>20910</v>
      </c>
    </row>
    <row r="1763" spans="1:15" ht="108" customHeight="1" x14ac:dyDescent="0.3">
      <c r="A1763" s="245">
        <v>1743</v>
      </c>
      <c r="B1763" s="53" t="s">
        <v>14296</v>
      </c>
      <c r="C1763" s="53" t="s">
        <v>14545</v>
      </c>
      <c r="D1763" s="207"/>
      <c r="E1763" s="53">
        <v>200</v>
      </c>
      <c r="F1763" s="207"/>
      <c r="G1763" s="207"/>
      <c r="H1763" s="207"/>
      <c r="I1763" s="207" t="s">
        <v>12545</v>
      </c>
      <c r="J1763" s="66" t="s">
        <v>12549</v>
      </c>
      <c r="K1763" s="243">
        <v>43300</v>
      </c>
      <c r="L1763" s="66" t="s">
        <v>20908</v>
      </c>
      <c r="M1763" s="201" t="s">
        <v>12550</v>
      </c>
      <c r="N1763" s="207"/>
      <c r="O1763" s="38" t="s">
        <v>20910</v>
      </c>
    </row>
    <row r="1764" spans="1:15" ht="108" customHeight="1" x14ac:dyDescent="0.3">
      <c r="A1764" s="245">
        <v>1744</v>
      </c>
      <c r="B1764" s="53" t="s">
        <v>14297</v>
      </c>
      <c r="C1764" s="53" t="s">
        <v>14546</v>
      </c>
      <c r="D1764" s="207"/>
      <c r="E1764" s="53">
        <v>50</v>
      </c>
      <c r="F1764" s="207"/>
      <c r="G1764" s="207"/>
      <c r="H1764" s="207"/>
      <c r="I1764" s="207" t="s">
        <v>12545</v>
      </c>
      <c r="J1764" s="66" t="s">
        <v>12549</v>
      </c>
      <c r="K1764" s="243">
        <v>43300</v>
      </c>
      <c r="L1764" s="66" t="s">
        <v>20908</v>
      </c>
      <c r="M1764" s="201" t="s">
        <v>12550</v>
      </c>
      <c r="N1764" s="207"/>
      <c r="O1764" s="38" t="s">
        <v>20910</v>
      </c>
    </row>
    <row r="1765" spans="1:15" ht="132" customHeight="1" x14ac:dyDescent="0.3">
      <c r="A1765" s="245">
        <v>1745</v>
      </c>
      <c r="B1765" s="53" t="s">
        <v>14298</v>
      </c>
      <c r="C1765" s="53" t="s">
        <v>14547</v>
      </c>
      <c r="D1765" s="207"/>
      <c r="E1765" s="53">
        <v>310</v>
      </c>
      <c r="F1765" s="207"/>
      <c r="G1765" s="207"/>
      <c r="H1765" s="207"/>
      <c r="I1765" s="207" t="s">
        <v>12545</v>
      </c>
      <c r="J1765" s="66" t="s">
        <v>12549</v>
      </c>
      <c r="K1765" s="243">
        <v>43300</v>
      </c>
      <c r="L1765" s="66" t="s">
        <v>20908</v>
      </c>
      <c r="M1765" s="201" t="s">
        <v>12550</v>
      </c>
      <c r="N1765" s="207"/>
      <c r="O1765" s="38" t="s">
        <v>20910</v>
      </c>
    </row>
    <row r="1766" spans="1:15" ht="108" customHeight="1" x14ac:dyDescent="0.3">
      <c r="A1766" s="245">
        <v>1746</v>
      </c>
      <c r="B1766" s="53" t="s">
        <v>14299</v>
      </c>
      <c r="C1766" s="53" t="s">
        <v>14548</v>
      </c>
      <c r="D1766" s="207"/>
      <c r="E1766" s="53">
        <v>329</v>
      </c>
      <c r="F1766" s="207"/>
      <c r="G1766" s="207"/>
      <c r="H1766" s="207"/>
      <c r="I1766" s="207" t="s">
        <v>12545</v>
      </c>
      <c r="J1766" s="66" t="s">
        <v>12549</v>
      </c>
      <c r="K1766" s="243">
        <v>43300</v>
      </c>
      <c r="L1766" s="66" t="s">
        <v>20908</v>
      </c>
      <c r="M1766" s="201" t="s">
        <v>12550</v>
      </c>
      <c r="N1766" s="207"/>
      <c r="O1766" s="38" t="s">
        <v>20910</v>
      </c>
    </row>
    <row r="1767" spans="1:15" ht="108" customHeight="1" x14ac:dyDescent="0.3">
      <c r="A1767" s="245">
        <v>1747</v>
      </c>
      <c r="B1767" s="242" t="s">
        <v>14300</v>
      </c>
      <c r="C1767" s="242" t="s">
        <v>14549</v>
      </c>
      <c r="D1767" s="207"/>
      <c r="E1767" s="53">
        <v>480</v>
      </c>
      <c r="F1767" s="207"/>
      <c r="G1767" s="207"/>
      <c r="H1767" s="207"/>
      <c r="I1767" s="207" t="s">
        <v>12545</v>
      </c>
      <c r="J1767" s="66" t="s">
        <v>12549</v>
      </c>
      <c r="K1767" s="243">
        <v>43300</v>
      </c>
      <c r="L1767" s="66" t="s">
        <v>20908</v>
      </c>
      <c r="M1767" s="201" t="s">
        <v>12550</v>
      </c>
      <c r="N1767" s="207"/>
      <c r="O1767" s="38" t="s">
        <v>20910</v>
      </c>
    </row>
    <row r="1768" spans="1:15" ht="108" customHeight="1" x14ac:dyDescent="0.3">
      <c r="A1768" s="245">
        <v>1748</v>
      </c>
      <c r="B1768" s="242" t="s">
        <v>14301</v>
      </c>
      <c r="C1768" s="242" t="s">
        <v>14550</v>
      </c>
      <c r="D1768" s="207"/>
      <c r="E1768" s="53">
        <v>216</v>
      </c>
      <c r="F1768" s="207"/>
      <c r="G1768" s="207"/>
      <c r="H1768" s="207"/>
      <c r="I1768" s="207" t="s">
        <v>12545</v>
      </c>
      <c r="J1768" s="66" t="s">
        <v>12549</v>
      </c>
      <c r="K1768" s="243">
        <v>43300</v>
      </c>
      <c r="L1768" s="66" t="s">
        <v>20908</v>
      </c>
      <c r="M1768" s="201" t="s">
        <v>12550</v>
      </c>
      <c r="N1768" s="207"/>
      <c r="O1768" s="38" t="s">
        <v>20910</v>
      </c>
    </row>
    <row r="1769" spans="1:15" ht="84" customHeight="1" x14ac:dyDescent="0.3">
      <c r="A1769" s="245">
        <v>1749</v>
      </c>
      <c r="B1769" s="242" t="s">
        <v>14302</v>
      </c>
      <c r="C1769" s="242" t="s">
        <v>14536</v>
      </c>
      <c r="D1769" s="207"/>
      <c r="E1769" s="53">
        <v>1130</v>
      </c>
      <c r="F1769" s="207"/>
      <c r="G1769" s="207"/>
      <c r="H1769" s="207"/>
      <c r="I1769" s="207" t="s">
        <v>12545</v>
      </c>
      <c r="J1769" s="66" t="s">
        <v>12549</v>
      </c>
      <c r="K1769" s="243">
        <v>43300</v>
      </c>
      <c r="L1769" s="66" t="s">
        <v>20908</v>
      </c>
      <c r="M1769" s="201" t="s">
        <v>12550</v>
      </c>
      <c r="N1769" s="207"/>
      <c r="O1769" s="38" t="s">
        <v>20910</v>
      </c>
    </row>
    <row r="1770" spans="1:15" ht="84" customHeight="1" x14ac:dyDescent="0.3">
      <c r="A1770" s="245">
        <v>1750</v>
      </c>
      <c r="B1770" s="242" t="s">
        <v>14303</v>
      </c>
      <c r="C1770" s="242" t="s">
        <v>14536</v>
      </c>
      <c r="D1770" s="207"/>
      <c r="E1770" s="53">
        <v>120</v>
      </c>
      <c r="F1770" s="207"/>
      <c r="G1770" s="207"/>
      <c r="H1770" s="207"/>
      <c r="I1770" s="207" t="s">
        <v>12545</v>
      </c>
      <c r="J1770" s="66" t="s">
        <v>12549</v>
      </c>
      <c r="K1770" s="243">
        <v>43300</v>
      </c>
      <c r="L1770" s="66" t="s">
        <v>20908</v>
      </c>
      <c r="M1770" s="201" t="s">
        <v>12550</v>
      </c>
      <c r="N1770" s="207"/>
      <c r="O1770" s="38" t="s">
        <v>20910</v>
      </c>
    </row>
    <row r="1771" spans="1:15" ht="108" customHeight="1" x14ac:dyDescent="0.3">
      <c r="A1771" s="245">
        <v>1751</v>
      </c>
      <c r="B1771" s="242" t="s">
        <v>14304</v>
      </c>
      <c r="C1771" s="242" t="s">
        <v>14551</v>
      </c>
      <c r="D1771" s="207"/>
      <c r="E1771" s="53">
        <v>270</v>
      </c>
      <c r="F1771" s="207"/>
      <c r="G1771" s="207"/>
      <c r="H1771" s="207"/>
      <c r="I1771" s="207" t="s">
        <v>12545</v>
      </c>
      <c r="J1771" s="66" t="s">
        <v>12549</v>
      </c>
      <c r="K1771" s="243">
        <v>43300</v>
      </c>
      <c r="L1771" s="66" t="s">
        <v>20908</v>
      </c>
      <c r="M1771" s="201" t="s">
        <v>12550</v>
      </c>
      <c r="N1771" s="207"/>
      <c r="O1771" s="38" t="s">
        <v>20910</v>
      </c>
    </row>
    <row r="1772" spans="1:15" ht="108" customHeight="1" x14ac:dyDescent="0.3">
      <c r="A1772" s="245">
        <v>1752</v>
      </c>
      <c r="B1772" s="242" t="s">
        <v>14305</v>
      </c>
      <c r="C1772" s="242" t="s">
        <v>14552</v>
      </c>
      <c r="D1772" s="207"/>
      <c r="E1772" s="53">
        <v>10000</v>
      </c>
      <c r="F1772" s="207"/>
      <c r="G1772" s="207"/>
      <c r="H1772" s="207"/>
      <c r="I1772" s="207" t="s">
        <v>12545</v>
      </c>
      <c r="J1772" s="66" t="s">
        <v>12549</v>
      </c>
      <c r="K1772" s="243">
        <v>43300</v>
      </c>
      <c r="L1772" s="66" t="s">
        <v>20908</v>
      </c>
      <c r="M1772" s="201" t="s">
        <v>12550</v>
      </c>
      <c r="N1772" s="207"/>
      <c r="O1772" s="38" t="s">
        <v>20910</v>
      </c>
    </row>
    <row r="1773" spans="1:15" ht="108" customHeight="1" x14ac:dyDescent="0.3">
      <c r="A1773" s="245">
        <v>1753</v>
      </c>
      <c r="B1773" s="242" t="s">
        <v>14306</v>
      </c>
      <c r="C1773" s="242" t="s">
        <v>14553</v>
      </c>
      <c r="D1773" s="207"/>
      <c r="E1773" s="53">
        <v>640</v>
      </c>
      <c r="F1773" s="207"/>
      <c r="G1773" s="207"/>
      <c r="H1773" s="207"/>
      <c r="I1773" s="207" t="s">
        <v>12545</v>
      </c>
      <c r="J1773" s="66" t="s">
        <v>12549</v>
      </c>
      <c r="K1773" s="243">
        <v>43300</v>
      </c>
      <c r="L1773" s="66" t="s">
        <v>20908</v>
      </c>
      <c r="M1773" s="201" t="s">
        <v>12550</v>
      </c>
      <c r="N1773" s="207"/>
      <c r="O1773" s="38" t="s">
        <v>20910</v>
      </c>
    </row>
    <row r="1774" spans="1:15" ht="228" customHeight="1" x14ac:dyDescent="0.3">
      <c r="A1774" s="245">
        <v>1754</v>
      </c>
      <c r="B1774" s="242" t="s">
        <v>20136</v>
      </c>
      <c r="C1774" s="242" t="s">
        <v>19517</v>
      </c>
      <c r="D1774" s="85" t="s">
        <v>19516</v>
      </c>
      <c r="E1774" s="53">
        <v>5140</v>
      </c>
      <c r="F1774" s="25">
        <v>5436533.6600000001</v>
      </c>
      <c r="G1774" s="25">
        <v>181217.76</v>
      </c>
      <c r="H1774" s="25"/>
      <c r="I1774" s="207" t="s">
        <v>12545</v>
      </c>
      <c r="J1774" s="66" t="s">
        <v>19518</v>
      </c>
      <c r="K1774" s="207"/>
      <c r="L1774" s="66"/>
      <c r="M1774" s="29" t="s">
        <v>13904</v>
      </c>
      <c r="N1774" s="245" t="s">
        <v>20897</v>
      </c>
      <c r="O1774" s="38" t="s">
        <v>20464</v>
      </c>
    </row>
    <row r="1775" spans="1:15" ht="120" customHeight="1" x14ac:dyDescent="0.3">
      <c r="A1775" s="245">
        <v>1755</v>
      </c>
      <c r="B1775" s="242" t="s">
        <v>14307</v>
      </c>
      <c r="C1775" s="242" t="s">
        <v>14554</v>
      </c>
      <c r="D1775" s="207"/>
      <c r="E1775" s="53">
        <v>6000</v>
      </c>
      <c r="F1775" s="207"/>
      <c r="G1775" s="207"/>
      <c r="H1775" s="207"/>
      <c r="I1775" s="207" t="s">
        <v>12545</v>
      </c>
      <c r="J1775" s="66" t="s">
        <v>12549</v>
      </c>
      <c r="K1775" s="243">
        <v>43300</v>
      </c>
      <c r="L1775" s="66" t="s">
        <v>20908</v>
      </c>
      <c r="M1775" s="201" t="s">
        <v>12550</v>
      </c>
      <c r="N1775" s="207"/>
      <c r="O1775" s="38" t="s">
        <v>20910</v>
      </c>
    </row>
    <row r="1776" spans="1:15" ht="72" customHeight="1" x14ac:dyDescent="0.3">
      <c r="A1776" s="245">
        <v>1756</v>
      </c>
      <c r="B1776" s="242" t="s">
        <v>14351</v>
      </c>
      <c r="C1776" s="242" t="s">
        <v>14555</v>
      </c>
      <c r="D1776" s="85" t="s">
        <v>15678</v>
      </c>
      <c r="E1776" s="207">
        <v>107.1</v>
      </c>
      <c r="F1776" s="244">
        <v>1534732.57</v>
      </c>
      <c r="G1776" s="244">
        <v>432286.37</v>
      </c>
      <c r="H1776" s="25"/>
      <c r="I1776" s="207" t="s">
        <v>12545</v>
      </c>
      <c r="J1776" s="66" t="s">
        <v>15679</v>
      </c>
      <c r="K1776" s="207"/>
      <c r="L1776" s="66"/>
      <c r="M1776" s="201" t="s">
        <v>12550</v>
      </c>
      <c r="N1776" s="207"/>
      <c r="O1776" s="38"/>
    </row>
    <row r="1777" spans="1:15" ht="166.95" customHeight="1" x14ac:dyDescent="0.3">
      <c r="A1777" s="245">
        <v>1757</v>
      </c>
      <c r="B1777" s="242" t="s">
        <v>23289</v>
      </c>
      <c r="C1777" s="242" t="s">
        <v>23291</v>
      </c>
      <c r="D1777" s="85" t="s">
        <v>23290</v>
      </c>
      <c r="E1777" s="207">
        <v>93.8</v>
      </c>
      <c r="F1777" s="244">
        <v>493108</v>
      </c>
      <c r="G1777" s="244"/>
      <c r="H1777" s="292">
        <v>1908742.39</v>
      </c>
      <c r="I1777" s="207" t="s">
        <v>23292</v>
      </c>
      <c r="J1777" s="66" t="s">
        <v>23293</v>
      </c>
      <c r="K1777" s="243"/>
      <c r="L1777" s="66"/>
      <c r="M1777" s="201" t="s">
        <v>12550</v>
      </c>
      <c r="N1777" s="245" t="s">
        <v>23294</v>
      </c>
      <c r="O1777" s="38" t="s">
        <v>17869</v>
      </c>
    </row>
    <row r="1778" spans="1:15" ht="72" customHeight="1" x14ac:dyDescent="0.3">
      <c r="A1778" s="245">
        <v>1759</v>
      </c>
      <c r="B1778" s="242" t="s">
        <v>14308</v>
      </c>
      <c r="C1778" s="242" t="s">
        <v>14556</v>
      </c>
      <c r="D1778" s="207"/>
      <c r="E1778" s="207"/>
      <c r="F1778" s="244">
        <v>129710.1</v>
      </c>
      <c r="G1778" s="244">
        <v>129710.1</v>
      </c>
      <c r="H1778" s="207"/>
      <c r="I1778" s="207" t="s">
        <v>12545</v>
      </c>
      <c r="J1778" s="66" t="s">
        <v>12549</v>
      </c>
      <c r="K1778" s="207"/>
      <c r="L1778" s="66"/>
      <c r="M1778" s="201" t="s">
        <v>12550</v>
      </c>
      <c r="N1778" s="207"/>
      <c r="O1778" s="38"/>
    </row>
    <row r="1779" spans="1:15" ht="72" customHeight="1" x14ac:dyDescent="0.3">
      <c r="A1779" s="245">
        <v>1760</v>
      </c>
      <c r="B1779" s="242" t="s">
        <v>14309</v>
      </c>
      <c r="C1779" s="242" t="s">
        <v>14557</v>
      </c>
      <c r="D1779" s="85" t="s">
        <v>20933</v>
      </c>
      <c r="E1779" s="207">
        <v>119</v>
      </c>
      <c r="F1779" s="244">
        <v>353000</v>
      </c>
      <c r="G1779" s="244">
        <v>23723</v>
      </c>
      <c r="H1779" s="25"/>
      <c r="I1779" s="207" t="s">
        <v>12545</v>
      </c>
      <c r="J1779" s="66" t="s">
        <v>15680</v>
      </c>
      <c r="K1779" s="207"/>
      <c r="L1779" s="66"/>
      <c r="M1779" s="201" t="s">
        <v>12550</v>
      </c>
      <c r="N1779" s="207"/>
      <c r="O1779" s="38"/>
    </row>
    <row r="1780" spans="1:15" ht="251.4" customHeight="1" x14ac:dyDescent="0.3">
      <c r="A1780" s="245">
        <v>1762</v>
      </c>
      <c r="B1780" s="53" t="s">
        <v>14558</v>
      </c>
      <c r="C1780" s="53" t="s">
        <v>14559</v>
      </c>
      <c r="D1780" s="85" t="s">
        <v>15676</v>
      </c>
      <c r="E1780" s="157">
        <v>480.2</v>
      </c>
      <c r="F1780" s="207">
        <v>1194420.19</v>
      </c>
      <c r="G1780" s="207">
        <v>442263.61</v>
      </c>
      <c r="H1780" s="25"/>
      <c r="I1780" s="207" t="s">
        <v>12545</v>
      </c>
      <c r="J1780" s="66" t="s">
        <v>15677</v>
      </c>
      <c r="K1780" s="207"/>
      <c r="L1780" s="66"/>
      <c r="M1780" s="201" t="s">
        <v>12550</v>
      </c>
      <c r="N1780" s="245" t="s">
        <v>22953</v>
      </c>
      <c r="O1780" s="38"/>
    </row>
    <row r="1781" spans="1:15" ht="72" customHeight="1" x14ac:dyDescent="0.3">
      <c r="A1781" s="245">
        <v>1763</v>
      </c>
      <c r="B1781" s="53" t="s">
        <v>14310</v>
      </c>
      <c r="C1781" s="53" t="s">
        <v>14560</v>
      </c>
      <c r="D1781" s="85" t="s">
        <v>14312</v>
      </c>
      <c r="E1781" s="157">
        <v>78.400000000000006</v>
      </c>
      <c r="F1781" s="207">
        <v>29794.06</v>
      </c>
      <c r="G1781" s="207">
        <v>15585.42</v>
      </c>
      <c r="H1781" s="25"/>
      <c r="I1781" s="207" t="s">
        <v>12545</v>
      </c>
      <c r="J1781" s="66" t="s">
        <v>15670</v>
      </c>
      <c r="K1781" s="207"/>
      <c r="L1781" s="66"/>
      <c r="M1781" s="201" t="s">
        <v>12550</v>
      </c>
      <c r="N1781" s="207"/>
      <c r="O1781" s="38"/>
    </row>
    <row r="1782" spans="1:15" ht="72" customHeight="1" x14ac:dyDescent="0.3">
      <c r="A1782" s="245">
        <v>1764</v>
      </c>
      <c r="B1782" s="53" t="s">
        <v>14311</v>
      </c>
      <c r="C1782" s="53" t="s">
        <v>15043</v>
      </c>
      <c r="D1782" s="85" t="s">
        <v>14313</v>
      </c>
      <c r="E1782" s="157">
        <v>36</v>
      </c>
      <c r="F1782" s="207">
        <v>91328.74</v>
      </c>
      <c r="G1782" s="207">
        <v>88986.42</v>
      </c>
      <c r="H1782" s="25"/>
      <c r="I1782" s="207" t="s">
        <v>12545</v>
      </c>
      <c r="J1782" s="66" t="s">
        <v>15669</v>
      </c>
      <c r="K1782" s="207"/>
      <c r="L1782" s="66"/>
      <c r="M1782" s="201" t="s">
        <v>12550</v>
      </c>
      <c r="N1782" s="207"/>
      <c r="O1782" s="38"/>
    </row>
    <row r="1783" spans="1:15" ht="96" customHeight="1" x14ac:dyDescent="0.3">
      <c r="A1783" s="245">
        <v>1765</v>
      </c>
      <c r="B1783" s="32" t="s">
        <v>14314</v>
      </c>
      <c r="C1783" s="32" t="s">
        <v>15673</v>
      </c>
      <c r="D1783" s="85" t="s">
        <v>15674</v>
      </c>
      <c r="E1783" s="242">
        <v>196.9</v>
      </c>
      <c r="F1783" s="244">
        <v>1362264.94</v>
      </c>
      <c r="G1783" s="207"/>
      <c r="H1783" s="25"/>
      <c r="I1783" s="207" t="s">
        <v>12545</v>
      </c>
      <c r="J1783" s="66" t="s">
        <v>15675</v>
      </c>
      <c r="K1783" s="207"/>
      <c r="L1783" s="66"/>
      <c r="M1783" s="242" t="s">
        <v>14091</v>
      </c>
      <c r="N1783" s="245" t="s">
        <v>18739</v>
      </c>
      <c r="O1783" s="38"/>
    </row>
    <row r="1784" spans="1:15" ht="192" customHeight="1" x14ac:dyDescent="0.3">
      <c r="A1784" s="245">
        <v>1766</v>
      </c>
      <c r="B1784" s="32" t="s">
        <v>14315</v>
      </c>
      <c r="C1784" s="32" t="s">
        <v>18690</v>
      </c>
      <c r="D1784" s="85" t="s">
        <v>15671</v>
      </c>
      <c r="E1784" s="242">
        <v>1009.6</v>
      </c>
      <c r="F1784" s="244">
        <v>2277254</v>
      </c>
      <c r="G1784" s="207"/>
      <c r="H1784" s="25"/>
      <c r="I1784" s="207" t="s">
        <v>12545</v>
      </c>
      <c r="J1784" s="66" t="s">
        <v>15672</v>
      </c>
      <c r="K1784" s="207"/>
      <c r="L1784" s="66"/>
      <c r="M1784" s="201" t="s">
        <v>12550</v>
      </c>
      <c r="N1784" s="245" t="s">
        <v>18691</v>
      </c>
      <c r="O1784" s="38"/>
    </row>
    <row r="1785" spans="1:15" ht="72" customHeight="1" x14ac:dyDescent="0.3">
      <c r="A1785" s="245">
        <v>1767</v>
      </c>
      <c r="B1785" s="32" t="s">
        <v>14446</v>
      </c>
      <c r="C1785" s="32" t="s">
        <v>14448</v>
      </c>
      <c r="D1785" s="85" t="s">
        <v>14450</v>
      </c>
      <c r="E1785" s="242">
        <v>7500</v>
      </c>
      <c r="F1785" s="289">
        <v>30300</v>
      </c>
      <c r="G1785" s="207"/>
      <c r="H1785" s="92">
        <v>30300</v>
      </c>
      <c r="I1785" s="207" t="s">
        <v>12545</v>
      </c>
      <c r="J1785" s="66" t="s">
        <v>19102</v>
      </c>
      <c r="K1785" s="207"/>
      <c r="L1785" s="66"/>
      <c r="M1785" s="200" t="s">
        <v>12550</v>
      </c>
      <c r="N1785" s="207"/>
      <c r="O1785" s="38" t="s">
        <v>12039</v>
      </c>
    </row>
    <row r="1786" spans="1:15" ht="72" customHeight="1" x14ac:dyDescent="0.3">
      <c r="A1786" s="245">
        <v>1768</v>
      </c>
      <c r="B1786" s="32" t="s">
        <v>14446</v>
      </c>
      <c r="C1786" s="32" t="s">
        <v>14447</v>
      </c>
      <c r="D1786" s="85" t="s">
        <v>14449</v>
      </c>
      <c r="E1786" s="242">
        <v>4600</v>
      </c>
      <c r="F1786" s="290">
        <v>18584</v>
      </c>
      <c r="G1786" s="207"/>
      <c r="H1786" s="51">
        <v>18584</v>
      </c>
      <c r="I1786" s="207" t="s">
        <v>12545</v>
      </c>
      <c r="J1786" s="66" t="s">
        <v>19103</v>
      </c>
      <c r="K1786" s="207"/>
      <c r="L1786" s="66"/>
      <c r="M1786" s="200" t="s">
        <v>12550</v>
      </c>
      <c r="N1786" s="207"/>
      <c r="O1786" s="38" t="s">
        <v>12039</v>
      </c>
    </row>
    <row r="1787" spans="1:15" ht="84" customHeight="1" x14ac:dyDescent="0.3">
      <c r="A1787" s="242">
        <v>1769</v>
      </c>
      <c r="B1787" s="242" t="s">
        <v>21048</v>
      </c>
      <c r="C1787" s="242" t="s">
        <v>21297</v>
      </c>
      <c r="D1787" s="85" t="s">
        <v>21156</v>
      </c>
      <c r="E1787" s="207">
        <v>84</v>
      </c>
      <c r="F1787" s="289">
        <v>1006784.17</v>
      </c>
      <c r="G1787" s="244"/>
      <c r="H1787" s="92">
        <v>1104927.6000000001</v>
      </c>
      <c r="I1787" s="243">
        <v>35727</v>
      </c>
      <c r="J1787" s="242" t="s">
        <v>21298</v>
      </c>
      <c r="K1787" s="242"/>
      <c r="L1787" s="66"/>
      <c r="M1787" s="201" t="s">
        <v>12550</v>
      </c>
      <c r="N1787" s="242"/>
      <c r="O1787" s="38" t="s">
        <v>22553</v>
      </c>
    </row>
    <row r="1788" spans="1:15" ht="84" customHeight="1" x14ac:dyDescent="0.3">
      <c r="A1788" s="242">
        <v>1770</v>
      </c>
      <c r="B1788" s="242" t="s">
        <v>14316</v>
      </c>
      <c r="C1788" s="242" t="s">
        <v>19904</v>
      </c>
      <c r="D1788" s="85" t="s">
        <v>21044</v>
      </c>
      <c r="E1788" s="207">
        <v>39.700000000000003</v>
      </c>
      <c r="F1788" s="289">
        <v>484692.5</v>
      </c>
      <c r="G1788" s="244"/>
      <c r="H1788" s="92">
        <v>918184.78</v>
      </c>
      <c r="I1788" s="243">
        <v>35727</v>
      </c>
      <c r="J1788" s="242" t="s">
        <v>21045</v>
      </c>
      <c r="K1788" s="242"/>
      <c r="L1788" s="66"/>
      <c r="M1788" s="201" t="s">
        <v>12550</v>
      </c>
      <c r="N1788" s="242"/>
      <c r="O1788" s="38" t="s">
        <v>22554</v>
      </c>
    </row>
    <row r="1789" spans="1:15" ht="96" customHeight="1" x14ac:dyDescent="0.3">
      <c r="A1789" s="2">
        <v>1771</v>
      </c>
      <c r="B1789" s="108" t="s">
        <v>22695</v>
      </c>
      <c r="C1789" s="108" t="s">
        <v>14561</v>
      </c>
      <c r="D1789" s="108"/>
      <c r="E1789" s="219">
        <v>3070</v>
      </c>
      <c r="F1789" s="291">
        <v>53387.46</v>
      </c>
      <c r="G1789" s="207">
        <v>53387.46</v>
      </c>
      <c r="H1789" s="207"/>
      <c r="I1789" s="207" t="s">
        <v>12545</v>
      </c>
      <c r="J1789" s="66" t="s">
        <v>12549</v>
      </c>
      <c r="K1789" s="207"/>
      <c r="L1789" s="66"/>
      <c r="M1789" s="201" t="s">
        <v>12550</v>
      </c>
      <c r="N1789" s="207"/>
      <c r="O1789" s="38"/>
    </row>
    <row r="1790" spans="1:15" ht="84" customHeight="1" x14ac:dyDescent="0.3">
      <c r="A1790" s="2">
        <v>1772</v>
      </c>
      <c r="B1790" s="108" t="s">
        <v>14317</v>
      </c>
      <c r="C1790" s="108" t="s">
        <v>14562</v>
      </c>
      <c r="D1790" s="108"/>
      <c r="E1790" s="219">
        <v>4440</v>
      </c>
      <c r="F1790" s="25">
        <v>84056.85</v>
      </c>
      <c r="G1790" s="207">
        <v>84056.85</v>
      </c>
      <c r="H1790" s="207"/>
      <c r="I1790" s="207" t="s">
        <v>12545</v>
      </c>
      <c r="J1790" s="66" t="s">
        <v>12549</v>
      </c>
      <c r="K1790" s="207"/>
      <c r="L1790" s="66"/>
      <c r="M1790" s="201" t="s">
        <v>12550</v>
      </c>
      <c r="N1790" s="207"/>
      <c r="O1790" s="38"/>
    </row>
    <row r="1791" spans="1:15" ht="84" customHeight="1" x14ac:dyDescent="0.3">
      <c r="A1791" s="2">
        <v>1773</v>
      </c>
      <c r="B1791" s="108" t="s">
        <v>14318</v>
      </c>
      <c r="C1791" s="108" t="s">
        <v>14070</v>
      </c>
      <c r="D1791" s="108"/>
      <c r="E1791" s="219">
        <v>3030</v>
      </c>
      <c r="F1791" s="25">
        <v>57363.12</v>
      </c>
      <c r="G1791" s="207">
        <v>57363.12</v>
      </c>
      <c r="H1791" s="207"/>
      <c r="I1791" s="207" t="s">
        <v>12545</v>
      </c>
      <c r="J1791" s="66" t="s">
        <v>12549</v>
      </c>
      <c r="K1791" s="207"/>
      <c r="L1791" s="66"/>
      <c r="M1791" s="201" t="s">
        <v>12550</v>
      </c>
      <c r="N1791" s="207"/>
      <c r="O1791" s="38"/>
    </row>
    <row r="1792" spans="1:15" ht="84" customHeight="1" x14ac:dyDescent="0.3">
      <c r="A1792" s="2">
        <v>1774</v>
      </c>
      <c r="B1792" s="108" t="s">
        <v>14318</v>
      </c>
      <c r="C1792" s="108" t="s">
        <v>14070</v>
      </c>
      <c r="D1792" s="108"/>
      <c r="E1792" s="219">
        <v>3030</v>
      </c>
      <c r="F1792" s="25">
        <v>57363.12</v>
      </c>
      <c r="G1792" s="207">
        <v>57363.12</v>
      </c>
      <c r="H1792" s="207"/>
      <c r="I1792" s="207" t="s">
        <v>12545</v>
      </c>
      <c r="J1792" s="66" t="s">
        <v>12549</v>
      </c>
      <c r="K1792" s="207"/>
      <c r="L1792" s="66"/>
      <c r="M1792" s="201" t="s">
        <v>12550</v>
      </c>
      <c r="N1792" s="207"/>
      <c r="O1792" s="38"/>
    </row>
    <row r="1793" spans="1:15" ht="96" customHeight="1" x14ac:dyDescent="0.3">
      <c r="A1793" s="2">
        <v>1775</v>
      </c>
      <c r="B1793" s="108" t="s">
        <v>14319</v>
      </c>
      <c r="C1793" s="108" t="s">
        <v>14563</v>
      </c>
      <c r="D1793" s="108"/>
      <c r="E1793" s="219">
        <v>2430</v>
      </c>
      <c r="F1793" s="25">
        <v>46004.09</v>
      </c>
      <c r="G1793" s="207">
        <v>46004.09</v>
      </c>
      <c r="H1793" s="207"/>
      <c r="I1793" s="207" t="s">
        <v>12545</v>
      </c>
      <c r="J1793" s="66" t="s">
        <v>12549</v>
      </c>
      <c r="K1793" s="207"/>
      <c r="L1793" s="66"/>
      <c r="M1793" s="201" t="s">
        <v>12550</v>
      </c>
      <c r="N1793" s="207"/>
      <c r="O1793" s="38"/>
    </row>
    <row r="1794" spans="1:15" ht="84" customHeight="1" x14ac:dyDescent="0.3">
      <c r="A1794" s="2">
        <v>1776</v>
      </c>
      <c r="B1794" s="108" t="s">
        <v>14320</v>
      </c>
      <c r="C1794" s="108" t="s">
        <v>14564</v>
      </c>
      <c r="D1794" s="108"/>
      <c r="E1794" s="219">
        <v>3003</v>
      </c>
      <c r="F1794" s="25">
        <v>56795.17</v>
      </c>
      <c r="G1794" s="207">
        <v>56795.17</v>
      </c>
      <c r="H1794" s="207"/>
      <c r="I1794" s="207" t="s">
        <v>12545</v>
      </c>
      <c r="J1794" s="66" t="s">
        <v>12549</v>
      </c>
      <c r="K1794" s="207"/>
      <c r="L1794" s="66"/>
      <c r="M1794" s="201" t="s">
        <v>12550</v>
      </c>
      <c r="N1794" s="207"/>
      <c r="O1794" s="38"/>
    </row>
    <row r="1795" spans="1:15" ht="84" customHeight="1" x14ac:dyDescent="0.3">
      <c r="A1795" s="2">
        <v>1777</v>
      </c>
      <c r="B1795" s="108" t="s">
        <v>14321</v>
      </c>
      <c r="C1795" s="108" t="s">
        <v>12852</v>
      </c>
      <c r="D1795" s="108"/>
      <c r="E1795" s="219">
        <v>3000</v>
      </c>
      <c r="F1795" s="25">
        <v>56795.17</v>
      </c>
      <c r="G1795" s="207">
        <v>56795.17</v>
      </c>
      <c r="H1795" s="207"/>
      <c r="I1795" s="207" t="s">
        <v>12545</v>
      </c>
      <c r="J1795" s="66" t="s">
        <v>12549</v>
      </c>
      <c r="K1795" s="207"/>
      <c r="L1795" s="66"/>
      <c r="M1795" s="201" t="s">
        <v>12550</v>
      </c>
      <c r="N1795" s="207"/>
      <c r="O1795" s="38"/>
    </row>
    <row r="1796" spans="1:15" ht="84" customHeight="1" x14ac:dyDescent="0.3">
      <c r="A1796" s="2">
        <v>1778</v>
      </c>
      <c r="B1796" s="108" t="s">
        <v>14322</v>
      </c>
      <c r="C1796" s="108" t="s">
        <v>14565</v>
      </c>
      <c r="D1796" s="108"/>
      <c r="E1796" s="219">
        <v>8400</v>
      </c>
      <c r="F1796" s="25">
        <v>159026.48000000001</v>
      </c>
      <c r="G1796" s="207">
        <v>159026.48000000001</v>
      </c>
      <c r="H1796" s="207"/>
      <c r="I1796" s="207" t="s">
        <v>12545</v>
      </c>
      <c r="J1796" s="66" t="s">
        <v>12549</v>
      </c>
      <c r="K1796" s="207"/>
      <c r="L1796" s="66"/>
      <c r="M1796" s="201" t="s">
        <v>12550</v>
      </c>
      <c r="N1796" s="207"/>
      <c r="O1796" s="38"/>
    </row>
    <row r="1797" spans="1:15" ht="84" customHeight="1" x14ac:dyDescent="0.3">
      <c r="A1797" s="2">
        <v>1779</v>
      </c>
      <c r="B1797" s="108" t="s">
        <v>21043</v>
      </c>
      <c r="C1797" s="108" t="s">
        <v>12853</v>
      </c>
      <c r="D1797" s="108"/>
      <c r="E1797" s="219">
        <v>9000</v>
      </c>
      <c r="F1797" s="25">
        <v>170385.51</v>
      </c>
      <c r="G1797" s="207">
        <v>170385.51</v>
      </c>
      <c r="H1797" s="207"/>
      <c r="I1797" s="207" t="s">
        <v>12545</v>
      </c>
      <c r="J1797" s="66" t="s">
        <v>12549</v>
      </c>
      <c r="K1797" s="207"/>
      <c r="L1797" s="66"/>
      <c r="M1797" s="201" t="s">
        <v>12550</v>
      </c>
      <c r="N1797" s="207"/>
      <c r="O1797" s="38"/>
    </row>
    <row r="1798" spans="1:15" ht="84" customHeight="1" x14ac:dyDescent="0.3">
      <c r="A1798" s="2">
        <v>1780</v>
      </c>
      <c r="B1798" s="108" t="s">
        <v>14323</v>
      </c>
      <c r="C1798" s="108" t="s">
        <v>14566</v>
      </c>
      <c r="D1798" s="108"/>
      <c r="E1798" s="219">
        <v>18253</v>
      </c>
      <c r="F1798" s="25">
        <v>397566.19</v>
      </c>
      <c r="G1798" s="207">
        <v>397566.19</v>
      </c>
      <c r="H1798" s="207"/>
      <c r="I1798" s="207" t="s">
        <v>12545</v>
      </c>
      <c r="J1798" s="66" t="s">
        <v>12549</v>
      </c>
      <c r="K1798" s="207"/>
      <c r="L1798" s="66"/>
      <c r="M1798" s="201" t="s">
        <v>12550</v>
      </c>
      <c r="N1798" s="207"/>
      <c r="O1798" s="38"/>
    </row>
    <row r="1799" spans="1:15" ht="84" customHeight="1" x14ac:dyDescent="0.3">
      <c r="A1799" s="2">
        <v>1781</v>
      </c>
      <c r="B1799" s="108" t="s">
        <v>14324</v>
      </c>
      <c r="C1799" s="108" t="s">
        <v>14567</v>
      </c>
      <c r="D1799" s="108"/>
      <c r="E1799" s="219">
        <v>7336</v>
      </c>
      <c r="F1799" s="25">
        <v>136308.41</v>
      </c>
      <c r="G1799" s="207">
        <v>136308.41</v>
      </c>
      <c r="H1799" s="207"/>
      <c r="I1799" s="207" t="s">
        <v>12545</v>
      </c>
      <c r="J1799" s="66" t="s">
        <v>12549</v>
      </c>
      <c r="K1799" s="207"/>
      <c r="L1799" s="66"/>
      <c r="M1799" s="201" t="s">
        <v>12550</v>
      </c>
      <c r="N1799" s="207"/>
      <c r="O1799" s="38"/>
    </row>
    <row r="1800" spans="1:15" ht="102.6" customHeight="1" x14ac:dyDescent="0.3">
      <c r="A1800" s="2">
        <v>1782</v>
      </c>
      <c r="B1800" s="108" t="s">
        <v>23521</v>
      </c>
      <c r="C1800" s="108" t="s">
        <v>14568</v>
      </c>
      <c r="D1800" s="108"/>
      <c r="E1800" s="219">
        <v>3210</v>
      </c>
      <c r="F1800" s="25">
        <v>60770.83</v>
      </c>
      <c r="G1800" s="207">
        <v>60770.83</v>
      </c>
      <c r="H1800" s="207"/>
      <c r="I1800" s="207" t="s">
        <v>12545</v>
      </c>
      <c r="J1800" s="66" t="s">
        <v>12549</v>
      </c>
      <c r="K1800" s="207"/>
      <c r="L1800" s="66"/>
      <c r="M1800" s="201" t="s">
        <v>12550</v>
      </c>
      <c r="N1800" s="207"/>
      <c r="O1800" s="38" t="s">
        <v>23856</v>
      </c>
    </row>
    <row r="1801" spans="1:15" ht="84" customHeight="1" x14ac:dyDescent="0.3">
      <c r="A1801" s="2">
        <v>1783</v>
      </c>
      <c r="B1801" s="108" t="s">
        <v>14325</v>
      </c>
      <c r="C1801" s="108" t="s">
        <v>14569</v>
      </c>
      <c r="D1801" s="108"/>
      <c r="E1801" s="219">
        <v>390</v>
      </c>
      <c r="F1801" s="25">
        <v>7383.37</v>
      </c>
      <c r="G1801" s="207">
        <v>7383.37</v>
      </c>
      <c r="H1801" s="207"/>
      <c r="I1801" s="207" t="s">
        <v>12545</v>
      </c>
      <c r="J1801" s="66" t="s">
        <v>12549</v>
      </c>
      <c r="K1801" s="207"/>
      <c r="L1801" s="66"/>
      <c r="M1801" s="201" t="s">
        <v>12550</v>
      </c>
      <c r="N1801" s="207"/>
      <c r="O1801" s="38"/>
    </row>
    <row r="1802" spans="1:15" ht="84" customHeight="1" x14ac:dyDescent="0.3">
      <c r="A1802" s="2">
        <v>1784</v>
      </c>
      <c r="B1802" s="108" t="s">
        <v>14326</v>
      </c>
      <c r="C1802" s="108" t="s">
        <v>14570</v>
      </c>
      <c r="D1802" s="108"/>
      <c r="E1802" s="219">
        <v>1710</v>
      </c>
      <c r="F1802" s="25">
        <v>32373.25</v>
      </c>
      <c r="G1802" s="207">
        <v>32373.25</v>
      </c>
      <c r="H1802" s="207"/>
      <c r="I1802" s="207" t="s">
        <v>12545</v>
      </c>
      <c r="J1802" s="66" t="s">
        <v>12549</v>
      </c>
      <c r="K1802" s="207"/>
      <c r="L1802" s="66"/>
      <c r="M1802" s="201" t="s">
        <v>12550</v>
      </c>
      <c r="N1802" s="207"/>
      <c r="O1802" s="38"/>
    </row>
    <row r="1803" spans="1:15" ht="84" customHeight="1" x14ac:dyDescent="0.3">
      <c r="A1803" s="2">
        <v>1785</v>
      </c>
      <c r="B1803" s="108" t="s">
        <v>14327</v>
      </c>
      <c r="C1803" s="108" t="s">
        <v>14571</v>
      </c>
      <c r="D1803" s="108"/>
      <c r="E1803" s="219">
        <v>1071</v>
      </c>
      <c r="F1803" s="25">
        <v>17038.55</v>
      </c>
      <c r="G1803" s="207">
        <v>17038.55</v>
      </c>
      <c r="H1803" s="207"/>
      <c r="I1803" s="207" t="s">
        <v>12545</v>
      </c>
      <c r="J1803" s="66" t="s">
        <v>12549</v>
      </c>
      <c r="K1803" s="207"/>
      <c r="L1803" s="66"/>
      <c r="M1803" s="201" t="s">
        <v>12550</v>
      </c>
      <c r="N1803" s="207"/>
      <c r="O1803" s="38"/>
    </row>
    <row r="1804" spans="1:15" ht="84" customHeight="1" x14ac:dyDescent="0.3">
      <c r="A1804" s="2">
        <v>1786</v>
      </c>
      <c r="B1804" s="108" t="s">
        <v>14328</v>
      </c>
      <c r="C1804" s="108" t="s">
        <v>14572</v>
      </c>
      <c r="D1804" s="108"/>
      <c r="E1804" s="219">
        <v>1271</v>
      </c>
      <c r="F1804" s="25">
        <v>19423.95</v>
      </c>
      <c r="G1804" s="207">
        <v>19423.95</v>
      </c>
      <c r="H1804" s="207"/>
      <c r="I1804" s="207" t="s">
        <v>12545</v>
      </c>
      <c r="J1804" s="66" t="s">
        <v>12549</v>
      </c>
      <c r="K1804" s="207"/>
      <c r="L1804" s="66"/>
      <c r="M1804" s="201" t="s">
        <v>12550</v>
      </c>
      <c r="N1804" s="207"/>
      <c r="O1804" s="38"/>
    </row>
    <row r="1805" spans="1:15" ht="84" customHeight="1" x14ac:dyDescent="0.3">
      <c r="A1805" s="2">
        <v>1787</v>
      </c>
      <c r="B1805" s="108" t="s">
        <v>14329</v>
      </c>
      <c r="C1805" s="108" t="s">
        <v>14573</v>
      </c>
      <c r="D1805" s="108"/>
      <c r="E1805" s="219">
        <v>2310</v>
      </c>
      <c r="F1805" s="25">
        <v>43732.28</v>
      </c>
      <c r="G1805" s="207">
        <v>43732.28</v>
      </c>
      <c r="H1805" s="207"/>
      <c r="I1805" s="207" t="s">
        <v>12545</v>
      </c>
      <c r="J1805" s="66" t="s">
        <v>12549</v>
      </c>
      <c r="K1805" s="207"/>
      <c r="L1805" s="66"/>
      <c r="M1805" s="201" t="s">
        <v>12550</v>
      </c>
      <c r="N1805" s="207"/>
      <c r="O1805" s="38"/>
    </row>
    <row r="1806" spans="1:15" ht="111" customHeight="1" x14ac:dyDescent="0.3">
      <c r="A1806" s="242">
        <v>1788</v>
      </c>
      <c r="B1806" s="108" t="s">
        <v>23522</v>
      </c>
      <c r="C1806" s="108" t="s">
        <v>14568</v>
      </c>
      <c r="D1806" s="256" t="s">
        <v>17234</v>
      </c>
      <c r="E1806" s="219">
        <v>1987</v>
      </c>
      <c r="F1806" s="25">
        <v>274813.88</v>
      </c>
      <c r="G1806" s="207">
        <v>195941.99</v>
      </c>
      <c r="H1806" s="25"/>
      <c r="I1806" s="207" t="s">
        <v>12545</v>
      </c>
      <c r="J1806" s="66" t="s">
        <v>19055</v>
      </c>
      <c r="K1806" s="207"/>
      <c r="L1806" s="66"/>
      <c r="M1806" s="201" t="s">
        <v>12550</v>
      </c>
      <c r="N1806" s="207"/>
      <c r="O1806" s="38" t="s">
        <v>23856</v>
      </c>
    </row>
    <row r="1807" spans="1:15" ht="100.95" customHeight="1" x14ac:dyDescent="0.3">
      <c r="A1807" s="242">
        <v>1789</v>
      </c>
      <c r="B1807" s="108" t="s">
        <v>23523</v>
      </c>
      <c r="C1807" s="108" t="s">
        <v>14569</v>
      </c>
      <c r="D1807" s="256" t="s">
        <v>17235</v>
      </c>
      <c r="E1807" s="219">
        <v>1553</v>
      </c>
      <c r="F1807" s="25">
        <v>214698.34</v>
      </c>
      <c r="G1807" s="207">
        <v>153079.67999999999</v>
      </c>
      <c r="H1807" s="25"/>
      <c r="I1807" s="207" t="s">
        <v>12545</v>
      </c>
      <c r="J1807" s="66" t="s">
        <v>19054</v>
      </c>
      <c r="K1807" s="207"/>
      <c r="L1807" s="66"/>
      <c r="M1807" s="201" t="s">
        <v>12550</v>
      </c>
      <c r="N1807" s="207"/>
      <c r="O1807" s="38" t="s">
        <v>23856</v>
      </c>
    </row>
    <row r="1808" spans="1:15" ht="96" x14ac:dyDescent="0.3">
      <c r="A1808" s="242">
        <v>1790</v>
      </c>
      <c r="B1808" s="108" t="s">
        <v>23524</v>
      </c>
      <c r="C1808" s="108" t="s">
        <v>14574</v>
      </c>
      <c r="D1808" s="256" t="s">
        <v>19075</v>
      </c>
      <c r="E1808" s="219">
        <v>2860</v>
      </c>
      <c r="F1808" s="25">
        <f>403126.39/6304*E1808</f>
        <v>182890.46246827411</v>
      </c>
      <c r="G1808" s="207">
        <f>306159.35/6304*E1808</f>
        <v>138898.43607233503</v>
      </c>
      <c r="H1808" s="25"/>
      <c r="I1808" s="207" t="s">
        <v>12545</v>
      </c>
      <c r="J1808" s="66" t="s">
        <v>16060</v>
      </c>
      <c r="K1808" s="207"/>
      <c r="L1808" s="66"/>
      <c r="M1808" s="201" t="s">
        <v>12550</v>
      </c>
      <c r="N1808" s="207"/>
      <c r="O1808" s="38" t="s">
        <v>23856</v>
      </c>
    </row>
    <row r="1809" spans="1:15" ht="96" x14ac:dyDescent="0.3">
      <c r="A1809" s="242">
        <v>1791</v>
      </c>
      <c r="B1809" s="108" t="s">
        <v>23525</v>
      </c>
      <c r="C1809" s="108" t="s">
        <v>14571</v>
      </c>
      <c r="D1809" s="256" t="s">
        <v>22543</v>
      </c>
      <c r="E1809" s="219">
        <v>12500</v>
      </c>
      <c r="F1809" s="25">
        <v>1173934.57</v>
      </c>
      <c r="G1809" s="207">
        <v>576498.07999999996</v>
      </c>
      <c r="H1809" s="25"/>
      <c r="I1809" s="207" t="s">
        <v>12545</v>
      </c>
      <c r="J1809" s="66" t="s">
        <v>16063</v>
      </c>
      <c r="K1809" s="207"/>
      <c r="L1809" s="66"/>
      <c r="M1809" s="201" t="s">
        <v>12550</v>
      </c>
      <c r="N1809" s="207"/>
      <c r="O1809" s="38" t="s">
        <v>23856</v>
      </c>
    </row>
    <row r="1810" spans="1:15" ht="84" customHeight="1" x14ac:dyDescent="0.3">
      <c r="A1810" s="2">
        <v>1792</v>
      </c>
      <c r="B1810" s="108" t="s">
        <v>14330</v>
      </c>
      <c r="C1810" s="108" t="s">
        <v>14563</v>
      </c>
      <c r="D1810" s="108"/>
      <c r="E1810" s="219">
        <v>1200</v>
      </c>
      <c r="F1810" s="25">
        <v>137406.94</v>
      </c>
      <c r="G1810" s="207">
        <v>97970.99</v>
      </c>
      <c r="H1810" s="207"/>
      <c r="I1810" s="207" t="s">
        <v>12545</v>
      </c>
      <c r="J1810" s="66" t="s">
        <v>12549</v>
      </c>
      <c r="K1810" s="207"/>
      <c r="L1810" s="66"/>
      <c r="M1810" s="201" t="s">
        <v>12550</v>
      </c>
      <c r="N1810" s="207"/>
      <c r="O1810" s="38"/>
    </row>
    <row r="1811" spans="1:15" ht="119.4" customHeight="1" x14ac:dyDescent="0.3">
      <c r="A1811" s="68">
        <v>1793</v>
      </c>
      <c r="B1811" s="303" t="s">
        <v>23526</v>
      </c>
      <c r="C1811" s="303" t="s">
        <v>12852</v>
      </c>
      <c r="D1811" s="303"/>
      <c r="E1811" s="304">
        <v>23400</v>
      </c>
      <c r="F1811" s="167">
        <v>2511970.59</v>
      </c>
      <c r="G1811" s="69">
        <v>1791032.25</v>
      </c>
      <c r="H1811" s="69"/>
      <c r="I1811" s="69" t="s">
        <v>12545</v>
      </c>
      <c r="J1811" s="70" t="s">
        <v>12549</v>
      </c>
      <c r="K1811" s="69"/>
      <c r="L1811" s="70"/>
      <c r="M1811" s="231" t="s">
        <v>12550</v>
      </c>
      <c r="N1811" s="69"/>
      <c r="O1811" s="38"/>
    </row>
    <row r="1812" spans="1:15" ht="119.4" customHeight="1" x14ac:dyDescent="0.3">
      <c r="A1812" s="105" t="s">
        <v>23527</v>
      </c>
      <c r="B1812" s="105" t="s">
        <v>23528</v>
      </c>
      <c r="C1812" s="105" t="s">
        <v>12852</v>
      </c>
      <c r="D1812" s="152"/>
      <c r="E1812" s="105">
        <v>15520</v>
      </c>
      <c r="F1812" s="105"/>
      <c r="G1812" s="105"/>
      <c r="H1812" s="152"/>
      <c r="I1812" s="152" t="s">
        <v>12545</v>
      </c>
      <c r="J1812" s="105" t="s">
        <v>12549</v>
      </c>
      <c r="K1812" s="152"/>
      <c r="L1812" s="105"/>
      <c r="M1812" s="201" t="s">
        <v>12550</v>
      </c>
      <c r="N1812" s="207"/>
      <c r="O1812" s="38" t="s">
        <v>23856</v>
      </c>
    </row>
    <row r="1813" spans="1:15" ht="84" customHeight="1" x14ac:dyDescent="0.3">
      <c r="A1813" s="23">
        <v>1794</v>
      </c>
      <c r="B1813" s="271" t="s">
        <v>14331</v>
      </c>
      <c r="C1813" s="271" t="s">
        <v>12853</v>
      </c>
      <c r="D1813" s="271"/>
      <c r="E1813" s="305">
        <v>16000</v>
      </c>
      <c r="F1813" s="293">
        <v>1717586.73</v>
      </c>
      <c r="G1813" s="94">
        <v>1224637.4399999999</v>
      </c>
      <c r="H1813" s="94"/>
      <c r="I1813" s="94" t="s">
        <v>12545</v>
      </c>
      <c r="J1813" s="257" t="s">
        <v>12549</v>
      </c>
      <c r="K1813" s="94"/>
      <c r="L1813" s="257"/>
      <c r="M1813" s="295" t="s">
        <v>12550</v>
      </c>
      <c r="N1813" s="94"/>
      <c r="O1813" s="38"/>
    </row>
    <row r="1814" spans="1:15" ht="84" customHeight="1" x14ac:dyDescent="0.3">
      <c r="A1814" s="2">
        <v>1795</v>
      </c>
      <c r="B1814" s="108" t="s">
        <v>14332</v>
      </c>
      <c r="C1814" s="108" t="s">
        <v>14564</v>
      </c>
      <c r="D1814" s="108"/>
      <c r="E1814" s="219">
        <v>9163</v>
      </c>
      <c r="F1814" s="25">
        <v>966142.54</v>
      </c>
      <c r="G1814" s="207">
        <v>688858.56</v>
      </c>
      <c r="H1814" s="207"/>
      <c r="I1814" s="207" t="s">
        <v>12545</v>
      </c>
      <c r="J1814" s="66" t="s">
        <v>12549</v>
      </c>
      <c r="K1814" s="207"/>
      <c r="L1814" s="66"/>
      <c r="M1814" s="201" t="s">
        <v>12550</v>
      </c>
      <c r="N1814" s="207"/>
      <c r="O1814" s="38"/>
    </row>
    <row r="1815" spans="1:15" ht="84" customHeight="1" x14ac:dyDescent="0.3">
      <c r="A1815" s="242">
        <v>1796</v>
      </c>
      <c r="B1815" s="108" t="s">
        <v>16293</v>
      </c>
      <c r="C1815" s="108" t="s">
        <v>14561</v>
      </c>
      <c r="D1815" s="256" t="s">
        <v>16294</v>
      </c>
      <c r="E1815" s="108">
        <v>2971</v>
      </c>
      <c r="F1815" s="25">
        <v>270519.90999999997</v>
      </c>
      <c r="G1815" s="207">
        <v>192880.4</v>
      </c>
      <c r="H1815" s="25"/>
      <c r="I1815" s="207" t="s">
        <v>12545</v>
      </c>
      <c r="J1815" s="66" t="s">
        <v>19068</v>
      </c>
      <c r="K1815" s="207"/>
      <c r="L1815" s="66"/>
      <c r="M1815" s="201" t="s">
        <v>12550</v>
      </c>
      <c r="N1815" s="207"/>
      <c r="O1815" s="38"/>
    </row>
    <row r="1816" spans="1:15" ht="84" customHeight="1" x14ac:dyDescent="0.3">
      <c r="A1816" s="242">
        <v>1797</v>
      </c>
      <c r="B1816" s="108" t="s">
        <v>16297</v>
      </c>
      <c r="C1816" s="108" t="s">
        <v>14070</v>
      </c>
      <c r="D1816" s="256" t="s">
        <v>16298</v>
      </c>
      <c r="E1816" s="219">
        <v>4000</v>
      </c>
      <c r="F1816" s="25">
        <v>403126.36</v>
      </c>
      <c r="G1816" s="207">
        <v>306159.35999999999</v>
      </c>
      <c r="H1816" s="25"/>
      <c r="I1816" s="207" t="s">
        <v>12545</v>
      </c>
      <c r="J1816" s="66" t="s">
        <v>19067</v>
      </c>
      <c r="K1816" s="207"/>
      <c r="L1816" s="66"/>
      <c r="M1816" s="201" t="s">
        <v>12550</v>
      </c>
      <c r="N1816" s="207"/>
      <c r="O1816" s="38"/>
    </row>
    <row r="1817" spans="1:15" ht="72" customHeight="1" x14ac:dyDescent="0.3">
      <c r="A1817" s="2">
        <v>1798</v>
      </c>
      <c r="B1817" s="108" t="s">
        <v>14339</v>
      </c>
      <c r="C1817" s="108" t="s">
        <v>14070</v>
      </c>
      <c r="D1817" s="108"/>
      <c r="E1817" s="108">
        <v>21877</v>
      </c>
      <c r="F1817" s="207">
        <v>283975.84999999998</v>
      </c>
      <c r="G1817" s="207">
        <v>283975.84999999998</v>
      </c>
      <c r="H1817" s="207"/>
      <c r="I1817" s="207" t="s">
        <v>12545</v>
      </c>
      <c r="J1817" s="66" t="s">
        <v>12549</v>
      </c>
      <c r="K1817" s="207"/>
      <c r="L1817" s="66"/>
      <c r="M1817" s="201" t="s">
        <v>12550</v>
      </c>
      <c r="N1817" s="207"/>
      <c r="O1817" s="38"/>
    </row>
    <row r="1818" spans="1:15" ht="72" customHeight="1" x14ac:dyDescent="0.3">
      <c r="A1818" s="2">
        <v>1799</v>
      </c>
      <c r="B1818" s="108" t="s">
        <v>14340</v>
      </c>
      <c r="C1818" s="108" t="s">
        <v>14548</v>
      </c>
      <c r="D1818" s="108"/>
      <c r="E1818" s="108">
        <v>4000</v>
      </c>
      <c r="F1818" s="207">
        <v>56795.17</v>
      </c>
      <c r="G1818" s="207">
        <v>56975.17</v>
      </c>
      <c r="H1818" s="207"/>
      <c r="I1818" s="207" t="s">
        <v>12545</v>
      </c>
      <c r="J1818" s="66" t="s">
        <v>12549</v>
      </c>
      <c r="K1818" s="207"/>
      <c r="L1818" s="66"/>
      <c r="M1818" s="201" t="s">
        <v>12550</v>
      </c>
      <c r="N1818" s="207"/>
      <c r="O1818" s="38"/>
    </row>
    <row r="1819" spans="1:15" ht="72" customHeight="1" x14ac:dyDescent="0.3">
      <c r="A1819" s="2">
        <v>1800</v>
      </c>
      <c r="B1819" s="108" t="s">
        <v>14338</v>
      </c>
      <c r="C1819" s="108" t="s">
        <v>14572</v>
      </c>
      <c r="D1819" s="108"/>
      <c r="E1819" s="108">
        <v>4000</v>
      </c>
      <c r="F1819" s="207">
        <v>56795.17</v>
      </c>
      <c r="G1819" s="207">
        <v>59795.17</v>
      </c>
      <c r="H1819" s="207"/>
      <c r="I1819" s="207" t="s">
        <v>12545</v>
      </c>
      <c r="J1819" s="66" t="s">
        <v>12549</v>
      </c>
      <c r="K1819" s="207"/>
      <c r="L1819" s="66"/>
      <c r="M1819" s="201" t="s">
        <v>12550</v>
      </c>
      <c r="N1819" s="207"/>
      <c r="O1819" s="38"/>
    </row>
    <row r="1820" spans="1:15" ht="84" customHeight="1" x14ac:dyDescent="0.3">
      <c r="A1820" s="242">
        <v>1801</v>
      </c>
      <c r="B1820" s="108" t="s">
        <v>14341</v>
      </c>
      <c r="C1820" s="108" t="s">
        <v>14575</v>
      </c>
      <c r="D1820" s="256" t="s">
        <v>16299</v>
      </c>
      <c r="E1820" s="108">
        <v>3330</v>
      </c>
      <c r="F1820" s="207">
        <v>463748.42</v>
      </c>
      <c r="G1820" s="207">
        <v>330652.11</v>
      </c>
      <c r="H1820" s="25"/>
      <c r="I1820" s="207" t="s">
        <v>12545</v>
      </c>
      <c r="J1820" s="66" t="s">
        <v>19087</v>
      </c>
      <c r="K1820" s="207"/>
      <c r="L1820" s="66"/>
      <c r="M1820" s="201" t="s">
        <v>12550</v>
      </c>
      <c r="N1820" s="207"/>
      <c r="O1820" s="38"/>
    </row>
    <row r="1821" spans="1:15" ht="84" customHeight="1" x14ac:dyDescent="0.3">
      <c r="A1821" s="242">
        <v>1802</v>
      </c>
      <c r="B1821" s="108" t="s">
        <v>16295</v>
      </c>
      <c r="C1821" s="108" t="s">
        <v>14561</v>
      </c>
      <c r="D1821" s="256" t="s">
        <v>16296</v>
      </c>
      <c r="E1821" s="108">
        <v>1849</v>
      </c>
      <c r="F1821" s="207">
        <v>197522.47</v>
      </c>
      <c r="G1821" s="207">
        <v>140833.31</v>
      </c>
      <c r="H1821" s="25"/>
      <c r="I1821" s="207" t="s">
        <v>12545</v>
      </c>
      <c r="J1821" s="66" t="s">
        <v>19069</v>
      </c>
      <c r="K1821" s="207"/>
      <c r="L1821" s="66"/>
      <c r="M1821" s="201" t="s">
        <v>12550</v>
      </c>
      <c r="N1821" s="207"/>
      <c r="O1821" s="38"/>
    </row>
    <row r="1822" spans="1:15" ht="84" customHeight="1" x14ac:dyDescent="0.3">
      <c r="A1822" s="242">
        <v>1803</v>
      </c>
      <c r="B1822" s="108" t="s">
        <v>17236</v>
      </c>
      <c r="C1822" s="108" t="s">
        <v>14561</v>
      </c>
      <c r="D1822" s="256" t="s">
        <v>17237</v>
      </c>
      <c r="E1822" s="108">
        <v>857</v>
      </c>
      <c r="F1822" s="207">
        <v>77720.800000000003</v>
      </c>
      <c r="G1822" s="207">
        <v>55414.84</v>
      </c>
      <c r="H1822" s="25"/>
      <c r="I1822" s="207" t="s">
        <v>12545</v>
      </c>
      <c r="J1822" s="66" t="s">
        <v>19065</v>
      </c>
      <c r="K1822" s="207"/>
      <c r="L1822" s="66"/>
      <c r="M1822" s="201" t="s">
        <v>12550</v>
      </c>
      <c r="N1822" s="207"/>
      <c r="O1822" s="38"/>
    </row>
    <row r="1823" spans="1:15" ht="84" customHeight="1" x14ac:dyDescent="0.3">
      <c r="A1823" s="242">
        <v>1804</v>
      </c>
      <c r="B1823" s="108" t="s">
        <v>14342</v>
      </c>
      <c r="C1823" s="108" t="s">
        <v>14576</v>
      </c>
      <c r="D1823" s="256" t="s">
        <v>14333</v>
      </c>
      <c r="E1823" s="108">
        <v>3164</v>
      </c>
      <c r="F1823" s="207">
        <v>206969.2</v>
      </c>
      <c r="G1823" s="207">
        <v>147568.81</v>
      </c>
      <c r="H1823" s="25"/>
      <c r="I1823" s="207" t="s">
        <v>12545</v>
      </c>
      <c r="J1823" s="66" t="s">
        <v>16061</v>
      </c>
      <c r="K1823" s="207"/>
      <c r="L1823" s="66"/>
      <c r="M1823" s="201" t="s">
        <v>12550</v>
      </c>
      <c r="N1823" s="207"/>
      <c r="O1823" s="38"/>
    </row>
    <row r="1824" spans="1:15" ht="96" customHeight="1" x14ac:dyDescent="0.3">
      <c r="A1824" s="242">
        <v>1805</v>
      </c>
      <c r="B1824" s="108" t="s">
        <v>14343</v>
      </c>
      <c r="C1824" s="108" t="s">
        <v>14573</v>
      </c>
      <c r="D1824" s="256" t="s">
        <v>14334</v>
      </c>
      <c r="E1824" s="108">
        <v>2850</v>
      </c>
      <c r="F1824" s="207">
        <v>407926.85</v>
      </c>
      <c r="G1824" s="207">
        <v>290851.39</v>
      </c>
      <c r="H1824" s="25"/>
      <c r="I1824" s="207" t="s">
        <v>12545</v>
      </c>
      <c r="J1824" s="66" t="s">
        <v>16064</v>
      </c>
      <c r="K1824" s="207"/>
      <c r="L1824" s="66"/>
      <c r="M1824" s="201" t="s">
        <v>12550</v>
      </c>
      <c r="N1824" s="207"/>
      <c r="O1824" s="38"/>
    </row>
    <row r="1825" spans="1:26" ht="84" customHeight="1" x14ac:dyDescent="0.3">
      <c r="A1825" s="242">
        <v>1806</v>
      </c>
      <c r="B1825" s="108" t="s">
        <v>14344</v>
      </c>
      <c r="C1825" s="108" t="s">
        <v>14070</v>
      </c>
      <c r="D1825" s="256" t="s">
        <v>14335</v>
      </c>
      <c r="E1825" s="108">
        <v>4700</v>
      </c>
      <c r="F1825" s="207">
        <v>412220.82</v>
      </c>
      <c r="G1825" s="207">
        <v>293912.98</v>
      </c>
      <c r="H1825" s="25"/>
      <c r="I1825" s="207" t="s">
        <v>12545</v>
      </c>
      <c r="J1825" s="66" t="s">
        <v>16065</v>
      </c>
      <c r="K1825" s="207"/>
      <c r="L1825" s="66"/>
      <c r="M1825" s="201" t="s">
        <v>12550</v>
      </c>
      <c r="N1825" s="207"/>
      <c r="O1825" s="38"/>
    </row>
    <row r="1826" spans="1:26" ht="96" x14ac:dyDescent="0.3">
      <c r="A1826" s="242">
        <v>1807</v>
      </c>
      <c r="B1826" s="108" t="s">
        <v>23529</v>
      </c>
      <c r="C1826" s="108" t="s">
        <v>14548</v>
      </c>
      <c r="D1826" s="256" t="s">
        <v>14336</v>
      </c>
      <c r="E1826" s="108">
        <v>2770</v>
      </c>
      <c r="F1826" s="207">
        <v>354681.66</v>
      </c>
      <c r="G1826" s="207">
        <v>252887.63</v>
      </c>
      <c r="H1826" s="25"/>
      <c r="I1826" s="207" t="s">
        <v>12545</v>
      </c>
      <c r="J1826" s="66" t="s">
        <v>16062</v>
      </c>
      <c r="K1826" s="207"/>
      <c r="L1826" s="66"/>
      <c r="M1826" s="201" t="s">
        <v>12550</v>
      </c>
      <c r="N1826" s="207"/>
      <c r="O1826" s="38" t="s">
        <v>23856</v>
      </c>
    </row>
    <row r="1827" spans="1:26" ht="84" customHeight="1" x14ac:dyDescent="0.3">
      <c r="A1827" s="242">
        <v>1808</v>
      </c>
      <c r="B1827" s="108" t="s">
        <v>14345</v>
      </c>
      <c r="C1827" s="108" t="s">
        <v>14572</v>
      </c>
      <c r="D1827" s="256" t="s">
        <v>14337</v>
      </c>
      <c r="E1827" s="108">
        <v>3430</v>
      </c>
      <c r="F1827" s="207">
        <v>287695.78000000003</v>
      </c>
      <c r="G1827" s="207">
        <v>205126.77</v>
      </c>
      <c r="H1827" s="25"/>
      <c r="I1827" s="207" t="s">
        <v>12545</v>
      </c>
      <c r="J1827" s="66" t="s">
        <v>16059</v>
      </c>
      <c r="K1827" s="207"/>
      <c r="L1827" s="66"/>
      <c r="M1827" s="201" t="s">
        <v>12550</v>
      </c>
      <c r="N1827" s="207"/>
      <c r="O1827" s="38"/>
    </row>
    <row r="1828" spans="1:26" ht="96" customHeight="1" x14ac:dyDescent="0.3">
      <c r="A1828" s="2">
        <v>1809</v>
      </c>
      <c r="B1828" s="108" t="s">
        <v>20026</v>
      </c>
      <c r="C1828" s="108" t="s">
        <v>14070</v>
      </c>
      <c r="D1828" s="108"/>
      <c r="E1828" s="108">
        <v>1539</v>
      </c>
      <c r="F1828" s="207">
        <v>167464.71</v>
      </c>
      <c r="G1828" s="207">
        <v>119402.15</v>
      </c>
      <c r="H1828" s="207"/>
      <c r="I1828" s="207" t="s">
        <v>12545</v>
      </c>
      <c r="J1828" s="66" t="s">
        <v>12549</v>
      </c>
      <c r="K1828" s="207"/>
      <c r="L1828" s="66"/>
      <c r="M1828" s="201" t="s">
        <v>12550</v>
      </c>
      <c r="N1828" s="207"/>
      <c r="O1828" s="38"/>
    </row>
    <row r="1829" spans="1:26" ht="84" customHeight="1" x14ac:dyDescent="0.3">
      <c r="A1829" s="2">
        <v>1810</v>
      </c>
      <c r="B1829" s="108" t="s">
        <v>14346</v>
      </c>
      <c r="C1829" s="108" t="s">
        <v>14070</v>
      </c>
      <c r="D1829" s="108"/>
      <c r="E1829" s="108">
        <v>3680</v>
      </c>
      <c r="F1829" s="207">
        <v>395044.95</v>
      </c>
      <c r="G1829" s="207">
        <v>281666.61</v>
      </c>
      <c r="H1829" s="207"/>
      <c r="I1829" s="207" t="s">
        <v>12545</v>
      </c>
      <c r="J1829" s="66" t="s">
        <v>12549</v>
      </c>
      <c r="K1829" s="207"/>
      <c r="L1829" s="66"/>
      <c r="M1829" s="201" t="s">
        <v>12550</v>
      </c>
      <c r="N1829" s="207"/>
      <c r="O1829" s="38"/>
    </row>
    <row r="1830" spans="1:26" ht="84" customHeight="1" x14ac:dyDescent="0.3">
      <c r="A1830" s="242">
        <v>1811</v>
      </c>
      <c r="B1830" s="108" t="s">
        <v>20028</v>
      </c>
      <c r="C1830" s="108" t="s">
        <v>14548</v>
      </c>
      <c r="D1830" s="256" t="s">
        <v>17238</v>
      </c>
      <c r="E1830" s="219">
        <v>8275</v>
      </c>
      <c r="F1830" s="207">
        <v>890998.12</v>
      </c>
      <c r="G1830" s="207">
        <v>635280.67000000004</v>
      </c>
      <c r="H1830" s="25"/>
      <c r="I1830" s="207" t="s">
        <v>12545</v>
      </c>
      <c r="J1830" s="66" t="s">
        <v>19066</v>
      </c>
      <c r="K1830" s="207"/>
      <c r="L1830" s="66"/>
      <c r="M1830" s="201" t="s">
        <v>12550</v>
      </c>
      <c r="N1830" s="207"/>
      <c r="O1830" s="38"/>
    </row>
    <row r="1831" spans="1:26" ht="72" customHeight="1" x14ac:dyDescent="0.3">
      <c r="A1831" s="242">
        <v>1812</v>
      </c>
      <c r="B1831" s="108" t="s">
        <v>14442</v>
      </c>
      <c r="C1831" s="108" t="s">
        <v>14444</v>
      </c>
      <c r="D1831" s="256" t="s">
        <v>14445</v>
      </c>
      <c r="E1831" s="109">
        <v>34883000</v>
      </c>
      <c r="F1831" s="244">
        <v>3511099.35</v>
      </c>
      <c r="G1831" s="69"/>
      <c r="H1831" s="84">
        <v>429758560</v>
      </c>
      <c r="I1831" s="69" t="s">
        <v>12545</v>
      </c>
      <c r="J1831" s="70" t="s">
        <v>12549</v>
      </c>
      <c r="K1831" s="69"/>
      <c r="L1831" s="70"/>
      <c r="M1831" s="200" t="s">
        <v>12550</v>
      </c>
      <c r="N1831" s="69"/>
      <c r="O1831" s="38" t="s">
        <v>17802</v>
      </c>
    </row>
    <row r="1832" spans="1:26" ht="84" customHeight="1" x14ac:dyDescent="0.3">
      <c r="A1832" s="242">
        <v>1813</v>
      </c>
      <c r="B1832" s="32" t="s">
        <v>14451</v>
      </c>
      <c r="C1832" s="32" t="s">
        <v>16663</v>
      </c>
      <c r="D1832" s="256" t="s">
        <v>16662</v>
      </c>
      <c r="E1832" s="219">
        <v>2700</v>
      </c>
      <c r="F1832" s="25">
        <v>609930</v>
      </c>
      <c r="G1832" s="25"/>
      <c r="H1832" s="25">
        <v>609930</v>
      </c>
      <c r="I1832" s="207" t="s">
        <v>12545</v>
      </c>
      <c r="J1832" s="66" t="s">
        <v>19105</v>
      </c>
      <c r="K1832" s="207"/>
      <c r="L1832" s="66"/>
      <c r="M1832" s="200" t="s">
        <v>12550</v>
      </c>
      <c r="N1832" s="207"/>
      <c r="O1832" s="38" t="s">
        <v>12039</v>
      </c>
    </row>
    <row r="1833" spans="1:26" ht="72" customHeight="1" x14ac:dyDescent="0.3">
      <c r="A1833" s="242">
        <v>1814</v>
      </c>
      <c r="B1833" s="57" t="s">
        <v>14578</v>
      </c>
      <c r="C1833" s="57" t="s">
        <v>14577</v>
      </c>
      <c r="D1833" s="85" t="s">
        <v>14452</v>
      </c>
      <c r="E1833" s="138">
        <v>20</v>
      </c>
      <c r="F1833" s="104">
        <v>1939.4</v>
      </c>
      <c r="G1833" s="6"/>
      <c r="H1833" s="207">
        <v>1939.4</v>
      </c>
      <c r="I1833" s="207" t="s">
        <v>12545</v>
      </c>
      <c r="J1833" s="66" t="s">
        <v>19101</v>
      </c>
      <c r="K1833" s="207"/>
      <c r="L1833" s="66"/>
      <c r="M1833" s="200" t="s">
        <v>12550</v>
      </c>
      <c r="N1833" s="207"/>
      <c r="O1833" s="245" t="s">
        <v>17794</v>
      </c>
      <c r="Q1833" s="161"/>
      <c r="R1833" s="161"/>
      <c r="S1833" s="161"/>
      <c r="T1833" s="161"/>
      <c r="U1833" s="161"/>
      <c r="V1833" s="161"/>
      <c r="W1833" s="161"/>
      <c r="X1833" s="161"/>
      <c r="Y1833" s="161"/>
      <c r="Z1833" s="161"/>
    </row>
    <row r="1834" spans="1:26" s="161" customFormat="1" ht="72" customHeight="1" x14ac:dyDescent="0.3">
      <c r="A1834" s="242">
        <v>1815</v>
      </c>
      <c r="B1834" s="242" t="s">
        <v>14578</v>
      </c>
      <c r="C1834" s="242" t="s">
        <v>17809</v>
      </c>
      <c r="D1834" s="85" t="s">
        <v>14453</v>
      </c>
      <c r="E1834" s="109">
        <v>128</v>
      </c>
      <c r="F1834" s="244">
        <v>12972.56</v>
      </c>
      <c r="G1834" s="207"/>
      <c r="H1834" s="207">
        <v>12972.56</v>
      </c>
      <c r="I1834" s="207" t="s">
        <v>12545</v>
      </c>
      <c r="J1834" s="66" t="s">
        <v>19108</v>
      </c>
      <c r="K1834" s="207"/>
      <c r="L1834" s="66"/>
      <c r="M1834" s="200" t="s">
        <v>12550</v>
      </c>
      <c r="N1834" s="207"/>
      <c r="O1834" s="245" t="s">
        <v>17794</v>
      </c>
      <c r="Q1834" s="67"/>
      <c r="R1834" s="67"/>
      <c r="S1834" s="67"/>
      <c r="T1834" s="67"/>
      <c r="U1834" s="67"/>
      <c r="V1834" s="67"/>
      <c r="W1834" s="67"/>
      <c r="X1834" s="67"/>
      <c r="Y1834" s="67"/>
      <c r="Z1834" s="67"/>
    </row>
    <row r="1835" spans="1:26" ht="72" customHeight="1" x14ac:dyDescent="0.3">
      <c r="A1835" s="242">
        <v>1816</v>
      </c>
      <c r="B1835" s="38" t="s">
        <v>18229</v>
      </c>
      <c r="C1835" s="38" t="s">
        <v>16082</v>
      </c>
      <c r="D1835" s="254" t="s">
        <v>21293</v>
      </c>
      <c r="E1835" s="6">
        <v>393.7</v>
      </c>
      <c r="F1835" s="43">
        <v>1354884.58</v>
      </c>
      <c r="G1835" s="22">
        <v>1354884.58</v>
      </c>
      <c r="H1835" s="43">
        <v>3755189.34</v>
      </c>
      <c r="I1835" s="207" t="s">
        <v>12545</v>
      </c>
      <c r="J1835" s="66" t="s">
        <v>16083</v>
      </c>
      <c r="K1835" s="6"/>
      <c r="L1835" s="38"/>
      <c r="M1835" s="242" t="s">
        <v>13904</v>
      </c>
      <c r="N1835" s="38" t="s">
        <v>21294</v>
      </c>
      <c r="O1835" s="38"/>
    </row>
    <row r="1836" spans="1:26" ht="83.4" customHeight="1" x14ac:dyDescent="0.3">
      <c r="A1836" s="242">
        <v>1817</v>
      </c>
      <c r="B1836" s="38" t="s">
        <v>23660</v>
      </c>
      <c r="C1836" s="38" t="s">
        <v>14579</v>
      </c>
      <c r="D1836" s="86" t="s">
        <v>16075</v>
      </c>
      <c r="E1836" s="6">
        <v>1347</v>
      </c>
      <c r="F1836" s="43">
        <v>870182.43</v>
      </c>
      <c r="G1836" s="246">
        <v>331876.46000000002</v>
      </c>
      <c r="H1836" s="43"/>
      <c r="I1836" s="207" t="s">
        <v>12545</v>
      </c>
      <c r="J1836" s="66" t="s">
        <v>16076</v>
      </c>
      <c r="K1836" s="6"/>
      <c r="L1836" s="38"/>
      <c r="M1836" s="242" t="s">
        <v>13904</v>
      </c>
      <c r="N1836" s="38" t="s">
        <v>23661</v>
      </c>
      <c r="O1836" s="38"/>
    </row>
    <row r="1837" spans="1:26" ht="72" customHeight="1" x14ac:dyDescent="0.3">
      <c r="A1837" s="242">
        <v>1818</v>
      </c>
      <c r="B1837" s="246" t="s">
        <v>18473</v>
      </c>
      <c r="C1837" s="246" t="s">
        <v>14352</v>
      </c>
      <c r="D1837" s="60" t="s">
        <v>16079</v>
      </c>
      <c r="E1837" s="207">
        <v>42.7</v>
      </c>
      <c r="F1837" s="246">
        <v>1251190.94</v>
      </c>
      <c r="G1837" s="246">
        <v>471439.35999999999</v>
      </c>
      <c r="H1837" s="25"/>
      <c r="I1837" s="207" t="s">
        <v>12545</v>
      </c>
      <c r="J1837" s="66" t="s">
        <v>16080</v>
      </c>
      <c r="K1837" s="207"/>
      <c r="L1837" s="66"/>
      <c r="M1837" s="201" t="s">
        <v>12550</v>
      </c>
      <c r="N1837" s="207"/>
      <c r="O1837" s="38" t="s">
        <v>21772</v>
      </c>
    </row>
    <row r="1838" spans="1:26" ht="78.599999999999994" customHeight="1" x14ac:dyDescent="0.3">
      <c r="A1838" s="242">
        <v>1819</v>
      </c>
      <c r="B1838" s="246" t="s">
        <v>18472</v>
      </c>
      <c r="C1838" s="246" t="s">
        <v>14353</v>
      </c>
      <c r="D1838" s="60" t="s">
        <v>16077</v>
      </c>
      <c r="E1838" s="246">
        <v>169.5</v>
      </c>
      <c r="F1838" s="246"/>
      <c r="G1838" s="207"/>
      <c r="H1838" s="25"/>
      <c r="I1838" s="207" t="s">
        <v>12545</v>
      </c>
      <c r="J1838" s="66" t="s">
        <v>16078</v>
      </c>
      <c r="K1838" s="207"/>
      <c r="L1838" s="66"/>
      <c r="M1838" s="201" t="s">
        <v>12550</v>
      </c>
      <c r="N1838" s="207"/>
      <c r="O1838" s="38"/>
    </row>
    <row r="1839" spans="1:26" ht="108" customHeight="1" x14ac:dyDescent="0.3">
      <c r="A1839" s="2">
        <v>1820</v>
      </c>
      <c r="B1839" s="246" t="s">
        <v>14358</v>
      </c>
      <c r="C1839" s="246" t="s">
        <v>14359</v>
      </c>
      <c r="D1839" s="6"/>
      <c r="E1839" s="246" t="s">
        <v>14360</v>
      </c>
      <c r="F1839" s="25"/>
      <c r="G1839" s="207"/>
      <c r="H1839" s="207"/>
      <c r="I1839" s="207" t="s">
        <v>12545</v>
      </c>
      <c r="J1839" s="66" t="s">
        <v>12547</v>
      </c>
      <c r="K1839" s="243">
        <v>43300</v>
      </c>
      <c r="L1839" s="66" t="s">
        <v>20908</v>
      </c>
      <c r="M1839" s="201" t="s">
        <v>12550</v>
      </c>
      <c r="N1839" s="207"/>
      <c r="O1839" s="38" t="s">
        <v>20910</v>
      </c>
    </row>
    <row r="1840" spans="1:26" ht="108" customHeight="1" x14ac:dyDescent="0.3">
      <c r="A1840" s="2">
        <v>1821</v>
      </c>
      <c r="B1840" s="246" t="s">
        <v>14361</v>
      </c>
      <c r="C1840" s="246" t="s">
        <v>14362</v>
      </c>
      <c r="D1840" s="6"/>
      <c r="E1840" s="246" t="s">
        <v>14363</v>
      </c>
      <c r="F1840" s="25"/>
      <c r="G1840" s="207"/>
      <c r="H1840" s="207"/>
      <c r="I1840" s="207" t="s">
        <v>12545</v>
      </c>
      <c r="J1840" s="66" t="s">
        <v>12547</v>
      </c>
      <c r="K1840" s="243">
        <v>43300</v>
      </c>
      <c r="L1840" s="66" t="s">
        <v>20908</v>
      </c>
      <c r="M1840" s="201" t="s">
        <v>12550</v>
      </c>
      <c r="N1840" s="207"/>
      <c r="O1840" s="38" t="s">
        <v>20910</v>
      </c>
    </row>
    <row r="1841" spans="1:15" ht="108" customHeight="1" x14ac:dyDescent="0.3">
      <c r="A1841" s="2">
        <v>1822</v>
      </c>
      <c r="B1841" s="246" t="s">
        <v>14358</v>
      </c>
      <c r="C1841" s="246" t="s">
        <v>14364</v>
      </c>
      <c r="D1841" s="6"/>
      <c r="E1841" s="246" t="s">
        <v>14365</v>
      </c>
      <c r="F1841" s="25"/>
      <c r="G1841" s="207"/>
      <c r="H1841" s="207"/>
      <c r="I1841" s="207" t="s">
        <v>12545</v>
      </c>
      <c r="J1841" s="66" t="s">
        <v>12547</v>
      </c>
      <c r="K1841" s="243">
        <v>43300</v>
      </c>
      <c r="L1841" s="66" t="s">
        <v>20908</v>
      </c>
      <c r="M1841" s="201" t="s">
        <v>12550</v>
      </c>
      <c r="N1841" s="207"/>
      <c r="O1841" s="38" t="s">
        <v>20910</v>
      </c>
    </row>
    <row r="1842" spans="1:15" ht="108" customHeight="1" x14ac:dyDescent="0.3">
      <c r="A1842" s="2">
        <v>1823</v>
      </c>
      <c r="B1842" s="246" t="s">
        <v>14366</v>
      </c>
      <c r="C1842" s="246" t="s">
        <v>14367</v>
      </c>
      <c r="D1842" s="6"/>
      <c r="E1842" s="246" t="s">
        <v>14368</v>
      </c>
      <c r="F1842" s="25"/>
      <c r="G1842" s="207"/>
      <c r="H1842" s="207"/>
      <c r="I1842" s="207" t="s">
        <v>12545</v>
      </c>
      <c r="J1842" s="66" t="s">
        <v>12547</v>
      </c>
      <c r="K1842" s="243">
        <v>43300</v>
      </c>
      <c r="L1842" s="66" t="s">
        <v>20908</v>
      </c>
      <c r="M1842" s="201" t="s">
        <v>12550</v>
      </c>
      <c r="N1842" s="207"/>
      <c r="O1842" s="38" t="s">
        <v>20910</v>
      </c>
    </row>
    <row r="1843" spans="1:15" ht="108" customHeight="1" x14ac:dyDescent="0.3">
      <c r="A1843" s="2">
        <v>1824</v>
      </c>
      <c r="B1843" s="246" t="s">
        <v>14366</v>
      </c>
      <c r="C1843" s="246" t="s">
        <v>14364</v>
      </c>
      <c r="D1843" s="6"/>
      <c r="E1843" s="246" t="s">
        <v>14369</v>
      </c>
      <c r="F1843" s="25"/>
      <c r="G1843" s="207"/>
      <c r="H1843" s="207"/>
      <c r="I1843" s="207" t="s">
        <v>12545</v>
      </c>
      <c r="J1843" s="66" t="s">
        <v>12547</v>
      </c>
      <c r="K1843" s="243">
        <v>43300</v>
      </c>
      <c r="L1843" s="66" t="s">
        <v>20908</v>
      </c>
      <c r="M1843" s="201" t="s">
        <v>12550</v>
      </c>
      <c r="N1843" s="207"/>
      <c r="O1843" s="38" t="s">
        <v>20910</v>
      </c>
    </row>
    <row r="1844" spans="1:15" ht="108" customHeight="1" x14ac:dyDescent="0.3">
      <c r="A1844" s="2">
        <v>1825</v>
      </c>
      <c r="B1844" s="246" t="s">
        <v>14370</v>
      </c>
      <c r="C1844" s="246" t="s">
        <v>14371</v>
      </c>
      <c r="D1844" s="6"/>
      <c r="E1844" s="246" t="s">
        <v>14372</v>
      </c>
      <c r="F1844" s="25"/>
      <c r="G1844" s="207"/>
      <c r="H1844" s="207"/>
      <c r="I1844" s="207" t="s">
        <v>12545</v>
      </c>
      <c r="J1844" s="66" t="s">
        <v>12547</v>
      </c>
      <c r="K1844" s="243">
        <v>43300</v>
      </c>
      <c r="L1844" s="66" t="s">
        <v>20908</v>
      </c>
      <c r="M1844" s="201" t="s">
        <v>12550</v>
      </c>
      <c r="N1844" s="207"/>
      <c r="O1844" s="38" t="s">
        <v>20910</v>
      </c>
    </row>
    <row r="1845" spans="1:15" ht="108" customHeight="1" x14ac:dyDescent="0.3">
      <c r="A1845" s="2">
        <v>1826</v>
      </c>
      <c r="B1845" s="246" t="s">
        <v>14370</v>
      </c>
      <c r="C1845" s="246" t="s">
        <v>14373</v>
      </c>
      <c r="D1845" s="6"/>
      <c r="E1845" s="246" t="s">
        <v>14374</v>
      </c>
      <c r="F1845" s="25"/>
      <c r="G1845" s="207"/>
      <c r="H1845" s="207"/>
      <c r="I1845" s="207" t="s">
        <v>12545</v>
      </c>
      <c r="J1845" s="66" t="s">
        <v>12547</v>
      </c>
      <c r="K1845" s="243">
        <v>43300</v>
      </c>
      <c r="L1845" s="66" t="s">
        <v>20908</v>
      </c>
      <c r="M1845" s="201" t="s">
        <v>12550</v>
      </c>
      <c r="N1845" s="207"/>
      <c r="O1845" s="38" t="s">
        <v>20910</v>
      </c>
    </row>
    <row r="1846" spans="1:15" ht="108" customHeight="1" x14ac:dyDescent="0.3">
      <c r="A1846" s="2">
        <v>1827</v>
      </c>
      <c r="B1846" s="246" t="s">
        <v>14370</v>
      </c>
      <c r="C1846" s="246" t="s">
        <v>14375</v>
      </c>
      <c r="D1846" s="6"/>
      <c r="E1846" s="246" t="s">
        <v>14376</v>
      </c>
      <c r="F1846" s="25"/>
      <c r="G1846" s="207"/>
      <c r="H1846" s="207"/>
      <c r="I1846" s="207" t="s">
        <v>12545</v>
      </c>
      <c r="J1846" s="66" t="s">
        <v>12547</v>
      </c>
      <c r="K1846" s="243">
        <v>43300</v>
      </c>
      <c r="L1846" s="66" t="s">
        <v>20908</v>
      </c>
      <c r="M1846" s="201" t="s">
        <v>12550</v>
      </c>
      <c r="N1846" s="207"/>
      <c r="O1846" s="38" t="s">
        <v>20910</v>
      </c>
    </row>
    <row r="1847" spans="1:15" ht="108" customHeight="1" x14ac:dyDescent="0.3">
      <c r="A1847" s="2">
        <v>1828</v>
      </c>
      <c r="B1847" s="246" t="s">
        <v>14370</v>
      </c>
      <c r="C1847" s="246" t="s">
        <v>14377</v>
      </c>
      <c r="D1847" s="6"/>
      <c r="E1847" s="246" t="s">
        <v>14374</v>
      </c>
      <c r="F1847" s="25"/>
      <c r="G1847" s="207"/>
      <c r="H1847" s="207"/>
      <c r="I1847" s="207" t="s">
        <v>12545</v>
      </c>
      <c r="J1847" s="66" t="s">
        <v>12547</v>
      </c>
      <c r="K1847" s="243">
        <v>43300</v>
      </c>
      <c r="L1847" s="66" t="s">
        <v>20908</v>
      </c>
      <c r="M1847" s="201" t="s">
        <v>12550</v>
      </c>
      <c r="N1847" s="207"/>
      <c r="O1847" s="38" t="s">
        <v>20910</v>
      </c>
    </row>
    <row r="1848" spans="1:15" ht="108" customHeight="1" x14ac:dyDescent="0.3">
      <c r="A1848" s="2">
        <v>1829</v>
      </c>
      <c r="B1848" s="246" t="s">
        <v>14370</v>
      </c>
      <c r="C1848" s="246" t="s">
        <v>14378</v>
      </c>
      <c r="D1848" s="6"/>
      <c r="E1848" s="246" t="s">
        <v>14374</v>
      </c>
      <c r="F1848" s="25"/>
      <c r="G1848" s="207"/>
      <c r="H1848" s="207"/>
      <c r="I1848" s="207" t="s">
        <v>12545</v>
      </c>
      <c r="J1848" s="66" t="s">
        <v>12547</v>
      </c>
      <c r="K1848" s="243">
        <v>43300</v>
      </c>
      <c r="L1848" s="66" t="s">
        <v>20908</v>
      </c>
      <c r="M1848" s="201" t="s">
        <v>12550</v>
      </c>
      <c r="N1848" s="207"/>
      <c r="O1848" s="38" t="s">
        <v>20910</v>
      </c>
    </row>
    <row r="1849" spans="1:15" ht="108" customHeight="1" x14ac:dyDescent="0.3">
      <c r="A1849" s="2">
        <v>1830</v>
      </c>
      <c r="B1849" s="246" t="s">
        <v>14370</v>
      </c>
      <c r="C1849" s="246" t="s">
        <v>14379</v>
      </c>
      <c r="D1849" s="6"/>
      <c r="E1849" s="246" t="s">
        <v>14380</v>
      </c>
      <c r="F1849" s="25"/>
      <c r="G1849" s="207"/>
      <c r="H1849" s="207"/>
      <c r="I1849" s="207" t="s">
        <v>12545</v>
      </c>
      <c r="J1849" s="66" t="s">
        <v>12547</v>
      </c>
      <c r="K1849" s="243">
        <v>43300</v>
      </c>
      <c r="L1849" s="66" t="s">
        <v>20908</v>
      </c>
      <c r="M1849" s="201" t="s">
        <v>12550</v>
      </c>
      <c r="N1849" s="207"/>
      <c r="O1849" s="38" t="s">
        <v>20910</v>
      </c>
    </row>
    <row r="1850" spans="1:15" ht="108" customHeight="1" x14ac:dyDescent="0.3">
      <c r="A1850" s="2">
        <v>1831</v>
      </c>
      <c r="B1850" s="246" t="s">
        <v>14370</v>
      </c>
      <c r="C1850" s="246" t="s">
        <v>14381</v>
      </c>
      <c r="D1850" s="6"/>
      <c r="E1850" s="246" t="s">
        <v>14374</v>
      </c>
      <c r="F1850" s="25"/>
      <c r="G1850" s="207"/>
      <c r="H1850" s="207"/>
      <c r="I1850" s="207" t="s">
        <v>12545</v>
      </c>
      <c r="J1850" s="66" t="s">
        <v>12547</v>
      </c>
      <c r="K1850" s="243">
        <v>43300</v>
      </c>
      <c r="L1850" s="66" t="s">
        <v>20908</v>
      </c>
      <c r="M1850" s="201" t="s">
        <v>12550</v>
      </c>
      <c r="N1850" s="207"/>
      <c r="O1850" s="38" t="s">
        <v>20910</v>
      </c>
    </row>
    <row r="1851" spans="1:15" ht="108" customHeight="1" x14ac:dyDescent="0.3">
      <c r="A1851" s="2">
        <v>1832</v>
      </c>
      <c r="B1851" s="246" t="s">
        <v>14370</v>
      </c>
      <c r="C1851" s="246" t="s">
        <v>14382</v>
      </c>
      <c r="D1851" s="6"/>
      <c r="E1851" s="246" t="s">
        <v>14380</v>
      </c>
      <c r="F1851" s="25"/>
      <c r="G1851" s="207"/>
      <c r="H1851" s="207"/>
      <c r="I1851" s="207" t="s">
        <v>12545</v>
      </c>
      <c r="J1851" s="66" t="s">
        <v>12547</v>
      </c>
      <c r="K1851" s="243">
        <v>43300</v>
      </c>
      <c r="L1851" s="66" t="s">
        <v>20908</v>
      </c>
      <c r="M1851" s="201" t="s">
        <v>12550</v>
      </c>
      <c r="N1851" s="207"/>
      <c r="O1851" s="38" t="s">
        <v>20910</v>
      </c>
    </row>
    <row r="1852" spans="1:15" ht="108" customHeight="1" x14ac:dyDescent="0.3">
      <c r="A1852" s="2">
        <v>1833</v>
      </c>
      <c r="B1852" s="246" t="s">
        <v>14370</v>
      </c>
      <c r="C1852" s="246" t="s">
        <v>14383</v>
      </c>
      <c r="D1852" s="6"/>
      <c r="E1852" s="246" t="s">
        <v>14380</v>
      </c>
      <c r="F1852" s="25"/>
      <c r="G1852" s="207"/>
      <c r="H1852" s="207"/>
      <c r="I1852" s="207" t="s">
        <v>12545</v>
      </c>
      <c r="J1852" s="66" t="s">
        <v>12547</v>
      </c>
      <c r="K1852" s="243">
        <v>43300</v>
      </c>
      <c r="L1852" s="66" t="s">
        <v>20908</v>
      </c>
      <c r="M1852" s="201" t="s">
        <v>12550</v>
      </c>
      <c r="N1852" s="207"/>
      <c r="O1852" s="38" t="s">
        <v>20910</v>
      </c>
    </row>
    <row r="1853" spans="1:15" ht="108" customHeight="1" x14ac:dyDescent="0.3">
      <c r="A1853" s="2">
        <v>1834</v>
      </c>
      <c r="B1853" s="246" t="s">
        <v>14370</v>
      </c>
      <c r="C1853" s="246" t="s">
        <v>14384</v>
      </c>
      <c r="D1853" s="6"/>
      <c r="E1853" s="246" t="s">
        <v>14380</v>
      </c>
      <c r="F1853" s="25"/>
      <c r="G1853" s="207"/>
      <c r="H1853" s="207"/>
      <c r="I1853" s="207" t="s">
        <v>12545</v>
      </c>
      <c r="J1853" s="66" t="s">
        <v>12547</v>
      </c>
      <c r="K1853" s="243">
        <v>43300</v>
      </c>
      <c r="L1853" s="66" t="s">
        <v>20908</v>
      </c>
      <c r="M1853" s="201" t="s">
        <v>12550</v>
      </c>
      <c r="N1853" s="207"/>
      <c r="O1853" s="38" t="s">
        <v>20910</v>
      </c>
    </row>
    <row r="1854" spans="1:15" ht="108" customHeight="1" x14ac:dyDescent="0.3">
      <c r="A1854" s="2">
        <v>1835</v>
      </c>
      <c r="B1854" s="246" t="s">
        <v>14370</v>
      </c>
      <c r="C1854" s="246" t="s">
        <v>14385</v>
      </c>
      <c r="D1854" s="6"/>
      <c r="E1854" s="246" t="s">
        <v>14380</v>
      </c>
      <c r="F1854" s="25"/>
      <c r="G1854" s="207"/>
      <c r="H1854" s="207"/>
      <c r="I1854" s="207" t="s">
        <v>12545</v>
      </c>
      <c r="J1854" s="66" t="s">
        <v>12547</v>
      </c>
      <c r="K1854" s="243">
        <v>43300</v>
      </c>
      <c r="L1854" s="66" t="s">
        <v>20908</v>
      </c>
      <c r="M1854" s="201" t="s">
        <v>12550</v>
      </c>
      <c r="N1854" s="207"/>
      <c r="O1854" s="38" t="s">
        <v>20910</v>
      </c>
    </row>
    <row r="1855" spans="1:15" s="161" customFormat="1" ht="72" customHeight="1" x14ac:dyDescent="0.3">
      <c r="A1855" s="2">
        <v>1836</v>
      </c>
      <c r="B1855" s="242" t="s">
        <v>22043</v>
      </c>
      <c r="C1855" s="242" t="s">
        <v>14387</v>
      </c>
      <c r="D1855" s="242"/>
      <c r="E1855" s="242"/>
      <c r="F1855" s="242"/>
      <c r="G1855" s="207"/>
      <c r="H1855" s="207"/>
      <c r="I1855" s="207" t="s">
        <v>12545</v>
      </c>
      <c r="J1855" s="66" t="s">
        <v>12547</v>
      </c>
      <c r="K1855" s="207"/>
      <c r="L1855" s="66"/>
      <c r="M1855" s="201" t="s">
        <v>12550</v>
      </c>
      <c r="N1855" s="207"/>
      <c r="O1855" s="245" t="s">
        <v>22188</v>
      </c>
    </row>
    <row r="1856" spans="1:15" ht="72" customHeight="1" x14ac:dyDescent="0.3">
      <c r="A1856" s="2">
        <v>1837</v>
      </c>
      <c r="B1856" s="242" t="s">
        <v>22043</v>
      </c>
      <c r="C1856" s="246" t="s">
        <v>14388</v>
      </c>
      <c r="D1856" s="246"/>
      <c r="E1856" s="246"/>
      <c r="F1856" s="246"/>
      <c r="G1856" s="207"/>
      <c r="H1856" s="207"/>
      <c r="I1856" s="207" t="s">
        <v>12545</v>
      </c>
      <c r="J1856" s="66" t="s">
        <v>12547</v>
      </c>
      <c r="K1856" s="207"/>
      <c r="L1856" s="66"/>
      <c r="M1856" s="201" t="s">
        <v>12550</v>
      </c>
      <c r="N1856" s="207"/>
      <c r="O1856" s="245" t="s">
        <v>22188</v>
      </c>
    </row>
    <row r="1857" spans="1:15" ht="72" customHeight="1" x14ac:dyDescent="0.3">
      <c r="A1857" s="2">
        <v>1838</v>
      </c>
      <c r="B1857" s="242" t="s">
        <v>22043</v>
      </c>
      <c r="C1857" s="246" t="s">
        <v>14389</v>
      </c>
      <c r="D1857" s="246"/>
      <c r="E1857" s="246"/>
      <c r="F1857" s="246"/>
      <c r="G1857" s="207"/>
      <c r="H1857" s="207"/>
      <c r="I1857" s="207" t="s">
        <v>12545</v>
      </c>
      <c r="J1857" s="66" t="s">
        <v>12547</v>
      </c>
      <c r="K1857" s="207"/>
      <c r="L1857" s="66"/>
      <c r="M1857" s="201" t="s">
        <v>12550</v>
      </c>
      <c r="N1857" s="207"/>
      <c r="O1857" s="245" t="s">
        <v>22188</v>
      </c>
    </row>
    <row r="1858" spans="1:15" ht="72" customHeight="1" x14ac:dyDescent="0.3">
      <c r="A1858" s="2">
        <v>1839</v>
      </c>
      <c r="B1858" s="242" t="s">
        <v>22043</v>
      </c>
      <c r="C1858" s="246" t="s">
        <v>14390</v>
      </c>
      <c r="D1858" s="246"/>
      <c r="E1858" s="246"/>
      <c r="F1858" s="246"/>
      <c r="G1858" s="207"/>
      <c r="H1858" s="207"/>
      <c r="I1858" s="207" t="s">
        <v>12545</v>
      </c>
      <c r="J1858" s="66" t="s">
        <v>12547</v>
      </c>
      <c r="K1858" s="207"/>
      <c r="L1858" s="66"/>
      <c r="M1858" s="201" t="s">
        <v>12550</v>
      </c>
      <c r="N1858" s="207"/>
      <c r="O1858" s="245" t="s">
        <v>22188</v>
      </c>
    </row>
    <row r="1859" spans="1:15" ht="72" customHeight="1" x14ac:dyDescent="0.3">
      <c r="A1859" s="2">
        <v>1840</v>
      </c>
      <c r="B1859" s="242" t="s">
        <v>22043</v>
      </c>
      <c r="C1859" s="246" t="s">
        <v>14391</v>
      </c>
      <c r="D1859" s="246"/>
      <c r="E1859" s="246"/>
      <c r="F1859" s="246"/>
      <c r="G1859" s="207"/>
      <c r="H1859" s="207"/>
      <c r="I1859" s="207" t="s">
        <v>12545</v>
      </c>
      <c r="J1859" s="66" t="s">
        <v>12547</v>
      </c>
      <c r="K1859" s="207"/>
      <c r="L1859" s="66"/>
      <c r="M1859" s="201" t="s">
        <v>12550</v>
      </c>
      <c r="N1859" s="207"/>
      <c r="O1859" s="245" t="s">
        <v>22188</v>
      </c>
    </row>
    <row r="1860" spans="1:15" ht="72" customHeight="1" x14ac:dyDescent="0.3">
      <c r="A1860" s="245">
        <v>1841</v>
      </c>
      <c r="B1860" s="242" t="s">
        <v>22030</v>
      </c>
      <c r="C1860" s="242" t="s">
        <v>22041</v>
      </c>
      <c r="D1860" s="207"/>
      <c r="E1860" s="242"/>
      <c r="F1860" s="207"/>
      <c r="G1860" s="207"/>
      <c r="H1860" s="207"/>
      <c r="I1860" s="207" t="s">
        <v>12545</v>
      </c>
      <c r="J1860" s="66" t="s">
        <v>12549</v>
      </c>
      <c r="K1860" s="207"/>
      <c r="L1860" s="66"/>
      <c r="M1860" s="201" t="s">
        <v>12550</v>
      </c>
      <c r="N1860" s="207"/>
      <c r="O1860" s="38" t="s">
        <v>22189</v>
      </c>
    </row>
    <row r="1861" spans="1:15" ht="72" customHeight="1" x14ac:dyDescent="0.3">
      <c r="A1861" s="2">
        <v>1842</v>
      </c>
      <c r="B1861" s="242" t="s">
        <v>22021</v>
      </c>
      <c r="C1861" s="246" t="s">
        <v>14392</v>
      </c>
      <c r="D1861" s="246"/>
      <c r="E1861" s="246"/>
      <c r="F1861" s="246"/>
      <c r="G1861" s="207"/>
      <c r="H1861" s="207"/>
      <c r="I1861" s="207" t="s">
        <v>12545</v>
      </c>
      <c r="J1861" s="66" t="s">
        <v>12547</v>
      </c>
      <c r="K1861" s="207"/>
      <c r="L1861" s="66"/>
      <c r="M1861" s="201" t="s">
        <v>12550</v>
      </c>
      <c r="N1861" s="207"/>
      <c r="O1861" s="245" t="s">
        <v>22185</v>
      </c>
    </row>
    <row r="1862" spans="1:15" ht="84" customHeight="1" x14ac:dyDescent="0.3">
      <c r="A1862" s="245">
        <v>1843</v>
      </c>
      <c r="B1862" s="242" t="s">
        <v>22036</v>
      </c>
      <c r="C1862" s="242" t="s">
        <v>22038</v>
      </c>
      <c r="D1862" s="207"/>
      <c r="E1862" s="242"/>
      <c r="F1862" s="207"/>
      <c r="G1862" s="207"/>
      <c r="H1862" s="207"/>
      <c r="I1862" s="207" t="s">
        <v>12545</v>
      </c>
      <c r="J1862" s="66" t="s">
        <v>12549</v>
      </c>
      <c r="K1862" s="207"/>
      <c r="L1862" s="66"/>
      <c r="M1862" s="201" t="s">
        <v>12550</v>
      </c>
      <c r="N1862" s="207"/>
      <c r="O1862" s="38" t="s">
        <v>22186</v>
      </c>
    </row>
    <row r="1863" spans="1:15" ht="84" customHeight="1" x14ac:dyDescent="0.3">
      <c r="A1863" s="245">
        <v>1844</v>
      </c>
      <c r="B1863" s="242" t="s">
        <v>22039</v>
      </c>
      <c r="C1863" s="242" t="s">
        <v>22040</v>
      </c>
      <c r="D1863" s="207"/>
      <c r="E1863" s="242"/>
      <c r="F1863" s="207"/>
      <c r="G1863" s="207"/>
      <c r="H1863" s="207"/>
      <c r="I1863" s="207" t="s">
        <v>12545</v>
      </c>
      <c r="J1863" s="66" t="s">
        <v>12549</v>
      </c>
      <c r="K1863" s="207"/>
      <c r="L1863" s="66"/>
      <c r="M1863" s="201" t="s">
        <v>12550</v>
      </c>
      <c r="N1863" s="207"/>
      <c r="O1863" s="38" t="s">
        <v>22190</v>
      </c>
    </row>
    <row r="1864" spans="1:15" ht="72" customHeight="1" x14ac:dyDescent="0.3">
      <c r="A1864" s="2">
        <v>1845</v>
      </c>
      <c r="B1864" s="242" t="s">
        <v>22045</v>
      </c>
      <c r="C1864" s="246" t="s">
        <v>14393</v>
      </c>
      <c r="D1864" s="246"/>
      <c r="E1864" s="246"/>
      <c r="F1864" s="246"/>
      <c r="G1864" s="207"/>
      <c r="H1864" s="207"/>
      <c r="I1864" s="207" t="s">
        <v>12545</v>
      </c>
      <c r="J1864" s="66" t="s">
        <v>12547</v>
      </c>
      <c r="K1864" s="207"/>
      <c r="L1864" s="66"/>
      <c r="M1864" s="201" t="s">
        <v>12550</v>
      </c>
      <c r="N1864" s="207"/>
      <c r="O1864" s="245" t="s">
        <v>22185</v>
      </c>
    </row>
    <row r="1865" spans="1:15" ht="72" customHeight="1" x14ac:dyDescent="0.3">
      <c r="A1865" s="2">
        <v>1846</v>
      </c>
      <c r="B1865" s="242" t="s">
        <v>22045</v>
      </c>
      <c r="C1865" s="246" t="s">
        <v>14394</v>
      </c>
      <c r="D1865" s="246"/>
      <c r="E1865" s="246"/>
      <c r="F1865" s="246"/>
      <c r="G1865" s="207"/>
      <c r="H1865" s="207"/>
      <c r="I1865" s="207" t="s">
        <v>12545</v>
      </c>
      <c r="J1865" s="66" t="s">
        <v>12547</v>
      </c>
      <c r="K1865" s="207"/>
      <c r="L1865" s="66"/>
      <c r="M1865" s="201" t="s">
        <v>12550</v>
      </c>
      <c r="N1865" s="207"/>
      <c r="O1865" s="245" t="s">
        <v>22185</v>
      </c>
    </row>
    <row r="1866" spans="1:15" ht="72" customHeight="1" x14ac:dyDescent="0.3">
      <c r="A1866" s="2">
        <v>1847</v>
      </c>
      <c r="B1866" s="242" t="s">
        <v>22045</v>
      </c>
      <c r="C1866" s="246" t="s">
        <v>14395</v>
      </c>
      <c r="D1866" s="246"/>
      <c r="E1866" s="246"/>
      <c r="F1866" s="246"/>
      <c r="G1866" s="207"/>
      <c r="H1866" s="207"/>
      <c r="I1866" s="207" t="s">
        <v>12545</v>
      </c>
      <c r="J1866" s="66" t="s">
        <v>12547</v>
      </c>
      <c r="K1866" s="207"/>
      <c r="L1866" s="66"/>
      <c r="M1866" s="201" t="s">
        <v>12550</v>
      </c>
      <c r="N1866" s="207"/>
      <c r="O1866" s="245" t="s">
        <v>22185</v>
      </c>
    </row>
    <row r="1867" spans="1:15" ht="72" customHeight="1" x14ac:dyDescent="0.3">
      <c r="A1867" s="2">
        <v>1848</v>
      </c>
      <c r="B1867" s="242" t="s">
        <v>22045</v>
      </c>
      <c r="C1867" s="246" t="s">
        <v>14396</v>
      </c>
      <c r="D1867" s="246"/>
      <c r="E1867" s="246"/>
      <c r="F1867" s="246"/>
      <c r="G1867" s="207"/>
      <c r="H1867" s="207"/>
      <c r="I1867" s="207" t="s">
        <v>12545</v>
      </c>
      <c r="J1867" s="66" t="s">
        <v>12547</v>
      </c>
      <c r="K1867" s="207"/>
      <c r="L1867" s="66"/>
      <c r="M1867" s="201" t="s">
        <v>12550</v>
      </c>
      <c r="N1867" s="207"/>
      <c r="O1867" s="245" t="s">
        <v>22185</v>
      </c>
    </row>
    <row r="1868" spans="1:15" ht="72" customHeight="1" x14ac:dyDescent="0.3">
      <c r="A1868" s="2">
        <v>1853</v>
      </c>
      <c r="B1868" s="242" t="s">
        <v>22045</v>
      </c>
      <c r="C1868" s="246" t="s">
        <v>14397</v>
      </c>
      <c r="D1868" s="246"/>
      <c r="E1868" s="246"/>
      <c r="F1868" s="246"/>
      <c r="G1868" s="207"/>
      <c r="H1868" s="207"/>
      <c r="I1868" s="207" t="s">
        <v>12545</v>
      </c>
      <c r="J1868" s="66" t="s">
        <v>12547</v>
      </c>
      <c r="K1868" s="207"/>
      <c r="L1868" s="66"/>
      <c r="M1868" s="201" t="s">
        <v>12550</v>
      </c>
      <c r="N1868" s="207"/>
      <c r="O1868" s="245" t="s">
        <v>22185</v>
      </c>
    </row>
    <row r="1869" spans="1:15" ht="72" customHeight="1" x14ac:dyDescent="0.3">
      <c r="A1869" s="2">
        <v>1856</v>
      </c>
      <c r="B1869" s="242" t="s">
        <v>22045</v>
      </c>
      <c r="C1869" s="246" t="s">
        <v>20995</v>
      </c>
      <c r="D1869" s="246"/>
      <c r="E1869" s="246"/>
      <c r="F1869" s="246"/>
      <c r="G1869" s="207"/>
      <c r="H1869" s="207"/>
      <c r="I1869" s="207" t="s">
        <v>12545</v>
      </c>
      <c r="J1869" s="66" t="s">
        <v>12547</v>
      </c>
      <c r="K1869" s="207"/>
      <c r="L1869" s="66"/>
      <c r="M1869" s="201" t="s">
        <v>12550</v>
      </c>
      <c r="N1869" s="207"/>
      <c r="O1869" s="245" t="s">
        <v>22185</v>
      </c>
    </row>
    <row r="1870" spans="1:15" ht="72" customHeight="1" x14ac:dyDescent="0.3">
      <c r="A1870" s="2">
        <v>1860</v>
      </c>
      <c r="B1870" s="242" t="s">
        <v>22045</v>
      </c>
      <c r="C1870" s="246" t="s">
        <v>20996</v>
      </c>
      <c r="D1870" s="246"/>
      <c r="E1870" s="246"/>
      <c r="F1870" s="246"/>
      <c r="G1870" s="207"/>
      <c r="H1870" s="207"/>
      <c r="I1870" s="207" t="s">
        <v>12545</v>
      </c>
      <c r="J1870" s="66" t="s">
        <v>12547</v>
      </c>
      <c r="K1870" s="207"/>
      <c r="L1870" s="66"/>
      <c r="M1870" s="201" t="s">
        <v>12550</v>
      </c>
      <c r="N1870" s="207"/>
      <c r="O1870" s="245" t="s">
        <v>22185</v>
      </c>
    </row>
    <row r="1871" spans="1:15" ht="72" customHeight="1" x14ac:dyDescent="0.3">
      <c r="A1871" s="2">
        <v>1861</v>
      </c>
      <c r="B1871" s="246" t="s">
        <v>22046</v>
      </c>
      <c r="C1871" s="246" t="s">
        <v>14398</v>
      </c>
      <c r="D1871" s="246"/>
      <c r="E1871" s="246"/>
      <c r="F1871" s="246"/>
      <c r="G1871" s="207"/>
      <c r="H1871" s="207"/>
      <c r="I1871" s="207" t="s">
        <v>12545</v>
      </c>
      <c r="J1871" s="66" t="s">
        <v>12547</v>
      </c>
      <c r="K1871" s="207"/>
      <c r="L1871" s="66"/>
      <c r="M1871" s="201" t="s">
        <v>12550</v>
      </c>
      <c r="N1871" s="207"/>
      <c r="O1871" s="245" t="s">
        <v>22185</v>
      </c>
    </row>
    <row r="1872" spans="1:15" ht="72" customHeight="1" x14ac:dyDescent="0.3">
      <c r="A1872" s="2">
        <v>1862</v>
      </c>
      <c r="B1872" s="246" t="s">
        <v>22046</v>
      </c>
      <c r="C1872" s="246" t="s">
        <v>21022</v>
      </c>
      <c r="D1872" s="246"/>
      <c r="E1872" s="246"/>
      <c r="F1872" s="246"/>
      <c r="G1872" s="207"/>
      <c r="H1872" s="207"/>
      <c r="I1872" s="207" t="s">
        <v>12545</v>
      </c>
      <c r="J1872" s="66" t="s">
        <v>12547</v>
      </c>
      <c r="K1872" s="207"/>
      <c r="L1872" s="66"/>
      <c r="M1872" s="201" t="s">
        <v>12550</v>
      </c>
      <c r="N1872" s="207"/>
      <c r="O1872" s="245" t="s">
        <v>22185</v>
      </c>
    </row>
    <row r="1873" spans="1:15" ht="72" customHeight="1" x14ac:dyDescent="0.3">
      <c r="A1873" s="2">
        <v>1863</v>
      </c>
      <c r="B1873" s="246" t="s">
        <v>14386</v>
      </c>
      <c r="C1873" s="246" t="s">
        <v>14399</v>
      </c>
      <c r="D1873" s="246"/>
      <c r="E1873" s="246"/>
      <c r="F1873" s="246"/>
      <c r="G1873" s="207"/>
      <c r="H1873" s="207"/>
      <c r="I1873" s="207" t="s">
        <v>12545</v>
      </c>
      <c r="J1873" s="66" t="s">
        <v>12547</v>
      </c>
      <c r="K1873" s="242" t="s">
        <v>22180</v>
      </c>
      <c r="L1873" s="66" t="s">
        <v>22181</v>
      </c>
      <c r="M1873" s="201" t="s">
        <v>12550</v>
      </c>
      <c r="N1873" s="207"/>
      <c r="O1873" s="38" t="s">
        <v>22182</v>
      </c>
    </row>
    <row r="1874" spans="1:15" ht="72" customHeight="1" x14ac:dyDescent="0.3">
      <c r="A1874" s="2">
        <v>1864</v>
      </c>
      <c r="B1874" s="242" t="s">
        <v>22045</v>
      </c>
      <c r="C1874" s="246" t="s">
        <v>14400</v>
      </c>
      <c r="D1874" s="246"/>
      <c r="E1874" s="246"/>
      <c r="F1874" s="246"/>
      <c r="G1874" s="207"/>
      <c r="H1874" s="207"/>
      <c r="I1874" s="207" t="s">
        <v>12545</v>
      </c>
      <c r="J1874" s="66" t="s">
        <v>12547</v>
      </c>
      <c r="K1874" s="207"/>
      <c r="L1874" s="66"/>
      <c r="M1874" s="201" t="s">
        <v>12550</v>
      </c>
      <c r="N1874" s="207"/>
      <c r="O1874" s="245" t="s">
        <v>22185</v>
      </c>
    </row>
    <row r="1875" spans="1:15" ht="72" customHeight="1" x14ac:dyDescent="0.3">
      <c r="A1875" s="2">
        <v>1865</v>
      </c>
      <c r="B1875" s="246" t="s">
        <v>14386</v>
      </c>
      <c r="C1875" s="246" t="s">
        <v>14401</v>
      </c>
      <c r="D1875" s="246"/>
      <c r="E1875" s="246"/>
      <c r="F1875" s="246"/>
      <c r="G1875" s="207"/>
      <c r="H1875" s="207"/>
      <c r="I1875" s="207" t="s">
        <v>12545</v>
      </c>
      <c r="J1875" s="66" t="s">
        <v>12547</v>
      </c>
      <c r="K1875" s="242" t="s">
        <v>22180</v>
      </c>
      <c r="L1875" s="66" t="s">
        <v>22181</v>
      </c>
      <c r="M1875" s="201" t="s">
        <v>12550</v>
      </c>
      <c r="N1875" s="207"/>
      <c r="O1875" s="38" t="s">
        <v>22182</v>
      </c>
    </row>
    <row r="1876" spans="1:15" ht="72" customHeight="1" x14ac:dyDescent="0.3">
      <c r="A1876" s="2">
        <v>1866</v>
      </c>
      <c r="B1876" s="242" t="s">
        <v>22045</v>
      </c>
      <c r="C1876" s="246" t="s">
        <v>14402</v>
      </c>
      <c r="D1876" s="246"/>
      <c r="E1876" s="246"/>
      <c r="F1876" s="246"/>
      <c r="G1876" s="207"/>
      <c r="H1876" s="207"/>
      <c r="I1876" s="207" t="s">
        <v>12545</v>
      </c>
      <c r="J1876" s="66" t="s">
        <v>12547</v>
      </c>
      <c r="K1876" s="207"/>
      <c r="L1876" s="66"/>
      <c r="M1876" s="201" t="s">
        <v>12550</v>
      </c>
      <c r="N1876" s="207"/>
      <c r="O1876" s="245" t="s">
        <v>22185</v>
      </c>
    </row>
    <row r="1877" spans="1:15" ht="72" customHeight="1" x14ac:dyDescent="0.3">
      <c r="A1877" s="2">
        <v>1867</v>
      </c>
      <c r="B1877" s="246" t="s">
        <v>14386</v>
      </c>
      <c r="C1877" s="246" t="s">
        <v>14403</v>
      </c>
      <c r="D1877" s="246"/>
      <c r="E1877" s="246"/>
      <c r="F1877" s="246"/>
      <c r="G1877" s="207"/>
      <c r="H1877" s="207"/>
      <c r="I1877" s="207" t="s">
        <v>12545</v>
      </c>
      <c r="J1877" s="66" t="s">
        <v>12547</v>
      </c>
      <c r="K1877" s="207" t="s">
        <v>21482</v>
      </c>
      <c r="L1877" s="66" t="s">
        <v>21483</v>
      </c>
      <c r="M1877" s="201" t="s">
        <v>12550</v>
      </c>
      <c r="N1877" s="207"/>
      <c r="O1877" s="38" t="s">
        <v>21481</v>
      </c>
    </row>
    <row r="1878" spans="1:15" ht="72" customHeight="1" x14ac:dyDescent="0.3">
      <c r="A1878" s="2">
        <v>1868</v>
      </c>
      <c r="B1878" s="246" t="s">
        <v>22046</v>
      </c>
      <c r="C1878" s="246" t="s">
        <v>14404</v>
      </c>
      <c r="D1878" s="246"/>
      <c r="E1878" s="246"/>
      <c r="F1878" s="246"/>
      <c r="G1878" s="207"/>
      <c r="H1878" s="207"/>
      <c r="I1878" s="207" t="s">
        <v>12545</v>
      </c>
      <c r="J1878" s="66" t="s">
        <v>12547</v>
      </c>
      <c r="K1878" s="207"/>
      <c r="L1878" s="66"/>
      <c r="M1878" s="201" t="s">
        <v>12550</v>
      </c>
      <c r="N1878" s="207"/>
      <c r="O1878" s="245" t="s">
        <v>22185</v>
      </c>
    </row>
    <row r="1879" spans="1:15" ht="72" customHeight="1" x14ac:dyDescent="0.3">
      <c r="A1879" s="2">
        <v>1869</v>
      </c>
      <c r="B1879" s="242" t="s">
        <v>22045</v>
      </c>
      <c r="C1879" s="246" t="s">
        <v>14405</v>
      </c>
      <c r="D1879" s="246"/>
      <c r="E1879" s="246"/>
      <c r="F1879" s="246"/>
      <c r="G1879" s="207"/>
      <c r="H1879" s="207"/>
      <c r="I1879" s="207" t="s">
        <v>12545</v>
      </c>
      <c r="J1879" s="66" t="s">
        <v>12547</v>
      </c>
      <c r="K1879" s="207"/>
      <c r="L1879" s="66"/>
      <c r="M1879" s="201" t="s">
        <v>12550</v>
      </c>
      <c r="N1879" s="207"/>
      <c r="O1879" s="245" t="s">
        <v>22185</v>
      </c>
    </row>
    <row r="1880" spans="1:15" ht="72" customHeight="1" x14ac:dyDescent="0.3">
      <c r="A1880" s="2">
        <v>1870</v>
      </c>
      <c r="B1880" s="246" t="s">
        <v>22046</v>
      </c>
      <c r="C1880" s="246" t="s">
        <v>20997</v>
      </c>
      <c r="D1880" s="246"/>
      <c r="E1880" s="246"/>
      <c r="F1880" s="246"/>
      <c r="G1880" s="207"/>
      <c r="H1880" s="207"/>
      <c r="I1880" s="207" t="s">
        <v>12545</v>
      </c>
      <c r="J1880" s="66" t="s">
        <v>12547</v>
      </c>
      <c r="K1880" s="207"/>
      <c r="L1880" s="66"/>
      <c r="M1880" s="201" t="s">
        <v>12550</v>
      </c>
      <c r="N1880" s="207"/>
      <c r="O1880" s="245" t="s">
        <v>22185</v>
      </c>
    </row>
    <row r="1881" spans="1:15" ht="72" customHeight="1" x14ac:dyDescent="0.3">
      <c r="A1881" s="2">
        <v>1871</v>
      </c>
      <c r="B1881" s="105" t="s">
        <v>15379</v>
      </c>
      <c r="C1881" s="105" t="s">
        <v>22064</v>
      </c>
      <c r="D1881" s="246"/>
      <c r="E1881" s="246"/>
      <c r="F1881" s="246"/>
      <c r="G1881" s="207"/>
      <c r="H1881" s="207"/>
      <c r="I1881" s="207" t="s">
        <v>12545</v>
      </c>
      <c r="J1881" s="66" t="s">
        <v>12547</v>
      </c>
      <c r="K1881" s="207"/>
      <c r="L1881" s="66"/>
      <c r="M1881" s="201" t="s">
        <v>12550</v>
      </c>
      <c r="N1881" s="207"/>
      <c r="O1881" s="245" t="s">
        <v>22186</v>
      </c>
    </row>
    <row r="1882" spans="1:15" ht="72" customHeight="1" x14ac:dyDescent="0.3">
      <c r="A1882" s="2">
        <v>1872</v>
      </c>
      <c r="B1882" s="105" t="s">
        <v>15379</v>
      </c>
      <c r="C1882" s="105" t="s">
        <v>22065</v>
      </c>
      <c r="D1882" s="246"/>
      <c r="E1882" s="246"/>
      <c r="F1882" s="246"/>
      <c r="G1882" s="207"/>
      <c r="H1882" s="207"/>
      <c r="I1882" s="207" t="s">
        <v>12545</v>
      </c>
      <c r="J1882" s="66" t="s">
        <v>12547</v>
      </c>
      <c r="K1882" s="207"/>
      <c r="L1882" s="66"/>
      <c r="M1882" s="201" t="s">
        <v>12550</v>
      </c>
      <c r="N1882" s="207"/>
      <c r="O1882" s="245" t="s">
        <v>22186</v>
      </c>
    </row>
    <row r="1883" spans="1:15" ht="72" customHeight="1" x14ac:dyDescent="0.3">
      <c r="A1883" s="2">
        <v>1873</v>
      </c>
      <c r="B1883" s="242" t="s">
        <v>22045</v>
      </c>
      <c r="C1883" s="246" t="s">
        <v>14406</v>
      </c>
      <c r="D1883" s="246"/>
      <c r="E1883" s="246"/>
      <c r="F1883" s="246"/>
      <c r="G1883" s="207"/>
      <c r="H1883" s="207"/>
      <c r="I1883" s="207" t="s">
        <v>12545</v>
      </c>
      <c r="J1883" s="66" t="s">
        <v>12547</v>
      </c>
      <c r="K1883" s="207"/>
      <c r="L1883" s="66"/>
      <c r="M1883" s="201" t="s">
        <v>12550</v>
      </c>
      <c r="N1883" s="207"/>
      <c r="O1883" s="245" t="s">
        <v>22185</v>
      </c>
    </row>
    <row r="1884" spans="1:15" ht="72" customHeight="1" x14ac:dyDescent="0.3">
      <c r="A1884" s="2">
        <v>1874</v>
      </c>
      <c r="B1884" s="242" t="s">
        <v>22044</v>
      </c>
      <c r="C1884" s="105" t="s">
        <v>22062</v>
      </c>
      <c r="D1884" s="246"/>
      <c r="E1884" s="246"/>
      <c r="F1884" s="246"/>
      <c r="G1884" s="207"/>
      <c r="H1884" s="207"/>
      <c r="I1884" s="207" t="s">
        <v>12545</v>
      </c>
      <c r="J1884" s="66" t="s">
        <v>12547</v>
      </c>
      <c r="K1884" s="207"/>
      <c r="L1884" s="66"/>
      <c r="M1884" s="201" t="s">
        <v>12550</v>
      </c>
      <c r="N1884" s="207"/>
      <c r="O1884" s="245" t="s">
        <v>22185</v>
      </c>
    </row>
    <row r="1885" spans="1:15" ht="72" customHeight="1" x14ac:dyDescent="0.3">
      <c r="A1885" s="2">
        <v>1875</v>
      </c>
      <c r="B1885" s="242" t="s">
        <v>22045</v>
      </c>
      <c r="C1885" s="246" t="s">
        <v>14407</v>
      </c>
      <c r="D1885" s="246"/>
      <c r="E1885" s="246"/>
      <c r="F1885" s="246"/>
      <c r="G1885" s="207"/>
      <c r="H1885" s="207"/>
      <c r="I1885" s="207" t="s">
        <v>12545</v>
      </c>
      <c r="J1885" s="66" t="s">
        <v>12547</v>
      </c>
      <c r="K1885" s="207"/>
      <c r="L1885" s="66"/>
      <c r="M1885" s="201" t="s">
        <v>12550</v>
      </c>
      <c r="N1885" s="207"/>
      <c r="O1885" s="245" t="s">
        <v>22185</v>
      </c>
    </row>
    <row r="1886" spans="1:15" ht="72" customHeight="1" x14ac:dyDescent="0.3">
      <c r="A1886" s="2">
        <v>1876</v>
      </c>
      <c r="B1886" s="242" t="s">
        <v>22045</v>
      </c>
      <c r="C1886" s="246" t="s">
        <v>14408</v>
      </c>
      <c r="D1886" s="246"/>
      <c r="E1886" s="246"/>
      <c r="F1886" s="246"/>
      <c r="G1886" s="207"/>
      <c r="H1886" s="207"/>
      <c r="I1886" s="207" t="s">
        <v>12545</v>
      </c>
      <c r="J1886" s="66" t="s">
        <v>12547</v>
      </c>
      <c r="K1886" s="207"/>
      <c r="L1886" s="66"/>
      <c r="M1886" s="201" t="s">
        <v>12550</v>
      </c>
      <c r="N1886" s="207"/>
      <c r="O1886" s="245" t="s">
        <v>22185</v>
      </c>
    </row>
    <row r="1887" spans="1:15" ht="72" customHeight="1" x14ac:dyDescent="0.3">
      <c r="A1887" s="2">
        <v>1877</v>
      </c>
      <c r="B1887" s="242" t="s">
        <v>22045</v>
      </c>
      <c r="C1887" s="246" t="s">
        <v>14409</v>
      </c>
      <c r="D1887" s="246"/>
      <c r="E1887" s="246"/>
      <c r="F1887" s="246"/>
      <c r="G1887" s="207"/>
      <c r="H1887" s="207"/>
      <c r="I1887" s="207" t="s">
        <v>12545</v>
      </c>
      <c r="J1887" s="66" t="s">
        <v>12547</v>
      </c>
      <c r="K1887" s="207"/>
      <c r="L1887" s="66"/>
      <c r="M1887" s="201" t="s">
        <v>12550</v>
      </c>
      <c r="N1887" s="207"/>
      <c r="O1887" s="245" t="s">
        <v>22185</v>
      </c>
    </row>
    <row r="1888" spans="1:15" ht="72" customHeight="1" x14ac:dyDescent="0.3">
      <c r="A1888" s="2">
        <v>1878</v>
      </c>
      <c r="B1888" s="242" t="s">
        <v>22045</v>
      </c>
      <c r="C1888" s="246" t="s">
        <v>14410</v>
      </c>
      <c r="D1888" s="246"/>
      <c r="E1888" s="246"/>
      <c r="F1888" s="246"/>
      <c r="G1888" s="207"/>
      <c r="H1888" s="207"/>
      <c r="I1888" s="207" t="s">
        <v>12545</v>
      </c>
      <c r="J1888" s="66" t="s">
        <v>12547</v>
      </c>
      <c r="K1888" s="207"/>
      <c r="L1888" s="66"/>
      <c r="M1888" s="201" t="s">
        <v>12550</v>
      </c>
      <c r="N1888" s="207"/>
      <c r="O1888" s="245" t="s">
        <v>22185</v>
      </c>
    </row>
    <row r="1889" spans="1:15" ht="72" customHeight="1" x14ac:dyDescent="0.3">
      <c r="A1889" s="2">
        <v>1879</v>
      </c>
      <c r="B1889" s="246" t="s">
        <v>22046</v>
      </c>
      <c r="C1889" s="246" t="s">
        <v>14411</v>
      </c>
      <c r="D1889" s="246"/>
      <c r="E1889" s="246"/>
      <c r="F1889" s="246"/>
      <c r="G1889" s="207"/>
      <c r="H1889" s="207"/>
      <c r="I1889" s="207" t="s">
        <v>12545</v>
      </c>
      <c r="J1889" s="66" t="s">
        <v>12547</v>
      </c>
      <c r="K1889" s="207"/>
      <c r="L1889" s="66"/>
      <c r="M1889" s="201" t="s">
        <v>12550</v>
      </c>
      <c r="N1889" s="207"/>
      <c r="O1889" s="245" t="s">
        <v>22185</v>
      </c>
    </row>
    <row r="1890" spans="1:15" ht="72" customHeight="1" x14ac:dyDescent="0.3">
      <c r="A1890" s="2">
        <v>1880</v>
      </c>
      <c r="B1890" s="242" t="s">
        <v>22045</v>
      </c>
      <c r="C1890" s="246" t="s">
        <v>14412</v>
      </c>
      <c r="D1890" s="246"/>
      <c r="E1890" s="246"/>
      <c r="F1890" s="246"/>
      <c r="G1890" s="207"/>
      <c r="H1890" s="207"/>
      <c r="I1890" s="207" t="s">
        <v>12545</v>
      </c>
      <c r="J1890" s="66" t="s">
        <v>12547</v>
      </c>
      <c r="K1890" s="207"/>
      <c r="L1890" s="66"/>
      <c r="M1890" s="201" t="s">
        <v>12550</v>
      </c>
      <c r="N1890" s="207"/>
      <c r="O1890" s="245" t="s">
        <v>22185</v>
      </c>
    </row>
    <row r="1891" spans="1:15" ht="72" customHeight="1" x14ac:dyDescent="0.3">
      <c r="A1891" s="2">
        <v>1881</v>
      </c>
      <c r="B1891" s="242" t="s">
        <v>22045</v>
      </c>
      <c r="C1891" s="246" t="s">
        <v>20998</v>
      </c>
      <c r="D1891" s="246"/>
      <c r="E1891" s="246"/>
      <c r="F1891" s="246"/>
      <c r="G1891" s="207"/>
      <c r="H1891" s="207"/>
      <c r="I1891" s="207" t="s">
        <v>12545</v>
      </c>
      <c r="J1891" s="66" t="s">
        <v>12547</v>
      </c>
      <c r="K1891" s="207"/>
      <c r="L1891" s="66"/>
      <c r="M1891" s="201" t="s">
        <v>12550</v>
      </c>
      <c r="N1891" s="207"/>
      <c r="O1891" s="245" t="s">
        <v>22185</v>
      </c>
    </row>
    <row r="1892" spans="1:15" ht="72" customHeight="1" x14ac:dyDescent="0.3">
      <c r="A1892" s="2">
        <v>1882</v>
      </c>
      <c r="B1892" s="242" t="s">
        <v>22045</v>
      </c>
      <c r="C1892" s="246" t="s">
        <v>14413</v>
      </c>
      <c r="D1892" s="246"/>
      <c r="E1892" s="246"/>
      <c r="F1892" s="246"/>
      <c r="G1892" s="207"/>
      <c r="H1892" s="207"/>
      <c r="I1892" s="207" t="s">
        <v>12545</v>
      </c>
      <c r="J1892" s="66" t="s">
        <v>12547</v>
      </c>
      <c r="K1892" s="207"/>
      <c r="L1892" s="66"/>
      <c r="M1892" s="201" t="s">
        <v>12550</v>
      </c>
      <c r="N1892" s="207"/>
      <c r="O1892" s="245" t="s">
        <v>22185</v>
      </c>
    </row>
    <row r="1893" spans="1:15" ht="72" customHeight="1" x14ac:dyDescent="0.3">
      <c r="A1893" s="2">
        <v>1883</v>
      </c>
      <c r="B1893" s="242" t="s">
        <v>22045</v>
      </c>
      <c r="C1893" s="246" t="s">
        <v>14414</v>
      </c>
      <c r="D1893" s="246"/>
      <c r="E1893" s="246"/>
      <c r="F1893" s="246"/>
      <c r="G1893" s="207"/>
      <c r="H1893" s="207"/>
      <c r="I1893" s="207" t="s">
        <v>12545</v>
      </c>
      <c r="J1893" s="66" t="s">
        <v>12547</v>
      </c>
      <c r="K1893" s="207"/>
      <c r="L1893" s="66"/>
      <c r="M1893" s="201" t="s">
        <v>12550</v>
      </c>
      <c r="N1893" s="207"/>
      <c r="O1893" s="245" t="s">
        <v>22185</v>
      </c>
    </row>
    <row r="1894" spans="1:15" ht="72" customHeight="1" x14ac:dyDescent="0.3">
      <c r="A1894" s="2">
        <v>1884</v>
      </c>
      <c r="B1894" s="105" t="s">
        <v>15379</v>
      </c>
      <c r="C1894" s="105" t="s">
        <v>22063</v>
      </c>
      <c r="D1894" s="246"/>
      <c r="E1894" s="246"/>
      <c r="F1894" s="246"/>
      <c r="G1894" s="207"/>
      <c r="H1894" s="207"/>
      <c r="I1894" s="207" t="s">
        <v>12545</v>
      </c>
      <c r="J1894" s="66" t="s">
        <v>12547</v>
      </c>
      <c r="K1894" s="207"/>
      <c r="L1894" s="66"/>
      <c r="M1894" s="201" t="s">
        <v>12550</v>
      </c>
      <c r="N1894" s="207"/>
      <c r="O1894" s="245" t="s">
        <v>22186</v>
      </c>
    </row>
    <row r="1895" spans="1:15" ht="72" customHeight="1" x14ac:dyDescent="0.3">
      <c r="A1895" s="2">
        <v>1885</v>
      </c>
      <c r="B1895" s="105" t="s">
        <v>15379</v>
      </c>
      <c r="C1895" s="105" t="s">
        <v>22059</v>
      </c>
      <c r="D1895" s="246"/>
      <c r="E1895" s="73"/>
      <c r="F1895" s="116"/>
      <c r="G1895" s="39"/>
      <c r="H1895" s="25"/>
      <c r="I1895" s="26">
        <v>42403</v>
      </c>
      <c r="J1895" s="38" t="s">
        <v>15349</v>
      </c>
      <c r="K1895" s="207"/>
      <c r="L1895" s="66"/>
      <c r="M1895" s="201" t="s">
        <v>12550</v>
      </c>
      <c r="N1895" s="207"/>
      <c r="O1895" s="245" t="s">
        <v>22191</v>
      </c>
    </row>
    <row r="1896" spans="1:15" ht="72" customHeight="1" x14ac:dyDescent="0.3">
      <c r="A1896" s="2">
        <v>1886</v>
      </c>
      <c r="B1896" s="242" t="s">
        <v>22045</v>
      </c>
      <c r="C1896" s="246" t="s">
        <v>14415</v>
      </c>
      <c r="D1896" s="246"/>
      <c r="E1896" s="246"/>
      <c r="F1896" s="246"/>
      <c r="G1896" s="207"/>
      <c r="H1896" s="207"/>
      <c r="I1896" s="207" t="s">
        <v>12545</v>
      </c>
      <c r="J1896" s="66" t="s">
        <v>12547</v>
      </c>
      <c r="K1896" s="207"/>
      <c r="L1896" s="66"/>
      <c r="M1896" s="201" t="s">
        <v>12550</v>
      </c>
      <c r="N1896" s="207"/>
      <c r="O1896" s="245" t="s">
        <v>22185</v>
      </c>
    </row>
    <row r="1897" spans="1:15" ht="72" customHeight="1" x14ac:dyDescent="0.3">
      <c r="A1897" s="2">
        <v>1887</v>
      </c>
      <c r="B1897" s="242" t="s">
        <v>22045</v>
      </c>
      <c r="C1897" s="246" t="s">
        <v>20999</v>
      </c>
      <c r="D1897" s="246"/>
      <c r="E1897" s="246"/>
      <c r="F1897" s="246"/>
      <c r="G1897" s="207"/>
      <c r="H1897" s="207"/>
      <c r="I1897" s="207" t="s">
        <v>12545</v>
      </c>
      <c r="J1897" s="66" t="s">
        <v>12547</v>
      </c>
      <c r="K1897" s="207"/>
      <c r="L1897" s="66"/>
      <c r="M1897" s="201" t="s">
        <v>12550</v>
      </c>
      <c r="N1897" s="207"/>
      <c r="O1897" s="245" t="s">
        <v>22185</v>
      </c>
    </row>
    <row r="1898" spans="1:15" ht="72" customHeight="1" x14ac:dyDescent="0.3">
      <c r="A1898" s="2">
        <v>1888</v>
      </c>
      <c r="B1898" s="242" t="s">
        <v>22045</v>
      </c>
      <c r="C1898" s="246" t="s">
        <v>22070</v>
      </c>
      <c r="D1898" s="246"/>
      <c r="E1898" s="246"/>
      <c r="F1898" s="246"/>
      <c r="G1898" s="207"/>
      <c r="H1898" s="207"/>
      <c r="I1898" s="207" t="s">
        <v>12545</v>
      </c>
      <c r="J1898" s="66" t="s">
        <v>12547</v>
      </c>
      <c r="K1898" s="207"/>
      <c r="L1898" s="66"/>
      <c r="M1898" s="201" t="s">
        <v>12550</v>
      </c>
      <c r="N1898" s="207"/>
      <c r="O1898" s="245" t="s">
        <v>22185</v>
      </c>
    </row>
    <row r="1899" spans="1:15" ht="72" customHeight="1" x14ac:dyDescent="0.3">
      <c r="A1899" s="2">
        <v>1889</v>
      </c>
      <c r="B1899" s="242" t="s">
        <v>22051</v>
      </c>
      <c r="C1899" s="105" t="s">
        <v>22052</v>
      </c>
      <c r="D1899" s="246"/>
      <c r="E1899" s="246"/>
      <c r="F1899" s="246"/>
      <c r="G1899" s="207"/>
      <c r="H1899" s="207"/>
      <c r="I1899" s="207" t="s">
        <v>12545</v>
      </c>
      <c r="J1899" s="66" t="s">
        <v>12547</v>
      </c>
      <c r="K1899" s="207"/>
      <c r="L1899" s="66"/>
      <c r="M1899" s="201" t="s">
        <v>12550</v>
      </c>
      <c r="N1899" s="207"/>
      <c r="O1899" s="245" t="s">
        <v>22192</v>
      </c>
    </row>
    <row r="1900" spans="1:15" ht="72" customHeight="1" x14ac:dyDescent="0.3">
      <c r="A1900" s="2">
        <v>1890</v>
      </c>
      <c r="B1900" s="246" t="s">
        <v>22046</v>
      </c>
      <c r="C1900" s="246" t="s">
        <v>14416</v>
      </c>
      <c r="D1900" s="246"/>
      <c r="E1900" s="246"/>
      <c r="F1900" s="246"/>
      <c r="G1900" s="207"/>
      <c r="H1900" s="207"/>
      <c r="I1900" s="207" t="s">
        <v>12545</v>
      </c>
      <c r="J1900" s="66" t="s">
        <v>12547</v>
      </c>
      <c r="K1900" s="207"/>
      <c r="L1900" s="66"/>
      <c r="M1900" s="201" t="s">
        <v>12550</v>
      </c>
      <c r="N1900" s="207"/>
      <c r="O1900" s="245" t="s">
        <v>22185</v>
      </c>
    </row>
    <row r="1901" spans="1:15" ht="72" customHeight="1" x14ac:dyDescent="0.3">
      <c r="A1901" s="2">
        <v>1891</v>
      </c>
      <c r="B1901" s="246" t="s">
        <v>22046</v>
      </c>
      <c r="C1901" s="246" t="s">
        <v>14417</v>
      </c>
      <c r="D1901" s="246"/>
      <c r="E1901" s="246"/>
      <c r="F1901" s="246"/>
      <c r="G1901" s="207"/>
      <c r="H1901" s="207"/>
      <c r="I1901" s="207" t="s">
        <v>12545</v>
      </c>
      <c r="J1901" s="66" t="s">
        <v>12547</v>
      </c>
      <c r="K1901" s="207"/>
      <c r="L1901" s="66"/>
      <c r="M1901" s="201" t="s">
        <v>12550</v>
      </c>
      <c r="N1901" s="207"/>
      <c r="O1901" s="245" t="s">
        <v>22185</v>
      </c>
    </row>
    <row r="1902" spans="1:15" ht="72" customHeight="1" x14ac:dyDescent="0.3">
      <c r="A1902" s="2">
        <v>1892</v>
      </c>
      <c r="B1902" s="246" t="s">
        <v>22046</v>
      </c>
      <c r="C1902" s="246" t="s">
        <v>14418</v>
      </c>
      <c r="D1902" s="246"/>
      <c r="E1902" s="246"/>
      <c r="F1902" s="246"/>
      <c r="G1902" s="207"/>
      <c r="H1902" s="207"/>
      <c r="I1902" s="207" t="s">
        <v>12545</v>
      </c>
      <c r="J1902" s="66" t="s">
        <v>12547</v>
      </c>
      <c r="K1902" s="207"/>
      <c r="L1902" s="66"/>
      <c r="M1902" s="201" t="s">
        <v>12550</v>
      </c>
      <c r="N1902" s="207"/>
      <c r="O1902" s="245" t="s">
        <v>22185</v>
      </c>
    </row>
    <row r="1903" spans="1:15" ht="72" customHeight="1" x14ac:dyDescent="0.3">
      <c r="A1903" s="2">
        <v>1893</v>
      </c>
      <c r="B1903" s="246" t="s">
        <v>22046</v>
      </c>
      <c r="C1903" s="246" t="s">
        <v>14419</v>
      </c>
      <c r="D1903" s="246"/>
      <c r="E1903" s="246"/>
      <c r="F1903" s="246"/>
      <c r="G1903" s="207"/>
      <c r="H1903" s="207"/>
      <c r="I1903" s="207" t="s">
        <v>12545</v>
      </c>
      <c r="J1903" s="66" t="s">
        <v>12547</v>
      </c>
      <c r="K1903" s="207"/>
      <c r="L1903" s="66"/>
      <c r="M1903" s="201" t="s">
        <v>12550</v>
      </c>
      <c r="N1903" s="207"/>
      <c r="O1903" s="245" t="s">
        <v>22185</v>
      </c>
    </row>
    <row r="1904" spans="1:15" ht="72" customHeight="1" x14ac:dyDescent="0.3">
      <c r="A1904" s="2">
        <v>1894</v>
      </c>
      <c r="B1904" s="246" t="s">
        <v>22043</v>
      </c>
      <c r="C1904" s="246" t="s">
        <v>21000</v>
      </c>
      <c r="D1904" s="246"/>
      <c r="E1904" s="246"/>
      <c r="F1904" s="246"/>
      <c r="G1904" s="207"/>
      <c r="H1904" s="207"/>
      <c r="I1904" s="207" t="s">
        <v>12545</v>
      </c>
      <c r="J1904" s="66" t="s">
        <v>12547</v>
      </c>
      <c r="K1904" s="207"/>
      <c r="L1904" s="66"/>
      <c r="M1904" s="201" t="s">
        <v>12550</v>
      </c>
      <c r="N1904" s="207"/>
      <c r="O1904" s="245" t="s">
        <v>22185</v>
      </c>
    </row>
    <row r="1905" spans="1:15" ht="72" customHeight="1" x14ac:dyDescent="0.3">
      <c r="A1905" s="2">
        <v>1895</v>
      </c>
      <c r="B1905" s="246" t="s">
        <v>22046</v>
      </c>
      <c r="C1905" s="246" t="s">
        <v>14420</v>
      </c>
      <c r="D1905" s="246"/>
      <c r="E1905" s="246"/>
      <c r="F1905" s="246"/>
      <c r="G1905" s="207"/>
      <c r="H1905" s="207"/>
      <c r="I1905" s="207" t="s">
        <v>12545</v>
      </c>
      <c r="J1905" s="66" t="s">
        <v>12547</v>
      </c>
      <c r="K1905" s="207"/>
      <c r="L1905" s="66"/>
      <c r="M1905" s="201" t="s">
        <v>12550</v>
      </c>
      <c r="N1905" s="207"/>
      <c r="O1905" s="245" t="s">
        <v>22185</v>
      </c>
    </row>
    <row r="1906" spans="1:15" ht="72" customHeight="1" x14ac:dyDescent="0.3">
      <c r="A1906" s="2">
        <v>1896</v>
      </c>
      <c r="B1906" s="246" t="s">
        <v>14386</v>
      </c>
      <c r="C1906" s="246" t="s">
        <v>14421</v>
      </c>
      <c r="D1906" s="246"/>
      <c r="E1906" s="246"/>
      <c r="F1906" s="246"/>
      <c r="G1906" s="207"/>
      <c r="H1906" s="207"/>
      <c r="I1906" s="207" t="s">
        <v>12545</v>
      </c>
      <c r="J1906" s="66" t="s">
        <v>12547</v>
      </c>
      <c r="K1906" s="242" t="s">
        <v>22180</v>
      </c>
      <c r="L1906" s="66" t="s">
        <v>22181</v>
      </c>
      <c r="M1906" s="201" t="s">
        <v>12550</v>
      </c>
      <c r="N1906" s="207"/>
      <c r="O1906" s="38" t="s">
        <v>22182</v>
      </c>
    </row>
    <row r="1907" spans="1:15" ht="72" customHeight="1" x14ac:dyDescent="0.3">
      <c r="A1907" s="2">
        <v>1897</v>
      </c>
      <c r="B1907" s="246" t="s">
        <v>22043</v>
      </c>
      <c r="C1907" s="246" t="s">
        <v>21001</v>
      </c>
      <c r="D1907" s="246"/>
      <c r="E1907" s="246"/>
      <c r="F1907" s="246"/>
      <c r="G1907" s="207"/>
      <c r="H1907" s="207"/>
      <c r="I1907" s="207" t="s">
        <v>12545</v>
      </c>
      <c r="J1907" s="66" t="s">
        <v>12547</v>
      </c>
      <c r="K1907" s="207"/>
      <c r="L1907" s="66"/>
      <c r="M1907" s="201" t="s">
        <v>12550</v>
      </c>
      <c r="N1907" s="207"/>
      <c r="O1907" s="245" t="s">
        <v>22185</v>
      </c>
    </row>
    <row r="1908" spans="1:15" ht="72" customHeight="1" x14ac:dyDescent="0.3">
      <c r="A1908" s="2">
        <v>1898</v>
      </c>
      <c r="B1908" s="246" t="s">
        <v>22043</v>
      </c>
      <c r="C1908" s="246" t="s">
        <v>14422</v>
      </c>
      <c r="D1908" s="246"/>
      <c r="E1908" s="246"/>
      <c r="F1908" s="246"/>
      <c r="G1908" s="207"/>
      <c r="H1908" s="207"/>
      <c r="I1908" s="207" t="s">
        <v>12545</v>
      </c>
      <c r="J1908" s="66" t="s">
        <v>12547</v>
      </c>
      <c r="K1908" s="207"/>
      <c r="L1908" s="66"/>
      <c r="M1908" s="201" t="s">
        <v>12550</v>
      </c>
      <c r="N1908" s="207"/>
      <c r="O1908" s="245" t="s">
        <v>22185</v>
      </c>
    </row>
    <row r="1909" spans="1:15" ht="72" customHeight="1" x14ac:dyDescent="0.3">
      <c r="A1909" s="2">
        <v>1899</v>
      </c>
      <c r="B1909" s="246" t="s">
        <v>22043</v>
      </c>
      <c r="C1909" s="246" t="s">
        <v>14423</v>
      </c>
      <c r="D1909" s="246"/>
      <c r="E1909" s="246"/>
      <c r="F1909" s="246"/>
      <c r="G1909" s="207"/>
      <c r="H1909" s="207"/>
      <c r="I1909" s="207" t="s">
        <v>12545</v>
      </c>
      <c r="J1909" s="66" t="s">
        <v>12547</v>
      </c>
      <c r="K1909" s="207"/>
      <c r="L1909" s="66"/>
      <c r="M1909" s="201" t="s">
        <v>12550</v>
      </c>
      <c r="N1909" s="207"/>
      <c r="O1909" s="245" t="s">
        <v>22185</v>
      </c>
    </row>
    <row r="1910" spans="1:15" ht="72" customHeight="1" x14ac:dyDescent="0.3">
      <c r="A1910" s="2">
        <v>1900</v>
      </c>
      <c r="B1910" s="246" t="s">
        <v>22053</v>
      </c>
      <c r="C1910" s="105" t="s">
        <v>22054</v>
      </c>
      <c r="D1910" s="246"/>
      <c r="E1910" s="246"/>
      <c r="F1910" s="246"/>
      <c r="G1910" s="207"/>
      <c r="H1910" s="207"/>
      <c r="I1910" s="207" t="s">
        <v>12545</v>
      </c>
      <c r="J1910" s="66" t="s">
        <v>12547</v>
      </c>
      <c r="K1910" s="207"/>
      <c r="L1910" s="66"/>
      <c r="M1910" s="201" t="s">
        <v>12550</v>
      </c>
      <c r="N1910" s="207"/>
      <c r="O1910" s="245" t="s">
        <v>22192</v>
      </c>
    </row>
    <row r="1911" spans="1:15" ht="72" customHeight="1" x14ac:dyDescent="0.3">
      <c r="A1911" s="242">
        <v>1901</v>
      </c>
      <c r="B1911" s="245" t="s">
        <v>14590</v>
      </c>
      <c r="C1911" s="245" t="s">
        <v>14425</v>
      </c>
      <c r="D1911" s="86" t="s">
        <v>14581</v>
      </c>
      <c r="E1911" s="207"/>
      <c r="F1911" s="25">
        <v>106489</v>
      </c>
      <c r="G1911" s="207"/>
      <c r="H1911" s="207">
        <v>57.3</v>
      </c>
      <c r="I1911" s="207" t="s">
        <v>12545</v>
      </c>
      <c r="J1911" s="66" t="s">
        <v>12547</v>
      </c>
      <c r="K1911" s="207"/>
      <c r="L1911" s="66"/>
      <c r="M1911" s="201" t="s">
        <v>12550</v>
      </c>
      <c r="N1911" s="207"/>
      <c r="O1911" s="38"/>
    </row>
    <row r="1912" spans="1:15" ht="72" customHeight="1" x14ac:dyDescent="0.3">
      <c r="A1912" s="242">
        <v>1902</v>
      </c>
      <c r="B1912" s="245" t="s">
        <v>14591</v>
      </c>
      <c r="C1912" s="245" t="s">
        <v>14425</v>
      </c>
      <c r="D1912" s="86" t="s">
        <v>14582</v>
      </c>
      <c r="E1912" s="207">
        <v>58000</v>
      </c>
      <c r="F1912" s="25">
        <v>397560</v>
      </c>
      <c r="G1912" s="207"/>
      <c r="H1912" s="207">
        <v>57.3</v>
      </c>
      <c r="I1912" s="207" t="s">
        <v>12545</v>
      </c>
      <c r="J1912" s="66" t="s">
        <v>16223</v>
      </c>
      <c r="K1912" s="207"/>
      <c r="L1912" s="66"/>
      <c r="M1912" s="201" t="s">
        <v>12550</v>
      </c>
      <c r="N1912" s="207"/>
      <c r="O1912" s="38"/>
    </row>
    <row r="1913" spans="1:15" ht="72" customHeight="1" x14ac:dyDescent="0.3">
      <c r="A1913" s="242">
        <v>1903</v>
      </c>
      <c r="B1913" s="245" t="s">
        <v>15687</v>
      </c>
      <c r="C1913" s="245" t="s">
        <v>14426</v>
      </c>
      <c r="D1913" s="86" t="s">
        <v>14589</v>
      </c>
      <c r="E1913" s="207">
        <v>109000</v>
      </c>
      <c r="F1913" s="25">
        <v>4050291</v>
      </c>
      <c r="G1913" s="207"/>
      <c r="H1913" s="207">
        <v>57.3</v>
      </c>
      <c r="I1913" s="207" t="s">
        <v>12545</v>
      </c>
      <c r="J1913" s="66" t="s">
        <v>16225</v>
      </c>
      <c r="K1913" s="207"/>
      <c r="L1913" s="66"/>
      <c r="M1913" s="201" t="s">
        <v>12550</v>
      </c>
      <c r="N1913" s="207"/>
      <c r="O1913" s="38"/>
    </row>
    <row r="1914" spans="1:15" ht="72" customHeight="1" x14ac:dyDescent="0.3">
      <c r="A1914" s="242">
        <v>1904</v>
      </c>
      <c r="B1914" s="245" t="s">
        <v>15686</v>
      </c>
      <c r="C1914" s="245" t="s">
        <v>14426</v>
      </c>
      <c r="D1914" s="86" t="s">
        <v>14588</v>
      </c>
      <c r="E1914" s="207">
        <v>20000</v>
      </c>
      <c r="F1914" s="25">
        <v>1112859</v>
      </c>
      <c r="G1914" s="207"/>
      <c r="H1914" s="207">
        <v>58.3</v>
      </c>
      <c r="I1914" s="207" t="s">
        <v>12545</v>
      </c>
      <c r="J1914" s="66" t="s">
        <v>16224</v>
      </c>
      <c r="K1914" s="207"/>
      <c r="L1914" s="66"/>
      <c r="M1914" s="201" t="s">
        <v>12550</v>
      </c>
      <c r="N1914" s="207"/>
      <c r="O1914" s="38"/>
    </row>
    <row r="1915" spans="1:15" ht="72" customHeight="1" x14ac:dyDescent="0.3">
      <c r="A1915" s="242">
        <v>1905</v>
      </c>
      <c r="B1915" s="245" t="s">
        <v>21963</v>
      </c>
      <c r="C1915" s="245" t="s">
        <v>14427</v>
      </c>
      <c r="D1915" s="86" t="s">
        <v>14587</v>
      </c>
      <c r="E1915" s="207">
        <v>20000</v>
      </c>
      <c r="F1915" s="25">
        <v>556430</v>
      </c>
      <c r="G1915" s="207"/>
      <c r="H1915" s="207">
        <v>59.3</v>
      </c>
      <c r="I1915" s="207" t="s">
        <v>12545</v>
      </c>
      <c r="J1915" s="66" t="s">
        <v>16227</v>
      </c>
      <c r="K1915" s="207"/>
      <c r="L1915" s="66"/>
      <c r="M1915" s="201" t="s">
        <v>12550</v>
      </c>
      <c r="N1915" s="207"/>
      <c r="O1915" s="38"/>
    </row>
    <row r="1916" spans="1:15" ht="72" customHeight="1" x14ac:dyDescent="0.3">
      <c r="A1916" s="242">
        <v>1906</v>
      </c>
      <c r="B1916" s="245" t="s">
        <v>14592</v>
      </c>
      <c r="C1916" s="245" t="s">
        <v>14427</v>
      </c>
      <c r="D1916" s="86" t="s">
        <v>14428</v>
      </c>
      <c r="E1916" s="207"/>
      <c r="F1916" s="25">
        <v>1061098</v>
      </c>
      <c r="G1916" s="207"/>
      <c r="H1916" s="207">
        <v>60.3</v>
      </c>
      <c r="I1916" s="207" t="s">
        <v>12545</v>
      </c>
      <c r="J1916" s="66" t="s">
        <v>16226</v>
      </c>
      <c r="K1916" s="207"/>
      <c r="L1916" s="66"/>
      <c r="M1916" s="201" t="s">
        <v>12550</v>
      </c>
      <c r="N1916" s="207"/>
      <c r="O1916" s="38"/>
    </row>
    <row r="1917" spans="1:15" ht="72" customHeight="1" x14ac:dyDescent="0.3">
      <c r="A1917" s="242">
        <v>1907</v>
      </c>
      <c r="B1917" s="245" t="s">
        <v>14593</v>
      </c>
      <c r="C1917" s="245" t="s">
        <v>14429</v>
      </c>
      <c r="D1917" s="86" t="s">
        <v>14586</v>
      </c>
      <c r="E1917" s="207">
        <v>10000</v>
      </c>
      <c r="F1917" s="25">
        <v>776414</v>
      </c>
      <c r="G1917" s="207"/>
      <c r="H1917" s="207">
        <v>61.3</v>
      </c>
      <c r="I1917" s="207" t="s">
        <v>12545</v>
      </c>
      <c r="J1917" s="66" t="s">
        <v>16228</v>
      </c>
      <c r="K1917" s="207"/>
      <c r="L1917" s="66"/>
      <c r="M1917" s="201" t="s">
        <v>12550</v>
      </c>
      <c r="N1917" s="207"/>
      <c r="O1917" s="38"/>
    </row>
    <row r="1918" spans="1:15" ht="72" customHeight="1" x14ac:dyDescent="0.3">
      <c r="A1918" s="242">
        <v>1908</v>
      </c>
      <c r="B1918" s="245" t="s">
        <v>14594</v>
      </c>
      <c r="C1918" s="245" t="s">
        <v>14430</v>
      </c>
      <c r="D1918" s="86" t="s">
        <v>14585</v>
      </c>
      <c r="E1918" s="207"/>
      <c r="F1918" s="25"/>
      <c r="G1918" s="207"/>
      <c r="H1918" s="207">
        <v>62.3</v>
      </c>
      <c r="I1918" s="207" t="s">
        <v>12545</v>
      </c>
      <c r="J1918" s="66" t="s">
        <v>16229</v>
      </c>
      <c r="K1918" s="207"/>
      <c r="L1918" s="66"/>
      <c r="M1918" s="201" t="s">
        <v>12550</v>
      </c>
      <c r="N1918" s="207"/>
      <c r="O1918" s="38"/>
    </row>
    <row r="1919" spans="1:15" ht="72" customHeight="1" x14ac:dyDescent="0.3">
      <c r="A1919" s="242">
        <v>1909</v>
      </c>
      <c r="B1919" s="245" t="s">
        <v>14595</v>
      </c>
      <c r="C1919" s="245" t="s">
        <v>14431</v>
      </c>
      <c r="D1919" s="86" t="s">
        <v>14583</v>
      </c>
      <c r="E1919" s="207">
        <v>381000</v>
      </c>
      <c r="F1919" s="25"/>
      <c r="G1919" s="207"/>
      <c r="H1919" s="207">
        <v>63.3</v>
      </c>
      <c r="I1919" s="207" t="s">
        <v>12545</v>
      </c>
      <c r="J1919" s="66" t="s">
        <v>16230</v>
      </c>
      <c r="K1919" s="207"/>
      <c r="L1919" s="66"/>
      <c r="M1919" s="201" t="s">
        <v>12550</v>
      </c>
      <c r="N1919" s="207"/>
      <c r="O1919" s="38"/>
    </row>
    <row r="1920" spans="1:15" ht="72" customHeight="1" x14ac:dyDescent="0.3">
      <c r="A1920" s="242">
        <v>1910</v>
      </c>
      <c r="B1920" s="245" t="s">
        <v>14596</v>
      </c>
      <c r="C1920" s="245" t="s">
        <v>14432</v>
      </c>
      <c r="D1920" s="86" t="s">
        <v>14584</v>
      </c>
      <c r="E1920" s="207">
        <v>23000</v>
      </c>
      <c r="F1920" s="25"/>
      <c r="G1920" s="207"/>
      <c r="H1920" s="207">
        <v>64.3</v>
      </c>
      <c r="I1920" s="207" t="s">
        <v>12545</v>
      </c>
      <c r="J1920" s="66" t="s">
        <v>16234</v>
      </c>
      <c r="K1920" s="207"/>
      <c r="L1920" s="66"/>
      <c r="M1920" s="201" t="s">
        <v>12550</v>
      </c>
      <c r="N1920" s="207"/>
      <c r="O1920" s="38"/>
    </row>
    <row r="1921" spans="1:15" ht="72" customHeight="1" x14ac:dyDescent="0.3">
      <c r="A1921" s="242">
        <v>1911</v>
      </c>
      <c r="B1921" s="245" t="s">
        <v>14597</v>
      </c>
      <c r="C1921" s="245" t="s">
        <v>14432</v>
      </c>
      <c r="D1921" s="86" t="s">
        <v>20284</v>
      </c>
      <c r="E1921" s="207">
        <v>20000</v>
      </c>
      <c r="F1921" s="25"/>
      <c r="G1921" s="207"/>
      <c r="H1921" s="207">
        <v>65.3</v>
      </c>
      <c r="I1921" s="207" t="s">
        <v>12545</v>
      </c>
      <c r="J1921" s="66" t="s">
        <v>16235</v>
      </c>
      <c r="K1921" s="207"/>
      <c r="L1921" s="66"/>
      <c r="M1921" s="201" t="s">
        <v>12550</v>
      </c>
      <c r="N1921" s="207"/>
      <c r="O1921" s="38"/>
    </row>
    <row r="1922" spans="1:15" ht="72" customHeight="1" x14ac:dyDescent="0.3">
      <c r="A1922" s="242">
        <v>1912</v>
      </c>
      <c r="B1922" s="245" t="s">
        <v>15685</v>
      </c>
      <c r="C1922" s="245" t="s">
        <v>14424</v>
      </c>
      <c r="D1922" s="86" t="s">
        <v>14433</v>
      </c>
      <c r="E1922" s="207"/>
      <c r="F1922" s="25"/>
      <c r="G1922" s="207"/>
      <c r="H1922" s="207">
        <v>66.3</v>
      </c>
      <c r="I1922" s="207" t="s">
        <v>12545</v>
      </c>
      <c r="J1922" s="66" t="s">
        <v>16232</v>
      </c>
      <c r="K1922" s="207"/>
      <c r="L1922" s="66"/>
      <c r="M1922" s="201" t="s">
        <v>12550</v>
      </c>
      <c r="N1922" s="207"/>
      <c r="O1922" s="38"/>
    </row>
    <row r="1923" spans="1:15" ht="72" customHeight="1" x14ac:dyDescent="0.3">
      <c r="A1923" s="242">
        <v>1913</v>
      </c>
      <c r="B1923" s="245" t="s">
        <v>15692</v>
      </c>
      <c r="C1923" s="245" t="s">
        <v>14434</v>
      </c>
      <c r="D1923" s="86" t="s">
        <v>14435</v>
      </c>
      <c r="E1923" s="207">
        <v>150000</v>
      </c>
      <c r="F1923" s="25"/>
      <c r="G1923" s="207"/>
      <c r="H1923" s="207">
        <v>67.3</v>
      </c>
      <c r="I1923" s="207" t="s">
        <v>12545</v>
      </c>
      <c r="J1923" s="66" t="s">
        <v>16233</v>
      </c>
      <c r="K1923" s="207"/>
      <c r="L1923" s="66"/>
      <c r="M1923" s="201" t="s">
        <v>12550</v>
      </c>
      <c r="N1923" s="207"/>
      <c r="O1923" s="38"/>
    </row>
    <row r="1924" spans="1:15" ht="72" customHeight="1" x14ac:dyDescent="0.3">
      <c r="A1924" s="242">
        <v>1914</v>
      </c>
      <c r="B1924" s="245" t="s">
        <v>15691</v>
      </c>
      <c r="C1924" s="245" t="s">
        <v>14434</v>
      </c>
      <c r="D1924" s="86" t="s">
        <v>14436</v>
      </c>
      <c r="E1924" s="207">
        <v>150000</v>
      </c>
      <c r="F1924" s="25"/>
      <c r="G1924" s="207"/>
      <c r="H1924" s="207">
        <v>68.3</v>
      </c>
      <c r="I1924" s="207" t="s">
        <v>12545</v>
      </c>
      <c r="J1924" s="66" t="s">
        <v>16231</v>
      </c>
      <c r="K1924" s="207"/>
      <c r="L1924" s="66"/>
      <c r="M1924" s="201" t="s">
        <v>12550</v>
      </c>
      <c r="N1924" s="207"/>
      <c r="O1924" s="38"/>
    </row>
    <row r="1925" spans="1:15" ht="72" customHeight="1" x14ac:dyDescent="0.3">
      <c r="A1925" s="242">
        <v>1915</v>
      </c>
      <c r="B1925" s="245" t="s">
        <v>14598</v>
      </c>
      <c r="C1925" s="245" t="s">
        <v>14362</v>
      </c>
      <c r="D1925" s="86" t="s">
        <v>21761</v>
      </c>
      <c r="E1925" s="207"/>
      <c r="F1925" s="25">
        <v>188131</v>
      </c>
      <c r="G1925" s="207"/>
      <c r="H1925" s="207">
        <v>69.3</v>
      </c>
      <c r="I1925" s="207" t="s">
        <v>12545</v>
      </c>
      <c r="J1925" s="66" t="s">
        <v>16222</v>
      </c>
      <c r="K1925" s="207"/>
      <c r="L1925" s="66"/>
      <c r="M1925" s="201" t="s">
        <v>12550</v>
      </c>
      <c r="N1925" s="207"/>
      <c r="O1925" s="38"/>
    </row>
    <row r="1926" spans="1:15" ht="72" customHeight="1" x14ac:dyDescent="0.3">
      <c r="A1926" s="242">
        <v>1916</v>
      </c>
      <c r="B1926" s="245" t="s">
        <v>14599</v>
      </c>
      <c r="C1926" s="245" t="s">
        <v>14362</v>
      </c>
      <c r="D1926" s="86" t="s">
        <v>14437</v>
      </c>
      <c r="E1926" s="207"/>
      <c r="F1926" s="25">
        <v>106489</v>
      </c>
      <c r="G1926" s="207"/>
      <c r="H1926" s="207">
        <v>70.3</v>
      </c>
      <c r="I1926" s="207" t="s">
        <v>12545</v>
      </c>
      <c r="J1926" s="66" t="s">
        <v>16220</v>
      </c>
      <c r="K1926" s="207"/>
      <c r="L1926" s="66"/>
      <c r="M1926" s="201" t="s">
        <v>12550</v>
      </c>
      <c r="N1926" s="207"/>
      <c r="O1926" s="38"/>
    </row>
    <row r="1927" spans="1:15" ht="72" customHeight="1" x14ac:dyDescent="0.3">
      <c r="A1927" s="242">
        <v>1917</v>
      </c>
      <c r="B1927" s="245" t="s">
        <v>14600</v>
      </c>
      <c r="C1927" s="245" t="s">
        <v>14362</v>
      </c>
      <c r="D1927" s="86" t="s">
        <v>14438</v>
      </c>
      <c r="E1927" s="207"/>
      <c r="F1927" s="25">
        <v>276872</v>
      </c>
      <c r="G1927" s="207"/>
      <c r="H1927" s="207">
        <v>71.3</v>
      </c>
      <c r="I1927" s="207" t="s">
        <v>12545</v>
      </c>
      <c r="J1927" s="66" t="s">
        <v>16221</v>
      </c>
      <c r="K1927" s="207"/>
      <c r="L1927" s="66"/>
      <c r="M1927" s="201" t="s">
        <v>12550</v>
      </c>
      <c r="N1927" s="207"/>
      <c r="O1927" s="38"/>
    </row>
    <row r="1928" spans="1:15" ht="72" customHeight="1" x14ac:dyDescent="0.3">
      <c r="A1928" s="242">
        <v>1918</v>
      </c>
      <c r="B1928" s="245" t="s">
        <v>14601</v>
      </c>
      <c r="C1928" s="245" t="s">
        <v>14439</v>
      </c>
      <c r="D1928" s="86" t="s">
        <v>14440</v>
      </c>
      <c r="E1928" s="207">
        <v>10000</v>
      </c>
      <c r="F1928" s="25"/>
      <c r="G1928" s="207"/>
      <c r="H1928" s="207">
        <v>72.3</v>
      </c>
      <c r="I1928" s="207" t="s">
        <v>12545</v>
      </c>
      <c r="J1928" s="66" t="s">
        <v>16236</v>
      </c>
      <c r="K1928" s="207"/>
      <c r="L1928" s="66"/>
      <c r="M1928" s="201" t="s">
        <v>12550</v>
      </c>
      <c r="N1928" s="207"/>
      <c r="O1928" s="38"/>
    </row>
    <row r="1929" spans="1:15" ht="72" customHeight="1" x14ac:dyDescent="0.3">
      <c r="A1929" s="2">
        <v>1919</v>
      </c>
      <c r="B1929" s="245" t="s">
        <v>14441</v>
      </c>
      <c r="C1929" s="245" t="s">
        <v>14362</v>
      </c>
      <c r="D1929" s="245"/>
      <c r="E1929" s="207">
        <v>800</v>
      </c>
      <c r="F1929" s="25"/>
      <c r="G1929" s="207"/>
      <c r="H1929" s="207"/>
      <c r="I1929" s="207" t="s">
        <v>12545</v>
      </c>
      <c r="J1929" s="66" t="s">
        <v>12547</v>
      </c>
      <c r="K1929" s="207"/>
      <c r="L1929" s="66"/>
      <c r="M1929" s="201" t="s">
        <v>12550</v>
      </c>
      <c r="N1929" s="207"/>
      <c r="O1929" s="38"/>
    </row>
    <row r="1930" spans="1:15" ht="108" customHeight="1" x14ac:dyDescent="0.3">
      <c r="A1930" s="242">
        <v>1920</v>
      </c>
      <c r="B1930" s="80" t="s">
        <v>22589</v>
      </c>
      <c r="C1930" s="80" t="s">
        <v>14602</v>
      </c>
      <c r="D1930" s="256" t="s">
        <v>14701</v>
      </c>
      <c r="E1930" s="80">
        <v>9919</v>
      </c>
      <c r="F1930" s="207"/>
      <c r="G1930" s="207"/>
      <c r="H1930" s="39" t="s">
        <v>14702</v>
      </c>
      <c r="I1930" s="207" t="s">
        <v>12545</v>
      </c>
      <c r="J1930" s="66" t="s">
        <v>19307</v>
      </c>
      <c r="K1930" s="207"/>
      <c r="L1930" s="66"/>
      <c r="M1930" s="201" t="s">
        <v>12550</v>
      </c>
      <c r="N1930" s="6"/>
      <c r="O1930" s="38"/>
    </row>
    <row r="1931" spans="1:15" ht="96" customHeight="1" x14ac:dyDescent="0.3">
      <c r="A1931" s="242">
        <v>1921</v>
      </c>
      <c r="B1931" s="80" t="s">
        <v>14663</v>
      </c>
      <c r="C1931" s="80" t="s">
        <v>14603</v>
      </c>
      <c r="D1931" s="256" t="s">
        <v>18628</v>
      </c>
      <c r="E1931" s="80">
        <v>6453</v>
      </c>
      <c r="F1931" s="207"/>
      <c r="G1931" s="207"/>
      <c r="H1931" s="39" t="s">
        <v>14703</v>
      </c>
      <c r="I1931" s="207" t="s">
        <v>12545</v>
      </c>
      <c r="J1931" s="66" t="s">
        <v>19337</v>
      </c>
      <c r="K1931" s="207"/>
      <c r="L1931" s="66"/>
      <c r="M1931" s="201" t="s">
        <v>12550</v>
      </c>
      <c r="N1931" s="6"/>
      <c r="O1931" s="38"/>
    </row>
    <row r="1932" spans="1:15" ht="96" customHeight="1" x14ac:dyDescent="0.3">
      <c r="A1932" s="242">
        <v>1922</v>
      </c>
      <c r="B1932" s="80" t="s">
        <v>14662</v>
      </c>
      <c r="C1932" s="80" t="s">
        <v>14604</v>
      </c>
      <c r="D1932" s="256" t="s">
        <v>18877</v>
      </c>
      <c r="E1932" s="80">
        <v>892</v>
      </c>
      <c r="F1932" s="207"/>
      <c r="G1932" s="207"/>
      <c r="H1932" s="39" t="s">
        <v>14704</v>
      </c>
      <c r="I1932" s="207" t="s">
        <v>12545</v>
      </c>
      <c r="J1932" s="66" t="s">
        <v>19336</v>
      </c>
      <c r="K1932" s="207"/>
      <c r="L1932" s="66"/>
      <c r="M1932" s="201" t="s">
        <v>12550</v>
      </c>
      <c r="N1932" s="6"/>
      <c r="O1932" s="38"/>
    </row>
    <row r="1933" spans="1:15" ht="72" customHeight="1" x14ac:dyDescent="0.3">
      <c r="A1933" s="242">
        <v>1923</v>
      </c>
      <c r="B1933" s="80" t="s">
        <v>14661</v>
      </c>
      <c r="C1933" s="80" t="s">
        <v>14605</v>
      </c>
      <c r="D1933" s="256" t="s">
        <v>14606</v>
      </c>
      <c r="E1933" s="80">
        <v>6015</v>
      </c>
      <c r="F1933" s="207"/>
      <c r="G1933" s="207"/>
      <c r="H1933" s="39" t="s">
        <v>14705</v>
      </c>
      <c r="I1933" s="207" t="s">
        <v>12545</v>
      </c>
      <c r="J1933" s="66" t="s">
        <v>19335</v>
      </c>
      <c r="K1933" s="207"/>
      <c r="L1933" s="66"/>
      <c r="M1933" s="201" t="s">
        <v>12550</v>
      </c>
      <c r="N1933" s="6"/>
      <c r="O1933" s="38"/>
    </row>
    <row r="1934" spans="1:15" ht="96" customHeight="1" x14ac:dyDescent="0.3">
      <c r="A1934" s="242">
        <v>1924</v>
      </c>
      <c r="B1934" s="80" t="s">
        <v>14664</v>
      </c>
      <c r="C1934" s="80" t="s">
        <v>14607</v>
      </c>
      <c r="D1934" s="256" t="s">
        <v>14608</v>
      </c>
      <c r="E1934" s="80">
        <v>913</v>
      </c>
      <c r="F1934" s="207"/>
      <c r="G1934" s="207"/>
      <c r="H1934" s="39" t="s">
        <v>14706</v>
      </c>
      <c r="I1934" s="207" t="s">
        <v>12545</v>
      </c>
      <c r="J1934" s="66" t="s">
        <v>19334</v>
      </c>
      <c r="K1934" s="207"/>
      <c r="L1934" s="66"/>
      <c r="M1934" s="201" t="s">
        <v>12550</v>
      </c>
      <c r="N1934" s="6"/>
      <c r="O1934" s="38"/>
    </row>
    <row r="1935" spans="1:15" ht="108" customHeight="1" x14ac:dyDescent="0.3">
      <c r="A1935" s="242">
        <v>1925</v>
      </c>
      <c r="B1935" s="80" t="s">
        <v>14665</v>
      </c>
      <c r="C1935" s="80" t="s">
        <v>14609</v>
      </c>
      <c r="D1935" s="256" t="s">
        <v>14610</v>
      </c>
      <c r="E1935" s="80">
        <v>1639</v>
      </c>
      <c r="F1935" s="207"/>
      <c r="G1935" s="207"/>
      <c r="H1935" s="39" t="s">
        <v>14707</v>
      </c>
      <c r="I1935" s="207" t="s">
        <v>12545</v>
      </c>
      <c r="J1935" s="66" t="s">
        <v>19332</v>
      </c>
      <c r="K1935" s="207"/>
      <c r="L1935" s="66"/>
      <c r="M1935" s="201" t="s">
        <v>12550</v>
      </c>
      <c r="N1935" s="6"/>
      <c r="O1935" s="38"/>
    </row>
    <row r="1936" spans="1:15" ht="108" customHeight="1" x14ac:dyDescent="0.3">
      <c r="A1936" s="242">
        <v>1926</v>
      </c>
      <c r="B1936" s="80" t="s">
        <v>14666</v>
      </c>
      <c r="C1936" s="80" t="s">
        <v>14611</v>
      </c>
      <c r="D1936" s="256" t="s">
        <v>14612</v>
      </c>
      <c r="E1936" s="80">
        <v>3461</v>
      </c>
      <c r="F1936" s="207"/>
      <c r="G1936" s="207"/>
      <c r="H1936" s="39" t="s">
        <v>14708</v>
      </c>
      <c r="I1936" s="207" t="s">
        <v>12545</v>
      </c>
      <c r="J1936" s="66" t="s">
        <v>19333</v>
      </c>
      <c r="K1936" s="207"/>
      <c r="L1936" s="66"/>
      <c r="M1936" s="201" t="s">
        <v>12550</v>
      </c>
      <c r="N1936" s="6"/>
      <c r="O1936" s="38"/>
    </row>
    <row r="1937" spans="1:15" ht="96" customHeight="1" x14ac:dyDescent="0.3">
      <c r="A1937" s="242">
        <v>1927</v>
      </c>
      <c r="B1937" s="80" t="s">
        <v>14667</v>
      </c>
      <c r="C1937" s="80" t="s">
        <v>14613</v>
      </c>
      <c r="D1937" s="256" t="s">
        <v>14614</v>
      </c>
      <c r="E1937" s="80">
        <v>5324</v>
      </c>
      <c r="F1937" s="207"/>
      <c r="G1937" s="207"/>
      <c r="H1937" s="39" t="s">
        <v>14709</v>
      </c>
      <c r="I1937" s="207" t="s">
        <v>12545</v>
      </c>
      <c r="J1937" s="66" t="s">
        <v>19126</v>
      </c>
      <c r="K1937" s="207"/>
      <c r="L1937" s="66"/>
      <c r="M1937" s="201" t="s">
        <v>12550</v>
      </c>
      <c r="N1937" s="6"/>
      <c r="O1937" s="38"/>
    </row>
    <row r="1938" spans="1:15" ht="96" customHeight="1" x14ac:dyDescent="0.3">
      <c r="A1938" s="242">
        <v>1928</v>
      </c>
      <c r="B1938" s="80" t="s">
        <v>14668</v>
      </c>
      <c r="C1938" s="80" t="s">
        <v>14615</v>
      </c>
      <c r="D1938" s="256" t="s">
        <v>14616</v>
      </c>
      <c r="E1938" s="80">
        <v>465</v>
      </c>
      <c r="F1938" s="207"/>
      <c r="G1938" s="207"/>
      <c r="H1938" s="20"/>
      <c r="I1938" s="207" t="s">
        <v>12545</v>
      </c>
      <c r="J1938" s="66" t="s">
        <v>19122</v>
      </c>
      <c r="K1938" s="207"/>
      <c r="L1938" s="66"/>
      <c r="M1938" s="201" t="s">
        <v>12550</v>
      </c>
      <c r="N1938" s="6"/>
      <c r="O1938" s="38"/>
    </row>
    <row r="1939" spans="1:15" ht="108" customHeight="1" x14ac:dyDescent="0.3">
      <c r="A1939" s="242">
        <v>1929</v>
      </c>
      <c r="B1939" s="80" t="s">
        <v>14669</v>
      </c>
      <c r="C1939" s="80" t="s">
        <v>14617</v>
      </c>
      <c r="D1939" s="256" t="s">
        <v>14618</v>
      </c>
      <c r="E1939" s="80">
        <v>5164</v>
      </c>
      <c r="F1939" s="207"/>
      <c r="G1939" s="207"/>
      <c r="H1939" s="39" t="s">
        <v>14710</v>
      </c>
      <c r="I1939" s="207" t="s">
        <v>12545</v>
      </c>
      <c r="J1939" s="66" t="s">
        <v>19127</v>
      </c>
      <c r="K1939" s="207"/>
      <c r="L1939" s="66"/>
      <c r="M1939" s="201" t="s">
        <v>12550</v>
      </c>
      <c r="N1939" s="6"/>
      <c r="O1939" s="38"/>
    </row>
    <row r="1940" spans="1:15" ht="108" customHeight="1" x14ac:dyDescent="0.3">
      <c r="A1940" s="242">
        <v>1930</v>
      </c>
      <c r="B1940" s="80" t="s">
        <v>14670</v>
      </c>
      <c r="C1940" s="80" t="s">
        <v>14619</v>
      </c>
      <c r="D1940" s="256" t="s">
        <v>14620</v>
      </c>
      <c r="E1940" s="80">
        <v>5799</v>
      </c>
      <c r="F1940" s="207"/>
      <c r="G1940" s="207"/>
      <c r="H1940" s="39" t="s">
        <v>14711</v>
      </c>
      <c r="I1940" s="207" t="s">
        <v>12545</v>
      </c>
      <c r="J1940" s="66" t="s">
        <v>19128</v>
      </c>
      <c r="K1940" s="207"/>
      <c r="L1940" s="66"/>
      <c r="M1940" s="201" t="s">
        <v>12550</v>
      </c>
      <c r="N1940" s="6"/>
      <c r="O1940" s="38"/>
    </row>
    <row r="1941" spans="1:15" ht="108" customHeight="1" x14ac:dyDescent="0.3">
      <c r="A1941" s="242">
        <v>1931</v>
      </c>
      <c r="B1941" s="80" t="s">
        <v>14671</v>
      </c>
      <c r="C1941" s="80" t="s">
        <v>14621</v>
      </c>
      <c r="D1941" s="256" t="s">
        <v>14622</v>
      </c>
      <c r="E1941" s="80">
        <v>1314</v>
      </c>
      <c r="F1941" s="207"/>
      <c r="G1941" s="207"/>
      <c r="H1941" s="39" t="s">
        <v>14712</v>
      </c>
      <c r="I1941" s="207" t="s">
        <v>12545</v>
      </c>
      <c r="J1941" s="66" t="s">
        <v>19306</v>
      </c>
      <c r="K1941" s="207"/>
      <c r="L1941" s="66"/>
      <c r="M1941" s="201" t="s">
        <v>12550</v>
      </c>
      <c r="N1941" s="6"/>
      <c r="O1941" s="38"/>
    </row>
    <row r="1942" spans="1:15" ht="108" customHeight="1" x14ac:dyDescent="0.3">
      <c r="A1942" s="242">
        <v>1932</v>
      </c>
      <c r="B1942" s="80" t="s">
        <v>14672</v>
      </c>
      <c r="C1942" s="80" t="s">
        <v>14623</v>
      </c>
      <c r="D1942" s="256" t="s">
        <v>14624</v>
      </c>
      <c r="E1942" s="80">
        <v>3688</v>
      </c>
      <c r="F1942" s="207"/>
      <c r="G1942" s="207"/>
      <c r="H1942" s="39" t="s">
        <v>14713</v>
      </c>
      <c r="I1942" s="207" t="s">
        <v>12545</v>
      </c>
      <c r="J1942" s="66" t="s">
        <v>19120</v>
      </c>
      <c r="K1942" s="207"/>
      <c r="L1942" s="66"/>
      <c r="M1942" s="201" t="s">
        <v>12550</v>
      </c>
      <c r="N1942" s="6"/>
      <c r="O1942" s="38"/>
    </row>
    <row r="1943" spans="1:15" ht="108" customHeight="1" x14ac:dyDescent="0.3">
      <c r="A1943" s="242">
        <v>1933</v>
      </c>
      <c r="B1943" s="80" t="s">
        <v>14673</v>
      </c>
      <c r="C1943" s="80" t="s">
        <v>14625</v>
      </c>
      <c r="D1943" s="256" t="s">
        <v>14626</v>
      </c>
      <c r="E1943" s="80">
        <v>1635</v>
      </c>
      <c r="F1943" s="207"/>
      <c r="G1943" s="207"/>
      <c r="H1943" s="39" t="s">
        <v>14714</v>
      </c>
      <c r="I1943" s="207" t="s">
        <v>12545</v>
      </c>
      <c r="J1943" s="66" t="s">
        <v>19314</v>
      </c>
      <c r="K1943" s="207"/>
      <c r="L1943" s="66"/>
      <c r="M1943" s="201" t="s">
        <v>12550</v>
      </c>
      <c r="N1943" s="6"/>
      <c r="O1943" s="38"/>
    </row>
    <row r="1944" spans="1:15" ht="108" customHeight="1" x14ac:dyDescent="0.3">
      <c r="A1944" s="242">
        <v>1934</v>
      </c>
      <c r="B1944" s="80" t="s">
        <v>14674</v>
      </c>
      <c r="C1944" s="80" t="s">
        <v>14623</v>
      </c>
      <c r="D1944" s="256" t="s">
        <v>14627</v>
      </c>
      <c r="E1944" s="80">
        <v>692</v>
      </c>
      <c r="F1944" s="207"/>
      <c r="G1944" s="207"/>
      <c r="H1944" s="20"/>
      <c r="I1944" s="207" t="s">
        <v>12545</v>
      </c>
      <c r="J1944" s="66" t="s">
        <v>19121</v>
      </c>
      <c r="K1944" s="207"/>
      <c r="L1944" s="66"/>
      <c r="M1944" s="201" t="s">
        <v>12550</v>
      </c>
      <c r="N1944" s="6"/>
      <c r="O1944" s="38"/>
    </row>
    <row r="1945" spans="1:15" ht="108" customHeight="1" x14ac:dyDescent="0.3">
      <c r="A1945" s="242">
        <v>1935</v>
      </c>
      <c r="B1945" s="80" t="s">
        <v>14675</v>
      </c>
      <c r="C1945" s="80" t="s">
        <v>14628</v>
      </c>
      <c r="D1945" s="256" t="s">
        <v>14629</v>
      </c>
      <c r="E1945" s="80">
        <v>3410</v>
      </c>
      <c r="F1945" s="207"/>
      <c r="G1945" s="207"/>
      <c r="H1945" s="20"/>
      <c r="I1945" s="207" t="s">
        <v>12545</v>
      </c>
      <c r="J1945" s="66" t="s">
        <v>19124</v>
      </c>
      <c r="K1945" s="207"/>
      <c r="L1945" s="66"/>
      <c r="M1945" s="201" t="s">
        <v>12550</v>
      </c>
      <c r="N1945" s="6"/>
      <c r="O1945" s="38"/>
    </row>
    <row r="1946" spans="1:15" ht="144" customHeight="1" x14ac:dyDescent="0.3">
      <c r="A1946" s="242">
        <v>1936</v>
      </c>
      <c r="B1946" s="80" t="s">
        <v>19131</v>
      </c>
      <c r="C1946" s="80" t="s">
        <v>19130</v>
      </c>
      <c r="D1946" s="256" t="s">
        <v>14630</v>
      </c>
      <c r="E1946" s="80">
        <v>13575</v>
      </c>
      <c r="F1946" s="207"/>
      <c r="G1946" s="207"/>
      <c r="H1946" s="39" t="s">
        <v>14715</v>
      </c>
      <c r="I1946" s="207" t="s">
        <v>12545</v>
      </c>
      <c r="J1946" s="66" t="s">
        <v>19132</v>
      </c>
      <c r="K1946" s="207"/>
      <c r="L1946" s="66"/>
      <c r="M1946" s="200" t="s">
        <v>12550</v>
      </c>
      <c r="N1946" s="6"/>
      <c r="O1946" s="38"/>
    </row>
    <row r="1947" spans="1:15" ht="108" customHeight="1" x14ac:dyDescent="0.3">
      <c r="A1947" s="242">
        <v>1937</v>
      </c>
      <c r="B1947" s="80" t="s">
        <v>14676</v>
      </c>
      <c r="C1947" s="80" t="s">
        <v>14611</v>
      </c>
      <c r="D1947" s="256" t="s">
        <v>14631</v>
      </c>
      <c r="E1947" s="80">
        <v>3246</v>
      </c>
      <c r="F1947" s="207"/>
      <c r="G1947" s="207"/>
      <c r="H1947" s="20"/>
      <c r="I1947" s="207" t="s">
        <v>12545</v>
      </c>
      <c r="J1947" s="66" t="s">
        <v>19125</v>
      </c>
      <c r="K1947" s="207"/>
      <c r="L1947" s="66"/>
      <c r="M1947" s="201" t="s">
        <v>12550</v>
      </c>
      <c r="N1947" s="6"/>
      <c r="O1947" s="38"/>
    </row>
    <row r="1948" spans="1:15" ht="72" customHeight="1" x14ac:dyDescent="0.3">
      <c r="A1948" s="242">
        <v>1938</v>
      </c>
      <c r="B1948" s="80" t="s">
        <v>14677</v>
      </c>
      <c r="C1948" s="80" t="s">
        <v>14632</v>
      </c>
      <c r="D1948" s="256" t="s">
        <v>14630</v>
      </c>
      <c r="E1948" s="80">
        <v>6790</v>
      </c>
      <c r="F1948" s="207"/>
      <c r="G1948" s="207"/>
      <c r="H1948" s="39" t="s">
        <v>14716</v>
      </c>
      <c r="I1948" s="207" t="s">
        <v>12545</v>
      </c>
      <c r="J1948" s="66" t="s">
        <v>12547</v>
      </c>
      <c r="K1948" s="26">
        <v>43053</v>
      </c>
      <c r="L1948" s="66" t="s">
        <v>19506</v>
      </c>
      <c r="M1948" s="200" t="s">
        <v>12550</v>
      </c>
      <c r="N1948" s="6"/>
      <c r="O1948" s="38" t="s">
        <v>19505</v>
      </c>
    </row>
    <row r="1949" spans="1:15" ht="96" customHeight="1" x14ac:dyDescent="0.3">
      <c r="A1949" s="242">
        <v>1939</v>
      </c>
      <c r="B1949" s="80" t="s">
        <v>14678</v>
      </c>
      <c r="C1949" s="80" t="s">
        <v>14633</v>
      </c>
      <c r="D1949" s="256" t="s">
        <v>14634</v>
      </c>
      <c r="E1949" s="80">
        <v>3348</v>
      </c>
      <c r="F1949" s="207"/>
      <c r="G1949" s="207"/>
      <c r="H1949" s="20"/>
      <c r="I1949" s="207" t="s">
        <v>12545</v>
      </c>
      <c r="J1949" s="66" t="s">
        <v>19305</v>
      </c>
      <c r="K1949" s="207"/>
      <c r="L1949" s="66"/>
      <c r="M1949" s="201" t="s">
        <v>12550</v>
      </c>
      <c r="N1949" s="6"/>
      <c r="O1949" s="38"/>
    </row>
    <row r="1950" spans="1:15" ht="72" customHeight="1" x14ac:dyDescent="0.3">
      <c r="A1950" s="242">
        <v>1940</v>
      </c>
      <c r="B1950" s="80" t="s">
        <v>14679</v>
      </c>
      <c r="C1950" s="80" t="s">
        <v>14635</v>
      </c>
      <c r="D1950" s="256" t="s">
        <v>15087</v>
      </c>
      <c r="E1950" s="80">
        <v>9170</v>
      </c>
      <c r="F1950" s="207"/>
      <c r="G1950" s="207"/>
      <c r="H1950" s="20"/>
      <c r="I1950" s="207" t="s">
        <v>12545</v>
      </c>
      <c r="J1950" s="66" t="s">
        <v>19094</v>
      </c>
      <c r="K1950" s="207"/>
      <c r="L1950" s="66"/>
      <c r="M1950" s="201" t="s">
        <v>12550</v>
      </c>
      <c r="N1950" s="6"/>
      <c r="O1950" s="38"/>
    </row>
    <row r="1951" spans="1:15" ht="72" customHeight="1" x14ac:dyDescent="0.3">
      <c r="A1951" s="242">
        <v>1941</v>
      </c>
      <c r="B1951" s="80" t="s">
        <v>14680</v>
      </c>
      <c r="C1951" s="80" t="s">
        <v>14636</v>
      </c>
      <c r="D1951" s="256" t="s">
        <v>15088</v>
      </c>
      <c r="E1951" s="80">
        <v>7032</v>
      </c>
      <c r="F1951" s="207"/>
      <c r="G1951" s="207"/>
      <c r="H1951" s="20"/>
      <c r="I1951" s="207" t="s">
        <v>12545</v>
      </c>
      <c r="J1951" s="66" t="s">
        <v>19099</v>
      </c>
      <c r="K1951" s="207"/>
      <c r="L1951" s="66"/>
      <c r="M1951" s="201" t="s">
        <v>12550</v>
      </c>
      <c r="N1951" s="6"/>
      <c r="O1951" s="38"/>
    </row>
    <row r="1952" spans="1:15" ht="72" customHeight="1" x14ac:dyDescent="0.3">
      <c r="A1952" s="242">
        <v>1942</v>
      </c>
      <c r="B1952" s="80" t="s">
        <v>14681</v>
      </c>
      <c r="C1952" s="80" t="s">
        <v>14637</v>
      </c>
      <c r="D1952" s="256" t="s">
        <v>15089</v>
      </c>
      <c r="E1952" s="80">
        <v>356</v>
      </c>
      <c r="F1952" s="207"/>
      <c r="G1952" s="207"/>
      <c r="H1952" s="20"/>
      <c r="I1952" s="207" t="s">
        <v>12545</v>
      </c>
      <c r="J1952" s="66" t="s">
        <v>19098</v>
      </c>
      <c r="K1952" s="207"/>
      <c r="L1952" s="66"/>
      <c r="M1952" s="201" t="s">
        <v>12550</v>
      </c>
      <c r="N1952" s="6"/>
      <c r="O1952" s="38"/>
    </row>
    <row r="1953" spans="1:15" ht="72" customHeight="1" x14ac:dyDescent="0.3">
      <c r="A1953" s="242">
        <v>1943</v>
      </c>
      <c r="B1953" s="80" t="s">
        <v>14682</v>
      </c>
      <c r="C1953" s="80" t="s">
        <v>14638</v>
      </c>
      <c r="D1953" s="256" t="s">
        <v>15090</v>
      </c>
      <c r="E1953" s="80">
        <v>1150</v>
      </c>
      <c r="F1953" s="207"/>
      <c r="G1953" s="207"/>
      <c r="H1953" s="20"/>
      <c r="I1953" s="207" t="s">
        <v>12545</v>
      </c>
      <c r="J1953" s="66" t="s">
        <v>19090</v>
      </c>
      <c r="K1953" s="207"/>
      <c r="L1953" s="66"/>
      <c r="M1953" s="201" t="s">
        <v>12550</v>
      </c>
      <c r="N1953" s="6"/>
      <c r="O1953" s="38"/>
    </row>
    <row r="1954" spans="1:15" ht="72" customHeight="1" x14ac:dyDescent="0.3">
      <c r="A1954" s="242">
        <v>1944</v>
      </c>
      <c r="B1954" s="80" t="s">
        <v>14690</v>
      </c>
      <c r="C1954" s="80" t="s">
        <v>14639</v>
      </c>
      <c r="D1954" s="256" t="s">
        <v>15091</v>
      </c>
      <c r="E1954" s="80">
        <v>1588</v>
      </c>
      <c r="F1954" s="207"/>
      <c r="G1954" s="207"/>
      <c r="H1954" s="20"/>
      <c r="I1954" s="207" t="s">
        <v>12545</v>
      </c>
      <c r="J1954" s="66" t="s">
        <v>19095</v>
      </c>
      <c r="K1954" s="207"/>
      <c r="L1954" s="66"/>
      <c r="M1954" s="201" t="s">
        <v>12550</v>
      </c>
      <c r="N1954" s="6"/>
      <c r="O1954" s="38"/>
    </row>
    <row r="1955" spans="1:15" ht="72" customHeight="1" x14ac:dyDescent="0.3">
      <c r="A1955" s="242">
        <v>1945</v>
      </c>
      <c r="B1955" s="80" t="s">
        <v>14683</v>
      </c>
      <c r="C1955" s="80" t="s">
        <v>14639</v>
      </c>
      <c r="D1955" s="256" t="s">
        <v>15092</v>
      </c>
      <c r="E1955" s="80">
        <v>3843</v>
      </c>
      <c r="F1955" s="207"/>
      <c r="G1955" s="207"/>
      <c r="H1955" s="20"/>
      <c r="I1955" s="207" t="s">
        <v>12545</v>
      </c>
      <c r="J1955" s="66" t="s">
        <v>19093</v>
      </c>
      <c r="K1955" s="207"/>
      <c r="L1955" s="66"/>
      <c r="M1955" s="201" t="s">
        <v>12550</v>
      </c>
      <c r="N1955" s="6"/>
      <c r="O1955" s="38"/>
    </row>
    <row r="1956" spans="1:15" ht="72" customHeight="1" x14ac:dyDescent="0.3">
      <c r="A1956" s="242">
        <v>1946</v>
      </c>
      <c r="B1956" s="80" t="s">
        <v>14691</v>
      </c>
      <c r="C1956" s="80" t="s">
        <v>14640</v>
      </c>
      <c r="D1956" s="256" t="s">
        <v>15082</v>
      </c>
      <c r="E1956" s="80">
        <v>3251</v>
      </c>
      <c r="F1956" s="207"/>
      <c r="G1956" s="207"/>
      <c r="H1956" s="20"/>
      <c r="I1956" s="207" t="s">
        <v>12545</v>
      </c>
      <c r="J1956" s="66" t="s">
        <v>19112</v>
      </c>
      <c r="K1956" s="207"/>
      <c r="L1956" s="66"/>
      <c r="M1956" s="201" t="s">
        <v>12550</v>
      </c>
      <c r="N1956" s="6"/>
      <c r="O1956" s="38"/>
    </row>
    <row r="1957" spans="1:15" ht="72" customHeight="1" x14ac:dyDescent="0.3">
      <c r="A1957" s="242">
        <v>1947</v>
      </c>
      <c r="B1957" s="80" t="s">
        <v>14689</v>
      </c>
      <c r="C1957" s="80" t="s">
        <v>14641</v>
      </c>
      <c r="D1957" s="256" t="s">
        <v>15081</v>
      </c>
      <c r="E1957" s="80">
        <v>2133</v>
      </c>
      <c r="F1957" s="207"/>
      <c r="G1957" s="207"/>
      <c r="H1957" s="20"/>
      <c r="I1957" s="207" t="s">
        <v>12545</v>
      </c>
      <c r="J1957" s="66" t="s">
        <v>19113</v>
      </c>
      <c r="K1957" s="207"/>
      <c r="L1957" s="66"/>
      <c r="M1957" s="201" t="s">
        <v>12550</v>
      </c>
      <c r="N1957" s="6"/>
      <c r="O1957" s="38"/>
    </row>
    <row r="1958" spans="1:15" ht="72" customHeight="1" x14ac:dyDescent="0.3">
      <c r="A1958" s="242">
        <v>1948</v>
      </c>
      <c r="B1958" s="80" t="s">
        <v>14692</v>
      </c>
      <c r="C1958" s="80" t="s">
        <v>14642</v>
      </c>
      <c r="D1958" s="256" t="s">
        <v>15083</v>
      </c>
      <c r="E1958" s="80">
        <v>1723</v>
      </c>
      <c r="F1958" s="207"/>
      <c r="G1958" s="207"/>
      <c r="H1958" s="20"/>
      <c r="I1958" s="207" t="s">
        <v>12545</v>
      </c>
      <c r="J1958" s="66" t="s">
        <v>19129</v>
      </c>
      <c r="K1958" s="207"/>
      <c r="L1958" s="66"/>
      <c r="M1958" s="201" t="s">
        <v>12550</v>
      </c>
      <c r="N1958" s="6"/>
      <c r="O1958" s="38"/>
    </row>
    <row r="1959" spans="1:15" ht="72" customHeight="1" x14ac:dyDescent="0.3">
      <c r="A1959" s="242">
        <v>1949</v>
      </c>
      <c r="B1959" s="80" t="s">
        <v>14693</v>
      </c>
      <c r="C1959" s="80" t="s">
        <v>14643</v>
      </c>
      <c r="D1959" s="256" t="s">
        <v>16100</v>
      </c>
      <c r="E1959" s="108">
        <v>5448</v>
      </c>
      <c r="F1959" s="207"/>
      <c r="G1959" s="207"/>
      <c r="H1959" s="20"/>
      <c r="I1959" s="207" t="s">
        <v>12545</v>
      </c>
      <c r="J1959" s="66" t="s">
        <v>19100</v>
      </c>
      <c r="K1959" s="207"/>
      <c r="L1959" s="66"/>
      <c r="M1959" s="201" t="s">
        <v>12550</v>
      </c>
      <c r="N1959" s="6"/>
      <c r="O1959" s="38"/>
    </row>
    <row r="1960" spans="1:15" ht="108" customHeight="1" x14ac:dyDescent="0.3">
      <c r="A1960" s="242">
        <v>1950</v>
      </c>
      <c r="B1960" s="80" t="s">
        <v>23530</v>
      </c>
      <c r="C1960" s="80" t="s">
        <v>14640</v>
      </c>
      <c r="D1960" s="256" t="s">
        <v>14644</v>
      </c>
      <c r="E1960" s="80">
        <v>13135</v>
      </c>
      <c r="F1960" s="207"/>
      <c r="G1960" s="207"/>
      <c r="H1960" s="39" t="s">
        <v>14717</v>
      </c>
      <c r="I1960" s="207" t="s">
        <v>12545</v>
      </c>
      <c r="J1960" s="66" t="s">
        <v>19123</v>
      </c>
      <c r="K1960" s="207"/>
      <c r="L1960" s="66"/>
      <c r="M1960" s="201" t="s">
        <v>12550</v>
      </c>
      <c r="N1960" s="6"/>
      <c r="O1960" s="38" t="s">
        <v>23856</v>
      </c>
    </row>
    <row r="1961" spans="1:15" ht="72" customHeight="1" x14ac:dyDescent="0.3">
      <c r="A1961" s="242">
        <v>1951</v>
      </c>
      <c r="B1961" s="80" t="s">
        <v>16097</v>
      </c>
      <c r="C1961" s="80" t="s">
        <v>14645</v>
      </c>
      <c r="D1961" s="256" t="s">
        <v>16098</v>
      </c>
      <c r="E1961" s="108">
        <v>3440</v>
      </c>
      <c r="F1961" s="207"/>
      <c r="G1961" s="207"/>
      <c r="H1961" s="20"/>
      <c r="I1961" s="207" t="s">
        <v>12545</v>
      </c>
      <c r="J1961" s="66" t="s">
        <v>16912</v>
      </c>
      <c r="K1961" s="207"/>
      <c r="L1961" s="66"/>
      <c r="M1961" s="201" t="s">
        <v>12550</v>
      </c>
      <c r="N1961" s="6"/>
      <c r="O1961" s="38"/>
    </row>
    <row r="1962" spans="1:15" ht="72" customHeight="1" x14ac:dyDescent="0.3">
      <c r="A1962" s="242">
        <v>1952</v>
      </c>
      <c r="B1962" s="80" t="s">
        <v>14684</v>
      </c>
      <c r="C1962" s="80" t="s">
        <v>14646</v>
      </c>
      <c r="D1962" s="256" t="s">
        <v>15084</v>
      </c>
      <c r="E1962" s="80">
        <v>1000</v>
      </c>
      <c r="F1962" s="207"/>
      <c r="G1962" s="207"/>
      <c r="H1962" s="20"/>
      <c r="I1962" s="207" t="s">
        <v>12545</v>
      </c>
      <c r="J1962" s="66" t="s">
        <v>19092</v>
      </c>
      <c r="K1962" s="207"/>
      <c r="L1962" s="66"/>
      <c r="M1962" s="201" t="s">
        <v>12550</v>
      </c>
      <c r="N1962" s="6"/>
      <c r="O1962" s="38"/>
    </row>
    <row r="1963" spans="1:15" ht="72" customHeight="1" x14ac:dyDescent="0.3">
      <c r="A1963" s="242">
        <v>1953</v>
      </c>
      <c r="B1963" s="80" t="s">
        <v>18476</v>
      </c>
      <c r="C1963" s="80" t="s">
        <v>14647</v>
      </c>
      <c r="D1963" s="256" t="s">
        <v>15085</v>
      </c>
      <c r="E1963" s="80">
        <v>2819</v>
      </c>
      <c r="F1963" s="207"/>
      <c r="G1963" s="207"/>
      <c r="H1963" s="20"/>
      <c r="I1963" s="207" t="s">
        <v>12545</v>
      </c>
      <c r="J1963" s="66" t="s">
        <v>16913</v>
      </c>
      <c r="K1963" s="207"/>
      <c r="L1963" s="66"/>
      <c r="M1963" s="201" t="s">
        <v>12550</v>
      </c>
      <c r="N1963" s="6"/>
      <c r="O1963" s="38"/>
    </row>
    <row r="1964" spans="1:15" ht="84" customHeight="1" x14ac:dyDescent="0.3">
      <c r="A1964" s="242">
        <v>1954</v>
      </c>
      <c r="B1964" s="80" t="s">
        <v>16931</v>
      </c>
      <c r="C1964" s="80" t="s">
        <v>14648</v>
      </c>
      <c r="D1964" s="256" t="s">
        <v>15095</v>
      </c>
      <c r="E1964" s="108">
        <v>2000</v>
      </c>
      <c r="F1964" s="207"/>
      <c r="G1964" s="207"/>
      <c r="H1964" s="20"/>
      <c r="I1964" s="207" t="s">
        <v>12545</v>
      </c>
      <c r="J1964" s="66" t="s">
        <v>16907</v>
      </c>
      <c r="K1964" s="207"/>
      <c r="L1964" s="66"/>
      <c r="M1964" s="201" t="s">
        <v>12550</v>
      </c>
      <c r="N1964" s="6"/>
      <c r="O1964" s="38"/>
    </row>
    <row r="1965" spans="1:15" ht="84" customHeight="1" x14ac:dyDescent="0.3">
      <c r="A1965" s="242">
        <v>1955</v>
      </c>
      <c r="B1965" s="80" t="s">
        <v>16930</v>
      </c>
      <c r="C1965" s="80" t="s">
        <v>14649</v>
      </c>
      <c r="D1965" s="256" t="s">
        <v>15096</v>
      </c>
      <c r="E1965" s="80">
        <v>807</v>
      </c>
      <c r="F1965" s="207"/>
      <c r="G1965" s="207"/>
      <c r="H1965" s="20"/>
      <c r="I1965" s="207" t="s">
        <v>12545</v>
      </c>
      <c r="J1965" s="66" t="s">
        <v>16910</v>
      </c>
      <c r="K1965" s="207"/>
      <c r="L1965" s="66"/>
      <c r="M1965" s="201" t="s">
        <v>12550</v>
      </c>
      <c r="N1965" s="6"/>
      <c r="O1965" s="38"/>
    </row>
    <row r="1966" spans="1:15" ht="84" customHeight="1" x14ac:dyDescent="0.3">
      <c r="A1966" s="242">
        <v>1956</v>
      </c>
      <c r="B1966" s="80" t="s">
        <v>16929</v>
      </c>
      <c r="C1966" s="80" t="s">
        <v>14646</v>
      </c>
      <c r="D1966" s="256" t="s">
        <v>15097</v>
      </c>
      <c r="E1966" s="80">
        <v>4632</v>
      </c>
      <c r="F1966" s="207"/>
      <c r="G1966" s="207"/>
      <c r="H1966" s="20"/>
      <c r="I1966" s="207" t="s">
        <v>12545</v>
      </c>
      <c r="J1966" s="66" t="s">
        <v>16908</v>
      </c>
      <c r="K1966" s="207"/>
      <c r="L1966" s="66"/>
      <c r="M1966" s="201" t="s">
        <v>12550</v>
      </c>
      <c r="N1966" s="6"/>
      <c r="O1966" s="38"/>
    </row>
    <row r="1967" spans="1:15" ht="108" customHeight="1" x14ac:dyDescent="0.3">
      <c r="A1967" s="242">
        <v>1957</v>
      </c>
      <c r="B1967" s="80" t="s">
        <v>15660</v>
      </c>
      <c r="C1967" s="80" t="s">
        <v>14700</v>
      </c>
      <c r="D1967" s="256" t="s">
        <v>15098</v>
      </c>
      <c r="E1967" s="80">
        <v>26879</v>
      </c>
      <c r="F1967" s="207"/>
      <c r="G1967" s="207"/>
      <c r="H1967" s="39" t="s">
        <v>14718</v>
      </c>
      <c r="I1967" s="207" t="s">
        <v>12545</v>
      </c>
      <c r="J1967" s="66" t="s">
        <v>19514</v>
      </c>
      <c r="K1967" s="207"/>
      <c r="L1967" s="66"/>
      <c r="M1967" s="201" t="s">
        <v>12550</v>
      </c>
      <c r="N1967" s="6"/>
      <c r="O1967" s="38"/>
    </row>
    <row r="1968" spans="1:15" ht="84" customHeight="1" x14ac:dyDescent="0.3">
      <c r="A1968" s="242">
        <v>1958</v>
      </c>
      <c r="B1968" s="80" t="s">
        <v>14685</v>
      </c>
      <c r="C1968" s="80" t="s">
        <v>14650</v>
      </c>
      <c r="D1968" s="256" t="s">
        <v>15086</v>
      </c>
      <c r="E1968" s="80">
        <v>1310</v>
      </c>
      <c r="F1968" s="207"/>
      <c r="G1968" s="207"/>
      <c r="H1968" s="39" t="s">
        <v>14715</v>
      </c>
      <c r="I1968" s="207" t="s">
        <v>12545</v>
      </c>
      <c r="J1968" s="66" t="s">
        <v>21370</v>
      </c>
      <c r="K1968" s="207"/>
      <c r="L1968" s="66"/>
      <c r="M1968" s="201" t="s">
        <v>12550</v>
      </c>
      <c r="N1968" s="6"/>
      <c r="O1968" s="38"/>
    </row>
    <row r="1969" spans="1:15" ht="72" customHeight="1" x14ac:dyDescent="0.3">
      <c r="A1969" s="242">
        <v>1959</v>
      </c>
      <c r="B1969" s="80" t="s">
        <v>14686</v>
      </c>
      <c r="C1969" s="80" t="s">
        <v>14651</v>
      </c>
      <c r="D1969" s="256" t="s">
        <v>16099</v>
      </c>
      <c r="E1969" s="80">
        <v>4676</v>
      </c>
      <c r="F1969" s="207"/>
      <c r="G1969" s="207"/>
      <c r="H1969" s="20"/>
      <c r="I1969" s="207" t="s">
        <v>12545</v>
      </c>
      <c r="J1969" s="66" t="s">
        <v>17762</v>
      </c>
      <c r="K1969" s="207"/>
      <c r="L1969" s="66"/>
      <c r="M1969" s="201" t="s">
        <v>12550</v>
      </c>
      <c r="N1969" s="6"/>
      <c r="O1969" s="38"/>
    </row>
    <row r="1970" spans="1:15" ht="84" customHeight="1" x14ac:dyDescent="0.3">
      <c r="A1970" s="242">
        <v>1960</v>
      </c>
      <c r="B1970" s="80" t="s">
        <v>16928</v>
      </c>
      <c r="C1970" s="80" t="s">
        <v>14647</v>
      </c>
      <c r="D1970" s="256" t="s">
        <v>15099</v>
      </c>
      <c r="E1970" s="80">
        <v>1100</v>
      </c>
      <c r="F1970" s="207"/>
      <c r="G1970" s="207"/>
      <c r="H1970" s="20"/>
      <c r="I1970" s="207" t="s">
        <v>12545</v>
      </c>
      <c r="J1970" s="66" t="s">
        <v>16927</v>
      </c>
      <c r="K1970" s="207"/>
      <c r="L1970" s="66"/>
      <c r="M1970" s="201" t="s">
        <v>12550</v>
      </c>
      <c r="N1970" s="6"/>
      <c r="O1970" s="38"/>
    </row>
    <row r="1971" spans="1:15" ht="108" customHeight="1" x14ac:dyDescent="0.3">
      <c r="A1971" s="242">
        <v>1961</v>
      </c>
      <c r="B1971" s="80" t="s">
        <v>15093</v>
      </c>
      <c r="C1971" s="80" t="s">
        <v>14652</v>
      </c>
      <c r="D1971" s="256" t="s">
        <v>15094</v>
      </c>
      <c r="E1971" s="80">
        <v>546</v>
      </c>
      <c r="F1971" s="207"/>
      <c r="G1971" s="207"/>
      <c r="H1971" s="20"/>
      <c r="I1971" s="207" t="s">
        <v>12545</v>
      </c>
      <c r="J1971" s="66" t="s">
        <v>21371</v>
      </c>
      <c r="K1971" s="207"/>
      <c r="L1971" s="66"/>
      <c r="M1971" s="201" t="s">
        <v>12550</v>
      </c>
      <c r="N1971" s="6"/>
      <c r="O1971" s="38"/>
    </row>
    <row r="1972" spans="1:15" ht="72" customHeight="1" x14ac:dyDescent="0.3">
      <c r="A1972" s="242">
        <v>1962</v>
      </c>
      <c r="B1972" s="80" t="s">
        <v>16290</v>
      </c>
      <c r="C1972" s="80" t="s">
        <v>14653</v>
      </c>
      <c r="D1972" s="256" t="s">
        <v>16291</v>
      </c>
      <c r="E1972" s="80">
        <v>1462</v>
      </c>
      <c r="F1972" s="207"/>
      <c r="G1972" s="207"/>
      <c r="H1972" s="20"/>
      <c r="I1972" s="207" t="s">
        <v>12545</v>
      </c>
      <c r="J1972" s="66" t="s">
        <v>19742</v>
      </c>
      <c r="K1972" s="207"/>
      <c r="L1972" s="66"/>
      <c r="M1972" s="201" t="s">
        <v>12550</v>
      </c>
      <c r="N1972" s="6"/>
      <c r="O1972" s="38"/>
    </row>
    <row r="1973" spans="1:15" ht="72" customHeight="1" x14ac:dyDescent="0.3">
      <c r="A1973" s="2">
        <v>1963</v>
      </c>
      <c r="B1973" s="80" t="s">
        <v>14698</v>
      </c>
      <c r="C1973" s="80" t="s">
        <v>14654</v>
      </c>
      <c r="D1973" s="80"/>
      <c r="E1973" s="108">
        <v>278</v>
      </c>
      <c r="F1973" s="207"/>
      <c r="G1973" s="207"/>
      <c r="H1973" s="20"/>
      <c r="I1973" s="207" t="s">
        <v>12545</v>
      </c>
      <c r="J1973" s="66" t="s">
        <v>12547</v>
      </c>
      <c r="K1973" s="207"/>
      <c r="L1973" s="66"/>
      <c r="M1973" s="201" t="s">
        <v>12550</v>
      </c>
      <c r="N1973" s="6"/>
      <c r="O1973" s="38"/>
    </row>
    <row r="1974" spans="1:15" ht="72" customHeight="1" x14ac:dyDescent="0.3">
      <c r="A1974" s="2">
        <v>1964</v>
      </c>
      <c r="B1974" s="80" t="s">
        <v>14699</v>
      </c>
      <c r="C1974" s="80" t="s">
        <v>14655</v>
      </c>
      <c r="D1974" s="80"/>
      <c r="E1974" s="80">
        <v>12000</v>
      </c>
      <c r="F1974" s="207"/>
      <c r="G1974" s="207"/>
      <c r="H1974" s="20"/>
      <c r="I1974" s="207" t="s">
        <v>12545</v>
      </c>
      <c r="J1974" s="66" t="s">
        <v>12547</v>
      </c>
      <c r="K1974" s="207"/>
      <c r="L1974" s="66"/>
      <c r="M1974" s="201" t="s">
        <v>12550</v>
      </c>
      <c r="N1974" s="6"/>
      <c r="O1974" s="38"/>
    </row>
    <row r="1975" spans="1:15" ht="72" customHeight="1" x14ac:dyDescent="0.3">
      <c r="A1975" s="2">
        <v>1965</v>
      </c>
      <c r="B1975" s="80" t="s">
        <v>14694</v>
      </c>
      <c r="C1975" s="80" t="s">
        <v>14656</v>
      </c>
      <c r="D1975" s="80"/>
      <c r="E1975" s="80">
        <v>1666</v>
      </c>
      <c r="F1975" s="207"/>
      <c r="G1975" s="207"/>
      <c r="H1975" s="20"/>
      <c r="I1975" s="207" t="s">
        <v>12545</v>
      </c>
      <c r="J1975" s="66" t="s">
        <v>12547</v>
      </c>
      <c r="K1975" s="207"/>
      <c r="L1975" s="66"/>
      <c r="M1975" s="201" t="s">
        <v>12550</v>
      </c>
      <c r="N1975" s="6"/>
      <c r="O1975" s="38"/>
    </row>
    <row r="1976" spans="1:15" ht="72" customHeight="1" x14ac:dyDescent="0.3">
      <c r="A1976" s="2">
        <v>1966</v>
      </c>
      <c r="B1976" s="80" t="s">
        <v>14695</v>
      </c>
      <c r="C1976" s="80" t="s">
        <v>14657</v>
      </c>
      <c r="D1976" s="80"/>
      <c r="E1976" s="220">
        <v>3790</v>
      </c>
      <c r="F1976" s="207"/>
      <c r="G1976" s="207"/>
      <c r="H1976" s="20"/>
      <c r="I1976" s="207" t="s">
        <v>12545</v>
      </c>
      <c r="J1976" s="66" t="s">
        <v>12547</v>
      </c>
      <c r="K1976" s="207"/>
      <c r="L1976" s="66"/>
      <c r="M1976" s="201" t="s">
        <v>12550</v>
      </c>
      <c r="N1976" s="6"/>
      <c r="O1976" s="38"/>
    </row>
    <row r="1977" spans="1:15" ht="72" customHeight="1" x14ac:dyDescent="0.3">
      <c r="A1977" s="2">
        <v>1967</v>
      </c>
      <c r="B1977" s="80" t="s">
        <v>14696</v>
      </c>
      <c r="C1977" s="80" t="s">
        <v>14658</v>
      </c>
      <c r="D1977" s="80"/>
      <c r="E1977" s="220">
        <v>2692</v>
      </c>
      <c r="F1977" s="207"/>
      <c r="G1977" s="207"/>
      <c r="H1977" s="20"/>
      <c r="I1977" s="207" t="s">
        <v>12545</v>
      </c>
      <c r="J1977" s="66" t="s">
        <v>12547</v>
      </c>
      <c r="K1977" s="207"/>
      <c r="L1977" s="66"/>
      <c r="M1977" s="201" t="s">
        <v>12550</v>
      </c>
      <c r="N1977" s="6"/>
      <c r="O1977" s="38"/>
    </row>
    <row r="1978" spans="1:15" ht="72" customHeight="1" x14ac:dyDescent="0.3">
      <c r="A1978" s="2">
        <v>1968</v>
      </c>
      <c r="B1978" s="80" t="s">
        <v>14697</v>
      </c>
      <c r="C1978" s="80" t="s">
        <v>14658</v>
      </c>
      <c r="D1978" s="80"/>
      <c r="E1978" s="220">
        <v>1917</v>
      </c>
      <c r="F1978" s="207"/>
      <c r="G1978" s="207"/>
      <c r="H1978" s="20"/>
      <c r="I1978" s="207" t="s">
        <v>12545</v>
      </c>
      <c r="J1978" s="66" t="s">
        <v>12547</v>
      </c>
      <c r="K1978" s="207"/>
      <c r="L1978" s="66"/>
      <c r="M1978" s="201" t="s">
        <v>12550</v>
      </c>
      <c r="N1978" s="6"/>
      <c r="O1978" s="38"/>
    </row>
    <row r="1979" spans="1:15" ht="72" customHeight="1" x14ac:dyDescent="0.3">
      <c r="A1979" s="2">
        <v>1969</v>
      </c>
      <c r="B1979" s="80" t="s">
        <v>15661</v>
      </c>
      <c r="C1979" s="80" t="s">
        <v>14652</v>
      </c>
      <c r="D1979" s="80"/>
      <c r="E1979" s="221">
        <v>6790</v>
      </c>
      <c r="F1979" s="207"/>
      <c r="G1979" s="207"/>
      <c r="H1979" s="20"/>
      <c r="I1979" s="207" t="s">
        <v>12545</v>
      </c>
      <c r="J1979" s="66" t="s">
        <v>12547</v>
      </c>
      <c r="K1979" s="207"/>
      <c r="L1979" s="66"/>
      <c r="M1979" s="201" t="s">
        <v>12550</v>
      </c>
      <c r="N1979" s="6"/>
      <c r="O1979" s="38"/>
    </row>
    <row r="1980" spans="1:15" ht="72" customHeight="1" x14ac:dyDescent="0.3">
      <c r="A1980" s="2">
        <v>1970</v>
      </c>
      <c r="B1980" s="80" t="s">
        <v>15461</v>
      </c>
      <c r="C1980" s="80" t="s">
        <v>14659</v>
      </c>
      <c r="D1980" s="80"/>
      <c r="E1980" s="220">
        <v>2082</v>
      </c>
      <c r="F1980" s="207"/>
      <c r="G1980" s="207"/>
      <c r="H1980" s="20"/>
      <c r="I1980" s="207" t="s">
        <v>12545</v>
      </c>
      <c r="J1980" s="66" t="s">
        <v>12547</v>
      </c>
      <c r="K1980" s="207"/>
      <c r="L1980" s="66"/>
      <c r="M1980" s="201" t="s">
        <v>12550</v>
      </c>
      <c r="N1980" s="6"/>
      <c r="O1980" s="38"/>
    </row>
    <row r="1981" spans="1:15" ht="72" customHeight="1" x14ac:dyDescent="0.3">
      <c r="A1981" s="2">
        <v>1971</v>
      </c>
      <c r="B1981" s="80" t="s">
        <v>14687</v>
      </c>
      <c r="C1981" s="80" t="s">
        <v>14659</v>
      </c>
      <c r="D1981" s="80"/>
      <c r="E1981" s="220">
        <v>2808</v>
      </c>
      <c r="F1981" s="207"/>
      <c r="G1981" s="207"/>
      <c r="H1981" s="20"/>
      <c r="I1981" s="207" t="s">
        <v>12545</v>
      </c>
      <c r="J1981" s="66" t="s">
        <v>12547</v>
      </c>
      <c r="K1981" s="207"/>
      <c r="L1981" s="66"/>
      <c r="M1981" s="201" t="s">
        <v>12550</v>
      </c>
      <c r="N1981" s="6"/>
      <c r="O1981" s="38"/>
    </row>
    <row r="1982" spans="1:15" ht="72" customHeight="1" x14ac:dyDescent="0.3">
      <c r="A1982" s="2">
        <v>1972</v>
      </c>
      <c r="B1982" s="80" t="s">
        <v>15103</v>
      </c>
      <c r="C1982" s="142" t="s">
        <v>19072</v>
      </c>
      <c r="D1982" s="80"/>
      <c r="E1982" s="220">
        <v>11115</v>
      </c>
      <c r="F1982" s="207"/>
      <c r="G1982" s="207"/>
      <c r="H1982" s="20"/>
      <c r="I1982" s="207" t="s">
        <v>12545</v>
      </c>
      <c r="J1982" s="66" t="s">
        <v>12547</v>
      </c>
      <c r="K1982" s="207"/>
      <c r="L1982" s="66"/>
      <c r="M1982" s="201" t="s">
        <v>12550</v>
      </c>
      <c r="N1982" s="6"/>
      <c r="O1982" s="38"/>
    </row>
    <row r="1983" spans="1:15" ht="72" customHeight="1" x14ac:dyDescent="0.3">
      <c r="A1983" s="2">
        <v>1973</v>
      </c>
      <c r="B1983" s="80" t="s">
        <v>14688</v>
      </c>
      <c r="C1983" s="80" t="s">
        <v>14660</v>
      </c>
      <c r="D1983" s="80"/>
      <c r="E1983" s="220">
        <v>6671</v>
      </c>
      <c r="F1983" s="207"/>
      <c r="G1983" s="207"/>
      <c r="H1983" s="20"/>
      <c r="I1983" s="207" t="s">
        <v>12545</v>
      </c>
      <c r="J1983" s="66" t="s">
        <v>12547</v>
      </c>
      <c r="K1983" s="207"/>
      <c r="L1983" s="66"/>
      <c r="M1983" s="201" t="s">
        <v>12550</v>
      </c>
      <c r="N1983" s="6"/>
      <c r="O1983" s="38"/>
    </row>
    <row r="1984" spans="1:15" ht="84" customHeight="1" x14ac:dyDescent="0.3">
      <c r="A1984" s="242">
        <v>1974</v>
      </c>
      <c r="B1984" s="108" t="s">
        <v>14442</v>
      </c>
      <c r="C1984" s="108" t="s">
        <v>19669</v>
      </c>
      <c r="D1984" s="256" t="s">
        <v>19670</v>
      </c>
      <c r="E1984" s="109">
        <v>1100733</v>
      </c>
      <c r="F1984" s="244">
        <v>19560025.41</v>
      </c>
      <c r="G1984" s="207"/>
      <c r="H1984" s="248">
        <v>19560025.41</v>
      </c>
      <c r="I1984" s="26">
        <v>43088</v>
      </c>
      <c r="J1984" s="66" t="s">
        <v>19671</v>
      </c>
      <c r="K1984" s="207"/>
      <c r="L1984" s="66"/>
      <c r="M1984" s="200" t="s">
        <v>12550</v>
      </c>
      <c r="N1984" s="207"/>
      <c r="O1984" s="38" t="s">
        <v>20465</v>
      </c>
    </row>
    <row r="1985" spans="1:26" ht="84" customHeight="1" x14ac:dyDescent="0.3">
      <c r="A1985" s="242">
        <v>1975</v>
      </c>
      <c r="B1985" s="108" t="s">
        <v>14442</v>
      </c>
      <c r="C1985" s="108" t="s">
        <v>19669</v>
      </c>
      <c r="D1985" s="256" t="s">
        <v>19672</v>
      </c>
      <c r="E1985" s="109">
        <v>688718</v>
      </c>
      <c r="F1985" s="244">
        <v>12238518.859999999</v>
      </c>
      <c r="G1985" s="207"/>
      <c r="H1985" s="98">
        <v>12238518.859999999</v>
      </c>
      <c r="I1985" s="26">
        <v>43088</v>
      </c>
      <c r="J1985" s="66" t="s">
        <v>19673</v>
      </c>
      <c r="K1985" s="207"/>
      <c r="L1985" s="66"/>
      <c r="M1985" s="200" t="s">
        <v>12550</v>
      </c>
      <c r="N1985" s="207"/>
      <c r="O1985" s="38" t="s">
        <v>20465</v>
      </c>
    </row>
    <row r="1986" spans="1:26" ht="84" customHeight="1" x14ac:dyDescent="0.3">
      <c r="A1986" s="242">
        <v>1976</v>
      </c>
      <c r="B1986" s="108" t="s">
        <v>14442</v>
      </c>
      <c r="C1986" s="108" t="s">
        <v>19674</v>
      </c>
      <c r="D1986" s="256" t="s">
        <v>19675</v>
      </c>
      <c r="E1986" s="109">
        <v>1037979</v>
      </c>
      <c r="F1986" s="244">
        <v>16597284.210000001</v>
      </c>
      <c r="G1986" s="207"/>
      <c r="H1986" s="286">
        <v>16597284.210000001</v>
      </c>
      <c r="I1986" s="26">
        <v>43088</v>
      </c>
      <c r="J1986" s="66" t="s">
        <v>19676</v>
      </c>
      <c r="K1986" s="207"/>
      <c r="L1986" s="66"/>
      <c r="M1986" s="200" t="s">
        <v>12550</v>
      </c>
      <c r="N1986" s="207"/>
      <c r="O1986" s="38" t="s">
        <v>20466</v>
      </c>
    </row>
    <row r="1987" spans="1:26" ht="84" customHeight="1" x14ac:dyDescent="0.3">
      <c r="A1987" s="242">
        <v>1977</v>
      </c>
      <c r="B1987" s="108" t="s">
        <v>14442</v>
      </c>
      <c r="C1987" s="108" t="s">
        <v>19663</v>
      </c>
      <c r="D1987" s="256" t="s">
        <v>19664</v>
      </c>
      <c r="E1987" s="109">
        <v>1098000</v>
      </c>
      <c r="F1987" s="244">
        <v>19149120</v>
      </c>
      <c r="G1987" s="207"/>
      <c r="H1987" s="50">
        <v>19149120</v>
      </c>
      <c r="I1987" s="26">
        <v>43084</v>
      </c>
      <c r="J1987" s="66" t="s">
        <v>19667</v>
      </c>
      <c r="K1987" s="207"/>
      <c r="L1987" s="66"/>
      <c r="M1987" s="200" t="s">
        <v>12550</v>
      </c>
      <c r="N1987" s="207"/>
      <c r="O1987" s="38" t="s">
        <v>20467</v>
      </c>
    </row>
    <row r="1988" spans="1:26" ht="84" customHeight="1" x14ac:dyDescent="0.3">
      <c r="A1988" s="242">
        <v>1978</v>
      </c>
      <c r="B1988" s="108" t="s">
        <v>14442</v>
      </c>
      <c r="C1988" s="108" t="s">
        <v>19665</v>
      </c>
      <c r="D1988" s="256" t="s">
        <v>19666</v>
      </c>
      <c r="E1988" s="109">
        <v>2895322</v>
      </c>
      <c r="F1988" s="244">
        <v>46296198.780000001</v>
      </c>
      <c r="G1988" s="207"/>
      <c r="H1988" s="286">
        <v>46296198.780000001</v>
      </c>
      <c r="I1988" s="26">
        <v>43088</v>
      </c>
      <c r="J1988" s="66" t="s">
        <v>19668</v>
      </c>
      <c r="K1988" s="207"/>
      <c r="L1988" s="66"/>
      <c r="M1988" s="200" t="s">
        <v>12550</v>
      </c>
      <c r="N1988" s="207"/>
      <c r="O1988" s="38" t="s">
        <v>20466</v>
      </c>
    </row>
    <row r="1989" spans="1:26" ht="72" customHeight="1" x14ac:dyDescent="0.3">
      <c r="A1989" s="2">
        <v>1979</v>
      </c>
      <c r="B1989" s="38" t="s">
        <v>14719</v>
      </c>
      <c r="C1989" s="38" t="s">
        <v>14720</v>
      </c>
      <c r="D1989" s="6"/>
      <c r="E1989" s="25"/>
      <c r="F1989" s="207"/>
      <c r="G1989" s="207"/>
      <c r="H1989" s="207"/>
      <c r="I1989" s="69" t="s">
        <v>12545</v>
      </c>
      <c r="J1989" s="66" t="s">
        <v>12547</v>
      </c>
      <c r="K1989" s="207"/>
      <c r="L1989" s="66"/>
      <c r="M1989" s="201" t="s">
        <v>12550</v>
      </c>
      <c r="N1989" s="6"/>
      <c r="O1989" s="38"/>
    </row>
    <row r="1990" spans="1:26" ht="72" customHeight="1" x14ac:dyDescent="0.3">
      <c r="A1990" s="2">
        <v>1980</v>
      </c>
      <c r="B1990" s="38" t="s">
        <v>14721</v>
      </c>
      <c r="C1990" s="38" t="s">
        <v>14722</v>
      </c>
      <c r="D1990" s="6"/>
      <c r="E1990" s="207"/>
      <c r="F1990" s="25"/>
      <c r="G1990" s="207"/>
      <c r="H1990" s="207"/>
      <c r="I1990" s="207" t="s">
        <v>12545</v>
      </c>
      <c r="J1990" s="66" t="s">
        <v>12547</v>
      </c>
      <c r="K1990" s="207"/>
      <c r="L1990" s="66"/>
      <c r="M1990" s="201" t="s">
        <v>12550</v>
      </c>
      <c r="N1990" s="207"/>
      <c r="O1990" s="38"/>
    </row>
    <row r="1991" spans="1:26" ht="72" customHeight="1" x14ac:dyDescent="0.3">
      <c r="A1991" s="2">
        <v>1981</v>
      </c>
      <c r="B1991" s="38" t="s">
        <v>14723</v>
      </c>
      <c r="C1991" s="38" t="s">
        <v>14724</v>
      </c>
      <c r="D1991" s="6"/>
      <c r="E1991" s="207"/>
      <c r="F1991" s="25"/>
      <c r="G1991" s="207"/>
      <c r="H1991" s="207"/>
      <c r="I1991" s="69" t="s">
        <v>12545</v>
      </c>
      <c r="J1991" s="66" t="s">
        <v>12547</v>
      </c>
      <c r="K1991" s="207"/>
      <c r="L1991" s="66"/>
      <c r="M1991" s="201" t="s">
        <v>12550</v>
      </c>
      <c r="N1991" s="207"/>
      <c r="O1991" s="38"/>
    </row>
    <row r="1992" spans="1:26" ht="72" customHeight="1" x14ac:dyDescent="0.3">
      <c r="A1992" s="2">
        <v>1982</v>
      </c>
      <c r="B1992" s="38" t="s">
        <v>14725</v>
      </c>
      <c r="C1992" s="38" t="s">
        <v>14364</v>
      </c>
      <c r="D1992" s="6"/>
      <c r="E1992" s="207"/>
      <c r="F1992" s="25"/>
      <c r="G1992" s="207"/>
      <c r="H1992" s="207"/>
      <c r="I1992" s="207" t="s">
        <v>12545</v>
      </c>
      <c r="J1992" s="66" t="s">
        <v>12547</v>
      </c>
      <c r="K1992" s="207"/>
      <c r="L1992" s="66"/>
      <c r="M1992" s="201" t="s">
        <v>12550</v>
      </c>
      <c r="N1992" s="207"/>
      <c r="O1992" s="38"/>
    </row>
    <row r="1993" spans="1:26" ht="72" customHeight="1" x14ac:dyDescent="0.3">
      <c r="A1993" s="2">
        <v>1983</v>
      </c>
      <c r="B1993" s="38" t="s">
        <v>14726</v>
      </c>
      <c r="C1993" s="38" t="s">
        <v>14727</v>
      </c>
      <c r="D1993" s="6"/>
      <c r="E1993" s="207"/>
      <c r="F1993" s="25"/>
      <c r="G1993" s="207"/>
      <c r="H1993" s="207"/>
      <c r="I1993" s="207" t="s">
        <v>12545</v>
      </c>
      <c r="J1993" s="66" t="s">
        <v>12547</v>
      </c>
      <c r="K1993" s="207"/>
      <c r="L1993" s="66"/>
      <c r="M1993" s="201" t="s">
        <v>12550</v>
      </c>
      <c r="N1993" s="207"/>
      <c r="O1993" s="38"/>
      <c r="Q1993" s="161"/>
      <c r="R1993" s="161"/>
      <c r="S1993" s="161"/>
      <c r="T1993" s="161"/>
      <c r="U1993" s="161"/>
      <c r="V1993" s="161"/>
      <c r="W1993" s="161"/>
      <c r="X1993" s="161"/>
      <c r="Y1993" s="161"/>
      <c r="Z1993" s="161"/>
    </row>
    <row r="1994" spans="1:26" s="161" customFormat="1" ht="72" customHeight="1" x14ac:dyDescent="0.3">
      <c r="A1994" s="242">
        <v>1984</v>
      </c>
      <c r="B1994" s="245" t="s">
        <v>14737</v>
      </c>
      <c r="C1994" s="222" t="s">
        <v>14729</v>
      </c>
      <c r="D1994" s="85" t="s">
        <v>16112</v>
      </c>
      <c r="E1994" s="139">
        <v>322.39999999999998</v>
      </c>
      <c r="F1994" s="150">
        <v>545663.12</v>
      </c>
      <c r="G1994" s="150">
        <v>218652.74</v>
      </c>
      <c r="H1994" s="25">
        <v>3874403.31</v>
      </c>
      <c r="I1994" s="207" t="s">
        <v>12545</v>
      </c>
      <c r="J1994" s="66" t="s">
        <v>16241</v>
      </c>
      <c r="K1994" s="207"/>
      <c r="L1994" s="66"/>
      <c r="M1994" s="201" t="s">
        <v>12550</v>
      </c>
      <c r="N1994" s="245"/>
      <c r="O1994" s="38"/>
      <c r="Q1994" s="67"/>
      <c r="R1994" s="67"/>
      <c r="S1994" s="67"/>
      <c r="T1994" s="67"/>
      <c r="U1994" s="67"/>
      <c r="V1994" s="67"/>
      <c r="W1994" s="67"/>
      <c r="X1994" s="67"/>
      <c r="Y1994" s="67"/>
      <c r="Z1994" s="67"/>
    </row>
    <row r="1995" spans="1:26" ht="108" customHeight="1" x14ac:dyDescent="0.3">
      <c r="A1995" s="68">
        <v>1985</v>
      </c>
      <c r="B1995" s="246" t="s">
        <v>17904</v>
      </c>
      <c r="C1995" s="105" t="s">
        <v>17905</v>
      </c>
      <c r="D1995" s="88" t="s">
        <v>17906</v>
      </c>
      <c r="E1995" s="139">
        <v>170.7</v>
      </c>
      <c r="F1995" s="143"/>
      <c r="G1995" s="143"/>
      <c r="H1995" s="25"/>
      <c r="I1995" s="115" t="s">
        <v>17907</v>
      </c>
      <c r="J1995" s="38" t="s">
        <v>18599</v>
      </c>
      <c r="K1995" s="207"/>
      <c r="L1995" s="66"/>
      <c r="M1995" s="201" t="s">
        <v>12550</v>
      </c>
      <c r="N1995" s="38"/>
      <c r="O1995" s="38"/>
    </row>
    <row r="1996" spans="1:26" ht="72" customHeight="1" x14ac:dyDescent="0.3">
      <c r="A1996" s="242">
        <v>1986</v>
      </c>
      <c r="B1996" s="245" t="s">
        <v>14738</v>
      </c>
      <c r="C1996" s="146" t="s">
        <v>14731</v>
      </c>
      <c r="D1996" s="85" t="s">
        <v>16114</v>
      </c>
      <c r="E1996" s="142">
        <v>515.9</v>
      </c>
      <c r="F1996" s="143">
        <v>146250</v>
      </c>
      <c r="G1996" s="143">
        <v>77500</v>
      </c>
      <c r="H1996" s="25"/>
      <c r="I1996" s="207" t="s">
        <v>12545</v>
      </c>
      <c r="J1996" s="66" t="s">
        <v>16909</v>
      </c>
      <c r="K1996" s="207"/>
      <c r="L1996" s="66"/>
      <c r="M1996" s="201" t="s">
        <v>12550</v>
      </c>
      <c r="N1996" s="38" t="s">
        <v>19412</v>
      </c>
      <c r="O1996" s="38"/>
    </row>
    <row r="1997" spans="1:26" ht="72" customHeight="1" x14ac:dyDescent="0.3">
      <c r="A1997" s="242">
        <v>1987</v>
      </c>
      <c r="B1997" s="245" t="s">
        <v>14730</v>
      </c>
      <c r="C1997" s="146" t="s">
        <v>14729</v>
      </c>
      <c r="D1997" s="85" t="s">
        <v>15044</v>
      </c>
      <c r="E1997" s="142">
        <v>80.099999999999994</v>
      </c>
      <c r="F1997" s="143">
        <v>574735</v>
      </c>
      <c r="G1997" s="143"/>
      <c r="H1997" s="25">
        <v>962592.14</v>
      </c>
      <c r="I1997" s="207" t="s">
        <v>12545</v>
      </c>
      <c r="J1997" s="66" t="s">
        <v>16906</v>
      </c>
      <c r="K1997" s="207"/>
      <c r="L1997" s="66"/>
      <c r="M1997" s="200" t="s">
        <v>12550</v>
      </c>
      <c r="N1997" s="226" t="s">
        <v>20727</v>
      </c>
      <c r="O1997" s="38"/>
    </row>
    <row r="1998" spans="1:26" ht="72" customHeight="1" x14ac:dyDescent="0.3">
      <c r="A1998" s="23">
        <v>1988</v>
      </c>
      <c r="B1998" s="257" t="s">
        <v>14739</v>
      </c>
      <c r="C1998" s="258" t="s">
        <v>21479</v>
      </c>
      <c r="D1998" s="300" t="s">
        <v>23618</v>
      </c>
      <c r="E1998" s="6">
        <v>303.10000000000002</v>
      </c>
      <c r="F1998" s="43">
        <v>253675.05</v>
      </c>
      <c r="G1998" s="43">
        <v>111199.67999999999</v>
      </c>
      <c r="H1998" s="25">
        <v>2681197.1</v>
      </c>
      <c r="I1998" s="207" t="s">
        <v>12545</v>
      </c>
      <c r="J1998" s="66" t="s">
        <v>23619</v>
      </c>
      <c r="K1998" s="207"/>
      <c r="L1998" s="66"/>
      <c r="M1998" s="201" t="s">
        <v>12550</v>
      </c>
      <c r="N1998" s="38" t="s">
        <v>19765</v>
      </c>
      <c r="O1998" s="38"/>
    </row>
    <row r="1999" spans="1:26" ht="108" customHeight="1" x14ac:dyDescent="0.3">
      <c r="A1999" s="242">
        <v>1989</v>
      </c>
      <c r="B1999" s="245" t="s">
        <v>14740</v>
      </c>
      <c r="C1999" s="38" t="s">
        <v>14732</v>
      </c>
      <c r="D1999" s="85" t="s">
        <v>17830</v>
      </c>
      <c r="E1999" s="6">
        <v>215.2</v>
      </c>
      <c r="F1999" s="51">
        <v>232521.3</v>
      </c>
      <c r="G1999" s="51">
        <v>52771.199999999997</v>
      </c>
      <c r="H1999" s="207">
        <v>2861118.43</v>
      </c>
      <c r="I1999" s="207" t="s">
        <v>12545</v>
      </c>
      <c r="J1999" s="66" t="s">
        <v>18174</v>
      </c>
      <c r="K1999" s="207"/>
      <c r="L1999" s="66"/>
      <c r="M1999" s="201" t="s">
        <v>12550</v>
      </c>
      <c r="N1999" s="226" t="s">
        <v>20727</v>
      </c>
      <c r="O1999" s="38"/>
    </row>
    <row r="2000" spans="1:26" ht="72" customHeight="1" x14ac:dyDescent="0.3">
      <c r="A2000" s="242">
        <v>1990</v>
      </c>
      <c r="B2000" s="245" t="s">
        <v>18535</v>
      </c>
      <c r="C2000" s="146" t="s">
        <v>14733</v>
      </c>
      <c r="D2000" s="85" t="s">
        <v>16111</v>
      </c>
      <c r="E2000" s="142">
        <v>319.2</v>
      </c>
      <c r="F2000" s="143">
        <v>221370.96</v>
      </c>
      <c r="G2000" s="143">
        <v>61176.93</v>
      </c>
      <c r="H2000" s="25">
        <v>2795176.94</v>
      </c>
      <c r="I2000" s="207" t="s">
        <v>12545</v>
      </c>
      <c r="J2000" s="66" t="s">
        <v>16926</v>
      </c>
      <c r="K2000" s="207"/>
      <c r="L2000" s="66"/>
      <c r="M2000" s="201" t="s">
        <v>12550</v>
      </c>
      <c r="N2000" s="38" t="s">
        <v>19768</v>
      </c>
      <c r="O2000" s="38"/>
    </row>
    <row r="2001" spans="1:15" ht="72" customHeight="1" x14ac:dyDescent="0.3">
      <c r="A2001" s="259">
        <v>1991</v>
      </c>
      <c r="B2001" s="257" t="s">
        <v>14741</v>
      </c>
      <c r="C2001" s="260" t="s">
        <v>14733</v>
      </c>
      <c r="D2001" s="261"/>
      <c r="E2001" s="6">
        <v>222</v>
      </c>
      <c r="F2001" s="51">
        <v>212298.36</v>
      </c>
      <c r="G2001" s="51">
        <v>58064.639999999999</v>
      </c>
      <c r="H2001" s="207"/>
      <c r="I2001" s="69" t="s">
        <v>12545</v>
      </c>
      <c r="J2001" s="66" t="s">
        <v>12548</v>
      </c>
      <c r="K2001" s="26">
        <v>43053</v>
      </c>
      <c r="L2001" s="66" t="s">
        <v>19506</v>
      </c>
      <c r="M2001" s="201" t="s">
        <v>18505</v>
      </c>
      <c r="N2001" s="38" t="s">
        <v>14736</v>
      </c>
      <c r="O2001" s="38" t="s">
        <v>21773</v>
      </c>
    </row>
    <row r="2002" spans="1:15" ht="84" customHeight="1" x14ac:dyDescent="0.3">
      <c r="A2002" s="242">
        <v>1992</v>
      </c>
      <c r="B2002" s="38" t="s">
        <v>14742</v>
      </c>
      <c r="C2002" s="38" t="s">
        <v>15462</v>
      </c>
      <c r="D2002" s="85" t="s">
        <v>16128</v>
      </c>
      <c r="E2002" s="6">
        <v>320.60000000000002</v>
      </c>
      <c r="F2002" s="51">
        <v>7838.72</v>
      </c>
      <c r="G2002" s="51">
        <v>2143.6799999999998</v>
      </c>
      <c r="H2002" s="25">
        <v>3221215.68</v>
      </c>
      <c r="I2002" s="207" t="s">
        <v>12545</v>
      </c>
      <c r="J2002" s="66" t="s">
        <v>16425</v>
      </c>
      <c r="K2002" s="207"/>
      <c r="L2002" s="66"/>
      <c r="M2002" s="201" t="s">
        <v>12550</v>
      </c>
      <c r="N2002" s="38" t="s">
        <v>22963</v>
      </c>
      <c r="O2002" s="38"/>
    </row>
    <row r="2003" spans="1:15" ht="192" customHeight="1" x14ac:dyDescent="0.3">
      <c r="A2003" s="23">
        <v>1993</v>
      </c>
      <c r="B2003" s="262" t="s">
        <v>17873</v>
      </c>
      <c r="C2003" s="263" t="s">
        <v>17872</v>
      </c>
      <c r="D2003" s="264" t="s">
        <v>17874</v>
      </c>
      <c r="E2003" s="139">
        <v>462.6</v>
      </c>
      <c r="F2003" s="143"/>
      <c r="G2003" s="143"/>
      <c r="H2003" s="25"/>
      <c r="I2003" s="26">
        <v>42685</v>
      </c>
      <c r="J2003" s="38" t="s">
        <v>18600</v>
      </c>
      <c r="K2003" s="207"/>
      <c r="L2003" s="66"/>
      <c r="M2003" s="201" t="s">
        <v>12550</v>
      </c>
      <c r="N2003" s="38"/>
      <c r="O2003" s="38" t="s">
        <v>21753</v>
      </c>
    </row>
    <row r="2004" spans="1:15" ht="108" customHeight="1" x14ac:dyDescent="0.3">
      <c r="A2004" s="2" t="s">
        <v>21079</v>
      </c>
      <c r="B2004" s="246" t="s">
        <v>12471</v>
      </c>
      <c r="C2004" s="105" t="s">
        <v>21092</v>
      </c>
      <c r="D2004" s="88"/>
      <c r="E2004" s="235">
        <v>20.7</v>
      </c>
      <c r="F2004" s="143"/>
      <c r="G2004" s="143"/>
      <c r="H2004" s="25"/>
      <c r="I2004" s="26">
        <v>42685</v>
      </c>
      <c r="J2004" s="38" t="s">
        <v>21105</v>
      </c>
      <c r="K2004" s="207"/>
      <c r="L2004" s="66"/>
      <c r="M2004" s="201" t="s">
        <v>12550</v>
      </c>
      <c r="N2004" s="38"/>
      <c r="O2004" s="38"/>
    </row>
    <row r="2005" spans="1:15" ht="108" customHeight="1" x14ac:dyDescent="0.3">
      <c r="A2005" s="2" t="s">
        <v>21080</v>
      </c>
      <c r="B2005" s="246" t="s">
        <v>12471</v>
      </c>
      <c r="C2005" s="105" t="s">
        <v>21093</v>
      </c>
      <c r="D2005" s="88"/>
      <c r="E2005" s="235">
        <v>21</v>
      </c>
      <c r="F2005" s="143"/>
      <c r="G2005" s="143"/>
      <c r="H2005" s="25"/>
      <c r="I2005" s="26">
        <v>42685</v>
      </c>
      <c r="J2005" s="38" t="s">
        <v>21106</v>
      </c>
      <c r="K2005" s="207"/>
      <c r="L2005" s="66"/>
      <c r="M2005" s="201" t="s">
        <v>12550</v>
      </c>
      <c r="N2005" s="38"/>
      <c r="O2005" s="38" t="s">
        <v>22672</v>
      </c>
    </row>
    <row r="2006" spans="1:15" ht="108" customHeight="1" x14ac:dyDescent="0.3">
      <c r="A2006" s="2" t="s">
        <v>21081</v>
      </c>
      <c r="B2006" s="246" t="s">
        <v>12471</v>
      </c>
      <c r="C2006" s="105" t="s">
        <v>21094</v>
      </c>
      <c r="D2006" s="88"/>
      <c r="E2006" s="235">
        <v>21.3</v>
      </c>
      <c r="F2006" s="143"/>
      <c r="G2006" s="143"/>
      <c r="H2006" s="25"/>
      <c r="I2006" s="26">
        <v>42685</v>
      </c>
      <c r="J2006" s="38" t="s">
        <v>21107</v>
      </c>
      <c r="K2006" s="207"/>
      <c r="L2006" s="66"/>
      <c r="M2006" s="201" t="s">
        <v>12550</v>
      </c>
      <c r="N2006" s="38"/>
      <c r="O2006" s="38" t="s">
        <v>22703</v>
      </c>
    </row>
    <row r="2007" spans="1:15" ht="108" customHeight="1" x14ac:dyDescent="0.3">
      <c r="A2007" s="2" t="s">
        <v>21082</v>
      </c>
      <c r="B2007" s="246" t="s">
        <v>12471</v>
      </c>
      <c r="C2007" s="105" t="s">
        <v>21095</v>
      </c>
      <c r="D2007" s="88"/>
      <c r="E2007" s="235">
        <v>20.8</v>
      </c>
      <c r="F2007" s="143"/>
      <c r="G2007" s="143"/>
      <c r="H2007" s="25"/>
      <c r="I2007" s="26">
        <v>42685</v>
      </c>
      <c r="J2007" s="38" t="s">
        <v>21108</v>
      </c>
      <c r="K2007" s="207"/>
      <c r="L2007" s="66"/>
      <c r="M2007" s="201" t="s">
        <v>12550</v>
      </c>
      <c r="N2007" s="38"/>
      <c r="O2007" s="38"/>
    </row>
    <row r="2008" spans="1:15" ht="108" customHeight="1" x14ac:dyDescent="0.3">
      <c r="A2008" s="2" t="s">
        <v>21083</v>
      </c>
      <c r="B2008" s="246" t="s">
        <v>12471</v>
      </c>
      <c r="C2008" s="105" t="s">
        <v>21096</v>
      </c>
      <c r="D2008" s="88"/>
      <c r="E2008" s="235">
        <v>21.1</v>
      </c>
      <c r="F2008" s="143"/>
      <c r="G2008" s="143"/>
      <c r="H2008" s="25"/>
      <c r="I2008" s="26">
        <v>42685</v>
      </c>
      <c r="J2008" s="38" t="s">
        <v>21109</v>
      </c>
      <c r="K2008" s="207"/>
      <c r="L2008" s="66"/>
      <c r="M2008" s="201" t="s">
        <v>12550</v>
      </c>
      <c r="N2008" s="38"/>
      <c r="O2008" s="38" t="s">
        <v>22671</v>
      </c>
    </row>
    <row r="2009" spans="1:15" ht="108" customHeight="1" x14ac:dyDescent="0.3">
      <c r="A2009" s="2" t="s">
        <v>21084</v>
      </c>
      <c r="B2009" s="246" t="s">
        <v>12471</v>
      </c>
      <c r="C2009" s="105" t="s">
        <v>21097</v>
      </c>
      <c r="D2009" s="88"/>
      <c r="E2009" s="235">
        <v>20.9</v>
      </c>
      <c r="F2009" s="143"/>
      <c r="G2009" s="143"/>
      <c r="H2009" s="25"/>
      <c r="I2009" s="26">
        <v>42685</v>
      </c>
      <c r="J2009" s="38" t="s">
        <v>21110</v>
      </c>
      <c r="K2009" s="207"/>
      <c r="L2009" s="66"/>
      <c r="M2009" s="201" t="s">
        <v>12550</v>
      </c>
      <c r="N2009" s="38"/>
      <c r="O2009" s="38" t="s">
        <v>22941</v>
      </c>
    </row>
    <row r="2010" spans="1:15" ht="108" customHeight="1" x14ac:dyDescent="0.3">
      <c r="A2010" s="2" t="s">
        <v>21085</v>
      </c>
      <c r="B2010" s="246" t="s">
        <v>12471</v>
      </c>
      <c r="C2010" s="105" t="s">
        <v>21098</v>
      </c>
      <c r="D2010" s="88"/>
      <c r="E2010" s="235">
        <v>10.3</v>
      </c>
      <c r="F2010" s="143"/>
      <c r="G2010" s="143"/>
      <c r="H2010" s="25"/>
      <c r="I2010" s="26">
        <v>42685</v>
      </c>
      <c r="J2010" s="38" t="s">
        <v>21111</v>
      </c>
      <c r="K2010" s="207"/>
      <c r="L2010" s="66"/>
      <c r="M2010" s="201" t="s">
        <v>12550</v>
      </c>
      <c r="N2010" s="38"/>
      <c r="O2010" s="38"/>
    </row>
    <row r="2011" spans="1:15" ht="108" customHeight="1" x14ac:dyDescent="0.3">
      <c r="A2011" s="2" t="s">
        <v>21086</v>
      </c>
      <c r="B2011" s="246" t="s">
        <v>12467</v>
      </c>
      <c r="C2011" s="105" t="s">
        <v>21099</v>
      </c>
      <c r="D2011" s="88"/>
      <c r="E2011" s="235">
        <v>41.1</v>
      </c>
      <c r="F2011" s="143"/>
      <c r="G2011" s="143"/>
      <c r="H2011" s="25"/>
      <c r="I2011" s="26">
        <v>42685</v>
      </c>
      <c r="J2011" s="38" t="s">
        <v>21112</v>
      </c>
      <c r="K2011" s="207"/>
      <c r="L2011" s="66"/>
      <c r="M2011" s="201" t="s">
        <v>12550</v>
      </c>
      <c r="N2011" s="38"/>
      <c r="O2011" s="38" t="s">
        <v>22673</v>
      </c>
    </row>
    <row r="2012" spans="1:15" ht="108" customHeight="1" x14ac:dyDescent="0.3">
      <c r="A2012" s="2" t="s">
        <v>21087</v>
      </c>
      <c r="B2012" s="246" t="s">
        <v>12471</v>
      </c>
      <c r="C2012" s="105" t="s">
        <v>21100</v>
      </c>
      <c r="D2012" s="88"/>
      <c r="E2012" s="235">
        <v>21.2</v>
      </c>
      <c r="F2012" s="143"/>
      <c r="G2012" s="143"/>
      <c r="H2012" s="25"/>
      <c r="I2012" s="26">
        <v>42685</v>
      </c>
      <c r="J2012" s="38" t="s">
        <v>21113</v>
      </c>
      <c r="K2012" s="207"/>
      <c r="L2012" s="66"/>
      <c r="M2012" s="201" t="s">
        <v>12550</v>
      </c>
      <c r="N2012" s="38"/>
      <c r="O2012" s="38" t="s">
        <v>22674</v>
      </c>
    </row>
    <row r="2013" spans="1:15" ht="108" customHeight="1" x14ac:dyDescent="0.3">
      <c r="A2013" s="2" t="s">
        <v>21088</v>
      </c>
      <c r="B2013" s="246" t="s">
        <v>12468</v>
      </c>
      <c r="C2013" s="105" t="s">
        <v>21101</v>
      </c>
      <c r="D2013" s="88"/>
      <c r="E2013" s="235">
        <v>55.2</v>
      </c>
      <c r="F2013" s="143"/>
      <c r="G2013" s="143"/>
      <c r="H2013" s="25"/>
      <c r="I2013" s="26">
        <v>42685</v>
      </c>
      <c r="J2013" s="38" t="s">
        <v>21114</v>
      </c>
      <c r="K2013" s="207"/>
      <c r="L2013" s="66"/>
      <c r="M2013" s="201" t="s">
        <v>12550</v>
      </c>
      <c r="N2013" s="38"/>
      <c r="O2013" s="38" t="s">
        <v>22675</v>
      </c>
    </row>
    <row r="2014" spans="1:15" ht="108" customHeight="1" x14ac:dyDescent="0.3">
      <c r="A2014" s="2" t="s">
        <v>21089</v>
      </c>
      <c r="B2014" s="246" t="s">
        <v>12471</v>
      </c>
      <c r="C2014" s="105" t="s">
        <v>21102</v>
      </c>
      <c r="D2014" s="88"/>
      <c r="E2014" s="235">
        <v>20.9</v>
      </c>
      <c r="F2014" s="143"/>
      <c r="G2014" s="143"/>
      <c r="H2014" s="25"/>
      <c r="I2014" s="26">
        <v>42685</v>
      </c>
      <c r="J2014" s="38" t="s">
        <v>21115</v>
      </c>
      <c r="K2014" s="207"/>
      <c r="L2014" s="66"/>
      <c r="M2014" s="201" t="s">
        <v>12550</v>
      </c>
      <c r="N2014" s="38"/>
      <c r="O2014" s="38" t="s">
        <v>22676</v>
      </c>
    </row>
    <row r="2015" spans="1:15" ht="108" customHeight="1" x14ac:dyDescent="0.3">
      <c r="A2015" s="2" t="s">
        <v>21090</v>
      </c>
      <c r="B2015" s="246" t="s">
        <v>12467</v>
      </c>
      <c r="C2015" s="105" t="s">
        <v>21103</v>
      </c>
      <c r="D2015" s="88"/>
      <c r="E2015" s="235">
        <v>66.3</v>
      </c>
      <c r="F2015" s="143"/>
      <c r="G2015" s="143"/>
      <c r="H2015" s="25"/>
      <c r="I2015" s="26">
        <v>42685</v>
      </c>
      <c r="J2015" s="38" t="s">
        <v>21116</v>
      </c>
      <c r="K2015" s="207"/>
      <c r="L2015" s="66"/>
      <c r="M2015" s="201" t="s">
        <v>12550</v>
      </c>
      <c r="N2015" s="38"/>
      <c r="O2015" s="38"/>
    </row>
    <row r="2016" spans="1:15" ht="108" customHeight="1" x14ac:dyDescent="0.3">
      <c r="A2016" s="2" t="s">
        <v>21091</v>
      </c>
      <c r="B2016" s="246" t="s">
        <v>12468</v>
      </c>
      <c r="C2016" s="105" t="s">
        <v>21104</v>
      </c>
      <c r="D2016" s="88"/>
      <c r="E2016" s="235">
        <v>34.700000000000003</v>
      </c>
      <c r="F2016" s="143"/>
      <c r="G2016" s="143"/>
      <c r="H2016" s="25"/>
      <c r="I2016" s="26">
        <v>42685</v>
      </c>
      <c r="J2016" s="38" t="s">
        <v>21117</v>
      </c>
      <c r="K2016" s="207"/>
      <c r="L2016" s="66"/>
      <c r="M2016" s="201" t="s">
        <v>12550</v>
      </c>
      <c r="N2016" s="38"/>
      <c r="O2016" s="38" t="s">
        <v>22677</v>
      </c>
    </row>
    <row r="2017" spans="1:15" ht="72" customHeight="1" x14ac:dyDescent="0.3">
      <c r="A2017" s="242">
        <v>1994</v>
      </c>
      <c r="B2017" s="245" t="s">
        <v>14743</v>
      </c>
      <c r="C2017" s="146" t="s">
        <v>14735</v>
      </c>
      <c r="D2017" s="85" t="s">
        <v>17838</v>
      </c>
      <c r="E2017" s="142">
        <v>34</v>
      </c>
      <c r="F2017" s="143">
        <v>8750.02</v>
      </c>
      <c r="G2017" s="143">
        <v>8750.02</v>
      </c>
      <c r="H2017" s="207">
        <v>453675.94</v>
      </c>
      <c r="I2017" s="207" t="s">
        <v>12545</v>
      </c>
      <c r="J2017" s="66" t="s">
        <v>18173</v>
      </c>
      <c r="K2017" s="207"/>
      <c r="L2017" s="66"/>
      <c r="M2017" s="201" t="s">
        <v>12550</v>
      </c>
      <c r="N2017" s="38"/>
      <c r="O2017" s="38"/>
    </row>
    <row r="2018" spans="1:15" ht="72" customHeight="1" x14ac:dyDescent="0.3">
      <c r="A2018" s="242">
        <v>1995</v>
      </c>
      <c r="B2018" s="142" t="s">
        <v>16244</v>
      </c>
      <c r="C2018" s="38" t="s">
        <v>14734</v>
      </c>
      <c r="D2018" s="85" t="s">
        <v>17848</v>
      </c>
      <c r="E2018" s="142">
        <v>12.7</v>
      </c>
      <c r="F2018" s="143">
        <v>4276167.97</v>
      </c>
      <c r="G2018" s="143">
        <v>522642.78</v>
      </c>
      <c r="H2018" s="207">
        <v>127602.74</v>
      </c>
      <c r="I2018" s="207" t="s">
        <v>12545</v>
      </c>
      <c r="J2018" s="66" t="s">
        <v>18353</v>
      </c>
      <c r="K2018" s="207"/>
      <c r="L2018" s="66"/>
      <c r="M2018" s="201" t="s">
        <v>12550</v>
      </c>
      <c r="N2018" s="38" t="s">
        <v>19412</v>
      </c>
      <c r="O2018" s="38"/>
    </row>
    <row r="2019" spans="1:15" ht="72" customHeight="1" x14ac:dyDescent="0.3">
      <c r="A2019" s="242">
        <v>1996</v>
      </c>
      <c r="B2019" s="142" t="s">
        <v>14747</v>
      </c>
      <c r="C2019" s="38" t="s">
        <v>14744</v>
      </c>
      <c r="D2019" s="85" t="s">
        <v>17847</v>
      </c>
      <c r="E2019" s="142">
        <v>26.3</v>
      </c>
      <c r="F2019" s="143">
        <v>3143306.95</v>
      </c>
      <c r="G2019" s="143">
        <v>401644.86</v>
      </c>
      <c r="H2019" s="207">
        <v>350931.68</v>
      </c>
      <c r="I2019" s="207" t="s">
        <v>12545</v>
      </c>
      <c r="J2019" s="66" t="s">
        <v>18351</v>
      </c>
      <c r="K2019" s="207"/>
      <c r="L2019" s="66"/>
      <c r="M2019" s="201" t="s">
        <v>12550</v>
      </c>
      <c r="N2019" s="38" t="s">
        <v>19412</v>
      </c>
      <c r="O2019" s="38"/>
    </row>
    <row r="2020" spans="1:15" ht="72" customHeight="1" x14ac:dyDescent="0.3">
      <c r="A2020" s="242">
        <v>1997</v>
      </c>
      <c r="B2020" s="142" t="s">
        <v>14748</v>
      </c>
      <c r="C2020" s="38" t="s">
        <v>14745</v>
      </c>
      <c r="D2020" s="85" t="s">
        <v>17846</v>
      </c>
      <c r="E2020" s="142">
        <v>10.199999999999999</v>
      </c>
      <c r="F2020" s="143">
        <v>1885170.66</v>
      </c>
      <c r="G2020" s="143">
        <v>240882.91</v>
      </c>
      <c r="H2020" s="207">
        <v>90557.94</v>
      </c>
      <c r="I2020" s="207" t="s">
        <v>12545</v>
      </c>
      <c r="J2020" s="66" t="s">
        <v>18350</v>
      </c>
      <c r="K2020" s="207"/>
      <c r="L2020" s="66"/>
      <c r="M2020" s="201" t="s">
        <v>12550</v>
      </c>
      <c r="N2020" s="38" t="s">
        <v>19412</v>
      </c>
      <c r="O2020" s="38"/>
    </row>
    <row r="2021" spans="1:15" ht="72" customHeight="1" x14ac:dyDescent="0.3">
      <c r="A2021" s="242">
        <v>1998</v>
      </c>
      <c r="B2021" s="142" t="s">
        <v>16245</v>
      </c>
      <c r="C2021" s="38" t="s">
        <v>14746</v>
      </c>
      <c r="D2021" s="85" t="s">
        <v>17845</v>
      </c>
      <c r="E2021" s="207">
        <v>150</v>
      </c>
      <c r="F2021" s="25">
        <v>814059.79</v>
      </c>
      <c r="G2021" s="207">
        <v>337045.58</v>
      </c>
      <c r="H2021" s="207">
        <v>2001511.5</v>
      </c>
      <c r="I2021" s="207" t="s">
        <v>12545</v>
      </c>
      <c r="J2021" s="66" t="s">
        <v>18352</v>
      </c>
      <c r="K2021" s="207"/>
      <c r="L2021" s="66"/>
      <c r="M2021" s="201" t="s">
        <v>12550</v>
      </c>
      <c r="N2021" s="38" t="s">
        <v>19412</v>
      </c>
      <c r="O2021" s="38"/>
    </row>
    <row r="2022" spans="1:15" ht="72" customHeight="1" x14ac:dyDescent="0.3">
      <c r="A2022" s="23">
        <v>1999</v>
      </c>
      <c r="B2022" s="265" t="s">
        <v>14776</v>
      </c>
      <c r="C2022" s="258" t="s">
        <v>14754</v>
      </c>
      <c r="D2022" s="94"/>
      <c r="E2022" s="142"/>
      <c r="F2022" s="143">
        <v>599333.36</v>
      </c>
      <c r="G2022" s="144">
        <v>427110.56</v>
      </c>
      <c r="H2022" s="207"/>
      <c r="I2022" s="207" t="s">
        <v>12545</v>
      </c>
      <c r="J2022" s="66" t="s">
        <v>12548</v>
      </c>
      <c r="K2022" s="207"/>
      <c r="L2022" s="66"/>
      <c r="M2022" s="201" t="s">
        <v>12550</v>
      </c>
      <c r="N2022" s="38" t="s">
        <v>19412</v>
      </c>
      <c r="O2022" s="38"/>
    </row>
    <row r="2023" spans="1:15" ht="72" customHeight="1" x14ac:dyDescent="0.3">
      <c r="A2023" s="207" t="s">
        <v>14777</v>
      </c>
      <c r="B2023" s="142" t="s">
        <v>14749</v>
      </c>
      <c r="C2023" s="38" t="s">
        <v>14754</v>
      </c>
      <c r="D2023" s="207"/>
      <c r="E2023" s="142"/>
      <c r="F2023" s="143"/>
      <c r="G2023" s="144"/>
      <c r="H2023" s="207"/>
      <c r="I2023" s="207" t="s">
        <v>12545</v>
      </c>
      <c r="J2023" s="66" t="s">
        <v>12548</v>
      </c>
      <c r="K2023" s="207"/>
      <c r="L2023" s="66"/>
      <c r="M2023" s="201" t="s">
        <v>12550</v>
      </c>
      <c r="N2023" s="38" t="s">
        <v>19412</v>
      </c>
      <c r="O2023" s="38"/>
    </row>
    <row r="2024" spans="1:15" ht="72" customHeight="1" x14ac:dyDescent="0.3">
      <c r="A2024" s="207" t="s">
        <v>14778</v>
      </c>
      <c r="B2024" s="223" t="s">
        <v>14750</v>
      </c>
      <c r="C2024" s="38" t="s">
        <v>14754</v>
      </c>
      <c r="D2024" s="207"/>
      <c r="E2024" s="223"/>
      <c r="F2024" s="224"/>
      <c r="G2024" s="225"/>
      <c r="H2024" s="207"/>
      <c r="I2024" s="207" t="s">
        <v>12545</v>
      </c>
      <c r="J2024" s="66" t="s">
        <v>12548</v>
      </c>
      <c r="K2024" s="207"/>
      <c r="L2024" s="66"/>
      <c r="M2024" s="201" t="s">
        <v>12550</v>
      </c>
      <c r="N2024" s="38" t="s">
        <v>19412</v>
      </c>
      <c r="O2024" s="38"/>
    </row>
    <row r="2025" spans="1:15" ht="72" customHeight="1" x14ac:dyDescent="0.3">
      <c r="A2025" s="207" t="s">
        <v>14779</v>
      </c>
      <c r="B2025" s="142" t="s">
        <v>14751</v>
      </c>
      <c r="C2025" s="38" t="s">
        <v>14754</v>
      </c>
      <c r="D2025" s="85" t="s">
        <v>17844</v>
      </c>
      <c r="E2025" s="142"/>
      <c r="F2025" s="143"/>
      <c r="G2025" s="144"/>
      <c r="H2025" s="25"/>
      <c r="I2025" s="207" t="s">
        <v>12545</v>
      </c>
      <c r="J2025" s="66" t="s">
        <v>18175</v>
      </c>
      <c r="K2025" s="207"/>
      <c r="L2025" s="66"/>
      <c r="M2025" s="201" t="s">
        <v>12550</v>
      </c>
      <c r="N2025" s="38" t="s">
        <v>19412</v>
      </c>
      <c r="O2025" s="38"/>
    </row>
    <row r="2026" spans="1:15" ht="72" customHeight="1" x14ac:dyDescent="0.3">
      <c r="A2026" s="207" t="s">
        <v>14780</v>
      </c>
      <c r="B2026" s="142" t="s">
        <v>14752</v>
      </c>
      <c r="C2026" s="38" t="s">
        <v>14754</v>
      </c>
      <c r="D2026" s="85" t="s">
        <v>17843</v>
      </c>
      <c r="E2026" s="142">
        <v>1952</v>
      </c>
      <c r="F2026" s="143"/>
      <c r="G2026" s="144"/>
      <c r="H2026" s="25"/>
      <c r="I2026" s="207" t="s">
        <v>12545</v>
      </c>
      <c r="J2026" s="66" t="s">
        <v>18176</v>
      </c>
      <c r="K2026" s="207"/>
      <c r="L2026" s="66"/>
      <c r="M2026" s="201" t="s">
        <v>12550</v>
      </c>
      <c r="N2026" s="38" t="s">
        <v>19412</v>
      </c>
      <c r="O2026" s="38"/>
    </row>
    <row r="2027" spans="1:15" ht="72" customHeight="1" x14ac:dyDescent="0.3">
      <c r="A2027" s="207" t="s">
        <v>14781</v>
      </c>
      <c r="B2027" s="142" t="s">
        <v>14753</v>
      </c>
      <c r="C2027" s="38" t="s">
        <v>14754</v>
      </c>
      <c r="D2027" s="85" t="s">
        <v>17842</v>
      </c>
      <c r="E2027" s="142">
        <v>7452</v>
      </c>
      <c r="F2027" s="143"/>
      <c r="G2027" s="144"/>
      <c r="H2027" s="25"/>
      <c r="I2027" s="207" t="s">
        <v>12545</v>
      </c>
      <c r="J2027" s="66" t="s">
        <v>18177</v>
      </c>
      <c r="K2027" s="207"/>
      <c r="L2027" s="66"/>
      <c r="M2027" s="201" t="s">
        <v>12550</v>
      </c>
      <c r="N2027" s="38" t="s">
        <v>19412</v>
      </c>
      <c r="O2027" s="38"/>
    </row>
    <row r="2028" spans="1:15" ht="72" customHeight="1" x14ac:dyDescent="0.3">
      <c r="A2028" s="207">
        <v>2000</v>
      </c>
      <c r="B2028" s="142" t="s">
        <v>14756</v>
      </c>
      <c r="C2028" s="38" t="s">
        <v>14755</v>
      </c>
      <c r="D2028" s="85" t="s">
        <v>16376</v>
      </c>
      <c r="E2028" s="142">
        <v>750</v>
      </c>
      <c r="F2028" s="143">
        <f>13125+13125</f>
        <v>26250</v>
      </c>
      <c r="G2028" s="144">
        <f>13125+13125</f>
        <v>26250</v>
      </c>
      <c r="H2028" s="25"/>
      <c r="I2028" s="207" t="s">
        <v>12545</v>
      </c>
      <c r="J2028" s="66" t="s">
        <v>16947</v>
      </c>
      <c r="K2028" s="207"/>
      <c r="L2028" s="66"/>
      <c r="M2028" s="201" t="s">
        <v>12550</v>
      </c>
      <c r="N2028" s="38" t="s">
        <v>19412</v>
      </c>
      <c r="O2028" s="38"/>
    </row>
    <row r="2029" spans="1:15" ht="72" customHeight="1" x14ac:dyDescent="0.3">
      <c r="A2029" s="207">
        <v>2001</v>
      </c>
      <c r="B2029" s="142" t="s">
        <v>14758</v>
      </c>
      <c r="C2029" s="38" t="s">
        <v>14757</v>
      </c>
      <c r="D2029" s="85" t="s">
        <v>19572</v>
      </c>
      <c r="E2029" s="142">
        <v>1060</v>
      </c>
      <c r="F2029" s="143">
        <v>696000</v>
      </c>
      <c r="G2029" s="144">
        <v>496000</v>
      </c>
      <c r="H2029" s="25"/>
      <c r="I2029" s="207" t="s">
        <v>12545</v>
      </c>
      <c r="J2029" s="66" t="s">
        <v>19573</v>
      </c>
      <c r="K2029" s="207"/>
      <c r="L2029" s="66"/>
      <c r="M2029" s="201" t="s">
        <v>12550</v>
      </c>
      <c r="N2029" s="38" t="s">
        <v>19412</v>
      </c>
      <c r="O2029" s="38"/>
    </row>
    <row r="2030" spans="1:15" ht="72" customHeight="1" x14ac:dyDescent="0.3">
      <c r="A2030" s="207">
        <v>2002</v>
      </c>
      <c r="B2030" s="142" t="s">
        <v>15101</v>
      </c>
      <c r="C2030" s="38" t="s">
        <v>14759</v>
      </c>
      <c r="D2030" s="85" t="s">
        <v>19570</v>
      </c>
      <c r="E2030" s="142">
        <v>522</v>
      </c>
      <c r="F2030" s="143">
        <v>673076.92</v>
      </c>
      <c r="G2030" s="144">
        <v>556410.31999999995</v>
      </c>
      <c r="H2030" s="25"/>
      <c r="I2030" s="207" t="s">
        <v>12545</v>
      </c>
      <c r="J2030" s="66" t="s">
        <v>19571</v>
      </c>
      <c r="K2030" s="207"/>
      <c r="L2030" s="66"/>
      <c r="M2030" s="201" t="s">
        <v>12550</v>
      </c>
      <c r="N2030" s="38" t="s">
        <v>19412</v>
      </c>
      <c r="O2030" s="38"/>
    </row>
    <row r="2031" spans="1:15" ht="72" customHeight="1" x14ac:dyDescent="0.3">
      <c r="A2031" s="207">
        <v>2003</v>
      </c>
      <c r="B2031" s="142" t="s">
        <v>15100</v>
      </c>
      <c r="C2031" s="38" t="s">
        <v>14760</v>
      </c>
      <c r="D2031" s="85" t="s">
        <v>17829</v>
      </c>
      <c r="E2031" s="142">
        <v>3290</v>
      </c>
      <c r="F2031" s="143">
        <v>2441636.9</v>
      </c>
      <c r="G2031" s="144">
        <v>1293859.3999999999</v>
      </c>
      <c r="H2031" s="25"/>
      <c r="I2031" s="207" t="s">
        <v>12545</v>
      </c>
      <c r="J2031" s="66" t="s">
        <v>18159</v>
      </c>
      <c r="K2031" s="207"/>
      <c r="L2031" s="66"/>
      <c r="M2031" s="201" t="s">
        <v>12550</v>
      </c>
      <c r="N2031" s="38" t="s">
        <v>19412</v>
      </c>
      <c r="O2031" s="38"/>
    </row>
    <row r="2032" spans="1:15" ht="72" customHeight="1" x14ac:dyDescent="0.3">
      <c r="A2032" s="207">
        <v>2004</v>
      </c>
      <c r="B2032" s="142" t="s">
        <v>14761</v>
      </c>
      <c r="C2032" s="38" t="s">
        <v>14762</v>
      </c>
      <c r="D2032" s="85" t="s">
        <v>16377</v>
      </c>
      <c r="E2032" s="142">
        <v>256</v>
      </c>
      <c r="F2032" s="143">
        <v>541479.5</v>
      </c>
      <c r="G2032" s="144">
        <v>339107.76</v>
      </c>
      <c r="H2032" s="25"/>
      <c r="I2032" s="207" t="s">
        <v>12545</v>
      </c>
      <c r="J2032" s="66" t="s">
        <v>16937</v>
      </c>
      <c r="K2032" s="207"/>
      <c r="L2032" s="66"/>
      <c r="M2032" s="201" t="s">
        <v>12550</v>
      </c>
      <c r="N2032" s="38" t="s">
        <v>19412</v>
      </c>
      <c r="O2032" s="38"/>
    </row>
    <row r="2033" spans="1:15" ht="72" customHeight="1" x14ac:dyDescent="0.3">
      <c r="A2033" s="207">
        <v>2005</v>
      </c>
      <c r="B2033" s="38" t="s">
        <v>16170</v>
      </c>
      <c r="C2033" s="38" t="s">
        <v>14754</v>
      </c>
      <c r="D2033" s="85" t="s">
        <v>16412</v>
      </c>
      <c r="E2033" s="142">
        <v>32.9</v>
      </c>
      <c r="F2033" s="25">
        <v>330845</v>
      </c>
      <c r="G2033" s="207"/>
      <c r="H2033" s="25">
        <v>74538.570000000007</v>
      </c>
      <c r="I2033" s="207" t="s">
        <v>12545</v>
      </c>
      <c r="J2033" s="66" t="s">
        <v>16413</v>
      </c>
      <c r="K2033" s="207"/>
      <c r="L2033" s="66"/>
      <c r="M2033" s="201" t="s">
        <v>12550</v>
      </c>
      <c r="N2033" s="242" t="s">
        <v>18900</v>
      </c>
      <c r="O2033" s="38"/>
    </row>
    <row r="2034" spans="1:15" ht="72" customHeight="1" x14ac:dyDescent="0.3">
      <c r="A2034" s="207">
        <v>2006</v>
      </c>
      <c r="B2034" s="6" t="s">
        <v>14763</v>
      </c>
      <c r="C2034" s="38" t="s">
        <v>14754</v>
      </c>
      <c r="D2034" s="85" t="s">
        <v>16378</v>
      </c>
      <c r="E2034" s="6">
        <v>10.6</v>
      </c>
      <c r="F2034" s="25">
        <v>106594</v>
      </c>
      <c r="G2034" s="207"/>
      <c r="H2034" s="207">
        <v>92822.29</v>
      </c>
      <c r="I2034" s="207" t="s">
        <v>12545</v>
      </c>
      <c r="J2034" s="66" t="s">
        <v>16948</v>
      </c>
      <c r="K2034" s="207"/>
      <c r="L2034" s="66"/>
      <c r="M2034" s="201" t="s">
        <v>12550</v>
      </c>
      <c r="N2034" s="242" t="s">
        <v>18900</v>
      </c>
      <c r="O2034" s="38"/>
    </row>
    <row r="2035" spans="1:15" ht="72" customHeight="1" x14ac:dyDescent="0.3">
      <c r="A2035" s="207">
        <v>2007</v>
      </c>
      <c r="B2035" s="38" t="s">
        <v>16170</v>
      </c>
      <c r="C2035" s="38" t="s">
        <v>14762</v>
      </c>
      <c r="D2035" s="85" t="s">
        <v>16422</v>
      </c>
      <c r="E2035" s="6">
        <v>12.5</v>
      </c>
      <c r="F2035" s="25">
        <v>125701</v>
      </c>
      <c r="G2035" s="207"/>
      <c r="H2035" s="25">
        <v>56752.25</v>
      </c>
      <c r="I2035" s="207" t="s">
        <v>12545</v>
      </c>
      <c r="J2035" s="66" t="s">
        <v>16423</v>
      </c>
      <c r="K2035" s="207"/>
      <c r="L2035" s="66"/>
      <c r="M2035" s="201" t="s">
        <v>12550</v>
      </c>
      <c r="N2035" s="242" t="s">
        <v>18900</v>
      </c>
      <c r="O2035" s="38"/>
    </row>
    <row r="2036" spans="1:15" ht="72" customHeight="1" x14ac:dyDescent="0.3">
      <c r="A2036" s="207">
        <v>2008</v>
      </c>
      <c r="B2036" s="38" t="s">
        <v>16171</v>
      </c>
      <c r="C2036" s="38" t="s">
        <v>14762</v>
      </c>
      <c r="D2036" s="85" t="s">
        <v>15046</v>
      </c>
      <c r="E2036" s="6">
        <v>125.3</v>
      </c>
      <c r="F2036" s="25">
        <v>1240793</v>
      </c>
      <c r="G2036" s="207"/>
      <c r="H2036" s="25">
        <v>1112442.22</v>
      </c>
      <c r="I2036" s="207" t="s">
        <v>12545</v>
      </c>
      <c r="J2036" s="66" t="s">
        <v>16411</v>
      </c>
      <c r="K2036" s="207"/>
      <c r="L2036" s="66"/>
      <c r="M2036" s="200" t="s">
        <v>12550</v>
      </c>
      <c r="N2036" s="226" t="s">
        <v>20727</v>
      </c>
      <c r="O2036" s="38"/>
    </row>
    <row r="2037" spans="1:15" ht="72" customHeight="1" x14ac:dyDescent="0.3">
      <c r="A2037" s="207">
        <v>2009</v>
      </c>
      <c r="B2037" s="38" t="s">
        <v>16170</v>
      </c>
      <c r="C2037" s="38" t="s">
        <v>14762</v>
      </c>
      <c r="D2037" s="85" t="s">
        <v>16158</v>
      </c>
      <c r="E2037" s="6">
        <v>12.5</v>
      </c>
      <c r="F2037" s="25">
        <v>125701</v>
      </c>
      <c r="G2037" s="207"/>
      <c r="H2037" s="25">
        <v>110977.88</v>
      </c>
      <c r="I2037" s="207" t="s">
        <v>12545</v>
      </c>
      <c r="J2037" s="66" t="s">
        <v>16424</v>
      </c>
      <c r="K2037" s="207"/>
      <c r="L2037" s="66"/>
      <c r="M2037" s="201" t="s">
        <v>12550</v>
      </c>
      <c r="N2037" s="242" t="s">
        <v>18900</v>
      </c>
      <c r="O2037" s="38"/>
    </row>
    <row r="2038" spans="1:15" ht="72" customHeight="1" x14ac:dyDescent="0.3">
      <c r="A2038" s="207">
        <v>2010</v>
      </c>
      <c r="B2038" s="38" t="s">
        <v>16169</v>
      </c>
      <c r="C2038" s="38" t="s">
        <v>14765</v>
      </c>
      <c r="D2038" s="85" t="s">
        <v>16113</v>
      </c>
      <c r="E2038" s="6">
        <v>21.2</v>
      </c>
      <c r="F2038" s="25">
        <v>213189</v>
      </c>
      <c r="G2038" s="25"/>
      <c r="H2038" s="25">
        <v>223962.74</v>
      </c>
      <c r="I2038" s="207" t="s">
        <v>12545</v>
      </c>
      <c r="J2038" s="66" t="s">
        <v>16426</v>
      </c>
      <c r="K2038" s="207"/>
      <c r="L2038" s="66"/>
      <c r="M2038" s="201" t="s">
        <v>12550</v>
      </c>
      <c r="N2038" s="242" t="s">
        <v>18900</v>
      </c>
      <c r="O2038" s="38"/>
    </row>
    <row r="2039" spans="1:15" ht="72" customHeight="1" x14ac:dyDescent="0.3">
      <c r="A2039" s="207">
        <v>2011</v>
      </c>
      <c r="B2039" s="6" t="s">
        <v>14764</v>
      </c>
      <c r="C2039" s="38" t="s">
        <v>14766</v>
      </c>
      <c r="D2039" s="85" t="s">
        <v>15047</v>
      </c>
      <c r="E2039" s="6">
        <v>20.7</v>
      </c>
      <c r="F2039" s="25">
        <v>208161</v>
      </c>
      <c r="G2039" s="207"/>
      <c r="H2039" s="207">
        <v>207982.42</v>
      </c>
      <c r="I2039" s="207" t="s">
        <v>12545</v>
      </c>
      <c r="J2039" s="66" t="s">
        <v>16427</v>
      </c>
      <c r="K2039" s="207"/>
      <c r="L2039" s="66"/>
      <c r="M2039" s="201" t="s">
        <v>12550</v>
      </c>
      <c r="N2039" s="242" t="s">
        <v>18900</v>
      </c>
      <c r="O2039" s="38"/>
    </row>
    <row r="2040" spans="1:15" ht="72" customHeight="1" x14ac:dyDescent="0.3">
      <c r="A2040" s="207">
        <v>2012</v>
      </c>
      <c r="B2040" s="38" t="s">
        <v>14767</v>
      </c>
      <c r="C2040" s="38" t="s">
        <v>14744</v>
      </c>
      <c r="D2040" s="85" t="s">
        <v>16379</v>
      </c>
      <c r="E2040" s="142">
        <v>25</v>
      </c>
      <c r="F2040" s="25">
        <v>251402</v>
      </c>
      <c r="G2040" s="207"/>
      <c r="H2040" s="25">
        <v>60979.5</v>
      </c>
      <c r="I2040" s="207" t="s">
        <v>12545</v>
      </c>
      <c r="J2040" s="66" t="s">
        <v>16914</v>
      </c>
      <c r="K2040" s="207"/>
      <c r="L2040" s="66"/>
      <c r="M2040" s="201" t="s">
        <v>12550</v>
      </c>
      <c r="N2040" s="242" t="s">
        <v>18900</v>
      </c>
      <c r="O2040" s="38"/>
    </row>
    <row r="2041" spans="1:15" ht="91.2" customHeight="1" x14ac:dyDescent="0.3">
      <c r="A2041" s="207">
        <v>2013</v>
      </c>
      <c r="B2041" s="142" t="s">
        <v>14768</v>
      </c>
      <c r="C2041" s="245" t="s">
        <v>15102</v>
      </c>
      <c r="D2041" s="85" t="s">
        <v>16380</v>
      </c>
      <c r="E2041" s="142">
        <v>19</v>
      </c>
      <c r="F2041" s="143">
        <v>180743.18</v>
      </c>
      <c r="G2041" s="143">
        <v>179158.11</v>
      </c>
      <c r="H2041" s="207">
        <v>239653.65</v>
      </c>
      <c r="I2041" s="207" t="s">
        <v>12545</v>
      </c>
      <c r="J2041" s="66" t="s">
        <v>20431</v>
      </c>
      <c r="K2041" s="207"/>
      <c r="L2041" s="66"/>
      <c r="M2041" s="201" t="s">
        <v>12550</v>
      </c>
      <c r="N2041" s="226" t="s">
        <v>20727</v>
      </c>
      <c r="O2041" s="38"/>
    </row>
    <row r="2042" spans="1:15" ht="72" customHeight="1" x14ac:dyDescent="0.3">
      <c r="A2042" s="207">
        <v>2014</v>
      </c>
      <c r="B2042" s="142" t="s">
        <v>14769</v>
      </c>
      <c r="C2042" s="245" t="s">
        <v>14770</v>
      </c>
      <c r="D2042" s="85" t="s">
        <v>16381</v>
      </c>
      <c r="E2042" s="142">
        <v>20.7</v>
      </c>
      <c r="F2042" s="143">
        <v>242279.44</v>
      </c>
      <c r="G2042" s="143">
        <v>242279.44</v>
      </c>
      <c r="H2042" s="207">
        <v>261096.34</v>
      </c>
      <c r="I2042" s="207" t="s">
        <v>12545</v>
      </c>
      <c r="J2042" s="66" t="s">
        <v>16938</v>
      </c>
      <c r="K2042" s="207"/>
      <c r="L2042" s="66"/>
      <c r="M2042" s="201" t="s">
        <v>12550</v>
      </c>
      <c r="N2042" s="38" t="s">
        <v>19412</v>
      </c>
      <c r="O2042" s="38"/>
    </row>
    <row r="2043" spans="1:15" ht="72" customHeight="1" x14ac:dyDescent="0.3">
      <c r="A2043" s="207">
        <v>2015</v>
      </c>
      <c r="B2043" s="142" t="s">
        <v>16172</v>
      </c>
      <c r="C2043" s="245" t="s">
        <v>14771</v>
      </c>
      <c r="D2043" s="85" t="s">
        <v>16173</v>
      </c>
      <c r="E2043" s="142">
        <v>28</v>
      </c>
      <c r="F2043" s="143">
        <v>162956.35999999999</v>
      </c>
      <c r="G2043" s="143">
        <v>162956.35999999999</v>
      </c>
      <c r="H2043" s="207">
        <v>68297.039999999994</v>
      </c>
      <c r="I2043" s="207" t="s">
        <v>12545</v>
      </c>
      <c r="J2043" s="66" t="s">
        <v>16418</v>
      </c>
      <c r="K2043" s="207"/>
      <c r="L2043" s="66"/>
      <c r="M2043" s="201" t="s">
        <v>12550</v>
      </c>
      <c r="N2043" s="38" t="s">
        <v>19412</v>
      </c>
      <c r="O2043" s="38"/>
    </row>
    <row r="2044" spans="1:15" ht="72" customHeight="1" x14ac:dyDescent="0.3">
      <c r="A2044" s="207">
        <v>2016</v>
      </c>
      <c r="B2044" s="142" t="s">
        <v>19425</v>
      </c>
      <c r="C2044" s="142" t="s">
        <v>14733</v>
      </c>
      <c r="D2044" s="85" t="s">
        <v>19426</v>
      </c>
      <c r="E2044" s="6"/>
      <c r="F2044" s="42">
        <f>238636.36+300000.02</f>
        <v>538636.38</v>
      </c>
      <c r="G2044" s="42">
        <f>234848.56+300000.02</f>
        <v>534848.58000000007</v>
      </c>
      <c r="H2044" s="25"/>
      <c r="I2044" s="207" t="s">
        <v>12545</v>
      </c>
      <c r="J2044" s="66" t="s">
        <v>19427</v>
      </c>
      <c r="K2044" s="207"/>
      <c r="L2044" s="66"/>
      <c r="M2044" s="201" t="s">
        <v>12550</v>
      </c>
      <c r="N2044" s="38" t="s">
        <v>19412</v>
      </c>
      <c r="O2044" s="38"/>
    </row>
    <row r="2045" spans="1:15" ht="72" customHeight="1" x14ac:dyDescent="0.3">
      <c r="A2045" s="207">
        <v>2017</v>
      </c>
      <c r="B2045" s="142" t="s">
        <v>19428</v>
      </c>
      <c r="C2045" s="142" t="s">
        <v>14766</v>
      </c>
      <c r="D2045" s="85" t="s">
        <v>19429</v>
      </c>
      <c r="E2045" s="6"/>
      <c r="F2045" s="143">
        <f>43200+43200+62999.98</f>
        <v>149399.98000000001</v>
      </c>
      <c r="G2045" s="143">
        <f>43200+43200+62999.98</f>
        <v>149399.98000000001</v>
      </c>
      <c r="H2045" s="25"/>
      <c r="I2045" s="207" t="s">
        <v>12545</v>
      </c>
      <c r="J2045" s="66" t="s">
        <v>19430</v>
      </c>
      <c r="K2045" s="207"/>
      <c r="L2045" s="66"/>
      <c r="M2045" s="201" t="s">
        <v>12550</v>
      </c>
      <c r="N2045" s="38" t="s">
        <v>19412</v>
      </c>
      <c r="O2045" s="38"/>
    </row>
    <row r="2046" spans="1:15" ht="72" customHeight="1" x14ac:dyDescent="0.3">
      <c r="A2046" s="207">
        <v>2018</v>
      </c>
      <c r="B2046" s="142" t="s">
        <v>19374</v>
      </c>
      <c r="C2046" s="142" t="s">
        <v>14765</v>
      </c>
      <c r="D2046" s="85" t="s">
        <v>19373</v>
      </c>
      <c r="E2046" s="6"/>
      <c r="F2046" s="143">
        <v>11036.98</v>
      </c>
      <c r="G2046" s="143">
        <v>11036.98</v>
      </c>
      <c r="H2046" s="25"/>
      <c r="I2046" s="207" t="s">
        <v>12545</v>
      </c>
      <c r="J2046" s="66" t="s">
        <v>19375</v>
      </c>
      <c r="K2046" s="207"/>
      <c r="L2046" s="66"/>
      <c r="M2046" s="201" t="s">
        <v>12550</v>
      </c>
      <c r="N2046" s="38" t="s">
        <v>19412</v>
      </c>
      <c r="O2046" s="206"/>
    </row>
    <row r="2047" spans="1:15" ht="72" customHeight="1" x14ac:dyDescent="0.3">
      <c r="A2047" s="207">
        <v>2019</v>
      </c>
      <c r="B2047" s="142" t="s">
        <v>19379</v>
      </c>
      <c r="C2047" s="142" t="s">
        <v>14744</v>
      </c>
      <c r="D2047" s="85" t="s">
        <v>19380</v>
      </c>
      <c r="E2047" s="6"/>
      <c r="F2047" s="143">
        <v>72523.88</v>
      </c>
      <c r="G2047" s="143">
        <v>72523.88</v>
      </c>
      <c r="H2047" s="25"/>
      <c r="I2047" s="207" t="s">
        <v>12545</v>
      </c>
      <c r="J2047" s="66" t="s">
        <v>19381</v>
      </c>
      <c r="K2047" s="207"/>
      <c r="L2047" s="66"/>
      <c r="M2047" s="201" t="s">
        <v>12550</v>
      </c>
      <c r="N2047" s="38" t="s">
        <v>19412</v>
      </c>
      <c r="O2047" s="38"/>
    </row>
    <row r="2048" spans="1:15" ht="72" customHeight="1" x14ac:dyDescent="0.3">
      <c r="A2048" s="207">
        <v>2020</v>
      </c>
      <c r="B2048" s="142" t="s">
        <v>16249</v>
      </c>
      <c r="C2048" s="142" t="s">
        <v>14772</v>
      </c>
      <c r="D2048" s="85" t="s">
        <v>19437</v>
      </c>
      <c r="E2048" s="6"/>
      <c r="F2048" s="143">
        <v>49731.1</v>
      </c>
      <c r="G2048" s="144">
        <v>3039.08</v>
      </c>
      <c r="H2048" s="25"/>
      <c r="I2048" s="207" t="s">
        <v>12545</v>
      </c>
      <c r="J2048" s="66" t="s">
        <v>19438</v>
      </c>
      <c r="K2048" s="207"/>
      <c r="L2048" s="66"/>
      <c r="M2048" s="201" t="s">
        <v>12550</v>
      </c>
      <c r="N2048" s="38" t="s">
        <v>19412</v>
      </c>
      <c r="O2048" s="38"/>
    </row>
    <row r="2049" spans="1:15" ht="72" customHeight="1" x14ac:dyDescent="0.3">
      <c r="A2049" s="207">
        <v>2021</v>
      </c>
      <c r="B2049" s="142" t="s">
        <v>19423</v>
      </c>
      <c r="C2049" s="142" t="s">
        <v>14729</v>
      </c>
      <c r="D2049" s="85" t="s">
        <v>19421</v>
      </c>
      <c r="E2049" s="6"/>
      <c r="F2049" s="143">
        <v>112500</v>
      </c>
      <c r="G2049" s="144">
        <v>112500</v>
      </c>
      <c r="H2049" s="25"/>
      <c r="I2049" s="207" t="s">
        <v>12545</v>
      </c>
      <c r="J2049" s="66" t="s">
        <v>19424</v>
      </c>
      <c r="K2049" s="207"/>
      <c r="L2049" s="66"/>
      <c r="M2049" s="201" t="s">
        <v>12550</v>
      </c>
      <c r="N2049" s="38" t="s">
        <v>19412</v>
      </c>
      <c r="O2049" s="38"/>
    </row>
    <row r="2050" spans="1:15" ht="72" customHeight="1" x14ac:dyDescent="0.3">
      <c r="A2050" s="207">
        <v>2022</v>
      </c>
      <c r="B2050" s="142" t="s">
        <v>19422</v>
      </c>
      <c r="C2050" s="142" t="s">
        <v>14760</v>
      </c>
      <c r="D2050" s="85" t="s">
        <v>19419</v>
      </c>
      <c r="E2050" s="6"/>
      <c r="F2050" s="143">
        <v>37391.660000000003</v>
      </c>
      <c r="G2050" s="144">
        <v>37391.660000000003</v>
      </c>
      <c r="H2050" s="25"/>
      <c r="I2050" s="207" t="s">
        <v>12545</v>
      </c>
      <c r="J2050" s="66" t="s">
        <v>19420</v>
      </c>
      <c r="K2050" s="207"/>
      <c r="L2050" s="66"/>
      <c r="M2050" s="201" t="s">
        <v>12550</v>
      </c>
      <c r="N2050" s="38" t="s">
        <v>19412</v>
      </c>
      <c r="O2050" s="38"/>
    </row>
    <row r="2051" spans="1:15" ht="72" customHeight="1" x14ac:dyDescent="0.3">
      <c r="A2051" s="207">
        <v>2023</v>
      </c>
      <c r="B2051" s="142" t="s">
        <v>19432</v>
      </c>
      <c r="C2051" s="142" t="s">
        <v>14773</v>
      </c>
      <c r="D2051" s="85" t="s">
        <v>19431</v>
      </c>
      <c r="E2051" s="207"/>
      <c r="F2051" s="143">
        <v>1582000.98</v>
      </c>
      <c r="G2051" s="144">
        <v>1191773.71</v>
      </c>
      <c r="H2051" s="25"/>
      <c r="I2051" s="207" t="s">
        <v>12545</v>
      </c>
      <c r="J2051" s="66" t="s">
        <v>19433</v>
      </c>
      <c r="K2051" s="207"/>
      <c r="L2051" s="66"/>
      <c r="M2051" s="201" t="s">
        <v>12550</v>
      </c>
      <c r="N2051" s="38" t="s">
        <v>19412</v>
      </c>
      <c r="O2051" s="38"/>
    </row>
    <row r="2052" spans="1:15" ht="72" customHeight="1" x14ac:dyDescent="0.3">
      <c r="A2052" s="207">
        <v>2024</v>
      </c>
      <c r="B2052" s="142" t="s">
        <v>19434</v>
      </c>
      <c r="C2052" s="142" t="s">
        <v>14774</v>
      </c>
      <c r="D2052" s="85" t="s">
        <v>19435</v>
      </c>
      <c r="E2052" s="207"/>
      <c r="F2052" s="143">
        <v>108100.5</v>
      </c>
      <c r="G2052" s="144">
        <v>107152.25</v>
      </c>
      <c r="H2052" s="25"/>
      <c r="I2052" s="207" t="s">
        <v>12545</v>
      </c>
      <c r="J2052" s="66" t="s">
        <v>19436</v>
      </c>
      <c r="K2052" s="207"/>
      <c r="L2052" s="66"/>
      <c r="M2052" s="201" t="s">
        <v>12550</v>
      </c>
      <c r="N2052" s="38" t="s">
        <v>19412</v>
      </c>
      <c r="O2052" s="38"/>
    </row>
    <row r="2053" spans="1:15" ht="72" customHeight="1" x14ac:dyDescent="0.3">
      <c r="A2053" s="207">
        <v>2025</v>
      </c>
      <c r="B2053" s="142" t="s">
        <v>19454</v>
      </c>
      <c r="C2053" s="142" t="s">
        <v>14745</v>
      </c>
      <c r="D2053" s="85" t="s">
        <v>19455</v>
      </c>
      <c r="E2053" s="207"/>
      <c r="F2053" s="143">
        <v>10500.02</v>
      </c>
      <c r="G2053" s="144">
        <v>9416.2900000000009</v>
      </c>
      <c r="H2053" s="25"/>
      <c r="I2053" s="207" t="s">
        <v>12545</v>
      </c>
      <c r="J2053" s="66" t="s">
        <v>19456</v>
      </c>
      <c r="K2053" s="207"/>
      <c r="L2053" s="66"/>
      <c r="M2053" s="201" t="s">
        <v>12550</v>
      </c>
      <c r="N2053" s="38" t="s">
        <v>19412</v>
      </c>
      <c r="O2053" s="38"/>
    </row>
    <row r="2054" spans="1:15" ht="72" customHeight="1" x14ac:dyDescent="0.3">
      <c r="A2054" s="207">
        <v>2026</v>
      </c>
      <c r="B2054" s="142" t="s">
        <v>19376</v>
      </c>
      <c r="C2054" s="142" t="s">
        <v>14766</v>
      </c>
      <c r="D2054" s="85" t="s">
        <v>19377</v>
      </c>
      <c r="E2054" s="207"/>
      <c r="F2054" s="143">
        <v>90651.14</v>
      </c>
      <c r="G2054" s="144">
        <v>8309.6200000000008</v>
      </c>
      <c r="H2054" s="25"/>
      <c r="I2054" s="207" t="s">
        <v>12545</v>
      </c>
      <c r="J2054" s="66" t="s">
        <v>19378</v>
      </c>
      <c r="K2054" s="207"/>
      <c r="L2054" s="66"/>
      <c r="M2054" s="201" t="s">
        <v>12550</v>
      </c>
      <c r="N2054" s="38" t="s">
        <v>19412</v>
      </c>
      <c r="O2054" s="38"/>
    </row>
    <row r="2055" spans="1:15" ht="72" customHeight="1" x14ac:dyDescent="0.3">
      <c r="A2055" s="94">
        <v>2027</v>
      </c>
      <c r="B2055" s="265" t="s">
        <v>14775</v>
      </c>
      <c r="C2055" s="265" t="s">
        <v>16253</v>
      </c>
      <c r="D2055" s="94"/>
      <c r="E2055" s="207"/>
      <c r="F2055" s="143">
        <v>9266.66</v>
      </c>
      <c r="G2055" s="143">
        <v>9266.66</v>
      </c>
      <c r="H2055" s="207"/>
      <c r="I2055" s="207" t="s">
        <v>12545</v>
      </c>
      <c r="J2055" s="66" t="s">
        <v>12548</v>
      </c>
      <c r="K2055" s="207"/>
      <c r="L2055" s="66"/>
      <c r="M2055" s="201" t="s">
        <v>12550</v>
      </c>
      <c r="N2055" s="38"/>
      <c r="O2055" s="38"/>
    </row>
    <row r="2056" spans="1:15" ht="72" customHeight="1" x14ac:dyDescent="0.3">
      <c r="A2056" s="207">
        <v>2028</v>
      </c>
      <c r="B2056" s="139" t="s">
        <v>14782</v>
      </c>
      <c r="C2056" s="139" t="s">
        <v>14791</v>
      </c>
      <c r="D2056" s="85" t="s">
        <v>16068</v>
      </c>
      <c r="E2056" s="207"/>
      <c r="F2056" s="149">
        <v>452500.2</v>
      </c>
      <c r="G2056" s="150">
        <v>452500.2</v>
      </c>
      <c r="H2056" s="25"/>
      <c r="I2056" s="207" t="s">
        <v>12545</v>
      </c>
      <c r="J2056" s="66" t="s">
        <v>16069</v>
      </c>
      <c r="K2056" s="207"/>
      <c r="L2056" s="66"/>
      <c r="M2056" s="201" t="s">
        <v>12550</v>
      </c>
      <c r="N2056" s="38" t="s">
        <v>19412</v>
      </c>
      <c r="O2056" s="38"/>
    </row>
    <row r="2057" spans="1:15" ht="72" customHeight="1" x14ac:dyDescent="0.3">
      <c r="A2057" s="207">
        <v>2029</v>
      </c>
      <c r="B2057" s="139" t="s">
        <v>14783</v>
      </c>
      <c r="C2057" s="139" t="s">
        <v>14792</v>
      </c>
      <c r="D2057" s="85" t="s">
        <v>16066</v>
      </c>
      <c r="E2057" s="207"/>
      <c r="F2057" s="149">
        <v>332499.98</v>
      </c>
      <c r="G2057" s="150">
        <v>332499.98</v>
      </c>
      <c r="H2057" s="25"/>
      <c r="I2057" s="207" t="s">
        <v>12545</v>
      </c>
      <c r="J2057" s="66" t="s">
        <v>16067</v>
      </c>
      <c r="K2057" s="207"/>
      <c r="L2057" s="66"/>
      <c r="M2057" s="201" t="s">
        <v>12550</v>
      </c>
      <c r="N2057" s="38" t="s">
        <v>19412</v>
      </c>
      <c r="O2057" s="38"/>
    </row>
    <row r="2058" spans="1:15" ht="72" customHeight="1" x14ac:dyDescent="0.3">
      <c r="A2058" s="207">
        <v>2030</v>
      </c>
      <c r="B2058" s="139" t="s">
        <v>14784</v>
      </c>
      <c r="C2058" s="139" t="s">
        <v>14793</v>
      </c>
      <c r="D2058" s="85" t="s">
        <v>16072</v>
      </c>
      <c r="E2058" s="207"/>
      <c r="F2058" s="149">
        <v>62627.7</v>
      </c>
      <c r="G2058" s="150">
        <v>61634</v>
      </c>
      <c r="H2058" s="25"/>
      <c r="I2058" s="207" t="s">
        <v>12545</v>
      </c>
      <c r="J2058" s="66" t="s">
        <v>16073</v>
      </c>
      <c r="K2058" s="207"/>
      <c r="L2058" s="66"/>
      <c r="M2058" s="201" t="s">
        <v>12550</v>
      </c>
      <c r="N2058" s="38" t="s">
        <v>19412</v>
      </c>
      <c r="O2058" s="38"/>
    </row>
    <row r="2059" spans="1:15" ht="72" customHeight="1" x14ac:dyDescent="0.3">
      <c r="A2059" s="207">
        <v>2031</v>
      </c>
      <c r="B2059" s="139" t="s">
        <v>16250</v>
      </c>
      <c r="C2059" s="139" t="s">
        <v>14793</v>
      </c>
      <c r="D2059" s="85" t="s">
        <v>16375</v>
      </c>
      <c r="E2059" s="207"/>
      <c r="F2059" s="149">
        <v>152727.28</v>
      </c>
      <c r="G2059" s="150">
        <v>150302.88</v>
      </c>
      <c r="H2059" s="25"/>
      <c r="I2059" s="207" t="s">
        <v>12545</v>
      </c>
      <c r="J2059" s="66" t="s">
        <v>16924</v>
      </c>
      <c r="K2059" s="207"/>
      <c r="L2059" s="66"/>
      <c r="M2059" s="201" t="s">
        <v>12550</v>
      </c>
      <c r="N2059" s="38" t="s">
        <v>19412</v>
      </c>
      <c r="O2059" s="38"/>
    </row>
    <row r="2060" spans="1:15" ht="100.5" customHeight="1" x14ac:dyDescent="0.3">
      <c r="A2060" s="207">
        <v>2032</v>
      </c>
      <c r="B2060" s="139" t="s">
        <v>14785</v>
      </c>
      <c r="C2060" s="139" t="s">
        <v>14794</v>
      </c>
      <c r="D2060" s="85" t="s">
        <v>16070</v>
      </c>
      <c r="E2060" s="207"/>
      <c r="F2060" s="149">
        <v>4533721.37</v>
      </c>
      <c r="G2060" s="150">
        <v>293851.90000000002</v>
      </c>
      <c r="H2060" s="292">
        <v>6193287.8600000003</v>
      </c>
      <c r="I2060" s="207" t="s">
        <v>12545</v>
      </c>
      <c r="J2060" s="66" t="s">
        <v>16071</v>
      </c>
      <c r="K2060" s="207"/>
      <c r="L2060" s="66"/>
      <c r="M2060" s="201" t="s">
        <v>12550</v>
      </c>
      <c r="N2060" s="38" t="s">
        <v>19412</v>
      </c>
      <c r="O2060" s="38" t="s">
        <v>23386</v>
      </c>
    </row>
    <row r="2061" spans="1:15" ht="72" customHeight="1" x14ac:dyDescent="0.3">
      <c r="A2061" s="207">
        <v>2033</v>
      </c>
      <c r="B2061" s="139" t="s">
        <v>14786</v>
      </c>
      <c r="C2061" s="139" t="s">
        <v>14760</v>
      </c>
      <c r="D2061" s="85" t="s">
        <v>16251</v>
      </c>
      <c r="E2061" s="207"/>
      <c r="F2061" s="149">
        <v>190478.72</v>
      </c>
      <c r="G2061" s="150">
        <v>190478.72</v>
      </c>
      <c r="H2061" s="25"/>
      <c r="I2061" s="207" t="s">
        <v>12545</v>
      </c>
      <c r="J2061" s="66" t="s">
        <v>16074</v>
      </c>
      <c r="K2061" s="207"/>
      <c r="L2061" s="66"/>
      <c r="M2061" s="201" t="s">
        <v>12550</v>
      </c>
      <c r="N2061" s="38" t="s">
        <v>19412</v>
      </c>
      <c r="O2061" s="38"/>
    </row>
    <row r="2062" spans="1:15" ht="72" customHeight="1" x14ac:dyDescent="0.3">
      <c r="A2062" s="207">
        <v>2034</v>
      </c>
      <c r="B2062" s="139" t="s">
        <v>14787</v>
      </c>
      <c r="C2062" s="142" t="s">
        <v>14795</v>
      </c>
      <c r="D2062" s="281" t="s">
        <v>17834</v>
      </c>
      <c r="E2062" s="207"/>
      <c r="F2062" s="145">
        <v>436042.78</v>
      </c>
      <c r="G2062" s="143">
        <v>436042.78</v>
      </c>
      <c r="H2062" s="25"/>
      <c r="I2062" s="207" t="s">
        <v>12545</v>
      </c>
      <c r="J2062" s="66" t="s">
        <v>19058</v>
      </c>
      <c r="K2062" s="207"/>
      <c r="L2062" s="66"/>
      <c r="M2062" s="201" t="s">
        <v>12550</v>
      </c>
      <c r="N2062" s="38" t="s">
        <v>19412</v>
      </c>
      <c r="O2062" s="38"/>
    </row>
    <row r="2063" spans="1:15" ht="72" customHeight="1" x14ac:dyDescent="0.3">
      <c r="A2063" s="207">
        <v>2035</v>
      </c>
      <c r="B2063" s="139" t="s">
        <v>14788</v>
      </c>
      <c r="C2063" s="142" t="s">
        <v>14796</v>
      </c>
      <c r="D2063" s="85" t="s">
        <v>17836</v>
      </c>
      <c r="E2063" s="207"/>
      <c r="F2063" s="145">
        <v>656999.98</v>
      </c>
      <c r="G2063" s="143">
        <v>656999.98</v>
      </c>
      <c r="H2063" s="25"/>
      <c r="I2063" s="207" t="s">
        <v>12545</v>
      </c>
      <c r="J2063" s="66" t="s">
        <v>19057</v>
      </c>
      <c r="K2063" s="207"/>
      <c r="L2063" s="66"/>
      <c r="M2063" s="201" t="s">
        <v>12550</v>
      </c>
      <c r="N2063" s="38" t="s">
        <v>19412</v>
      </c>
      <c r="O2063" s="38"/>
    </row>
    <row r="2064" spans="1:15" ht="72" customHeight="1" x14ac:dyDescent="0.3">
      <c r="A2064" s="207">
        <v>2036</v>
      </c>
      <c r="B2064" s="139" t="s">
        <v>14789</v>
      </c>
      <c r="C2064" s="142" t="s">
        <v>14797</v>
      </c>
      <c r="D2064" s="85" t="s">
        <v>17837</v>
      </c>
      <c r="E2064" s="207"/>
      <c r="F2064" s="145">
        <f>40696.48+139616.26</f>
        <v>180312.74000000002</v>
      </c>
      <c r="G2064" s="143">
        <f>40696.48+139616.26</f>
        <v>180312.74000000002</v>
      </c>
      <c r="H2064" s="25"/>
      <c r="I2064" s="207" t="s">
        <v>12545</v>
      </c>
      <c r="J2064" s="66" t="s">
        <v>19056</v>
      </c>
      <c r="K2064" s="207"/>
      <c r="L2064" s="66"/>
      <c r="M2064" s="201" t="s">
        <v>12550</v>
      </c>
      <c r="N2064" s="38" t="s">
        <v>19412</v>
      </c>
      <c r="O2064" s="38"/>
    </row>
    <row r="2065" spans="1:15" ht="72" customHeight="1" x14ac:dyDescent="0.3">
      <c r="A2065" s="207">
        <v>2037</v>
      </c>
      <c r="B2065" s="139" t="s">
        <v>16252</v>
      </c>
      <c r="C2065" s="142" t="s">
        <v>14755</v>
      </c>
      <c r="D2065" s="85" t="s">
        <v>17835</v>
      </c>
      <c r="E2065" s="207"/>
      <c r="F2065" s="145">
        <v>95454.52</v>
      </c>
      <c r="G2065" s="143">
        <v>93939.92</v>
      </c>
      <c r="H2065" s="25"/>
      <c r="I2065" s="207" t="s">
        <v>12545</v>
      </c>
      <c r="J2065" s="66" t="s">
        <v>19089</v>
      </c>
      <c r="K2065" s="207"/>
      <c r="L2065" s="66"/>
      <c r="M2065" s="201" t="s">
        <v>12550</v>
      </c>
      <c r="N2065" s="38" t="s">
        <v>19412</v>
      </c>
      <c r="O2065" s="38"/>
    </row>
    <row r="2066" spans="1:15" ht="72" customHeight="1" x14ac:dyDescent="0.3">
      <c r="A2066" s="207">
        <v>2038</v>
      </c>
      <c r="B2066" s="139" t="s">
        <v>19540</v>
      </c>
      <c r="C2066" s="142" t="s">
        <v>14744</v>
      </c>
      <c r="D2066" s="85" t="s">
        <v>19541</v>
      </c>
      <c r="E2066" s="207"/>
      <c r="F2066" s="145">
        <v>146388.85999999999</v>
      </c>
      <c r="G2066" s="143">
        <v>146388.85999999999</v>
      </c>
      <c r="H2066" s="25"/>
      <c r="I2066" s="207" t="s">
        <v>12545</v>
      </c>
      <c r="J2066" s="66" t="s">
        <v>19542</v>
      </c>
      <c r="K2066" s="207"/>
      <c r="L2066" s="66"/>
      <c r="M2066" s="201" t="s">
        <v>12550</v>
      </c>
      <c r="N2066" s="38" t="s">
        <v>19412</v>
      </c>
      <c r="O2066" s="38"/>
    </row>
    <row r="2067" spans="1:15" ht="72" customHeight="1" x14ac:dyDescent="0.3">
      <c r="A2067" s="207">
        <v>2039</v>
      </c>
      <c r="B2067" s="142" t="s">
        <v>14790</v>
      </c>
      <c r="C2067" s="245" t="s">
        <v>14798</v>
      </c>
      <c r="D2067" s="85" t="s">
        <v>17849</v>
      </c>
      <c r="E2067" s="142">
        <v>290.7</v>
      </c>
      <c r="F2067" s="143">
        <v>1717995.72</v>
      </c>
      <c r="G2067" s="143">
        <v>622899.12</v>
      </c>
      <c r="H2067" s="207">
        <v>3666700.84</v>
      </c>
      <c r="I2067" s="207" t="s">
        <v>12545</v>
      </c>
      <c r="J2067" s="66" t="s">
        <v>18156</v>
      </c>
      <c r="K2067" s="207"/>
      <c r="L2067" s="66"/>
      <c r="M2067" s="201" t="s">
        <v>12550</v>
      </c>
      <c r="N2067" s="38" t="s">
        <v>19412</v>
      </c>
      <c r="O2067" s="38"/>
    </row>
    <row r="2068" spans="1:15" ht="72" customHeight="1" x14ac:dyDescent="0.3">
      <c r="A2068" s="94">
        <v>2040</v>
      </c>
      <c r="B2068" s="265" t="s">
        <v>14799</v>
      </c>
      <c r="C2068" s="266" t="s">
        <v>14735</v>
      </c>
      <c r="D2068" s="94"/>
      <c r="E2068" s="207"/>
      <c r="F2068" s="143">
        <v>405161.24</v>
      </c>
      <c r="G2068" s="143">
        <v>195654.98</v>
      </c>
      <c r="H2068" s="207"/>
      <c r="I2068" s="207" t="s">
        <v>12545</v>
      </c>
      <c r="J2068" s="66" t="s">
        <v>12548</v>
      </c>
      <c r="K2068" s="207"/>
      <c r="L2068" s="66"/>
      <c r="M2068" s="201" t="s">
        <v>12550</v>
      </c>
      <c r="N2068" s="226"/>
      <c r="O2068" s="38"/>
    </row>
    <row r="2069" spans="1:15" ht="72" customHeight="1" x14ac:dyDescent="0.3">
      <c r="A2069" s="207">
        <v>2041</v>
      </c>
      <c r="B2069" s="142" t="s">
        <v>14800</v>
      </c>
      <c r="C2069" s="151" t="s">
        <v>14797</v>
      </c>
      <c r="D2069" s="207"/>
      <c r="E2069" s="207"/>
      <c r="F2069" s="143">
        <v>759220.82</v>
      </c>
      <c r="G2069" s="143">
        <v>366631.89</v>
      </c>
      <c r="H2069" s="207"/>
      <c r="I2069" s="207" t="s">
        <v>12545</v>
      </c>
      <c r="J2069" s="66" t="s">
        <v>12548</v>
      </c>
      <c r="K2069" s="207"/>
      <c r="L2069" s="66"/>
      <c r="M2069" s="201" t="s">
        <v>12550</v>
      </c>
      <c r="N2069" s="226"/>
      <c r="O2069" s="38"/>
    </row>
    <row r="2070" spans="1:15" ht="72" customHeight="1" x14ac:dyDescent="0.3">
      <c r="A2070" s="207">
        <v>2042</v>
      </c>
      <c r="B2070" s="142" t="s">
        <v>14801</v>
      </c>
      <c r="C2070" s="151" t="s">
        <v>14804</v>
      </c>
      <c r="D2070" s="207"/>
      <c r="E2070" s="207"/>
      <c r="F2070" s="143">
        <v>42022.720000000001</v>
      </c>
      <c r="G2070" s="143">
        <v>18405.439999999999</v>
      </c>
      <c r="H2070" s="207"/>
      <c r="I2070" s="207" t="s">
        <v>12545</v>
      </c>
      <c r="J2070" s="66" t="s">
        <v>12548</v>
      </c>
      <c r="K2070" s="207"/>
      <c r="L2070" s="66"/>
      <c r="M2070" s="201" t="s">
        <v>12550</v>
      </c>
      <c r="N2070" s="226"/>
      <c r="O2070" s="38"/>
    </row>
    <row r="2071" spans="1:15" ht="72" customHeight="1" x14ac:dyDescent="0.3">
      <c r="A2071" s="207">
        <v>2043</v>
      </c>
      <c r="B2071" s="142" t="s">
        <v>15515</v>
      </c>
      <c r="C2071" s="151" t="s">
        <v>15514</v>
      </c>
      <c r="D2071" s="207"/>
      <c r="E2071" s="207"/>
      <c r="F2071" s="143">
        <v>76277.72</v>
      </c>
      <c r="G2071" s="143">
        <v>68407.94</v>
      </c>
      <c r="H2071" s="207"/>
      <c r="I2071" s="207" t="s">
        <v>12545</v>
      </c>
      <c r="J2071" s="66" t="s">
        <v>12548</v>
      </c>
      <c r="K2071" s="207"/>
      <c r="L2071" s="66"/>
      <c r="M2071" s="201" t="s">
        <v>12550</v>
      </c>
      <c r="N2071" s="226"/>
      <c r="O2071" s="38"/>
    </row>
    <row r="2072" spans="1:15" ht="72" customHeight="1" x14ac:dyDescent="0.3">
      <c r="A2072" s="207">
        <v>2044</v>
      </c>
      <c r="B2072" s="142" t="s">
        <v>14802</v>
      </c>
      <c r="C2072" s="151" t="s">
        <v>14805</v>
      </c>
      <c r="D2072" s="207"/>
      <c r="E2072" s="207"/>
      <c r="F2072" s="143"/>
      <c r="G2072" s="143"/>
      <c r="H2072" s="207"/>
      <c r="I2072" s="207" t="s">
        <v>12545</v>
      </c>
      <c r="J2072" s="66" t="s">
        <v>12548</v>
      </c>
      <c r="K2072" s="207"/>
      <c r="L2072" s="66"/>
      <c r="M2072" s="201" t="s">
        <v>12550</v>
      </c>
      <c r="N2072" s="226"/>
      <c r="O2072" s="38"/>
    </row>
    <row r="2073" spans="1:15" ht="72" customHeight="1" x14ac:dyDescent="0.3">
      <c r="A2073" s="207">
        <v>2045</v>
      </c>
      <c r="B2073" s="242" t="s">
        <v>14803</v>
      </c>
      <c r="C2073" s="227" t="s">
        <v>14734</v>
      </c>
      <c r="D2073" s="207"/>
      <c r="E2073" s="207"/>
      <c r="F2073" s="51"/>
      <c r="G2073" s="6"/>
      <c r="H2073" s="207"/>
      <c r="I2073" s="207" t="s">
        <v>12545</v>
      </c>
      <c r="J2073" s="66" t="s">
        <v>12548</v>
      </c>
      <c r="K2073" s="207"/>
      <c r="L2073" s="66"/>
      <c r="M2073" s="201" t="s">
        <v>12550</v>
      </c>
      <c r="N2073" s="226"/>
      <c r="O2073" s="38"/>
    </row>
    <row r="2074" spans="1:15" ht="72" customHeight="1" x14ac:dyDescent="0.3">
      <c r="A2074" s="207">
        <v>2046</v>
      </c>
      <c r="B2074" s="142" t="s">
        <v>16092</v>
      </c>
      <c r="C2074" s="142" t="s">
        <v>14806</v>
      </c>
      <c r="D2074" s="85" t="s">
        <v>16093</v>
      </c>
      <c r="E2074" s="142">
        <v>285.8</v>
      </c>
      <c r="F2074" s="143">
        <v>50755671.630000003</v>
      </c>
      <c r="G2074" s="143">
        <v>12477436.23</v>
      </c>
      <c r="H2074" s="207">
        <v>9697051.0999999996</v>
      </c>
      <c r="I2074" s="207" t="s">
        <v>12545</v>
      </c>
      <c r="J2074" s="66" t="s">
        <v>16415</v>
      </c>
      <c r="K2074" s="207"/>
      <c r="L2074" s="66"/>
      <c r="M2074" s="201" t="s">
        <v>12550</v>
      </c>
      <c r="N2074" s="38" t="s">
        <v>19412</v>
      </c>
      <c r="O2074" s="38"/>
    </row>
    <row r="2075" spans="1:15" ht="97.95" customHeight="1" x14ac:dyDescent="0.3">
      <c r="A2075" s="207">
        <v>2047</v>
      </c>
      <c r="B2075" s="142" t="s">
        <v>15662</v>
      </c>
      <c r="C2075" s="142" t="s">
        <v>14806</v>
      </c>
      <c r="D2075" s="85" t="s">
        <v>14866</v>
      </c>
      <c r="E2075" s="142">
        <v>655</v>
      </c>
      <c r="F2075" s="143">
        <v>6138000.0199999996</v>
      </c>
      <c r="G2075" s="143">
        <v>1167666.29</v>
      </c>
      <c r="H2075" s="207"/>
      <c r="I2075" s="207" t="s">
        <v>12545</v>
      </c>
      <c r="J2075" s="66" t="s">
        <v>12548</v>
      </c>
      <c r="K2075" s="207" t="s">
        <v>18865</v>
      </c>
      <c r="L2075" s="66" t="s">
        <v>18866</v>
      </c>
      <c r="M2075" s="242" t="s">
        <v>13904</v>
      </c>
      <c r="N2075" s="226"/>
      <c r="O2075" s="38"/>
    </row>
    <row r="2076" spans="1:15" ht="72" customHeight="1" x14ac:dyDescent="0.3">
      <c r="A2076" s="207">
        <v>2048</v>
      </c>
      <c r="B2076" s="142" t="s">
        <v>14810</v>
      </c>
      <c r="C2076" s="142" t="s">
        <v>14807</v>
      </c>
      <c r="D2076" s="85" t="s">
        <v>17828</v>
      </c>
      <c r="E2076" s="142">
        <v>354.9</v>
      </c>
      <c r="F2076" s="143">
        <v>37892223.659999996</v>
      </c>
      <c r="G2076" s="143">
        <v>13067299.23</v>
      </c>
      <c r="H2076" s="207">
        <v>4264968.16</v>
      </c>
      <c r="I2076" s="207" t="s">
        <v>12545</v>
      </c>
      <c r="J2076" s="66" t="s">
        <v>18158</v>
      </c>
      <c r="K2076" s="207"/>
      <c r="L2076" s="66"/>
      <c r="M2076" s="201" t="s">
        <v>12550</v>
      </c>
      <c r="N2076" s="38" t="s">
        <v>19412</v>
      </c>
      <c r="O2076" s="38"/>
    </row>
    <row r="2077" spans="1:15" ht="72" customHeight="1" x14ac:dyDescent="0.3">
      <c r="A2077" s="207">
        <v>2049</v>
      </c>
      <c r="B2077" s="139" t="s">
        <v>16165</v>
      </c>
      <c r="C2077" s="139" t="s">
        <v>16094</v>
      </c>
      <c r="D2077" s="85" t="s">
        <v>16095</v>
      </c>
      <c r="E2077" s="139">
        <v>93</v>
      </c>
      <c r="F2077" s="150">
        <v>17120833.890000001</v>
      </c>
      <c r="G2077" s="150">
        <v>4179047.78</v>
      </c>
      <c r="H2077" s="207">
        <v>749370.75</v>
      </c>
      <c r="I2077" s="207" t="s">
        <v>12545</v>
      </c>
      <c r="J2077" s="66" t="s">
        <v>16416</v>
      </c>
      <c r="K2077" s="207"/>
      <c r="L2077" s="66"/>
      <c r="M2077" s="201" t="s">
        <v>12550</v>
      </c>
      <c r="N2077" s="38" t="s">
        <v>19412</v>
      </c>
      <c r="O2077" s="245"/>
    </row>
    <row r="2078" spans="1:15" ht="72" customHeight="1" x14ac:dyDescent="0.3">
      <c r="A2078" s="207">
        <v>2050</v>
      </c>
      <c r="B2078" s="142" t="s">
        <v>16091</v>
      </c>
      <c r="C2078" s="142" t="s">
        <v>16089</v>
      </c>
      <c r="D2078" s="85" t="s">
        <v>16090</v>
      </c>
      <c r="E2078" s="142">
        <v>93.4</v>
      </c>
      <c r="F2078" s="143">
        <v>15792634.109999999</v>
      </c>
      <c r="G2078" s="143">
        <v>3911723.02</v>
      </c>
      <c r="H2078" s="207">
        <v>752593.85</v>
      </c>
      <c r="I2078" s="207" t="s">
        <v>12545</v>
      </c>
      <c r="J2078" s="66" t="s">
        <v>16417</v>
      </c>
      <c r="K2078" s="207"/>
      <c r="L2078" s="66"/>
      <c r="M2078" s="201" t="s">
        <v>12550</v>
      </c>
      <c r="N2078" s="38" t="s">
        <v>19412</v>
      </c>
      <c r="O2078" s="38"/>
    </row>
    <row r="2079" spans="1:15" ht="84" customHeight="1" x14ac:dyDescent="0.3">
      <c r="A2079" s="207">
        <v>2051</v>
      </c>
      <c r="B2079" s="142" t="s">
        <v>14811</v>
      </c>
      <c r="C2079" s="142" t="s">
        <v>14754</v>
      </c>
      <c r="D2079" s="85" t="s">
        <v>16187</v>
      </c>
      <c r="E2079" s="142">
        <v>687.1</v>
      </c>
      <c r="F2079" s="143">
        <v>3446969.72</v>
      </c>
      <c r="G2079" s="143">
        <v>998736.94</v>
      </c>
      <c r="H2079" s="207"/>
      <c r="I2079" s="207" t="s">
        <v>12545</v>
      </c>
      <c r="J2079" s="66" t="s">
        <v>12548</v>
      </c>
      <c r="K2079" s="207" t="s">
        <v>16188</v>
      </c>
      <c r="L2079" s="66" t="s">
        <v>16189</v>
      </c>
      <c r="M2079" s="242" t="s">
        <v>13904</v>
      </c>
      <c r="N2079" s="226"/>
      <c r="O2079" s="38"/>
    </row>
    <row r="2080" spans="1:15" ht="72" customHeight="1" x14ac:dyDescent="0.3">
      <c r="A2080" s="207">
        <v>2052</v>
      </c>
      <c r="B2080" s="142" t="s">
        <v>14812</v>
      </c>
      <c r="C2080" s="142" t="s">
        <v>14755</v>
      </c>
      <c r="D2080" s="85" t="s">
        <v>16105</v>
      </c>
      <c r="E2080" s="139">
        <v>505</v>
      </c>
      <c r="F2080" s="143">
        <v>2166666.64</v>
      </c>
      <c r="G2080" s="143">
        <v>627778.28</v>
      </c>
      <c r="H2080" s="207">
        <v>5073967.3</v>
      </c>
      <c r="I2080" s="207" t="s">
        <v>12545</v>
      </c>
      <c r="J2080" s="66" t="s">
        <v>16437</v>
      </c>
      <c r="K2080" s="207"/>
      <c r="L2080" s="66"/>
      <c r="M2080" s="201" t="s">
        <v>12550</v>
      </c>
      <c r="N2080" s="38" t="s">
        <v>19412</v>
      </c>
      <c r="O2080" s="38"/>
    </row>
    <row r="2081" spans="1:26" ht="72" customHeight="1" x14ac:dyDescent="0.3">
      <c r="A2081" s="207">
        <v>2053</v>
      </c>
      <c r="B2081" s="142" t="s">
        <v>16166</v>
      </c>
      <c r="C2081" s="142" t="s">
        <v>14757</v>
      </c>
      <c r="D2081" s="85" t="s">
        <v>16096</v>
      </c>
      <c r="E2081" s="142">
        <v>327.2</v>
      </c>
      <c r="F2081" s="143">
        <v>2257407.38</v>
      </c>
      <c r="G2081" s="143">
        <v>880247.48</v>
      </c>
      <c r="H2081" s="25">
        <v>3611875.73</v>
      </c>
      <c r="I2081" s="207" t="s">
        <v>12545</v>
      </c>
      <c r="J2081" s="66" t="s">
        <v>16421</v>
      </c>
      <c r="K2081" s="207"/>
      <c r="L2081" s="66"/>
      <c r="M2081" s="201" t="s">
        <v>12550</v>
      </c>
      <c r="N2081" s="38" t="s">
        <v>19412</v>
      </c>
      <c r="O2081" s="38"/>
    </row>
    <row r="2082" spans="1:26" ht="72" customHeight="1" x14ac:dyDescent="0.3">
      <c r="A2082" s="207">
        <v>2054</v>
      </c>
      <c r="B2082" s="142" t="s">
        <v>14813</v>
      </c>
      <c r="C2082" s="142" t="s">
        <v>14759</v>
      </c>
      <c r="D2082" s="85" t="s">
        <v>17833</v>
      </c>
      <c r="E2082" s="142">
        <v>47.8</v>
      </c>
      <c r="F2082" s="143">
        <v>68249.98</v>
      </c>
      <c r="G2082" s="143">
        <v>36167.08</v>
      </c>
      <c r="H2082" s="25">
        <v>637814.99</v>
      </c>
      <c r="I2082" s="207" t="s">
        <v>12545</v>
      </c>
      <c r="J2082" s="66" t="s">
        <v>18349</v>
      </c>
      <c r="K2082" s="207"/>
      <c r="L2082" s="66"/>
      <c r="M2082" s="201" t="s">
        <v>12550</v>
      </c>
      <c r="N2082" s="38" t="s">
        <v>19412</v>
      </c>
      <c r="O2082" s="38"/>
    </row>
    <row r="2083" spans="1:26" ht="72" customHeight="1" x14ac:dyDescent="0.3">
      <c r="A2083" s="207">
        <v>2055</v>
      </c>
      <c r="B2083" s="142" t="s">
        <v>14814</v>
      </c>
      <c r="C2083" s="142" t="s">
        <v>14759</v>
      </c>
      <c r="D2083" s="85" t="s">
        <v>17832</v>
      </c>
      <c r="E2083" s="142">
        <v>47.8</v>
      </c>
      <c r="F2083" s="143">
        <v>68249.98</v>
      </c>
      <c r="G2083" s="143">
        <v>36167.08</v>
      </c>
      <c r="H2083" s="207">
        <v>637814.99</v>
      </c>
      <c r="I2083" s="207" t="s">
        <v>12545</v>
      </c>
      <c r="J2083" s="66" t="s">
        <v>18157</v>
      </c>
      <c r="K2083" s="207"/>
      <c r="L2083" s="66"/>
      <c r="M2083" s="201" t="s">
        <v>12550</v>
      </c>
      <c r="N2083" s="38" t="s">
        <v>19412</v>
      </c>
      <c r="O2083" s="38"/>
    </row>
    <row r="2084" spans="1:26" ht="72" customHeight="1" x14ac:dyDescent="0.3">
      <c r="A2084" s="207">
        <v>2056</v>
      </c>
      <c r="B2084" s="142" t="s">
        <v>14815</v>
      </c>
      <c r="C2084" s="142" t="s">
        <v>14759</v>
      </c>
      <c r="D2084" s="85" t="s">
        <v>16168</v>
      </c>
      <c r="E2084" s="142">
        <v>47.8</v>
      </c>
      <c r="F2084" s="143">
        <v>68249.98</v>
      </c>
      <c r="G2084" s="143">
        <v>36167.08</v>
      </c>
      <c r="H2084" s="207">
        <v>637814.99</v>
      </c>
      <c r="I2084" s="207" t="s">
        <v>12545</v>
      </c>
      <c r="J2084" s="66" t="s">
        <v>16419</v>
      </c>
      <c r="K2084" s="207"/>
      <c r="L2084" s="66"/>
      <c r="M2084" s="201" t="s">
        <v>12550</v>
      </c>
      <c r="N2084" s="38" t="s">
        <v>19412</v>
      </c>
      <c r="O2084" s="38"/>
    </row>
    <row r="2085" spans="1:26" ht="72" customHeight="1" x14ac:dyDescent="0.3">
      <c r="A2085" s="207">
        <v>2057</v>
      </c>
      <c r="B2085" s="142" t="s">
        <v>14816</v>
      </c>
      <c r="C2085" s="142" t="s">
        <v>14759</v>
      </c>
      <c r="D2085" s="85" t="s">
        <v>19543</v>
      </c>
      <c r="E2085" s="142">
        <v>263.7</v>
      </c>
      <c r="F2085" s="143">
        <v>493749.98</v>
      </c>
      <c r="G2085" s="143">
        <v>129167.08</v>
      </c>
      <c r="H2085" s="207">
        <v>643211.77</v>
      </c>
      <c r="I2085" s="207" t="s">
        <v>12545</v>
      </c>
      <c r="J2085" s="66" t="s">
        <v>19544</v>
      </c>
      <c r="K2085" s="207"/>
      <c r="L2085" s="66"/>
      <c r="M2085" s="201" t="s">
        <v>12550</v>
      </c>
      <c r="N2085" s="38" t="s">
        <v>19412</v>
      </c>
      <c r="O2085" s="38"/>
    </row>
    <row r="2086" spans="1:26" ht="72" customHeight="1" x14ac:dyDescent="0.3">
      <c r="A2086" s="207">
        <v>2058</v>
      </c>
      <c r="B2086" s="142" t="s">
        <v>14817</v>
      </c>
      <c r="C2086" s="142" t="s">
        <v>14808</v>
      </c>
      <c r="D2086" s="85" t="s">
        <v>19525</v>
      </c>
      <c r="E2086" s="142">
        <v>9.9</v>
      </c>
      <c r="F2086" s="143">
        <v>66818.2</v>
      </c>
      <c r="G2086" s="143">
        <v>65757.2</v>
      </c>
      <c r="H2086" s="25"/>
      <c r="I2086" s="207" t="s">
        <v>12545</v>
      </c>
      <c r="J2086" s="66" t="s">
        <v>19526</v>
      </c>
      <c r="K2086" s="207"/>
      <c r="L2086" s="66"/>
      <c r="M2086" s="201" t="s">
        <v>12550</v>
      </c>
      <c r="N2086" s="38" t="s">
        <v>19412</v>
      </c>
      <c r="O2086" s="38"/>
    </row>
    <row r="2087" spans="1:26" ht="72" customHeight="1" x14ac:dyDescent="0.3">
      <c r="A2087" s="207">
        <v>2059</v>
      </c>
      <c r="B2087" s="142" t="s">
        <v>14818</v>
      </c>
      <c r="C2087" s="142" t="s">
        <v>14809</v>
      </c>
      <c r="D2087" s="85" t="s">
        <v>16110</v>
      </c>
      <c r="E2087" s="139">
        <v>405</v>
      </c>
      <c r="F2087" s="143">
        <v>2221311.6800000002</v>
      </c>
      <c r="G2087" s="143">
        <v>1119685.28</v>
      </c>
      <c r="H2087" s="207">
        <v>3595683.15</v>
      </c>
      <c r="I2087" s="207" t="s">
        <v>12545</v>
      </c>
      <c r="J2087" s="66" t="s">
        <v>16414</v>
      </c>
      <c r="K2087" s="207"/>
      <c r="L2087" s="66"/>
      <c r="M2087" s="201" t="s">
        <v>12550</v>
      </c>
      <c r="N2087" s="38" t="s">
        <v>19412</v>
      </c>
      <c r="O2087" s="38"/>
    </row>
    <row r="2088" spans="1:26" ht="72" customHeight="1" x14ac:dyDescent="0.3">
      <c r="A2088" s="207">
        <v>2060</v>
      </c>
      <c r="B2088" s="47" t="s">
        <v>16247</v>
      </c>
      <c r="C2088" s="47" t="s">
        <v>14733</v>
      </c>
      <c r="D2088" s="85" t="s">
        <v>17839</v>
      </c>
      <c r="E2088" s="207">
        <v>7.8</v>
      </c>
      <c r="F2088" s="42">
        <v>797521.48</v>
      </c>
      <c r="G2088" s="42">
        <v>518816.29</v>
      </c>
      <c r="H2088" s="207">
        <v>17671.759999999998</v>
      </c>
      <c r="I2088" s="207" t="s">
        <v>12545</v>
      </c>
      <c r="J2088" s="66" t="s">
        <v>18358</v>
      </c>
      <c r="K2088" s="207"/>
      <c r="L2088" s="66"/>
      <c r="M2088" s="201" t="s">
        <v>12550</v>
      </c>
      <c r="N2088" s="38" t="s">
        <v>19412</v>
      </c>
      <c r="O2088" s="38"/>
    </row>
    <row r="2089" spans="1:26" ht="72" customHeight="1" x14ac:dyDescent="0.3">
      <c r="A2089" s="207">
        <v>2061</v>
      </c>
      <c r="B2089" s="47" t="s">
        <v>17840</v>
      </c>
      <c r="C2089" s="47" t="s">
        <v>14733</v>
      </c>
      <c r="D2089" s="85" t="s">
        <v>17841</v>
      </c>
      <c r="E2089" s="207">
        <v>10</v>
      </c>
      <c r="F2089" s="42">
        <v>157521</v>
      </c>
      <c r="G2089" s="42"/>
      <c r="H2089" s="25"/>
      <c r="I2089" s="207" t="s">
        <v>12545</v>
      </c>
      <c r="J2089" s="66" t="s">
        <v>18357</v>
      </c>
      <c r="K2089" s="207"/>
      <c r="L2089" s="66"/>
      <c r="M2089" s="201" t="s">
        <v>12550</v>
      </c>
      <c r="N2089" s="242" t="s">
        <v>18900</v>
      </c>
      <c r="O2089" s="38"/>
    </row>
    <row r="2090" spans="1:26" ht="72" customHeight="1" x14ac:dyDescent="0.3">
      <c r="A2090" s="207">
        <v>2062</v>
      </c>
      <c r="B2090" s="47" t="s">
        <v>20430</v>
      </c>
      <c r="C2090" s="47" t="s">
        <v>14837</v>
      </c>
      <c r="D2090" s="85" t="s">
        <v>16389</v>
      </c>
      <c r="E2090" s="207">
        <v>10</v>
      </c>
      <c r="F2090" s="42">
        <v>157521</v>
      </c>
      <c r="G2090" s="42"/>
      <c r="H2090" s="25"/>
      <c r="I2090" s="207" t="s">
        <v>12545</v>
      </c>
      <c r="J2090" s="66" t="s">
        <v>16933</v>
      </c>
      <c r="K2090" s="207"/>
      <c r="L2090" s="66"/>
      <c r="M2090" s="201" t="s">
        <v>12550</v>
      </c>
      <c r="N2090" s="242" t="s">
        <v>18900</v>
      </c>
      <c r="O2090" s="38"/>
      <c r="Q2090" s="161"/>
      <c r="R2090" s="161"/>
      <c r="S2090" s="161"/>
      <c r="T2090" s="161"/>
      <c r="U2090" s="161"/>
      <c r="V2090" s="161"/>
      <c r="W2090" s="161"/>
      <c r="X2090" s="161"/>
      <c r="Y2090" s="161"/>
      <c r="Z2090" s="161"/>
    </row>
    <row r="2091" spans="1:26" s="161" customFormat="1" ht="72" customHeight="1" x14ac:dyDescent="0.3">
      <c r="A2091" s="207">
        <v>2063</v>
      </c>
      <c r="B2091" s="139" t="s">
        <v>14819</v>
      </c>
      <c r="C2091" s="139" t="s">
        <v>14838</v>
      </c>
      <c r="D2091" s="85" t="s">
        <v>16384</v>
      </c>
      <c r="E2091" s="207"/>
      <c r="F2091" s="150">
        <v>28768.3</v>
      </c>
      <c r="G2091" s="150">
        <v>27007.07</v>
      </c>
      <c r="H2091" s="25"/>
      <c r="I2091" s="207" t="s">
        <v>12545</v>
      </c>
      <c r="J2091" s="66" t="s">
        <v>16932</v>
      </c>
      <c r="K2091" s="207"/>
      <c r="L2091" s="66"/>
      <c r="M2091" s="201" t="s">
        <v>12550</v>
      </c>
      <c r="N2091" s="38" t="s">
        <v>19412</v>
      </c>
      <c r="O2091" s="245"/>
      <c r="Q2091" s="67"/>
      <c r="R2091" s="67"/>
      <c r="S2091" s="67"/>
      <c r="T2091" s="67"/>
      <c r="U2091" s="67"/>
      <c r="V2091" s="67"/>
      <c r="W2091" s="67"/>
      <c r="X2091" s="67"/>
      <c r="Y2091" s="67"/>
      <c r="Z2091" s="67"/>
    </row>
    <row r="2092" spans="1:26" ht="72" customHeight="1" x14ac:dyDescent="0.3">
      <c r="A2092" s="207">
        <v>2064</v>
      </c>
      <c r="B2092" s="47" t="s">
        <v>14820</v>
      </c>
      <c r="C2092" s="47" t="s">
        <v>14839</v>
      </c>
      <c r="D2092" s="85" t="s">
        <v>16438</v>
      </c>
      <c r="E2092" s="207">
        <v>15</v>
      </c>
      <c r="F2092" s="143">
        <v>59462.3</v>
      </c>
      <c r="G2092" s="143">
        <v>55821.93</v>
      </c>
      <c r="H2092" s="25"/>
      <c r="I2092" s="207" t="s">
        <v>12545</v>
      </c>
      <c r="J2092" s="66" t="s">
        <v>18355</v>
      </c>
      <c r="K2092" s="207"/>
      <c r="L2092" s="66"/>
      <c r="M2092" s="201" t="s">
        <v>12550</v>
      </c>
      <c r="N2092" s="38" t="s">
        <v>19412</v>
      </c>
      <c r="O2092" s="38"/>
    </row>
    <row r="2093" spans="1:26" ht="72" customHeight="1" x14ac:dyDescent="0.3">
      <c r="A2093" s="207">
        <v>2065</v>
      </c>
      <c r="B2093" s="142" t="s">
        <v>21187</v>
      </c>
      <c r="C2093" s="142" t="s">
        <v>14734</v>
      </c>
      <c r="D2093" s="85" t="s">
        <v>17851</v>
      </c>
      <c r="E2093" s="207"/>
      <c r="F2093" s="143">
        <v>18333.32</v>
      </c>
      <c r="G2093" s="143">
        <v>18333.32</v>
      </c>
      <c r="H2093" s="25"/>
      <c r="I2093" s="207" t="s">
        <v>12545</v>
      </c>
      <c r="J2093" s="66" t="s">
        <v>18574</v>
      </c>
      <c r="K2093" s="207"/>
      <c r="L2093" s="66"/>
      <c r="M2093" s="201" t="s">
        <v>12550</v>
      </c>
      <c r="N2093" s="38" t="s">
        <v>19412</v>
      </c>
      <c r="O2093" s="38"/>
    </row>
    <row r="2094" spans="1:26" ht="72" customHeight="1" x14ac:dyDescent="0.3">
      <c r="A2094" s="207">
        <v>2066</v>
      </c>
      <c r="B2094" s="142" t="s">
        <v>14821</v>
      </c>
      <c r="C2094" s="142" t="s">
        <v>14734</v>
      </c>
      <c r="D2094" s="85" t="s">
        <v>17852</v>
      </c>
      <c r="E2094" s="207"/>
      <c r="F2094" s="143">
        <v>22916.68</v>
      </c>
      <c r="G2094" s="143">
        <v>22916.68</v>
      </c>
      <c r="H2094" s="25"/>
      <c r="I2094" s="207" t="s">
        <v>12545</v>
      </c>
      <c r="J2094" s="66" t="s">
        <v>18362</v>
      </c>
      <c r="K2094" s="207"/>
      <c r="L2094" s="66"/>
      <c r="M2094" s="201" t="s">
        <v>12550</v>
      </c>
      <c r="N2094" s="38" t="s">
        <v>19412</v>
      </c>
      <c r="O2094" s="38"/>
    </row>
    <row r="2095" spans="1:26" ht="72" customHeight="1" x14ac:dyDescent="0.3">
      <c r="A2095" s="207">
        <v>2067</v>
      </c>
      <c r="B2095" s="142" t="s">
        <v>16243</v>
      </c>
      <c r="C2095" s="142" t="s">
        <v>14862</v>
      </c>
      <c r="D2095" s="85" t="s">
        <v>19538</v>
      </c>
      <c r="E2095" s="207">
        <v>15</v>
      </c>
      <c r="F2095" s="143">
        <v>83950.54</v>
      </c>
      <c r="G2095" s="143">
        <v>83950.54</v>
      </c>
      <c r="H2095" s="25"/>
      <c r="I2095" s="207" t="s">
        <v>12545</v>
      </c>
      <c r="J2095" s="66" t="s">
        <v>19539</v>
      </c>
      <c r="K2095" s="207"/>
      <c r="L2095" s="66"/>
      <c r="M2095" s="201" t="s">
        <v>12550</v>
      </c>
      <c r="N2095" s="38" t="s">
        <v>19412</v>
      </c>
      <c r="O2095" s="38"/>
    </row>
    <row r="2096" spans="1:26" ht="72" customHeight="1" x14ac:dyDescent="0.3">
      <c r="A2096" s="207">
        <v>2068</v>
      </c>
      <c r="B2096" s="142" t="s">
        <v>14822</v>
      </c>
      <c r="C2096" s="142" t="s">
        <v>14841</v>
      </c>
      <c r="D2096" s="85" t="s">
        <v>16385</v>
      </c>
      <c r="E2096" s="207"/>
      <c r="F2096" s="143">
        <v>66500.02</v>
      </c>
      <c r="G2096" s="143">
        <v>65916.289999999994</v>
      </c>
      <c r="H2096" s="25"/>
      <c r="I2096" s="207" t="s">
        <v>12545</v>
      </c>
      <c r="J2096" s="66" t="s">
        <v>16946</v>
      </c>
      <c r="K2096" s="207"/>
      <c r="L2096" s="66"/>
      <c r="M2096" s="201" t="s">
        <v>12550</v>
      </c>
      <c r="N2096" s="38" t="s">
        <v>19412</v>
      </c>
      <c r="O2096" s="38"/>
    </row>
    <row r="2097" spans="1:15" ht="72" customHeight="1" x14ac:dyDescent="0.3">
      <c r="A2097" s="207">
        <v>2069</v>
      </c>
      <c r="B2097" s="142" t="s">
        <v>17853</v>
      </c>
      <c r="C2097" s="142" t="s">
        <v>14841</v>
      </c>
      <c r="D2097" s="85" t="s">
        <v>17854</v>
      </c>
      <c r="E2097" s="207"/>
      <c r="F2097" s="143">
        <v>90023.8</v>
      </c>
      <c r="G2097" s="143">
        <v>68906.8</v>
      </c>
      <c r="H2097" s="25"/>
      <c r="I2097" s="207" t="s">
        <v>12545</v>
      </c>
      <c r="J2097" s="66" t="s">
        <v>18365</v>
      </c>
      <c r="K2097" s="207"/>
      <c r="L2097" s="66"/>
      <c r="M2097" s="201" t="s">
        <v>12550</v>
      </c>
      <c r="N2097" s="242" t="s">
        <v>18900</v>
      </c>
      <c r="O2097" s="38"/>
    </row>
    <row r="2098" spans="1:15" ht="72" customHeight="1" x14ac:dyDescent="0.3">
      <c r="A2098" s="207">
        <v>2070</v>
      </c>
      <c r="B2098" s="142" t="s">
        <v>14823</v>
      </c>
      <c r="C2098" s="142" t="s">
        <v>14842</v>
      </c>
      <c r="D2098" s="85" t="s">
        <v>17850</v>
      </c>
      <c r="E2098" s="207"/>
      <c r="F2098" s="143">
        <v>101303.07</v>
      </c>
      <c r="G2098" s="143">
        <v>91371.19</v>
      </c>
      <c r="H2098" s="25"/>
      <c r="I2098" s="207" t="s">
        <v>12545</v>
      </c>
      <c r="J2098" s="66" t="s">
        <v>18356</v>
      </c>
      <c r="K2098" s="207"/>
      <c r="L2098" s="66"/>
      <c r="M2098" s="201" t="s">
        <v>12550</v>
      </c>
      <c r="N2098" s="38" t="s">
        <v>19412</v>
      </c>
      <c r="O2098" s="38"/>
    </row>
    <row r="2099" spans="1:15" ht="72" customHeight="1" x14ac:dyDescent="0.3">
      <c r="A2099" s="207">
        <v>2071</v>
      </c>
      <c r="B2099" s="142" t="s">
        <v>16088</v>
      </c>
      <c r="C2099" s="142" t="s">
        <v>14842</v>
      </c>
      <c r="D2099" s="85" t="s">
        <v>15045</v>
      </c>
      <c r="E2099" s="207">
        <v>15</v>
      </c>
      <c r="F2099" s="143">
        <v>240832.65</v>
      </c>
      <c r="G2099" s="143">
        <v>63302.48</v>
      </c>
      <c r="H2099" s="25"/>
      <c r="I2099" s="207" t="s">
        <v>12545</v>
      </c>
      <c r="J2099" s="66" t="s">
        <v>16430</v>
      </c>
      <c r="K2099" s="207"/>
      <c r="L2099" s="66"/>
      <c r="M2099" s="201" t="s">
        <v>12550</v>
      </c>
      <c r="N2099" s="38" t="s">
        <v>19412</v>
      </c>
      <c r="O2099" s="38"/>
    </row>
    <row r="2100" spans="1:15" ht="72" customHeight="1" x14ac:dyDescent="0.3">
      <c r="A2100" s="207">
        <v>2072</v>
      </c>
      <c r="B2100" s="142" t="s">
        <v>14824</v>
      </c>
      <c r="C2100" s="142" t="s">
        <v>14843</v>
      </c>
      <c r="D2100" s="85" t="s">
        <v>16382</v>
      </c>
      <c r="E2100" s="207">
        <v>18</v>
      </c>
      <c r="F2100" s="228">
        <v>0.01</v>
      </c>
      <c r="G2100" s="228">
        <v>0.01</v>
      </c>
      <c r="H2100" s="25"/>
      <c r="I2100" s="207" t="s">
        <v>12545</v>
      </c>
      <c r="J2100" s="66" t="s">
        <v>16936</v>
      </c>
      <c r="K2100" s="207"/>
      <c r="L2100" s="66"/>
      <c r="M2100" s="201" t="s">
        <v>12550</v>
      </c>
      <c r="N2100" s="38" t="s">
        <v>19412</v>
      </c>
      <c r="O2100" s="38"/>
    </row>
    <row r="2101" spans="1:15" ht="72" customHeight="1" x14ac:dyDescent="0.3">
      <c r="A2101" s="207">
        <v>2073</v>
      </c>
      <c r="B2101" s="142" t="s">
        <v>14825</v>
      </c>
      <c r="C2101" s="142" t="s">
        <v>14844</v>
      </c>
      <c r="D2101" s="85" t="s">
        <v>16439</v>
      </c>
      <c r="E2101" s="207">
        <v>15</v>
      </c>
      <c r="F2101" s="143">
        <v>44798.21</v>
      </c>
      <c r="G2101" s="143">
        <v>44798.21</v>
      </c>
      <c r="H2101" s="25"/>
      <c r="I2101" s="207" t="s">
        <v>12545</v>
      </c>
      <c r="J2101" s="66" t="s">
        <v>18354</v>
      </c>
      <c r="K2101" s="207"/>
      <c r="L2101" s="66"/>
      <c r="M2101" s="201" t="s">
        <v>12550</v>
      </c>
      <c r="N2101" s="38" t="s">
        <v>19412</v>
      </c>
      <c r="O2101" s="38"/>
    </row>
    <row r="2102" spans="1:15" ht="72" customHeight="1" x14ac:dyDescent="0.3">
      <c r="A2102" s="207">
        <v>2074</v>
      </c>
      <c r="B2102" s="142" t="s">
        <v>17856</v>
      </c>
      <c r="C2102" s="142" t="s">
        <v>14845</v>
      </c>
      <c r="D2102" s="85" t="s">
        <v>17855</v>
      </c>
      <c r="E2102" s="207"/>
      <c r="F2102" s="143">
        <v>44757.89</v>
      </c>
      <c r="G2102" s="143">
        <v>44757.89</v>
      </c>
      <c r="H2102" s="25"/>
      <c r="I2102" s="207" t="s">
        <v>12545</v>
      </c>
      <c r="J2102" s="66" t="s">
        <v>18363</v>
      </c>
      <c r="K2102" s="207"/>
      <c r="L2102" s="66"/>
      <c r="M2102" s="201" t="s">
        <v>12550</v>
      </c>
      <c r="N2102" s="38" t="s">
        <v>19412</v>
      </c>
      <c r="O2102" s="38"/>
    </row>
    <row r="2103" spans="1:15" ht="72" customHeight="1" x14ac:dyDescent="0.3">
      <c r="A2103" s="207">
        <v>2075</v>
      </c>
      <c r="B2103" s="142" t="s">
        <v>14826</v>
      </c>
      <c r="C2103" s="142" t="s">
        <v>14846</v>
      </c>
      <c r="D2103" s="85" t="s">
        <v>16383</v>
      </c>
      <c r="E2103" s="207">
        <v>15</v>
      </c>
      <c r="F2103" s="228">
        <v>0.01</v>
      </c>
      <c r="G2103" s="228">
        <v>0.01</v>
      </c>
      <c r="H2103" s="25"/>
      <c r="I2103" s="207" t="s">
        <v>12545</v>
      </c>
      <c r="J2103" s="66" t="s">
        <v>16935</v>
      </c>
      <c r="K2103" s="207"/>
      <c r="L2103" s="66"/>
      <c r="M2103" s="201" t="s">
        <v>12550</v>
      </c>
      <c r="N2103" s="38" t="s">
        <v>19412</v>
      </c>
      <c r="O2103" s="38"/>
    </row>
    <row r="2104" spans="1:15" ht="72" customHeight="1" x14ac:dyDescent="0.3">
      <c r="A2104" s="207">
        <v>2076</v>
      </c>
      <c r="B2104" s="142" t="s">
        <v>14827</v>
      </c>
      <c r="C2104" s="142" t="s">
        <v>14791</v>
      </c>
      <c r="D2104" s="85" t="s">
        <v>17857</v>
      </c>
      <c r="E2104" s="207"/>
      <c r="F2104" s="143">
        <v>18999.98</v>
      </c>
      <c r="G2104" s="143">
        <v>18999.98</v>
      </c>
      <c r="H2104" s="25"/>
      <c r="I2104" s="207" t="s">
        <v>12545</v>
      </c>
      <c r="J2104" s="66" t="s">
        <v>18359</v>
      </c>
      <c r="K2104" s="207"/>
      <c r="L2104" s="66"/>
      <c r="M2104" s="201" t="s">
        <v>12550</v>
      </c>
      <c r="N2104" s="38" t="s">
        <v>19412</v>
      </c>
      <c r="O2104" s="38"/>
    </row>
    <row r="2105" spans="1:15" ht="72" customHeight="1" x14ac:dyDescent="0.3">
      <c r="A2105" s="207">
        <v>2077</v>
      </c>
      <c r="B2105" s="142" t="s">
        <v>16248</v>
      </c>
      <c r="C2105" s="142" t="s">
        <v>14847</v>
      </c>
      <c r="D2105" s="85" t="s">
        <v>17858</v>
      </c>
      <c r="E2105" s="207"/>
      <c r="F2105" s="143">
        <v>18333.32</v>
      </c>
      <c r="G2105" s="143">
        <v>18333.32</v>
      </c>
      <c r="H2105" s="25"/>
      <c r="I2105" s="207" t="s">
        <v>12545</v>
      </c>
      <c r="J2105" s="66" t="s">
        <v>18364</v>
      </c>
      <c r="K2105" s="207"/>
      <c r="L2105" s="66"/>
      <c r="M2105" s="201" t="s">
        <v>12550</v>
      </c>
      <c r="N2105" s="38" t="s">
        <v>19412</v>
      </c>
      <c r="O2105" s="38"/>
    </row>
    <row r="2106" spans="1:15" ht="72" customHeight="1" x14ac:dyDescent="0.3">
      <c r="A2106" s="207">
        <v>2078</v>
      </c>
      <c r="B2106" s="142" t="s">
        <v>16242</v>
      </c>
      <c r="C2106" s="142" t="s">
        <v>14848</v>
      </c>
      <c r="D2106" s="85" t="s">
        <v>19549</v>
      </c>
      <c r="E2106" s="207">
        <v>136.5</v>
      </c>
      <c r="F2106" s="143">
        <v>251468.78</v>
      </c>
      <c r="G2106" s="143">
        <v>115489.88</v>
      </c>
      <c r="H2106" s="25"/>
      <c r="I2106" s="207" t="s">
        <v>12545</v>
      </c>
      <c r="J2106" s="66" t="s">
        <v>19550</v>
      </c>
      <c r="K2106" s="207"/>
      <c r="L2106" s="66"/>
      <c r="M2106" s="201" t="s">
        <v>12550</v>
      </c>
      <c r="N2106" s="38" t="s">
        <v>19412</v>
      </c>
      <c r="O2106" s="38"/>
    </row>
    <row r="2107" spans="1:15" ht="72" customHeight="1" x14ac:dyDescent="0.3">
      <c r="A2107" s="207">
        <v>2079</v>
      </c>
      <c r="B2107" s="142" t="s">
        <v>20726</v>
      </c>
      <c r="C2107" s="142" t="s">
        <v>14849</v>
      </c>
      <c r="D2107" s="85" t="s">
        <v>16390</v>
      </c>
      <c r="E2107" s="207"/>
      <c r="F2107" s="143">
        <v>125762.63</v>
      </c>
      <c r="G2107" s="143">
        <v>122623.8</v>
      </c>
      <c r="H2107" s="25"/>
      <c r="I2107" s="207" t="s">
        <v>12545</v>
      </c>
      <c r="J2107" s="66" t="s">
        <v>16945</v>
      </c>
      <c r="K2107" s="207"/>
      <c r="L2107" s="66"/>
      <c r="M2107" s="201" t="s">
        <v>12550</v>
      </c>
      <c r="N2107" s="38"/>
      <c r="O2107" s="38" t="s">
        <v>20916</v>
      </c>
    </row>
    <row r="2108" spans="1:15" ht="72" customHeight="1" x14ac:dyDescent="0.3">
      <c r="A2108" s="207">
        <v>2080</v>
      </c>
      <c r="B2108" s="142" t="s">
        <v>14828</v>
      </c>
      <c r="C2108" s="142" t="s">
        <v>14760</v>
      </c>
      <c r="D2108" s="85" t="s">
        <v>19586</v>
      </c>
      <c r="E2108" s="207"/>
      <c r="F2108" s="143">
        <v>157521</v>
      </c>
      <c r="G2108" s="143"/>
      <c r="H2108" s="25"/>
      <c r="I2108" s="207" t="s">
        <v>12545</v>
      </c>
      <c r="J2108" s="66" t="s">
        <v>19587</v>
      </c>
      <c r="K2108" s="207"/>
      <c r="L2108" s="66"/>
      <c r="M2108" s="200" t="s">
        <v>12550</v>
      </c>
      <c r="N2108" s="226" t="s">
        <v>20727</v>
      </c>
      <c r="O2108" s="38"/>
    </row>
    <row r="2109" spans="1:15" ht="72" customHeight="1" x14ac:dyDescent="0.3">
      <c r="A2109" s="207">
        <v>2081</v>
      </c>
      <c r="B2109" s="142" t="s">
        <v>20725</v>
      </c>
      <c r="C2109" s="142" t="s">
        <v>14850</v>
      </c>
      <c r="D2109" s="85" t="s">
        <v>19589</v>
      </c>
      <c r="E2109" s="207"/>
      <c r="F2109" s="143">
        <v>157521</v>
      </c>
      <c r="G2109" s="143"/>
      <c r="H2109" s="25"/>
      <c r="I2109" s="207" t="s">
        <v>12545</v>
      </c>
      <c r="J2109" s="66" t="s">
        <v>19588</v>
      </c>
      <c r="K2109" s="207"/>
      <c r="L2109" s="66"/>
      <c r="M2109" s="200" t="s">
        <v>12550</v>
      </c>
      <c r="N2109" s="226" t="s">
        <v>20727</v>
      </c>
      <c r="O2109" s="38"/>
    </row>
    <row r="2110" spans="1:15" ht="72" customHeight="1" x14ac:dyDescent="0.3">
      <c r="A2110" s="94">
        <v>2082</v>
      </c>
      <c r="B2110" s="265" t="s">
        <v>14829</v>
      </c>
      <c r="C2110" s="265" t="s">
        <v>14729</v>
      </c>
      <c r="D2110" s="94"/>
      <c r="E2110" s="207">
        <v>50</v>
      </c>
      <c r="F2110" s="143">
        <v>678588.07</v>
      </c>
      <c r="G2110" s="143">
        <v>331533.12</v>
      </c>
      <c r="H2110" s="207"/>
      <c r="I2110" s="207" t="s">
        <v>12545</v>
      </c>
      <c r="J2110" s="66" t="s">
        <v>12548</v>
      </c>
      <c r="K2110" s="207"/>
      <c r="L2110" s="66"/>
      <c r="M2110" s="201" t="s">
        <v>12550</v>
      </c>
      <c r="N2110" s="38" t="s">
        <v>19412</v>
      </c>
      <c r="O2110" s="41"/>
    </row>
    <row r="2111" spans="1:15" ht="72" customHeight="1" x14ac:dyDescent="0.3">
      <c r="A2111" s="142" t="s">
        <v>16145</v>
      </c>
      <c r="B2111" s="47" t="s">
        <v>16183</v>
      </c>
      <c r="C2111" s="142" t="s">
        <v>14729</v>
      </c>
      <c r="D2111" s="85" t="s">
        <v>16182</v>
      </c>
      <c r="E2111" s="207"/>
      <c r="F2111" s="143">
        <v>1179534</v>
      </c>
      <c r="G2111" s="143"/>
      <c r="H2111" s="25"/>
      <c r="I2111" s="207" t="s">
        <v>12545</v>
      </c>
      <c r="J2111" s="66" t="s">
        <v>16429</v>
      </c>
      <c r="K2111" s="207"/>
      <c r="L2111" s="66"/>
      <c r="M2111" s="200" t="s">
        <v>12550</v>
      </c>
      <c r="N2111" s="38" t="s">
        <v>19412</v>
      </c>
      <c r="O2111" s="38"/>
    </row>
    <row r="2112" spans="1:15" ht="72" customHeight="1" x14ac:dyDescent="0.3">
      <c r="A2112" s="142" t="s">
        <v>16146</v>
      </c>
      <c r="B2112" s="47" t="s">
        <v>16185</v>
      </c>
      <c r="C2112" s="142" t="s">
        <v>14729</v>
      </c>
      <c r="D2112" s="85" t="s">
        <v>16184</v>
      </c>
      <c r="E2112" s="207"/>
      <c r="F2112" s="143">
        <v>1560614</v>
      </c>
      <c r="G2112" s="143"/>
      <c r="H2112" s="25"/>
      <c r="I2112" s="207" t="s">
        <v>12545</v>
      </c>
      <c r="J2112" s="66" t="s">
        <v>16428</v>
      </c>
      <c r="K2112" s="207"/>
      <c r="L2112" s="66"/>
      <c r="M2112" s="200" t="s">
        <v>12550</v>
      </c>
      <c r="N2112" s="38" t="s">
        <v>19412</v>
      </c>
      <c r="O2112" s="38"/>
    </row>
    <row r="2113" spans="1:15" ht="72" customHeight="1" x14ac:dyDescent="0.3">
      <c r="A2113" s="142" t="s">
        <v>16147</v>
      </c>
      <c r="B2113" s="47" t="s">
        <v>14830</v>
      </c>
      <c r="C2113" s="142" t="s">
        <v>14729</v>
      </c>
      <c r="D2113" s="85" t="s">
        <v>19584</v>
      </c>
      <c r="E2113" s="207"/>
      <c r="F2113" s="143"/>
      <c r="G2113" s="143"/>
      <c r="H2113" s="25"/>
      <c r="I2113" s="207" t="s">
        <v>12545</v>
      </c>
      <c r="J2113" s="66" t="s">
        <v>19585</v>
      </c>
      <c r="K2113" s="207"/>
      <c r="L2113" s="66"/>
      <c r="M2113" s="201" t="s">
        <v>12550</v>
      </c>
      <c r="N2113" s="38" t="s">
        <v>19412</v>
      </c>
      <c r="O2113" s="41"/>
    </row>
    <row r="2114" spans="1:15" ht="72" customHeight="1" x14ac:dyDescent="0.3">
      <c r="A2114" s="142">
        <v>2083</v>
      </c>
      <c r="B2114" s="142" t="s">
        <v>17911</v>
      </c>
      <c r="C2114" s="142" t="s">
        <v>14745</v>
      </c>
      <c r="D2114" s="85" t="s">
        <v>14865</v>
      </c>
      <c r="E2114" s="207">
        <v>12</v>
      </c>
      <c r="F2114" s="143">
        <v>123095.52</v>
      </c>
      <c r="G2114" s="143">
        <v>123095.52</v>
      </c>
      <c r="H2114" s="25"/>
      <c r="I2114" s="207" t="s">
        <v>12545</v>
      </c>
      <c r="J2114" s="66" t="s">
        <v>17760</v>
      </c>
      <c r="K2114" s="207"/>
      <c r="L2114" s="66"/>
      <c r="M2114" s="201" t="s">
        <v>12550</v>
      </c>
      <c r="N2114" s="38" t="s">
        <v>19412</v>
      </c>
      <c r="O2114" s="41"/>
    </row>
    <row r="2115" spans="1:15" ht="72" customHeight="1" x14ac:dyDescent="0.3">
      <c r="A2115" s="142">
        <v>2084</v>
      </c>
      <c r="B2115" s="142" t="s">
        <v>14831</v>
      </c>
      <c r="C2115" s="142" t="s">
        <v>14851</v>
      </c>
      <c r="D2115" s="85" t="s">
        <v>16388</v>
      </c>
      <c r="E2115" s="207">
        <v>15</v>
      </c>
      <c r="F2115" s="143">
        <v>73277.03</v>
      </c>
      <c r="G2115" s="143">
        <v>73227.03</v>
      </c>
      <c r="H2115" s="25"/>
      <c r="I2115" s="207" t="s">
        <v>12545</v>
      </c>
      <c r="J2115" s="66" t="s">
        <v>16934</v>
      </c>
      <c r="K2115" s="207"/>
      <c r="L2115" s="66"/>
      <c r="M2115" s="201" t="s">
        <v>12550</v>
      </c>
      <c r="N2115" s="38" t="s">
        <v>19412</v>
      </c>
      <c r="O2115" s="41"/>
    </row>
    <row r="2116" spans="1:15" ht="60" customHeight="1" x14ac:dyDescent="0.3">
      <c r="A2116" s="265">
        <v>2085</v>
      </c>
      <c r="B2116" s="261" t="s">
        <v>14832</v>
      </c>
      <c r="C2116" s="267" t="s">
        <v>14852</v>
      </c>
      <c r="D2116" s="94"/>
      <c r="E2116" s="207"/>
      <c r="F2116" s="73"/>
      <c r="G2116" s="73"/>
      <c r="H2116" s="207"/>
      <c r="I2116" s="207" t="s">
        <v>12545</v>
      </c>
      <c r="J2116" s="66" t="s">
        <v>12548</v>
      </c>
      <c r="K2116" s="243">
        <v>42884</v>
      </c>
      <c r="L2116" s="66" t="s">
        <v>18593</v>
      </c>
      <c r="M2116" s="245" t="s">
        <v>13904</v>
      </c>
      <c r="N2116" s="170"/>
      <c r="O2116" s="38" t="s">
        <v>18878</v>
      </c>
    </row>
    <row r="2117" spans="1:15" ht="72" customHeight="1" x14ac:dyDescent="0.3">
      <c r="A2117" s="142">
        <v>2086</v>
      </c>
      <c r="B2117" s="38" t="s">
        <v>16386</v>
      </c>
      <c r="C2117" s="38" t="s">
        <v>14853</v>
      </c>
      <c r="D2117" s="85" t="s">
        <v>16387</v>
      </c>
      <c r="E2117" s="207">
        <v>10</v>
      </c>
      <c r="F2117" s="43">
        <v>157521</v>
      </c>
      <c r="G2117" s="73"/>
      <c r="H2117" s="25"/>
      <c r="I2117" s="207" t="s">
        <v>12545</v>
      </c>
      <c r="J2117" s="66" t="s">
        <v>16944</v>
      </c>
      <c r="K2117" s="207"/>
      <c r="L2117" s="66"/>
      <c r="M2117" s="201" t="s">
        <v>12550</v>
      </c>
      <c r="N2117" s="242" t="s">
        <v>18900</v>
      </c>
      <c r="O2117" s="41"/>
    </row>
    <row r="2118" spans="1:15" ht="72" customHeight="1" x14ac:dyDescent="0.3">
      <c r="A2118" s="142">
        <v>2087</v>
      </c>
      <c r="B2118" s="142" t="s">
        <v>16186</v>
      </c>
      <c r="C2118" s="142" t="s">
        <v>14734</v>
      </c>
      <c r="D2118" s="85" t="s">
        <v>16104</v>
      </c>
      <c r="E2118" s="207">
        <v>15</v>
      </c>
      <c r="F2118" s="143">
        <v>23750.02</v>
      </c>
      <c r="G2118" s="143">
        <v>23541.29</v>
      </c>
      <c r="H2118" s="207"/>
      <c r="I2118" s="207" t="s">
        <v>12545</v>
      </c>
      <c r="J2118" s="66" t="s">
        <v>16431</v>
      </c>
      <c r="K2118" s="26">
        <v>43269</v>
      </c>
      <c r="L2118" s="66" t="s">
        <v>20556</v>
      </c>
      <c r="M2118" s="201" t="s">
        <v>12550</v>
      </c>
      <c r="N2118" s="242" t="s">
        <v>18900</v>
      </c>
      <c r="O2118" s="41"/>
    </row>
    <row r="2119" spans="1:15" ht="72" customHeight="1" x14ac:dyDescent="0.3">
      <c r="A2119" s="142">
        <v>2088</v>
      </c>
      <c r="B2119" s="142" t="s">
        <v>19611</v>
      </c>
      <c r="C2119" s="142" t="s">
        <v>14854</v>
      </c>
      <c r="D2119" s="85" t="s">
        <v>19606</v>
      </c>
      <c r="E2119" s="207"/>
      <c r="F2119" s="143">
        <v>67500</v>
      </c>
      <c r="G2119" s="143">
        <v>67500</v>
      </c>
      <c r="H2119" s="25"/>
      <c r="I2119" s="207" t="s">
        <v>12545</v>
      </c>
      <c r="J2119" s="66" t="s">
        <v>19607</v>
      </c>
      <c r="K2119" s="207"/>
      <c r="L2119" s="66"/>
      <c r="M2119" s="201" t="s">
        <v>12550</v>
      </c>
      <c r="N2119" s="38" t="s">
        <v>19412</v>
      </c>
      <c r="O2119" s="38"/>
    </row>
    <row r="2120" spans="1:15" ht="72" customHeight="1" x14ac:dyDescent="0.3">
      <c r="A2120" s="142">
        <v>2089</v>
      </c>
      <c r="B2120" s="142" t="s">
        <v>20046</v>
      </c>
      <c r="C2120" s="142" t="s">
        <v>14847</v>
      </c>
      <c r="D2120" s="85" t="s">
        <v>20047</v>
      </c>
      <c r="E2120" s="207"/>
      <c r="F2120" s="171">
        <v>2797109.86</v>
      </c>
      <c r="G2120" s="143">
        <v>2276849.56</v>
      </c>
      <c r="H2120" s="25"/>
      <c r="I2120" s="207" t="s">
        <v>12545</v>
      </c>
      <c r="J2120" s="66" t="s">
        <v>20058</v>
      </c>
      <c r="K2120" s="207"/>
      <c r="L2120" s="66"/>
      <c r="M2120" s="201" t="s">
        <v>12550</v>
      </c>
      <c r="N2120" s="38" t="s">
        <v>19412</v>
      </c>
      <c r="O2120" s="38"/>
    </row>
    <row r="2121" spans="1:15" ht="72" customHeight="1" x14ac:dyDescent="0.3">
      <c r="A2121" s="142">
        <v>2090</v>
      </c>
      <c r="B2121" s="142" t="s">
        <v>19610</v>
      </c>
      <c r="C2121" s="142" t="s">
        <v>14855</v>
      </c>
      <c r="D2121" s="60" t="s">
        <v>19608</v>
      </c>
      <c r="E2121" s="207"/>
      <c r="F2121" s="143">
        <v>13928.58</v>
      </c>
      <c r="G2121" s="143">
        <v>13928.58</v>
      </c>
      <c r="H2121" s="25"/>
      <c r="I2121" s="207" t="s">
        <v>12545</v>
      </c>
      <c r="J2121" s="66" t="s">
        <v>19609</v>
      </c>
      <c r="K2121" s="207"/>
      <c r="L2121" s="66"/>
      <c r="M2121" s="201" t="s">
        <v>12550</v>
      </c>
      <c r="N2121" s="38" t="s">
        <v>19412</v>
      </c>
      <c r="O2121" s="38"/>
    </row>
    <row r="2122" spans="1:15" ht="72" customHeight="1" x14ac:dyDescent="0.3">
      <c r="A2122" s="142">
        <v>2091</v>
      </c>
      <c r="B2122" s="142" t="s">
        <v>20056</v>
      </c>
      <c r="C2122" s="142" t="s">
        <v>14729</v>
      </c>
      <c r="D2122" s="85" t="s">
        <v>20055</v>
      </c>
      <c r="E2122" s="207"/>
      <c r="F2122" s="143">
        <v>133636.34</v>
      </c>
      <c r="G2122" s="143">
        <v>131515.64000000001</v>
      </c>
      <c r="H2122" s="25"/>
      <c r="I2122" s="207" t="s">
        <v>12545</v>
      </c>
      <c r="J2122" s="66" t="s">
        <v>20057</v>
      </c>
      <c r="K2122" s="207"/>
      <c r="L2122" s="66"/>
      <c r="M2122" s="201" t="s">
        <v>12550</v>
      </c>
      <c r="N2122" s="38" t="s">
        <v>19412</v>
      </c>
      <c r="O2122" s="38"/>
    </row>
    <row r="2123" spans="1:15" ht="72" customHeight="1" x14ac:dyDescent="0.3">
      <c r="A2123" s="142">
        <v>2092</v>
      </c>
      <c r="B2123" s="142" t="s">
        <v>19636</v>
      </c>
      <c r="C2123" s="142" t="s">
        <v>14760</v>
      </c>
      <c r="D2123" s="85" t="s">
        <v>19637</v>
      </c>
      <c r="E2123" s="207"/>
      <c r="F2123" s="143">
        <v>106072.98</v>
      </c>
      <c r="G2123" s="143">
        <v>106072.98</v>
      </c>
      <c r="H2123" s="25"/>
      <c r="I2123" s="207" t="s">
        <v>12545</v>
      </c>
      <c r="J2123" s="66" t="s">
        <v>12548</v>
      </c>
      <c r="K2123" s="207"/>
      <c r="L2123" s="66"/>
      <c r="M2123" s="201" t="s">
        <v>12550</v>
      </c>
      <c r="N2123" s="38" t="s">
        <v>19412</v>
      </c>
      <c r="O2123" s="41"/>
    </row>
    <row r="2124" spans="1:15" ht="72" customHeight="1" x14ac:dyDescent="0.3">
      <c r="A2124" s="142">
        <v>2093</v>
      </c>
      <c r="B2124" s="142" t="s">
        <v>19635</v>
      </c>
      <c r="C2124" s="142" t="s">
        <v>14856</v>
      </c>
      <c r="D2124" s="85" t="s">
        <v>19634</v>
      </c>
      <c r="E2124" s="207"/>
      <c r="F2124" s="143">
        <v>19163.46</v>
      </c>
      <c r="G2124" s="143">
        <v>18859.16</v>
      </c>
      <c r="H2124" s="25"/>
      <c r="I2124" s="207" t="s">
        <v>12545</v>
      </c>
      <c r="J2124" s="66" t="s">
        <v>12548</v>
      </c>
      <c r="K2124" s="207"/>
      <c r="L2124" s="66"/>
      <c r="M2124" s="201" t="s">
        <v>12550</v>
      </c>
      <c r="N2124" s="38" t="s">
        <v>19412</v>
      </c>
      <c r="O2124" s="41"/>
    </row>
    <row r="2125" spans="1:15" ht="72" customHeight="1" x14ac:dyDescent="0.3">
      <c r="A2125" s="142">
        <v>2094</v>
      </c>
      <c r="B2125" s="142" t="s">
        <v>19597</v>
      </c>
      <c r="C2125" s="142" t="s">
        <v>14857</v>
      </c>
      <c r="D2125" s="85" t="s">
        <v>19598</v>
      </c>
      <c r="E2125" s="207"/>
      <c r="F2125" s="143">
        <v>480851.16</v>
      </c>
      <c r="G2125" s="143">
        <v>44078.1</v>
      </c>
      <c r="H2125" s="25"/>
      <c r="I2125" s="207" t="s">
        <v>12545</v>
      </c>
      <c r="J2125" s="66" t="s">
        <v>19599</v>
      </c>
      <c r="K2125" s="207"/>
      <c r="L2125" s="66"/>
      <c r="M2125" s="201" t="s">
        <v>12550</v>
      </c>
      <c r="N2125" s="38" t="s">
        <v>19412</v>
      </c>
      <c r="O2125" s="38"/>
    </row>
    <row r="2126" spans="1:15" ht="72" customHeight="1" x14ac:dyDescent="0.3">
      <c r="A2126" s="142">
        <v>2095</v>
      </c>
      <c r="B2126" s="142" t="s">
        <v>19594</v>
      </c>
      <c r="C2126" s="142" t="s">
        <v>14797</v>
      </c>
      <c r="D2126" s="85" t="s">
        <v>19595</v>
      </c>
      <c r="E2126" s="207"/>
      <c r="F2126" s="143">
        <v>75125.98</v>
      </c>
      <c r="G2126" s="143">
        <v>75125.98</v>
      </c>
      <c r="H2126" s="25"/>
      <c r="I2126" s="207" t="s">
        <v>12545</v>
      </c>
      <c r="J2126" s="66" t="s">
        <v>19596</v>
      </c>
      <c r="K2126" s="207"/>
      <c r="L2126" s="66"/>
      <c r="M2126" s="201" t="s">
        <v>12550</v>
      </c>
      <c r="N2126" s="38" t="s">
        <v>19412</v>
      </c>
      <c r="O2126" s="38"/>
    </row>
    <row r="2127" spans="1:15" ht="72" customHeight="1" x14ac:dyDescent="0.3">
      <c r="A2127" s="142">
        <v>2096</v>
      </c>
      <c r="B2127" s="142" t="s">
        <v>19620</v>
      </c>
      <c r="C2127" s="142" t="s">
        <v>14858</v>
      </c>
      <c r="D2127" s="85" t="s">
        <v>19621</v>
      </c>
      <c r="E2127" s="207"/>
      <c r="F2127" s="143">
        <v>13125</v>
      </c>
      <c r="G2127" s="143">
        <v>13125</v>
      </c>
      <c r="H2127" s="25"/>
      <c r="I2127" s="207" t="s">
        <v>12545</v>
      </c>
      <c r="J2127" s="66" t="s">
        <v>19622</v>
      </c>
      <c r="K2127" s="207"/>
      <c r="L2127" s="66"/>
      <c r="M2127" s="201" t="s">
        <v>12550</v>
      </c>
      <c r="N2127" s="38" t="s">
        <v>19412</v>
      </c>
      <c r="O2127" s="38"/>
    </row>
    <row r="2128" spans="1:15" ht="72" customHeight="1" x14ac:dyDescent="0.3">
      <c r="A2128" s="142">
        <v>2097</v>
      </c>
      <c r="B2128" s="142" t="s">
        <v>19633</v>
      </c>
      <c r="C2128" s="142" t="s">
        <v>14859</v>
      </c>
      <c r="D2128" s="85" t="s">
        <v>19632</v>
      </c>
      <c r="E2128" s="207"/>
      <c r="F2128" s="143">
        <v>8750.02</v>
      </c>
      <c r="G2128" s="143">
        <v>8750.02</v>
      </c>
      <c r="H2128" s="25"/>
      <c r="I2128" s="207" t="s">
        <v>12545</v>
      </c>
      <c r="J2128" s="66" t="s">
        <v>12548</v>
      </c>
      <c r="K2128" s="207"/>
      <c r="L2128" s="66"/>
      <c r="M2128" s="201" t="s">
        <v>12550</v>
      </c>
      <c r="N2128" s="38" t="s">
        <v>19412</v>
      </c>
      <c r="O2128" s="38"/>
    </row>
    <row r="2129" spans="1:26" ht="72" customHeight="1" x14ac:dyDescent="0.3">
      <c r="A2129" s="265">
        <v>2098</v>
      </c>
      <c r="B2129" s="265" t="s">
        <v>14833</v>
      </c>
      <c r="C2129" s="265" t="s">
        <v>19072</v>
      </c>
      <c r="D2129" s="94"/>
      <c r="E2129" s="207"/>
      <c r="F2129" s="143">
        <v>11375.02</v>
      </c>
      <c r="G2129" s="143">
        <v>11375.02</v>
      </c>
      <c r="H2129" s="207"/>
      <c r="I2129" s="207" t="s">
        <v>12545</v>
      </c>
      <c r="J2129" s="66" t="s">
        <v>12548</v>
      </c>
      <c r="K2129" s="207"/>
      <c r="L2129" s="66"/>
      <c r="M2129" s="201" t="s">
        <v>12550</v>
      </c>
      <c r="N2129" s="170"/>
      <c r="O2129" s="41"/>
    </row>
    <row r="2130" spans="1:26" ht="72" customHeight="1" x14ac:dyDescent="0.3">
      <c r="A2130" s="142">
        <v>2099</v>
      </c>
      <c r="B2130" s="142" t="s">
        <v>19593</v>
      </c>
      <c r="C2130" s="142" t="s">
        <v>14735</v>
      </c>
      <c r="D2130" s="85" t="s">
        <v>19592</v>
      </c>
      <c r="E2130" s="207"/>
      <c r="F2130" s="143">
        <v>10800</v>
      </c>
      <c r="G2130" s="143">
        <v>10800</v>
      </c>
      <c r="H2130" s="25"/>
      <c r="I2130" s="207" t="s">
        <v>12545</v>
      </c>
      <c r="J2130" s="66" t="s">
        <v>12548</v>
      </c>
      <c r="K2130" s="207"/>
      <c r="L2130" s="66"/>
      <c r="M2130" s="201" t="s">
        <v>12550</v>
      </c>
      <c r="N2130" s="38" t="s">
        <v>19412</v>
      </c>
      <c r="O2130" s="38"/>
    </row>
    <row r="2131" spans="1:26" ht="72" customHeight="1" x14ac:dyDescent="0.3">
      <c r="A2131" s="142">
        <v>2100</v>
      </c>
      <c r="B2131" s="142" t="s">
        <v>19601</v>
      </c>
      <c r="C2131" s="142" t="s">
        <v>14843</v>
      </c>
      <c r="D2131" s="85" t="s">
        <v>19600</v>
      </c>
      <c r="E2131" s="207"/>
      <c r="F2131" s="143">
        <v>10800</v>
      </c>
      <c r="G2131" s="143">
        <v>10800</v>
      </c>
      <c r="H2131" s="25"/>
      <c r="I2131" s="207" t="s">
        <v>12545</v>
      </c>
      <c r="J2131" s="66" t="s">
        <v>19602</v>
      </c>
      <c r="K2131" s="207"/>
      <c r="L2131" s="66"/>
      <c r="M2131" s="201" t="s">
        <v>12550</v>
      </c>
      <c r="N2131" s="38" t="s">
        <v>19412</v>
      </c>
      <c r="O2131" s="38"/>
    </row>
    <row r="2132" spans="1:26" ht="72" customHeight="1" x14ac:dyDescent="0.3">
      <c r="A2132" s="142">
        <v>2101</v>
      </c>
      <c r="B2132" s="142" t="s">
        <v>19603</v>
      </c>
      <c r="C2132" s="142" t="s">
        <v>14860</v>
      </c>
      <c r="D2132" s="85" t="s">
        <v>19604</v>
      </c>
      <c r="E2132" s="207"/>
      <c r="F2132" s="143">
        <v>8999.98</v>
      </c>
      <c r="G2132" s="143">
        <v>8999.98</v>
      </c>
      <c r="H2132" s="25"/>
      <c r="I2132" s="207" t="s">
        <v>12545</v>
      </c>
      <c r="J2132" s="66" t="s">
        <v>19605</v>
      </c>
      <c r="K2132" s="207"/>
      <c r="L2132" s="66"/>
      <c r="M2132" s="201" t="s">
        <v>12550</v>
      </c>
      <c r="N2132" s="38" t="s">
        <v>19412</v>
      </c>
      <c r="O2132" s="38"/>
    </row>
    <row r="2133" spans="1:26" ht="72" customHeight="1" x14ac:dyDescent="0.3">
      <c r="A2133" s="265">
        <v>2102</v>
      </c>
      <c r="B2133" s="265" t="s">
        <v>16246</v>
      </c>
      <c r="C2133" s="265" t="s">
        <v>14861</v>
      </c>
      <c r="D2133" s="94"/>
      <c r="E2133" s="207"/>
      <c r="F2133" s="143">
        <v>8999.98</v>
      </c>
      <c r="G2133" s="143">
        <v>8999.98</v>
      </c>
      <c r="H2133" s="207"/>
      <c r="I2133" s="207" t="s">
        <v>12545</v>
      </c>
      <c r="J2133" s="66" t="s">
        <v>12548</v>
      </c>
      <c r="K2133" s="207"/>
      <c r="L2133" s="66"/>
      <c r="M2133" s="201" t="s">
        <v>12550</v>
      </c>
      <c r="N2133" s="38" t="s">
        <v>19412</v>
      </c>
      <c r="O2133" s="41"/>
    </row>
    <row r="2134" spans="1:26" ht="72" customHeight="1" x14ac:dyDescent="0.3">
      <c r="A2134" s="142">
        <v>2103</v>
      </c>
      <c r="B2134" s="142" t="s">
        <v>23640</v>
      </c>
      <c r="C2134" s="142" t="s">
        <v>14844</v>
      </c>
      <c r="D2134" s="85" t="s">
        <v>23641</v>
      </c>
      <c r="E2134" s="207"/>
      <c r="F2134" s="143">
        <v>8999.98</v>
      </c>
      <c r="G2134" s="143">
        <v>8999.98</v>
      </c>
      <c r="H2134" s="207"/>
      <c r="I2134" s="207" t="s">
        <v>12545</v>
      </c>
      <c r="J2134" s="66" t="s">
        <v>23642</v>
      </c>
      <c r="K2134" s="207"/>
      <c r="L2134" s="66"/>
      <c r="M2134" s="201" t="s">
        <v>12550</v>
      </c>
      <c r="N2134" s="38" t="s">
        <v>19412</v>
      </c>
      <c r="O2134" s="41"/>
    </row>
    <row r="2135" spans="1:26" ht="72" customHeight="1" x14ac:dyDescent="0.3">
      <c r="A2135" s="142">
        <v>2104</v>
      </c>
      <c r="B2135" s="142" t="s">
        <v>23651</v>
      </c>
      <c r="C2135" s="142" t="s">
        <v>14745</v>
      </c>
      <c r="D2135" s="85" t="s">
        <v>23649</v>
      </c>
      <c r="E2135" s="207"/>
      <c r="F2135" s="143">
        <v>45000.02</v>
      </c>
      <c r="G2135" s="143">
        <v>45000.02</v>
      </c>
      <c r="H2135" s="207"/>
      <c r="I2135" s="207" t="s">
        <v>12545</v>
      </c>
      <c r="J2135" s="66" t="s">
        <v>23650</v>
      </c>
      <c r="K2135" s="207"/>
      <c r="L2135" s="66"/>
      <c r="M2135" s="201" t="s">
        <v>12550</v>
      </c>
      <c r="N2135" s="38" t="s">
        <v>19412</v>
      </c>
      <c r="O2135" s="41"/>
    </row>
    <row r="2136" spans="1:26" ht="72" customHeight="1" x14ac:dyDescent="0.3">
      <c r="A2136" s="142">
        <v>2105</v>
      </c>
      <c r="B2136" s="142" t="s">
        <v>14834</v>
      </c>
      <c r="C2136" s="142" t="s">
        <v>14862</v>
      </c>
      <c r="D2136" s="207"/>
      <c r="E2136" s="207"/>
      <c r="F2136" s="143">
        <v>10800</v>
      </c>
      <c r="G2136" s="143">
        <v>10800</v>
      </c>
      <c r="H2136" s="207"/>
      <c r="I2136" s="207" t="s">
        <v>12545</v>
      </c>
      <c r="J2136" s="66" t="s">
        <v>12548</v>
      </c>
      <c r="K2136" s="207"/>
      <c r="L2136" s="66"/>
      <c r="M2136" s="201" t="s">
        <v>12550</v>
      </c>
      <c r="N2136" s="38" t="s">
        <v>19412</v>
      </c>
      <c r="O2136" s="41"/>
    </row>
    <row r="2137" spans="1:26" ht="72" customHeight="1" x14ac:dyDescent="0.3">
      <c r="A2137" s="142">
        <v>2106</v>
      </c>
      <c r="B2137" s="142" t="s">
        <v>23647</v>
      </c>
      <c r="C2137" s="142" t="s">
        <v>14863</v>
      </c>
      <c r="D2137" s="85" t="s">
        <v>23646</v>
      </c>
      <c r="E2137" s="207"/>
      <c r="F2137" s="143">
        <v>97624.02</v>
      </c>
      <c r="G2137" s="143">
        <v>8948.94</v>
      </c>
      <c r="H2137" s="207"/>
      <c r="I2137" s="207" t="s">
        <v>12545</v>
      </c>
      <c r="J2137" s="66" t="s">
        <v>23648</v>
      </c>
      <c r="K2137" s="207"/>
      <c r="L2137" s="66"/>
      <c r="M2137" s="201" t="s">
        <v>12550</v>
      </c>
      <c r="N2137" s="38" t="s">
        <v>19412</v>
      </c>
      <c r="O2137" s="41"/>
    </row>
    <row r="2138" spans="1:26" ht="72" customHeight="1" x14ac:dyDescent="0.3">
      <c r="A2138" s="142">
        <v>2107</v>
      </c>
      <c r="B2138" s="142" t="s">
        <v>23643</v>
      </c>
      <c r="C2138" s="142" t="s">
        <v>14734</v>
      </c>
      <c r="D2138" s="85" t="s">
        <v>23644</v>
      </c>
      <c r="E2138" s="207"/>
      <c r="F2138" s="143">
        <v>31764.719999999998</v>
      </c>
      <c r="G2138" s="143">
        <v>31764.719999999998</v>
      </c>
      <c r="H2138" s="207"/>
      <c r="I2138" s="207" t="s">
        <v>12545</v>
      </c>
      <c r="J2138" s="66" t="s">
        <v>23645</v>
      </c>
      <c r="K2138" s="207"/>
      <c r="L2138" s="66"/>
      <c r="M2138" s="201" t="s">
        <v>12550</v>
      </c>
      <c r="N2138" s="38" t="s">
        <v>19412</v>
      </c>
      <c r="O2138" s="41"/>
    </row>
    <row r="2139" spans="1:26" ht="72" customHeight="1" x14ac:dyDescent="0.3">
      <c r="A2139" s="142">
        <v>2108</v>
      </c>
      <c r="B2139" s="142" t="s">
        <v>14835</v>
      </c>
      <c r="C2139" s="142" t="s">
        <v>14840</v>
      </c>
      <c r="D2139" s="207"/>
      <c r="E2139" s="207"/>
      <c r="F2139" s="143">
        <v>12176.475999999999</v>
      </c>
      <c r="G2139" s="143">
        <v>12176.475999999999</v>
      </c>
      <c r="H2139" s="207"/>
      <c r="I2139" s="207" t="s">
        <v>12545</v>
      </c>
      <c r="J2139" s="66" t="s">
        <v>12548</v>
      </c>
      <c r="K2139" s="242" t="s">
        <v>20444</v>
      </c>
      <c r="L2139" s="66" t="s">
        <v>20445</v>
      </c>
      <c r="M2139" s="201" t="s">
        <v>12550</v>
      </c>
      <c r="N2139" s="38" t="s">
        <v>19412</v>
      </c>
      <c r="O2139" s="38" t="s">
        <v>20450</v>
      </c>
    </row>
    <row r="2140" spans="1:26" s="161" customFormat="1" ht="72" customHeight="1" x14ac:dyDescent="0.3">
      <c r="A2140" s="139">
        <v>2109</v>
      </c>
      <c r="B2140" s="139" t="s">
        <v>14836</v>
      </c>
      <c r="C2140" s="139" t="s">
        <v>14864</v>
      </c>
      <c r="D2140" s="207"/>
      <c r="E2140" s="207"/>
      <c r="F2140" s="150">
        <v>1058.8239999999998</v>
      </c>
      <c r="G2140" s="150">
        <v>1058.8239999999998</v>
      </c>
      <c r="H2140" s="207"/>
      <c r="I2140" s="207" t="s">
        <v>12545</v>
      </c>
      <c r="J2140" s="66" t="s">
        <v>12548</v>
      </c>
      <c r="K2140" s="242" t="s">
        <v>20444</v>
      </c>
      <c r="L2140" s="66" t="s">
        <v>20445</v>
      </c>
      <c r="M2140" s="201" t="s">
        <v>12550</v>
      </c>
      <c r="N2140" s="245" t="s">
        <v>19412</v>
      </c>
      <c r="O2140" s="38" t="s">
        <v>20450</v>
      </c>
    </row>
    <row r="2141" spans="1:26" s="148" customFormat="1" ht="120" customHeight="1" x14ac:dyDescent="0.3">
      <c r="A2141" s="139">
        <v>2110</v>
      </c>
      <c r="B2141" s="242" t="s">
        <v>14867</v>
      </c>
      <c r="C2141" s="245" t="s">
        <v>19049</v>
      </c>
      <c r="D2141" s="207"/>
      <c r="E2141" s="2">
        <v>66.900000000000006</v>
      </c>
      <c r="F2141" s="244">
        <v>684762.12</v>
      </c>
      <c r="G2141" s="25">
        <v>376418.78</v>
      </c>
      <c r="H2141" s="207"/>
      <c r="I2141" s="207" t="s">
        <v>12545</v>
      </c>
      <c r="J2141" s="66" t="s">
        <v>12548</v>
      </c>
      <c r="K2141" s="207"/>
      <c r="L2141" s="66"/>
      <c r="M2141" s="242" t="s">
        <v>13904</v>
      </c>
      <c r="N2141" s="242" t="s">
        <v>19050</v>
      </c>
      <c r="O2141" s="65" t="s">
        <v>21350</v>
      </c>
      <c r="P2141" s="161"/>
      <c r="Q2141" s="67"/>
      <c r="R2141" s="67"/>
      <c r="S2141" s="67"/>
      <c r="T2141" s="67"/>
      <c r="U2141" s="67"/>
      <c r="V2141" s="67"/>
      <c r="W2141" s="67"/>
      <c r="X2141" s="67"/>
      <c r="Y2141" s="67"/>
      <c r="Z2141" s="67"/>
    </row>
    <row r="2142" spans="1:26" ht="144" customHeight="1" x14ac:dyDescent="0.3">
      <c r="A2142" s="142">
        <v>2111</v>
      </c>
      <c r="B2142" s="246" t="s">
        <v>18810</v>
      </c>
      <c r="C2142" s="246" t="s">
        <v>14889</v>
      </c>
      <c r="D2142" s="85" t="s">
        <v>18811</v>
      </c>
      <c r="E2142" s="246">
        <v>32.9</v>
      </c>
      <c r="F2142" s="22">
        <v>325718</v>
      </c>
      <c r="G2142" s="25">
        <v>179049.82</v>
      </c>
      <c r="H2142" s="25">
        <v>821400.15</v>
      </c>
      <c r="I2142" s="207" t="s">
        <v>12545</v>
      </c>
      <c r="J2142" s="66" t="s">
        <v>18812</v>
      </c>
      <c r="K2142" s="207"/>
      <c r="L2142" s="66"/>
      <c r="M2142" s="242" t="s">
        <v>13904</v>
      </c>
      <c r="N2142" s="242" t="s">
        <v>22559</v>
      </c>
      <c r="O2142" s="38" t="s">
        <v>20224</v>
      </c>
    </row>
    <row r="2143" spans="1:26" ht="144" customHeight="1" x14ac:dyDescent="0.3">
      <c r="A2143" s="142">
        <v>2112</v>
      </c>
      <c r="B2143" s="246" t="s">
        <v>14868</v>
      </c>
      <c r="C2143" s="246" t="s">
        <v>14890</v>
      </c>
      <c r="D2143" s="85" t="s">
        <v>18577</v>
      </c>
      <c r="E2143" s="246">
        <v>127.4</v>
      </c>
      <c r="F2143" s="22">
        <v>54809</v>
      </c>
      <c r="G2143" s="25">
        <v>35898.29</v>
      </c>
      <c r="H2143" s="25"/>
      <c r="I2143" s="207" t="s">
        <v>12545</v>
      </c>
      <c r="J2143" s="66" t="s">
        <v>18578</v>
      </c>
      <c r="K2143" s="207"/>
      <c r="L2143" s="66"/>
      <c r="M2143" s="242" t="s">
        <v>13904</v>
      </c>
      <c r="N2143" s="242" t="s">
        <v>19042</v>
      </c>
      <c r="O2143" s="41"/>
    </row>
    <row r="2144" spans="1:26" ht="144" customHeight="1" x14ac:dyDescent="0.3">
      <c r="A2144" s="142">
        <v>2113</v>
      </c>
      <c r="B2144" s="246" t="s">
        <v>18659</v>
      </c>
      <c r="C2144" s="246" t="s">
        <v>18658</v>
      </c>
      <c r="D2144" s="85" t="s">
        <v>18657</v>
      </c>
      <c r="E2144" s="246">
        <v>379.9</v>
      </c>
      <c r="F2144" s="22">
        <v>6454902</v>
      </c>
      <c r="G2144" s="25">
        <v>3548308.66</v>
      </c>
      <c r="H2144" s="25">
        <v>9484799.9399999995</v>
      </c>
      <c r="I2144" s="207" t="s">
        <v>12545</v>
      </c>
      <c r="J2144" s="66" t="s">
        <v>18660</v>
      </c>
      <c r="K2144" s="207"/>
      <c r="L2144" s="66"/>
      <c r="M2144" s="242" t="s">
        <v>13904</v>
      </c>
      <c r="N2144" s="242" t="s">
        <v>22560</v>
      </c>
      <c r="O2144" s="38" t="s">
        <v>20224</v>
      </c>
    </row>
    <row r="2145" spans="1:26" ht="144" customHeight="1" x14ac:dyDescent="0.3">
      <c r="A2145" s="142">
        <v>2114</v>
      </c>
      <c r="B2145" s="246" t="s">
        <v>18652</v>
      </c>
      <c r="C2145" s="246" t="s">
        <v>14891</v>
      </c>
      <c r="D2145" s="85" t="s">
        <v>18653</v>
      </c>
      <c r="E2145" s="166">
        <v>837</v>
      </c>
      <c r="F2145" s="22">
        <v>2622610.4</v>
      </c>
      <c r="G2145" s="25">
        <v>1960713.67</v>
      </c>
      <c r="H2145" s="25">
        <v>6623766.9000000004</v>
      </c>
      <c r="I2145" s="207" t="s">
        <v>12545</v>
      </c>
      <c r="J2145" s="66" t="s">
        <v>18654</v>
      </c>
      <c r="K2145" s="207"/>
      <c r="L2145" s="66"/>
      <c r="M2145" s="242" t="s">
        <v>13904</v>
      </c>
      <c r="N2145" s="242" t="s">
        <v>19041</v>
      </c>
      <c r="O2145" s="41"/>
    </row>
    <row r="2146" spans="1:26" ht="144" customHeight="1" x14ac:dyDescent="0.3">
      <c r="A2146" s="142">
        <v>2115</v>
      </c>
      <c r="B2146" s="246" t="s">
        <v>14869</v>
      </c>
      <c r="C2146" s="246" t="s">
        <v>14892</v>
      </c>
      <c r="D2146" s="85" t="s">
        <v>18651</v>
      </c>
      <c r="E2146" s="246">
        <v>1735.2</v>
      </c>
      <c r="F2146" s="22">
        <v>314691.76</v>
      </c>
      <c r="G2146" s="25">
        <v>314691.76</v>
      </c>
      <c r="H2146" s="25">
        <v>560280.16</v>
      </c>
      <c r="I2146" s="207" t="s">
        <v>12545</v>
      </c>
      <c r="J2146" s="66" t="s">
        <v>18650</v>
      </c>
      <c r="K2146" s="207"/>
      <c r="L2146" s="66"/>
      <c r="M2146" s="242" t="s">
        <v>13904</v>
      </c>
      <c r="N2146" s="242" t="s">
        <v>19040</v>
      </c>
      <c r="O2146" s="41"/>
    </row>
    <row r="2147" spans="1:26" ht="144" customHeight="1" x14ac:dyDescent="0.3">
      <c r="A2147" s="142">
        <v>2116</v>
      </c>
      <c r="B2147" s="246" t="s">
        <v>14870</v>
      </c>
      <c r="C2147" s="74" t="s">
        <v>14766</v>
      </c>
      <c r="D2147" s="85" t="s">
        <v>18575</v>
      </c>
      <c r="E2147" s="74">
        <v>171.9</v>
      </c>
      <c r="F2147" s="22">
        <v>5000</v>
      </c>
      <c r="G2147" s="25">
        <v>5000</v>
      </c>
      <c r="H2147" s="25"/>
      <c r="I2147" s="207" t="s">
        <v>12545</v>
      </c>
      <c r="J2147" s="66" t="s">
        <v>18576</v>
      </c>
      <c r="K2147" s="207"/>
      <c r="L2147" s="66"/>
      <c r="M2147" s="242" t="s">
        <v>13904</v>
      </c>
      <c r="N2147" s="242" t="s">
        <v>19038</v>
      </c>
      <c r="O2147" s="41"/>
    </row>
    <row r="2148" spans="1:26" ht="144" customHeight="1" x14ac:dyDescent="0.3">
      <c r="A2148" s="142">
        <v>2117</v>
      </c>
      <c r="B2148" s="246" t="s">
        <v>18668</v>
      </c>
      <c r="C2148" s="74" t="s">
        <v>18669</v>
      </c>
      <c r="D2148" s="85" t="s">
        <v>18670</v>
      </c>
      <c r="E2148" s="74">
        <v>171.9</v>
      </c>
      <c r="F2148" s="22">
        <v>5000</v>
      </c>
      <c r="G2148" s="25">
        <v>5000</v>
      </c>
      <c r="H2148" s="25">
        <v>303623.40000000002</v>
      </c>
      <c r="I2148" s="207" t="s">
        <v>12545</v>
      </c>
      <c r="J2148" s="66" t="s">
        <v>18664</v>
      </c>
      <c r="K2148" s="207"/>
      <c r="L2148" s="66"/>
      <c r="M2148" s="242" t="s">
        <v>13904</v>
      </c>
      <c r="N2148" s="242" t="s">
        <v>19039</v>
      </c>
      <c r="O2148" s="41"/>
    </row>
    <row r="2149" spans="1:26" ht="144" customHeight="1" x14ac:dyDescent="0.3">
      <c r="A2149" s="142">
        <v>2118</v>
      </c>
      <c r="B2149" s="246" t="s">
        <v>18661</v>
      </c>
      <c r="C2149" s="74" t="s">
        <v>18662</v>
      </c>
      <c r="D2149" s="85" t="s">
        <v>18667</v>
      </c>
      <c r="E2149" s="74">
        <v>1709.8</v>
      </c>
      <c r="F2149" s="22">
        <v>317000</v>
      </c>
      <c r="G2149" s="25">
        <v>98622.39</v>
      </c>
      <c r="H2149" s="25">
        <v>2641.92</v>
      </c>
      <c r="I2149" s="207" t="s">
        <v>12545</v>
      </c>
      <c r="J2149" s="66" t="s">
        <v>18663</v>
      </c>
      <c r="K2149" s="207"/>
      <c r="L2149" s="66"/>
      <c r="M2149" s="242" t="s">
        <v>13904</v>
      </c>
      <c r="N2149" s="242" t="s">
        <v>19037</v>
      </c>
      <c r="O2149" s="41"/>
    </row>
    <row r="2150" spans="1:26" ht="84" customHeight="1" x14ac:dyDescent="0.3">
      <c r="A2150" s="142">
        <v>2119</v>
      </c>
      <c r="B2150" s="95" t="s">
        <v>18666</v>
      </c>
      <c r="C2150" s="95" t="s">
        <v>14893</v>
      </c>
      <c r="D2150" s="85" t="s">
        <v>14871</v>
      </c>
      <c r="E2150" s="6">
        <v>199.2</v>
      </c>
      <c r="F2150" s="96">
        <v>1932793.46</v>
      </c>
      <c r="G2150" s="25">
        <v>1932793.46</v>
      </c>
      <c r="H2150" s="25">
        <v>2233284.3199999998</v>
      </c>
      <c r="I2150" s="207" t="s">
        <v>12545</v>
      </c>
      <c r="J2150" s="66" t="s">
        <v>18649</v>
      </c>
      <c r="K2150" s="207"/>
      <c r="L2150" s="66"/>
      <c r="M2150" s="242" t="s">
        <v>13904</v>
      </c>
      <c r="N2150" s="38" t="s">
        <v>19238</v>
      </c>
      <c r="O2150" s="41"/>
    </row>
    <row r="2151" spans="1:26" ht="84" customHeight="1" x14ac:dyDescent="0.3">
      <c r="A2151" s="142">
        <v>2120</v>
      </c>
      <c r="B2151" s="95" t="s">
        <v>18665</v>
      </c>
      <c r="C2151" s="95" t="s">
        <v>14894</v>
      </c>
      <c r="D2151" s="85" t="s">
        <v>18647</v>
      </c>
      <c r="E2151" s="6">
        <v>187.7</v>
      </c>
      <c r="F2151" s="96">
        <v>322125.65999999997</v>
      </c>
      <c r="G2151" s="25">
        <v>269173.96999999997</v>
      </c>
      <c r="H2151" s="25">
        <v>6567430.7999999998</v>
      </c>
      <c r="I2151" s="207" t="s">
        <v>12545</v>
      </c>
      <c r="J2151" s="66" t="s">
        <v>18648</v>
      </c>
      <c r="K2151" s="207"/>
      <c r="L2151" s="66"/>
      <c r="M2151" s="242" t="s">
        <v>13904</v>
      </c>
      <c r="N2151" s="38" t="s">
        <v>19238</v>
      </c>
      <c r="O2151" s="41"/>
    </row>
    <row r="2152" spans="1:26" ht="72" customHeight="1" x14ac:dyDescent="0.3">
      <c r="A2152" s="142">
        <v>2121</v>
      </c>
      <c r="B2152" s="95" t="s">
        <v>14874</v>
      </c>
      <c r="C2152" s="95" t="s">
        <v>14895</v>
      </c>
      <c r="D2152" s="86" t="s">
        <v>18180</v>
      </c>
      <c r="E2152" s="6">
        <v>123.2</v>
      </c>
      <c r="F2152" s="96">
        <v>1169869.92</v>
      </c>
      <c r="G2152" s="207"/>
      <c r="H2152" s="207">
        <v>300506.98</v>
      </c>
      <c r="I2152" s="207" t="s">
        <v>12545</v>
      </c>
      <c r="J2152" s="66" t="s">
        <v>18181</v>
      </c>
      <c r="K2152" s="207"/>
      <c r="L2152" s="66"/>
      <c r="M2152" s="201" t="s">
        <v>12550</v>
      </c>
      <c r="N2152" s="245"/>
      <c r="O2152" s="41"/>
      <c r="Q2152" s="4"/>
      <c r="R2152" s="4"/>
      <c r="S2152" s="4"/>
      <c r="T2152" s="4"/>
      <c r="U2152" s="4"/>
      <c r="V2152" s="4"/>
      <c r="W2152" s="4"/>
      <c r="X2152" s="4"/>
      <c r="Y2152" s="4"/>
      <c r="Z2152" s="4"/>
    </row>
    <row r="2153" spans="1:26" s="4" customFormat="1" ht="156" customHeight="1" x14ac:dyDescent="0.3">
      <c r="A2153" s="142">
        <v>2122</v>
      </c>
      <c r="B2153" s="95" t="s">
        <v>18813</v>
      </c>
      <c r="C2153" s="95" t="s">
        <v>14896</v>
      </c>
      <c r="D2153" s="85" t="s">
        <v>18814</v>
      </c>
      <c r="E2153" s="6">
        <v>498.8</v>
      </c>
      <c r="F2153" s="96">
        <v>3156884.24</v>
      </c>
      <c r="G2153" s="25">
        <v>1615945.83</v>
      </c>
      <c r="H2153" s="25">
        <v>1216662.98</v>
      </c>
      <c r="I2153" s="207" t="s">
        <v>12545</v>
      </c>
      <c r="J2153" s="66" t="s">
        <v>18815</v>
      </c>
      <c r="K2153" s="207"/>
      <c r="L2153" s="66"/>
      <c r="M2153" s="242" t="s">
        <v>13904</v>
      </c>
      <c r="N2153" s="245" t="s">
        <v>19239</v>
      </c>
      <c r="O2153" s="38"/>
      <c r="Q2153" s="67"/>
      <c r="R2153" s="67"/>
      <c r="S2153" s="67"/>
      <c r="T2153" s="67"/>
      <c r="U2153" s="67"/>
      <c r="V2153" s="67"/>
      <c r="W2153" s="67"/>
      <c r="X2153" s="67"/>
      <c r="Y2153" s="67"/>
      <c r="Z2153" s="67"/>
    </row>
    <row r="2154" spans="1:26" ht="180" customHeight="1" x14ac:dyDescent="0.3">
      <c r="A2154" s="142">
        <v>2123</v>
      </c>
      <c r="B2154" s="95" t="s">
        <v>14876</v>
      </c>
      <c r="C2154" s="95" t="s">
        <v>14897</v>
      </c>
      <c r="D2154" s="85" t="s">
        <v>14875</v>
      </c>
      <c r="E2154" s="6">
        <v>329.5</v>
      </c>
      <c r="F2154" s="96">
        <v>736814.04</v>
      </c>
      <c r="G2154" s="207"/>
      <c r="H2154" s="207">
        <v>4017428.75</v>
      </c>
      <c r="I2154" s="207" t="s">
        <v>12545</v>
      </c>
      <c r="J2154" s="66" t="s">
        <v>12548</v>
      </c>
      <c r="K2154" s="207"/>
      <c r="L2154" s="66"/>
      <c r="M2154" s="242" t="s">
        <v>13904</v>
      </c>
      <c r="N2154" s="245" t="s">
        <v>18230</v>
      </c>
      <c r="O2154" s="41"/>
    </row>
    <row r="2155" spans="1:26" ht="276" customHeight="1" x14ac:dyDescent="0.3">
      <c r="A2155" s="139">
        <v>2124</v>
      </c>
      <c r="B2155" s="95" t="s">
        <v>20223</v>
      </c>
      <c r="C2155" s="245" t="s">
        <v>14898</v>
      </c>
      <c r="D2155" s="282" t="s">
        <v>18178</v>
      </c>
      <c r="E2155" s="246">
        <v>1866.8</v>
      </c>
      <c r="F2155" s="96">
        <v>19070009.640000001</v>
      </c>
      <c r="G2155" s="207"/>
      <c r="H2155" s="25"/>
      <c r="I2155" s="207" t="s">
        <v>12545</v>
      </c>
      <c r="J2155" s="66" t="s">
        <v>18179</v>
      </c>
      <c r="K2155" s="207"/>
      <c r="L2155" s="66"/>
      <c r="M2155" s="242" t="s">
        <v>14091</v>
      </c>
      <c r="N2155" s="245" t="s">
        <v>21863</v>
      </c>
      <c r="O2155" s="38" t="s">
        <v>20224</v>
      </c>
    </row>
    <row r="2156" spans="1:26" ht="72" customHeight="1" x14ac:dyDescent="0.3">
      <c r="A2156" s="142">
        <v>2125</v>
      </c>
      <c r="B2156" s="95" t="s">
        <v>16656</v>
      </c>
      <c r="C2156" s="95" t="s">
        <v>14899</v>
      </c>
      <c r="D2156" s="85" t="s">
        <v>16657</v>
      </c>
      <c r="E2156" s="6">
        <v>118.7</v>
      </c>
      <c r="F2156" s="96">
        <v>1004293.82</v>
      </c>
      <c r="G2156" s="207"/>
      <c r="H2156" s="25"/>
      <c r="I2156" s="207" t="s">
        <v>12545</v>
      </c>
      <c r="J2156" s="66" t="s">
        <v>16658</v>
      </c>
      <c r="K2156" s="207"/>
      <c r="L2156" s="66"/>
      <c r="M2156" s="201" t="s">
        <v>12550</v>
      </c>
      <c r="N2156" s="245"/>
      <c r="O2156" s="41"/>
    </row>
    <row r="2157" spans="1:26" ht="84" customHeight="1" x14ac:dyDescent="0.3">
      <c r="A2157" s="142">
        <v>2126</v>
      </c>
      <c r="B2157" s="95" t="s">
        <v>14872</v>
      </c>
      <c r="C2157" s="95" t="s">
        <v>14900</v>
      </c>
      <c r="D2157" s="85" t="s">
        <v>18655</v>
      </c>
      <c r="E2157" s="6">
        <v>275.2</v>
      </c>
      <c r="F2157" s="96">
        <v>990661.58</v>
      </c>
      <c r="G2157" s="25">
        <v>990661.58</v>
      </c>
      <c r="H2157" s="25">
        <v>4104737.34</v>
      </c>
      <c r="I2157" s="207" t="s">
        <v>12545</v>
      </c>
      <c r="J2157" s="66" t="s">
        <v>18656</v>
      </c>
      <c r="K2157" s="207"/>
      <c r="L2157" s="66"/>
      <c r="M2157" s="242" t="s">
        <v>13904</v>
      </c>
      <c r="N2157" s="38" t="s">
        <v>19238</v>
      </c>
      <c r="O2157" s="41"/>
    </row>
    <row r="2158" spans="1:26" ht="84" customHeight="1" x14ac:dyDescent="0.3">
      <c r="A2158" s="142">
        <v>2127</v>
      </c>
      <c r="B2158" s="95" t="s">
        <v>14873</v>
      </c>
      <c r="C2158" s="95" t="s">
        <v>14901</v>
      </c>
      <c r="D2158" s="85" t="s">
        <v>18798</v>
      </c>
      <c r="E2158" s="6">
        <v>200.5</v>
      </c>
      <c r="F2158" s="96">
        <v>621684.18000000005</v>
      </c>
      <c r="G2158" s="25">
        <v>621684.18000000005</v>
      </c>
      <c r="H2158" s="25">
        <v>5881663.4900000002</v>
      </c>
      <c r="I2158" s="207" t="s">
        <v>12545</v>
      </c>
      <c r="J2158" s="66" t="s">
        <v>18799</v>
      </c>
      <c r="K2158" s="207"/>
      <c r="L2158" s="66"/>
      <c r="M2158" s="242" t="s">
        <v>13904</v>
      </c>
      <c r="N2158" s="38" t="s">
        <v>19238</v>
      </c>
      <c r="O2158" s="41"/>
    </row>
    <row r="2159" spans="1:26" ht="120" customHeight="1" x14ac:dyDescent="0.3">
      <c r="A2159" s="139">
        <v>2128</v>
      </c>
      <c r="B2159" s="242" t="s">
        <v>19382</v>
      </c>
      <c r="C2159" s="245" t="s">
        <v>14877</v>
      </c>
      <c r="D2159" s="85" t="s">
        <v>21289</v>
      </c>
      <c r="E2159" s="91">
        <v>49.3</v>
      </c>
      <c r="F2159" s="92">
        <v>213063</v>
      </c>
      <c r="G2159" s="92">
        <v>213063</v>
      </c>
      <c r="H2159" s="25">
        <v>217661.35</v>
      </c>
      <c r="I2159" s="207" t="s">
        <v>12545</v>
      </c>
      <c r="J2159" s="66" t="s">
        <v>22110</v>
      </c>
      <c r="K2159" s="207"/>
      <c r="L2159" s="66"/>
      <c r="M2159" s="201" t="s">
        <v>12550</v>
      </c>
      <c r="N2159" s="245" t="s">
        <v>23838</v>
      </c>
      <c r="O2159" s="38"/>
    </row>
    <row r="2160" spans="1:26" ht="108" customHeight="1" x14ac:dyDescent="0.3">
      <c r="A2160" s="265">
        <v>2129</v>
      </c>
      <c r="B2160" s="262" t="s">
        <v>12482</v>
      </c>
      <c r="C2160" s="262" t="s">
        <v>14979</v>
      </c>
      <c r="D2160" s="264"/>
      <c r="E2160" s="30">
        <v>57.5</v>
      </c>
      <c r="F2160" s="45"/>
      <c r="G2160" s="51"/>
      <c r="H2160" s="207"/>
      <c r="I2160" s="207" t="s">
        <v>12545</v>
      </c>
      <c r="J2160" s="66" t="s">
        <v>12548</v>
      </c>
      <c r="K2160" s="207"/>
      <c r="L2160" s="66"/>
      <c r="M2160" s="201" t="s">
        <v>12550</v>
      </c>
      <c r="N2160" s="207"/>
      <c r="O2160" s="38" t="s">
        <v>20468</v>
      </c>
    </row>
    <row r="2161" spans="1:26" ht="72" customHeight="1" x14ac:dyDescent="0.3">
      <c r="A2161" s="142">
        <v>2130</v>
      </c>
      <c r="B2161" s="93" t="s">
        <v>14881</v>
      </c>
      <c r="C2161" s="245" t="s">
        <v>18455</v>
      </c>
      <c r="D2161" s="207"/>
      <c r="E2161" s="207">
        <v>339.4</v>
      </c>
      <c r="F2161" s="207"/>
      <c r="G2161" s="207"/>
      <c r="H2161" s="207"/>
      <c r="I2161" s="207" t="s">
        <v>12545</v>
      </c>
      <c r="J2161" s="66" t="s">
        <v>12548</v>
      </c>
      <c r="K2161" s="207"/>
      <c r="L2161" s="66"/>
      <c r="M2161" s="201" t="s">
        <v>12550</v>
      </c>
      <c r="N2161" s="245"/>
      <c r="O2161" s="38" t="s">
        <v>23156</v>
      </c>
    </row>
    <row r="2162" spans="1:26" ht="72" customHeight="1" x14ac:dyDescent="0.3">
      <c r="A2162" s="142">
        <v>2131</v>
      </c>
      <c r="B2162" s="93" t="s">
        <v>14882</v>
      </c>
      <c r="C2162" s="245" t="s">
        <v>14878</v>
      </c>
      <c r="D2162" s="207"/>
      <c r="E2162" s="91">
        <v>20</v>
      </c>
      <c r="F2162" s="207"/>
      <c r="G2162" s="207"/>
      <c r="H2162" s="207"/>
      <c r="I2162" s="207" t="s">
        <v>12545</v>
      </c>
      <c r="J2162" s="66" t="s">
        <v>12548</v>
      </c>
      <c r="K2162" s="207"/>
      <c r="L2162" s="66"/>
      <c r="M2162" s="201" t="s">
        <v>12550</v>
      </c>
      <c r="N2162" s="207"/>
      <c r="O2162" s="38"/>
    </row>
    <row r="2163" spans="1:26" ht="72" customHeight="1" x14ac:dyDescent="0.3">
      <c r="A2163" s="142">
        <v>2132</v>
      </c>
      <c r="B2163" s="93" t="s">
        <v>14882</v>
      </c>
      <c r="C2163" s="245" t="s">
        <v>14879</v>
      </c>
      <c r="D2163" s="207"/>
      <c r="E2163" s="91">
        <v>30</v>
      </c>
      <c r="F2163" s="207"/>
      <c r="G2163" s="207"/>
      <c r="H2163" s="207"/>
      <c r="I2163" s="207" t="s">
        <v>12545</v>
      </c>
      <c r="J2163" s="66" t="s">
        <v>12548</v>
      </c>
      <c r="K2163" s="207"/>
      <c r="L2163" s="66"/>
      <c r="M2163" s="201" t="s">
        <v>12550</v>
      </c>
      <c r="N2163" s="207"/>
      <c r="O2163" s="38"/>
    </row>
    <row r="2164" spans="1:26" ht="72" customHeight="1" x14ac:dyDescent="0.3">
      <c r="A2164" s="142">
        <v>2133</v>
      </c>
      <c r="B2164" s="93" t="s">
        <v>14882</v>
      </c>
      <c r="C2164" s="245" t="s">
        <v>14879</v>
      </c>
      <c r="D2164" s="207"/>
      <c r="E2164" s="91">
        <v>96</v>
      </c>
      <c r="F2164" s="25">
        <v>37988.35</v>
      </c>
      <c r="G2164" s="207"/>
      <c r="H2164" s="207"/>
      <c r="I2164" s="207" t="s">
        <v>12545</v>
      </c>
      <c r="J2164" s="66" t="s">
        <v>12548</v>
      </c>
      <c r="K2164" s="207"/>
      <c r="L2164" s="66"/>
      <c r="M2164" s="201" t="s">
        <v>12550</v>
      </c>
      <c r="N2164" s="207"/>
      <c r="O2164" s="38"/>
    </row>
    <row r="2165" spans="1:26" ht="211.2" customHeight="1" x14ac:dyDescent="0.3">
      <c r="A2165" s="139">
        <v>2134</v>
      </c>
      <c r="B2165" s="246" t="s">
        <v>17908</v>
      </c>
      <c r="C2165" s="245" t="s">
        <v>19049</v>
      </c>
      <c r="D2165" s="85" t="s">
        <v>21290</v>
      </c>
      <c r="E2165" s="207">
        <v>622.79999999999995</v>
      </c>
      <c r="F2165" s="25">
        <v>528645.62</v>
      </c>
      <c r="G2165" s="25">
        <v>96684.66</v>
      </c>
      <c r="H2165" s="207"/>
      <c r="I2165" s="207" t="s">
        <v>12545</v>
      </c>
      <c r="J2165" s="66" t="s">
        <v>21349</v>
      </c>
      <c r="K2165" s="207"/>
      <c r="L2165" s="66"/>
      <c r="M2165" s="201" t="s">
        <v>12550</v>
      </c>
      <c r="N2165" s="245" t="s">
        <v>23840</v>
      </c>
      <c r="O2165" s="38"/>
    </row>
    <row r="2166" spans="1:26" ht="72" customHeight="1" x14ac:dyDescent="0.3">
      <c r="A2166" s="142">
        <v>2135</v>
      </c>
      <c r="B2166" s="246" t="s">
        <v>14883</v>
      </c>
      <c r="C2166" s="245" t="s">
        <v>14880</v>
      </c>
      <c r="D2166" s="85" t="s">
        <v>22539</v>
      </c>
      <c r="E2166" s="207">
        <v>49.7</v>
      </c>
      <c r="F2166" s="207"/>
      <c r="G2166" s="207"/>
      <c r="H2166" s="25">
        <v>981665.95</v>
      </c>
      <c r="I2166" s="207" t="s">
        <v>12545</v>
      </c>
      <c r="J2166" s="66" t="s">
        <v>22540</v>
      </c>
      <c r="K2166" s="207"/>
      <c r="L2166" s="66"/>
      <c r="M2166" s="201" t="s">
        <v>12550</v>
      </c>
      <c r="N2166" s="207"/>
      <c r="O2166" s="38"/>
    </row>
    <row r="2167" spans="1:26" ht="72" customHeight="1" x14ac:dyDescent="0.3">
      <c r="A2167" s="265">
        <v>2136</v>
      </c>
      <c r="B2167" s="268" t="s">
        <v>14884</v>
      </c>
      <c r="C2167" s="257" t="s">
        <v>20245</v>
      </c>
      <c r="D2167" s="94"/>
      <c r="E2167" s="207"/>
      <c r="F2167" s="25">
        <v>37988.35</v>
      </c>
      <c r="G2167" s="25">
        <v>7649.96</v>
      </c>
      <c r="H2167" s="207"/>
      <c r="I2167" s="207" t="s">
        <v>12545</v>
      </c>
      <c r="J2167" s="66" t="s">
        <v>12548</v>
      </c>
      <c r="K2167" s="207"/>
      <c r="L2167" s="66"/>
      <c r="M2167" s="201" t="s">
        <v>12550</v>
      </c>
      <c r="N2167" s="245" t="s">
        <v>23239</v>
      </c>
      <c r="O2167" s="38" t="s">
        <v>20469</v>
      </c>
    </row>
    <row r="2168" spans="1:26" ht="204" x14ac:dyDescent="0.3">
      <c r="A2168" s="142">
        <v>2137</v>
      </c>
      <c r="B2168" s="93" t="s">
        <v>23807</v>
      </c>
      <c r="C2168" s="242" t="s">
        <v>23808</v>
      </c>
      <c r="D2168" s="85" t="s">
        <v>23809</v>
      </c>
      <c r="E2168" s="207">
        <v>2279.6</v>
      </c>
      <c r="F2168" s="25"/>
      <c r="G2168" s="207"/>
      <c r="H2168" s="207">
        <v>32967992.02</v>
      </c>
      <c r="I2168" s="207" t="s">
        <v>12545</v>
      </c>
      <c r="J2168" s="66" t="s">
        <v>23810</v>
      </c>
      <c r="K2168" s="26"/>
      <c r="L2168" s="66"/>
      <c r="M2168" s="201" t="s">
        <v>12550</v>
      </c>
      <c r="N2168" s="207"/>
      <c r="O2168" s="38" t="s">
        <v>23806</v>
      </c>
    </row>
    <row r="2169" spans="1:26" ht="72" customHeight="1" x14ac:dyDescent="0.3">
      <c r="A2169" s="142">
        <v>2138</v>
      </c>
      <c r="B2169" s="93" t="s">
        <v>14885</v>
      </c>
      <c r="C2169" s="245" t="s">
        <v>20245</v>
      </c>
      <c r="D2169" s="207"/>
      <c r="E2169" s="207"/>
      <c r="F2169" s="25">
        <v>35771.199999999997</v>
      </c>
      <c r="G2169" s="25">
        <v>18366.09</v>
      </c>
      <c r="H2169" s="207"/>
      <c r="I2169" s="207" t="s">
        <v>12545</v>
      </c>
      <c r="J2169" s="66" t="s">
        <v>12548</v>
      </c>
      <c r="K2169" s="207"/>
      <c r="L2169" s="66"/>
      <c r="M2169" s="201" t="s">
        <v>12550</v>
      </c>
      <c r="N2169" s="207"/>
      <c r="O2169" s="38" t="s">
        <v>20469</v>
      </c>
    </row>
    <row r="2170" spans="1:26" ht="72" customHeight="1" x14ac:dyDescent="0.3">
      <c r="A2170" s="142">
        <v>2139</v>
      </c>
      <c r="B2170" s="93" t="s">
        <v>14886</v>
      </c>
      <c r="C2170" s="242" t="s">
        <v>14902</v>
      </c>
      <c r="D2170" s="207"/>
      <c r="E2170" s="207"/>
      <c r="F2170" s="25">
        <v>22584.52</v>
      </c>
      <c r="G2170" s="25">
        <v>22584.52</v>
      </c>
      <c r="H2170" s="207"/>
      <c r="I2170" s="207" t="s">
        <v>12545</v>
      </c>
      <c r="J2170" s="66" t="s">
        <v>12548</v>
      </c>
      <c r="K2170" s="242" t="s">
        <v>20444</v>
      </c>
      <c r="L2170" s="66" t="s">
        <v>20445</v>
      </c>
      <c r="M2170" s="201" t="s">
        <v>12550</v>
      </c>
      <c r="N2170" s="207"/>
      <c r="O2170" s="38" t="s">
        <v>20451</v>
      </c>
    </row>
    <row r="2171" spans="1:26" ht="72" customHeight="1" x14ac:dyDescent="0.3">
      <c r="A2171" s="142">
        <v>2140</v>
      </c>
      <c r="B2171" s="93" t="s">
        <v>14887</v>
      </c>
      <c r="C2171" s="242" t="s">
        <v>14903</v>
      </c>
      <c r="D2171" s="207"/>
      <c r="E2171" s="207"/>
      <c r="F2171" s="25">
        <v>117006.52</v>
      </c>
      <c r="G2171" s="25">
        <v>38854.269999999997</v>
      </c>
      <c r="H2171" s="207"/>
      <c r="I2171" s="207" t="s">
        <v>12545</v>
      </c>
      <c r="J2171" s="66" t="s">
        <v>12548</v>
      </c>
      <c r="K2171" s="242" t="s">
        <v>20444</v>
      </c>
      <c r="L2171" s="66" t="s">
        <v>20445</v>
      </c>
      <c r="M2171" s="201" t="s">
        <v>12550</v>
      </c>
      <c r="N2171" s="207"/>
      <c r="O2171" s="38" t="s">
        <v>20452</v>
      </c>
      <c r="Q2171" s="5"/>
      <c r="R2171" s="5"/>
      <c r="S2171" s="5"/>
      <c r="T2171" s="5"/>
      <c r="U2171" s="5"/>
      <c r="V2171" s="5"/>
      <c r="W2171" s="5"/>
      <c r="X2171" s="5"/>
      <c r="Y2171" s="5"/>
      <c r="Z2171" s="5"/>
    </row>
    <row r="2172" spans="1:26" s="5" customFormat="1" ht="60" customHeight="1" x14ac:dyDescent="0.3">
      <c r="A2172" s="139">
        <v>2141</v>
      </c>
      <c r="B2172" s="77" t="s">
        <v>14888</v>
      </c>
      <c r="C2172" s="242" t="s">
        <v>14904</v>
      </c>
      <c r="D2172" s="207"/>
      <c r="E2172" s="207"/>
      <c r="F2172" s="25"/>
      <c r="G2172" s="25"/>
      <c r="H2172" s="207"/>
      <c r="I2172" s="207" t="s">
        <v>12545</v>
      </c>
      <c r="J2172" s="66" t="s">
        <v>12548</v>
      </c>
      <c r="K2172" s="242" t="s">
        <v>18873</v>
      </c>
      <c r="L2172" s="66" t="s">
        <v>18874</v>
      </c>
      <c r="M2172" s="245" t="s">
        <v>13904</v>
      </c>
      <c r="N2172" s="207"/>
      <c r="O2172" s="245" t="s">
        <v>18875</v>
      </c>
      <c r="Q2172" s="161"/>
      <c r="R2172" s="161"/>
      <c r="S2172" s="161"/>
      <c r="T2172" s="161"/>
      <c r="U2172" s="161"/>
      <c r="V2172" s="161"/>
      <c r="W2172" s="161"/>
      <c r="X2172" s="161"/>
      <c r="Y2172" s="161"/>
      <c r="Z2172" s="161"/>
    </row>
    <row r="2173" spans="1:26" s="161" customFormat="1" ht="84" customHeight="1" x14ac:dyDescent="0.3">
      <c r="A2173" s="139">
        <v>2142</v>
      </c>
      <c r="B2173" s="245" t="s">
        <v>14963</v>
      </c>
      <c r="C2173" s="245" t="s">
        <v>14964</v>
      </c>
      <c r="D2173" s="86" t="s">
        <v>14965</v>
      </c>
      <c r="E2173" s="76">
        <v>1200</v>
      </c>
      <c r="F2173" s="20">
        <v>224844</v>
      </c>
      <c r="G2173" s="245"/>
      <c r="H2173" s="20">
        <v>224844</v>
      </c>
      <c r="I2173" s="75">
        <v>42368</v>
      </c>
      <c r="J2173" s="66" t="s">
        <v>18496</v>
      </c>
      <c r="K2173" s="245"/>
      <c r="L2173" s="66"/>
      <c r="M2173" s="200" t="s">
        <v>12550</v>
      </c>
      <c r="N2173" s="160"/>
      <c r="O2173" s="245" t="s">
        <v>12039</v>
      </c>
    </row>
    <row r="2174" spans="1:26" s="161" customFormat="1" ht="72" customHeight="1" x14ac:dyDescent="0.3">
      <c r="A2174" s="139">
        <v>2143</v>
      </c>
      <c r="B2174" s="245" t="s">
        <v>14966</v>
      </c>
      <c r="C2174" s="245" t="s">
        <v>14967</v>
      </c>
      <c r="D2174" s="86" t="s">
        <v>14968</v>
      </c>
      <c r="E2174" s="245">
        <v>1500</v>
      </c>
      <c r="F2174" s="20">
        <v>816630</v>
      </c>
      <c r="G2174" s="245"/>
      <c r="H2174" s="20">
        <v>816630</v>
      </c>
      <c r="I2174" s="245" t="s">
        <v>14969</v>
      </c>
      <c r="J2174" s="66" t="s">
        <v>14970</v>
      </c>
      <c r="K2174" s="245"/>
      <c r="L2174" s="66"/>
      <c r="M2174" s="200" t="s">
        <v>12550</v>
      </c>
      <c r="N2174" s="160"/>
      <c r="O2174" s="245" t="s">
        <v>12039</v>
      </c>
      <c r="Q2174" s="67"/>
      <c r="R2174" s="67"/>
      <c r="S2174" s="67"/>
      <c r="T2174" s="67"/>
      <c r="U2174" s="67"/>
      <c r="V2174" s="67"/>
      <c r="W2174" s="67"/>
      <c r="X2174" s="67"/>
      <c r="Y2174" s="67"/>
      <c r="Z2174" s="67"/>
    </row>
    <row r="2175" spans="1:26" ht="72" customHeight="1" x14ac:dyDescent="0.3">
      <c r="A2175" s="139">
        <v>2144</v>
      </c>
      <c r="B2175" s="245" t="s">
        <v>110</v>
      </c>
      <c r="C2175" s="245" t="s">
        <v>14971</v>
      </c>
      <c r="D2175" s="86" t="s">
        <v>14972</v>
      </c>
      <c r="E2175" s="245">
        <v>800</v>
      </c>
      <c r="F2175" s="20">
        <v>158384</v>
      </c>
      <c r="G2175" s="245"/>
      <c r="H2175" s="20">
        <v>158384</v>
      </c>
      <c r="I2175" s="245" t="s">
        <v>14973</v>
      </c>
      <c r="J2175" s="66" t="s">
        <v>14974</v>
      </c>
      <c r="K2175" s="245"/>
      <c r="L2175" s="66"/>
      <c r="M2175" s="200" t="s">
        <v>12550</v>
      </c>
      <c r="N2175" s="207"/>
      <c r="O2175" s="245" t="s">
        <v>12039</v>
      </c>
    </row>
    <row r="2176" spans="1:26" ht="72" customHeight="1" x14ac:dyDescent="0.3">
      <c r="A2176" s="139">
        <v>2145</v>
      </c>
      <c r="B2176" s="245" t="s">
        <v>116</v>
      </c>
      <c r="C2176" s="245" t="s">
        <v>14975</v>
      </c>
      <c r="D2176" s="86" t="s">
        <v>14976</v>
      </c>
      <c r="E2176" s="245">
        <v>33666800</v>
      </c>
      <c r="F2176" s="20">
        <v>414774976</v>
      </c>
      <c r="G2176" s="245"/>
      <c r="H2176" s="20">
        <v>414774976</v>
      </c>
      <c r="I2176" s="75">
        <v>42412</v>
      </c>
      <c r="J2176" s="66" t="s">
        <v>14974</v>
      </c>
      <c r="K2176" s="245"/>
      <c r="L2176" s="66"/>
      <c r="M2176" s="200" t="s">
        <v>12550</v>
      </c>
      <c r="N2176" s="207"/>
      <c r="O2176" s="245" t="s">
        <v>17803</v>
      </c>
    </row>
    <row r="2177" spans="1:15" ht="72" customHeight="1" x14ac:dyDescent="0.3">
      <c r="A2177" s="139">
        <v>2146</v>
      </c>
      <c r="B2177" s="245" t="s">
        <v>16664</v>
      </c>
      <c r="C2177" s="245" t="s">
        <v>14977</v>
      </c>
      <c r="D2177" s="86" t="s">
        <v>14978</v>
      </c>
      <c r="E2177" s="245">
        <v>1860</v>
      </c>
      <c r="F2177" s="20">
        <v>2270483.4</v>
      </c>
      <c r="G2177" s="245"/>
      <c r="H2177" s="20">
        <v>2270483.4</v>
      </c>
      <c r="I2177" s="75">
        <v>42429</v>
      </c>
      <c r="J2177" s="66" t="s">
        <v>16665</v>
      </c>
      <c r="K2177" s="245"/>
      <c r="L2177" s="66"/>
      <c r="M2177" s="200" t="s">
        <v>12550</v>
      </c>
      <c r="N2177" s="207"/>
      <c r="O2177" s="245" t="s">
        <v>12039</v>
      </c>
    </row>
    <row r="2178" spans="1:15" ht="108" customHeight="1" x14ac:dyDescent="0.3">
      <c r="A2178" s="139">
        <v>2147</v>
      </c>
      <c r="B2178" s="172" t="s">
        <v>23531</v>
      </c>
      <c r="C2178" s="172" t="s">
        <v>15104</v>
      </c>
      <c r="D2178" s="283" t="s">
        <v>20302</v>
      </c>
      <c r="E2178" s="172">
        <v>33650</v>
      </c>
      <c r="F2178" s="25">
        <v>30197750</v>
      </c>
      <c r="G2178" s="207"/>
      <c r="H2178" s="25">
        <v>355344</v>
      </c>
      <c r="I2178" s="26">
        <v>42403</v>
      </c>
      <c r="J2178" s="38" t="s">
        <v>21134</v>
      </c>
      <c r="K2178" s="207"/>
      <c r="L2178" s="66"/>
      <c r="M2178" s="201" t="s">
        <v>12550</v>
      </c>
      <c r="N2178" s="94"/>
      <c r="O2178" s="38" t="s">
        <v>23856</v>
      </c>
    </row>
    <row r="2179" spans="1:15" ht="108" customHeight="1" x14ac:dyDescent="0.3">
      <c r="A2179" s="139">
        <v>2148</v>
      </c>
      <c r="B2179" s="172" t="s">
        <v>15146</v>
      </c>
      <c r="C2179" s="172" t="s">
        <v>15105</v>
      </c>
      <c r="D2179" s="283" t="s">
        <v>20298</v>
      </c>
      <c r="E2179" s="172">
        <v>2530</v>
      </c>
      <c r="F2179" s="25">
        <v>3594000</v>
      </c>
      <c r="G2179" s="207"/>
      <c r="H2179" s="25">
        <v>26716.799999999999</v>
      </c>
      <c r="I2179" s="26">
        <v>42403</v>
      </c>
      <c r="J2179" s="38" t="s">
        <v>21149</v>
      </c>
      <c r="K2179" s="207"/>
      <c r="L2179" s="66"/>
      <c r="M2179" s="201" t="s">
        <v>12550</v>
      </c>
      <c r="N2179" s="207"/>
      <c r="O2179" s="41"/>
    </row>
    <row r="2180" spans="1:15" ht="84" customHeight="1" x14ac:dyDescent="0.3">
      <c r="A2180" s="139">
        <v>2149</v>
      </c>
      <c r="B2180" s="172" t="s">
        <v>15147</v>
      </c>
      <c r="C2180" s="172" t="s">
        <v>15106</v>
      </c>
      <c r="D2180" s="283" t="s">
        <v>15143</v>
      </c>
      <c r="E2180" s="172">
        <v>5520</v>
      </c>
      <c r="F2180" s="25">
        <v>6212000</v>
      </c>
      <c r="G2180" s="207"/>
      <c r="H2180" s="207"/>
      <c r="I2180" s="26">
        <v>42403</v>
      </c>
      <c r="J2180" s="38" t="s">
        <v>15244</v>
      </c>
      <c r="K2180" s="207"/>
      <c r="L2180" s="66"/>
      <c r="M2180" s="201" t="s">
        <v>12550</v>
      </c>
      <c r="N2180" s="207"/>
      <c r="O2180" s="41"/>
    </row>
    <row r="2181" spans="1:15" ht="108" customHeight="1" x14ac:dyDescent="0.3">
      <c r="A2181" s="139">
        <v>2150</v>
      </c>
      <c r="B2181" s="172" t="s">
        <v>18481</v>
      </c>
      <c r="C2181" s="172" t="s">
        <v>15107</v>
      </c>
      <c r="D2181" s="283" t="s">
        <v>20304</v>
      </c>
      <c r="E2181" s="172">
        <v>2130</v>
      </c>
      <c r="F2181" s="25">
        <v>1939000</v>
      </c>
      <c r="G2181" s="207"/>
      <c r="H2181" s="25">
        <v>22492.799999999999</v>
      </c>
      <c r="I2181" s="26">
        <v>42403</v>
      </c>
      <c r="J2181" s="38" t="s">
        <v>21139</v>
      </c>
      <c r="K2181" s="207"/>
      <c r="L2181" s="66"/>
      <c r="M2181" s="201" t="s">
        <v>12550</v>
      </c>
      <c r="N2181" s="207"/>
      <c r="O2181" s="41"/>
    </row>
    <row r="2182" spans="1:15" ht="87" customHeight="1" x14ac:dyDescent="0.3">
      <c r="A2182" s="139">
        <v>2151</v>
      </c>
      <c r="B2182" s="172" t="s">
        <v>18482</v>
      </c>
      <c r="C2182" s="172" t="s">
        <v>15108</v>
      </c>
      <c r="D2182" s="283" t="s">
        <v>20305</v>
      </c>
      <c r="E2182" s="172">
        <v>2950</v>
      </c>
      <c r="F2182" s="25">
        <v>337000</v>
      </c>
      <c r="G2182" s="207"/>
      <c r="H2182" s="25">
        <v>31152</v>
      </c>
      <c r="I2182" s="26">
        <v>42403</v>
      </c>
      <c r="J2182" s="38" t="s">
        <v>21148</v>
      </c>
      <c r="K2182" s="207"/>
      <c r="L2182" s="66"/>
      <c r="M2182" s="201" t="s">
        <v>12550</v>
      </c>
      <c r="N2182" s="207"/>
      <c r="O2182" s="41"/>
    </row>
    <row r="2183" spans="1:15" ht="72" customHeight="1" x14ac:dyDescent="0.3">
      <c r="A2183" s="139">
        <v>2152</v>
      </c>
      <c r="B2183" s="172" t="s">
        <v>18483</v>
      </c>
      <c r="C2183" s="172" t="s">
        <v>15109</v>
      </c>
      <c r="D2183" s="283" t="s">
        <v>21152</v>
      </c>
      <c r="E2183" s="172">
        <v>2520</v>
      </c>
      <c r="F2183" s="25">
        <v>520632</v>
      </c>
      <c r="G2183" s="207"/>
      <c r="H2183" s="25">
        <v>26611.200000000001</v>
      </c>
      <c r="I2183" s="26">
        <v>42403</v>
      </c>
      <c r="J2183" s="38" t="s">
        <v>15245</v>
      </c>
      <c r="K2183" s="207"/>
      <c r="L2183" s="66"/>
      <c r="M2183" s="201" t="s">
        <v>12550</v>
      </c>
      <c r="N2183" s="207"/>
      <c r="O2183" s="41"/>
    </row>
    <row r="2184" spans="1:15" ht="96" customHeight="1" x14ac:dyDescent="0.3">
      <c r="A2184" s="139">
        <v>2153</v>
      </c>
      <c r="B2184" s="172" t="s">
        <v>15148</v>
      </c>
      <c r="C2184" s="172" t="s">
        <v>15110</v>
      </c>
      <c r="D2184" s="283" t="s">
        <v>20306</v>
      </c>
      <c r="E2184" s="172">
        <v>4930</v>
      </c>
      <c r="F2184" s="25">
        <v>4452940</v>
      </c>
      <c r="G2184" s="207"/>
      <c r="H2184" s="25">
        <v>52060.800000000003</v>
      </c>
      <c r="I2184" s="26">
        <v>42403</v>
      </c>
      <c r="J2184" s="38" t="s">
        <v>21142</v>
      </c>
      <c r="K2184" s="207"/>
      <c r="L2184" s="66"/>
      <c r="M2184" s="201" t="s">
        <v>12550</v>
      </c>
      <c r="N2184" s="207"/>
      <c r="O2184" s="41"/>
    </row>
    <row r="2185" spans="1:15" ht="72" customHeight="1" x14ac:dyDescent="0.3">
      <c r="A2185" s="139">
        <v>2154</v>
      </c>
      <c r="B2185" s="172" t="s">
        <v>15149</v>
      </c>
      <c r="C2185" s="172" t="s">
        <v>15111</v>
      </c>
      <c r="D2185" s="283" t="s">
        <v>21151</v>
      </c>
      <c r="E2185" s="172">
        <v>4000</v>
      </c>
      <c r="F2185" s="25">
        <v>825574</v>
      </c>
      <c r="G2185" s="207"/>
      <c r="H2185" s="25">
        <v>42240</v>
      </c>
      <c r="I2185" s="26">
        <v>42403</v>
      </c>
      <c r="J2185" s="38" t="s">
        <v>15246</v>
      </c>
      <c r="K2185" s="207"/>
      <c r="L2185" s="66"/>
      <c r="M2185" s="201" t="s">
        <v>12550</v>
      </c>
      <c r="N2185" s="207"/>
      <c r="O2185" s="41"/>
    </row>
    <row r="2186" spans="1:15" ht="108" customHeight="1" x14ac:dyDescent="0.3">
      <c r="A2186" s="139">
        <v>2155</v>
      </c>
      <c r="B2186" s="172" t="s">
        <v>21791</v>
      </c>
      <c r="C2186" s="172" t="s">
        <v>15112</v>
      </c>
      <c r="D2186" s="283" t="s">
        <v>21150</v>
      </c>
      <c r="E2186" s="172">
        <v>2140</v>
      </c>
      <c r="F2186" s="25">
        <v>442198</v>
      </c>
      <c r="G2186" s="207"/>
      <c r="H2186" s="207"/>
      <c r="I2186" s="26">
        <v>42403</v>
      </c>
      <c r="J2186" s="38" t="s">
        <v>15247</v>
      </c>
      <c r="K2186" s="207"/>
      <c r="L2186" s="66"/>
      <c r="M2186" s="201" t="s">
        <v>12550</v>
      </c>
      <c r="N2186" s="207"/>
      <c r="O2186" s="41"/>
    </row>
    <row r="2187" spans="1:15" ht="84" customHeight="1" x14ac:dyDescent="0.3">
      <c r="A2187" s="139">
        <v>2156</v>
      </c>
      <c r="B2187" s="172" t="s">
        <v>15150</v>
      </c>
      <c r="C2187" s="172" t="s">
        <v>15113</v>
      </c>
      <c r="D2187" s="283" t="s">
        <v>21155</v>
      </c>
      <c r="E2187" s="172">
        <v>2610</v>
      </c>
      <c r="F2187" s="25">
        <v>539266</v>
      </c>
      <c r="G2187" s="207"/>
      <c r="H2187" s="25">
        <v>27561.599999999999</v>
      </c>
      <c r="I2187" s="26">
        <v>42403</v>
      </c>
      <c r="J2187" s="38" t="s">
        <v>15248</v>
      </c>
      <c r="K2187" s="207"/>
      <c r="L2187" s="66"/>
      <c r="M2187" s="201" t="s">
        <v>12550</v>
      </c>
      <c r="N2187" s="207"/>
      <c r="O2187" s="41"/>
    </row>
    <row r="2188" spans="1:15" ht="72" customHeight="1" x14ac:dyDescent="0.3">
      <c r="A2188" s="139">
        <v>2157</v>
      </c>
      <c r="B2188" s="172" t="s">
        <v>15151</v>
      </c>
      <c r="C2188" s="172" t="s">
        <v>15114</v>
      </c>
      <c r="D2188" s="283" t="s">
        <v>21154</v>
      </c>
      <c r="E2188" s="172">
        <v>6780</v>
      </c>
      <c r="F2188" s="25">
        <v>1400748</v>
      </c>
      <c r="G2188" s="207"/>
      <c r="H2188" s="25">
        <v>71596.800000000003</v>
      </c>
      <c r="I2188" s="26">
        <v>42403</v>
      </c>
      <c r="J2188" s="38" t="s">
        <v>15249</v>
      </c>
      <c r="K2188" s="207"/>
      <c r="L2188" s="66"/>
      <c r="M2188" s="201" t="s">
        <v>12550</v>
      </c>
      <c r="N2188" s="207"/>
      <c r="O2188" s="41"/>
    </row>
    <row r="2189" spans="1:15" ht="144" customHeight="1" x14ac:dyDescent="0.3">
      <c r="A2189" s="139">
        <v>2158</v>
      </c>
      <c r="B2189" s="172" t="s">
        <v>23532</v>
      </c>
      <c r="C2189" s="172" t="s">
        <v>15115</v>
      </c>
      <c r="D2189" s="283" t="s">
        <v>20287</v>
      </c>
      <c r="E2189" s="172">
        <v>8368</v>
      </c>
      <c r="F2189" s="25">
        <v>10505000</v>
      </c>
      <c r="G2189" s="207"/>
      <c r="H2189" s="25">
        <v>88366.2</v>
      </c>
      <c r="I2189" s="26">
        <v>42403</v>
      </c>
      <c r="J2189" s="38" t="s">
        <v>21137</v>
      </c>
      <c r="K2189" s="207"/>
      <c r="L2189" s="66"/>
      <c r="M2189" s="201" t="s">
        <v>12550</v>
      </c>
      <c r="N2189" s="207"/>
      <c r="O2189" s="38" t="s">
        <v>23856</v>
      </c>
    </row>
    <row r="2190" spans="1:15" ht="120" customHeight="1" x14ac:dyDescent="0.3">
      <c r="A2190" s="139">
        <v>2159</v>
      </c>
      <c r="B2190" s="172" t="s">
        <v>15152</v>
      </c>
      <c r="C2190" s="172" t="s">
        <v>15116</v>
      </c>
      <c r="D2190" s="283" t="s">
        <v>20285</v>
      </c>
      <c r="E2190" s="172">
        <v>2000</v>
      </c>
      <c r="F2190" s="25">
        <v>2704000</v>
      </c>
      <c r="G2190" s="207"/>
      <c r="H2190" s="25">
        <v>21120</v>
      </c>
      <c r="I2190" s="26">
        <v>42403</v>
      </c>
      <c r="J2190" s="38" t="s">
        <v>21136</v>
      </c>
      <c r="K2190" s="207"/>
      <c r="L2190" s="66"/>
      <c r="M2190" s="201" t="s">
        <v>12550</v>
      </c>
      <c r="N2190" s="207"/>
      <c r="O2190" s="41"/>
    </row>
    <row r="2191" spans="1:15" ht="96" customHeight="1" x14ac:dyDescent="0.3">
      <c r="A2191" s="139">
        <v>2160</v>
      </c>
      <c r="B2191" s="172" t="s">
        <v>15153</v>
      </c>
      <c r="C2191" s="172" t="s">
        <v>15117</v>
      </c>
      <c r="D2191" s="283" t="s">
        <v>20300</v>
      </c>
      <c r="E2191" s="172">
        <v>2262</v>
      </c>
      <c r="F2191" s="25">
        <v>3153000</v>
      </c>
      <c r="G2191" s="207"/>
      <c r="H2191" s="25">
        <v>23886.6</v>
      </c>
      <c r="I2191" s="26">
        <v>42403</v>
      </c>
      <c r="J2191" s="38" t="s">
        <v>21147</v>
      </c>
      <c r="K2191" s="207"/>
      <c r="L2191" s="66"/>
      <c r="M2191" s="201" t="s">
        <v>12550</v>
      </c>
      <c r="N2191" s="207"/>
      <c r="O2191" s="41"/>
    </row>
    <row r="2192" spans="1:15" ht="84" customHeight="1" x14ac:dyDescent="0.3">
      <c r="A2192" s="139">
        <v>2161</v>
      </c>
      <c r="B2192" s="172" t="s">
        <v>15154</v>
      </c>
      <c r="C2192" s="172" t="s">
        <v>15118</v>
      </c>
      <c r="D2192" s="283" t="s">
        <v>21153</v>
      </c>
      <c r="E2192" s="172">
        <v>2784</v>
      </c>
      <c r="F2192" s="25">
        <v>818632</v>
      </c>
      <c r="G2192" s="207"/>
      <c r="H2192" s="25">
        <v>29399.1</v>
      </c>
      <c r="I2192" s="26">
        <v>42403</v>
      </c>
      <c r="J2192" s="118" t="s">
        <v>15250</v>
      </c>
      <c r="K2192" s="207"/>
      <c r="L2192" s="66"/>
      <c r="M2192" s="201" t="s">
        <v>12550</v>
      </c>
      <c r="N2192" s="207"/>
      <c r="O2192" s="41"/>
    </row>
    <row r="2193" spans="1:15" ht="84" customHeight="1" x14ac:dyDescent="0.3">
      <c r="A2193" s="139">
        <v>2162</v>
      </c>
      <c r="B2193" s="172" t="s">
        <v>15155</v>
      </c>
      <c r="C2193" s="172" t="s">
        <v>15119</v>
      </c>
      <c r="D2193" s="283" t="s">
        <v>20307</v>
      </c>
      <c r="E2193" s="172">
        <v>2240</v>
      </c>
      <c r="F2193" s="25">
        <v>462784</v>
      </c>
      <c r="G2193" s="207"/>
      <c r="H2193" s="25">
        <v>23654.400000000001</v>
      </c>
      <c r="I2193" s="26">
        <v>42403</v>
      </c>
      <c r="J2193" s="66" t="s">
        <v>21144</v>
      </c>
      <c r="K2193" s="207"/>
      <c r="L2193" s="66"/>
      <c r="M2193" s="201" t="s">
        <v>12550</v>
      </c>
      <c r="N2193" s="207"/>
      <c r="O2193" s="41"/>
    </row>
    <row r="2194" spans="1:15" ht="84.6" customHeight="1" x14ac:dyDescent="0.3">
      <c r="A2194" s="139">
        <v>2163</v>
      </c>
      <c r="B2194" s="172" t="s">
        <v>15156</v>
      </c>
      <c r="C2194" s="172" t="s">
        <v>15120</v>
      </c>
      <c r="D2194" s="283" t="s">
        <v>20308</v>
      </c>
      <c r="E2194" s="172">
        <v>3610</v>
      </c>
      <c r="F2194" s="25">
        <v>745826</v>
      </c>
      <c r="G2194" s="207"/>
      <c r="H2194" s="25">
        <v>38121.599999999999</v>
      </c>
      <c r="I2194" s="26">
        <v>42403</v>
      </c>
      <c r="J2194" s="38" t="s">
        <v>21129</v>
      </c>
      <c r="K2194" s="207"/>
      <c r="L2194" s="66"/>
      <c r="M2194" s="201" t="s">
        <v>12550</v>
      </c>
      <c r="N2194" s="207"/>
      <c r="O2194" s="41"/>
    </row>
    <row r="2195" spans="1:15" ht="91.95" customHeight="1" x14ac:dyDescent="0.3">
      <c r="A2195" s="139">
        <v>2164</v>
      </c>
      <c r="B2195" s="172" t="s">
        <v>15157</v>
      </c>
      <c r="C2195" s="172" t="s">
        <v>15121</v>
      </c>
      <c r="D2195" s="283" t="s">
        <v>20309</v>
      </c>
      <c r="E2195" s="172">
        <v>4420</v>
      </c>
      <c r="F2195" s="25">
        <v>931172</v>
      </c>
      <c r="G2195" s="207"/>
      <c r="H2195" s="25">
        <v>46675.199999999997</v>
      </c>
      <c r="I2195" s="26">
        <v>42403</v>
      </c>
      <c r="J2195" s="38" t="s">
        <v>21130</v>
      </c>
      <c r="K2195" s="207"/>
      <c r="L2195" s="66"/>
      <c r="M2195" s="201" t="s">
        <v>12550</v>
      </c>
      <c r="N2195" s="207"/>
      <c r="O2195" s="41"/>
    </row>
    <row r="2196" spans="1:15" ht="96" x14ac:dyDescent="0.3">
      <c r="A2196" s="139">
        <v>2165</v>
      </c>
      <c r="B2196" s="172" t="s">
        <v>23533</v>
      </c>
      <c r="C2196" s="172" t="s">
        <v>15122</v>
      </c>
      <c r="D2196" s="283" t="s">
        <v>21131</v>
      </c>
      <c r="E2196" s="172">
        <v>4540</v>
      </c>
      <c r="F2196" s="25">
        <v>4104868</v>
      </c>
      <c r="G2196" s="207"/>
      <c r="H2196" s="25">
        <v>47942.400000000001</v>
      </c>
      <c r="I2196" s="26">
        <v>42403</v>
      </c>
      <c r="J2196" s="38" t="s">
        <v>21132</v>
      </c>
      <c r="K2196" s="207"/>
      <c r="L2196" s="66"/>
      <c r="M2196" s="201" t="s">
        <v>12550</v>
      </c>
      <c r="N2196" s="207"/>
      <c r="O2196" s="38" t="s">
        <v>23856</v>
      </c>
    </row>
    <row r="2197" spans="1:15" ht="108" customHeight="1" x14ac:dyDescent="0.3">
      <c r="A2197" s="139">
        <v>2166</v>
      </c>
      <c r="B2197" s="172" t="s">
        <v>15158</v>
      </c>
      <c r="C2197" s="172" t="s">
        <v>15123</v>
      </c>
      <c r="D2197" s="283" t="s">
        <v>20299</v>
      </c>
      <c r="E2197" s="172">
        <v>7500</v>
      </c>
      <c r="F2197" s="25">
        <v>9502000</v>
      </c>
      <c r="G2197" s="207"/>
      <c r="H2197" s="25">
        <v>79200</v>
      </c>
      <c r="I2197" s="26">
        <v>42403</v>
      </c>
      <c r="J2197" s="38" t="s">
        <v>21128</v>
      </c>
      <c r="K2197" s="207"/>
      <c r="L2197" s="66"/>
      <c r="M2197" s="201" t="s">
        <v>12550</v>
      </c>
      <c r="N2197" s="207"/>
      <c r="O2197" s="41"/>
    </row>
    <row r="2198" spans="1:15" ht="85.2" customHeight="1" x14ac:dyDescent="0.3">
      <c r="A2198" s="139">
        <v>2167</v>
      </c>
      <c r="B2198" s="172" t="s">
        <v>15159</v>
      </c>
      <c r="C2198" s="172" t="s">
        <v>15124</v>
      </c>
      <c r="D2198" s="283" t="s">
        <v>15144</v>
      </c>
      <c r="E2198" s="172">
        <v>4660</v>
      </c>
      <c r="F2198" s="25"/>
      <c r="G2198" s="207"/>
      <c r="H2198" s="25">
        <v>49618.8</v>
      </c>
      <c r="I2198" s="26">
        <v>42403</v>
      </c>
      <c r="J2198" s="38" t="s">
        <v>20733</v>
      </c>
      <c r="K2198" s="207"/>
      <c r="L2198" s="66"/>
      <c r="M2198" s="201" t="s">
        <v>12550</v>
      </c>
      <c r="N2198" s="207"/>
      <c r="O2198" s="41"/>
    </row>
    <row r="2199" spans="1:15" ht="72" customHeight="1" x14ac:dyDescent="0.3">
      <c r="A2199" s="139">
        <v>2168</v>
      </c>
      <c r="B2199" s="172" t="s">
        <v>15160</v>
      </c>
      <c r="C2199" s="172" t="s">
        <v>15124</v>
      </c>
      <c r="D2199" s="283" t="s">
        <v>15145</v>
      </c>
      <c r="E2199" s="172">
        <v>1800</v>
      </c>
      <c r="F2199" s="25"/>
      <c r="G2199" s="207"/>
      <c r="H2199" s="25">
        <v>30587.7</v>
      </c>
      <c r="I2199" s="26">
        <v>42403</v>
      </c>
      <c r="J2199" s="38" t="s">
        <v>20734</v>
      </c>
      <c r="K2199" s="207"/>
      <c r="L2199" s="66"/>
      <c r="M2199" s="201" t="s">
        <v>12550</v>
      </c>
      <c r="N2199" s="207"/>
      <c r="O2199" s="41"/>
    </row>
    <row r="2200" spans="1:15" ht="91.95" customHeight="1" x14ac:dyDescent="0.3">
      <c r="A2200" s="139">
        <v>2169</v>
      </c>
      <c r="B2200" s="172" t="s">
        <v>15161</v>
      </c>
      <c r="C2200" s="172" t="s">
        <v>15125</v>
      </c>
      <c r="D2200" s="283" t="s">
        <v>20301</v>
      </c>
      <c r="E2200" s="172">
        <v>2100</v>
      </c>
      <c r="F2200" s="25">
        <v>443860</v>
      </c>
      <c r="G2200" s="207"/>
      <c r="H2200" s="25">
        <v>22176</v>
      </c>
      <c r="I2200" s="26">
        <v>42403</v>
      </c>
      <c r="J2200" s="38" t="s">
        <v>21127</v>
      </c>
      <c r="K2200" s="207"/>
      <c r="L2200" s="66"/>
      <c r="M2200" s="201" t="s">
        <v>12550</v>
      </c>
      <c r="N2200" s="207"/>
      <c r="O2200" s="41"/>
    </row>
    <row r="2201" spans="1:15" ht="72" customHeight="1" x14ac:dyDescent="0.3">
      <c r="A2201" s="269">
        <v>2170</v>
      </c>
      <c r="B2201" s="270" t="s">
        <v>15162</v>
      </c>
      <c r="C2201" s="270" t="s">
        <v>15126</v>
      </c>
      <c r="D2201" s="270"/>
      <c r="E2201" s="80">
        <v>1295</v>
      </c>
      <c r="F2201" s="25"/>
      <c r="G2201" s="207"/>
      <c r="H2201" s="207"/>
      <c r="I2201" s="26">
        <v>42403</v>
      </c>
      <c r="J2201" s="38" t="s">
        <v>15251</v>
      </c>
      <c r="K2201" s="207"/>
      <c r="L2201" s="66"/>
      <c r="M2201" s="201" t="s">
        <v>12550</v>
      </c>
      <c r="N2201" s="207"/>
      <c r="O2201" s="41"/>
    </row>
    <row r="2202" spans="1:15" ht="72" customHeight="1" x14ac:dyDescent="0.3">
      <c r="A2202" s="139">
        <v>2171</v>
      </c>
      <c r="B2202" s="80" t="s">
        <v>16292</v>
      </c>
      <c r="C2202" s="80" t="s">
        <v>15127</v>
      </c>
      <c r="D2202" s="256" t="s">
        <v>16285</v>
      </c>
      <c r="E2202" s="80">
        <v>15488</v>
      </c>
      <c r="F2202" s="25"/>
      <c r="G2202" s="207"/>
      <c r="H2202" s="25"/>
      <c r="I2202" s="26">
        <v>42403</v>
      </c>
      <c r="J2202" s="38" t="s">
        <v>19062</v>
      </c>
      <c r="K2202" s="207"/>
      <c r="L2202" s="66"/>
      <c r="M2202" s="201" t="s">
        <v>12550</v>
      </c>
      <c r="N2202" s="207"/>
      <c r="O2202" s="41"/>
    </row>
    <row r="2203" spans="1:15" ht="72" customHeight="1" x14ac:dyDescent="0.3">
      <c r="A2203" s="139">
        <v>2172</v>
      </c>
      <c r="B2203" s="80" t="s">
        <v>16288</v>
      </c>
      <c r="C2203" s="80" t="s">
        <v>15128</v>
      </c>
      <c r="D2203" s="256" t="s">
        <v>16289</v>
      </c>
      <c r="E2203" s="80">
        <v>988</v>
      </c>
      <c r="F2203" s="25"/>
      <c r="G2203" s="207"/>
      <c r="H2203" s="25"/>
      <c r="I2203" s="26">
        <v>42403</v>
      </c>
      <c r="J2203" s="38" t="s">
        <v>19063</v>
      </c>
      <c r="K2203" s="207"/>
      <c r="L2203" s="66"/>
      <c r="M2203" s="201" t="s">
        <v>12550</v>
      </c>
      <c r="N2203" s="207"/>
      <c r="O2203" s="38"/>
    </row>
    <row r="2204" spans="1:15" ht="72" customHeight="1" x14ac:dyDescent="0.3">
      <c r="A2204" s="269">
        <v>2173</v>
      </c>
      <c r="B2204" s="270" t="s">
        <v>15163</v>
      </c>
      <c r="C2204" s="270" t="s">
        <v>15129</v>
      </c>
      <c r="D2204" s="270"/>
      <c r="E2204" s="80">
        <v>910</v>
      </c>
      <c r="F2204" s="25"/>
      <c r="G2204" s="207"/>
      <c r="H2204" s="207"/>
      <c r="I2204" s="26">
        <v>42403</v>
      </c>
      <c r="J2204" s="38" t="s">
        <v>15348</v>
      </c>
      <c r="K2204" s="207"/>
      <c r="L2204" s="66"/>
      <c r="M2204" s="201" t="s">
        <v>12550</v>
      </c>
      <c r="N2204" s="207"/>
      <c r="O2204" s="41"/>
    </row>
    <row r="2205" spans="1:15" ht="72" customHeight="1" x14ac:dyDescent="0.3">
      <c r="A2205" s="139">
        <v>2174</v>
      </c>
      <c r="B2205" s="80" t="s">
        <v>15164</v>
      </c>
      <c r="C2205" s="80" t="s">
        <v>15130</v>
      </c>
      <c r="D2205" s="80"/>
      <c r="E2205" s="80">
        <v>4621</v>
      </c>
      <c r="F2205" s="25"/>
      <c r="G2205" s="207"/>
      <c r="H2205" s="207"/>
      <c r="I2205" s="26">
        <v>42403</v>
      </c>
      <c r="J2205" s="38" t="s">
        <v>15348</v>
      </c>
      <c r="K2205" s="207"/>
      <c r="L2205" s="66"/>
      <c r="M2205" s="201" t="s">
        <v>12550</v>
      </c>
      <c r="N2205" s="207"/>
      <c r="O2205" s="41"/>
    </row>
    <row r="2206" spans="1:15" ht="78" customHeight="1" x14ac:dyDescent="0.3">
      <c r="A2206" s="139">
        <v>2175</v>
      </c>
      <c r="B2206" s="80" t="s">
        <v>15165</v>
      </c>
      <c r="C2206" s="80" t="s">
        <v>15131</v>
      </c>
      <c r="D2206" s="80"/>
      <c r="E2206" s="80">
        <v>5160</v>
      </c>
      <c r="F2206" s="25"/>
      <c r="G2206" s="207"/>
      <c r="H2206" s="207"/>
      <c r="I2206" s="26">
        <v>42403</v>
      </c>
      <c r="J2206" s="38" t="s">
        <v>15348</v>
      </c>
      <c r="K2206" s="207"/>
      <c r="L2206" s="66"/>
      <c r="M2206" s="201" t="s">
        <v>12550</v>
      </c>
      <c r="N2206" s="207"/>
      <c r="O2206" s="41"/>
    </row>
    <row r="2207" spans="1:15" ht="72" customHeight="1" x14ac:dyDescent="0.3">
      <c r="A2207" s="139">
        <v>2176</v>
      </c>
      <c r="B2207" s="80" t="s">
        <v>16287</v>
      </c>
      <c r="C2207" s="80" t="s">
        <v>15128</v>
      </c>
      <c r="D2207" s="256" t="s">
        <v>16286</v>
      </c>
      <c r="E2207" s="80">
        <v>103</v>
      </c>
      <c r="F2207" s="25"/>
      <c r="G2207" s="207"/>
      <c r="H2207" s="25"/>
      <c r="I2207" s="26">
        <v>42403</v>
      </c>
      <c r="J2207" s="38" t="s">
        <v>19086</v>
      </c>
      <c r="K2207" s="207"/>
      <c r="L2207" s="66"/>
      <c r="M2207" s="201" t="s">
        <v>12550</v>
      </c>
      <c r="N2207" s="207"/>
      <c r="O2207" s="38"/>
    </row>
    <row r="2208" spans="1:15" ht="72" customHeight="1" x14ac:dyDescent="0.3">
      <c r="A2208" s="269">
        <v>2177</v>
      </c>
      <c r="B2208" s="270" t="s">
        <v>21469</v>
      </c>
      <c r="C2208" s="270" t="s">
        <v>15132</v>
      </c>
      <c r="D2208" s="271"/>
      <c r="E2208" s="80">
        <v>4030</v>
      </c>
      <c r="F2208" s="25"/>
      <c r="G2208" s="207"/>
      <c r="H2208" s="207"/>
      <c r="I2208" s="26">
        <v>42403</v>
      </c>
      <c r="J2208" s="38" t="s">
        <v>15348</v>
      </c>
      <c r="K2208" s="207"/>
      <c r="L2208" s="66"/>
      <c r="M2208" s="201" t="s">
        <v>12550</v>
      </c>
      <c r="N2208" s="207"/>
      <c r="O2208" s="41"/>
    </row>
    <row r="2209" spans="1:15" ht="72" customHeight="1" x14ac:dyDescent="0.3">
      <c r="A2209" s="139">
        <v>2178</v>
      </c>
      <c r="B2209" s="80" t="s">
        <v>15166</v>
      </c>
      <c r="C2209" s="80" t="s">
        <v>15133</v>
      </c>
      <c r="D2209" s="80"/>
      <c r="E2209" s="80">
        <v>2871</v>
      </c>
      <c r="F2209" s="25"/>
      <c r="G2209" s="207"/>
      <c r="H2209" s="207"/>
      <c r="I2209" s="26">
        <v>42403</v>
      </c>
      <c r="J2209" s="38" t="s">
        <v>15348</v>
      </c>
      <c r="K2209" s="207"/>
      <c r="L2209" s="66"/>
      <c r="M2209" s="201" t="s">
        <v>12550</v>
      </c>
      <c r="N2209" s="207"/>
      <c r="O2209" s="41"/>
    </row>
    <row r="2210" spans="1:15" ht="96" x14ac:dyDescent="0.3">
      <c r="A2210" s="139">
        <v>2179</v>
      </c>
      <c r="B2210" s="80" t="s">
        <v>23534</v>
      </c>
      <c r="C2210" s="80" t="s">
        <v>20016</v>
      </c>
      <c r="D2210" s="80"/>
      <c r="E2210" s="80">
        <v>6751</v>
      </c>
      <c r="F2210" s="25"/>
      <c r="G2210" s="207"/>
      <c r="H2210" s="207"/>
      <c r="I2210" s="26">
        <v>42403</v>
      </c>
      <c r="J2210" s="38" t="s">
        <v>15348</v>
      </c>
      <c r="K2210" s="207"/>
      <c r="L2210" s="66"/>
      <c r="M2210" s="201" t="s">
        <v>12550</v>
      </c>
      <c r="N2210" s="207"/>
      <c r="O2210" s="38" t="s">
        <v>23856</v>
      </c>
    </row>
    <row r="2211" spans="1:15" ht="72" customHeight="1" x14ac:dyDescent="0.3">
      <c r="A2211" s="139">
        <v>2180</v>
      </c>
      <c r="B2211" s="80" t="s">
        <v>15167</v>
      </c>
      <c r="C2211" s="80" t="s">
        <v>15135</v>
      </c>
      <c r="D2211" s="80"/>
      <c r="E2211" s="80">
        <v>4433</v>
      </c>
      <c r="F2211" s="25"/>
      <c r="G2211" s="207"/>
      <c r="H2211" s="207"/>
      <c r="I2211" s="26">
        <v>42403</v>
      </c>
      <c r="J2211" s="38" t="s">
        <v>15348</v>
      </c>
      <c r="K2211" s="207"/>
      <c r="L2211" s="66"/>
      <c r="M2211" s="201" t="s">
        <v>12550</v>
      </c>
      <c r="N2211" s="207"/>
      <c r="O2211" s="41"/>
    </row>
    <row r="2212" spans="1:15" ht="72" customHeight="1" x14ac:dyDescent="0.3">
      <c r="A2212" s="139">
        <v>2181</v>
      </c>
      <c r="B2212" s="80" t="s">
        <v>15168</v>
      </c>
      <c r="C2212" s="80" t="s">
        <v>15135</v>
      </c>
      <c r="D2212" s="80"/>
      <c r="E2212" s="80">
        <v>5188</v>
      </c>
      <c r="F2212" s="25"/>
      <c r="G2212" s="207"/>
      <c r="H2212" s="207"/>
      <c r="I2212" s="26">
        <v>42403</v>
      </c>
      <c r="J2212" s="38" t="s">
        <v>15348</v>
      </c>
      <c r="K2212" s="207"/>
      <c r="L2212" s="66"/>
      <c r="M2212" s="201" t="s">
        <v>12550</v>
      </c>
      <c r="N2212" s="207"/>
      <c r="O2212" s="41"/>
    </row>
    <row r="2213" spans="1:15" ht="72" customHeight="1" x14ac:dyDescent="0.3">
      <c r="A2213" s="139">
        <v>2182</v>
      </c>
      <c r="B2213" s="80" t="s">
        <v>17239</v>
      </c>
      <c r="C2213" s="80" t="s">
        <v>15134</v>
      </c>
      <c r="D2213" s="256" t="s">
        <v>17240</v>
      </c>
      <c r="E2213" s="80">
        <v>734</v>
      </c>
      <c r="F2213" s="25"/>
      <c r="G2213" s="207"/>
      <c r="H2213" s="25"/>
      <c r="I2213" s="26">
        <v>42403</v>
      </c>
      <c r="J2213" s="38" t="s">
        <v>19085</v>
      </c>
      <c r="K2213" s="207"/>
      <c r="L2213" s="66"/>
      <c r="M2213" s="201" t="s">
        <v>12550</v>
      </c>
      <c r="N2213" s="207"/>
      <c r="O2213" s="38"/>
    </row>
    <row r="2214" spans="1:15" ht="72" customHeight="1" x14ac:dyDescent="0.3">
      <c r="A2214" s="269">
        <v>2183</v>
      </c>
      <c r="B2214" s="270" t="s">
        <v>15169</v>
      </c>
      <c r="C2214" s="270" t="s">
        <v>15134</v>
      </c>
      <c r="D2214" s="270"/>
      <c r="E2214" s="80">
        <v>6620</v>
      </c>
      <c r="F2214" s="25"/>
      <c r="G2214" s="207"/>
      <c r="H2214" s="207"/>
      <c r="I2214" s="26">
        <v>42403</v>
      </c>
      <c r="J2214" s="38" t="s">
        <v>15348</v>
      </c>
      <c r="K2214" s="207"/>
      <c r="L2214" s="66"/>
      <c r="M2214" s="201" t="s">
        <v>12550</v>
      </c>
      <c r="N2214" s="207"/>
      <c r="O2214" s="41"/>
    </row>
    <row r="2215" spans="1:15" ht="72" customHeight="1" x14ac:dyDescent="0.3">
      <c r="A2215" s="139">
        <v>2184</v>
      </c>
      <c r="B2215" s="80" t="s">
        <v>15170</v>
      </c>
      <c r="C2215" s="80" t="s">
        <v>15136</v>
      </c>
      <c r="D2215" s="80"/>
      <c r="E2215" s="80">
        <v>9239</v>
      </c>
      <c r="F2215" s="25"/>
      <c r="G2215" s="207"/>
      <c r="H2215" s="207"/>
      <c r="I2215" s="26">
        <v>42403</v>
      </c>
      <c r="J2215" s="38" t="s">
        <v>15348</v>
      </c>
      <c r="K2215" s="207"/>
      <c r="L2215" s="66"/>
      <c r="M2215" s="201" t="s">
        <v>12550</v>
      </c>
      <c r="N2215" s="207"/>
      <c r="O2215" s="41"/>
    </row>
    <row r="2216" spans="1:15" ht="72" customHeight="1" x14ac:dyDescent="0.3">
      <c r="A2216" s="139">
        <v>2185</v>
      </c>
      <c r="B2216" s="80" t="s">
        <v>20017</v>
      </c>
      <c r="C2216" s="80" t="s">
        <v>20018</v>
      </c>
      <c r="D2216" s="80"/>
      <c r="E2216" s="80">
        <v>2998</v>
      </c>
      <c r="F2216" s="25"/>
      <c r="G2216" s="207"/>
      <c r="H2216" s="207"/>
      <c r="I2216" s="26">
        <v>42403</v>
      </c>
      <c r="J2216" s="38" t="s">
        <v>15348</v>
      </c>
      <c r="K2216" s="207"/>
      <c r="L2216" s="66"/>
      <c r="M2216" s="201" t="s">
        <v>12550</v>
      </c>
      <c r="N2216" s="207"/>
      <c r="O2216" s="38"/>
    </row>
    <row r="2217" spans="1:15" ht="72" customHeight="1" x14ac:dyDescent="0.3">
      <c r="A2217" s="139">
        <v>2186</v>
      </c>
      <c r="B2217" s="80" t="s">
        <v>15171</v>
      </c>
      <c r="C2217" s="80" t="s">
        <v>15137</v>
      </c>
      <c r="D2217" s="80"/>
      <c r="E2217" s="80">
        <v>1784</v>
      </c>
      <c r="F2217" s="25"/>
      <c r="G2217" s="207"/>
      <c r="H2217" s="207"/>
      <c r="I2217" s="26">
        <v>42403</v>
      </c>
      <c r="J2217" s="38" t="s">
        <v>15348</v>
      </c>
      <c r="K2217" s="207"/>
      <c r="L2217" s="66"/>
      <c r="M2217" s="201" t="s">
        <v>12550</v>
      </c>
      <c r="N2217" s="207"/>
      <c r="O2217" s="41"/>
    </row>
    <row r="2218" spans="1:15" ht="72" customHeight="1" x14ac:dyDescent="0.3">
      <c r="A2218" s="139">
        <v>2187</v>
      </c>
      <c r="B2218" s="80" t="s">
        <v>20019</v>
      </c>
      <c r="C2218" s="80" t="s">
        <v>15134</v>
      </c>
      <c r="D2218" s="80"/>
      <c r="E2218" s="80">
        <v>1775</v>
      </c>
      <c r="F2218" s="25"/>
      <c r="G2218" s="207"/>
      <c r="H2218" s="207"/>
      <c r="I2218" s="26">
        <v>42403</v>
      </c>
      <c r="J2218" s="38" t="s">
        <v>15348</v>
      </c>
      <c r="K2218" s="207"/>
      <c r="L2218" s="66"/>
      <c r="M2218" s="201" t="s">
        <v>12550</v>
      </c>
      <c r="N2218" s="207"/>
      <c r="O2218" s="38"/>
    </row>
    <row r="2219" spans="1:15" ht="72" customHeight="1" x14ac:dyDescent="0.3">
      <c r="A2219" s="139">
        <v>2188</v>
      </c>
      <c r="B2219" s="80" t="s">
        <v>17241</v>
      </c>
      <c r="C2219" s="80" t="s">
        <v>15134</v>
      </c>
      <c r="D2219" s="256" t="s">
        <v>17242</v>
      </c>
      <c r="E2219" s="80">
        <v>787</v>
      </c>
      <c r="F2219" s="25"/>
      <c r="G2219" s="207"/>
      <c r="H2219" s="25"/>
      <c r="I2219" s="26">
        <v>42403</v>
      </c>
      <c r="J2219" s="38" t="s">
        <v>19084</v>
      </c>
      <c r="K2219" s="207"/>
      <c r="L2219" s="66"/>
      <c r="M2219" s="201" t="s">
        <v>12550</v>
      </c>
      <c r="N2219" s="207"/>
      <c r="O2219" s="38"/>
    </row>
    <row r="2220" spans="1:15" ht="72" customHeight="1" x14ac:dyDescent="0.3">
      <c r="A2220" s="139">
        <v>2189</v>
      </c>
      <c r="B2220" s="80" t="s">
        <v>17243</v>
      </c>
      <c r="C2220" s="80" t="s">
        <v>15134</v>
      </c>
      <c r="D2220" s="256" t="s">
        <v>17244</v>
      </c>
      <c r="E2220" s="80">
        <v>498</v>
      </c>
      <c r="F2220" s="25"/>
      <c r="G2220" s="207"/>
      <c r="H2220" s="25"/>
      <c r="I2220" s="26">
        <v>42403</v>
      </c>
      <c r="J2220" s="38" t="s">
        <v>19082</v>
      </c>
      <c r="K2220" s="207"/>
      <c r="L2220" s="66"/>
      <c r="M2220" s="201" t="s">
        <v>12550</v>
      </c>
      <c r="N2220" s="207"/>
      <c r="O2220" s="38"/>
    </row>
    <row r="2221" spans="1:15" ht="72" customHeight="1" x14ac:dyDescent="0.3">
      <c r="A2221" s="269">
        <v>2190</v>
      </c>
      <c r="B2221" s="270" t="s">
        <v>15172</v>
      </c>
      <c r="C2221" s="270" t="s">
        <v>15138</v>
      </c>
      <c r="D2221" s="270"/>
      <c r="E2221" s="80">
        <v>2435</v>
      </c>
      <c r="F2221" s="25"/>
      <c r="G2221" s="207"/>
      <c r="H2221" s="207"/>
      <c r="I2221" s="26">
        <v>42403</v>
      </c>
      <c r="J2221" s="38" t="s">
        <v>15348</v>
      </c>
      <c r="K2221" s="207"/>
      <c r="L2221" s="66"/>
      <c r="M2221" s="201" t="s">
        <v>12550</v>
      </c>
      <c r="N2221" s="207"/>
      <c r="O2221" s="41"/>
    </row>
    <row r="2222" spans="1:15" ht="96" customHeight="1" x14ac:dyDescent="0.3">
      <c r="A2222" s="139">
        <v>2191</v>
      </c>
      <c r="B2222" s="80" t="s">
        <v>15173</v>
      </c>
      <c r="C2222" s="80" t="s">
        <v>15139</v>
      </c>
      <c r="D2222" s="80"/>
      <c r="E2222" s="80">
        <v>3570</v>
      </c>
      <c r="F2222" s="25"/>
      <c r="G2222" s="207"/>
      <c r="H2222" s="207"/>
      <c r="I2222" s="26">
        <v>42403</v>
      </c>
      <c r="J2222" s="38" t="s">
        <v>15348</v>
      </c>
      <c r="K2222" s="207"/>
      <c r="L2222" s="66"/>
      <c r="M2222" s="201" t="s">
        <v>12550</v>
      </c>
      <c r="N2222" s="207"/>
      <c r="O2222" s="41"/>
    </row>
    <row r="2223" spans="1:15" ht="72" customHeight="1" x14ac:dyDescent="0.3">
      <c r="A2223" s="139">
        <v>2192</v>
      </c>
      <c r="B2223" s="80" t="s">
        <v>15174</v>
      </c>
      <c r="C2223" s="80" t="s">
        <v>15140</v>
      </c>
      <c r="D2223" s="80"/>
      <c r="E2223" s="80">
        <v>5398</v>
      </c>
      <c r="F2223" s="25"/>
      <c r="G2223" s="207"/>
      <c r="H2223" s="207"/>
      <c r="I2223" s="26">
        <v>42403</v>
      </c>
      <c r="J2223" s="38" t="s">
        <v>15348</v>
      </c>
      <c r="K2223" s="207"/>
      <c r="L2223" s="66"/>
      <c r="M2223" s="201" t="s">
        <v>12550</v>
      </c>
      <c r="N2223" s="207"/>
      <c r="O2223" s="41"/>
    </row>
    <row r="2224" spans="1:15" ht="72" customHeight="1" x14ac:dyDescent="0.3">
      <c r="A2224" s="139">
        <v>2193</v>
      </c>
      <c r="B2224" s="80" t="s">
        <v>15175</v>
      </c>
      <c r="C2224" s="80" t="s">
        <v>15141</v>
      </c>
      <c r="D2224" s="80"/>
      <c r="E2224" s="80">
        <v>7863</v>
      </c>
      <c r="F2224" s="25"/>
      <c r="G2224" s="207"/>
      <c r="H2224" s="207"/>
      <c r="I2224" s="26">
        <v>42403</v>
      </c>
      <c r="J2224" s="38" t="s">
        <v>15348</v>
      </c>
      <c r="K2224" s="207"/>
      <c r="L2224" s="66"/>
      <c r="M2224" s="201" t="s">
        <v>12550</v>
      </c>
      <c r="N2224" s="207"/>
      <c r="O2224" s="41"/>
    </row>
    <row r="2225" spans="1:15" ht="72" customHeight="1" x14ac:dyDescent="0.3">
      <c r="A2225" s="139">
        <v>2194</v>
      </c>
      <c r="B2225" s="80" t="s">
        <v>15176</v>
      </c>
      <c r="C2225" s="80" t="s">
        <v>19073</v>
      </c>
      <c r="D2225" s="80"/>
      <c r="E2225" s="80">
        <v>5816</v>
      </c>
      <c r="F2225" s="25"/>
      <c r="G2225" s="207"/>
      <c r="H2225" s="207"/>
      <c r="I2225" s="26">
        <v>42403</v>
      </c>
      <c r="J2225" s="38" t="s">
        <v>15348</v>
      </c>
      <c r="K2225" s="207"/>
      <c r="L2225" s="66"/>
      <c r="M2225" s="201" t="s">
        <v>12550</v>
      </c>
      <c r="N2225" s="207"/>
      <c r="O2225" s="41"/>
    </row>
    <row r="2226" spans="1:15" ht="72" customHeight="1" x14ac:dyDescent="0.3">
      <c r="A2226" s="139">
        <v>2195</v>
      </c>
      <c r="B2226" s="80" t="s">
        <v>15177</v>
      </c>
      <c r="C2226" s="80" t="s">
        <v>15142</v>
      </c>
      <c r="D2226" s="80"/>
      <c r="E2226" s="80">
        <v>6834</v>
      </c>
      <c r="F2226" s="25"/>
      <c r="G2226" s="207"/>
      <c r="H2226" s="207"/>
      <c r="I2226" s="26">
        <v>42403</v>
      </c>
      <c r="J2226" s="38" t="s">
        <v>15348</v>
      </c>
      <c r="K2226" s="207"/>
      <c r="L2226" s="66"/>
      <c r="M2226" s="201" t="s">
        <v>12550</v>
      </c>
      <c r="N2226" s="207"/>
      <c r="O2226" s="41"/>
    </row>
    <row r="2227" spans="1:15" ht="84" customHeight="1" x14ac:dyDescent="0.3">
      <c r="A2227" s="139">
        <v>2196</v>
      </c>
      <c r="B2227" s="80" t="s">
        <v>15213</v>
      </c>
      <c r="C2227" s="80" t="s">
        <v>15178</v>
      </c>
      <c r="D2227" s="256" t="s">
        <v>20286</v>
      </c>
      <c r="E2227" s="80">
        <v>2700</v>
      </c>
      <c r="F2227" s="25">
        <v>3704000</v>
      </c>
      <c r="G2227" s="207"/>
      <c r="H2227" s="25">
        <v>28512</v>
      </c>
      <c r="I2227" s="26">
        <v>42403</v>
      </c>
      <c r="J2227" s="38" t="s">
        <v>21135</v>
      </c>
      <c r="K2227" s="207"/>
      <c r="L2227" s="66"/>
      <c r="M2227" s="201" t="s">
        <v>12550</v>
      </c>
      <c r="N2227" s="207"/>
      <c r="O2227" s="41"/>
    </row>
    <row r="2228" spans="1:15" ht="84" customHeight="1" x14ac:dyDescent="0.3">
      <c r="A2228" s="139">
        <v>2197</v>
      </c>
      <c r="B2228" s="80" t="s">
        <v>15214</v>
      </c>
      <c r="C2228" s="80" t="s">
        <v>15179</v>
      </c>
      <c r="D2228" s="256" t="s">
        <v>20526</v>
      </c>
      <c r="E2228" s="80">
        <v>11100</v>
      </c>
      <c r="F2228" s="25">
        <v>9426000</v>
      </c>
      <c r="G2228" s="207"/>
      <c r="H2228" s="25">
        <v>595583.12</v>
      </c>
      <c r="I2228" s="26">
        <v>42403</v>
      </c>
      <c r="J2228" s="38" t="s">
        <v>20747</v>
      </c>
      <c r="K2228" s="207"/>
      <c r="L2228" s="66"/>
      <c r="M2228" s="201" t="s">
        <v>12550</v>
      </c>
      <c r="N2228" s="207"/>
      <c r="O2228" s="41"/>
    </row>
    <row r="2229" spans="1:15" ht="94.95" customHeight="1" x14ac:dyDescent="0.3">
      <c r="A2229" s="139">
        <v>2198</v>
      </c>
      <c r="B2229" s="80" t="s">
        <v>15215</v>
      </c>
      <c r="C2229" s="80" t="s">
        <v>15180</v>
      </c>
      <c r="D2229" s="256" t="s">
        <v>20515</v>
      </c>
      <c r="E2229" s="80">
        <v>4180</v>
      </c>
      <c r="F2229" s="25">
        <v>1250000</v>
      </c>
      <c r="G2229" s="207"/>
      <c r="H2229" s="25">
        <v>264189.68</v>
      </c>
      <c r="I2229" s="26">
        <v>42403</v>
      </c>
      <c r="J2229" s="38" t="s">
        <v>21146</v>
      </c>
      <c r="K2229" s="207"/>
      <c r="L2229" s="66"/>
      <c r="M2229" s="201" t="s">
        <v>12550</v>
      </c>
      <c r="N2229" s="207"/>
      <c r="O2229" s="41"/>
    </row>
    <row r="2230" spans="1:15" ht="84" customHeight="1" x14ac:dyDescent="0.3">
      <c r="A2230" s="139">
        <v>2199</v>
      </c>
      <c r="B2230" s="80" t="s">
        <v>15487</v>
      </c>
      <c r="C2230" s="80" t="s">
        <v>15181</v>
      </c>
      <c r="D2230" s="256" t="s">
        <v>20523</v>
      </c>
      <c r="E2230" s="80">
        <v>584</v>
      </c>
      <c r="F2230" s="25">
        <v>22000</v>
      </c>
      <c r="G2230" s="207"/>
      <c r="H2230" s="207">
        <v>11502.6</v>
      </c>
      <c r="I2230" s="26">
        <v>42403</v>
      </c>
      <c r="J2230" s="38" t="s">
        <v>20745</v>
      </c>
      <c r="K2230" s="207"/>
      <c r="L2230" s="66"/>
      <c r="M2230" s="201" t="s">
        <v>12550</v>
      </c>
      <c r="N2230" s="207"/>
      <c r="O2230" s="41"/>
    </row>
    <row r="2231" spans="1:15" ht="89.4" customHeight="1" x14ac:dyDescent="0.3">
      <c r="A2231" s="139">
        <v>2200</v>
      </c>
      <c r="B2231" s="80" t="s">
        <v>15216</v>
      </c>
      <c r="C2231" s="80" t="s">
        <v>15182</v>
      </c>
      <c r="D2231" s="256" t="s">
        <v>20524</v>
      </c>
      <c r="E2231" s="80">
        <v>3423</v>
      </c>
      <c r="F2231" s="25">
        <v>808000</v>
      </c>
      <c r="G2231" s="207"/>
      <c r="H2231" s="25">
        <v>229635.52</v>
      </c>
      <c r="I2231" s="26">
        <v>42403</v>
      </c>
      <c r="J2231" s="38" t="s">
        <v>21227</v>
      </c>
      <c r="K2231" s="207"/>
      <c r="L2231" s="66"/>
      <c r="M2231" s="201" t="s">
        <v>12550</v>
      </c>
      <c r="N2231" s="207"/>
      <c r="O2231" s="41"/>
    </row>
    <row r="2232" spans="1:15" ht="108" customHeight="1" x14ac:dyDescent="0.3">
      <c r="A2232" s="139">
        <v>2201</v>
      </c>
      <c r="B2232" s="80" t="s">
        <v>15217</v>
      </c>
      <c r="C2232" s="80" t="s">
        <v>15183</v>
      </c>
      <c r="D2232" s="256" t="s">
        <v>20517</v>
      </c>
      <c r="E2232" s="80">
        <v>9164</v>
      </c>
      <c r="F2232" s="25">
        <v>380000</v>
      </c>
      <c r="G2232" s="207"/>
      <c r="H2232" s="25">
        <v>100204.2</v>
      </c>
      <c r="I2232" s="26">
        <v>42403</v>
      </c>
      <c r="J2232" s="38" t="s">
        <v>20738</v>
      </c>
      <c r="K2232" s="207"/>
      <c r="L2232" s="66"/>
      <c r="M2232" s="201" t="s">
        <v>12550</v>
      </c>
      <c r="N2232" s="207"/>
      <c r="O2232" s="41"/>
    </row>
    <row r="2233" spans="1:15" ht="87.6" customHeight="1" x14ac:dyDescent="0.3">
      <c r="A2233" s="139">
        <v>2202</v>
      </c>
      <c r="B2233" s="80" t="s">
        <v>15218</v>
      </c>
      <c r="C2233" s="80" t="s">
        <v>15184</v>
      </c>
      <c r="D2233" s="256" t="s">
        <v>20513</v>
      </c>
      <c r="E2233" s="80">
        <v>1388</v>
      </c>
      <c r="F2233" s="25">
        <v>74000</v>
      </c>
      <c r="G2233" s="207"/>
      <c r="H2233" s="25">
        <v>117481.56</v>
      </c>
      <c r="I2233" s="26">
        <v>42403</v>
      </c>
      <c r="J2233" s="38" t="s">
        <v>20735</v>
      </c>
      <c r="K2233" s="207"/>
      <c r="L2233" s="66"/>
      <c r="M2233" s="201" t="s">
        <v>12550</v>
      </c>
      <c r="N2233" s="207"/>
      <c r="O2233" s="41"/>
    </row>
    <row r="2234" spans="1:15" ht="88.95" customHeight="1" x14ac:dyDescent="0.3">
      <c r="A2234" s="139">
        <v>2203</v>
      </c>
      <c r="B2234" s="80" t="s">
        <v>18484</v>
      </c>
      <c r="C2234" s="80" t="s">
        <v>15185</v>
      </c>
      <c r="D2234" s="256" t="s">
        <v>20512</v>
      </c>
      <c r="E2234" s="80">
        <v>22848</v>
      </c>
      <c r="F2234" s="25">
        <v>6479000</v>
      </c>
      <c r="G2234" s="207"/>
      <c r="H2234" s="25">
        <v>627416.48</v>
      </c>
      <c r="I2234" s="26">
        <v>42403</v>
      </c>
      <c r="J2234" s="38" t="s">
        <v>20736</v>
      </c>
      <c r="K2234" s="207"/>
      <c r="L2234" s="66"/>
      <c r="M2234" s="201" t="s">
        <v>12550</v>
      </c>
      <c r="N2234" s="207"/>
      <c r="O2234" s="41"/>
    </row>
    <row r="2235" spans="1:15" ht="72" customHeight="1" x14ac:dyDescent="0.3">
      <c r="A2235" s="139">
        <v>2204</v>
      </c>
      <c r="B2235" s="80" t="s">
        <v>15219</v>
      </c>
      <c r="C2235" s="80" t="s">
        <v>15186</v>
      </c>
      <c r="D2235" s="256" t="s">
        <v>20522</v>
      </c>
      <c r="E2235" s="80">
        <v>4782</v>
      </c>
      <c r="F2235" s="25">
        <v>436000</v>
      </c>
      <c r="G2235" s="207"/>
      <c r="H2235" s="25">
        <v>75910.2</v>
      </c>
      <c r="I2235" s="26">
        <v>42403</v>
      </c>
      <c r="J2235" s="38" t="s">
        <v>20744</v>
      </c>
      <c r="K2235" s="207"/>
      <c r="L2235" s="66"/>
      <c r="M2235" s="201" t="s">
        <v>12550</v>
      </c>
      <c r="N2235" s="207"/>
      <c r="O2235" s="41"/>
    </row>
    <row r="2236" spans="1:15" ht="72" customHeight="1" x14ac:dyDescent="0.3">
      <c r="A2236" s="139">
        <v>2205</v>
      </c>
      <c r="B2236" s="80" t="s">
        <v>15220</v>
      </c>
      <c r="C2236" s="80" t="s">
        <v>15187</v>
      </c>
      <c r="D2236" s="256" t="s">
        <v>20514</v>
      </c>
      <c r="E2236" s="80">
        <v>2360</v>
      </c>
      <c r="F2236" s="25">
        <v>2102000</v>
      </c>
      <c r="G2236" s="207"/>
      <c r="H2236" s="25">
        <v>33029.699999999997</v>
      </c>
      <c r="I2236" s="26">
        <v>42403</v>
      </c>
      <c r="J2236" s="38" t="s">
        <v>21143</v>
      </c>
      <c r="K2236" s="207"/>
      <c r="L2236" s="66"/>
      <c r="M2236" s="201" t="s">
        <v>12550</v>
      </c>
      <c r="N2236" s="207"/>
      <c r="O2236" s="41"/>
    </row>
    <row r="2237" spans="1:15" ht="72" customHeight="1" x14ac:dyDescent="0.3">
      <c r="A2237" s="139">
        <v>2206</v>
      </c>
      <c r="B2237" s="80" t="s">
        <v>15221</v>
      </c>
      <c r="C2237" s="80" t="s">
        <v>15188</v>
      </c>
      <c r="D2237" s="256" t="s">
        <v>20545</v>
      </c>
      <c r="E2237" s="80">
        <v>5354</v>
      </c>
      <c r="F2237" s="25">
        <v>2033000</v>
      </c>
      <c r="G2237" s="207"/>
      <c r="H2237" s="25">
        <v>55096.2</v>
      </c>
      <c r="I2237" s="26">
        <v>42403</v>
      </c>
      <c r="J2237" s="38" t="s">
        <v>20742</v>
      </c>
      <c r="K2237" s="207"/>
      <c r="L2237" s="66"/>
      <c r="M2237" s="201" t="s">
        <v>12550</v>
      </c>
      <c r="N2237" s="207"/>
      <c r="O2237" s="41"/>
    </row>
    <row r="2238" spans="1:15" ht="84.6" customHeight="1" x14ac:dyDescent="0.3">
      <c r="A2238" s="139">
        <v>2207</v>
      </c>
      <c r="B2238" s="80" t="s">
        <v>15222</v>
      </c>
      <c r="C2238" s="80" t="s">
        <v>15189</v>
      </c>
      <c r="D2238" s="256" t="s">
        <v>20527</v>
      </c>
      <c r="E2238" s="80">
        <v>4742</v>
      </c>
      <c r="F2238" s="25">
        <v>1110000</v>
      </c>
      <c r="G2238" s="207"/>
      <c r="H2238" s="25">
        <v>87702.9</v>
      </c>
      <c r="I2238" s="26">
        <v>42403</v>
      </c>
      <c r="J2238" s="38" t="s">
        <v>20749</v>
      </c>
      <c r="K2238" s="207"/>
      <c r="L2238" s="66"/>
      <c r="M2238" s="201" t="s">
        <v>12550</v>
      </c>
      <c r="N2238" s="207"/>
      <c r="O2238" s="41"/>
    </row>
    <row r="2239" spans="1:15" ht="72" customHeight="1" x14ac:dyDescent="0.3">
      <c r="A2239" s="139">
        <v>2208</v>
      </c>
      <c r="B2239" s="80" t="s">
        <v>15223</v>
      </c>
      <c r="C2239" s="80" t="s">
        <v>15190</v>
      </c>
      <c r="D2239" s="256" t="s">
        <v>20520</v>
      </c>
      <c r="E2239" s="80">
        <v>6823</v>
      </c>
      <c r="F2239" s="25">
        <v>1145000</v>
      </c>
      <c r="G2239" s="207"/>
      <c r="H2239" s="25">
        <v>101106.3</v>
      </c>
      <c r="I2239" s="26">
        <v>42403</v>
      </c>
      <c r="J2239" s="38" t="s">
        <v>20741</v>
      </c>
      <c r="K2239" s="207"/>
      <c r="L2239" s="66"/>
      <c r="M2239" s="201" t="s">
        <v>12550</v>
      </c>
      <c r="N2239" s="207"/>
      <c r="O2239" s="41"/>
    </row>
    <row r="2240" spans="1:15" ht="88.95" customHeight="1" x14ac:dyDescent="0.3">
      <c r="A2240" s="139">
        <v>2209</v>
      </c>
      <c r="B2240" s="80" t="s">
        <v>15224</v>
      </c>
      <c r="C2240" s="80" t="s">
        <v>15191</v>
      </c>
      <c r="D2240" s="256" t="s">
        <v>20518</v>
      </c>
      <c r="E2240" s="80">
        <v>3526</v>
      </c>
      <c r="F2240" s="25">
        <v>169000</v>
      </c>
      <c r="G2240" s="207"/>
      <c r="H2240" s="25">
        <v>58253.7</v>
      </c>
      <c r="I2240" s="26">
        <v>42403</v>
      </c>
      <c r="J2240" s="38" t="s">
        <v>20739</v>
      </c>
      <c r="K2240" s="207"/>
      <c r="L2240" s="66"/>
      <c r="M2240" s="201" t="s">
        <v>12550</v>
      </c>
      <c r="N2240" s="207"/>
      <c r="O2240" s="41"/>
    </row>
    <row r="2241" spans="1:15" ht="84" customHeight="1" x14ac:dyDescent="0.3">
      <c r="A2241" s="139">
        <v>2210</v>
      </c>
      <c r="B2241" s="80" t="s">
        <v>15225</v>
      </c>
      <c r="C2241" s="80" t="s">
        <v>15192</v>
      </c>
      <c r="D2241" s="256" t="s">
        <v>20521</v>
      </c>
      <c r="E2241" s="80">
        <v>11356</v>
      </c>
      <c r="F2241" s="25">
        <v>534000</v>
      </c>
      <c r="G2241" s="207"/>
      <c r="H2241" s="25">
        <v>160906.79999999999</v>
      </c>
      <c r="I2241" s="26">
        <v>42403</v>
      </c>
      <c r="J2241" s="38" t="s">
        <v>20743</v>
      </c>
      <c r="K2241" s="207"/>
      <c r="L2241" s="66"/>
      <c r="M2241" s="201" t="s">
        <v>12550</v>
      </c>
      <c r="N2241" s="207"/>
      <c r="O2241" s="41"/>
    </row>
    <row r="2242" spans="1:15" ht="120" customHeight="1" x14ac:dyDescent="0.3">
      <c r="A2242" s="139">
        <v>2211</v>
      </c>
      <c r="B2242" s="80" t="s">
        <v>15226</v>
      </c>
      <c r="C2242" s="80" t="s">
        <v>15193</v>
      </c>
      <c r="D2242" s="256" t="s">
        <v>20516</v>
      </c>
      <c r="E2242" s="80">
        <v>5717</v>
      </c>
      <c r="F2242" s="25">
        <v>270000</v>
      </c>
      <c r="G2242" s="207"/>
      <c r="H2242" s="25">
        <v>83707.5</v>
      </c>
      <c r="I2242" s="26">
        <v>42403</v>
      </c>
      <c r="J2242" s="38" t="s">
        <v>20737</v>
      </c>
      <c r="K2242" s="207"/>
      <c r="L2242" s="66"/>
      <c r="M2242" s="201" t="s">
        <v>12550</v>
      </c>
      <c r="N2242" s="207"/>
      <c r="O2242" s="41"/>
    </row>
    <row r="2243" spans="1:15" ht="90.6" customHeight="1" x14ac:dyDescent="0.3">
      <c r="A2243" s="139">
        <v>2212</v>
      </c>
      <c r="B2243" s="80" t="s">
        <v>15227</v>
      </c>
      <c r="C2243" s="80" t="s">
        <v>15194</v>
      </c>
      <c r="D2243" s="256" t="s">
        <v>20525</v>
      </c>
      <c r="E2243" s="80">
        <v>1000</v>
      </c>
      <c r="F2243" s="25">
        <v>334000</v>
      </c>
      <c r="G2243" s="207"/>
      <c r="H2243" s="25">
        <v>15807.9</v>
      </c>
      <c r="I2243" s="26">
        <v>42403</v>
      </c>
      <c r="J2243" s="38" t="s">
        <v>20746</v>
      </c>
      <c r="K2243" s="207"/>
      <c r="L2243" s="66"/>
      <c r="M2243" s="201" t="s">
        <v>12550</v>
      </c>
      <c r="N2243" s="207"/>
      <c r="O2243" s="41"/>
    </row>
    <row r="2244" spans="1:15" ht="90.6" customHeight="1" x14ac:dyDescent="0.3">
      <c r="A2244" s="139">
        <v>2213</v>
      </c>
      <c r="B2244" s="80" t="s">
        <v>15228</v>
      </c>
      <c r="C2244" s="80" t="s">
        <v>15195</v>
      </c>
      <c r="D2244" s="256" t="s">
        <v>20528</v>
      </c>
      <c r="E2244" s="80">
        <v>15218</v>
      </c>
      <c r="F2244" s="25">
        <v>632000</v>
      </c>
      <c r="G2244" s="207"/>
      <c r="H2244" s="25">
        <v>148147.5</v>
      </c>
      <c r="I2244" s="26">
        <v>42403</v>
      </c>
      <c r="J2244" s="38" t="s">
        <v>20748</v>
      </c>
      <c r="K2244" s="207"/>
      <c r="L2244" s="66"/>
      <c r="M2244" s="201" t="s">
        <v>12550</v>
      </c>
      <c r="N2244" s="207"/>
      <c r="O2244" s="41"/>
    </row>
    <row r="2245" spans="1:15" ht="72" customHeight="1" x14ac:dyDescent="0.3">
      <c r="A2245" s="139">
        <v>2214</v>
      </c>
      <c r="B2245" s="80" t="s">
        <v>15229</v>
      </c>
      <c r="C2245" s="80" t="s">
        <v>15196</v>
      </c>
      <c r="D2245" s="256" t="s">
        <v>20529</v>
      </c>
      <c r="E2245" s="80">
        <v>2240</v>
      </c>
      <c r="F2245" s="25">
        <v>2761000</v>
      </c>
      <c r="G2245" s="207"/>
      <c r="H2245" s="25">
        <v>23712</v>
      </c>
      <c r="I2245" s="26">
        <v>42403</v>
      </c>
      <c r="J2245" s="38" t="s">
        <v>21138</v>
      </c>
      <c r="K2245" s="207"/>
      <c r="L2245" s="66"/>
      <c r="M2245" s="201" t="s">
        <v>12550</v>
      </c>
      <c r="N2245" s="207"/>
      <c r="O2245" s="41"/>
    </row>
    <row r="2246" spans="1:15" ht="72" customHeight="1" x14ac:dyDescent="0.3">
      <c r="A2246" s="269">
        <v>2215</v>
      </c>
      <c r="B2246" s="270" t="s">
        <v>15483</v>
      </c>
      <c r="C2246" s="270" t="s">
        <v>15484</v>
      </c>
      <c r="D2246" s="270"/>
      <c r="E2246" s="80">
        <v>4272</v>
      </c>
      <c r="F2246" s="25"/>
      <c r="G2246" s="207"/>
      <c r="H2246" s="207"/>
      <c r="I2246" s="26">
        <v>42403</v>
      </c>
      <c r="J2246" s="38" t="s">
        <v>15348</v>
      </c>
      <c r="K2246" s="207"/>
      <c r="L2246" s="66"/>
      <c r="M2246" s="201" t="s">
        <v>12550</v>
      </c>
      <c r="N2246" s="207"/>
      <c r="O2246" s="41"/>
    </row>
    <row r="2247" spans="1:15" ht="75" customHeight="1" x14ac:dyDescent="0.3">
      <c r="A2247" s="139">
        <v>2216</v>
      </c>
      <c r="B2247" s="80" t="s">
        <v>15230</v>
      </c>
      <c r="C2247" s="80" t="s">
        <v>15197</v>
      </c>
      <c r="D2247" s="80"/>
      <c r="E2247" s="80">
        <v>11823</v>
      </c>
      <c r="F2247" s="25"/>
      <c r="G2247" s="207"/>
      <c r="H2247" s="207"/>
      <c r="I2247" s="26">
        <v>42403</v>
      </c>
      <c r="J2247" s="38" t="s">
        <v>15348</v>
      </c>
      <c r="K2247" s="207"/>
      <c r="L2247" s="66"/>
      <c r="M2247" s="201" t="s">
        <v>12550</v>
      </c>
      <c r="N2247" s="207"/>
      <c r="O2247" s="41"/>
    </row>
    <row r="2248" spans="1:15" ht="72" customHeight="1" x14ac:dyDescent="0.3">
      <c r="A2248" s="139">
        <v>2217</v>
      </c>
      <c r="B2248" s="80" t="s">
        <v>15231</v>
      </c>
      <c r="C2248" s="80" t="s">
        <v>15198</v>
      </c>
      <c r="D2248" s="80"/>
      <c r="E2248" s="80">
        <v>622</v>
      </c>
      <c r="F2248" s="25"/>
      <c r="G2248" s="207"/>
      <c r="H2248" s="207"/>
      <c r="I2248" s="26">
        <v>42403</v>
      </c>
      <c r="J2248" s="38" t="s">
        <v>15348</v>
      </c>
      <c r="K2248" s="207"/>
      <c r="L2248" s="66"/>
      <c r="M2248" s="201" t="s">
        <v>12550</v>
      </c>
      <c r="N2248" s="207"/>
      <c r="O2248" s="41"/>
    </row>
    <row r="2249" spans="1:15" ht="72" customHeight="1" x14ac:dyDescent="0.3">
      <c r="A2249" s="139">
        <v>2218</v>
      </c>
      <c r="B2249" s="80" t="s">
        <v>15232</v>
      </c>
      <c r="C2249" s="80" t="s">
        <v>15199</v>
      </c>
      <c r="D2249" s="80"/>
      <c r="E2249" s="80">
        <v>1176</v>
      </c>
      <c r="F2249" s="25"/>
      <c r="G2249" s="207"/>
      <c r="H2249" s="207"/>
      <c r="I2249" s="26">
        <v>42403</v>
      </c>
      <c r="J2249" s="38" t="s">
        <v>15348</v>
      </c>
      <c r="K2249" s="207"/>
      <c r="L2249" s="66"/>
      <c r="M2249" s="201" t="s">
        <v>12550</v>
      </c>
      <c r="N2249" s="207"/>
      <c r="O2249" s="41"/>
    </row>
    <row r="2250" spans="1:15" ht="72" customHeight="1" x14ac:dyDescent="0.3">
      <c r="A2250" s="139">
        <v>2219</v>
      </c>
      <c r="B2250" s="80" t="s">
        <v>21468</v>
      </c>
      <c r="C2250" s="80" t="s">
        <v>15200</v>
      </c>
      <c r="D2250" s="80"/>
      <c r="E2250" s="80">
        <v>17005</v>
      </c>
      <c r="F2250" s="25"/>
      <c r="G2250" s="207"/>
      <c r="H2250" s="207"/>
      <c r="I2250" s="26">
        <v>42403</v>
      </c>
      <c r="J2250" s="38" t="s">
        <v>15348</v>
      </c>
      <c r="K2250" s="207"/>
      <c r="L2250" s="66"/>
      <c r="M2250" s="201" t="s">
        <v>12550</v>
      </c>
      <c r="N2250" s="207"/>
      <c r="O2250" s="41"/>
    </row>
    <row r="2251" spans="1:15" ht="72" customHeight="1" x14ac:dyDescent="0.3">
      <c r="A2251" s="139">
        <v>2220</v>
      </c>
      <c r="B2251" s="80" t="s">
        <v>15233</v>
      </c>
      <c r="C2251" s="80" t="s">
        <v>15201</v>
      </c>
      <c r="D2251" s="80"/>
      <c r="E2251" s="80">
        <v>719</v>
      </c>
      <c r="F2251" s="25"/>
      <c r="G2251" s="207"/>
      <c r="H2251" s="207"/>
      <c r="I2251" s="26">
        <v>42403</v>
      </c>
      <c r="J2251" s="38" t="s">
        <v>15348</v>
      </c>
      <c r="K2251" s="207"/>
      <c r="L2251" s="66"/>
      <c r="M2251" s="201" t="s">
        <v>12550</v>
      </c>
      <c r="N2251" s="207"/>
      <c r="O2251" s="41"/>
    </row>
    <row r="2252" spans="1:15" ht="72" customHeight="1" x14ac:dyDescent="0.3">
      <c r="A2252" s="139">
        <v>2221</v>
      </c>
      <c r="B2252" s="80" t="s">
        <v>20898</v>
      </c>
      <c r="C2252" s="80" t="s">
        <v>15202</v>
      </c>
      <c r="D2252" s="80"/>
      <c r="E2252" s="80">
        <v>625</v>
      </c>
      <c r="F2252" s="25"/>
      <c r="G2252" s="207"/>
      <c r="H2252" s="207"/>
      <c r="I2252" s="26">
        <v>42403</v>
      </c>
      <c r="J2252" s="38" t="s">
        <v>15348</v>
      </c>
      <c r="K2252" s="207"/>
      <c r="L2252" s="66"/>
      <c r="M2252" s="201" t="s">
        <v>12550</v>
      </c>
      <c r="N2252" s="207"/>
      <c r="O2252" s="41"/>
    </row>
    <row r="2253" spans="1:15" ht="72" customHeight="1" x14ac:dyDescent="0.3">
      <c r="A2253" s="139">
        <v>2222</v>
      </c>
      <c r="B2253" s="80" t="s">
        <v>15234</v>
      </c>
      <c r="C2253" s="80" t="s">
        <v>15203</v>
      </c>
      <c r="D2253" s="80"/>
      <c r="E2253" s="80">
        <v>20764</v>
      </c>
      <c r="F2253" s="25"/>
      <c r="G2253" s="207"/>
      <c r="H2253" s="207"/>
      <c r="I2253" s="26">
        <v>42403</v>
      </c>
      <c r="J2253" s="38" t="s">
        <v>15348</v>
      </c>
      <c r="K2253" s="207"/>
      <c r="L2253" s="66"/>
      <c r="M2253" s="201" t="s">
        <v>12550</v>
      </c>
      <c r="N2253" s="207"/>
      <c r="O2253" s="41"/>
    </row>
    <row r="2254" spans="1:15" ht="72" customHeight="1" x14ac:dyDescent="0.3">
      <c r="A2254" s="139">
        <v>2223</v>
      </c>
      <c r="B2254" s="80" t="s">
        <v>15235</v>
      </c>
      <c r="C2254" s="80" t="s">
        <v>15204</v>
      </c>
      <c r="D2254" s="80"/>
      <c r="E2254" s="80">
        <v>12888</v>
      </c>
      <c r="F2254" s="25"/>
      <c r="G2254" s="207"/>
      <c r="H2254" s="207"/>
      <c r="I2254" s="26">
        <v>42403</v>
      </c>
      <c r="J2254" s="38" t="s">
        <v>15348</v>
      </c>
      <c r="K2254" s="207"/>
      <c r="L2254" s="66"/>
      <c r="M2254" s="201" t="s">
        <v>12550</v>
      </c>
      <c r="N2254" s="207"/>
      <c r="O2254" s="41"/>
    </row>
    <row r="2255" spans="1:15" ht="72" customHeight="1" x14ac:dyDescent="0.3">
      <c r="A2255" s="139">
        <v>2224</v>
      </c>
      <c r="B2255" s="80" t="s">
        <v>15236</v>
      </c>
      <c r="C2255" s="80" t="s">
        <v>15205</v>
      </c>
      <c r="D2255" s="80"/>
      <c r="E2255" s="80">
        <v>5172</v>
      </c>
      <c r="F2255" s="25"/>
      <c r="G2255" s="207"/>
      <c r="H2255" s="207"/>
      <c r="I2255" s="26">
        <v>42403</v>
      </c>
      <c r="J2255" s="38" t="s">
        <v>15348</v>
      </c>
      <c r="K2255" s="207"/>
      <c r="L2255" s="66"/>
      <c r="M2255" s="201" t="s">
        <v>12550</v>
      </c>
      <c r="N2255" s="207"/>
      <c r="O2255" s="41"/>
    </row>
    <row r="2256" spans="1:15" ht="72" customHeight="1" x14ac:dyDescent="0.3">
      <c r="A2256" s="139">
        <v>2225</v>
      </c>
      <c r="B2256" s="80" t="s">
        <v>15237</v>
      </c>
      <c r="C2256" s="80" t="s">
        <v>15206</v>
      </c>
      <c r="D2256" s="80"/>
      <c r="E2256" s="80">
        <v>775</v>
      </c>
      <c r="F2256" s="25"/>
      <c r="G2256" s="207"/>
      <c r="H2256" s="207"/>
      <c r="I2256" s="26">
        <v>42403</v>
      </c>
      <c r="J2256" s="38" t="s">
        <v>15348</v>
      </c>
      <c r="K2256" s="207"/>
      <c r="L2256" s="66"/>
      <c r="M2256" s="201" t="s">
        <v>12550</v>
      </c>
      <c r="N2256" s="207"/>
      <c r="O2256" s="41"/>
    </row>
    <row r="2257" spans="1:15" ht="72" customHeight="1" x14ac:dyDescent="0.3">
      <c r="A2257" s="139">
        <v>2226</v>
      </c>
      <c r="B2257" s="80" t="s">
        <v>15238</v>
      </c>
      <c r="C2257" s="80" t="s">
        <v>15207</v>
      </c>
      <c r="D2257" s="80"/>
      <c r="E2257" s="80">
        <v>2629</v>
      </c>
      <c r="F2257" s="25"/>
      <c r="G2257" s="207"/>
      <c r="H2257" s="207"/>
      <c r="I2257" s="26">
        <v>42403</v>
      </c>
      <c r="J2257" s="38" t="s">
        <v>15348</v>
      </c>
      <c r="K2257" s="207"/>
      <c r="L2257" s="66"/>
      <c r="M2257" s="201" t="s">
        <v>12550</v>
      </c>
      <c r="N2257" s="207"/>
      <c r="O2257" s="41"/>
    </row>
    <row r="2258" spans="1:15" ht="72" customHeight="1" x14ac:dyDescent="0.3">
      <c r="A2258" s="139">
        <v>2227</v>
      </c>
      <c r="B2258" s="80" t="s">
        <v>15239</v>
      </c>
      <c r="C2258" s="80" t="s">
        <v>15208</v>
      </c>
      <c r="D2258" s="80"/>
      <c r="E2258" s="80">
        <v>1917</v>
      </c>
      <c r="F2258" s="25"/>
      <c r="G2258" s="207"/>
      <c r="H2258" s="207"/>
      <c r="I2258" s="26">
        <v>42403</v>
      </c>
      <c r="J2258" s="38" t="s">
        <v>15348</v>
      </c>
      <c r="K2258" s="207"/>
      <c r="L2258" s="66"/>
      <c r="M2258" s="201" t="s">
        <v>12550</v>
      </c>
      <c r="N2258" s="207"/>
      <c r="O2258" s="41"/>
    </row>
    <row r="2259" spans="1:15" ht="72" customHeight="1" x14ac:dyDescent="0.3">
      <c r="A2259" s="139">
        <v>2228</v>
      </c>
      <c r="B2259" s="80" t="s">
        <v>15240</v>
      </c>
      <c r="C2259" s="80" t="s">
        <v>15209</v>
      </c>
      <c r="D2259" s="80"/>
      <c r="E2259" s="80">
        <v>6020</v>
      </c>
      <c r="F2259" s="25"/>
      <c r="G2259" s="207"/>
      <c r="H2259" s="207"/>
      <c r="I2259" s="26">
        <v>42403</v>
      </c>
      <c r="J2259" s="38" t="s">
        <v>15348</v>
      </c>
      <c r="K2259" s="207"/>
      <c r="L2259" s="245"/>
      <c r="M2259" s="201" t="s">
        <v>12550</v>
      </c>
      <c r="N2259" s="207"/>
      <c r="O2259" s="41"/>
    </row>
    <row r="2260" spans="1:15" ht="72" customHeight="1" x14ac:dyDescent="0.3">
      <c r="A2260" s="139">
        <v>2229</v>
      </c>
      <c r="B2260" s="80" t="s">
        <v>15241</v>
      </c>
      <c r="C2260" s="80" t="s">
        <v>15210</v>
      </c>
      <c r="D2260" s="80"/>
      <c r="E2260" s="80">
        <v>1226</v>
      </c>
      <c r="F2260" s="25"/>
      <c r="G2260" s="207"/>
      <c r="H2260" s="207"/>
      <c r="I2260" s="26">
        <v>42403</v>
      </c>
      <c r="J2260" s="38" t="s">
        <v>15348</v>
      </c>
      <c r="K2260" s="207"/>
      <c r="L2260" s="66"/>
      <c r="M2260" s="201" t="s">
        <v>12550</v>
      </c>
      <c r="N2260" s="207"/>
      <c r="O2260" s="41"/>
    </row>
    <row r="2261" spans="1:15" ht="72" customHeight="1" x14ac:dyDescent="0.3">
      <c r="A2261" s="139">
        <v>2230</v>
      </c>
      <c r="B2261" s="80" t="s">
        <v>15242</v>
      </c>
      <c r="C2261" s="80" t="s">
        <v>15211</v>
      </c>
      <c r="D2261" s="80"/>
      <c r="E2261" s="80">
        <v>31815</v>
      </c>
      <c r="F2261" s="25"/>
      <c r="G2261" s="207"/>
      <c r="H2261" s="207"/>
      <c r="I2261" s="26">
        <v>42403</v>
      </c>
      <c r="J2261" s="38" t="s">
        <v>15348</v>
      </c>
      <c r="K2261" s="207"/>
      <c r="L2261" s="66"/>
      <c r="M2261" s="201" t="s">
        <v>12550</v>
      </c>
      <c r="N2261" s="207"/>
      <c r="O2261" s="41"/>
    </row>
    <row r="2262" spans="1:15" ht="72" customHeight="1" x14ac:dyDescent="0.3">
      <c r="A2262" s="139">
        <v>2231</v>
      </c>
      <c r="B2262" s="80" t="s">
        <v>15243</v>
      </c>
      <c r="C2262" s="80" t="s">
        <v>15212</v>
      </c>
      <c r="D2262" s="80"/>
      <c r="E2262" s="80">
        <v>6215</v>
      </c>
      <c r="F2262" s="25"/>
      <c r="G2262" s="207"/>
      <c r="H2262" s="207"/>
      <c r="I2262" s="26">
        <v>42403</v>
      </c>
      <c r="J2262" s="38" t="s">
        <v>15348</v>
      </c>
      <c r="K2262" s="207"/>
      <c r="L2262" s="66"/>
      <c r="M2262" s="201" t="s">
        <v>12550</v>
      </c>
      <c r="N2262" s="207"/>
      <c r="O2262" s="41"/>
    </row>
    <row r="2263" spans="1:15" ht="99.6" customHeight="1" x14ac:dyDescent="0.3">
      <c r="A2263" s="139">
        <v>2232</v>
      </c>
      <c r="B2263" s="308" t="s">
        <v>15258</v>
      </c>
      <c r="C2263" s="308" t="s">
        <v>15252</v>
      </c>
      <c r="D2263" s="85" t="s">
        <v>20303</v>
      </c>
      <c r="E2263" s="80">
        <v>2800</v>
      </c>
      <c r="F2263" s="25">
        <v>2551213</v>
      </c>
      <c r="G2263" s="207"/>
      <c r="H2263" s="25">
        <v>29568</v>
      </c>
      <c r="I2263" s="26">
        <v>42403</v>
      </c>
      <c r="J2263" s="80" t="s">
        <v>21133</v>
      </c>
      <c r="K2263" s="207"/>
      <c r="L2263" s="66"/>
      <c r="M2263" s="201" t="s">
        <v>12550</v>
      </c>
      <c r="N2263" s="207"/>
      <c r="O2263" s="41"/>
    </row>
    <row r="2264" spans="1:15" ht="120" x14ac:dyDescent="0.3">
      <c r="A2264" s="306">
        <v>2233</v>
      </c>
      <c r="B2264" s="105" t="s">
        <v>23535</v>
      </c>
      <c r="C2264" s="105" t="s">
        <v>23536</v>
      </c>
      <c r="D2264" s="307"/>
      <c r="E2264" s="80">
        <v>3613</v>
      </c>
      <c r="F2264" s="25"/>
      <c r="G2264" s="207"/>
      <c r="H2264" s="207"/>
      <c r="I2264" s="26">
        <v>42403</v>
      </c>
      <c r="J2264" s="38" t="s">
        <v>15348</v>
      </c>
      <c r="K2264" s="207"/>
      <c r="L2264" s="66"/>
      <c r="M2264" s="201" t="s">
        <v>12550</v>
      </c>
      <c r="N2264" s="207"/>
      <c r="O2264" s="38" t="s">
        <v>23856</v>
      </c>
    </row>
    <row r="2265" spans="1:15" ht="108" customHeight="1" x14ac:dyDescent="0.3">
      <c r="A2265" s="139">
        <v>2234</v>
      </c>
      <c r="B2265" s="270" t="s">
        <v>15259</v>
      </c>
      <c r="C2265" s="270" t="s">
        <v>15253</v>
      </c>
      <c r="D2265" s="207"/>
      <c r="E2265" s="80">
        <v>6020</v>
      </c>
      <c r="F2265" s="25"/>
      <c r="G2265" s="207"/>
      <c r="H2265" s="207"/>
      <c r="I2265" s="26">
        <v>42403</v>
      </c>
      <c r="J2265" s="38" t="s">
        <v>15348</v>
      </c>
      <c r="K2265" s="207"/>
      <c r="L2265" s="66"/>
      <c r="M2265" s="201" t="s">
        <v>12550</v>
      </c>
      <c r="N2265" s="207"/>
      <c r="O2265" s="41"/>
    </row>
    <row r="2266" spans="1:15" ht="72" customHeight="1" x14ac:dyDescent="0.3">
      <c r="A2266" s="139">
        <v>2235</v>
      </c>
      <c r="B2266" s="80" t="s">
        <v>15260</v>
      </c>
      <c r="C2266" s="80" t="s">
        <v>15254</v>
      </c>
      <c r="D2266" s="207"/>
      <c r="E2266" s="80">
        <v>2733</v>
      </c>
      <c r="F2266" s="25"/>
      <c r="G2266" s="207"/>
      <c r="H2266" s="207"/>
      <c r="I2266" s="26">
        <v>42403</v>
      </c>
      <c r="J2266" s="38" t="s">
        <v>15348</v>
      </c>
      <c r="K2266" s="207"/>
      <c r="L2266" s="66"/>
      <c r="M2266" s="201" t="s">
        <v>12550</v>
      </c>
      <c r="N2266" s="207"/>
      <c r="O2266" s="41"/>
    </row>
    <row r="2267" spans="1:15" ht="72" customHeight="1" x14ac:dyDescent="0.3">
      <c r="A2267" s="139">
        <v>2236</v>
      </c>
      <c r="B2267" s="80" t="s">
        <v>15261</v>
      </c>
      <c r="C2267" s="80" t="s">
        <v>15255</v>
      </c>
      <c r="D2267" s="207"/>
      <c r="E2267" s="80">
        <v>13500</v>
      </c>
      <c r="F2267" s="25"/>
      <c r="G2267" s="207"/>
      <c r="H2267" s="207"/>
      <c r="I2267" s="26">
        <v>42403</v>
      </c>
      <c r="J2267" s="38" t="s">
        <v>15348</v>
      </c>
      <c r="K2267" s="207"/>
      <c r="L2267" s="66"/>
      <c r="M2267" s="201" t="s">
        <v>12550</v>
      </c>
      <c r="N2267" s="207"/>
      <c r="O2267" s="41"/>
    </row>
    <row r="2268" spans="1:15" ht="72" customHeight="1" x14ac:dyDescent="0.3">
      <c r="A2268" s="139">
        <v>2237</v>
      </c>
      <c r="B2268" s="80" t="s">
        <v>15262</v>
      </c>
      <c r="C2268" s="80" t="s">
        <v>15256</v>
      </c>
      <c r="D2268" s="207"/>
      <c r="E2268" s="80">
        <v>3161</v>
      </c>
      <c r="F2268" s="25"/>
      <c r="G2268" s="207"/>
      <c r="H2268" s="207"/>
      <c r="I2268" s="26">
        <v>42403</v>
      </c>
      <c r="J2268" s="38" t="s">
        <v>15348</v>
      </c>
      <c r="K2268" s="207"/>
      <c r="L2268" s="66"/>
      <c r="M2268" s="201" t="s">
        <v>12550</v>
      </c>
      <c r="N2268" s="207"/>
      <c r="O2268" s="41"/>
    </row>
    <row r="2269" spans="1:15" ht="72" customHeight="1" x14ac:dyDescent="0.3">
      <c r="A2269" s="139">
        <v>2238</v>
      </c>
      <c r="B2269" s="80" t="s">
        <v>15263</v>
      </c>
      <c r="C2269" s="80" t="s">
        <v>15257</v>
      </c>
      <c r="D2269" s="207"/>
      <c r="E2269" s="80">
        <v>8400</v>
      </c>
      <c r="F2269" s="25"/>
      <c r="G2269" s="207"/>
      <c r="H2269" s="207"/>
      <c r="I2269" s="26">
        <v>42403</v>
      </c>
      <c r="J2269" s="38" t="s">
        <v>15348</v>
      </c>
      <c r="K2269" s="207"/>
      <c r="L2269" s="66"/>
      <c r="M2269" s="201" t="s">
        <v>12550</v>
      </c>
      <c r="N2269" s="207"/>
      <c r="O2269" s="41"/>
    </row>
    <row r="2270" spans="1:15" ht="72" customHeight="1" x14ac:dyDescent="0.3">
      <c r="A2270" s="139">
        <v>2239</v>
      </c>
      <c r="B2270" s="82" t="s">
        <v>21897</v>
      </c>
      <c r="C2270" s="82" t="s">
        <v>15264</v>
      </c>
      <c r="D2270" s="207"/>
      <c r="E2270" s="80">
        <v>1516.4</v>
      </c>
      <c r="F2270" s="25"/>
      <c r="G2270" s="207"/>
      <c r="H2270" s="207"/>
      <c r="I2270" s="26">
        <v>42403</v>
      </c>
      <c r="J2270" s="38" t="s">
        <v>15349</v>
      </c>
      <c r="K2270" s="207"/>
      <c r="L2270" s="66"/>
      <c r="M2270" s="201" t="s">
        <v>12550</v>
      </c>
      <c r="N2270" s="207"/>
      <c r="O2270" s="41"/>
    </row>
    <row r="2271" spans="1:15" ht="96" customHeight="1" x14ac:dyDescent="0.3">
      <c r="A2271" s="139">
        <v>2240</v>
      </c>
      <c r="B2271" s="246" t="s">
        <v>21898</v>
      </c>
      <c r="C2271" s="246" t="s">
        <v>15265</v>
      </c>
      <c r="D2271" s="85" t="s">
        <v>21397</v>
      </c>
      <c r="E2271" s="80">
        <v>369</v>
      </c>
      <c r="F2271" s="25"/>
      <c r="G2271" s="207"/>
      <c r="H2271" s="25">
        <v>31615.8</v>
      </c>
      <c r="I2271" s="26">
        <v>42403</v>
      </c>
      <c r="J2271" s="38" t="s">
        <v>21470</v>
      </c>
      <c r="K2271" s="207"/>
      <c r="L2271" s="66"/>
      <c r="M2271" s="201" t="s">
        <v>12550</v>
      </c>
      <c r="N2271" s="207"/>
      <c r="O2271" s="41"/>
    </row>
    <row r="2272" spans="1:15" ht="96" customHeight="1" x14ac:dyDescent="0.3">
      <c r="A2272" s="139">
        <v>2241</v>
      </c>
      <c r="B2272" s="246" t="s">
        <v>21892</v>
      </c>
      <c r="C2272" s="246" t="s">
        <v>15266</v>
      </c>
      <c r="D2272" s="85" t="s">
        <v>21396</v>
      </c>
      <c r="E2272" s="80">
        <v>237</v>
      </c>
      <c r="F2272" s="25"/>
      <c r="G2272" s="207"/>
      <c r="H2272" s="25">
        <v>20306.099999999999</v>
      </c>
      <c r="I2272" s="26">
        <v>42403</v>
      </c>
      <c r="J2272" s="38" t="s">
        <v>21891</v>
      </c>
      <c r="K2272" s="207"/>
      <c r="L2272" s="66"/>
      <c r="M2272" s="201" t="s">
        <v>12550</v>
      </c>
      <c r="N2272" s="207"/>
      <c r="O2272" s="41"/>
    </row>
    <row r="2273" spans="1:15" ht="146.4" customHeight="1" x14ac:dyDescent="0.3">
      <c r="A2273" s="139">
        <v>2242</v>
      </c>
      <c r="B2273" s="246" t="s">
        <v>21899</v>
      </c>
      <c r="C2273" s="246" t="s">
        <v>20532</v>
      </c>
      <c r="D2273" s="85" t="s">
        <v>20533</v>
      </c>
      <c r="E2273" s="241">
        <v>4869</v>
      </c>
      <c r="F2273" s="25"/>
      <c r="G2273" s="207"/>
      <c r="H2273" s="25"/>
      <c r="I2273" s="26">
        <v>42403</v>
      </c>
      <c r="J2273" s="38" t="s">
        <v>21362</v>
      </c>
      <c r="K2273" s="207"/>
      <c r="L2273" s="66"/>
      <c r="M2273" s="201" t="s">
        <v>12550</v>
      </c>
      <c r="N2273" s="207"/>
      <c r="O2273" s="38" t="s">
        <v>22973</v>
      </c>
    </row>
    <row r="2274" spans="1:15" ht="96" customHeight="1" x14ac:dyDescent="0.3">
      <c r="A2274" s="269">
        <v>2243</v>
      </c>
      <c r="B2274" s="262" t="s">
        <v>15387</v>
      </c>
      <c r="C2274" s="262" t="s">
        <v>15267</v>
      </c>
      <c r="D2274" s="94"/>
      <c r="E2274" s="80">
        <v>4869</v>
      </c>
      <c r="F2274" s="25"/>
      <c r="G2274" s="207"/>
      <c r="H2274" s="207"/>
      <c r="I2274" s="26">
        <v>42403</v>
      </c>
      <c r="J2274" s="38" t="s">
        <v>15349</v>
      </c>
      <c r="K2274" s="243">
        <v>43300</v>
      </c>
      <c r="L2274" s="66" t="s">
        <v>20913</v>
      </c>
      <c r="M2274" s="201" t="s">
        <v>12550</v>
      </c>
      <c r="N2274" s="207"/>
      <c r="O2274" s="38" t="s">
        <v>20911</v>
      </c>
    </row>
    <row r="2275" spans="1:15" ht="96" customHeight="1" x14ac:dyDescent="0.3">
      <c r="A2275" s="139">
        <v>2244</v>
      </c>
      <c r="B2275" s="82" t="s">
        <v>15388</v>
      </c>
      <c r="C2275" s="82" t="s">
        <v>15268</v>
      </c>
      <c r="D2275" s="207"/>
      <c r="E2275" s="80">
        <v>641.1</v>
      </c>
      <c r="F2275" s="25"/>
      <c r="G2275" s="207"/>
      <c r="H2275" s="207"/>
      <c r="I2275" s="26">
        <v>42403</v>
      </c>
      <c r="J2275" s="38" t="s">
        <v>15349</v>
      </c>
      <c r="K2275" s="243">
        <v>43300</v>
      </c>
      <c r="L2275" s="66" t="s">
        <v>20914</v>
      </c>
      <c r="M2275" s="201" t="s">
        <v>12550</v>
      </c>
      <c r="N2275" s="207"/>
      <c r="O2275" s="38" t="s">
        <v>20911</v>
      </c>
    </row>
    <row r="2276" spans="1:15" ht="96" customHeight="1" x14ac:dyDescent="0.3">
      <c r="A2276" s="139">
        <v>2245</v>
      </c>
      <c r="B2276" s="81" t="s">
        <v>21900</v>
      </c>
      <c r="C2276" s="81" t="s">
        <v>15269</v>
      </c>
      <c r="D2276" s="85" t="s">
        <v>21401</v>
      </c>
      <c r="E2276" s="80">
        <v>291</v>
      </c>
      <c r="F2276" s="25"/>
      <c r="G2276" s="207"/>
      <c r="H2276" s="207">
        <v>3072.9</v>
      </c>
      <c r="I2276" s="26">
        <v>42403</v>
      </c>
      <c r="J2276" s="38" t="s">
        <v>21894</v>
      </c>
      <c r="K2276" s="207"/>
      <c r="L2276" s="66"/>
      <c r="M2276" s="201" t="s">
        <v>12550</v>
      </c>
      <c r="N2276" s="207"/>
      <c r="O2276" s="41"/>
    </row>
    <row r="2277" spans="1:15" ht="108" customHeight="1" x14ac:dyDescent="0.3">
      <c r="A2277" s="309">
        <v>2246</v>
      </c>
      <c r="B2277" s="105" t="s">
        <v>23537</v>
      </c>
      <c r="C2277" s="105" t="s">
        <v>15270</v>
      </c>
      <c r="D2277" s="310" t="s">
        <v>20534</v>
      </c>
      <c r="E2277" s="80">
        <v>3751</v>
      </c>
      <c r="F2277" s="25"/>
      <c r="G2277" s="207"/>
      <c r="H2277" s="25"/>
      <c r="I2277" s="26">
        <v>42403</v>
      </c>
      <c r="J2277" s="38" t="s">
        <v>21348</v>
      </c>
      <c r="K2277" s="207"/>
      <c r="L2277" s="66"/>
      <c r="M2277" s="201" t="s">
        <v>12550</v>
      </c>
      <c r="N2277" s="207"/>
      <c r="O2277" s="38" t="s">
        <v>23856</v>
      </c>
    </row>
    <row r="2278" spans="1:15" ht="72" customHeight="1" x14ac:dyDescent="0.3">
      <c r="A2278" s="269">
        <v>2247</v>
      </c>
      <c r="B2278" s="262" t="s">
        <v>21901</v>
      </c>
      <c r="C2278" s="262" t="s">
        <v>15271</v>
      </c>
      <c r="D2278" s="94"/>
      <c r="E2278" s="246">
        <v>339</v>
      </c>
      <c r="F2278" s="25"/>
      <c r="G2278" s="207"/>
      <c r="H2278" s="207"/>
      <c r="I2278" s="26">
        <v>42403</v>
      </c>
      <c r="J2278" s="38" t="s">
        <v>15349</v>
      </c>
      <c r="K2278" s="207"/>
      <c r="L2278" s="66"/>
      <c r="M2278" s="201" t="s">
        <v>12550</v>
      </c>
      <c r="N2278" s="207"/>
      <c r="O2278" s="41"/>
    </row>
    <row r="2279" spans="1:15" ht="72" customHeight="1" x14ac:dyDescent="0.3">
      <c r="A2279" s="139">
        <v>2248</v>
      </c>
      <c r="B2279" s="82" t="s">
        <v>21902</v>
      </c>
      <c r="C2279" s="82" t="s">
        <v>15272</v>
      </c>
      <c r="D2279" s="207"/>
      <c r="E2279" s="246">
        <v>882</v>
      </c>
      <c r="F2279" s="25"/>
      <c r="G2279" s="207"/>
      <c r="H2279" s="207"/>
      <c r="I2279" s="26">
        <v>42403</v>
      </c>
      <c r="J2279" s="38" t="s">
        <v>15349</v>
      </c>
      <c r="K2279" s="207"/>
      <c r="L2279" s="66"/>
      <c r="M2279" s="201" t="s">
        <v>12550</v>
      </c>
      <c r="N2279" s="207"/>
      <c r="O2279" s="41"/>
    </row>
    <row r="2280" spans="1:15" ht="72" customHeight="1" x14ac:dyDescent="0.3">
      <c r="A2280" s="139">
        <v>2249</v>
      </c>
      <c r="B2280" s="82" t="s">
        <v>21903</v>
      </c>
      <c r="C2280" s="82" t="s">
        <v>15273</v>
      </c>
      <c r="D2280" s="207"/>
      <c r="E2280" s="246">
        <v>2002</v>
      </c>
      <c r="F2280" s="25"/>
      <c r="G2280" s="207"/>
      <c r="H2280" s="207"/>
      <c r="I2280" s="26">
        <v>42403</v>
      </c>
      <c r="J2280" s="38" t="s">
        <v>15349</v>
      </c>
      <c r="K2280" s="207"/>
      <c r="L2280" s="66"/>
      <c r="M2280" s="201" t="s">
        <v>12550</v>
      </c>
      <c r="N2280" s="207"/>
      <c r="O2280" s="41"/>
    </row>
    <row r="2281" spans="1:15" ht="72" customHeight="1" x14ac:dyDescent="0.3">
      <c r="A2281" s="139">
        <v>2250</v>
      </c>
      <c r="B2281" s="82" t="s">
        <v>21904</v>
      </c>
      <c r="C2281" s="82" t="s">
        <v>15273</v>
      </c>
      <c r="D2281" s="207"/>
      <c r="E2281" s="246">
        <v>1221</v>
      </c>
      <c r="F2281" s="25"/>
      <c r="G2281" s="207"/>
      <c r="H2281" s="207"/>
      <c r="I2281" s="26">
        <v>42403</v>
      </c>
      <c r="J2281" s="38" t="s">
        <v>15349</v>
      </c>
      <c r="K2281" s="207"/>
      <c r="L2281" s="66"/>
      <c r="M2281" s="201" t="s">
        <v>12550</v>
      </c>
      <c r="N2281" s="207"/>
      <c r="O2281" s="41"/>
    </row>
    <row r="2282" spans="1:15" ht="72" customHeight="1" x14ac:dyDescent="0.3">
      <c r="A2282" s="139">
        <v>2251</v>
      </c>
      <c r="B2282" s="82" t="s">
        <v>21905</v>
      </c>
      <c r="C2282" s="82" t="s">
        <v>15274</v>
      </c>
      <c r="D2282" s="207"/>
      <c r="E2282" s="246">
        <v>415</v>
      </c>
      <c r="F2282" s="25"/>
      <c r="G2282" s="207"/>
      <c r="H2282" s="207"/>
      <c r="I2282" s="26">
        <v>42403</v>
      </c>
      <c r="J2282" s="38" t="s">
        <v>15349</v>
      </c>
      <c r="K2282" s="207"/>
      <c r="L2282" s="66"/>
      <c r="M2282" s="201" t="s">
        <v>12550</v>
      </c>
      <c r="N2282" s="207"/>
      <c r="O2282" s="41"/>
    </row>
    <row r="2283" spans="1:15" ht="72" customHeight="1" x14ac:dyDescent="0.3">
      <c r="A2283" s="139">
        <v>2252</v>
      </c>
      <c r="B2283" s="82" t="s">
        <v>21906</v>
      </c>
      <c r="C2283" s="82" t="s">
        <v>15275</v>
      </c>
      <c r="D2283" s="207"/>
      <c r="E2283" s="246">
        <v>855</v>
      </c>
      <c r="F2283" s="25"/>
      <c r="G2283" s="207"/>
      <c r="H2283" s="207"/>
      <c r="I2283" s="26">
        <v>42403</v>
      </c>
      <c r="J2283" s="38" t="s">
        <v>15349</v>
      </c>
      <c r="K2283" s="207"/>
      <c r="L2283" s="66"/>
      <c r="M2283" s="201" t="s">
        <v>12550</v>
      </c>
      <c r="N2283" s="207"/>
      <c r="O2283" s="41"/>
    </row>
    <row r="2284" spans="1:15" ht="72" customHeight="1" x14ac:dyDescent="0.3">
      <c r="A2284" s="139">
        <v>2253</v>
      </c>
      <c r="B2284" s="82" t="s">
        <v>21907</v>
      </c>
      <c r="C2284" s="82" t="s">
        <v>15276</v>
      </c>
      <c r="D2284" s="207"/>
      <c r="E2284" s="246">
        <v>3449.2</v>
      </c>
      <c r="F2284" s="25"/>
      <c r="G2284" s="207"/>
      <c r="H2284" s="207"/>
      <c r="I2284" s="26">
        <v>42403</v>
      </c>
      <c r="J2284" s="38" t="s">
        <v>15349</v>
      </c>
      <c r="K2284" s="207"/>
      <c r="L2284" s="66"/>
      <c r="M2284" s="201" t="s">
        <v>12550</v>
      </c>
      <c r="N2284" s="207"/>
      <c r="O2284" s="41"/>
    </row>
    <row r="2285" spans="1:15" ht="72" customHeight="1" x14ac:dyDescent="0.3">
      <c r="A2285" s="139">
        <v>2254</v>
      </c>
      <c r="B2285" s="82" t="s">
        <v>21908</v>
      </c>
      <c r="C2285" s="82" t="s">
        <v>15277</v>
      </c>
      <c r="D2285" s="207"/>
      <c r="E2285" s="246">
        <v>1359.6</v>
      </c>
      <c r="F2285" s="25"/>
      <c r="G2285" s="207"/>
      <c r="H2285" s="207"/>
      <c r="I2285" s="26">
        <v>42403</v>
      </c>
      <c r="J2285" s="38" t="s">
        <v>15349</v>
      </c>
      <c r="K2285" s="207"/>
      <c r="L2285" s="66"/>
      <c r="M2285" s="201" t="s">
        <v>12550</v>
      </c>
      <c r="N2285" s="207"/>
      <c r="O2285" s="41"/>
    </row>
    <row r="2286" spans="1:15" ht="72" customHeight="1" x14ac:dyDescent="0.3">
      <c r="A2286" s="139">
        <v>2255</v>
      </c>
      <c r="B2286" s="82" t="s">
        <v>21909</v>
      </c>
      <c r="C2286" s="82" t="s">
        <v>15278</v>
      </c>
      <c r="D2286" s="207"/>
      <c r="E2286" s="246">
        <v>1401</v>
      </c>
      <c r="F2286" s="25"/>
      <c r="G2286" s="207"/>
      <c r="H2286" s="207"/>
      <c r="I2286" s="26">
        <v>42403</v>
      </c>
      <c r="J2286" s="38" t="s">
        <v>15349</v>
      </c>
      <c r="K2286" s="207"/>
      <c r="L2286" s="66"/>
      <c r="M2286" s="201" t="s">
        <v>12550</v>
      </c>
      <c r="N2286" s="207"/>
      <c r="O2286" s="41"/>
    </row>
    <row r="2287" spans="1:15" ht="72" customHeight="1" x14ac:dyDescent="0.3">
      <c r="A2287" s="139">
        <v>2256</v>
      </c>
      <c r="B2287" s="82" t="s">
        <v>21910</v>
      </c>
      <c r="C2287" s="82" t="s">
        <v>15279</v>
      </c>
      <c r="D2287" s="207"/>
      <c r="E2287" s="246">
        <v>1175.4000000000001</v>
      </c>
      <c r="F2287" s="25"/>
      <c r="G2287" s="207"/>
      <c r="H2287" s="207"/>
      <c r="I2287" s="26">
        <v>42403</v>
      </c>
      <c r="J2287" s="38" t="s">
        <v>15349</v>
      </c>
      <c r="K2287" s="207"/>
      <c r="L2287" s="66"/>
      <c r="M2287" s="201" t="s">
        <v>12550</v>
      </c>
      <c r="N2287" s="207"/>
      <c r="O2287" s="41"/>
    </row>
    <row r="2288" spans="1:15" ht="72" customHeight="1" x14ac:dyDescent="0.3">
      <c r="A2288" s="139">
        <v>2257</v>
      </c>
      <c r="B2288" s="82" t="s">
        <v>21911</v>
      </c>
      <c r="C2288" s="82" t="s">
        <v>15276</v>
      </c>
      <c r="D2288" s="207"/>
      <c r="E2288" s="246">
        <v>998</v>
      </c>
      <c r="F2288" s="25"/>
      <c r="G2288" s="207"/>
      <c r="H2288" s="207"/>
      <c r="I2288" s="26">
        <v>42403</v>
      </c>
      <c r="J2288" s="38" t="s">
        <v>15349</v>
      </c>
      <c r="K2288" s="207"/>
      <c r="L2288" s="66"/>
      <c r="M2288" s="201" t="s">
        <v>12550</v>
      </c>
      <c r="N2288" s="207"/>
      <c r="O2288" s="41"/>
    </row>
    <row r="2289" spans="1:15" ht="72" customHeight="1" x14ac:dyDescent="0.3">
      <c r="A2289" s="139">
        <v>2258</v>
      </c>
      <c r="B2289" s="82" t="s">
        <v>21912</v>
      </c>
      <c r="C2289" s="82" t="s">
        <v>15280</v>
      </c>
      <c r="D2289" s="207"/>
      <c r="E2289" s="246">
        <v>249</v>
      </c>
      <c r="F2289" s="25"/>
      <c r="G2289" s="207"/>
      <c r="H2289" s="207"/>
      <c r="I2289" s="26">
        <v>42403</v>
      </c>
      <c r="J2289" s="38" t="s">
        <v>15349</v>
      </c>
      <c r="K2289" s="207"/>
      <c r="L2289" s="66"/>
      <c r="M2289" s="201" t="s">
        <v>12550</v>
      </c>
      <c r="N2289" s="207"/>
      <c r="O2289" s="41"/>
    </row>
    <row r="2290" spans="1:15" ht="72" customHeight="1" x14ac:dyDescent="0.3">
      <c r="A2290" s="139">
        <v>2259</v>
      </c>
      <c r="B2290" s="82" t="s">
        <v>21913</v>
      </c>
      <c r="C2290" s="82" t="s">
        <v>15281</v>
      </c>
      <c r="D2290" s="207"/>
      <c r="E2290" s="246">
        <v>6621</v>
      </c>
      <c r="F2290" s="25"/>
      <c r="G2290" s="207"/>
      <c r="H2290" s="207"/>
      <c r="I2290" s="26">
        <v>42403</v>
      </c>
      <c r="J2290" s="38" t="s">
        <v>15349</v>
      </c>
      <c r="K2290" s="207"/>
      <c r="L2290" s="66"/>
      <c r="M2290" s="201" t="s">
        <v>12550</v>
      </c>
      <c r="N2290" s="207"/>
      <c r="O2290" s="41"/>
    </row>
    <row r="2291" spans="1:15" ht="72" customHeight="1" x14ac:dyDescent="0.3">
      <c r="A2291" s="139">
        <v>2260</v>
      </c>
      <c r="B2291" s="242" t="s">
        <v>21914</v>
      </c>
      <c r="C2291" s="242" t="s">
        <v>15282</v>
      </c>
      <c r="D2291" s="207"/>
      <c r="E2291" s="2">
        <v>5660.9</v>
      </c>
      <c r="F2291" s="25"/>
      <c r="G2291" s="207"/>
      <c r="H2291" s="207"/>
      <c r="I2291" s="26">
        <v>42403</v>
      </c>
      <c r="J2291" s="38" t="s">
        <v>15349</v>
      </c>
      <c r="K2291" s="207"/>
      <c r="L2291" s="66"/>
      <c r="M2291" s="201" t="s">
        <v>12550</v>
      </c>
      <c r="N2291" s="207"/>
      <c r="O2291" s="41"/>
    </row>
    <row r="2292" spans="1:15" ht="72" customHeight="1" x14ac:dyDescent="0.3">
      <c r="A2292" s="139">
        <v>2261</v>
      </c>
      <c r="B2292" s="242" t="s">
        <v>21915</v>
      </c>
      <c r="C2292" s="242" t="s">
        <v>15389</v>
      </c>
      <c r="D2292" s="207"/>
      <c r="E2292" s="2" t="s">
        <v>15347</v>
      </c>
      <c r="F2292" s="25"/>
      <c r="G2292" s="207"/>
      <c r="H2292" s="207"/>
      <c r="I2292" s="26">
        <v>42403</v>
      </c>
      <c r="J2292" s="38" t="s">
        <v>15349</v>
      </c>
      <c r="K2292" s="207"/>
      <c r="L2292" s="66"/>
      <c r="M2292" s="201" t="s">
        <v>12550</v>
      </c>
      <c r="N2292" s="207"/>
      <c r="O2292" s="41"/>
    </row>
    <row r="2293" spans="1:15" ht="84" customHeight="1" x14ac:dyDescent="0.3">
      <c r="A2293" s="139">
        <v>2262</v>
      </c>
      <c r="B2293" s="242" t="s">
        <v>21916</v>
      </c>
      <c r="C2293" s="242" t="s">
        <v>15283</v>
      </c>
      <c r="D2293" s="85" t="s">
        <v>20538</v>
      </c>
      <c r="E2293" s="2">
        <v>566</v>
      </c>
      <c r="F2293" s="25"/>
      <c r="G2293" s="207"/>
      <c r="H2293" s="25"/>
      <c r="I2293" s="26">
        <v>42403</v>
      </c>
      <c r="J2293" s="38" t="s">
        <v>21364</v>
      </c>
      <c r="K2293" s="207"/>
      <c r="L2293" s="66"/>
      <c r="M2293" s="201" t="s">
        <v>12550</v>
      </c>
      <c r="N2293" s="207"/>
      <c r="O2293" s="41"/>
    </row>
    <row r="2294" spans="1:15" ht="84" customHeight="1" x14ac:dyDescent="0.3">
      <c r="A2294" s="139">
        <v>2263</v>
      </c>
      <c r="B2294" s="242" t="s">
        <v>21917</v>
      </c>
      <c r="C2294" s="242" t="s">
        <v>15284</v>
      </c>
      <c r="D2294" s="85" t="s">
        <v>20542</v>
      </c>
      <c r="E2294" s="2">
        <v>776</v>
      </c>
      <c r="F2294" s="25"/>
      <c r="G2294" s="207"/>
      <c r="H2294" s="25"/>
      <c r="I2294" s="26">
        <v>42403</v>
      </c>
      <c r="J2294" s="38" t="s">
        <v>21367</v>
      </c>
      <c r="K2294" s="207"/>
      <c r="L2294" s="66"/>
      <c r="M2294" s="201" t="s">
        <v>12550</v>
      </c>
      <c r="N2294" s="207"/>
      <c r="O2294" s="41"/>
    </row>
    <row r="2295" spans="1:15" ht="72" customHeight="1" x14ac:dyDescent="0.3">
      <c r="A2295" s="269">
        <v>2264</v>
      </c>
      <c r="B2295" s="23" t="s">
        <v>21918</v>
      </c>
      <c r="C2295" s="23" t="s">
        <v>15285</v>
      </c>
      <c r="D2295" s="94"/>
      <c r="E2295" s="2">
        <v>4742</v>
      </c>
      <c r="F2295" s="25"/>
      <c r="G2295" s="207"/>
      <c r="H2295" s="207"/>
      <c r="I2295" s="26">
        <v>42403</v>
      </c>
      <c r="J2295" s="38" t="s">
        <v>15349</v>
      </c>
      <c r="K2295" s="207"/>
      <c r="L2295" s="66"/>
      <c r="M2295" s="201" t="s">
        <v>12550</v>
      </c>
      <c r="N2295" s="207"/>
      <c r="O2295" s="41"/>
    </row>
    <row r="2296" spans="1:15" ht="72" customHeight="1" x14ac:dyDescent="0.3">
      <c r="A2296" s="139">
        <v>2265</v>
      </c>
      <c r="B2296" s="82" t="s">
        <v>21919</v>
      </c>
      <c r="C2296" s="82" t="s">
        <v>15286</v>
      </c>
      <c r="D2296" s="207"/>
      <c r="E2296" s="2">
        <v>19.7</v>
      </c>
      <c r="F2296" s="25"/>
      <c r="G2296" s="207"/>
      <c r="H2296" s="207"/>
      <c r="I2296" s="26">
        <v>42403</v>
      </c>
      <c r="J2296" s="38" t="s">
        <v>15349</v>
      </c>
      <c r="K2296" s="207"/>
      <c r="L2296" s="66"/>
      <c r="M2296" s="201" t="s">
        <v>12550</v>
      </c>
      <c r="N2296" s="207"/>
      <c r="O2296" s="41"/>
    </row>
    <row r="2297" spans="1:15" ht="108" customHeight="1" x14ac:dyDescent="0.3">
      <c r="A2297" s="139">
        <v>2266</v>
      </c>
      <c r="B2297" s="246" t="s">
        <v>21920</v>
      </c>
      <c r="C2297" s="246" t="s">
        <v>15287</v>
      </c>
      <c r="D2297" s="85" t="s">
        <v>20540</v>
      </c>
      <c r="E2297" s="2">
        <v>1566</v>
      </c>
      <c r="F2297" s="25"/>
      <c r="G2297" s="207"/>
      <c r="H2297" s="25"/>
      <c r="I2297" s="26">
        <v>42403</v>
      </c>
      <c r="J2297" s="38" t="s">
        <v>21366</v>
      </c>
      <c r="K2297" s="207"/>
      <c r="L2297" s="66"/>
      <c r="M2297" s="201" t="s">
        <v>12550</v>
      </c>
      <c r="N2297" s="207"/>
      <c r="O2297" s="41"/>
    </row>
    <row r="2298" spans="1:15" ht="108" customHeight="1" x14ac:dyDescent="0.3">
      <c r="A2298" s="269">
        <v>2267</v>
      </c>
      <c r="B2298" s="262" t="s">
        <v>21921</v>
      </c>
      <c r="C2298" s="262" t="s">
        <v>15288</v>
      </c>
      <c r="D2298" s="94"/>
      <c r="E2298" s="2">
        <v>939</v>
      </c>
      <c r="F2298" s="25"/>
      <c r="G2298" s="207"/>
      <c r="H2298" s="207"/>
      <c r="I2298" s="26">
        <v>42403</v>
      </c>
      <c r="J2298" s="38" t="s">
        <v>15349</v>
      </c>
      <c r="K2298" s="207"/>
      <c r="L2298" s="66"/>
      <c r="M2298" s="201" t="s">
        <v>12550</v>
      </c>
      <c r="N2298" s="207"/>
      <c r="O2298" s="41"/>
    </row>
    <row r="2299" spans="1:15" ht="72" customHeight="1" x14ac:dyDescent="0.3">
      <c r="A2299" s="139">
        <v>2268</v>
      </c>
      <c r="B2299" s="82" t="s">
        <v>21922</v>
      </c>
      <c r="C2299" s="82" t="s">
        <v>15286</v>
      </c>
      <c r="D2299" s="207"/>
      <c r="E2299" s="2">
        <v>229</v>
      </c>
      <c r="F2299" s="25"/>
      <c r="G2299" s="207"/>
      <c r="H2299" s="207"/>
      <c r="I2299" s="26">
        <v>42403</v>
      </c>
      <c r="J2299" s="38" t="s">
        <v>15349</v>
      </c>
      <c r="K2299" s="207"/>
      <c r="L2299" s="66"/>
      <c r="M2299" s="201" t="s">
        <v>12550</v>
      </c>
      <c r="N2299" s="207"/>
      <c r="O2299" s="41"/>
    </row>
    <row r="2300" spans="1:15" ht="72" customHeight="1" x14ac:dyDescent="0.3">
      <c r="A2300" s="139">
        <v>2269</v>
      </c>
      <c r="B2300" s="82" t="s">
        <v>21923</v>
      </c>
      <c r="C2300" s="82" t="s">
        <v>15289</v>
      </c>
      <c r="D2300" s="207"/>
      <c r="E2300" s="2">
        <v>662.99</v>
      </c>
      <c r="F2300" s="25"/>
      <c r="G2300" s="207"/>
      <c r="H2300" s="207"/>
      <c r="I2300" s="26">
        <v>42403</v>
      </c>
      <c r="J2300" s="38" t="s">
        <v>15349</v>
      </c>
      <c r="K2300" s="207"/>
      <c r="L2300" s="66"/>
      <c r="M2300" s="201" t="s">
        <v>12550</v>
      </c>
      <c r="N2300" s="207"/>
      <c r="O2300" s="41"/>
    </row>
    <row r="2301" spans="1:15" ht="84" customHeight="1" x14ac:dyDescent="0.3">
      <c r="A2301" s="139">
        <v>2270</v>
      </c>
      <c r="B2301" s="246" t="s">
        <v>21924</v>
      </c>
      <c r="C2301" s="246" t="s">
        <v>15290</v>
      </c>
      <c r="D2301" s="85" t="s">
        <v>20931</v>
      </c>
      <c r="E2301" s="2">
        <v>252</v>
      </c>
      <c r="F2301" s="25"/>
      <c r="G2301" s="207"/>
      <c r="H2301" s="207"/>
      <c r="I2301" s="26">
        <v>42403</v>
      </c>
      <c r="J2301" s="38" t="s">
        <v>15349</v>
      </c>
      <c r="K2301" s="207"/>
      <c r="L2301" s="66"/>
      <c r="M2301" s="201" t="s">
        <v>12550</v>
      </c>
      <c r="N2301" s="207"/>
      <c r="O2301" s="41"/>
    </row>
    <row r="2302" spans="1:15" ht="84" customHeight="1" x14ac:dyDescent="0.3">
      <c r="A2302" s="139">
        <v>2271</v>
      </c>
      <c r="B2302" s="246" t="s">
        <v>21925</v>
      </c>
      <c r="C2302" s="246" t="s">
        <v>15291</v>
      </c>
      <c r="D2302" s="85" t="s">
        <v>20932</v>
      </c>
      <c r="E2302" s="246">
        <v>691</v>
      </c>
      <c r="F2302" s="25"/>
      <c r="G2302" s="207"/>
      <c r="H2302" s="207"/>
      <c r="I2302" s="26">
        <v>42403</v>
      </c>
      <c r="J2302" s="38" t="s">
        <v>15349</v>
      </c>
      <c r="K2302" s="207"/>
      <c r="L2302" s="66"/>
      <c r="M2302" s="201" t="s">
        <v>12550</v>
      </c>
      <c r="N2302" s="207"/>
      <c r="O2302" s="38"/>
    </row>
    <row r="2303" spans="1:15" ht="72" customHeight="1" x14ac:dyDescent="0.3">
      <c r="A2303" s="269">
        <v>2272</v>
      </c>
      <c r="B2303" s="262" t="s">
        <v>21926</v>
      </c>
      <c r="C2303" s="262" t="s">
        <v>15292</v>
      </c>
      <c r="D2303" s="94"/>
      <c r="E2303" s="246">
        <v>243</v>
      </c>
      <c r="F2303" s="25"/>
      <c r="G2303" s="207"/>
      <c r="H2303" s="207"/>
      <c r="I2303" s="26">
        <v>42403</v>
      </c>
      <c r="J2303" s="38" t="s">
        <v>15349</v>
      </c>
      <c r="K2303" s="207"/>
      <c r="L2303" s="66"/>
      <c r="M2303" s="201" t="s">
        <v>12550</v>
      </c>
      <c r="N2303" s="207"/>
      <c r="O2303" s="41"/>
    </row>
    <row r="2304" spans="1:15" ht="72" customHeight="1" x14ac:dyDescent="0.3">
      <c r="A2304" s="139">
        <v>2273</v>
      </c>
      <c r="B2304" s="82" t="s">
        <v>21927</v>
      </c>
      <c r="C2304" s="82" t="s">
        <v>15289</v>
      </c>
      <c r="D2304" s="207"/>
      <c r="E2304" s="246">
        <v>138</v>
      </c>
      <c r="F2304" s="25"/>
      <c r="G2304" s="207"/>
      <c r="H2304" s="207"/>
      <c r="I2304" s="26">
        <v>42403</v>
      </c>
      <c r="J2304" s="38" t="s">
        <v>15349</v>
      </c>
      <c r="K2304" s="207"/>
      <c r="L2304" s="66"/>
      <c r="M2304" s="201" t="s">
        <v>12550</v>
      </c>
      <c r="N2304" s="207"/>
      <c r="O2304" s="41"/>
    </row>
    <row r="2305" spans="1:26" ht="72" customHeight="1" x14ac:dyDescent="0.3">
      <c r="A2305" s="139">
        <v>2274</v>
      </c>
      <c r="B2305" s="82" t="s">
        <v>21928</v>
      </c>
      <c r="C2305" s="82" t="s">
        <v>15293</v>
      </c>
      <c r="D2305" s="207"/>
      <c r="E2305" s="246">
        <v>4828.7</v>
      </c>
      <c r="F2305" s="25"/>
      <c r="G2305" s="207"/>
      <c r="H2305" s="207"/>
      <c r="I2305" s="26">
        <v>42403</v>
      </c>
      <c r="J2305" s="38" t="s">
        <v>15349</v>
      </c>
      <c r="K2305" s="207"/>
      <c r="L2305" s="66"/>
      <c r="M2305" s="201" t="s">
        <v>12550</v>
      </c>
      <c r="N2305" s="207"/>
      <c r="O2305" s="38"/>
    </row>
    <row r="2306" spans="1:26" ht="84" customHeight="1" x14ac:dyDescent="0.3">
      <c r="A2306" s="139">
        <v>2275</v>
      </c>
      <c r="B2306" s="246" t="s">
        <v>21929</v>
      </c>
      <c r="C2306" s="246" t="s">
        <v>15294</v>
      </c>
      <c r="D2306" s="85" t="s">
        <v>20543</v>
      </c>
      <c r="E2306" s="246">
        <v>968</v>
      </c>
      <c r="F2306" s="25"/>
      <c r="G2306" s="207"/>
      <c r="H2306" s="25"/>
      <c r="I2306" s="26">
        <v>42403</v>
      </c>
      <c r="J2306" s="38" t="s">
        <v>21368</v>
      </c>
      <c r="K2306" s="207"/>
      <c r="L2306" s="66"/>
      <c r="M2306" s="201" t="s">
        <v>12550</v>
      </c>
      <c r="N2306" s="207"/>
      <c r="O2306" s="41"/>
    </row>
    <row r="2307" spans="1:26" ht="72" customHeight="1" x14ac:dyDescent="0.3">
      <c r="A2307" s="269">
        <v>2276</v>
      </c>
      <c r="B2307" s="262" t="s">
        <v>21930</v>
      </c>
      <c r="C2307" s="262" t="s">
        <v>15293</v>
      </c>
      <c r="D2307" s="94"/>
      <c r="E2307" s="246">
        <v>1125</v>
      </c>
      <c r="F2307" s="25"/>
      <c r="G2307" s="207"/>
      <c r="H2307" s="207"/>
      <c r="I2307" s="26">
        <v>42403</v>
      </c>
      <c r="J2307" s="38" t="s">
        <v>15349</v>
      </c>
      <c r="K2307" s="207"/>
      <c r="L2307" s="66"/>
      <c r="M2307" s="201" t="s">
        <v>12550</v>
      </c>
      <c r="N2307" s="207"/>
      <c r="O2307" s="41"/>
      <c r="Q2307" s="161"/>
      <c r="R2307" s="161"/>
      <c r="S2307" s="161"/>
      <c r="T2307" s="161"/>
      <c r="U2307" s="161"/>
      <c r="V2307" s="161"/>
      <c r="W2307" s="161"/>
      <c r="X2307" s="161"/>
      <c r="Y2307" s="161"/>
      <c r="Z2307" s="161"/>
    </row>
    <row r="2308" spans="1:26" s="161" customFormat="1" ht="72" customHeight="1" x14ac:dyDescent="0.3">
      <c r="A2308" s="139">
        <v>2277</v>
      </c>
      <c r="B2308" s="242" t="s">
        <v>21931</v>
      </c>
      <c r="C2308" s="242" t="s">
        <v>15295</v>
      </c>
      <c r="D2308" s="207"/>
      <c r="E2308" s="2">
        <v>2092</v>
      </c>
      <c r="F2308" s="25"/>
      <c r="G2308" s="207"/>
      <c r="H2308" s="207"/>
      <c r="I2308" s="26">
        <v>42403</v>
      </c>
      <c r="J2308" s="66" t="s">
        <v>15349</v>
      </c>
      <c r="K2308" s="207"/>
      <c r="L2308" s="66"/>
      <c r="M2308" s="201" t="s">
        <v>12550</v>
      </c>
      <c r="N2308" s="207"/>
      <c r="O2308" s="65"/>
      <c r="Q2308" s="67"/>
      <c r="R2308" s="67"/>
      <c r="S2308" s="67"/>
      <c r="T2308" s="67"/>
      <c r="U2308" s="67"/>
      <c r="V2308" s="67"/>
      <c r="W2308" s="67"/>
      <c r="X2308" s="67"/>
      <c r="Y2308" s="67"/>
      <c r="Z2308" s="67"/>
    </row>
    <row r="2309" spans="1:26" ht="72" customHeight="1" x14ac:dyDescent="0.3">
      <c r="A2309" s="139">
        <v>2278</v>
      </c>
      <c r="B2309" s="246" t="s">
        <v>21932</v>
      </c>
      <c r="C2309" s="246" t="s">
        <v>15296</v>
      </c>
      <c r="D2309" s="85" t="s">
        <v>20539</v>
      </c>
      <c r="E2309" s="246">
        <v>1212</v>
      </c>
      <c r="F2309" s="25"/>
      <c r="G2309" s="207"/>
      <c r="H2309" s="25"/>
      <c r="I2309" s="26">
        <v>42403</v>
      </c>
      <c r="J2309" s="38" t="s">
        <v>21365</v>
      </c>
      <c r="K2309" s="207"/>
      <c r="L2309" s="66"/>
      <c r="M2309" s="201" t="s">
        <v>12550</v>
      </c>
      <c r="N2309" s="207"/>
      <c r="O2309" s="41"/>
    </row>
    <row r="2310" spans="1:26" ht="72" customHeight="1" x14ac:dyDescent="0.3">
      <c r="A2310" s="269">
        <v>2279</v>
      </c>
      <c r="B2310" s="262" t="s">
        <v>21933</v>
      </c>
      <c r="C2310" s="262" t="s">
        <v>15297</v>
      </c>
      <c r="D2310" s="94"/>
      <c r="E2310" s="246">
        <v>690</v>
      </c>
      <c r="F2310" s="25"/>
      <c r="G2310" s="207"/>
      <c r="H2310" s="207"/>
      <c r="I2310" s="26">
        <v>42403</v>
      </c>
      <c r="J2310" s="38" t="s">
        <v>15349</v>
      </c>
      <c r="K2310" s="207"/>
      <c r="L2310" s="66"/>
      <c r="M2310" s="201" t="s">
        <v>12550</v>
      </c>
      <c r="N2310" s="207"/>
      <c r="O2310" s="41"/>
    </row>
    <row r="2311" spans="1:26" ht="72" customHeight="1" x14ac:dyDescent="0.3">
      <c r="A2311" s="139">
        <v>2280</v>
      </c>
      <c r="B2311" s="82" t="s">
        <v>21934</v>
      </c>
      <c r="C2311" s="82" t="s">
        <v>15298</v>
      </c>
      <c r="D2311" s="207"/>
      <c r="E2311" s="246">
        <v>6444</v>
      </c>
      <c r="F2311" s="25"/>
      <c r="G2311" s="207"/>
      <c r="H2311" s="207"/>
      <c r="I2311" s="26">
        <v>42403</v>
      </c>
      <c r="J2311" s="38" t="s">
        <v>15349</v>
      </c>
      <c r="K2311" s="207"/>
      <c r="L2311" s="66"/>
      <c r="M2311" s="201" t="s">
        <v>12550</v>
      </c>
      <c r="N2311" s="207"/>
      <c r="O2311" s="41"/>
    </row>
    <row r="2312" spans="1:26" ht="72" customHeight="1" x14ac:dyDescent="0.3">
      <c r="A2312" s="139">
        <v>2281</v>
      </c>
      <c r="B2312" s="81" t="s">
        <v>21935</v>
      </c>
      <c r="C2312" s="81" t="s">
        <v>15299</v>
      </c>
      <c r="D2312" s="207"/>
      <c r="E2312" s="246">
        <v>2283</v>
      </c>
      <c r="F2312" s="25"/>
      <c r="G2312" s="207"/>
      <c r="H2312" s="207"/>
      <c r="I2312" s="26">
        <v>42403</v>
      </c>
      <c r="J2312" s="38" t="s">
        <v>15349</v>
      </c>
      <c r="K2312" s="207"/>
      <c r="L2312" s="66"/>
      <c r="M2312" s="201" t="s">
        <v>12550</v>
      </c>
      <c r="N2312" s="207"/>
      <c r="O2312" s="41"/>
    </row>
    <row r="2313" spans="1:26" ht="72" customHeight="1" x14ac:dyDescent="0.3">
      <c r="A2313" s="139">
        <v>2282</v>
      </c>
      <c r="B2313" s="82" t="s">
        <v>21936</v>
      </c>
      <c r="C2313" s="82" t="s">
        <v>15300</v>
      </c>
      <c r="D2313" s="207"/>
      <c r="E2313" s="246">
        <v>3197</v>
      </c>
      <c r="F2313" s="25"/>
      <c r="G2313" s="207"/>
      <c r="H2313" s="207"/>
      <c r="I2313" s="26">
        <v>42403</v>
      </c>
      <c r="J2313" s="38" t="s">
        <v>15349</v>
      </c>
      <c r="K2313" s="207"/>
      <c r="L2313" s="66"/>
      <c r="M2313" s="201" t="s">
        <v>12550</v>
      </c>
      <c r="N2313" s="207"/>
      <c r="O2313" s="41"/>
    </row>
    <row r="2314" spans="1:26" ht="72" customHeight="1" x14ac:dyDescent="0.3">
      <c r="A2314" s="139">
        <v>2283</v>
      </c>
      <c r="B2314" s="82" t="s">
        <v>21937</v>
      </c>
      <c r="C2314" s="82" t="s">
        <v>15301</v>
      </c>
      <c r="D2314" s="207"/>
      <c r="E2314" s="246">
        <v>974</v>
      </c>
      <c r="F2314" s="25"/>
      <c r="G2314" s="207"/>
      <c r="H2314" s="207"/>
      <c r="I2314" s="26">
        <v>42403</v>
      </c>
      <c r="J2314" s="38" t="s">
        <v>15349</v>
      </c>
      <c r="K2314" s="207"/>
      <c r="L2314" s="66"/>
      <c r="M2314" s="201" t="s">
        <v>12550</v>
      </c>
      <c r="N2314" s="207"/>
      <c r="O2314" s="38"/>
    </row>
    <row r="2315" spans="1:26" ht="72" customHeight="1" x14ac:dyDescent="0.3">
      <c r="A2315" s="139">
        <v>2284</v>
      </c>
      <c r="B2315" s="82" t="s">
        <v>21938</v>
      </c>
      <c r="C2315" s="82" t="s">
        <v>15295</v>
      </c>
      <c r="D2315" s="207"/>
      <c r="E2315" s="246">
        <v>7838</v>
      </c>
      <c r="F2315" s="25"/>
      <c r="G2315" s="207"/>
      <c r="H2315" s="207"/>
      <c r="I2315" s="26">
        <v>42403</v>
      </c>
      <c r="J2315" s="38" t="s">
        <v>15349</v>
      </c>
      <c r="K2315" s="207"/>
      <c r="L2315" s="66"/>
      <c r="M2315" s="201" t="s">
        <v>12550</v>
      </c>
      <c r="N2315" s="207"/>
      <c r="O2315" s="41"/>
    </row>
    <row r="2316" spans="1:26" ht="72" customHeight="1" x14ac:dyDescent="0.3">
      <c r="A2316" s="139">
        <v>2285</v>
      </c>
      <c r="B2316" s="82" t="s">
        <v>21939</v>
      </c>
      <c r="C2316" s="82" t="s">
        <v>15276</v>
      </c>
      <c r="D2316" s="207"/>
      <c r="E2316" s="246">
        <v>6514</v>
      </c>
      <c r="F2316" s="25"/>
      <c r="G2316" s="207"/>
      <c r="H2316" s="207"/>
      <c r="I2316" s="26">
        <v>42403</v>
      </c>
      <c r="J2316" s="38" t="s">
        <v>15349</v>
      </c>
      <c r="K2316" s="207"/>
      <c r="L2316" s="66"/>
      <c r="M2316" s="201" t="s">
        <v>12550</v>
      </c>
      <c r="N2316" s="207"/>
      <c r="O2316" s="41"/>
    </row>
    <row r="2317" spans="1:26" ht="72" customHeight="1" x14ac:dyDescent="0.3">
      <c r="A2317" s="139">
        <v>2286</v>
      </c>
      <c r="B2317" s="82" t="s">
        <v>21940</v>
      </c>
      <c r="C2317" s="82" t="s">
        <v>15302</v>
      </c>
      <c r="D2317" s="207"/>
      <c r="E2317" s="246">
        <v>1061</v>
      </c>
      <c r="F2317" s="25"/>
      <c r="G2317" s="207"/>
      <c r="H2317" s="207"/>
      <c r="I2317" s="26">
        <v>42403</v>
      </c>
      <c r="J2317" s="38" t="s">
        <v>15349</v>
      </c>
      <c r="K2317" s="207"/>
      <c r="L2317" s="66"/>
      <c r="M2317" s="201" t="s">
        <v>12550</v>
      </c>
      <c r="N2317" s="207"/>
      <c r="O2317" s="38"/>
    </row>
    <row r="2318" spans="1:26" ht="72" customHeight="1" x14ac:dyDescent="0.3">
      <c r="A2318" s="139">
        <v>2287</v>
      </c>
      <c r="B2318" s="82" t="s">
        <v>21941</v>
      </c>
      <c r="C2318" s="82" t="s">
        <v>15303</v>
      </c>
      <c r="D2318" s="207"/>
      <c r="E2318" s="246">
        <v>150.36000000000001</v>
      </c>
      <c r="F2318" s="25"/>
      <c r="G2318" s="207"/>
      <c r="H2318" s="207"/>
      <c r="I2318" s="26">
        <v>42403</v>
      </c>
      <c r="J2318" s="38" t="s">
        <v>15349</v>
      </c>
      <c r="K2318" s="207"/>
      <c r="L2318" s="66"/>
      <c r="M2318" s="201" t="s">
        <v>12550</v>
      </c>
      <c r="N2318" s="207"/>
      <c r="O2318" s="41"/>
    </row>
    <row r="2319" spans="1:26" ht="96" customHeight="1" x14ac:dyDescent="0.3">
      <c r="A2319" s="139">
        <v>2288</v>
      </c>
      <c r="B2319" s="82" t="s">
        <v>21942</v>
      </c>
      <c r="C2319" s="82" t="s">
        <v>15304</v>
      </c>
      <c r="D2319" s="207"/>
      <c r="E2319" s="246">
        <v>972</v>
      </c>
      <c r="F2319" s="25"/>
      <c r="G2319" s="207"/>
      <c r="H2319" s="207"/>
      <c r="I2319" s="26">
        <v>42403</v>
      </c>
      <c r="J2319" s="38" t="s">
        <v>15349</v>
      </c>
      <c r="K2319" s="207"/>
      <c r="L2319" s="66"/>
      <c r="M2319" s="201" t="s">
        <v>12550</v>
      </c>
      <c r="N2319" s="207"/>
      <c r="O2319" s="41"/>
    </row>
    <row r="2320" spans="1:26" ht="84" customHeight="1" x14ac:dyDescent="0.3">
      <c r="A2320" s="139">
        <v>2289</v>
      </c>
      <c r="B2320" s="82" t="s">
        <v>21943</v>
      </c>
      <c r="C2320" s="82" t="s">
        <v>15305</v>
      </c>
      <c r="D2320" s="207"/>
      <c r="E2320" s="246">
        <v>304</v>
      </c>
      <c r="F2320" s="25"/>
      <c r="G2320" s="207"/>
      <c r="H2320" s="207"/>
      <c r="I2320" s="26">
        <v>42403</v>
      </c>
      <c r="J2320" s="38" t="s">
        <v>15349</v>
      </c>
      <c r="K2320" s="207"/>
      <c r="L2320" s="66"/>
      <c r="M2320" s="201" t="s">
        <v>12550</v>
      </c>
      <c r="N2320" s="207"/>
      <c r="O2320" s="41"/>
    </row>
    <row r="2321" spans="1:26" ht="108" customHeight="1" x14ac:dyDescent="0.3">
      <c r="A2321" s="139">
        <v>2290</v>
      </c>
      <c r="B2321" s="246" t="s">
        <v>21944</v>
      </c>
      <c r="C2321" s="246" t="s">
        <v>15306</v>
      </c>
      <c r="D2321" s="85" t="s">
        <v>20535</v>
      </c>
      <c r="E2321" s="246">
        <v>2188</v>
      </c>
      <c r="F2321" s="25"/>
      <c r="G2321" s="207"/>
      <c r="H2321" s="25"/>
      <c r="I2321" s="26">
        <v>42403</v>
      </c>
      <c r="J2321" s="38" t="s">
        <v>21357</v>
      </c>
      <c r="K2321" s="207"/>
      <c r="L2321" s="66"/>
      <c r="M2321" s="201" t="s">
        <v>12550</v>
      </c>
      <c r="N2321" s="207"/>
      <c r="O2321" s="41"/>
    </row>
    <row r="2322" spans="1:26" ht="72" customHeight="1" x14ac:dyDescent="0.3">
      <c r="A2322" s="269">
        <v>2291</v>
      </c>
      <c r="B2322" s="262" t="s">
        <v>21945</v>
      </c>
      <c r="C2322" s="262" t="s">
        <v>15307</v>
      </c>
      <c r="D2322" s="94"/>
      <c r="E2322" s="246">
        <v>1411</v>
      </c>
      <c r="F2322" s="25"/>
      <c r="G2322" s="207"/>
      <c r="H2322" s="207"/>
      <c r="I2322" s="26">
        <v>42403</v>
      </c>
      <c r="J2322" s="38" t="s">
        <v>15349</v>
      </c>
      <c r="K2322" s="207"/>
      <c r="L2322" s="66"/>
      <c r="M2322" s="201" t="s">
        <v>12550</v>
      </c>
      <c r="N2322" s="207"/>
      <c r="O2322" s="41"/>
    </row>
    <row r="2323" spans="1:26" ht="72" customHeight="1" x14ac:dyDescent="0.3">
      <c r="A2323" s="139">
        <v>2292</v>
      </c>
      <c r="B2323" s="82" t="s">
        <v>21946</v>
      </c>
      <c r="C2323" s="82" t="s">
        <v>15308</v>
      </c>
      <c r="D2323" s="207"/>
      <c r="E2323" s="246">
        <v>9980</v>
      </c>
      <c r="F2323" s="25"/>
      <c r="G2323" s="207"/>
      <c r="H2323" s="207"/>
      <c r="I2323" s="26">
        <v>42403</v>
      </c>
      <c r="J2323" s="38" t="s">
        <v>15349</v>
      </c>
      <c r="K2323" s="207"/>
      <c r="L2323" s="66"/>
      <c r="M2323" s="201" t="s">
        <v>12550</v>
      </c>
      <c r="N2323" s="207"/>
      <c r="O2323" s="41"/>
    </row>
    <row r="2324" spans="1:26" ht="72" customHeight="1" x14ac:dyDescent="0.3">
      <c r="A2324" s="139">
        <v>2293</v>
      </c>
      <c r="B2324" s="82" t="s">
        <v>21947</v>
      </c>
      <c r="C2324" s="82" t="s">
        <v>15309</v>
      </c>
      <c r="D2324" s="207"/>
      <c r="E2324" s="246">
        <v>871</v>
      </c>
      <c r="F2324" s="25"/>
      <c r="G2324" s="207"/>
      <c r="H2324" s="207"/>
      <c r="I2324" s="26">
        <v>42403</v>
      </c>
      <c r="J2324" s="38" t="s">
        <v>15349</v>
      </c>
      <c r="K2324" s="207"/>
      <c r="L2324" s="66"/>
      <c r="M2324" s="201" t="s">
        <v>12550</v>
      </c>
      <c r="N2324" s="207"/>
      <c r="O2324" s="41"/>
    </row>
    <row r="2325" spans="1:26" ht="72" customHeight="1" x14ac:dyDescent="0.3">
      <c r="A2325" s="139">
        <v>2294</v>
      </c>
      <c r="B2325" s="246" t="s">
        <v>21948</v>
      </c>
      <c r="C2325" s="246" t="s">
        <v>15307</v>
      </c>
      <c r="D2325" s="86" t="s">
        <v>15390</v>
      </c>
      <c r="E2325" s="246">
        <v>377</v>
      </c>
      <c r="F2325" s="25"/>
      <c r="G2325" s="207"/>
      <c r="H2325" s="25"/>
      <c r="I2325" s="26">
        <v>42403</v>
      </c>
      <c r="J2325" s="38" t="s">
        <v>21351</v>
      </c>
      <c r="K2325" s="207"/>
      <c r="L2325" s="66"/>
      <c r="M2325" s="201" t="s">
        <v>12550</v>
      </c>
      <c r="N2325" s="207"/>
      <c r="O2325" s="41"/>
    </row>
    <row r="2326" spans="1:26" ht="81" customHeight="1" x14ac:dyDescent="0.3">
      <c r="A2326" s="139">
        <v>2295</v>
      </c>
      <c r="B2326" s="246" t="s">
        <v>21949</v>
      </c>
      <c r="C2326" s="246" t="s">
        <v>15310</v>
      </c>
      <c r="D2326" s="86" t="s">
        <v>15391</v>
      </c>
      <c r="E2326" s="246">
        <v>242</v>
      </c>
      <c r="F2326" s="25"/>
      <c r="G2326" s="207"/>
      <c r="H2326" s="25"/>
      <c r="I2326" s="26">
        <v>42403</v>
      </c>
      <c r="J2326" s="38" t="s">
        <v>21352</v>
      </c>
      <c r="K2326" s="207"/>
      <c r="L2326" s="66"/>
      <c r="M2326" s="201" t="s">
        <v>12550</v>
      </c>
      <c r="N2326" s="207"/>
      <c r="O2326" s="41"/>
    </row>
    <row r="2327" spans="1:26" ht="72" customHeight="1" x14ac:dyDescent="0.3">
      <c r="A2327" s="269">
        <v>2296</v>
      </c>
      <c r="B2327" s="262" t="s">
        <v>21950</v>
      </c>
      <c r="C2327" s="262" t="s">
        <v>15311</v>
      </c>
      <c r="D2327" s="257"/>
      <c r="E2327" s="246">
        <v>2413</v>
      </c>
      <c r="F2327" s="25"/>
      <c r="G2327" s="207"/>
      <c r="H2327" s="207"/>
      <c r="I2327" s="26">
        <v>42403</v>
      </c>
      <c r="J2327" s="38" t="s">
        <v>15349</v>
      </c>
      <c r="K2327" s="207"/>
      <c r="L2327" s="66"/>
      <c r="M2327" s="201" t="s">
        <v>12550</v>
      </c>
      <c r="N2327" s="207"/>
      <c r="O2327" s="41"/>
    </row>
    <row r="2328" spans="1:26" ht="84" customHeight="1" x14ac:dyDescent="0.3">
      <c r="A2328" s="139">
        <v>2297</v>
      </c>
      <c r="B2328" s="82" t="s">
        <v>21951</v>
      </c>
      <c r="C2328" s="82" t="s">
        <v>15312</v>
      </c>
      <c r="D2328" s="245"/>
      <c r="E2328" s="246">
        <v>990</v>
      </c>
      <c r="F2328" s="25"/>
      <c r="G2328" s="207"/>
      <c r="H2328" s="207"/>
      <c r="I2328" s="26">
        <v>42403</v>
      </c>
      <c r="J2328" s="38" t="s">
        <v>15349</v>
      </c>
      <c r="K2328" s="207"/>
      <c r="L2328" s="66"/>
      <c r="M2328" s="201" t="s">
        <v>12550</v>
      </c>
      <c r="N2328" s="207"/>
      <c r="O2328" s="41"/>
    </row>
    <row r="2329" spans="1:26" ht="84" customHeight="1" x14ac:dyDescent="0.3">
      <c r="A2329" s="139">
        <v>2298</v>
      </c>
      <c r="B2329" s="82" t="s">
        <v>21952</v>
      </c>
      <c r="C2329" s="246" t="s">
        <v>15313</v>
      </c>
      <c r="D2329" s="245"/>
      <c r="E2329" s="246">
        <v>15387</v>
      </c>
      <c r="F2329" s="25"/>
      <c r="G2329" s="207"/>
      <c r="H2329" s="207"/>
      <c r="I2329" s="26">
        <v>42403</v>
      </c>
      <c r="J2329" s="38" t="s">
        <v>15349</v>
      </c>
      <c r="K2329" s="207"/>
      <c r="L2329" s="66"/>
      <c r="M2329" s="201" t="s">
        <v>12550</v>
      </c>
      <c r="N2329" s="207"/>
      <c r="O2329" s="41"/>
    </row>
    <row r="2330" spans="1:26" ht="96" customHeight="1" x14ac:dyDescent="0.3">
      <c r="A2330" s="139">
        <v>2299</v>
      </c>
      <c r="B2330" s="82" t="s">
        <v>21953</v>
      </c>
      <c r="C2330" s="82" t="s">
        <v>15314</v>
      </c>
      <c r="D2330" s="245"/>
      <c r="E2330" s="246">
        <v>586</v>
      </c>
      <c r="F2330" s="25"/>
      <c r="G2330" s="207"/>
      <c r="H2330" s="207"/>
      <c r="I2330" s="26">
        <v>42403</v>
      </c>
      <c r="J2330" s="38" t="s">
        <v>15349</v>
      </c>
      <c r="K2330" s="207"/>
      <c r="L2330" s="66"/>
      <c r="M2330" s="201" t="s">
        <v>12550</v>
      </c>
      <c r="N2330" s="207"/>
      <c r="O2330" s="41"/>
    </row>
    <row r="2331" spans="1:26" ht="96" customHeight="1" x14ac:dyDescent="0.3">
      <c r="A2331" s="139">
        <v>2300</v>
      </c>
      <c r="B2331" s="246" t="s">
        <v>21954</v>
      </c>
      <c r="C2331" s="246" t="s">
        <v>15315</v>
      </c>
      <c r="D2331" s="86" t="s">
        <v>21400</v>
      </c>
      <c r="E2331" s="246">
        <v>301</v>
      </c>
      <c r="F2331" s="25"/>
      <c r="G2331" s="207"/>
      <c r="H2331" s="207">
        <v>25789.8</v>
      </c>
      <c r="I2331" s="26">
        <v>42403</v>
      </c>
      <c r="J2331" s="38" t="s">
        <v>21896</v>
      </c>
      <c r="K2331" s="207"/>
      <c r="L2331" s="66"/>
      <c r="M2331" s="201" t="s">
        <v>12550</v>
      </c>
      <c r="N2331" s="207"/>
      <c r="O2331" s="41"/>
    </row>
    <row r="2332" spans="1:26" ht="72" customHeight="1" x14ac:dyDescent="0.3">
      <c r="A2332" s="139">
        <v>2301</v>
      </c>
      <c r="B2332" s="246" t="s">
        <v>21955</v>
      </c>
      <c r="C2332" s="246" t="s">
        <v>15316</v>
      </c>
      <c r="D2332" s="86" t="s">
        <v>15392</v>
      </c>
      <c r="E2332" s="246">
        <v>2861</v>
      </c>
      <c r="F2332" s="25"/>
      <c r="G2332" s="207"/>
      <c r="H2332" s="25"/>
      <c r="I2332" s="26">
        <v>42403</v>
      </c>
      <c r="J2332" s="38" t="s">
        <v>21353</v>
      </c>
      <c r="K2332" s="207"/>
      <c r="L2332" s="66"/>
      <c r="M2332" s="201" t="s">
        <v>12550</v>
      </c>
      <c r="N2332" s="207"/>
      <c r="O2332" s="41"/>
    </row>
    <row r="2333" spans="1:26" ht="72" customHeight="1" x14ac:dyDescent="0.3">
      <c r="A2333" s="269">
        <v>2302</v>
      </c>
      <c r="B2333" s="262" t="s">
        <v>21956</v>
      </c>
      <c r="C2333" s="262" t="s">
        <v>15317</v>
      </c>
      <c r="D2333" s="257"/>
      <c r="E2333" s="246">
        <v>8808.4</v>
      </c>
      <c r="F2333" s="25"/>
      <c r="G2333" s="207"/>
      <c r="H2333" s="207"/>
      <c r="I2333" s="26">
        <v>42403</v>
      </c>
      <c r="J2333" s="38" t="s">
        <v>15349</v>
      </c>
      <c r="K2333" s="207"/>
      <c r="L2333" s="66"/>
      <c r="M2333" s="201" t="s">
        <v>12550</v>
      </c>
      <c r="N2333" s="207"/>
      <c r="O2333" s="41"/>
      <c r="Q2333" s="161"/>
      <c r="R2333" s="161"/>
      <c r="S2333" s="161"/>
      <c r="T2333" s="161"/>
      <c r="U2333" s="161"/>
      <c r="V2333" s="161"/>
      <c r="W2333" s="161"/>
      <c r="X2333" s="161"/>
      <c r="Y2333" s="161"/>
      <c r="Z2333" s="161"/>
    </row>
    <row r="2334" spans="1:26" s="161" customFormat="1" ht="72" customHeight="1" x14ac:dyDescent="0.3">
      <c r="A2334" s="139">
        <v>2303</v>
      </c>
      <c r="B2334" s="242" t="s">
        <v>20254</v>
      </c>
      <c r="C2334" s="242" t="s">
        <v>15318</v>
      </c>
      <c r="D2334" s="245"/>
      <c r="E2334" s="2">
        <v>585</v>
      </c>
      <c r="F2334" s="25"/>
      <c r="G2334" s="207"/>
      <c r="H2334" s="207"/>
      <c r="I2334" s="26">
        <v>42403</v>
      </c>
      <c r="J2334" s="66" t="s">
        <v>15349</v>
      </c>
      <c r="K2334" s="207"/>
      <c r="L2334" s="66"/>
      <c r="M2334" s="201" t="s">
        <v>12550</v>
      </c>
      <c r="N2334" s="207"/>
      <c r="O2334" s="65"/>
      <c r="Q2334" s="67"/>
      <c r="R2334" s="67"/>
      <c r="S2334" s="67"/>
      <c r="T2334" s="67"/>
      <c r="U2334" s="67"/>
      <c r="V2334" s="67"/>
      <c r="W2334" s="67"/>
      <c r="X2334" s="67"/>
      <c r="Y2334" s="67"/>
      <c r="Z2334" s="67"/>
    </row>
    <row r="2335" spans="1:26" ht="72" customHeight="1" x14ac:dyDescent="0.3">
      <c r="A2335" s="139">
        <v>2304</v>
      </c>
      <c r="B2335" s="242" t="s">
        <v>15400</v>
      </c>
      <c r="C2335" s="246" t="s">
        <v>15317</v>
      </c>
      <c r="D2335" s="86" t="s">
        <v>15393</v>
      </c>
      <c r="E2335" s="246">
        <v>1582</v>
      </c>
      <c r="F2335" s="25"/>
      <c r="G2335" s="207"/>
      <c r="H2335" s="25"/>
      <c r="I2335" s="26">
        <v>42403</v>
      </c>
      <c r="J2335" s="38" t="s">
        <v>21354</v>
      </c>
      <c r="K2335" s="207"/>
      <c r="L2335" s="66"/>
      <c r="M2335" s="201" t="s">
        <v>12550</v>
      </c>
      <c r="N2335" s="207"/>
      <c r="O2335" s="41"/>
    </row>
    <row r="2336" spans="1:26" ht="72" customHeight="1" x14ac:dyDescent="0.3">
      <c r="A2336" s="139">
        <v>2305</v>
      </c>
      <c r="B2336" s="242" t="s">
        <v>15401</v>
      </c>
      <c r="C2336" s="246" t="s">
        <v>15319</v>
      </c>
      <c r="D2336" s="86" t="s">
        <v>15394</v>
      </c>
      <c r="E2336" s="246">
        <v>1013</v>
      </c>
      <c r="F2336" s="25"/>
      <c r="G2336" s="207"/>
      <c r="H2336" s="25"/>
      <c r="I2336" s="26">
        <v>42403</v>
      </c>
      <c r="J2336" s="38" t="s">
        <v>21355</v>
      </c>
      <c r="K2336" s="207"/>
      <c r="L2336" s="66"/>
      <c r="M2336" s="201" t="s">
        <v>12550</v>
      </c>
      <c r="N2336" s="207"/>
      <c r="O2336" s="41"/>
    </row>
    <row r="2337" spans="1:15" ht="72" customHeight="1" x14ac:dyDescent="0.3">
      <c r="A2337" s="139">
        <v>2306</v>
      </c>
      <c r="B2337" s="242" t="s">
        <v>15402</v>
      </c>
      <c r="C2337" s="246" t="s">
        <v>15320</v>
      </c>
      <c r="D2337" s="86" t="s">
        <v>15395</v>
      </c>
      <c r="E2337" s="246">
        <v>1923</v>
      </c>
      <c r="F2337" s="25"/>
      <c r="G2337" s="207"/>
      <c r="H2337" s="25"/>
      <c r="I2337" s="26">
        <v>42403</v>
      </c>
      <c r="J2337" s="38" t="s">
        <v>21356</v>
      </c>
      <c r="K2337" s="207"/>
      <c r="L2337" s="66"/>
      <c r="M2337" s="201" t="s">
        <v>12550</v>
      </c>
      <c r="N2337" s="207"/>
      <c r="O2337" s="41"/>
    </row>
    <row r="2338" spans="1:15" ht="72" customHeight="1" x14ac:dyDescent="0.3">
      <c r="A2338" s="139">
        <v>2307</v>
      </c>
      <c r="B2338" s="242" t="s">
        <v>15403</v>
      </c>
      <c r="C2338" s="246" t="s">
        <v>15321</v>
      </c>
      <c r="D2338" s="86" t="s">
        <v>15396</v>
      </c>
      <c r="E2338" s="246">
        <v>577</v>
      </c>
      <c r="F2338" s="25"/>
      <c r="G2338" s="207"/>
      <c r="H2338" s="25"/>
      <c r="I2338" s="26">
        <v>42403</v>
      </c>
      <c r="J2338" s="38" t="s">
        <v>15349</v>
      </c>
      <c r="K2338" s="207"/>
      <c r="L2338" s="66"/>
      <c r="M2338" s="201" t="s">
        <v>12550</v>
      </c>
      <c r="N2338" s="207"/>
      <c r="O2338" s="41"/>
    </row>
    <row r="2339" spans="1:15" ht="72" customHeight="1" x14ac:dyDescent="0.3">
      <c r="A2339" s="269">
        <v>2308</v>
      </c>
      <c r="B2339" s="259" t="s">
        <v>15404</v>
      </c>
      <c r="C2339" s="312" t="s">
        <v>15322</v>
      </c>
      <c r="D2339" s="257"/>
      <c r="E2339" s="246">
        <v>1336</v>
      </c>
      <c r="F2339" s="25"/>
      <c r="G2339" s="207"/>
      <c r="H2339" s="207"/>
      <c r="I2339" s="26">
        <v>42403</v>
      </c>
      <c r="J2339" s="38" t="s">
        <v>15349</v>
      </c>
      <c r="K2339" s="207"/>
      <c r="L2339" s="66"/>
      <c r="M2339" s="201" t="s">
        <v>12550</v>
      </c>
      <c r="N2339" s="207"/>
      <c r="O2339" s="41"/>
    </row>
    <row r="2340" spans="1:15" ht="84" customHeight="1" x14ac:dyDescent="0.3">
      <c r="A2340" s="309">
        <v>2309</v>
      </c>
      <c r="B2340" s="105" t="s">
        <v>23538</v>
      </c>
      <c r="C2340" s="105" t="s">
        <v>15323</v>
      </c>
      <c r="D2340" s="311" t="s">
        <v>20541</v>
      </c>
      <c r="E2340" s="246">
        <v>1271</v>
      </c>
      <c r="F2340" s="25"/>
      <c r="G2340" s="207"/>
      <c r="H2340" s="25"/>
      <c r="I2340" s="26">
        <v>42403</v>
      </c>
      <c r="J2340" s="38" t="s">
        <v>21395</v>
      </c>
      <c r="K2340" s="207"/>
      <c r="L2340" s="66"/>
      <c r="M2340" s="201" t="s">
        <v>12550</v>
      </c>
      <c r="N2340" s="207"/>
      <c r="O2340" s="38" t="s">
        <v>23856</v>
      </c>
    </row>
    <row r="2341" spans="1:15" ht="84" customHeight="1" x14ac:dyDescent="0.3">
      <c r="A2341" s="139">
        <v>2310</v>
      </c>
      <c r="B2341" s="262" t="s">
        <v>15405</v>
      </c>
      <c r="C2341" s="262" t="s">
        <v>15324</v>
      </c>
      <c r="D2341" s="86" t="s">
        <v>20544</v>
      </c>
      <c r="E2341" s="246">
        <v>825</v>
      </c>
      <c r="F2341" s="25"/>
      <c r="G2341" s="207"/>
      <c r="H2341" s="25"/>
      <c r="I2341" s="26">
        <v>42403</v>
      </c>
      <c r="J2341" s="38" t="s">
        <v>21369</v>
      </c>
      <c r="K2341" s="207"/>
      <c r="L2341" s="66"/>
      <c r="M2341" s="201" t="s">
        <v>12550</v>
      </c>
      <c r="N2341" s="207"/>
      <c r="O2341" s="41"/>
    </row>
    <row r="2342" spans="1:15" ht="72" customHeight="1" x14ac:dyDescent="0.3">
      <c r="A2342" s="139">
        <v>2311</v>
      </c>
      <c r="B2342" s="246" t="s">
        <v>15406</v>
      </c>
      <c r="C2342" s="246" t="s">
        <v>15322</v>
      </c>
      <c r="D2342" s="86" t="s">
        <v>15397</v>
      </c>
      <c r="E2342" s="246">
        <v>1634</v>
      </c>
      <c r="F2342" s="25"/>
      <c r="G2342" s="207"/>
      <c r="H2342" s="25"/>
      <c r="I2342" s="26">
        <v>42403</v>
      </c>
      <c r="J2342" s="38" t="s">
        <v>21358</v>
      </c>
      <c r="K2342" s="207"/>
      <c r="L2342" s="66"/>
      <c r="M2342" s="201" t="s">
        <v>12550</v>
      </c>
      <c r="N2342" s="207"/>
      <c r="O2342" s="41"/>
    </row>
    <row r="2343" spans="1:15" ht="72" customHeight="1" x14ac:dyDescent="0.3">
      <c r="A2343" s="139">
        <v>2312</v>
      </c>
      <c r="B2343" s="246" t="s">
        <v>15407</v>
      </c>
      <c r="C2343" s="246" t="s">
        <v>15325</v>
      </c>
      <c r="D2343" s="86" t="s">
        <v>15398</v>
      </c>
      <c r="E2343" s="246">
        <v>478</v>
      </c>
      <c r="F2343" s="25"/>
      <c r="G2343" s="207"/>
      <c r="H2343" s="25"/>
      <c r="I2343" s="26">
        <v>42403</v>
      </c>
      <c r="J2343" s="38" t="s">
        <v>21359</v>
      </c>
      <c r="K2343" s="207"/>
      <c r="L2343" s="66"/>
      <c r="M2343" s="201" t="s">
        <v>12550</v>
      </c>
      <c r="N2343" s="207"/>
      <c r="O2343" s="41"/>
    </row>
    <row r="2344" spans="1:15" ht="72" customHeight="1" x14ac:dyDescent="0.3">
      <c r="A2344" s="139">
        <v>2313</v>
      </c>
      <c r="B2344" s="246" t="s">
        <v>15408</v>
      </c>
      <c r="C2344" s="246" t="s">
        <v>15326</v>
      </c>
      <c r="D2344" s="86" t="s">
        <v>15399</v>
      </c>
      <c r="E2344" s="246">
        <v>199</v>
      </c>
      <c r="F2344" s="25"/>
      <c r="G2344" s="207"/>
      <c r="H2344" s="25"/>
      <c r="I2344" s="26">
        <v>42403</v>
      </c>
      <c r="J2344" s="38" t="s">
        <v>21360</v>
      </c>
      <c r="K2344" s="207"/>
      <c r="L2344" s="66"/>
      <c r="M2344" s="201" t="s">
        <v>12550</v>
      </c>
      <c r="N2344" s="207"/>
      <c r="O2344" s="41"/>
    </row>
    <row r="2345" spans="1:15" ht="84" customHeight="1" x14ac:dyDescent="0.3">
      <c r="A2345" s="269">
        <v>2314</v>
      </c>
      <c r="B2345" s="262" t="s">
        <v>15409</v>
      </c>
      <c r="C2345" s="262" t="s">
        <v>15327</v>
      </c>
      <c r="D2345" s="257"/>
      <c r="E2345" s="246">
        <v>2039</v>
      </c>
      <c r="F2345" s="25"/>
      <c r="G2345" s="207"/>
      <c r="H2345" s="207"/>
      <c r="I2345" s="26">
        <v>42403</v>
      </c>
      <c r="J2345" s="38" t="s">
        <v>15349</v>
      </c>
      <c r="K2345" s="207"/>
      <c r="L2345" s="66"/>
      <c r="M2345" s="201" t="s">
        <v>12550</v>
      </c>
      <c r="N2345" s="207"/>
      <c r="O2345" s="41"/>
    </row>
    <row r="2346" spans="1:15" ht="84" customHeight="1" x14ac:dyDescent="0.3">
      <c r="A2346" s="139">
        <v>2315</v>
      </c>
      <c r="B2346" s="82" t="s">
        <v>15410</v>
      </c>
      <c r="C2346" s="82" t="s">
        <v>15328</v>
      </c>
      <c r="D2346" s="245"/>
      <c r="E2346" s="246">
        <v>5784</v>
      </c>
      <c r="F2346" s="25"/>
      <c r="G2346" s="207"/>
      <c r="H2346" s="207"/>
      <c r="I2346" s="26">
        <v>42403</v>
      </c>
      <c r="J2346" s="38" t="s">
        <v>15349</v>
      </c>
      <c r="K2346" s="207"/>
      <c r="L2346" s="66"/>
      <c r="M2346" s="201" t="s">
        <v>12550</v>
      </c>
      <c r="N2346" s="207"/>
      <c r="O2346" s="41"/>
    </row>
    <row r="2347" spans="1:15" ht="84" customHeight="1" x14ac:dyDescent="0.3">
      <c r="A2347" s="139">
        <v>2316</v>
      </c>
      <c r="B2347" s="82" t="s">
        <v>15411</v>
      </c>
      <c r="C2347" s="82" t="s">
        <v>15329</v>
      </c>
      <c r="D2347" s="245"/>
      <c r="E2347" s="246">
        <v>1800</v>
      </c>
      <c r="F2347" s="25"/>
      <c r="G2347" s="207"/>
      <c r="H2347" s="207"/>
      <c r="I2347" s="26">
        <v>42403</v>
      </c>
      <c r="J2347" s="38" t="s">
        <v>15349</v>
      </c>
      <c r="K2347" s="207"/>
      <c r="L2347" s="66"/>
      <c r="M2347" s="201" t="s">
        <v>12550</v>
      </c>
      <c r="N2347" s="207"/>
      <c r="O2347" s="41"/>
    </row>
    <row r="2348" spans="1:15" ht="72" customHeight="1" x14ac:dyDescent="0.3">
      <c r="A2348" s="139">
        <v>2317</v>
      </c>
      <c r="B2348" s="82" t="s">
        <v>15412</v>
      </c>
      <c r="C2348" s="82" t="s">
        <v>15330</v>
      </c>
      <c r="D2348" s="245"/>
      <c r="E2348" s="246">
        <v>770.15</v>
      </c>
      <c r="F2348" s="25"/>
      <c r="G2348" s="207"/>
      <c r="H2348" s="207"/>
      <c r="I2348" s="26">
        <v>42403</v>
      </c>
      <c r="J2348" s="38" t="s">
        <v>15349</v>
      </c>
      <c r="K2348" s="207"/>
      <c r="L2348" s="66"/>
      <c r="M2348" s="201" t="s">
        <v>12550</v>
      </c>
      <c r="N2348" s="207"/>
      <c r="O2348" s="41"/>
    </row>
    <row r="2349" spans="1:15" ht="96" customHeight="1" x14ac:dyDescent="0.3">
      <c r="A2349" s="139">
        <v>2318</v>
      </c>
      <c r="B2349" s="246" t="s">
        <v>20020</v>
      </c>
      <c r="C2349" s="246" t="s">
        <v>21398</v>
      </c>
      <c r="D2349" s="86" t="s">
        <v>21399</v>
      </c>
      <c r="E2349" s="246">
        <v>1629</v>
      </c>
      <c r="F2349" s="25"/>
      <c r="G2349" s="207"/>
      <c r="H2349" s="207">
        <v>139963.79999999999</v>
      </c>
      <c r="I2349" s="26">
        <v>42403</v>
      </c>
      <c r="J2349" s="38" t="s">
        <v>21895</v>
      </c>
      <c r="K2349" s="207"/>
      <c r="L2349" s="66"/>
      <c r="M2349" s="201" t="s">
        <v>12550</v>
      </c>
      <c r="N2349" s="207"/>
      <c r="O2349" s="38"/>
    </row>
    <row r="2350" spans="1:15" ht="84" customHeight="1" x14ac:dyDescent="0.3">
      <c r="A2350" s="269">
        <v>2319</v>
      </c>
      <c r="B2350" s="262" t="s">
        <v>20021</v>
      </c>
      <c r="C2350" s="262" t="s">
        <v>20022</v>
      </c>
      <c r="D2350" s="257"/>
      <c r="E2350" s="246">
        <v>2458</v>
      </c>
      <c r="F2350" s="25"/>
      <c r="G2350" s="207"/>
      <c r="H2350" s="207"/>
      <c r="I2350" s="26">
        <v>42403</v>
      </c>
      <c r="J2350" s="38" t="s">
        <v>15349</v>
      </c>
      <c r="K2350" s="207"/>
      <c r="L2350" s="66"/>
      <c r="M2350" s="201" t="s">
        <v>12550</v>
      </c>
      <c r="N2350" s="207"/>
      <c r="O2350" s="38"/>
    </row>
    <row r="2351" spans="1:15" ht="84" customHeight="1" x14ac:dyDescent="0.3">
      <c r="A2351" s="139">
        <v>2320</v>
      </c>
      <c r="B2351" s="82" t="s">
        <v>15413</v>
      </c>
      <c r="C2351" s="82" t="s">
        <v>15331</v>
      </c>
      <c r="D2351" s="245"/>
      <c r="E2351" s="246">
        <v>1101</v>
      </c>
      <c r="F2351" s="25"/>
      <c r="G2351" s="207"/>
      <c r="H2351" s="207"/>
      <c r="I2351" s="26">
        <v>42403</v>
      </c>
      <c r="J2351" s="38" t="s">
        <v>15349</v>
      </c>
      <c r="K2351" s="207"/>
      <c r="L2351" s="66"/>
      <c r="M2351" s="201" t="s">
        <v>12550</v>
      </c>
      <c r="N2351" s="207"/>
      <c r="O2351" s="41"/>
    </row>
    <row r="2352" spans="1:15" ht="72" customHeight="1" x14ac:dyDescent="0.3">
      <c r="A2352" s="139">
        <v>2321</v>
      </c>
      <c r="B2352" s="81" t="s">
        <v>20023</v>
      </c>
      <c r="C2352" s="81" t="s">
        <v>15332</v>
      </c>
      <c r="D2352" s="245"/>
      <c r="E2352" s="246">
        <v>3755</v>
      </c>
      <c r="F2352" s="25"/>
      <c r="G2352" s="207"/>
      <c r="H2352" s="207"/>
      <c r="I2352" s="26">
        <v>42403</v>
      </c>
      <c r="J2352" s="38" t="s">
        <v>15349</v>
      </c>
      <c r="K2352" s="207"/>
      <c r="L2352" s="66"/>
      <c r="M2352" s="201" t="s">
        <v>12550</v>
      </c>
      <c r="N2352" s="207"/>
      <c r="O2352" s="38"/>
    </row>
    <row r="2353" spans="1:15" ht="104.4" customHeight="1" x14ac:dyDescent="0.3">
      <c r="A2353" s="309">
        <v>2322</v>
      </c>
      <c r="B2353" s="105" t="s">
        <v>23541</v>
      </c>
      <c r="C2353" s="105" t="s">
        <v>15333</v>
      </c>
      <c r="D2353" s="313"/>
      <c r="E2353" s="246">
        <v>7276</v>
      </c>
      <c r="F2353" s="25"/>
      <c r="G2353" s="207"/>
      <c r="H2353" s="207"/>
      <c r="I2353" s="26">
        <v>42403</v>
      </c>
      <c r="J2353" s="38" t="s">
        <v>15349</v>
      </c>
      <c r="K2353" s="207"/>
      <c r="L2353" s="66"/>
      <c r="M2353" s="201" t="s">
        <v>12550</v>
      </c>
      <c r="N2353" s="207"/>
      <c r="O2353" s="38" t="s">
        <v>23856</v>
      </c>
    </row>
    <row r="2354" spans="1:15" ht="72" customHeight="1" x14ac:dyDescent="0.3">
      <c r="A2354" s="139">
        <v>2323</v>
      </c>
      <c r="B2354" s="262" t="s">
        <v>15414</v>
      </c>
      <c r="C2354" s="262" t="s">
        <v>15334</v>
      </c>
      <c r="D2354" s="245"/>
      <c r="E2354" s="246">
        <v>2610</v>
      </c>
      <c r="F2354" s="25"/>
      <c r="G2354" s="207"/>
      <c r="H2354" s="207"/>
      <c r="I2354" s="26">
        <v>42403</v>
      </c>
      <c r="J2354" s="38" t="s">
        <v>15349</v>
      </c>
      <c r="K2354" s="207"/>
      <c r="L2354" s="66"/>
      <c r="M2354" s="201" t="s">
        <v>12550</v>
      </c>
      <c r="N2354" s="207"/>
      <c r="O2354" s="41"/>
    </row>
    <row r="2355" spans="1:15" ht="72" customHeight="1" x14ac:dyDescent="0.3">
      <c r="A2355" s="139">
        <v>2324</v>
      </c>
      <c r="B2355" s="82" t="s">
        <v>20024</v>
      </c>
      <c r="C2355" s="82" t="s">
        <v>15335</v>
      </c>
      <c r="D2355" s="245"/>
      <c r="E2355" s="246">
        <v>5704</v>
      </c>
      <c r="F2355" s="25"/>
      <c r="G2355" s="207"/>
      <c r="H2355" s="207"/>
      <c r="I2355" s="26">
        <v>42403</v>
      </c>
      <c r="J2355" s="38" t="s">
        <v>15349</v>
      </c>
      <c r="K2355" s="207"/>
      <c r="L2355" s="66"/>
      <c r="M2355" s="201" t="s">
        <v>12550</v>
      </c>
      <c r="N2355" s="207"/>
      <c r="O2355" s="38"/>
    </row>
    <row r="2356" spans="1:15" ht="72" customHeight="1" x14ac:dyDescent="0.3">
      <c r="A2356" s="139">
        <v>2325</v>
      </c>
      <c r="B2356" s="82" t="s">
        <v>15415</v>
      </c>
      <c r="C2356" s="82" t="s">
        <v>15336</v>
      </c>
      <c r="D2356" s="245"/>
      <c r="E2356" s="246">
        <v>8393</v>
      </c>
      <c r="F2356" s="25"/>
      <c r="G2356" s="207"/>
      <c r="H2356" s="207"/>
      <c r="I2356" s="26">
        <v>42403</v>
      </c>
      <c r="J2356" s="38" t="s">
        <v>15349</v>
      </c>
      <c r="K2356" s="207"/>
      <c r="L2356" s="66"/>
      <c r="M2356" s="201" t="s">
        <v>12550</v>
      </c>
      <c r="N2356" s="207"/>
      <c r="O2356" s="41"/>
    </row>
    <row r="2357" spans="1:15" ht="72" customHeight="1" x14ac:dyDescent="0.3">
      <c r="A2357" s="139">
        <v>2326</v>
      </c>
      <c r="B2357" s="82" t="s">
        <v>15416</v>
      </c>
      <c r="C2357" s="82" t="s">
        <v>15336</v>
      </c>
      <c r="D2357" s="245"/>
      <c r="E2357" s="246">
        <v>32995</v>
      </c>
      <c r="F2357" s="25"/>
      <c r="G2357" s="207"/>
      <c r="H2357" s="207"/>
      <c r="I2357" s="26">
        <v>42403</v>
      </c>
      <c r="J2357" s="38" t="s">
        <v>15349</v>
      </c>
      <c r="K2357" s="207"/>
      <c r="L2357" s="66"/>
      <c r="M2357" s="201" t="s">
        <v>12550</v>
      </c>
      <c r="N2357" s="207"/>
      <c r="O2357" s="41"/>
    </row>
    <row r="2358" spans="1:15" ht="72" customHeight="1" x14ac:dyDescent="0.3">
      <c r="A2358" s="139">
        <v>2327</v>
      </c>
      <c r="B2358" s="82" t="s">
        <v>15417</v>
      </c>
      <c r="C2358" s="82" t="s">
        <v>15337</v>
      </c>
      <c r="D2358" s="245"/>
      <c r="E2358" s="246">
        <v>10401</v>
      </c>
      <c r="F2358" s="25"/>
      <c r="G2358" s="207"/>
      <c r="H2358" s="207"/>
      <c r="I2358" s="26">
        <v>42403</v>
      </c>
      <c r="J2358" s="38" t="s">
        <v>15349</v>
      </c>
      <c r="K2358" s="207"/>
      <c r="L2358" s="66"/>
      <c r="M2358" s="201" t="s">
        <v>12550</v>
      </c>
      <c r="N2358" s="207"/>
      <c r="O2358" s="41"/>
    </row>
    <row r="2359" spans="1:15" ht="72" customHeight="1" x14ac:dyDescent="0.3">
      <c r="A2359" s="139">
        <v>2328</v>
      </c>
      <c r="B2359" s="82" t="s">
        <v>15418</v>
      </c>
      <c r="C2359" s="82" t="s">
        <v>15338</v>
      </c>
      <c r="D2359" s="245"/>
      <c r="E2359" s="246">
        <v>1187.2</v>
      </c>
      <c r="F2359" s="25"/>
      <c r="G2359" s="207"/>
      <c r="H2359" s="207"/>
      <c r="I2359" s="26">
        <v>42403</v>
      </c>
      <c r="J2359" s="38" t="s">
        <v>15349</v>
      </c>
      <c r="K2359" s="207"/>
      <c r="L2359" s="66"/>
      <c r="M2359" s="201" t="s">
        <v>12550</v>
      </c>
      <c r="N2359" s="207"/>
      <c r="O2359" s="41"/>
    </row>
    <row r="2360" spans="1:15" ht="72" customHeight="1" x14ac:dyDescent="0.3">
      <c r="A2360" s="139">
        <v>2329</v>
      </c>
      <c r="B2360" s="82" t="s">
        <v>15419</v>
      </c>
      <c r="C2360" s="82" t="s">
        <v>15339</v>
      </c>
      <c r="D2360" s="245"/>
      <c r="E2360" s="246">
        <v>3021</v>
      </c>
      <c r="F2360" s="25"/>
      <c r="G2360" s="207"/>
      <c r="H2360" s="207"/>
      <c r="I2360" s="26">
        <v>42403</v>
      </c>
      <c r="J2360" s="38" t="s">
        <v>15349</v>
      </c>
      <c r="K2360" s="207"/>
      <c r="L2360" s="66"/>
      <c r="M2360" s="201" t="s">
        <v>12550</v>
      </c>
      <c r="N2360" s="207"/>
      <c r="O2360" s="41"/>
    </row>
    <row r="2361" spans="1:15" ht="72" customHeight="1" x14ac:dyDescent="0.3">
      <c r="A2361" s="139">
        <v>2330</v>
      </c>
      <c r="B2361" s="82" t="s">
        <v>20027</v>
      </c>
      <c r="C2361" s="82" t="s">
        <v>15340</v>
      </c>
      <c r="D2361" s="245"/>
      <c r="E2361" s="246">
        <v>2862</v>
      </c>
      <c r="F2361" s="25"/>
      <c r="G2361" s="207"/>
      <c r="H2361" s="207"/>
      <c r="I2361" s="26">
        <v>42403</v>
      </c>
      <c r="J2361" s="38" t="s">
        <v>15349</v>
      </c>
      <c r="K2361" s="207"/>
      <c r="L2361" s="66"/>
      <c r="M2361" s="201" t="s">
        <v>12550</v>
      </c>
      <c r="N2361" s="207"/>
      <c r="O2361" s="38"/>
    </row>
    <row r="2362" spans="1:15" ht="72" customHeight="1" x14ac:dyDescent="0.3">
      <c r="A2362" s="139">
        <v>2331</v>
      </c>
      <c r="B2362" s="82" t="s">
        <v>20025</v>
      </c>
      <c r="C2362" s="82" t="s">
        <v>15341</v>
      </c>
      <c r="D2362" s="245"/>
      <c r="E2362" s="246">
        <v>3732</v>
      </c>
      <c r="F2362" s="25"/>
      <c r="G2362" s="207"/>
      <c r="H2362" s="207"/>
      <c r="I2362" s="26">
        <v>42403</v>
      </c>
      <c r="J2362" s="38" t="s">
        <v>15349</v>
      </c>
      <c r="K2362" s="207"/>
      <c r="L2362" s="66"/>
      <c r="M2362" s="201" t="s">
        <v>12550</v>
      </c>
      <c r="N2362" s="207"/>
      <c r="O2362" s="38"/>
    </row>
    <row r="2363" spans="1:15" ht="72" customHeight="1" x14ac:dyDescent="0.3">
      <c r="A2363" s="139">
        <v>2332</v>
      </c>
      <c r="B2363" s="81" t="s">
        <v>15420</v>
      </c>
      <c r="C2363" s="81" t="s">
        <v>15342</v>
      </c>
      <c r="D2363" s="245"/>
      <c r="E2363" s="246">
        <v>25177.65</v>
      </c>
      <c r="F2363" s="25"/>
      <c r="G2363" s="207"/>
      <c r="H2363" s="207"/>
      <c r="I2363" s="26">
        <v>42403</v>
      </c>
      <c r="J2363" s="38" t="s">
        <v>15349</v>
      </c>
      <c r="K2363" s="207"/>
      <c r="L2363" s="66"/>
      <c r="M2363" s="201" t="s">
        <v>12550</v>
      </c>
      <c r="N2363" s="207"/>
      <c r="O2363" s="41"/>
    </row>
    <row r="2364" spans="1:15" ht="84" x14ac:dyDescent="0.3">
      <c r="A2364" s="309">
        <v>2333</v>
      </c>
      <c r="B2364" s="105" t="s">
        <v>23539</v>
      </c>
      <c r="C2364" s="105" t="s">
        <v>15343</v>
      </c>
      <c r="D2364" s="313"/>
      <c r="E2364" s="246">
        <v>1767.4</v>
      </c>
      <c r="F2364" s="25"/>
      <c r="G2364" s="207"/>
      <c r="H2364" s="207"/>
      <c r="I2364" s="26">
        <v>42403</v>
      </c>
      <c r="J2364" s="38" t="s">
        <v>15349</v>
      </c>
      <c r="K2364" s="207"/>
      <c r="L2364" s="66"/>
      <c r="M2364" s="201" t="s">
        <v>12550</v>
      </c>
      <c r="N2364" s="207"/>
      <c r="O2364" s="38" t="s">
        <v>23856</v>
      </c>
    </row>
    <row r="2365" spans="1:15" ht="96" customHeight="1" x14ac:dyDescent="0.3">
      <c r="A2365" s="139">
        <v>2334</v>
      </c>
      <c r="B2365" s="262" t="s">
        <v>15421</v>
      </c>
      <c r="C2365" s="262" t="s">
        <v>15344</v>
      </c>
      <c r="D2365" s="245"/>
      <c r="E2365" s="246">
        <v>2146</v>
      </c>
      <c r="F2365" s="25"/>
      <c r="G2365" s="207"/>
      <c r="H2365" s="207"/>
      <c r="I2365" s="26">
        <v>42403</v>
      </c>
      <c r="J2365" s="38" t="s">
        <v>15349</v>
      </c>
      <c r="K2365" s="207"/>
      <c r="L2365" s="66"/>
      <c r="M2365" s="201" t="s">
        <v>12550</v>
      </c>
      <c r="N2365" s="207"/>
      <c r="O2365" s="41"/>
    </row>
    <row r="2366" spans="1:15" ht="96" customHeight="1" x14ac:dyDescent="0.3">
      <c r="A2366" s="139">
        <v>2335</v>
      </c>
      <c r="B2366" s="246" t="s">
        <v>20536</v>
      </c>
      <c r="C2366" s="246" t="s">
        <v>15345</v>
      </c>
      <c r="D2366" s="86" t="s">
        <v>20537</v>
      </c>
      <c r="E2366" s="246">
        <v>2418</v>
      </c>
      <c r="F2366" s="25"/>
      <c r="G2366" s="207"/>
      <c r="H2366" s="25">
        <v>12937.8</v>
      </c>
      <c r="I2366" s="26">
        <v>42403</v>
      </c>
      <c r="J2366" s="38" t="s">
        <v>21893</v>
      </c>
      <c r="K2366" s="207"/>
      <c r="L2366" s="66"/>
      <c r="M2366" s="201" t="s">
        <v>12550</v>
      </c>
      <c r="N2366" s="207"/>
      <c r="O2366" s="41"/>
    </row>
    <row r="2367" spans="1:15" ht="96" customHeight="1" x14ac:dyDescent="0.3">
      <c r="A2367" s="269">
        <v>2336</v>
      </c>
      <c r="B2367" s="262" t="s">
        <v>15422</v>
      </c>
      <c r="C2367" s="262" t="s">
        <v>15346</v>
      </c>
      <c r="D2367" s="94"/>
      <c r="E2367" s="246">
        <v>2418</v>
      </c>
      <c r="F2367" s="25"/>
      <c r="G2367" s="207"/>
      <c r="H2367" s="207"/>
      <c r="I2367" s="26">
        <v>42403</v>
      </c>
      <c r="J2367" s="38" t="s">
        <v>15349</v>
      </c>
      <c r="K2367" s="243">
        <v>43300</v>
      </c>
      <c r="L2367" s="66" t="s">
        <v>20914</v>
      </c>
      <c r="M2367" s="201" t="s">
        <v>12550</v>
      </c>
      <c r="N2367" s="207"/>
      <c r="O2367" s="38" t="s">
        <v>20912</v>
      </c>
    </row>
    <row r="2368" spans="1:15" ht="72" customHeight="1" x14ac:dyDescent="0.3">
      <c r="A2368" s="139">
        <v>2337</v>
      </c>
      <c r="B2368" s="82" t="s">
        <v>15423</v>
      </c>
      <c r="C2368" s="68" t="s">
        <v>15282</v>
      </c>
      <c r="D2368" s="207"/>
      <c r="E2368" s="68">
        <v>105282</v>
      </c>
      <c r="F2368" s="167"/>
      <c r="G2368" s="69"/>
      <c r="H2368" s="69"/>
      <c r="I2368" s="115">
        <v>42403</v>
      </c>
      <c r="J2368" s="118" t="s">
        <v>15349</v>
      </c>
      <c r="K2368" s="69"/>
      <c r="L2368" s="70"/>
      <c r="M2368" s="201" t="s">
        <v>12550</v>
      </c>
      <c r="N2368" s="69"/>
      <c r="O2368" s="173"/>
    </row>
    <row r="2369" spans="1:15" ht="96" customHeight="1" x14ac:dyDescent="0.3">
      <c r="A2369" s="139">
        <v>2338</v>
      </c>
      <c r="B2369" s="105" t="s">
        <v>20128</v>
      </c>
      <c r="C2369" s="105" t="s">
        <v>15352</v>
      </c>
      <c r="D2369" s="238" t="s">
        <v>15516</v>
      </c>
      <c r="E2369" s="246">
        <v>16</v>
      </c>
      <c r="F2369" s="39">
        <v>505600</v>
      </c>
      <c r="G2369" s="207"/>
      <c r="H2369" s="207">
        <v>581471.36</v>
      </c>
      <c r="I2369" s="26">
        <v>42403</v>
      </c>
      <c r="J2369" s="38" t="s">
        <v>18585</v>
      </c>
      <c r="K2369" s="207"/>
      <c r="L2369" s="66"/>
      <c r="M2369" s="201" t="s">
        <v>12550</v>
      </c>
      <c r="N2369" s="207"/>
      <c r="O2369" s="38" t="s">
        <v>20470</v>
      </c>
    </row>
    <row r="2370" spans="1:15" ht="108" customHeight="1" x14ac:dyDescent="0.3">
      <c r="A2370" s="139">
        <v>2339</v>
      </c>
      <c r="B2370" s="105" t="s">
        <v>20137</v>
      </c>
      <c r="C2370" s="105" t="s">
        <v>15353</v>
      </c>
      <c r="D2370" s="239" t="s">
        <v>15517</v>
      </c>
      <c r="E2370" s="246">
        <v>17</v>
      </c>
      <c r="F2370" s="39">
        <v>541300</v>
      </c>
      <c r="G2370" s="207"/>
      <c r="H2370" s="25">
        <v>617813.31999999995</v>
      </c>
      <c r="I2370" s="26">
        <v>42403</v>
      </c>
      <c r="J2370" s="38" t="s">
        <v>20132</v>
      </c>
      <c r="K2370" s="207"/>
      <c r="L2370" s="66"/>
      <c r="M2370" s="201" t="s">
        <v>12550</v>
      </c>
      <c r="N2370" s="207"/>
      <c r="O2370" s="38" t="s">
        <v>20471</v>
      </c>
    </row>
    <row r="2371" spans="1:15" ht="72" customHeight="1" x14ac:dyDescent="0.3">
      <c r="A2371" s="139">
        <v>2340</v>
      </c>
      <c r="B2371" s="32" t="s">
        <v>18618</v>
      </c>
      <c r="C2371" s="32" t="s">
        <v>15354</v>
      </c>
      <c r="D2371" s="284" t="s">
        <v>16219</v>
      </c>
      <c r="E2371" s="152"/>
      <c r="F2371" s="39">
        <v>8754138.0500000007</v>
      </c>
      <c r="G2371" s="25"/>
      <c r="H2371" s="25">
        <v>57.3</v>
      </c>
      <c r="I2371" s="26">
        <v>42403</v>
      </c>
      <c r="J2371" s="38" t="s">
        <v>18619</v>
      </c>
      <c r="K2371" s="207"/>
      <c r="L2371" s="66"/>
      <c r="M2371" s="201" t="s">
        <v>12550</v>
      </c>
      <c r="N2371" s="207"/>
      <c r="O2371" s="38"/>
    </row>
    <row r="2372" spans="1:15" ht="132" customHeight="1" x14ac:dyDescent="0.3">
      <c r="A2372" s="139">
        <v>2341</v>
      </c>
      <c r="B2372" s="105" t="s">
        <v>15355</v>
      </c>
      <c r="C2372" s="105" t="s">
        <v>15356</v>
      </c>
      <c r="D2372" s="255" t="s">
        <v>15357</v>
      </c>
      <c r="E2372" s="207">
        <v>48</v>
      </c>
      <c r="F2372" s="22">
        <v>1262003</v>
      </c>
      <c r="G2372" s="25"/>
      <c r="H2372" s="25"/>
      <c r="I2372" s="26">
        <v>42403</v>
      </c>
      <c r="J2372" s="38" t="s">
        <v>15349</v>
      </c>
      <c r="K2372" s="207"/>
      <c r="L2372" s="66"/>
      <c r="M2372" s="201" t="s">
        <v>12550</v>
      </c>
      <c r="N2372" s="245" t="s">
        <v>23025</v>
      </c>
      <c r="O2372" s="41"/>
    </row>
    <row r="2373" spans="1:15" ht="72" customHeight="1" x14ac:dyDescent="0.3">
      <c r="A2373" s="269">
        <v>2342</v>
      </c>
      <c r="B2373" s="263" t="s">
        <v>15381</v>
      </c>
      <c r="C2373" s="263" t="s">
        <v>15358</v>
      </c>
      <c r="D2373" s="262"/>
      <c r="E2373" s="73"/>
      <c r="F2373" s="39">
        <v>79751.41</v>
      </c>
      <c r="G2373" s="39"/>
      <c r="H2373" s="25"/>
      <c r="I2373" s="115">
        <v>42403</v>
      </c>
      <c r="J2373" s="38" t="s">
        <v>15349</v>
      </c>
      <c r="K2373" s="207"/>
      <c r="L2373" s="66"/>
      <c r="M2373" s="201" t="s">
        <v>12550</v>
      </c>
      <c r="N2373" s="207"/>
      <c r="O2373" s="38" t="s">
        <v>22741</v>
      </c>
    </row>
    <row r="2374" spans="1:15" ht="72" customHeight="1" x14ac:dyDescent="0.3">
      <c r="A2374" s="139">
        <v>2343</v>
      </c>
      <c r="B2374" s="105" t="s">
        <v>15382</v>
      </c>
      <c r="C2374" s="105" t="s">
        <v>15359</v>
      </c>
      <c r="D2374" s="246"/>
      <c r="E2374" s="207"/>
      <c r="F2374" s="39">
        <v>87998.56</v>
      </c>
      <c r="G2374" s="39"/>
      <c r="H2374" s="25"/>
      <c r="I2374" s="115">
        <v>42403</v>
      </c>
      <c r="J2374" s="38" t="s">
        <v>15349</v>
      </c>
      <c r="K2374" s="207"/>
      <c r="L2374" s="66"/>
      <c r="M2374" s="201" t="s">
        <v>12550</v>
      </c>
      <c r="N2374" s="207"/>
      <c r="O2374" s="38" t="s">
        <v>22741</v>
      </c>
    </row>
    <row r="2375" spans="1:15" ht="72" customHeight="1" x14ac:dyDescent="0.3">
      <c r="A2375" s="139">
        <v>2344</v>
      </c>
      <c r="B2375" s="105" t="s">
        <v>15383</v>
      </c>
      <c r="C2375" s="105" t="s">
        <v>15360</v>
      </c>
      <c r="D2375" s="246"/>
      <c r="E2375" s="207"/>
      <c r="F2375" s="39">
        <v>94939.07</v>
      </c>
      <c r="G2375" s="39"/>
      <c r="H2375" s="25"/>
      <c r="I2375" s="115">
        <v>42403</v>
      </c>
      <c r="J2375" s="38" t="s">
        <v>15349</v>
      </c>
      <c r="K2375" s="207"/>
      <c r="L2375" s="66"/>
      <c r="M2375" s="201" t="s">
        <v>12550</v>
      </c>
      <c r="N2375" s="207"/>
      <c r="O2375" s="38" t="s">
        <v>22741</v>
      </c>
    </row>
    <row r="2376" spans="1:15" ht="72" customHeight="1" x14ac:dyDescent="0.3">
      <c r="A2376" s="139">
        <v>2345</v>
      </c>
      <c r="B2376" s="105" t="s">
        <v>15380</v>
      </c>
      <c r="C2376" s="105" t="s">
        <v>15361</v>
      </c>
      <c r="D2376" s="246"/>
      <c r="E2376" s="207"/>
      <c r="F2376" s="39">
        <v>689005.72</v>
      </c>
      <c r="G2376" s="39"/>
      <c r="H2376" s="25"/>
      <c r="I2376" s="26">
        <v>42403</v>
      </c>
      <c r="J2376" s="38" t="s">
        <v>15349</v>
      </c>
      <c r="K2376" s="207"/>
      <c r="L2376" s="66"/>
      <c r="M2376" s="201" t="s">
        <v>12550</v>
      </c>
      <c r="N2376" s="207"/>
      <c r="O2376" s="41"/>
    </row>
    <row r="2377" spans="1:15" ht="72" customHeight="1" x14ac:dyDescent="0.3">
      <c r="A2377" s="139">
        <v>2346</v>
      </c>
      <c r="B2377" s="105" t="s">
        <v>15384</v>
      </c>
      <c r="C2377" s="105" t="s">
        <v>15362</v>
      </c>
      <c r="D2377" s="246"/>
      <c r="E2377" s="207"/>
      <c r="F2377" s="39">
        <v>141300.49</v>
      </c>
      <c r="G2377" s="39"/>
      <c r="H2377" s="25"/>
      <c r="I2377" s="115">
        <v>42403</v>
      </c>
      <c r="J2377" s="38" t="s">
        <v>15349</v>
      </c>
      <c r="K2377" s="207"/>
      <c r="L2377" s="66"/>
      <c r="M2377" s="201" t="s">
        <v>12550</v>
      </c>
      <c r="N2377" s="207"/>
      <c r="O2377" s="38" t="s">
        <v>22741</v>
      </c>
    </row>
    <row r="2378" spans="1:15" ht="72" customHeight="1" x14ac:dyDescent="0.3">
      <c r="A2378" s="139">
        <v>2347</v>
      </c>
      <c r="B2378" s="105" t="s">
        <v>15385</v>
      </c>
      <c r="C2378" s="105" t="s">
        <v>15363</v>
      </c>
      <c r="D2378" s="246"/>
      <c r="E2378" s="207"/>
      <c r="F2378" s="39">
        <v>98774.16</v>
      </c>
      <c r="G2378" s="39"/>
      <c r="H2378" s="25"/>
      <c r="I2378" s="115">
        <v>42403</v>
      </c>
      <c r="J2378" s="38" t="s">
        <v>15349</v>
      </c>
      <c r="K2378" s="207"/>
      <c r="L2378" s="66"/>
      <c r="M2378" s="201" t="s">
        <v>12550</v>
      </c>
      <c r="N2378" s="207"/>
      <c r="O2378" s="38" t="s">
        <v>22741</v>
      </c>
    </row>
    <row r="2379" spans="1:15" ht="72" customHeight="1" x14ac:dyDescent="0.3">
      <c r="A2379" s="139">
        <v>2348</v>
      </c>
      <c r="B2379" s="105" t="s">
        <v>15386</v>
      </c>
      <c r="C2379" s="105" t="s">
        <v>15364</v>
      </c>
      <c r="D2379" s="246"/>
      <c r="E2379" s="207"/>
      <c r="F2379" s="39">
        <v>124903.65</v>
      </c>
      <c r="G2379" s="39"/>
      <c r="H2379" s="25"/>
      <c r="I2379" s="115">
        <v>42403</v>
      </c>
      <c r="J2379" s="38" t="s">
        <v>15349</v>
      </c>
      <c r="K2379" s="207"/>
      <c r="L2379" s="66"/>
      <c r="M2379" s="201" t="s">
        <v>12550</v>
      </c>
      <c r="N2379" s="207"/>
      <c r="O2379" s="38" t="s">
        <v>22741</v>
      </c>
    </row>
    <row r="2380" spans="1:15" ht="72" customHeight="1" x14ac:dyDescent="0.3">
      <c r="A2380" s="139">
        <v>2349</v>
      </c>
      <c r="B2380" s="105" t="s">
        <v>15428</v>
      </c>
      <c r="C2380" s="105" t="s">
        <v>15429</v>
      </c>
      <c r="D2380" s="246"/>
      <c r="E2380" s="207"/>
      <c r="F2380" s="39">
        <v>49313.55</v>
      </c>
      <c r="G2380" s="39"/>
      <c r="H2380" s="25"/>
      <c r="I2380" s="115">
        <v>42403</v>
      </c>
      <c r="J2380" s="38" t="s">
        <v>15349</v>
      </c>
      <c r="K2380" s="207"/>
      <c r="L2380" s="66"/>
      <c r="M2380" s="201" t="s">
        <v>12550</v>
      </c>
      <c r="N2380" s="207"/>
      <c r="O2380" s="38" t="s">
        <v>22741</v>
      </c>
    </row>
    <row r="2381" spans="1:15" ht="72" customHeight="1" x14ac:dyDescent="0.3">
      <c r="A2381" s="139">
        <v>2350</v>
      </c>
      <c r="B2381" s="105" t="s">
        <v>15431</v>
      </c>
      <c r="C2381" s="105" t="s">
        <v>15430</v>
      </c>
      <c r="D2381" s="246"/>
      <c r="E2381" s="207"/>
      <c r="F2381" s="39">
        <v>321355.74</v>
      </c>
      <c r="G2381" s="39"/>
      <c r="H2381" s="25"/>
      <c r="I2381" s="26">
        <v>42403</v>
      </c>
      <c r="J2381" s="38" t="s">
        <v>15349</v>
      </c>
      <c r="K2381" s="207"/>
      <c r="L2381" s="66"/>
      <c r="M2381" s="201" t="s">
        <v>12550</v>
      </c>
      <c r="N2381" s="207"/>
      <c r="O2381" s="38" t="s">
        <v>22741</v>
      </c>
    </row>
    <row r="2382" spans="1:15" ht="72" customHeight="1" x14ac:dyDescent="0.3">
      <c r="A2382" s="139">
        <v>2351</v>
      </c>
      <c r="B2382" s="105" t="s">
        <v>15365</v>
      </c>
      <c r="C2382" s="105" t="s">
        <v>15366</v>
      </c>
      <c r="D2382" s="246"/>
      <c r="E2382" s="207"/>
      <c r="F2382" s="39">
        <v>348594.12</v>
      </c>
      <c r="G2382" s="39">
        <v>62402.78</v>
      </c>
      <c r="H2382" s="25"/>
      <c r="I2382" s="26">
        <v>42403</v>
      </c>
      <c r="J2382" s="38" t="s">
        <v>15349</v>
      </c>
      <c r="K2382" s="207"/>
      <c r="L2382" s="66"/>
      <c r="M2382" s="201" t="s">
        <v>12550</v>
      </c>
      <c r="N2382" s="207"/>
      <c r="O2382" s="41"/>
    </row>
    <row r="2383" spans="1:15" ht="96" customHeight="1" x14ac:dyDescent="0.3">
      <c r="A2383" s="139">
        <v>2352</v>
      </c>
      <c r="B2383" s="105" t="s">
        <v>18626</v>
      </c>
      <c r="C2383" s="105" t="s">
        <v>18620</v>
      </c>
      <c r="D2383" s="60" t="s">
        <v>15367</v>
      </c>
      <c r="E2383" s="207"/>
      <c r="F2383" s="39">
        <v>10897755</v>
      </c>
      <c r="G2383" s="39">
        <v>10461845</v>
      </c>
      <c r="H2383" s="25">
        <v>4222688.4000000004</v>
      </c>
      <c r="I2383" s="26">
        <v>42403</v>
      </c>
      <c r="J2383" s="38" t="s">
        <v>18621</v>
      </c>
      <c r="K2383" s="207"/>
      <c r="L2383" s="66"/>
      <c r="M2383" s="201" t="s">
        <v>12550</v>
      </c>
      <c r="N2383" s="207"/>
      <c r="O2383" s="41"/>
    </row>
    <row r="2384" spans="1:15" ht="96" customHeight="1" x14ac:dyDescent="0.3">
      <c r="A2384" s="139">
        <v>2353</v>
      </c>
      <c r="B2384" s="105" t="s">
        <v>18623</v>
      </c>
      <c r="C2384" s="105" t="s">
        <v>18624</v>
      </c>
      <c r="D2384" s="60" t="s">
        <v>15368</v>
      </c>
      <c r="E2384" s="73"/>
      <c r="F2384" s="39">
        <v>3047255</v>
      </c>
      <c r="G2384" s="39">
        <v>2925365</v>
      </c>
      <c r="H2384" s="25">
        <v>4222688.4000000004</v>
      </c>
      <c r="I2384" s="26">
        <v>42403</v>
      </c>
      <c r="J2384" s="38" t="s">
        <v>18625</v>
      </c>
      <c r="K2384" s="207"/>
      <c r="L2384" s="66"/>
      <c r="M2384" s="201" t="s">
        <v>12550</v>
      </c>
      <c r="N2384" s="207"/>
      <c r="O2384" s="41"/>
    </row>
    <row r="2385" spans="1:26" ht="120" customHeight="1" x14ac:dyDescent="0.3">
      <c r="A2385" s="139">
        <v>2354</v>
      </c>
      <c r="B2385" s="105" t="s">
        <v>18622</v>
      </c>
      <c r="C2385" s="105" t="s">
        <v>18616</v>
      </c>
      <c r="D2385" s="255" t="s">
        <v>15369</v>
      </c>
      <c r="E2385" s="207"/>
      <c r="F2385" s="39">
        <v>4748568.4400000004</v>
      </c>
      <c r="G2385" s="39"/>
      <c r="H2385" s="25">
        <v>2695912.32</v>
      </c>
      <c r="I2385" s="26">
        <v>42403</v>
      </c>
      <c r="J2385" s="38" t="s">
        <v>18617</v>
      </c>
      <c r="K2385" s="207" t="s">
        <v>19688</v>
      </c>
      <c r="L2385" s="66" t="s">
        <v>19689</v>
      </c>
      <c r="M2385" s="201" t="s">
        <v>12550</v>
      </c>
      <c r="N2385" s="207"/>
      <c r="O2385" s="41"/>
      <c r="Q2385" s="161"/>
      <c r="R2385" s="161"/>
      <c r="S2385" s="161"/>
      <c r="T2385" s="161"/>
      <c r="U2385" s="161"/>
      <c r="V2385" s="161"/>
      <c r="W2385" s="161"/>
      <c r="X2385" s="161"/>
      <c r="Y2385" s="161"/>
      <c r="Z2385" s="161"/>
    </row>
    <row r="2386" spans="1:26" s="161" customFormat="1" ht="72" customHeight="1" x14ac:dyDescent="0.3">
      <c r="A2386" s="139">
        <v>2355</v>
      </c>
      <c r="B2386" s="108" t="s">
        <v>14442</v>
      </c>
      <c r="C2386" s="32" t="s">
        <v>15370</v>
      </c>
      <c r="D2386" s="255" t="s">
        <v>14445</v>
      </c>
      <c r="E2386" s="109">
        <v>34883000</v>
      </c>
      <c r="F2386" s="20">
        <v>1404439.74</v>
      </c>
      <c r="G2386" s="20"/>
      <c r="H2386" s="84">
        <v>429758560</v>
      </c>
      <c r="I2386" s="26">
        <v>42403</v>
      </c>
      <c r="J2386" s="66" t="s">
        <v>16450</v>
      </c>
      <c r="K2386" s="207"/>
      <c r="L2386" s="66"/>
      <c r="M2386" s="200" t="s">
        <v>12550</v>
      </c>
      <c r="N2386" s="207"/>
      <c r="O2386" s="38" t="s">
        <v>17804</v>
      </c>
      <c r="Q2386" s="67"/>
      <c r="R2386" s="67"/>
      <c r="S2386" s="67"/>
      <c r="T2386" s="67"/>
      <c r="U2386" s="67"/>
      <c r="V2386" s="67"/>
      <c r="W2386" s="67"/>
      <c r="X2386" s="67"/>
      <c r="Y2386" s="67"/>
      <c r="Z2386" s="67"/>
    </row>
    <row r="2387" spans="1:26" ht="108" customHeight="1" x14ac:dyDescent="0.3">
      <c r="A2387" s="139">
        <v>2356</v>
      </c>
      <c r="B2387" s="105" t="s">
        <v>16441</v>
      </c>
      <c r="C2387" s="105" t="s">
        <v>15433</v>
      </c>
      <c r="D2387" s="255" t="s">
        <v>16440</v>
      </c>
      <c r="E2387" s="6">
        <v>33</v>
      </c>
      <c r="F2387" s="100">
        <v>37868.49</v>
      </c>
      <c r="G2387" s="39"/>
      <c r="H2387" s="101">
        <v>37868.49</v>
      </c>
      <c r="I2387" s="26">
        <v>42618</v>
      </c>
      <c r="J2387" s="38" t="s">
        <v>18601</v>
      </c>
      <c r="K2387" s="26">
        <v>42907</v>
      </c>
      <c r="L2387" s="66" t="s">
        <v>19096</v>
      </c>
      <c r="M2387" s="200" t="s">
        <v>12550</v>
      </c>
      <c r="N2387" s="207"/>
      <c r="O2387" s="38" t="s">
        <v>12039</v>
      </c>
    </row>
    <row r="2388" spans="1:26" ht="285.60000000000002" customHeight="1" x14ac:dyDescent="0.3">
      <c r="A2388" s="139">
        <v>2357</v>
      </c>
      <c r="B2388" s="105" t="s">
        <v>15371</v>
      </c>
      <c r="C2388" s="105" t="s">
        <v>15372</v>
      </c>
      <c r="D2388" s="255" t="s">
        <v>15373</v>
      </c>
      <c r="E2388" s="6">
        <v>346.6</v>
      </c>
      <c r="F2388" s="116">
        <v>736938.09</v>
      </c>
      <c r="G2388" s="39">
        <v>341928.16</v>
      </c>
      <c r="H2388" s="25"/>
      <c r="I2388" s="26">
        <v>42403</v>
      </c>
      <c r="J2388" s="38" t="s">
        <v>18580</v>
      </c>
      <c r="K2388" s="207"/>
      <c r="L2388" s="66"/>
      <c r="M2388" s="201" t="s">
        <v>12550</v>
      </c>
      <c r="N2388" s="245" t="s">
        <v>23510</v>
      </c>
      <c r="O2388" s="41"/>
    </row>
    <row r="2389" spans="1:26" ht="72" customHeight="1" x14ac:dyDescent="0.3">
      <c r="A2389" s="269">
        <v>2358</v>
      </c>
      <c r="B2389" s="263" t="s">
        <v>15374</v>
      </c>
      <c r="C2389" s="263" t="s">
        <v>15375</v>
      </c>
      <c r="D2389" s="272"/>
      <c r="E2389" s="246">
        <v>67000</v>
      </c>
      <c r="F2389" s="116"/>
      <c r="G2389" s="39"/>
      <c r="H2389" s="25"/>
      <c r="I2389" s="26">
        <v>42403</v>
      </c>
      <c r="J2389" s="38" t="s">
        <v>15349</v>
      </c>
      <c r="K2389" s="207"/>
      <c r="L2389" s="66"/>
      <c r="M2389" s="201" t="s">
        <v>12550</v>
      </c>
      <c r="N2389" s="207"/>
      <c r="O2389" s="41"/>
    </row>
    <row r="2390" spans="1:26" ht="72" customHeight="1" x14ac:dyDescent="0.3">
      <c r="A2390" s="139">
        <v>2359</v>
      </c>
      <c r="B2390" s="105" t="s">
        <v>15378</v>
      </c>
      <c r="C2390" s="105" t="s">
        <v>15375</v>
      </c>
      <c r="D2390" s="246"/>
      <c r="E2390" s="73"/>
      <c r="F2390" s="116"/>
      <c r="G2390" s="39"/>
      <c r="H2390" s="25"/>
      <c r="I2390" s="26">
        <v>42403</v>
      </c>
      <c r="J2390" s="38" t="s">
        <v>15349</v>
      </c>
      <c r="K2390" s="207"/>
      <c r="L2390" s="66"/>
      <c r="M2390" s="201" t="s">
        <v>12550</v>
      </c>
      <c r="N2390" s="207"/>
      <c r="O2390" s="41"/>
    </row>
    <row r="2391" spans="1:26" ht="72" customHeight="1" x14ac:dyDescent="0.3">
      <c r="A2391" s="139">
        <v>2360</v>
      </c>
      <c r="B2391" s="82" t="s">
        <v>22053</v>
      </c>
      <c r="C2391" s="105" t="s">
        <v>22055</v>
      </c>
      <c r="D2391" s="246"/>
      <c r="E2391" s="73"/>
      <c r="F2391" s="116"/>
      <c r="G2391" s="39"/>
      <c r="H2391" s="25"/>
      <c r="I2391" s="26">
        <v>42403</v>
      </c>
      <c r="J2391" s="38" t="s">
        <v>15349</v>
      </c>
      <c r="K2391" s="207"/>
      <c r="L2391" s="66"/>
      <c r="M2391" s="201" t="s">
        <v>12550</v>
      </c>
      <c r="N2391" s="207"/>
      <c r="O2391" s="245" t="s">
        <v>22192</v>
      </c>
    </row>
    <row r="2392" spans="1:26" ht="72" customHeight="1" x14ac:dyDescent="0.3">
      <c r="A2392" s="139">
        <v>2361</v>
      </c>
      <c r="B2392" s="105" t="s">
        <v>22047</v>
      </c>
      <c r="C2392" s="105" t="s">
        <v>20990</v>
      </c>
      <c r="D2392" s="246"/>
      <c r="E2392" s="73"/>
      <c r="F2392" s="116"/>
      <c r="G2392" s="39"/>
      <c r="H2392" s="25"/>
      <c r="I2392" s="26">
        <v>42403</v>
      </c>
      <c r="J2392" s="38" t="s">
        <v>15349</v>
      </c>
      <c r="K2392" s="207"/>
      <c r="L2392" s="66"/>
      <c r="M2392" s="201" t="s">
        <v>12550</v>
      </c>
      <c r="N2392" s="207"/>
      <c r="O2392" s="245" t="s">
        <v>22185</v>
      </c>
    </row>
    <row r="2393" spans="1:26" ht="72" customHeight="1" x14ac:dyDescent="0.3">
      <c r="A2393" s="139">
        <v>2362</v>
      </c>
      <c r="B2393" s="105" t="s">
        <v>22047</v>
      </c>
      <c r="C2393" s="105" t="s">
        <v>20991</v>
      </c>
      <c r="D2393" s="246"/>
      <c r="E2393" s="73"/>
      <c r="F2393" s="116"/>
      <c r="G2393" s="39"/>
      <c r="H2393" s="25"/>
      <c r="I2393" s="26">
        <v>42403</v>
      </c>
      <c r="J2393" s="38" t="s">
        <v>15349</v>
      </c>
      <c r="K2393" s="207"/>
      <c r="L2393" s="66"/>
      <c r="M2393" s="201" t="s">
        <v>12550</v>
      </c>
      <c r="N2393" s="207"/>
      <c r="O2393" s="245" t="s">
        <v>22185</v>
      </c>
    </row>
    <row r="2394" spans="1:26" ht="72" customHeight="1" x14ac:dyDescent="0.3">
      <c r="A2394" s="139">
        <v>2363</v>
      </c>
      <c r="B2394" s="105" t="s">
        <v>22047</v>
      </c>
      <c r="C2394" s="105" t="s">
        <v>20992</v>
      </c>
      <c r="D2394" s="246"/>
      <c r="E2394" s="73"/>
      <c r="F2394" s="116"/>
      <c r="G2394" s="39"/>
      <c r="H2394" s="25"/>
      <c r="I2394" s="26">
        <v>42403</v>
      </c>
      <c r="J2394" s="38" t="s">
        <v>15349</v>
      </c>
      <c r="K2394" s="207"/>
      <c r="L2394" s="66"/>
      <c r="M2394" s="201" t="s">
        <v>12550</v>
      </c>
      <c r="N2394" s="207"/>
      <c r="O2394" s="245" t="s">
        <v>22185</v>
      </c>
    </row>
    <row r="2395" spans="1:26" ht="72" customHeight="1" x14ac:dyDescent="0.3">
      <c r="A2395" s="139">
        <v>2364</v>
      </c>
      <c r="B2395" s="105" t="s">
        <v>22047</v>
      </c>
      <c r="C2395" s="105" t="s">
        <v>22048</v>
      </c>
      <c r="D2395" s="246"/>
      <c r="E2395" s="73"/>
      <c r="F2395" s="116"/>
      <c r="G2395" s="39"/>
      <c r="H2395" s="25"/>
      <c r="I2395" s="26">
        <v>42403</v>
      </c>
      <c r="J2395" s="38" t="s">
        <v>15349</v>
      </c>
      <c r="K2395" s="207"/>
      <c r="L2395" s="66"/>
      <c r="M2395" s="201" t="s">
        <v>12550</v>
      </c>
      <c r="N2395" s="207"/>
      <c r="O2395" s="245" t="s">
        <v>22185</v>
      </c>
    </row>
    <row r="2396" spans="1:26" ht="72" customHeight="1" x14ac:dyDescent="0.3">
      <c r="A2396" s="139">
        <v>2365</v>
      </c>
      <c r="B2396" s="105" t="s">
        <v>15379</v>
      </c>
      <c r="C2396" s="105" t="s">
        <v>15376</v>
      </c>
      <c r="D2396" s="246"/>
      <c r="E2396" s="73"/>
      <c r="F2396" s="116"/>
      <c r="G2396" s="39"/>
      <c r="H2396" s="25"/>
      <c r="I2396" s="26">
        <v>42403</v>
      </c>
      <c r="J2396" s="38" t="s">
        <v>15349</v>
      </c>
      <c r="K2396" s="207"/>
      <c r="L2396" s="66"/>
      <c r="M2396" s="201" t="s">
        <v>12550</v>
      </c>
      <c r="N2396" s="207"/>
      <c r="O2396" s="41"/>
    </row>
    <row r="2397" spans="1:26" ht="72" customHeight="1" x14ac:dyDescent="0.3">
      <c r="A2397" s="139">
        <v>2366</v>
      </c>
      <c r="B2397" s="105" t="s">
        <v>15379</v>
      </c>
      <c r="C2397" s="105" t="s">
        <v>20993</v>
      </c>
      <c r="D2397" s="246"/>
      <c r="E2397" s="73"/>
      <c r="F2397" s="116"/>
      <c r="G2397" s="39"/>
      <c r="H2397" s="25"/>
      <c r="I2397" s="26">
        <v>42403</v>
      </c>
      <c r="J2397" s="38" t="s">
        <v>15349</v>
      </c>
      <c r="K2397" s="207"/>
      <c r="L2397" s="66"/>
      <c r="M2397" s="201" t="s">
        <v>12550</v>
      </c>
      <c r="N2397" s="207"/>
      <c r="O2397" s="41"/>
    </row>
    <row r="2398" spans="1:26" ht="72" customHeight="1" x14ac:dyDescent="0.3">
      <c r="A2398" s="139">
        <v>2367</v>
      </c>
      <c r="B2398" s="105" t="s">
        <v>22047</v>
      </c>
      <c r="C2398" s="105" t="s">
        <v>22056</v>
      </c>
      <c r="D2398" s="246"/>
      <c r="E2398" s="73"/>
      <c r="F2398" s="116"/>
      <c r="G2398" s="39"/>
      <c r="H2398" s="25"/>
      <c r="I2398" s="26">
        <v>42403</v>
      </c>
      <c r="J2398" s="38" t="s">
        <v>15349</v>
      </c>
      <c r="K2398" s="207"/>
      <c r="L2398" s="66"/>
      <c r="M2398" s="201" t="s">
        <v>12550</v>
      </c>
      <c r="N2398" s="207"/>
      <c r="O2398" s="245" t="s">
        <v>22192</v>
      </c>
    </row>
    <row r="2399" spans="1:26" ht="72" customHeight="1" x14ac:dyDescent="0.3">
      <c r="A2399" s="139">
        <v>2368</v>
      </c>
      <c r="B2399" s="105" t="s">
        <v>22047</v>
      </c>
      <c r="C2399" s="105" t="s">
        <v>15377</v>
      </c>
      <c r="D2399" s="246"/>
      <c r="E2399" s="73"/>
      <c r="F2399" s="116"/>
      <c r="G2399" s="39"/>
      <c r="H2399" s="25"/>
      <c r="I2399" s="26">
        <v>42403</v>
      </c>
      <c r="J2399" s="38" t="s">
        <v>15349</v>
      </c>
      <c r="K2399" s="207"/>
      <c r="L2399" s="66"/>
      <c r="M2399" s="201" t="s">
        <v>12550</v>
      </c>
      <c r="N2399" s="207"/>
      <c r="O2399" s="245" t="s">
        <v>22185</v>
      </c>
    </row>
    <row r="2400" spans="1:26" ht="72" customHeight="1" x14ac:dyDescent="0.3">
      <c r="A2400" s="139">
        <v>2369</v>
      </c>
      <c r="B2400" s="105" t="s">
        <v>22047</v>
      </c>
      <c r="C2400" s="105" t="s">
        <v>22057</v>
      </c>
      <c r="D2400" s="246"/>
      <c r="E2400" s="73"/>
      <c r="F2400" s="116"/>
      <c r="G2400" s="39"/>
      <c r="H2400" s="25"/>
      <c r="I2400" s="26">
        <v>42403</v>
      </c>
      <c r="J2400" s="38" t="s">
        <v>15349</v>
      </c>
      <c r="K2400" s="207"/>
      <c r="L2400" s="66"/>
      <c r="M2400" s="201" t="s">
        <v>12550</v>
      </c>
      <c r="N2400" s="207"/>
      <c r="O2400" s="245" t="s">
        <v>22192</v>
      </c>
    </row>
    <row r="2401" spans="1:26" ht="72" customHeight="1" x14ac:dyDescent="0.3">
      <c r="A2401" s="139">
        <v>2370</v>
      </c>
      <c r="B2401" s="105" t="s">
        <v>22047</v>
      </c>
      <c r="C2401" s="105" t="s">
        <v>20994</v>
      </c>
      <c r="D2401" s="246"/>
      <c r="E2401" s="73"/>
      <c r="F2401" s="116"/>
      <c r="G2401" s="39"/>
      <c r="H2401" s="25"/>
      <c r="I2401" s="26">
        <v>42403</v>
      </c>
      <c r="J2401" s="38" t="s">
        <v>15349</v>
      </c>
      <c r="K2401" s="207"/>
      <c r="L2401" s="66"/>
      <c r="M2401" s="201" t="s">
        <v>12550</v>
      </c>
      <c r="N2401" s="207"/>
      <c r="O2401" s="245" t="s">
        <v>22185</v>
      </c>
    </row>
    <row r="2402" spans="1:26" ht="72" customHeight="1" x14ac:dyDescent="0.3">
      <c r="A2402" s="139">
        <v>2371</v>
      </c>
      <c r="B2402" s="105" t="s">
        <v>22047</v>
      </c>
      <c r="C2402" s="105" t="s">
        <v>22049</v>
      </c>
      <c r="D2402" s="246"/>
      <c r="E2402" s="73"/>
      <c r="F2402" s="116"/>
      <c r="G2402" s="39"/>
      <c r="H2402" s="25"/>
      <c r="I2402" s="26">
        <v>42403</v>
      </c>
      <c r="J2402" s="38" t="s">
        <v>15349</v>
      </c>
      <c r="K2402" s="207"/>
      <c r="L2402" s="66"/>
      <c r="M2402" s="201" t="s">
        <v>12550</v>
      </c>
      <c r="N2402" s="207"/>
      <c r="O2402" s="245" t="s">
        <v>22192</v>
      </c>
    </row>
    <row r="2403" spans="1:26" ht="72" customHeight="1" x14ac:dyDescent="0.3">
      <c r="A2403" s="139">
        <v>2372</v>
      </c>
      <c r="B2403" s="105" t="s">
        <v>22047</v>
      </c>
      <c r="C2403" s="105" t="s">
        <v>22050</v>
      </c>
      <c r="D2403" s="246"/>
      <c r="E2403" s="73"/>
      <c r="F2403" s="116"/>
      <c r="G2403" s="39"/>
      <c r="H2403" s="25"/>
      <c r="I2403" s="26">
        <v>42403</v>
      </c>
      <c r="J2403" s="38" t="s">
        <v>15349</v>
      </c>
      <c r="K2403" s="207"/>
      <c r="L2403" s="66"/>
      <c r="M2403" s="201" t="s">
        <v>12550</v>
      </c>
      <c r="N2403" s="207"/>
      <c r="O2403" s="245" t="s">
        <v>22192</v>
      </c>
    </row>
    <row r="2404" spans="1:26" ht="72" customHeight="1" x14ac:dyDescent="0.3">
      <c r="A2404" s="139">
        <v>2373</v>
      </c>
      <c r="B2404" s="105" t="s">
        <v>22047</v>
      </c>
      <c r="C2404" s="105" t="s">
        <v>22058</v>
      </c>
      <c r="D2404" s="246"/>
      <c r="E2404" s="73"/>
      <c r="F2404" s="116"/>
      <c r="G2404" s="39"/>
      <c r="H2404" s="25"/>
      <c r="I2404" s="26">
        <v>42403</v>
      </c>
      <c r="J2404" s="38" t="s">
        <v>15349</v>
      </c>
      <c r="K2404" s="207"/>
      <c r="L2404" s="66"/>
      <c r="M2404" s="201" t="s">
        <v>12550</v>
      </c>
      <c r="N2404" s="207"/>
      <c r="O2404" s="245" t="s">
        <v>22192</v>
      </c>
    </row>
    <row r="2405" spans="1:26" ht="72" customHeight="1" x14ac:dyDescent="0.3">
      <c r="A2405" s="139">
        <v>2374</v>
      </c>
      <c r="B2405" s="105" t="s">
        <v>22060</v>
      </c>
      <c r="C2405" s="105" t="s">
        <v>22061</v>
      </c>
      <c r="D2405" s="246"/>
      <c r="E2405" s="73"/>
      <c r="F2405" s="116"/>
      <c r="G2405" s="39"/>
      <c r="H2405" s="25"/>
      <c r="I2405" s="26">
        <v>42403</v>
      </c>
      <c r="J2405" s="38" t="s">
        <v>15349</v>
      </c>
      <c r="K2405" s="207"/>
      <c r="L2405" s="66"/>
      <c r="M2405" s="201" t="s">
        <v>12550</v>
      </c>
      <c r="N2405" s="207"/>
      <c r="O2405" s="245" t="s">
        <v>22186</v>
      </c>
    </row>
    <row r="2406" spans="1:26" ht="72" customHeight="1" x14ac:dyDescent="0.3">
      <c r="A2406" s="139">
        <v>2375</v>
      </c>
      <c r="B2406" s="105" t="s">
        <v>22047</v>
      </c>
      <c r="C2406" s="105" t="s">
        <v>22071</v>
      </c>
      <c r="D2406" s="246"/>
      <c r="E2406" s="73"/>
      <c r="F2406" s="116"/>
      <c r="G2406" s="39"/>
      <c r="H2406" s="25"/>
      <c r="I2406" s="26">
        <v>42403</v>
      </c>
      <c r="J2406" s="38" t="s">
        <v>15349</v>
      </c>
      <c r="K2406" s="207"/>
      <c r="L2406" s="66"/>
      <c r="M2406" s="201" t="s">
        <v>12550</v>
      </c>
      <c r="N2406" s="207"/>
      <c r="O2406" s="245" t="s">
        <v>22192</v>
      </c>
    </row>
    <row r="2407" spans="1:26" ht="72" customHeight="1" x14ac:dyDescent="0.3">
      <c r="A2407" s="139">
        <v>2376</v>
      </c>
      <c r="B2407" s="105" t="s">
        <v>15379</v>
      </c>
      <c r="C2407" s="105" t="s">
        <v>22066</v>
      </c>
      <c r="D2407" s="246"/>
      <c r="E2407" s="73"/>
      <c r="F2407" s="116"/>
      <c r="G2407" s="39"/>
      <c r="H2407" s="25"/>
      <c r="I2407" s="26">
        <v>42403</v>
      </c>
      <c r="J2407" s="38" t="s">
        <v>15349</v>
      </c>
      <c r="K2407" s="207"/>
      <c r="L2407" s="66"/>
      <c r="M2407" s="201" t="s">
        <v>12550</v>
      </c>
      <c r="N2407" s="207"/>
      <c r="O2407" s="245" t="s">
        <v>22193</v>
      </c>
    </row>
    <row r="2408" spans="1:26" ht="72" customHeight="1" x14ac:dyDescent="0.3">
      <c r="A2408" s="139">
        <v>2377</v>
      </c>
      <c r="B2408" s="207" t="s">
        <v>14441</v>
      </c>
      <c r="C2408" s="105" t="s">
        <v>20135</v>
      </c>
      <c r="D2408" s="207"/>
      <c r="E2408" s="207">
        <v>500000</v>
      </c>
      <c r="F2408" s="25"/>
      <c r="G2408" s="207"/>
      <c r="H2408" s="207"/>
      <c r="I2408" s="26">
        <v>42403</v>
      </c>
      <c r="J2408" s="38" t="s">
        <v>15349</v>
      </c>
      <c r="K2408" s="207"/>
      <c r="L2408" s="66"/>
      <c r="M2408" s="201" t="s">
        <v>12550</v>
      </c>
      <c r="N2408" s="207"/>
      <c r="O2408" s="41"/>
    </row>
    <row r="2409" spans="1:26" ht="96" customHeight="1" x14ac:dyDescent="0.3">
      <c r="A2409" s="139">
        <v>2378</v>
      </c>
      <c r="B2409" s="245" t="s">
        <v>15424</v>
      </c>
      <c r="C2409" s="105" t="s">
        <v>15425</v>
      </c>
      <c r="D2409" s="207"/>
      <c r="E2409" s="207"/>
      <c r="F2409" s="25">
        <v>6554543</v>
      </c>
      <c r="G2409" s="25">
        <v>1573091</v>
      </c>
      <c r="H2409" s="207"/>
      <c r="I2409" s="26">
        <v>42403</v>
      </c>
      <c r="J2409" s="38" t="s">
        <v>15349</v>
      </c>
      <c r="K2409" s="207"/>
      <c r="L2409" s="66"/>
      <c r="M2409" s="201" t="s">
        <v>12550</v>
      </c>
      <c r="N2409" s="207"/>
      <c r="O2409" s="41"/>
    </row>
    <row r="2410" spans="1:26" ht="84" customHeight="1" x14ac:dyDescent="0.3">
      <c r="A2410" s="139">
        <v>2379</v>
      </c>
      <c r="B2410" s="245" t="s">
        <v>15427</v>
      </c>
      <c r="C2410" s="105" t="s">
        <v>15426</v>
      </c>
      <c r="D2410" s="207"/>
      <c r="E2410" s="207"/>
      <c r="F2410" s="25">
        <v>2339478.91</v>
      </c>
      <c r="G2410" s="207">
        <v>111403.76</v>
      </c>
      <c r="H2410" s="207"/>
      <c r="I2410" s="26">
        <v>42403</v>
      </c>
      <c r="J2410" s="38" t="s">
        <v>15349</v>
      </c>
      <c r="K2410" s="207"/>
      <c r="L2410" s="66"/>
      <c r="M2410" s="201" t="s">
        <v>12550</v>
      </c>
      <c r="N2410" s="207"/>
      <c r="O2410" s="41"/>
      <c r="Q2410" s="4"/>
      <c r="R2410" s="4"/>
      <c r="S2410" s="4"/>
      <c r="T2410" s="4"/>
      <c r="U2410" s="4"/>
      <c r="V2410" s="4"/>
      <c r="W2410" s="4"/>
      <c r="X2410" s="4"/>
      <c r="Y2410" s="4"/>
      <c r="Z2410" s="4"/>
    </row>
    <row r="2411" spans="1:26" s="4" customFormat="1" ht="84" customHeight="1" x14ac:dyDescent="0.3">
      <c r="A2411" s="139">
        <v>2380</v>
      </c>
      <c r="B2411" s="105" t="s">
        <v>15432</v>
      </c>
      <c r="C2411" s="105" t="s">
        <v>15433</v>
      </c>
      <c r="D2411" s="207"/>
      <c r="E2411" s="207"/>
      <c r="F2411" s="105">
        <v>1987401.4</v>
      </c>
      <c r="G2411" s="246">
        <v>376667.43</v>
      </c>
      <c r="H2411" s="207"/>
      <c r="I2411" s="26">
        <v>42403</v>
      </c>
      <c r="J2411" s="38" t="s">
        <v>15349</v>
      </c>
      <c r="K2411" s="207"/>
      <c r="L2411" s="66"/>
      <c r="M2411" s="201" t="s">
        <v>12550</v>
      </c>
      <c r="N2411" s="207"/>
      <c r="O2411" s="38"/>
      <c r="Q2411" s="67"/>
      <c r="R2411" s="67"/>
      <c r="S2411" s="67"/>
      <c r="T2411" s="67"/>
      <c r="U2411" s="67"/>
      <c r="V2411" s="67"/>
      <c r="W2411" s="67"/>
      <c r="X2411" s="67"/>
      <c r="Y2411" s="67"/>
      <c r="Z2411" s="67"/>
    </row>
    <row r="2412" spans="1:26" ht="72" customHeight="1" x14ac:dyDescent="0.3">
      <c r="A2412" s="139">
        <v>2381</v>
      </c>
      <c r="B2412" s="105" t="s">
        <v>23693</v>
      </c>
      <c r="C2412" s="105" t="s">
        <v>15434</v>
      </c>
      <c r="D2412" s="85" t="s">
        <v>16121</v>
      </c>
      <c r="E2412" s="207">
        <v>107.9</v>
      </c>
      <c r="F2412" s="25">
        <v>1359187</v>
      </c>
      <c r="G2412" s="207"/>
      <c r="H2412" s="25"/>
      <c r="I2412" s="26">
        <v>42403</v>
      </c>
      <c r="J2412" s="38" t="s">
        <v>16407</v>
      </c>
      <c r="K2412" s="207"/>
      <c r="L2412" s="66"/>
      <c r="M2412" s="201" t="s">
        <v>12550</v>
      </c>
      <c r="N2412" s="207"/>
      <c r="O2412" s="38"/>
    </row>
    <row r="2413" spans="1:26" ht="108" customHeight="1" x14ac:dyDescent="0.3">
      <c r="A2413" s="269">
        <v>2382</v>
      </c>
      <c r="B2413" s="262" t="s">
        <v>17873</v>
      </c>
      <c r="C2413" s="263" t="s">
        <v>17870</v>
      </c>
      <c r="D2413" s="264" t="s">
        <v>17871</v>
      </c>
      <c r="E2413" s="207">
        <v>32.6</v>
      </c>
      <c r="F2413" s="22"/>
      <c r="G2413" s="22"/>
      <c r="H2413" s="25"/>
      <c r="I2413" s="26">
        <v>42685</v>
      </c>
      <c r="J2413" s="38" t="s">
        <v>18602</v>
      </c>
      <c r="K2413" s="207"/>
      <c r="L2413" s="66"/>
      <c r="M2413" s="201" t="s">
        <v>12550</v>
      </c>
      <c r="N2413" s="207"/>
      <c r="O2413" s="38"/>
    </row>
    <row r="2414" spans="1:26" ht="72" customHeight="1" x14ac:dyDescent="0.3">
      <c r="A2414" s="139">
        <v>2383</v>
      </c>
      <c r="B2414" s="82" t="s">
        <v>15437</v>
      </c>
      <c r="C2414" s="82" t="s">
        <v>14424</v>
      </c>
      <c r="D2414" s="207"/>
      <c r="E2414" s="246">
        <v>2550</v>
      </c>
      <c r="F2414" s="25"/>
      <c r="G2414" s="207"/>
      <c r="H2414" s="207"/>
      <c r="I2414" s="26">
        <v>42403</v>
      </c>
      <c r="J2414" s="38" t="s">
        <v>15440</v>
      </c>
      <c r="K2414" s="207"/>
      <c r="L2414" s="66"/>
      <c r="M2414" s="201" t="s">
        <v>12550</v>
      </c>
      <c r="N2414" s="207"/>
      <c r="O2414" s="41"/>
    </row>
    <row r="2415" spans="1:26" ht="72" customHeight="1" x14ac:dyDescent="0.3">
      <c r="A2415" s="139">
        <v>2384</v>
      </c>
      <c r="B2415" s="82" t="s">
        <v>15438</v>
      </c>
      <c r="C2415" s="82" t="s">
        <v>15435</v>
      </c>
      <c r="D2415" s="207"/>
      <c r="E2415" s="246">
        <v>1350</v>
      </c>
      <c r="F2415" s="25"/>
      <c r="G2415" s="207"/>
      <c r="H2415" s="207"/>
      <c r="I2415" s="26">
        <v>42403</v>
      </c>
      <c r="J2415" s="38" t="s">
        <v>15440</v>
      </c>
      <c r="K2415" s="207"/>
      <c r="L2415" s="66"/>
      <c r="M2415" s="201" t="s">
        <v>12550</v>
      </c>
      <c r="N2415" s="207"/>
      <c r="O2415" s="41"/>
    </row>
    <row r="2416" spans="1:26" ht="72" customHeight="1" x14ac:dyDescent="0.3">
      <c r="A2416" s="139">
        <v>2385</v>
      </c>
      <c r="B2416" s="82" t="s">
        <v>15439</v>
      </c>
      <c r="C2416" s="82" t="s">
        <v>15436</v>
      </c>
      <c r="D2416" s="207"/>
      <c r="E2416" s="246">
        <v>400</v>
      </c>
      <c r="F2416" s="25"/>
      <c r="G2416" s="207"/>
      <c r="H2416" s="207"/>
      <c r="I2416" s="26">
        <v>42403</v>
      </c>
      <c r="J2416" s="38" t="s">
        <v>15440</v>
      </c>
      <c r="K2416" s="207"/>
      <c r="L2416" s="66"/>
      <c r="M2416" s="201" t="s">
        <v>12550</v>
      </c>
      <c r="N2416" s="207"/>
      <c r="O2416" s="41"/>
    </row>
    <row r="2417" spans="1:15" ht="88.2" customHeight="1" x14ac:dyDescent="0.3">
      <c r="A2417" s="139">
        <v>2386</v>
      </c>
      <c r="B2417" s="38" t="s">
        <v>15486</v>
      </c>
      <c r="C2417" s="80" t="s">
        <v>15485</v>
      </c>
      <c r="D2417" s="85" t="s">
        <v>20519</v>
      </c>
      <c r="E2417" s="246">
        <v>1988</v>
      </c>
      <c r="F2417" s="25">
        <v>91000</v>
      </c>
      <c r="G2417" s="207"/>
      <c r="H2417" s="25">
        <v>31359</v>
      </c>
      <c r="I2417" s="207" t="s">
        <v>12545</v>
      </c>
      <c r="J2417" s="66" t="s">
        <v>20740</v>
      </c>
      <c r="K2417" s="207"/>
      <c r="L2417" s="66"/>
      <c r="M2417" s="201" t="s">
        <v>12550</v>
      </c>
      <c r="N2417" s="207"/>
      <c r="O2417" s="41"/>
    </row>
    <row r="2418" spans="1:15" ht="72" customHeight="1" x14ac:dyDescent="0.3">
      <c r="A2418" s="269">
        <v>2387</v>
      </c>
      <c r="B2418" s="262" t="s">
        <v>15441</v>
      </c>
      <c r="C2418" s="257" t="s">
        <v>15442</v>
      </c>
      <c r="D2418" s="94"/>
      <c r="E2418" s="33">
        <v>200</v>
      </c>
      <c r="F2418" s="6"/>
      <c r="G2418" s="207"/>
      <c r="H2418" s="207"/>
      <c r="I2418" s="207" t="s">
        <v>12545</v>
      </c>
      <c r="J2418" s="66" t="s">
        <v>12548</v>
      </c>
      <c r="K2418" s="207"/>
      <c r="L2418" s="66"/>
      <c r="M2418" s="201" t="s">
        <v>12550</v>
      </c>
      <c r="N2418" s="207"/>
      <c r="O2418" s="38"/>
    </row>
    <row r="2419" spans="1:15" ht="72" customHeight="1" x14ac:dyDescent="0.3">
      <c r="A2419" s="139">
        <v>2388</v>
      </c>
      <c r="B2419" s="82" t="s">
        <v>15441</v>
      </c>
      <c r="C2419" s="245" t="s">
        <v>15443</v>
      </c>
      <c r="D2419" s="207"/>
      <c r="E2419" s="33">
        <v>9430</v>
      </c>
      <c r="F2419" s="6"/>
      <c r="G2419" s="207"/>
      <c r="H2419" s="207"/>
      <c r="I2419" s="207" t="s">
        <v>12545</v>
      </c>
      <c r="J2419" s="66" t="s">
        <v>12548</v>
      </c>
      <c r="K2419" s="207"/>
      <c r="L2419" s="66"/>
      <c r="M2419" s="201" t="s">
        <v>12550</v>
      </c>
      <c r="N2419" s="207"/>
      <c r="O2419" s="38"/>
    </row>
    <row r="2420" spans="1:15" ht="72" customHeight="1" x14ac:dyDescent="0.3">
      <c r="A2420" s="139">
        <v>2389</v>
      </c>
      <c r="B2420" s="82" t="s">
        <v>15445</v>
      </c>
      <c r="C2420" s="245" t="s">
        <v>15444</v>
      </c>
      <c r="D2420" s="207"/>
      <c r="E2420" s="6">
        <v>1244.4000000000001</v>
      </c>
      <c r="F2420" s="6"/>
      <c r="G2420" s="207"/>
      <c r="H2420" s="207"/>
      <c r="I2420" s="207" t="s">
        <v>12545</v>
      </c>
      <c r="J2420" s="66" t="s">
        <v>12548</v>
      </c>
      <c r="K2420" s="207"/>
      <c r="L2420" s="66"/>
      <c r="M2420" s="201" t="s">
        <v>12550</v>
      </c>
      <c r="N2420" s="207"/>
      <c r="O2420" s="38"/>
    </row>
    <row r="2421" spans="1:15" ht="96" customHeight="1" x14ac:dyDescent="0.3">
      <c r="A2421" s="139">
        <v>2390</v>
      </c>
      <c r="B2421" s="82" t="s">
        <v>15457</v>
      </c>
      <c r="C2421" s="245" t="s">
        <v>15446</v>
      </c>
      <c r="D2421" s="207"/>
      <c r="E2421" s="33">
        <v>19200</v>
      </c>
      <c r="F2421" s="6"/>
      <c r="G2421" s="207"/>
      <c r="H2421" s="207"/>
      <c r="I2421" s="207" t="s">
        <v>12545</v>
      </c>
      <c r="J2421" s="66" t="s">
        <v>12548</v>
      </c>
      <c r="K2421" s="207"/>
      <c r="L2421" s="66"/>
      <c r="M2421" s="201" t="s">
        <v>12550</v>
      </c>
      <c r="N2421" s="207"/>
      <c r="O2421" s="38"/>
    </row>
    <row r="2422" spans="1:15" ht="84" customHeight="1" x14ac:dyDescent="0.3">
      <c r="A2422" s="139">
        <v>2391</v>
      </c>
      <c r="B2422" s="82" t="s">
        <v>15457</v>
      </c>
      <c r="C2422" s="245" t="s">
        <v>15447</v>
      </c>
      <c r="D2422" s="207"/>
      <c r="E2422" s="33">
        <v>3000</v>
      </c>
      <c r="F2422" s="6"/>
      <c r="G2422" s="207"/>
      <c r="H2422" s="207"/>
      <c r="I2422" s="207" t="s">
        <v>12545</v>
      </c>
      <c r="J2422" s="66" t="s">
        <v>12548</v>
      </c>
      <c r="K2422" s="207"/>
      <c r="L2422" s="66"/>
      <c r="M2422" s="201" t="s">
        <v>12550</v>
      </c>
      <c r="N2422" s="207"/>
      <c r="O2422" s="38"/>
    </row>
    <row r="2423" spans="1:15" ht="72" customHeight="1" x14ac:dyDescent="0.3">
      <c r="A2423" s="139">
        <v>2392</v>
      </c>
      <c r="B2423" s="82" t="s">
        <v>15457</v>
      </c>
      <c r="C2423" s="245" t="s">
        <v>15448</v>
      </c>
      <c r="D2423" s="207"/>
      <c r="E2423" s="33">
        <v>6060</v>
      </c>
      <c r="F2423" s="6"/>
      <c r="G2423" s="207"/>
      <c r="H2423" s="207"/>
      <c r="I2423" s="207" t="s">
        <v>12545</v>
      </c>
      <c r="J2423" s="66" t="s">
        <v>12548</v>
      </c>
      <c r="K2423" s="207"/>
      <c r="L2423" s="66"/>
      <c r="M2423" s="201" t="s">
        <v>12550</v>
      </c>
      <c r="N2423" s="207"/>
      <c r="O2423" s="38"/>
    </row>
    <row r="2424" spans="1:15" ht="72" customHeight="1" x14ac:dyDescent="0.3">
      <c r="A2424" s="139">
        <v>2393</v>
      </c>
      <c r="B2424" s="82" t="s">
        <v>15457</v>
      </c>
      <c r="C2424" s="245" t="s">
        <v>15449</v>
      </c>
      <c r="D2424" s="207"/>
      <c r="E2424" s="33">
        <v>28863</v>
      </c>
      <c r="F2424" s="6"/>
      <c r="G2424" s="207"/>
      <c r="H2424" s="207"/>
      <c r="I2424" s="207" t="s">
        <v>12545</v>
      </c>
      <c r="J2424" s="66" t="s">
        <v>12548</v>
      </c>
      <c r="K2424" s="207"/>
      <c r="L2424" s="66"/>
      <c r="M2424" s="201" t="s">
        <v>12550</v>
      </c>
      <c r="N2424" s="207"/>
      <c r="O2424" s="38"/>
    </row>
    <row r="2425" spans="1:15" ht="72" customHeight="1" x14ac:dyDescent="0.3">
      <c r="A2425" s="139">
        <v>2394</v>
      </c>
      <c r="B2425" s="82" t="s">
        <v>15457</v>
      </c>
      <c r="C2425" s="245" t="s">
        <v>15450</v>
      </c>
      <c r="D2425" s="207"/>
      <c r="E2425" s="33">
        <v>1958</v>
      </c>
      <c r="F2425" s="6"/>
      <c r="G2425" s="207"/>
      <c r="H2425" s="207"/>
      <c r="I2425" s="207" t="s">
        <v>12545</v>
      </c>
      <c r="J2425" s="66" t="s">
        <v>12548</v>
      </c>
      <c r="K2425" s="207"/>
      <c r="L2425" s="66"/>
      <c r="M2425" s="201" t="s">
        <v>12550</v>
      </c>
      <c r="N2425" s="207"/>
      <c r="O2425" s="38"/>
    </row>
    <row r="2426" spans="1:15" ht="72" customHeight="1" x14ac:dyDescent="0.3">
      <c r="A2426" s="139">
        <v>2395</v>
      </c>
      <c r="B2426" s="82" t="s">
        <v>15457</v>
      </c>
      <c r="C2426" s="245" t="s">
        <v>15451</v>
      </c>
      <c r="D2426" s="207"/>
      <c r="E2426" s="33">
        <v>5400</v>
      </c>
      <c r="F2426" s="6"/>
      <c r="G2426" s="207"/>
      <c r="H2426" s="207"/>
      <c r="I2426" s="207" t="s">
        <v>12545</v>
      </c>
      <c r="J2426" s="66" t="s">
        <v>12548</v>
      </c>
      <c r="K2426" s="207"/>
      <c r="L2426" s="66"/>
      <c r="M2426" s="201" t="s">
        <v>12550</v>
      </c>
      <c r="N2426" s="207"/>
      <c r="O2426" s="38"/>
    </row>
    <row r="2427" spans="1:15" ht="72" customHeight="1" x14ac:dyDescent="0.3">
      <c r="A2427" s="139">
        <v>2396</v>
      </c>
      <c r="B2427" s="242" t="s">
        <v>15453</v>
      </c>
      <c r="C2427" s="245" t="s">
        <v>15452</v>
      </c>
      <c r="D2427" s="207"/>
      <c r="E2427" s="25"/>
      <c r="F2427" s="25">
        <v>84551.58</v>
      </c>
      <c r="G2427" s="207"/>
      <c r="H2427" s="207"/>
      <c r="I2427" s="207" t="s">
        <v>12545</v>
      </c>
      <c r="J2427" s="66" t="s">
        <v>12548</v>
      </c>
      <c r="K2427" s="207"/>
      <c r="L2427" s="66"/>
      <c r="M2427" s="201" t="s">
        <v>12550</v>
      </c>
      <c r="N2427" s="207"/>
      <c r="O2427" s="38"/>
    </row>
    <row r="2428" spans="1:15" ht="72" customHeight="1" x14ac:dyDescent="0.3">
      <c r="A2428" s="139">
        <v>2397</v>
      </c>
      <c r="B2428" s="242" t="s">
        <v>15455</v>
      </c>
      <c r="C2428" s="245" t="s">
        <v>15454</v>
      </c>
      <c r="D2428" s="207"/>
      <c r="E2428" s="25">
        <v>126</v>
      </c>
      <c r="F2428" s="25">
        <v>182820</v>
      </c>
      <c r="G2428" s="207"/>
      <c r="H2428" s="207"/>
      <c r="I2428" s="207" t="s">
        <v>12545</v>
      </c>
      <c r="J2428" s="66" t="s">
        <v>12548</v>
      </c>
      <c r="K2428" s="207"/>
      <c r="L2428" s="66"/>
      <c r="M2428" s="201" t="s">
        <v>12550</v>
      </c>
      <c r="N2428" s="207"/>
      <c r="O2428" s="38"/>
    </row>
    <row r="2429" spans="1:15" ht="72" customHeight="1" x14ac:dyDescent="0.3">
      <c r="A2429" s="139">
        <v>2398</v>
      </c>
      <c r="B2429" s="242" t="s">
        <v>15458</v>
      </c>
      <c r="C2429" s="245" t="s">
        <v>15456</v>
      </c>
      <c r="D2429" s="207"/>
      <c r="E2429" s="25">
        <v>60</v>
      </c>
      <c r="F2429" s="25">
        <v>67610.17</v>
      </c>
      <c r="G2429" s="207"/>
      <c r="H2429" s="207"/>
      <c r="I2429" s="207" t="s">
        <v>12545</v>
      </c>
      <c r="J2429" s="66" t="s">
        <v>12548</v>
      </c>
      <c r="K2429" s="207"/>
      <c r="L2429" s="66"/>
      <c r="M2429" s="201" t="s">
        <v>12550</v>
      </c>
      <c r="N2429" s="207"/>
      <c r="O2429" s="38"/>
    </row>
    <row r="2430" spans="1:15" ht="72" customHeight="1" x14ac:dyDescent="0.3">
      <c r="A2430" s="139">
        <v>2399</v>
      </c>
      <c r="B2430" s="82" t="s">
        <v>15474</v>
      </c>
      <c r="C2430" s="245" t="s">
        <v>15464</v>
      </c>
      <c r="D2430" s="207"/>
      <c r="E2430" s="90">
        <v>715</v>
      </c>
      <c r="F2430" s="43"/>
      <c r="G2430" s="207"/>
      <c r="H2430" s="207"/>
      <c r="I2430" s="207" t="s">
        <v>12545</v>
      </c>
      <c r="J2430" s="66" t="s">
        <v>12548</v>
      </c>
      <c r="K2430" s="207"/>
      <c r="L2430" s="66"/>
      <c r="M2430" s="201" t="s">
        <v>12550</v>
      </c>
      <c r="N2430" s="207"/>
      <c r="O2430" s="41"/>
    </row>
    <row r="2431" spans="1:15" ht="72" customHeight="1" x14ac:dyDescent="0.3">
      <c r="A2431" s="139">
        <v>2400</v>
      </c>
      <c r="B2431" s="82" t="s">
        <v>15475</v>
      </c>
      <c r="C2431" s="245" t="s">
        <v>15465</v>
      </c>
      <c r="D2431" s="207"/>
      <c r="E2431" s="90">
        <v>75</v>
      </c>
      <c r="F2431" s="43"/>
      <c r="G2431" s="207"/>
      <c r="H2431" s="207"/>
      <c r="I2431" s="207" t="s">
        <v>12545</v>
      </c>
      <c r="J2431" s="66" t="s">
        <v>12548</v>
      </c>
      <c r="K2431" s="207"/>
      <c r="L2431" s="66"/>
      <c r="M2431" s="201" t="s">
        <v>12550</v>
      </c>
      <c r="N2431" s="207"/>
      <c r="O2431" s="41"/>
    </row>
    <row r="2432" spans="1:15" ht="72" customHeight="1" x14ac:dyDescent="0.3">
      <c r="A2432" s="139">
        <v>2401</v>
      </c>
      <c r="B2432" s="82" t="s">
        <v>15475</v>
      </c>
      <c r="C2432" s="245" t="s">
        <v>15466</v>
      </c>
      <c r="D2432" s="207"/>
      <c r="E2432" s="90">
        <v>45</v>
      </c>
      <c r="F2432" s="43"/>
      <c r="G2432" s="207"/>
      <c r="H2432" s="207"/>
      <c r="I2432" s="207" t="s">
        <v>12545</v>
      </c>
      <c r="J2432" s="66" t="s">
        <v>12548</v>
      </c>
      <c r="K2432" s="207"/>
      <c r="L2432" s="66"/>
      <c r="M2432" s="201" t="s">
        <v>12550</v>
      </c>
      <c r="N2432" s="207"/>
      <c r="O2432" s="41"/>
    </row>
    <row r="2433" spans="1:15" ht="72" customHeight="1" x14ac:dyDescent="0.3">
      <c r="A2433" s="139">
        <v>2402</v>
      </c>
      <c r="B2433" s="82" t="s">
        <v>15475</v>
      </c>
      <c r="C2433" s="245" t="s">
        <v>15467</v>
      </c>
      <c r="D2433" s="207"/>
      <c r="E2433" s="90">
        <v>100</v>
      </c>
      <c r="F2433" s="43"/>
      <c r="G2433" s="207"/>
      <c r="H2433" s="207"/>
      <c r="I2433" s="207" t="s">
        <v>12545</v>
      </c>
      <c r="J2433" s="66" t="s">
        <v>12548</v>
      </c>
      <c r="K2433" s="207"/>
      <c r="L2433" s="66"/>
      <c r="M2433" s="201" t="s">
        <v>12550</v>
      </c>
      <c r="N2433" s="207"/>
      <c r="O2433" s="41"/>
    </row>
    <row r="2434" spans="1:15" ht="72" customHeight="1" x14ac:dyDescent="0.3">
      <c r="A2434" s="139">
        <v>2403</v>
      </c>
      <c r="B2434" s="82" t="s">
        <v>15475</v>
      </c>
      <c r="C2434" s="245" t="s">
        <v>15468</v>
      </c>
      <c r="D2434" s="207"/>
      <c r="E2434" s="90">
        <v>75</v>
      </c>
      <c r="F2434" s="43"/>
      <c r="G2434" s="207"/>
      <c r="H2434" s="207"/>
      <c r="I2434" s="207" t="s">
        <v>12545</v>
      </c>
      <c r="J2434" s="66" t="s">
        <v>12548</v>
      </c>
      <c r="K2434" s="207"/>
      <c r="L2434" s="66"/>
      <c r="M2434" s="201" t="s">
        <v>12550</v>
      </c>
      <c r="N2434" s="207"/>
      <c r="O2434" s="41"/>
    </row>
    <row r="2435" spans="1:15" ht="72" customHeight="1" x14ac:dyDescent="0.3">
      <c r="A2435" s="139">
        <v>2404</v>
      </c>
      <c r="B2435" s="82" t="s">
        <v>15475</v>
      </c>
      <c r="C2435" s="245" t="s">
        <v>15469</v>
      </c>
      <c r="D2435" s="207"/>
      <c r="E2435" s="90">
        <v>75</v>
      </c>
      <c r="F2435" s="43"/>
      <c r="G2435" s="207"/>
      <c r="H2435" s="207"/>
      <c r="I2435" s="207" t="s">
        <v>12545</v>
      </c>
      <c r="J2435" s="66" t="s">
        <v>12548</v>
      </c>
      <c r="K2435" s="207"/>
      <c r="L2435" s="66"/>
      <c r="M2435" s="201" t="s">
        <v>12550</v>
      </c>
      <c r="N2435" s="207"/>
      <c r="O2435" s="41"/>
    </row>
    <row r="2436" spans="1:15" ht="72" customHeight="1" x14ac:dyDescent="0.3">
      <c r="A2436" s="139">
        <v>2405</v>
      </c>
      <c r="B2436" s="82" t="s">
        <v>15475</v>
      </c>
      <c r="C2436" s="245" t="s">
        <v>15470</v>
      </c>
      <c r="D2436" s="207"/>
      <c r="E2436" s="90">
        <v>40</v>
      </c>
      <c r="F2436" s="43"/>
      <c r="G2436" s="207"/>
      <c r="H2436" s="207"/>
      <c r="I2436" s="207" t="s">
        <v>12545</v>
      </c>
      <c r="J2436" s="66" t="s">
        <v>12548</v>
      </c>
      <c r="K2436" s="207"/>
      <c r="L2436" s="66"/>
      <c r="M2436" s="201" t="s">
        <v>12550</v>
      </c>
      <c r="N2436" s="207"/>
      <c r="O2436" s="41"/>
    </row>
    <row r="2437" spans="1:15" ht="72" customHeight="1" x14ac:dyDescent="0.3">
      <c r="A2437" s="139">
        <v>2406</v>
      </c>
      <c r="B2437" s="82" t="s">
        <v>15475</v>
      </c>
      <c r="C2437" s="245" t="s">
        <v>15471</v>
      </c>
      <c r="D2437" s="207"/>
      <c r="E2437" s="90">
        <v>36</v>
      </c>
      <c r="F2437" s="43">
        <v>95237.08</v>
      </c>
      <c r="G2437" s="207"/>
      <c r="H2437" s="207"/>
      <c r="I2437" s="207" t="s">
        <v>12545</v>
      </c>
      <c r="J2437" s="66" t="s">
        <v>12548</v>
      </c>
      <c r="K2437" s="207"/>
      <c r="L2437" s="66"/>
      <c r="M2437" s="201" t="s">
        <v>12550</v>
      </c>
      <c r="N2437" s="207"/>
      <c r="O2437" s="41"/>
    </row>
    <row r="2438" spans="1:15" ht="72" customHeight="1" x14ac:dyDescent="0.3">
      <c r="A2438" s="139">
        <v>2407</v>
      </c>
      <c r="B2438" s="82" t="s">
        <v>15475</v>
      </c>
      <c r="C2438" s="245" t="s">
        <v>15472</v>
      </c>
      <c r="D2438" s="207"/>
      <c r="E2438" s="90">
        <v>8</v>
      </c>
      <c r="F2438" s="43"/>
      <c r="G2438" s="207"/>
      <c r="H2438" s="207"/>
      <c r="I2438" s="207" t="s">
        <v>12545</v>
      </c>
      <c r="J2438" s="66" t="s">
        <v>12548</v>
      </c>
      <c r="K2438" s="207"/>
      <c r="L2438" s="66"/>
      <c r="M2438" s="201" t="s">
        <v>12550</v>
      </c>
      <c r="N2438" s="207"/>
      <c r="O2438" s="41"/>
    </row>
    <row r="2439" spans="1:15" ht="72" customHeight="1" x14ac:dyDescent="0.3">
      <c r="A2439" s="139">
        <v>2408</v>
      </c>
      <c r="B2439" s="82" t="s">
        <v>15475</v>
      </c>
      <c r="C2439" s="245" t="s">
        <v>15473</v>
      </c>
      <c r="D2439" s="207"/>
      <c r="E2439" s="90">
        <v>6</v>
      </c>
      <c r="F2439" s="43"/>
      <c r="G2439" s="207"/>
      <c r="H2439" s="207"/>
      <c r="I2439" s="207" t="s">
        <v>12545</v>
      </c>
      <c r="J2439" s="66" t="s">
        <v>12548</v>
      </c>
      <c r="K2439" s="207"/>
      <c r="L2439" s="66"/>
      <c r="M2439" s="201" t="s">
        <v>12550</v>
      </c>
      <c r="N2439" s="207"/>
      <c r="O2439" s="41"/>
    </row>
    <row r="2440" spans="1:15" ht="72" customHeight="1" x14ac:dyDescent="0.3">
      <c r="A2440" s="139">
        <v>2409</v>
      </c>
      <c r="B2440" s="82" t="s">
        <v>14441</v>
      </c>
      <c r="C2440" s="245" t="s">
        <v>15482</v>
      </c>
      <c r="D2440" s="207"/>
      <c r="E2440" s="33">
        <v>2000</v>
      </c>
      <c r="F2440" s="25"/>
      <c r="G2440" s="207"/>
      <c r="H2440" s="207"/>
      <c r="I2440" s="207" t="s">
        <v>12545</v>
      </c>
      <c r="J2440" s="66" t="s">
        <v>12548</v>
      </c>
      <c r="K2440" s="207"/>
      <c r="L2440" s="66"/>
      <c r="M2440" s="201" t="s">
        <v>12550</v>
      </c>
      <c r="N2440" s="207"/>
      <c r="O2440" s="41"/>
    </row>
    <row r="2441" spans="1:15" ht="72" customHeight="1" x14ac:dyDescent="0.3">
      <c r="A2441" s="139">
        <v>2410</v>
      </c>
      <c r="B2441" s="82" t="s">
        <v>14441</v>
      </c>
      <c r="C2441" s="245" t="s">
        <v>15481</v>
      </c>
      <c r="D2441" s="207"/>
      <c r="E2441" s="33">
        <v>12000</v>
      </c>
      <c r="F2441" s="25"/>
      <c r="G2441" s="207"/>
      <c r="H2441" s="207"/>
      <c r="I2441" s="207" t="s">
        <v>12545</v>
      </c>
      <c r="J2441" s="66" t="s">
        <v>12548</v>
      </c>
      <c r="K2441" s="207"/>
      <c r="L2441" s="66"/>
      <c r="M2441" s="201" t="s">
        <v>12550</v>
      </c>
      <c r="N2441" s="207"/>
      <c r="O2441" s="41"/>
    </row>
    <row r="2442" spans="1:15" ht="72" customHeight="1" x14ac:dyDescent="0.3">
      <c r="A2442" s="139">
        <v>2411</v>
      </c>
      <c r="B2442" s="82" t="s">
        <v>14441</v>
      </c>
      <c r="C2442" s="245" t="s">
        <v>15480</v>
      </c>
      <c r="D2442" s="207"/>
      <c r="E2442" s="33">
        <v>500</v>
      </c>
      <c r="F2442" s="25"/>
      <c r="G2442" s="207"/>
      <c r="H2442" s="207"/>
      <c r="I2442" s="207" t="s">
        <v>12545</v>
      </c>
      <c r="J2442" s="66" t="s">
        <v>12548</v>
      </c>
      <c r="K2442" s="207"/>
      <c r="L2442" s="66"/>
      <c r="M2442" s="201" t="s">
        <v>12550</v>
      </c>
      <c r="N2442" s="207"/>
      <c r="O2442" s="41"/>
    </row>
    <row r="2443" spans="1:15" ht="48" customHeight="1" x14ac:dyDescent="0.3">
      <c r="A2443" s="139">
        <v>2412</v>
      </c>
      <c r="B2443" s="82" t="s">
        <v>14441</v>
      </c>
      <c r="C2443" s="245" t="s">
        <v>15479</v>
      </c>
      <c r="D2443" s="207"/>
      <c r="E2443" s="33">
        <v>200</v>
      </c>
      <c r="F2443" s="25"/>
      <c r="G2443" s="207"/>
      <c r="H2443" s="207"/>
      <c r="I2443" s="207" t="s">
        <v>12545</v>
      </c>
      <c r="J2443" s="66" t="s">
        <v>12548</v>
      </c>
      <c r="K2443" s="207"/>
      <c r="L2443" s="66"/>
      <c r="M2443" s="201" t="s">
        <v>12550</v>
      </c>
      <c r="N2443" s="207"/>
      <c r="O2443" s="41"/>
    </row>
    <row r="2444" spans="1:15" ht="72" customHeight="1" x14ac:dyDescent="0.3">
      <c r="A2444" s="139">
        <v>2413</v>
      </c>
      <c r="B2444" s="82" t="s">
        <v>14441</v>
      </c>
      <c r="C2444" s="245" t="s">
        <v>15472</v>
      </c>
      <c r="D2444" s="207"/>
      <c r="E2444" s="33">
        <v>200</v>
      </c>
      <c r="F2444" s="25"/>
      <c r="G2444" s="207"/>
      <c r="H2444" s="207"/>
      <c r="I2444" s="207" t="s">
        <v>12545</v>
      </c>
      <c r="J2444" s="66" t="s">
        <v>12548</v>
      </c>
      <c r="K2444" s="207"/>
      <c r="L2444" s="66"/>
      <c r="M2444" s="201" t="s">
        <v>12550</v>
      </c>
      <c r="N2444" s="207"/>
      <c r="O2444" s="41"/>
    </row>
    <row r="2445" spans="1:15" ht="72" customHeight="1" x14ac:dyDescent="0.3">
      <c r="A2445" s="139">
        <v>2414</v>
      </c>
      <c r="B2445" s="82" t="s">
        <v>14441</v>
      </c>
      <c r="C2445" s="245" t="s">
        <v>15478</v>
      </c>
      <c r="D2445" s="207"/>
      <c r="E2445" s="33">
        <v>300</v>
      </c>
      <c r="F2445" s="25"/>
      <c r="G2445" s="207"/>
      <c r="H2445" s="207"/>
      <c r="I2445" s="207" t="s">
        <v>12545</v>
      </c>
      <c r="J2445" s="66" t="s">
        <v>12548</v>
      </c>
      <c r="K2445" s="207"/>
      <c r="L2445" s="66"/>
      <c r="M2445" s="201" t="s">
        <v>12550</v>
      </c>
      <c r="N2445" s="207"/>
      <c r="O2445" s="41"/>
    </row>
    <row r="2446" spans="1:15" ht="72" customHeight="1" x14ac:dyDescent="0.3">
      <c r="A2446" s="139">
        <v>2415</v>
      </c>
      <c r="B2446" s="82" t="s">
        <v>14441</v>
      </c>
      <c r="C2446" s="245" t="s">
        <v>15476</v>
      </c>
      <c r="D2446" s="207"/>
      <c r="E2446" s="33">
        <v>100</v>
      </c>
      <c r="F2446" s="25"/>
      <c r="G2446" s="207"/>
      <c r="H2446" s="207"/>
      <c r="I2446" s="207" t="s">
        <v>12545</v>
      </c>
      <c r="J2446" s="66" t="s">
        <v>12548</v>
      </c>
      <c r="K2446" s="207"/>
      <c r="L2446" s="66"/>
      <c r="M2446" s="201" t="s">
        <v>12550</v>
      </c>
      <c r="N2446" s="207"/>
      <c r="O2446" s="41"/>
    </row>
    <row r="2447" spans="1:15" ht="72" customHeight="1" x14ac:dyDescent="0.3">
      <c r="A2447" s="139">
        <v>2416</v>
      </c>
      <c r="B2447" s="82" t="s">
        <v>14441</v>
      </c>
      <c r="C2447" s="245" t="s">
        <v>15477</v>
      </c>
      <c r="D2447" s="207"/>
      <c r="E2447" s="33">
        <v>180</v>
      </c>
      <c r="F2447" s="25"/>
      <c r="G2447" s="207"/>
      <c r="H2447" s="207"/>
      <c r="I2447" s="207" t="s">
        <v>12545</v>
      </c>
      <c r="J2447" s="66" t="s">
        <v>12548</v>
      </c>
      <c r="K2447" s="207"/>
      <c r="L2447" s="66"/>
      <c r="M2447" s="201" t="s">
        <v>12550</v>
      </c>
      <c r="N2447" s="207"/>
      <c r="O2447" s="41"/>
    </row>
    <row r="2448" spans="1:15" ht="72" customHeight="1" x14ac:dyDescent="0.3">
      <c r="A2448" s="139">
        <v>2417</v>
      </c>
      <c r="B2448" s="242" t="s">
        <v>15489</v>
      </c>
      <c r="C2448" s="245" t="s">
        <v>15488</v>
      </c>
      <c r="D2448" s="85" t="s">
        <v>19551</v>
      </c>
      <c r="E2448" s="207">
        <v>1706</v>
      </c>
      <c r="F2448" s="25"/>
      <c r="G2448" s="207"/>
      <c r="H2448" s="25"/>
      <c r="I2448" s="207" t="s">
        <v>12545</v>
      </c>
      <c r="J2448" s="66" t="s">
        <v>19552</v>
      </c>
      <c r="K2448" s="207"/>
      <c r="L2448" s="66"/>
      <c r="M2448" s="201" t="s">
        <v>12550</v>
      </c>
      <c r="N2448" s="207"/>
      <c r="O2448" s="38"/>
    </row>
    <row r="2449" spans="1:15" ht="72" customHeight="1" x14ac:dyDescent="0.3">
      <c r="A2449" s="139">
        <v>2418</v>
      </c>
      <c r="B2449" s="242" t="s">
        <v>20959</v>
      </c>
      <c r="C2449" s="245" t="s">
        <v>15490</v>
      </c>
      <c r="D2449" s="85" t="s">
        <v>20956</v>
      </c>
      <c r="E2449" s="207">
        <v>826</v>
      </c>
      <c r="F2449" s="25"/>
      <c r="G2449" s="207"/>
      <c r="H2449" s="207"/>
      <c r="I2449" s="207" t="s">
        <v>12545</v>
      </c>
      <c r="J2449" s="66" t="s">
        <v>20957</v>
      </c>
      <c r="K2449" s="207"/>
      <c r="L2449" s="66"/>
      <c r="M2449" s="201" t="s">
        <v>12550</v>
      </c>
      <c r="N2449" s="207"/>
      <c r="O2449" s="38"/>
    </row>
    <row r="2450" spans="1:15" ht="72" customHeight="1" x14ac:dyDescent="0.3">
      <c r="A2450" s="269">
        <v>2419</v>
      </c>
      <c r="B2450" s="23" t="s">
        <v>15504</v>
      </c>
      <c r="C2450" s="257" t="s">
        <v>15477</v>
      </c>
      <c r="D2450" s="94"/>
      <c r="E2450" s="207"/>
      <c r="F2450" s="25"/>
      <c r="G2450" s="207"/>
      <c r="H2450" s="207"/>
      <c r="I2450" s="207" t="s">
        <v>12545</v>
      </c>
      <c r="J2450" s="66" t="s">
        <v>12548</v>
      </c>
      <c r="K2450" s="207"/>
      <c r="L2450" s="66"/>
      <c r="M2450" s="201" t="s">
        <v>12550</v>
      </c>
      <c r="N2450" s="207"/>
      <c r="O2450" s="38"/>
    </row>
    <row r="2451" spans="1:15" ht="72" customHeight="1" x14ac:dyDescent="0.3">
      <c r="A2451" s="139">
        <v>2420</v>
      </c>
      <c r="B2451" s="242" t="s">
        <v>20960</v>
      </c>
      <c r="C2451" s="245" t="s">
        <v>15491</v>
      </c>
      <c r="D2451" s="85" t="s">
        <v>20958</v>
      </c>
      <c r="E2451" s="207">
        <v>907</v>
      </c>
      <c r="F2451" s="25"/>
      <c r="G2451" s="207"/>
      <c r="H2451" s="207"/>
      <c r="I2451" s="207" t="s">
        <v>12545</v>
      </c>
      <c r="J2451" s="66" t="s">
        <v>20984</v>
      </c>
      <c r="K2451" s="207"/>
      <c r="L2451" s="66"/>
      <c r="M2451" s="201" t="s">
        <v>12550</v>
      </c>
      <c r="N2451" s="207"/>
      <c r="O2451" s="38"/>
    </row>
    <row r="2452" spans="1:15" ht="72" customHeight="1" x14ac:dyDescent="0.3">
      <c r="A2452" s="139">
        <v>2421</v>
      </c>
      <c r="B2452" s="242" t="s">
        <v>20961</v>
      </c>
      <c r="C2452" s="245" t="s">
        <v>15492</v>
      </c>
      <c r="D2452" s="85" t="s">
        <v>20962</v>
      </c>
      <c r="E2452" s="207">
        <v>200</v>
      </c>
      <c r="F2452" s="25"/>
      <c r="G2452" s="207"/>
      <c r="H2452" s="207"/>
      <c r="I2452" s="207" t="s">
        <v>12545</v>
      </c>
      <c r="J2452" s="66" t="s">
        <v>20983</v>
      </c>
      <c r="K2452" s="207"/>
      <c r="L2452" s="66"/>
      <c r="M2452" s="201" t="s">
        <v>12550</v>
      </c>
      <c r="N2452" s="207"/>
      <c r="O2452" s="38"/>
    </row>
    <row r="2453" spans="1:15" ht="72" customHeight="1" x14ac:dyDescent="0.3">
      <c r="A2453" s="139">
        <v>2422</v>
      </c>
      <c r="B2453" s="242" t="s">
        <v>15505</v>
      </c>
      <c r="C2453" s="245" t="s">
        <v>15472</v>
      </c>
      <c r="D2453" s="85" t="s">
        <v>19557</v>
      </c>
      <c r="E2453" s="207">
        <v>1513</v>
      </c>
      <c r="F2453" s="25"/>
      <c r="G2453" s="207"/>
      <c r="H2453" s="25"/>
      <c r="I2453" s="207" t="s">
        <v>12545</v>
      </c>
      <c r="J2453" s="66" t="s">
        <v>19558</v>
      </c>
      <c r="K2453" s="207"/>
      <c r="L2453" s="66"/>
      <c r="M2453" s="201" t="s">
        <v>12550</v>
      </c>
      <c r="N2453" s="207"/>
      <c r="O2453" s="38"/>
    </row>
    <row r="2454" spans="1:15" ht="72" customHeight="1" x14ac:dyDescent="0.3">
      <c r="A2454" s="139">
        <v>2423</v>
      </c>
      <c r="B2454" s="242" t="s">
        <v>15506</v>
      </c>
      <c r="C2454" s="245" t="s">
        <v>15479</v>
      </c>
      <c r="D2454" s="85" t="s">
        <v>19645</v>
      </c>
      <c r="E2454" s="207">
        <v>640</v>
      </c>
      <c r="F2454" s="25"/>
      <c r="G2454" s="207"/>
      <c r="H2454" s="25"/>
      <c r="I2454" s="207" t="s">
        <v>12545</v>
      </c>
      <c r="J2454" s="66" t="s">
        <v>19646</v>
      </c>
      <c r="K2454" s="207"/>
      <c r="L2454" s="66"/>
      <c r="M2454" s="201" t="s">
        <v>12550</v>
      </c>
      <c r="N2454" s="207"/>
      <c r="O2454" s="38"/>
    </row>
    <row r="2455" spans="1:15" ht="72" customHeight="1" x14ac:dyDescent="0.3">
      <c r="A2455" s="139">
        <v>2424</v>
      </c>
      <c r="B2455" s="242" t="s">
        <v>15507</v>
      </c>
      <c r="C2455" s="245" t="s">
        <v>15493</v>
      </c>
      <c r="D2455" s="85" t="s">
        <v>19649</v>
      </c>
      <c r="E2455" s="207">
        <v>1268</v>
      </c>
      <c r="F2455" s="25"/>
      <c r="G2455" s="207"/>
      <c r="H2455" s="25"/>
      <c r="I2455" s="207" t="s">
        <v>12545</v>
      </c>
      <c r="J2455" s="66" t="s">
        <v>19650</v>
      </c>
      <c r="K2455" s="207"/>
      <c r="L2455" s="66"/>
      <c r="M2455" s="201" t="s">
        <v>12550</v>
      </c>
      <c r="N2455" s="207"/>
      <c r="O2455" s="38"/>
    </row>
    <row r="2456" spans="1:15" ht="72" customHeight="1" x14ac:dyDescent="0.3">
      <c r="A2456" s="139">
        <v>2425</v>
      </c>
      <c r="B2456" s="242" t="s">
        <v>15494</v>
      </c>
      <c r="C2456" s="245" t="s">
        <v>15493</v>
      </c>
      <c r="D2456" s="85" t="s">
        <v>19661</v>
      </c>
      <c r="E2456" s="207">
        <v>1487</v>
      </c>
      <c r="F2456" s="25"/>
      <c r="G2456" s="207"/>
      <c r="H2456" s="25"/>
      <c r="I2456" s="207" t="s">
        <v>12545</v>
      </c>
      <c r="J2456" s="66" t="s">
        <v>19662</v>
      </c>
      <c r="K2456" s="207"/>
      <c r="L2456" s="66"/>
      <c r="M2456" s="201" t="s">
        <v>12550</v>
      </c>
      <c r="N2456" s="207"/>
      <c r="O2456" s="38"/>
    </row>
    <row r="2457" spans="1:15" ht="72" customHeight="1" x14ac:dyDescent="0.3">
      <c r="A2457" s="139">
        <v>2426</v>
      </c>
      <c r="B2457" s="242" t="s">
        <v>15495</v>
      </c>
      <c r="C2457" s="245" t="s">
        <v>19488</v>
      </c>
      <c r="D2457" s="85" t="s">
        <v>19553</v>
      </c>
      <c r="E2457" s="207">
        <v>1818</v>
      </c>
      <c r="F2457" s="25"/>
      <c r="G2457" s="207"/>
      <c r="H2457" s="25"/>
      <c r="I2457" s="207" t="s">
        <v>12545</v>
      </c>
      <c r="J2457" s="66" t="s">
        <v>19554</v>
      </c>
      <c r="K2457" s="207"/>
      <c r="L2457" s="66"/>
      <c r="M2457" s="201" t="s">
        <v>12550</v>
      </c>
      <c r="N2457" s="207"/>
      <c r="O2457" s="38"/>
    </row>
    <row r="2458" spans="1:15" ht="72" customHeight="1" x14ac:dyDescent="0.3">
      <c r="A2458" s="139">
        <v>2427</v>
      </c>
      <c r="B2458" s="242" t="s">
        <v>15498</v>
      </c>
      <c r="C2458" s="245" t="s">
        <v>15497</v>
      </c>
      <c r="D2458" s="85" t="s">
        <v>19555</v>
      </c>
      <c r="E2458" s="207">
        <v>2041</v>
      </c>
      <c r="F2458" s="25"/>
      <c r="G2458" s="207"/>
      <c r="H2458" s="25"/>
      <c r="I2458" s="207" t="s">
        <v>12545</v>
      </c>
      <c r="J2458" s="66" t="s">
        <v>19556</v>
      </c>
      <c r="K2458" s="207"/>
      <c r="L2458" s="66"/>
      <c r="M2458" s="201" t="s">
        <v>12550</v>
      </c>
      <c r="N2458" s="207"/>
      <c r="O2458" s="38"/>
    </row>
    <row r="2459" spans="1:15" ht="72" customHeight="1" x14ac:dyDescent="0.3">
      <c r="A2459" s="139">
        <v>2428</v>
      </c>
      <c r="B2459" s="242" t="s">
        <v>15688</v>
      </c>
      <c r="C2459" s="245" t="s">
        <v>19071</v>
      </c>
      <c r="D2459" s="85" t="s">
        <v>19643</v>
      </c>
      <c r="E2459" s="207">
        <v>654</v>
      </c>
      <c r="F2459" s="25"/>
      <c r="G2459" s="207"/>
      <c r="H2459" s="25"/>
      <c r="I2459" s="207" t="s">
        <v>12545</v>
      </c>
      <c r="J2459" s="66" t="s">
        <v>19644</v>
      </c>
      <c r="K2459" s="207"/>
      <c r="L2459" s="66"/>
      <c r="M2459" s="201" t="s">
        <v>12550</v>
      </c>
      <c r="N2459" s="207"/>
      <c r="O2459" s="38"/>
    </row>
    <row r="2460" spans="1:15" ht="72" customHeight="1" x14ac:dyDescent="0.3">
      <c r="A2460" s="139">
        <v>2429</v>
      </c>
      <c r="B2460" s="242" t="s">
        <v>15499</v>
      </c>
      <c r="C2460" s="245" t="s">
        <v>15490</v>
      </c>
      <c r="D2460" s="85" t="s">
        <v>19647</v>
      </c>
      <c r="E2460" s="207">
        <v>3210</v>
      </c>
      <c r="F2460" s="25"/>
      <c r="G2460" s="207"/>
      <c r="H2460" s="25"/>
      <c r="I2460" s="207" t="s">
        <v>12545</v>
      </c>
      <c r="J2460" s="66" t="s">
        <v>19648</v>
      </c>
      <c r="K2460" s="207"/>
      <c r="L2460" s="66"/>
      <c r="M2460" s="201" t="s">
        <v>12550</v>
      </c>
      <c r="N2460" s="207"/>
      <c r="O2460" s="38"/>
    </row>
    <row r="2461" spans="1:15" ht="72" customHeight="1" x14ac:dyDescent="0.3">
      <c r="A2461" s="139">
        <v>2430</v>
      </c>
      <c r="B2461" s="242" t="s">
        <v>20963</v>
      </c>
      <c r="C2461" s="245" t="s">
        <v>15496</v>
      </c>
      <c r="D2461" s="85" t="s">
        <v>20964</v>
      </c>
      <c r="E2461" s="207">
        <v>213</v>
      </c>
      <c r="F2461" s="25"/>
      <c r="G2461" s="207"/>
      <c r="H2461" s="207"/>
      <c r="I2461" s="207" t="s">
        <v>12545</v>
      </c>
      <c r="J2461" s="66" t="s">
        <v>20982</v>
      </c>
      <c r="K2461" s="207"/>
      <c r="L2461" s="66"/>
      <c r="M2461" s="201" t="s">
        <v>12550</v>
      </c>
      <c r="N2461" s="207"/>
      <c r="O2461" s="38"/>
    </row>
    <row r="2462" spans="1:15" ht="72" customHeight="1" x14ac:dyDescent="0.3">
      <c r="A2462" s="139">
        <v>2431</v>
      </c>
      <c r="B2462" s="242" t="s">
        <v>20965</v>
      </c>
      <c r="C2462" s="245" t="s">
        <v>15500</v>
      </c>
      <c r="D2462" s="85" t="s">
        <v>20966</v>
      </c>
      <c r="E2462" s="207">
        <v>204</v>
      </c>
      <c r="F2462" s="25"/>
      <c r="G2462" s="207"/>
      <c r="H2462" s="207"/>
      <c r="I2462" s="207" t="s">
        <v>12545</v>
      </c>
      <c r="J2462" s="66" t="s">
        <v>20981</v>
      </c>
      <c r="K2462" s="207"/>
      <c r="L2462" s="66"/>
      <c r="M2462" s="201" t="s">
        <v>12550</v>
      </c>
      <c r="N2462" s="207"/>
      <c r="O2462" s="38"/>
    </row>
    <row r="2463" spans="1:15" ht="72" customHeight="1" x14ac:dyDescent="0.3">
      <c r="A2463" s="139">
        <v>2432</v>
      </c>
      <c r="B2463" s="242" t="s">
        <v>20968</v>
      </c>
      <c r="C2463" s="245" t="s">
        <v>15501</v>
      </c>
      <c r="D2463" s="85" t="s">
        <v>20969</v>
      </c>
      <c r="E2463" s="207">
        <v>247</v>
      </c>
      <c r="F2463" s="25"/>
      <c r="G2463" s="207"/>
      <c r="H2463" s="207"/>
      <c r="I2463" s="207" t="s">
        <v>12545</v>
      </c>
      <c r="J2463" s="66" t="s">
        <v>20980</v>
      </c>
      <c r="K2463" s="207"/>
      <c r="L2463" s="66"/>
      <c r="M2463" s="201" t="s">
        <v>12550</v>
      </c>
      <c r="N2463" s="207"/>
      <c r="O2463" s="38"/>
    </row>
    <row r="2464" spans="1:15" ht="72" customHeight="1" x14ac:dyDescent="0.3">
      <c r="A2464" s="139">
        <v>2433</v>
      </c>
      <c r="B2464" s="242" t="s">
        <v>21962</v>
      </c>
      <c r="C2464" s="245" t="s">
        <v>15501</v>
      </c>
      <c r="D2464" s="85" t="s">
        <v>20967</v>
      </c>
      <c r="E2464" s="207">
        <v>315</v>
      </c>
      <c r="F2464" s="25"/>
      <c r="G2464" s="207"/>
      <c r="H2464" s="207"/>
      <c r="I2464" s="207" t="s">
        <v>12545</v>
      </c>
      <c r="J2464" s="66" t="s">
        <v>20979</v>
      </c>
      <c r="K2464" s="207"/>
      <c r="L2464" s="66"/>
      <c r="M2464" s="201" t="s">
        <v>12550</v>
      </c>
      <c r="N2464" s="207"/>
      <c r="O2464" s="38"/>
    </row>
    <row r="2465" spans="1:15" ht="84.6" customHeight="1" x14ac:dyDescent="0.3">
      <c r="A2465" s="139">
        <v>2434</v>
      </c>
      <c r="B2465" s="242" t="s">
        <v>21075</v>
      </c>
      <c r="C2465" s="245" t="s">
        <v>15502</v>
      </c>
      <c r="D2465" s="85" t="s">
        <v>21073</v>
      </c>
      <c r="E2465" s="207"/>
      <c r="F2465" s="25"/>
      <c r="G2465" s="207"/>
      <c r="H2465" s="207"/>
      <c r="I2465" s="207" t="s">
        <v>12545</v>
      </c>
      <c r="J2465" s="66" t="s">
        <v>21074</v>
      </c>
      <c r="K2465" s="207"/>
      <c r="L2465" s="66"/>
      <c r="M2465" s="201" t="s">
        <v>12550</v>
      </c>
      <c r="N2465" s="207"/>
      <c r="O2465" s="38" t="s">
        <v>20731</v>
      </c>
    </row>
    <row r="2466" spans="1:15" ht="72" customHeight="1" x14ac:dyDescent="0.3">
      <c r="A2466" s="139">
        <v>2435</v>
      </c>
      <c r="B2466" s="242" t="s">
        <v>20972</v>
      </c>
      <c r="C2466" s="245" t="s">
        <v>15690</v>
      </c>
      <c r="D2466" s="85" t="s">
        <v>20973</v>
      </c>
      <c r="E2466" s="207">
        <v>109</v>
      </c>
      <c r="F2466" s="25"/>
      <c r="G2466" s="207"/>
      <c r="H2466" s="207"/>
      <c r="I2466" s="207" t="s">
        <v>12545</v>
      </c>
      <c r="J2466" s="66" t="s">
        <v>20978</v>
      </c>
      <c r="K2466" s="207"/>
      <c r="L2466" s="66"/>
      <c r="M2466" s="201" t="s">
        <v>12550</v>
      </c>
      <c r="N2466" s="207"/>
      <c r="O2466" s="38"/>
    </row>
    <row r="2467" spans="1:15" ht="72" customHeight="1" x14ac:dyDescent="0.3">
      <c r="A2467" s="139">
        <v>2436</v>
      </c>
      <c r="B2467" s="242" t="s">
        <v>15689</v>
      </c>
      <c r="C2467" s="245" t="s">
        <v>19071</v>
      </c>
      <c r="D2467" s="85" t="s">
        <v>19651</v>
      </c>
      <c r="E2467" s="207">
        <v>711</v>
      </c>
      <c r="F2467" s="25"/>
      <c r="G2467" s="207"/>
      <c r="H2467" s="25"/>
      <c r="I2467" s="207" t="s">
        <v>12545</v>
      </c>
      <c r="J2467" s="66" t="s">
        <v>19652</v>
      </c>
      <c r="K2467" s="207"/>
      <c r="L2467" s="66"/>
      <c r="M2467" s="201" t="s">
        <v>12550</v>
      </c>
      <c r="N2467" s="207"/>
      <c r="O2467" s="38"/>
    </row>
    <row r="2468" spans="1:15" ht="72" customHeight="1" x14ac:dyDescent="0.3">
      <c r="A2468" s="139">
        <v>2437</v>
      </c>
      <c r="B2468" s="242" t="s">
        <v>20970</v>
      </c>
      <c r="C2468" s="245" t="s">
        <v>15690</v>
      </c>
      <c r="D2468" s="85" t="s">
        <v>20971</v>
      </c>
      <c r="E2468" s="207">
        <v>527</v>
      </c>
      <c r="F2468" s="25"/>
      <c r="G2468" s="207"/>
      <c r="H2468" s="207"/>
      <c r="I2468" s="207" t="s">
        <v>12545</v>
      </c>
      <c r="J2468" s="66" t="s">
        <v>20977</v>
      </c>
      <c r="K2468" s="207"/>
      <c r="L2468" s="66"/>
      <c r="M2468" s="201" t="s">
        <v>12550</v>
      </c>
      <c r="N2468" s="207"/>
      <c r="O2468" s="38"/>
    </row>
    <row r="2469" spans="1:15" ht="72" customHeight="1" x14ac:dyDescent="0.3">
      <c r="A2469" s="139">
        <v>2438</v>
      </c>
      <c r="B2469" s="242" t="s">
        <v>20974</v>
      </c>
      <c r="C2469" s="245" t="s">
        <v>15503</v>
      </c>
      <c r="D2469" s="85" t="s">
        <v>20975</v>
      </c>
      <c r="E2469" s="207"/>
      <c r="F2469" s="25"/>
      <c r="G2469" s="207"/>
      <c r="H2469" s="207"/>
      <c r="I2469" s="207" t="s">
        <v>12545</v>
      </c>
      <c r="J2469" s="66" t="s">
        <v>20976</v>
      </c>
      <c r="K2469" s="207"/>
      <c r="L2469" s="66"/>
      <c r="M2469" s="201" t="s">
        <v>12550</v>
      </c>
      <c r="N2469" s="207"/>
      <c r="O2469" s="38"/>
    </row>
    <row r="2470" spans="1:15" ht="72.599999999999994" customHeight="1" x14ac:dyDescent="0.3">
      <c r="A2470" s="269">
        <v>2439</v>
      </c>
      <c r="B2470" s="262" t="s">
        <v>15509</v>
      </c>
      <c r="C2470" s="257" t="s">
        <v>15508</v>
      </c>
      <c r="D2470" s="94"/>
      <c r="E2470" s="207"/>
      <c r="F2470" s="25"/>
      <c r="G2470" s="207"/>
      <c r="H2470" s="207"/>
      <c r="I2470" s="207" t="s">
        <v>12545</v>
      </c>
      <c r="J2470" s="66" t="s">
        <v>12548</v>
      </c>
      <c r="K2470" s="207"/>
      <c r="L2470" s="66"/>
      <c r="M2470" s="201" t="s">
        <v>12550</v>
      </c>
      <c r="N2470" s="207"/>
      <c r="O2470" s="41"/>
    </row>
    <row r="2471" spans="1:15" ht="72" customHeight="1" x14ac:dyDescent="0.3">
      <c r="A2471" s="139">
        <v>2440</v>
      </c>
      <c r="B2471" s="246" t="s">
        <v>15511</v>
      </c>
      <c r="C2471" s="245" t="s">
        <v>15464</v>
      </c>
      <c r="D2471" s="207"/>
      <c r="E2471" s="207"/>
      <c r="F2471" s="25"/>
      <c r="G2471" s="207"/>
      <c r="H2471" s="207"/>
      <c r="I2471" s="207" t="s">
        <v>12545</v>
      </c>
      <c r="J2471" s="66" t="s">
        <v>12548</v>
      </c>
      <c r="K2471" s="207"/>
      <c r="L2471" s="66"/>
      <c r="M2471" s="201" t="s">
        <v>12550</v>
      </c>
      <c r="N2471" s="207"/>
      <c r="O2471" s="41"/>
    </row>
    <row r="2472" spans="1:15" ht="72" customHeight="1" x14ac:dyDescent="0.3">
      <c r="A2472" s="139">
        <v>2441</v>
      </c>
      <c r="B2472" s="246" t="s">
        <v>15512</v>
      </c>
      <c r="C2472" s="245" t="s">
        <v>15464</v>
      </c>
      <c r="D2472" s="207"/>
      <c r="E2472" s="207"/>
      <c r="F2472" s="25"/>
      <c r="G2472" s="207"/>
      <c r="H2472" s="207"/>
      <c r="I2472" s="207" t="s">
        <v>12545</v>
      </c>
      <c r="J2472" s="66" t="s">
        <v>12548</v>
      </c>
      <c r="K2472" s="207"/>
      <c r="L2472" s="66"/>
      <c r="M2472" s="201" t="s">
        <v>12550</v>
      </c>
      <c r="N2472" s="207"/>
      <c r="O2472" s="41"/>
    </row>
    <row r="2473" spans="1:15" ht="72" customHeight="1" x14ac:dyDescent="0.3">
      <c r="A2473" s="139">
        <v>2442</v>
      </c>
      <c r="B2473" s="246" t="s">
        <v>15513</v>
      </c>
      <c r="C2473" s="245" t="s">
        <v>15510</v>
      </c>
      <c r="D2473" s="207"/>
      <c r="E2473" s="207"/>
      <c r="F2473" s="25"/>
      <c r="G2473" s="207"/>
      <c r="H2473" s="207"/>
      <c r="I2473" s="207" t="s">
        <v>12545</v>
      </c>
      <c r="J2473" s="66" t="s">
        <v>12548</v>
      </c>
      <c r="K2473" s="207"/>
      <c r="L2473" s="66"/>
      <c r="M2473" s="201" t="s">
        <v>12550</v>
      </c>
      <c r="N2473" s="207"/>
      <c r="O2473" s="41"/>
    </row>
    <row r="2474" spans="1:15" ht="72" customHeight="1" x14ac:dyDescent="0.3">
      <c r="A2474" s="139">
        <v>2443</v>
      </c>
      <c r="B2474" s="246" t="s">
        <v>21972</v>
      </c>
      <c r="C2474" s="245" t="s">
        <v>15518</v>
      </c>
      <c r="D2474" s="207"/>
      <c r="E2474" s="207"/>
      <c r="F2474" s="73"/>
      <c r="G2474" s="73"/>
      <c r="H2474" s="207"/>
      <c r="I2474" s="207" t="s">
        <v>12545</v>
      </c>
      <c r="J2474" s="66" t="s">
        <v>12548</v>
      </c>
      <c r="K2474" s="207"/>
      <c r="L2474" s="66"/>
      <c r="M2474" s="201" t="s">
        <v>12550</v>
      </c>
      <c r="N2474" s="207"/>
      <c r="O2474" s="38"/>
    </row>
    <row r="2475" spans="1:15" ht="72" customHeight="1" x14ac:dyDescent="0.3">
      <c r="A2475" s="139">
        <v>2444</v>
      </c>
      <c r="B2475" s="246" t="s">
        <v>21973</v>
      </c>
      <c r="C2475" s="245" t="s">
        <v>21002</v>
      </c>
      <c r="D2475" s="207"/>
      <c r="E2475" s="207"/>
      <c r="F2475" s="73"/>
      <c r="G2475" s="73"/>
      <c r="H2475" s="207"/>
      <c r="I2475" s="207" t="s">
        <v>12545</v>
      </c>
      <c r="J2475" s="66" t="s">
        <v>12548</v>
      </c>
      <c r="K2475" s="207"/>
      <c r="L2475" s="66"/>
      <c r="M2475" s="201" t="s">
        <v>12550</v>
      </c>
      <c r="N2475" s="207"/>
      <c r="O2475" s="38"/>
    </row>
    <row r="2476" spans="1:15" ht="72" customHeight="1" x14ac:dyDescent="0.3">
      <c r="A2476" s="139">
        <v>2445</v>
      </c>
      <c r="B2476" s="246" t="s">
        <v>22029</v>
      </c>
      <c r="C2476" s="245" t="s">
        <v>21003</v>
      </c>
      <c r="D2476" s="207"/>
      <c r="E2476" s="207"/>
      <c r="F2476" s="73"/>
      <c r="G2476" s="73"/>
      <c r="H2476" s="207"/>
      <c r="I2476" s="207" t="s">
        <v>12545</v>
      </c>
      <c r="J2476" s="66" t="s">
        <v>12548</v>
      </c>
      <c r="K2476" s="207"/>
      <c r="L2476" s="66"/>
      <c r="M2476" s="201" t="s">
        <v>12550</v>
      </c>
      <c r="N2476" s="207"/>
      <c r="O2476" s="38" t="s">
        <v>22194</v>
      </c>
    </row>
    <row r="2477" spans="1:15" ht="72" customHeight="1" x14ac:dyDescent="0.3">
      <c r="A2477" s="139">
        <v>2446</v>
      </c>
      <c r="B2477" s="246" t="s">
        <v>21974</v>
      </c>
      <c r="C2477" s="245" t="s">
        <v>21964</v>
      </c>
      <c r="D2477" s="207"/>
      <c r="E2477" s="207"/>
      <c r="F2477" s="73"/>
      <c r="G2477" s="73"/>
      <c r="H2477" s="207"/>
      <c r="I2477" s="207" t="s">
        <v>12545</v>
      </c>
      <c r="J2477" s="66" t="s">
        <v>12548</v>
      </c>
      <c r="K2477" s="207"/>
      <c r="L2477" s="66"/>
      <c r="M2477" s="201" t="s">
        <v>12550</v>
      </c>
      <c r="N2477" s="207"/>
      <c r="O2477" s="38" t="s">
        <v>22195</v>
      </c>
    </row>
    <row r="2478" spans="1:15" ht="72" customHeight="1" x14ac:dyDescent="0.3">
      <c r="A2478" s="139">
        <v>2447</v>
      </c>
      <c r="B2478" s="246" t="s">
        <v>22067</v>
      </c>
      <c r="C2478" s="245" t="s">
        <v>21004</v>
      </c>
      <c r="D2478" s="207"/>
      <c r="E2478" s="207"/>
      <c r="F2478" s="73"/>
      <c r="G2478" s="73"/>
      <c r="H2478" s="207"/>
      <c r="I2478" s="207" t="s">
        <v>12545</v>
      </c>
      <c r="J2478" s="66" t="s">
        <v>12548</v>
      </c>
      <c r="K2478" s="242" t="s">
        <v>22180</v>
      </c>
      <c r="L2478" s="66" t="s">
        <v>22181</v>
      </c>
      <c r="M2478" s="201" t="s">
        <v>12550</v>
      </c>
      <c r="N2478" s="207"/>
      <c r="O2478" s="38" t="s">
        <v>22182</v>
      </c>
    </row>
    <row r="2479" spans="1:15" ht="72" customHeight="1" x14ac:dyDescent="0.3">
      <c r="A2479" s="139">
        <v>2448</v>
      </c>
      <c r="B2479" s="246" t="s">
        <v>21975</v>
      </c>
      <c r="C2479" s="245" t="s">
        <v>15519</v>
      </c>
      <c r="D2479" s="207"/>
      <c r="E2479" s="207"/>
      <c r="F2479" s="73"/>
      <c r="G2479" s="73"/>
      <c r="H2479" s="207"/>
      <c r="I2479" s="207" t="s">
        <v>12545</v>
      </c>
      <c r="J2479" s="66" t="s">
        <v>12548</v>
      </c>
      <c r="K2479" s="207"/>
      <c r="L2479" s="66"/>
      <c r="M2479" s="201" t="s">
        <v>12550</v>
      </c>
      <c r="N2479" s="207"/>
      <c r="O2479" s="38"/>
    </row>
    <row r="2480" spans="1:15" ht="72" customHeight="1" x14ac:dyDescent="0.3">
      <c r="A2480" s="139">
        <v>2449</v>
      </c>
      <c r="B2480" s="246" t="s">
        <v>21976</v>
      </c>
      <c r="C2480" s="245" t="s">
        <v>15520</v>
      </c>
      <c r="D2480" s="207"/>
      <c r="E2480" s="207"/>
      <c r="F2480" s="73"/>
      <c r="G2480" s="73"/>
      <c r="H2480" s="207"/>
      <c r="I2480" s="207" t="s">
        <v>12545</v>
      </c>
      <c r="J2480" s="66" t="s">
        <v>12548</v>
      </c>
      <c r="K2480" s="207"/>
      <c r="L2480" s="66"/>
      <c r="M2480" s="201" t="s">
        <v>12550</v>
      </c>
      <c r="N2480" s="207"/>
      <c r="O2480" s="38"/>
    </row>
    <row r="2481" spans="1:15" ht="72" customHeight="1" x14ac:dyDescent="0.3">
      <c r="A2481" s="139">
        <v>2450</v>
      </c>
      <c r="B2481" s="246" t="s">
        <v>21977</v>
      </c>
      <c r="C2481" s="245" t="s">
        <v>15527</v>
      </c>
      <c r="D2481" s="207"/>
      <c r="E2481" s="207"/>
      <c r="F2481" s="73"/>
      <c r="G2481" s="73"/>
      <c r="H2481" s="207"/>
      <c r="I2481" s="207" t="s">
        <v>12545</v>
      </c>
      <c r="J2481" s="66" t="s">
        <v>12548</v>
      </c>
      <c r="K2481" s="207"/>
      <c r="L2481" s="66"/>
      <c r="M2481" s="201" t="s">
        <v>12550</v>
      </c>
      <c r="N2481" s="207"/>
      <c r="O2481" s="38"/>
    </row>
    <row r="2482" spans="1:15" ht="72" customHeight="1" x14ac:dyDescent="0.3">
      <c r="A2482" s="139">
        <v>2451</v>
      </c>
      <c r="B2482" s="246" t="s">
        <v>21978</v>
      </c>
      <c r="C2482" s="245" t="s">
        <v>15521</v>
      </c>
      <c r="D2482" s="207"/>
      <c r="E2482" s="207"/>
      <c r="F2482" s="73"/>
      <c r="G2482" s="73"/>
      <c r="H2482" s="207"/>
      <c r="I2482" s="207" t="s">
        <v>12545</v>
      </c>
      <c r="J2482" s="66" t="s">
        <v>12548</v>
      </c>
      <c r="K2482" s="207"/>
      <c r="L2482" s="66"/>
      <c r="M2482" s="201" t="s">
        <v>12550</v>
      </c>
      <c r="N2482" s="207"/>
      <c r="O2482" s="38"/>
    </row>
    <row r="2483" spans="1:15" ht="72" customHeight="1" x14ac:dyDescent="0.3">
      <c r="A2483" s="139">
        <v>2452</v>
      </c>
      <c r="B2483" s="246" t="s">
        <v>21979</v>
      </c>
      <c r="C2483" s="245" t="s">
        <v>21005</v>
      </c>
      <c r="D2483" s="207"/>
      <c r="E2483" s="207"/>
      <c r="F2483" s="73"/>
      <c r="G2483" s="73"/>
      <c r="H2483" s="207"/>
      <c r="I2483" s="207" t="s">
        <v>12545</v>
      </c>
      <c r="J2483" s="66" t="s">
        <v>12548</v>
      </c>
      <c r="K2483" s="207"/>
      <c r="L2483" s="66"/>
      <c r="M2483" s="201" t="s">
        <v>12550</v>
      </c>
      <c r="N2483" s="207"/>
      <c r="O2483" s="38"/>
    </row>
    <row r="2484" spans="1:15" ht="72" customHeight="1" x14ac:dyDescent="0.3">
      <c r="A2484" s="139">
        <v>2453</v>
      </c>
      <c r="B2484" s="246" t="s">
        <v>22024</v>
      </c>
      <c r="C2484" s="245" t="s">
        <v>22025</v>
      </c>
      <c r="D2484" s="207"/>
      <c r="E2484" s="207"/>
      <c r="F2484" s="73"/>
      <c r="G2484" s="73"/>
      <c r="H2484" s="207"/>
      <c r="I2484" s="207" t="s">
        <v>12545</v>
      </c>
      <c r="J2484" s="66" t="s">
        <v>12548</v>
      </c>
      <c r="K2484" s="207"/>
      <c r="L2484" s="66"/>
      <c r="M2484" s="201" t="s">
        <v>12550</v>
      </c>
      <c r="N2484" s="207"/>
      <c r="O2484" s="38" t="s">
        <v>22187</v>
      </c>
    </row>
    <row r="2485" spans="1:15" ht="72" customHeight="1" x14ac:dyDescent="0.3">
      <c r="A2485" s="139">
        <v>2454</v>
      </c>
      <c r="B2485" s="246" t="s">
        <v>21980</v>
      </c>
      <c r="C2485" s="245" t="s">
        <v>21006</v>
      </c>
      <c r="D2485" s="207"/>
      <c r="E2485" s="207"/>
      <c r="F2485" s="73"/>
      <c r="G2485" s="73"/>
      <c r="H2485" s="207"/>
      <c r="I2485" s="207" t="s">
        <v>12545</v>
      </c>
      <c r="J2485" s="66" t="s">
        <v>12548</v>
      </c>
      <c r="K2485" s="207"/>
      <c r="L2485" s="66"/>
      <c r="M2485" s="201" t="s">
        <v>12550</v>
      </c>
      <c r="N2485" s="207"/>
      <c r="O2485" s="38"/>
    </row>
    <row r="2486" spans="1:15" ht="72" customHeight="1" x14ac:dyDescent="0.3">
      <c r="A2486" s="139">
        <v>2455</v>
      </c>
      <c r="B2486" s="246" t="s">
        <v>21981</v>
      </c>
      <c r="C2486" s="245" t="s">
        <v>21007</v>
      </c>
      <c r="D2486" s="207"/>
      <c r="E2486" s="207"/>
      <c r="F2486" s="73"/>
      <c r="G2486" s="73"/>
      <c r="H2486" s="207"/>
      <c r="I2486" s="207" t="s">
        <v>12545</v>
      </c>
      <c r="J2486" s="66" t="s">
        <v>12548</v>
      </c>
      <c r="K2486" s="207"/>
      <c r="L2486" s="66"/>
      <c r="M2486" s="201" t="s">
        <v>12550</v>
      </c>
      <c r="N2486" s="207"/>
      <c r="O2486" s="38"/>
    </row>
    <row r="2487" spans="1:15" ht="72" customHeight="1" x14ac:dyDescent="0.3">
      <c r="A2487" s="139">
        <v>2456</v>
      </c>
      <c r="B2487" s="246" t="s">
        <v>21982</v>
      </c>
      <c r="C2487" s="245" t="s">
        <v>15522</v>
      </c>
      <c r="D2487" s="207"/>
      <c r="E2487" s="207"/>
      <c r="F2487" s="73"/>
      <c r="G2487" s="73"/>
      <c r="H2487" s="207"/>
      <c r="I2487" s="207" t="s">
        <v>12545</v>
      </c>
      <c r="J2487" s="66" t="s">
        <v>12548</v>
      </c>
      <c r="K2487" s="207" t="s">
        <v>21482</v>
      </c>
      <c r="L2487" s="66" t="s">
        <v>21483</v>
      </c>
      <c r="M2487" s="201" t="s">
        <v>12550</v>
      </c>
      <c r="N2487" s="207"/>
      <c r="O2487" s="38" t="s">
        <v>21484</v>
      </c>
    </row>
    <row r="2488" spans="1:15" ht="72" customHeight="1" x14ac:dyDescent="0.3">
      <c r="A2488" s="139">
        <v>2457</v>
      </c>
      <c r="B2488" s="246" t="s">
        <v>21983</v>
      </c>
      <c r="C2488" s="245" t="s">
        <v>15523</v>
      </c>
      <c r="D2488" s="207"/>
      <c r="E2488" s="207"/>
      <c r="F2488" s="73"/>
      <c r="G2488" s="73"/>
      <c r="H2488" s="207"/>
      <c r="I2488" s="207" t="s">
        <v>12545</v>
      </c>
      <c r="J2488" s="66" t="s">
        <v>12548</v>
      </c>
      <c r="K2488" s="207"/>
      <c r="L2488" s="66"/>
      <c r="M2488" s="201" t="s">
        <v>12550</v>
      </c>
      <c r="N2488" s="207"/>
      <c r="O2488" s="38"/>
    </row>
    <row r="2489" spans="1:15" ht="72" customHeight="1" x14ac:dyDescent="0.3">
      <c r="A2489" s="139">
        <v>2458</v>
      </c>
      <c r="B2489" s="246" t="s">
        <v>21984</v>
      </c>
      <c r="C2489" s="245" t="s">
        <v>15570</v>
      </c>
      <c r="D2489" s="207"/>
      <c r="E2489" s="207"/>
      <c r="F2489" s="73"/>
      <c r="G2489" s="73"/>
      <c r="H2489" s="207"/>
      <c r="I2489" s="207" t="s">
        <v>12545</v>
      </c>
      <c r="J2489" s="66" t="s">
        <v>12548</v>
      </c>
      <c r="K2489" s="207" t="s">
        <v>21482</v>
      </c>
      <c r="L2489" s="66" t="s">
        <v>21483</v>
      </c>
      <c r="M2489" s="201" t="s">
        <v>12550</v>
      </c>
      <c r="N2489" s="207"/>
      <c r="O2489" s="38" t="s">
        <v>21481</v>
      </c>
    </row>
    <row r="2490" spans="1:15" ht="72" customHeight="1" x14ac:dyDescent="0.3">
      <c r="A2490" s="139">
        <v>2459</v>
      </c>
      <c r="B2490" s="246" t="s">
        <v>21985</v>
      </c>
      <c r="C2490" s="245" t="s">
        <v>15528</v>
      </c>
      <c r="D2490" s="207"/>
      <c r="E2490" s="207"/>
      <c r="F2490" s="73"/>
      <c r="G2490" s="73"/>
      <c r="H2490" s="207"/>
      <c r="I2490" s="207" t="s">
        <v>12545</v>
      </c>
      <c r="J2490" s="66" t="s">
        <v>12548</v>
      </c>
      <c r="K2490" s="207"/>
      <c r="L2490" s="66"/>
      <c r="M2490" s="201" t="s">
        <v>12550</v>
      </c>
      <c r="N2490" s="207"/>
      <c r="O2490" s="38"/>
    </row>
    <row r="2491" spans="1:15" ht="72" customHeight="1" x14ac:dyDescent="0.3">
      <c r="A2491" s="139">
        <v>2460</v>
      </c>
      <c r="B2491" s="246" t="s">
        <v>22068</v>
      </c>
      <c r="C2491" s="245" t="s">
        <v>15526</v>
      </c>
      <c r="D2491" s="207"/>
      <c r="E2491" s="207"/>
      <c r="F2491" s="73"/>
      <c r="G2491" s="73"/>
      <c r="H2491" s="207"/>
      <c r="I2491" s="207" t="s">
        <v>12545</v>
      </c>
      <c r="J2491" s="66" t="s">
        <v>12548</v>
      </c>
      <c r="K2491" s="242" t="s">
        <v>22180</v>
      </c>
      <c r="L2491" s="66" t="s">
        <v>22181</v>
      </c>
      <c r="M2491" s="201" t="s">
        <v>12550</v>
      </c>
      <c r="N2491" s="207"/>
      <c r="O2491" s="38" t="s">
        <v>22182</v>
      </c>
    </row>
    <row r="2492" spans="1:15" ht="72" customHeight="1" x14ac:dyDescent="0.3">
      <c r="A2492" s="139">
        <v>2461</v>
      </c>
      <c r="B2492" s="246" t="s">
        <v>21986</v>
      </c>
      <c r="C2492" s="245" t="s">
        <v>21008</v>
      </c>
      <c r="D2492" s="207"/>
      <c r="E2492" s="207"/>
      <c r="F2492" s="73"/>
      <c r="G2492" s="73"/>
      <c r="H2492" s="207"/>
      <c r="I2492" s="207" t="s">
        <v>12545</v>
      </c>
      <c r="J2492" s="66" t="s">
        <v>12548</v>
      </c>
      <c r="K2492" s="207"/>
      <c r="L2492" s="66"/>
      <c r="M2492" s="201" t="s">
        <v>12550</v>
      </c>
      <c r="N2492" s="207"/>
      <c r="O2492" s="38"/>
    </row>
    <row r="2493" spans="1:15" ht="72" customHeight="1" x14ac:dyDescent="0.3">
      <c r="A2493" s="139">
        <v>2462</v>
      </c>
      <c r="B2493" s="246" t="s">
        <v>15589</v>
      </c>
      <c r="C2493" s="245" t="s">
        <v>21009</v>
      </c>
      <c r="D2493" s="207"/>
      <c r="E2493" s="207"/>
      <c r="F2493" s="73"/>
      <c r="G2493" s="73"/>
      <c r="H2493" s="207"/>
      <c r="I2493" s="207" t="s">
        <v>12545</v>
      </c>
      <c r="J2493" s="66" t="s">
        <v>12548</v>
      </c>
      <c r="K2493" s="207"/>
      <c r="L2493" s="66"/>
      <c r="M2493" s="201" t="s">
        <v>12550</v>
      </c>
      <c r="N2493" s="207"/>
      <c r="O2493" s="38"/>
    </row>
    <row r="2494" spans="1:15" ht="72" customHeight="1" x14ac:dyDescent="0.3">
      <c r="A2494" s="139">
        <v>2463</v>
      </c>
      <c r="B2494" s="246" t="s">
        <v>23804</v>
      </c>
      <c r="C2494" s="245" t="s">
        <v>21010</v>
      </c>
      <c r="D2494" s="207"/>
      <c r="E2494" s="207"/>
      <c r="F2494" s="73"/>
      <c r="G2494" s="73"/>
      <c r="H2494" s="207"/>
      <c r="I2494" s="207" t="s">
        <v>12545</v>
      </c>
      <c r="J2494" s="66" t="s">
        <v>12548</v>
      </c>
      <c r="K2494" s="207"/>
      <c r="L2494" s="66"/>
      <c r="M2494" s="201" t="s">
        <v>12550</v>
      </c>
      <c r="N2494" s="207"/>
      <c r="O2494" s="38"/>
    </row>
    <row r="2495" spans="1:15" ht="72" customHeight="1" x14ac:dyDescent="0.3">
      <c r="A2495" s="139">
        <v>2464</v>
      </c>
      <c r="B2495" s="246" t="s">
        <v>15587</v>
      </c>
      <c r="C2495" s="245" t="s">
        <v>22026</v>
      </c>
      <c r="D2495" s="207"/>
      <c r="E2495" s="207"/>
      <c r="F2495" s="73"/>
      <c r="G2495" s="73"/>
      <c r="H2495" s="207"/>
      <c r="I2495" s="207" t="s">
        <v>12545</v>
      </c>
      <c r="J2495" s="66" t="s">
        <v>12548</v>
      </c>
      <c r="K2495" s="207"/>
      <c r="L2495" s="66"/>
      <c r="M2495" s="201" t="s">
        <v>12550</v>
      </c>
      <c r="N2495" s="207"/>
      <c r="O2495" s="38" t="s">
        <v>22187</v>
      </c>
    </row>
    <row r="2496" spans="1:15" ht="72" customHeight="1" x14ac:dyDescent="0.3">
      <c r="A2496" s="139">
        <v>2465</v>
      </c>
      <c r="B2496" s="246" t="s">
        <v>15571</v>
      </c>
      <c r="C2496" s="245" t="s">
        <v>15524</v>
      </c>
      <c r="D2496" s="207"/>
      <c r="E2496" s="207"/>
      <c r="F2496" s="73"/>
      <c r="G2496" s="73"/>
      <c r="H2496" s="207"/>
      <c r="I2496" s="207" t="s">
        <v>12545</v>
      </c>
      <c r="J2496" s="66" t="s">
        <v>12548</v>
      </c>
      <c r="K2496" s="207"/>
      <c r="L2496" s="66"/>
      <c r="M2496" s="201" t="s">
        <v>12550</v>
      </c>
      <c r="N2496" s="207"/>
      <c r="O2496" s="38"/>
    </row>
    <row r="2497" spans="1:15" ht="72" customHeight="1" x14ac:dyDescent="0.3">
      <c r="A2497" s="139">
        <v>2466</v>
      </c>
      <c r="B2497" s="246" t="s">
        <v>21987</v>
      </c>
      <c r="C2497" s="245" t="s">
        <v>15525</v>
      </c>
      <c r="D2497" s="207"/>
      <c r="E2497" s="207"/>
      <c r="F2497" s="73"/>
      <c r="G2497" s="73"/>
      <c r="H2497" s="207"/>
      <c r="I2497" s="207" t="s">
        <v>12545</v>
      </c>
      <c r="J2497" s="66" t="s">
        <v>12548</v>
      </c>
      <c r="K2497" s="207"/>
      <c r="L2497" s="66"/>
      <c r="M2497" s="201" t="s">
        <v>12550</v>
      </c>
      <c r="N2497" s="207"/>
      <c r="O2497" s="38" t="s">
        <v>22196</v>
      </c>
    </row>
    <row r="2498" spans="1:15" ht="72" customHeight="1" x14ac:dyDescent="0.3">
      <c r="A2498" s="139">
        <v>2467</v>
      </c>
      <c r="B2498" s="246" t="s">
        <v>21988</v>
      </c>
      <c r="C2498" s="245" t="s">
        <v>15529</v>
      </c>
      <c r="D2498" s="207"/>
      <c r="E2498" s="207"/>
      <c r="F2498" s="73"/>
      <c r="G2498" s="73"/>
      <c r="H2498" s="207"/>
      <c r="I2498" s="207" t="s">
        <v>12545</v>
      </c>
      <c r="J2498" s="66" t="s">
        <v>12548</v>
      </c>
      <c r="K2498" s="207"/>
      <c r="L2498" s="66"/>
      <c r="M2498" s="201" t="s">
        <v>12550</v>
      </c>
      <c r="N2498" s="207"/>
      <c r="O2498" s="38"/>
    </row>
    <row r="2499" spans="1:15" ht="72" customHeight="1" x14ac:dyDescent="0.3">
      <c r="A2499" s="139">
        <v>2468</v>
      </c>
      <c r="B2499" s="246" t="s">
        <v>22027</v>
      </c>
      <c r="C2499" s="245" t="s">
        <v>22028</v>
      </c>
      <c r="D2499" s="207"/>
      <c r="E2499" s="207"/>
      <c r="F2499" s="73"/>
      <c r="G2499" s="73"/>
      <c r="H2499" s="207"/>
      <c r="I2499" s="207" t="s">
        <v>12545</v>
      </c>
      <c r="J2499" s="66" t="s">
        <v>12548</v>
      </c>
      <c r="K2499" s="207"/>
      <c r="L2499" s="66"/>
      <c r="M2499" s="201" t="s">
        <v>12550</v>
      </c>
      <c r="N2499" s="207"/>
      <c r="O2499" s="38" t="s">
        <v>22187</v>
      </c>
    </row>
    <row r="2500" spans="1:15" ht="72" customHeight="1" x14ac:dyDescent="0.3">
      <c r="A2500" s="139">
        <v>2469</v>
      </c>
      <c r="B2500" s="246" t="s">
        <v>21989</v>
      </c>
      <c r="C2500" s="245" t="s">
        <v>15530</v>
      </c>
      <c r="D2500" s="207"/>
      <c r="E2500" s="207"/>
      <c r="F2500" s="73"/>
      <c r="G2500" s="73"/>
      <c r="H2500" s="207"/>
      <c r="I2500" s="207" t="s">
        <v>12545</v>
      </c>
      <c r="J2500" s="66" t="s">
        <v>12548</v>
      </c>
      <c r="K2500" s="207" t="s">
        <v>21482</v>
      </c>
      <c r="L2500" s="66" t="s">
        <v>21483</v>
      </c>
      <c r="M2500" s="201" t="s">
        <v>12550</v>
      </c>
      <c r="N2500" s="207"/>
      <c r="O2500" s="38" t="s">
        <v>21481</v>
      </c>
    </row>
    <row r="2501" spans="1:15" ht="72" customHeight="1" x14ac:dyDescent="0.3">
      <c r="A2501" s="139">
        <v>2470</v>
      </c>
      <c r="B2501" s="246" t="s">
        <v>21990</v>
      </c>
      <c r="C2501" s="245" t="s">
        <v>15531</v>
      </c>
      <c r="D2501" s="207"/>
      <c r="E2501" s="207"/>
      <c r="F2501" s="73"/>
      <c r="G2501" s="73"/>
      <c r="H2501" s="207"/>
      <c r="I2501" s="207" t="s">
        <v>12545</v>
      </c>
      <c r="J2501" s="66" t="s">
        <v>12548</v>
      </c>
      <c r="K2501" s="207" t="s">
        <v>21482</v>
      </c>
      <c r="L2501" s="66" t="s">
        <v>21483</v>
      </c>
      <c r="M2501" s="201" t="s">
        <v>12550</v>
      </c>
      <c r="N2501" s="207"/>
      <c r="O2501" s="38" t="s">
        <v>21481</v>
      </c>
    </row>
    <row r="2502" spans="1:15" ht="72" customHeight="1" x14ac:dyDescent="0.3">
      <c r="A2502" s="139">
        <v>2471</v>
      </c>
      <c r="B2502" s="246" t="s">
        <v>21991</v>
      </c>
      <c r="C2502" s="245" t="s">
        <v>15532</v>
      </c>
      <c r="D2502" s="207"/>
      <c r="E2502" s="207"/>
      <c r="F2502" s="73"/>
      <c r="G2502" s="73"/>
      <c r="H2502" s="207"/>
      <c r="I2502" s="207" t="s">
        <v>12545</v>
      </c>
      <c r="J2502" s="66" t="s">
        <v>12548</v>
      </c>
      <c r="K2502" s="207" t="s">
        <v>21482</v>
      </c>
      <c r="L2502" s="66" t="s">
        <v>21483</v>
      </c>
      <c r="M2502" s="201" t="s">
        <v>12550</v>
      </c>
      <c r="N2502" s="207"/>
      <c r="O2502" s="38" t="s">
        <v>21481</v>
      </c>
    </row>
    <row r="2503" spans="1:15" ht="72" customHeight="1" x14ac:dyDescent="0.3">
      <c r="A2503" s="139">
        <v>2472</v>
      </c>
      <c r="B2503" s="246" t="s">
        <v>21992</v>
      </c>
      <c r="C2503" s="245" t="s">
        <v>15533</v>
      </c>
      <c r="D2503" s="207"/>
      <c r="E2503" s="207"/>
      <c r="F2503" s="73"/>
      <c r="G2503" s="73"/>
      <c r="H2503" s="207"/>
      <c r="I2503" s="207" t="s">
        <v>12545</v>
      </c>
      <c r="J2503" s="66" t="s">
        <v>12548</v>
      </c>
      <c r="K2503" s="207" t="s">
        <v>21482</v>
      </c>
      <c r="L2503" s="66" t="s">
        <v>21483</v>
      </c>
      <c r="M2503" s="201" t="s">
        <v>12550</v>
      </c>
      <c r="N2503" s="207"/>
      <c r="O2503" s="38" t="s">
        <v>21481</v>
      </c>
    </row>
    <row r="2504" spans="1:15" ht="72" customHeight="1" x14ac:dyDescent="0.3">
      <c r="A2504" s="139">
        <v>2473</v>
      </c>
      <c r="B2504" s="246" t="s">
        <v>21993</v>
      </c>
      <c r="C2504" s="245" t="s">
        <v>15534</v>
      </c>
      <c r="D2504" s="207"/>
      <c r="E2504" s="207"/>
      <c r="F2504" s="73"/>
      <c r="G2504" s="73"/>
      <c r="H2504" s="207"/>
      <c r="I2504" s="207" t="s">
        <v>12545</v>
      </c>
      <c r="J2504" s="66" t="s">
        <v>12548</v>
      </c>
      <c r="K2504" s="207" t="s">
        <v>21482</v>
      </c>
      <c r="L2504" s="66" t="s">
        <v>21483</v>
      </c>
      <c r="M2504" s="201" t="s">
        <v>12550</v>
      </c>
      <c r="N2504" s="207"/>
      <c r="O2504" s="38" t="s">
        <v>21481</v>
      </c>
    </row>
    <row r="2505" spans="1:15" ht="72" customHeight="1" x14ac:dyDescent="0.3">
      <c r="A2505" s="139">
        <v>2474</v>
      </c>
      <c r="B2505" s="246" t="s">
        <v>21971</v>
      </c>
      <c r="C2505" s="245" t="s">
        <v>21965</v>
      </c>
      <c r="D2505" s="207"/>
      <c r="E2505" s="207"/>
      <c r="F2505" s="73"/>
      <c r="G2505" s="73"/>
      <c r="H2505" s="207"/>
      <c r="I2505" s="207" t="s">
        <v>12545</v>
      </c>
      <c r="J2505" s="66" t="s">
        <v>12548</v>
      </c>
      <c r="K2505" s="207"/>
      <c r="L2505" s="66"/>
      <c r="M2505" s="201" t="s">
        <v>12550</v>
      </c>
      <c r="N2505" s="207"/>
      <c r="O2505" s="38" t="s">
        <v>22195</v>
      </c>
    </row>
    <row r="2506" spans="1:15" ht="72" customHeight="1" x14ac:dyDescent="0.3">
      <c r="A2506" s="139">
        <v>2475</v>
      </c>
      <c r="B2506" s="246" t="s">
        <v>21970</v>
      </c>
      <c r="C2506" s="245" t="s">
        <v>15535</v>
      </c>
      <c r="D2506" s="207"/>
      <c r="E2506" s="207"/>
      <c r="F2506" s="73"/>
      <c r="G2506" s="73"/>
      <c r="H2506" s="207"/>
      <c r="I2506" s="207" t="s">
        <v>12545</v>
      </c>
      <c r="J2506" s="66" t="s">
        <v>12548</v>
      </c>
      <c r="K2506" s="207" t="s">
        <v>21482</v>
      </c>
      <c r="L2506" s="66" t="s">
        <v>21483</v>
      </c>
      <c r="M2506" s="201" t="s">
        <v>12550</v>
      </c>
      <c r="N2506" s="207"/>
      <c r="O2506" s="38" t="s">
        <v>21481</v>
      </c>
    </row>
    <row r="2507" spans="1:15" ht="72" customHeight="1" x14ac:dyDescent="0.3">
      <c r="A2507" s="139">
        <v>2476</v>
      </c>
      <c r="B2507" s="246" t="s">
        <v>21969</v>
      </c>
      <c r="C2507" s="245" t="s">
        <v>21966</v>
      </c>
      <c r="D2507" s="207"/>
      <c r="E2507" s="207"/>
      <c r="F2507" s="73"/>
      <c r="G2507" s="73"/>
      <c r="H2507" s="207"/>
      <c r="I2507" s="207" t="s">
        <v>12545</v>
      </c>
      <c r="J2507" s="66" t="s">
        <v>12548</v>
      </c>
      <c r="K2507" s="207"/>
      <c r="L2507" s="66"/>
      <c r="M2507" s="201" t="s">
        <v>12550</v>
      </c>
      <c r="N2507" s="207"/>
      <c r="O2507" s="38" t="s">
        <v>22195</v>
      </c>
    </row>
    <row r="2508" spans="1:15" ht="72" customHeight="1" x14ac:dyDescent="0.3">
      <c r="A2508" s="139">
        <v>2477</v>
      </c>
      <c r="B2508" s="246" t="s">
        <v>21968</v>
      </c>
      <c r="C2508" s="245" t="s">
        <v>15536</v>
      </c>
      <c r="D2508" s="207"/>
      <c r="E2508" s="207"/>
      <c r="F2508" s="73"/>
      <c r="G2508" s="73"/>
      <c r="H2508" s="207"/>
      <c r="I2508" s="207" t="s">
        <v>12545</v>
      </c>
      <c r="J2508" s="66" t="s">
        <v>12548</v>
      </c>
      <c r="K2508" s="207" t="s">
        <v>21482</v>
      </c>
      <c r="L2508" s="66" t="s">
        <v>21483</v>
      </c>
      <c r="M2508" s="201" t="s">
        <v>12550</v>
      </c>
      <c r="N2508" s="207"/>
      <c r="O2508" s="38" t="s">
        <v>21481</v>
      </c>
    </row>
    <row r="2509" spans="1:15" ht="72" customHeight="1" x14ac:dyDescent="0.3">
      <c r="A2509" s="139">
        <v>2478</v>
      </c>
      <c r="B2509" s="246" t="s">
        <v>21967</v>
      </c>
      <c r="C2509" s="245" t="s">
        <v>15538</v>
      </c>
      <c r="D2509" s="207"/>
      <c r="E2509" s="207"/>
      <c r="F2509" s="73"/>
      <c r="G2509" s="73"/>
      <c r="H2509" s="207"/>
      <c r="I2509" s="207" t="s">
        <v>12545</v>
      </c>
      <c r="J2509" s="66" t="s">
        <v>12548</v>
      </c>
      <c r="K2509" s="207"/>
      <c r="L2509" s="66"/>
      <c r="M2509" s="201" t="s">
        <v>12550</v>
      </c>
      <c r="N2509" s="207"/>
      <c r="O2509" s="38" t="s">
        <v>22196</v>
      </c>
    </row>
    <row r="2510" spans="1:15" ht="72" customHeight="1" x14ac:dyDescent="0.3">
      <c r="A2510" s="139">
        <v>2479</v>
      </c>
      <c r="B2510" s="246" t="s">
        <v>15590</v>
      </c>
      <c r="C2510" s="245" t="s">
        <v>15537</v>
      </c>
      <c r="D2510" s="207"/>
      <c r="E2510" s="207"/>
      <c r="F2510" s="73"/>
      <c r="G2510" s="73"/>
      <c r="H2510" s="207"/>
      <c r="I2510" s="207" t="s">
        <v>12545</v>
      </c>
      <c r="J2510" s="66" t="s">
        <v>12548</v>
      </c>
      <c r="K2510" s="207" t="s">
        <v>21482</v>
      </c>
      <c r="L2510" s="66" t="s">
        <v>21483</v>
      </c>
      <c r="M2510" s="201" t="s">
        <v>12550</v>
      </c>
      <c r="N2510" s="207"/>
      <c r="O2510" s="38" t="s">
        <v>21481</v>
      </c>
    </row>
    <row r="2511" spans="1:15" ht="72" customHeight="1" x14ac:dyDescent="0.3">
      <c r="A2511" s="139">
        <v>2480</v>
      </c>
      <c r="B2511" s="246" t="s">
        <v>15591</v>
      </c>
      <c r="C2511" s="245" t="s">
        <v>21012</v>
      </c>
      <c r="D2511" s="207"/>
      <c r="E2511" s="207"/>
      <c r="F2511" s="73"/>
      <c r="G2511" s="73"/>
      <c r="H2511" s="207"/>
      <c r="I2511" s="207" t="s">
        <v>12545</v>
      </c>
      <c r="J2511" s="66" t="s">
        <v>12548</v>
      </c>
      <c r="K2511" s="207"/>
      <c r="L2511" s="66"/>
      <c r="M2511" s="201" t="s">
        <v>12550</v>
      </c>
      <c r="N2511" s="207"/>
      <c r="O2511" s="38"/>
    </row>
    <row r="2512" spans="1:15" ht="72" customHeight="1" x14ac:dyDescent="0.3">
      <c r="A2512" s="139">
        <v>2481</v>
      </c>
      <c r="B2512" s="246" t="s">
        <v>15592</v>
      </c>
      <c r="C2512" s="245" t="s">
        <v>21013</v>
      </c>
      <c r="D2512" s="207"/>
      <c r="E2512" s="207"/>
      <c r="F2512" s="73"/>
      <c r="G2512" s="73"/>
      <c r="H2512" s="207"/>
      <c r="I2512" s="207" t="s">
        <v>12545</v>
      </c>
      <c r="J2512" s="66" t="s">
        <v>12548</v>
      </c>
      <c r="K2512" s="207"/>
      <c r="L2512" s="66"/>
      <c r="M2512" s="201" t="s">
        <v>12550</v>
      </c>
      <c r="N2512" s="207"/>
      <c r="O2512" s="38"/>
    </row>
    <row r="2513" spans="1:15" ht="72" customHeight="1" x14ac:dyDescent="0.3">
      <c r="A2513" s="139">
        <v>2482</v>
      </c>
      <c r="B2513" s="246" t="s">
        <v>15593</v>
      </c>
      <c r="C2513" s="245" t="s">
        <v>21994</v>
      </c>
      <c r="D2513" s="207"/>
      <c r="E2513" s="207"/>
      <c r="F2513" s="73"/>
      <c r="G2513" s="73"/>
      <c r="H2513" s="207"/>
      <c r="I2513" s="207" t="s">
        <v>12545</v>
      </c>
      <c r="J2513" s="66" t="s">
        <v>12548</v>
      </c>
      <c r="K2513" s="207"/>
      <c r="L2513" s="66"/>
      <c r="M2513" s="201" t="s">
        <v>12550</v>
      </c>
      <c r="N2513" s="207"/>
      <c r="O2513" s="38" t="s">
        <v>22195</v>
      </c>
    </row>
    <row r="2514" spans="1:15" ht="72" customHeight="1" x14ac:dyDescent="0.3">
      <c r="A2514" s="139">
        <v>2483</v>
      </c>
      <c r="B2514" s="246" t="s">
        <v>15594</v>
      </c>
      <c r="C2514" s="245" t="s">
        <v>15539</v>
      </c>
      <c r="D2514" s="207"/>
      <c r="E2514" s="207"/>
      <c r="F2514" s="73"/>
      <c r="G2514" s="73"/>
      <c r="H2514" s="207"/>
      <c r="I2514" s="207" t="s">
        <v>12545</v>
      </c>
      <c r="J2514" s="66" t="s">
        <v>12548</v>
      </c>
      <c r="K2514" s="207"/>
      <c r="L2514" s="66"/>
      <c r="M2514" s="201" t="s">
        <v>12550</v>
      </c>
      <c r="N2514" s="207"/>
      <c r="O2514" s="38"/>
    </row>
    <row r="2515" spans="1:15" ht="72" customHeight="1" x14ac:dyDescent="0.3">
      <c r="A2515" s="139">
        <v>2484</v>
      </c>
      <c r="B2515" s="246" t="s">
        <v>15595</v>
      </c>
      <c r="C2515" s="245" t="s">
        <v>15540</v>
      </c>
      <c r="D2515" s="207"/>
      <c r="E2515" s="207"/>
      <c r="F2515" s="73"/>
      <c r="G2515" s="73"/>
      <c r="H2515" s="207"/>
      <c r="I2515" s="207" t="s">
        <v>12545</v>
      </c>
      <c r="J2515" s="66" t="s">
        <v>12548</v>
      </c>
      <c r="K2515" s="207" t="s">
        <v>21482</v>
      </c>
      <c r="L2515" s="66" t="s">
        <v>21483</v>
      </c>
      <c r="M2515" s="201" t="s">
        <v>12550</v>
      </c>
      <c r="N2515" s="207"/>
      <c r="O2515" s="38" t="s">
        <v>21481</v>
      </c>
    </row>
    <row r="2516" spans="1:15" ht="72" customHeight="1" x14ac:dyDescent="0.3">
      <c r="A2516" s="139">
        <v>2485</v>
      </c>
      <c r="B2516" s="246" t="s">
        <v>21995</v>
      </c>
      <c r="C2516" s="245" t="s">
        <v>15541</v>
      </c>
      <c r="D2516" s="207"/>
      <c r="E2516" s="207"/>
      <c r="F2516" s="73"/>
      <c r="G2516" s="73"/>
      <c r="H2516" s="207"/>
      <c r="I2516" s="207" t="s">
        <v>12545</v>
      </c>
      <c r="J2516" s="66" t="s">
        <v>12548</v>
      </c>
      <c r="K2516" s="207"/>
      <c r="L2516" s="66"/>
      <c r="M2516" s="201" t="s">
        <v>12550</v>
      </c>
      <c r="N2516" s="207"/>
      <c r="O2516" s="38" t="s">
        <v>22196</v>
      </c>
    </row>
    <row r="2517" spans="1:15" ht="72" customHeight="1" x14ac:dyDescent="0.3">
      <c r="A2517" s="139">
        <v>2486</v>
      </c>
      <c r="B2517" s="246" t="s">
        <v>15596</v>
      </c>
      <c r="C2517" s="245" t="s">
        <v>21014</v>
      </c>
      <c r="D2517" s="207"/>
      <c r="E2517" s="207"/>
      <c r="F2517" s="73"/>
      <c r="G2517" s="73"/>
      <c r="H2517" s="207"/>
      <c r="I2517" s="207" t="s">
        <v>12545</v>
      </c>
      <c r="J2517" s="66" t="s">
        <v>12548</v>
      </c>
      <c r="K2517" s="207"/>
      <c r="L2517" s="66"/>
      <c r="M2517" s="201" t="s">
        <v>12550</v>
      </c>
      <c r="N2517" s="207"/>
      <c r="O2517" s="38"/>
    </row>
    <row r="2518" spans="1:15" ht="72" customHeight="1" x14ac:dyDescent="0.3">
      <c r="A2518" s="139">
        <v>2487</v>
      </c>
      <c r="B2518" s="246" t="s">
        <v>15597</v>
      </c>
      <c r="C2518" s="245" t="s">
        <v>15542</v>
      </c>
      <c r="D2518" s="207"/>
      <c r="E2518" s="207"/>
      <c r="F2518" s="73"/>
      <c r="G2518" s="73"/>
      <c r="H2518" s="207"/>
      <c r="I2518" s="207" t="s">
        <v>12545</v>
      </c>
      <c r="J2518" s="66" t="s">
        <v>12548</v>
      </c>
      <c r="K2518" s="207"/>
      <c r="L2518" s="66"/>
      <c r="M2518" s="201" t="s">
        <v>12550</v>
      </c>
      <c r="N2518" s="207"/>
      <c r="O2518" s="38"/>
    </row>
    <row r="2519" spans="1:15" ht="72" customHeight="1" x14ac:dyDescent="0.3">
      <c r="A2519" s="139">
        <v>2488</v>
      </c>
      <c r="B2519" s="246" t="s">
        <v>15598</v>
      </c>
      <c r="C2519" s="245" t="s">
        <v>15543</v>
      </c>
      <c r="D2519" s="207"/>
      <c r="E2519" s="207"/>
      <c r="F2519" s="73"/>
      <c r="G2519" s="73"/>
      <c r="H2519" s="207"/>
      <c r="I2519" s="207" t="s">
        <v>12545</v>
      </c>
      <c r="J2519" s="66" t="s">
        <v>12548</v>
      </c>
      <c r="K2519" s="207" t="s">
        <v>21482</v>
      </c>
      <c r="L2519" s="66" t="s">
        <v>21483</v>
      </c>
      <c r="M2519" s="201" t="s">
        <v>12550</v>
      </c>
      <c r="N2519" s="207"/>
      <c r="O2519" s="38" t="s">
        <v>21481</v>
      </c>
    </row>
    <row r="2520" spans="1:15" ht="72" customHeight="1" x14ac:dyDescent="0.3">
      <c r="A2520" s="139">
        <v>2489</v>
      </c>
      <c r="B2520" s="246" t="s">
        <v>15599</v>
      </c>
      <c r="C2520" s="245" t="s">
        <v>15544</v>
      </c>
      <c r="D2520" s="207"/>
      <c r="E2520" s="207"/>
      <c r="F2520" s="73"/>
      <c r="G2520" s="73"/>
      <c r="H2520" s="207"/>
      <c r="I2520" s="207" t="s">
        <v>12545</v>
      </c>
      <c r="J2520" s="66" t="s">
        <v>12548</v>
      </c>
      <c r="K2520" s="207" t="s">
        <v>21482</v>
      </c>
      <c r="L2520" s="66" t="s">
        <v>21483</v>
      </c>
      <c r="M2520" s="201" t="s">
        <v>12550</v>
      </c>
      <c r="N2520" s="207"/>
      <c r="O2520" s="38" t="s">
        <v>21481</v>
      </c>
    </row>
    <row r="2521" spans="1:15" ht="72" customHeight="1" x14ac:dyDescent="0.3">
      <c r="A2521" s="139">
        <v>2490</v>
      </c>
      <c r="B2521" s="246" t="s">
        <v>15600</v>
      </c>
      <c r="C2521" s="245" t="s">
        <v>15545</v>
      </c>
      <c r="D2521" s="207"/>
      <c r="E2521" s="207"/>
      <c r="F2521" s="73"/>
      <c r="G2521" s="73"/>
      <c r="H2521" s="207"/>
      <c r="I2521" s="207" t="s">
        <v>12545</v>
      </c>
      <c r="J2521" s="66" t="s">
        <v>12548</v>
      </c>
      <c r="K2521" s="207" t="s">
        <v>21482</v>
      </c>
      <c r="L2521" s="66" t="s">
        <v>21483</v>
      </c>
      <c r="M2521" s="201" t="s">
        <v>12550</v>
      </c>
      <c r="N2521" s="207"/>
      <c r="O2521" s="38" t="s">
        <v>21481</v>
      </c>
    </row>
    <row r="2522" spans="1:15" ht="72" customHeight="1" x14ac:dyDescent="0.3">
      <c r="A2522" s="139">
        <v>2491</v>
      </c>
      <c r="B2522" s="246" t="s">
        <v>15572</v>
      </c>
      <c r="C2522" s="245" t="s">
        <v>15546</v>
      </c>
      <c r="D2522" s="207"/>
      <c r="E2522" s="207"/>
      <c r="F2522" s="73"/>
      <c r="G2522" s="73"/>
      <c r="H2522" s="207"/>
      <c r="I2522" s="207" t="s">
        <v>12545</v>
      </c>
      <c r="J2522" s="66" t="s">
        <v>12548</v>
      </c>
      <c r="K2522" s="207" t="s">
        <v>21482</v>
      </c>
      <c r="L2522" s="66" t="s">
        <v>21483</v>
      </c>
      <c r="M2522" s="201" t="s">
        <v>12550</v>
      </c>
      <c r="N2522" s="207"/>
      <c r="O2522" s="38" t="s">
        <v>21481</v>
      </c>
    </row>
    <row r="2523" spans="1:15" ht="72" customHeight="1" x14ac:dyDescent="0.3">
      <c r="A2523" s="139">
        <v>2492</v>
      </c>
      <c r="B2523" s="246" t="s">
        <v>23803</v>
      </c>
      <c r="C2523" s="245" t="s">
        <v>15547</v>
      </c>
      <c r="D2523" s="207"/>
      <c r="E2523" s="207"/>
      <c r="F2523" s="73"/>
      <c r="G2523" s="73"/>
      <c r="H2523" s="207"/>
      <c r="I2523" s="207" t="s">
        <v>12545</v>
      </c>
      <c r="J2523" s="66" t="s">
        <v>12548</v>
      </c>
      <c r="K2523" s="207" t="s">
        <v>21482</v>
      </c>
      <c r="L2523" s="66" t="s">
        <v>21483</v>
      </c>
      <c r="M2523" s="201" t="s">
        <v>12550</v>
      </c>
      <c r="N2523" s="207"/>
      <c r="O2523" s="38" t="s">
        <v>21481</v>
      </c>
    </row>
    <row r="2524" spans="1:15" ht="72" customHeight="1" x14ac:dyDescent="0.3">
      <c r="A2524" s="139">
        <v>2493</v>
      </c>
      <c r="B2524" s="246" t="s">
        <v>21997</v>
      </c>
      <c r="C2524" s="245" t="s">
        <v>21996</v>
      </c>
      <c r="D2524" s="207"/>
      <c r="E2524" s="207"/>
      <c r="F2524" s="73"/>
      <c r="G2524" s="73"/>
      <c r="H2524" s="207"/>
      <c r="I2524" s="207" t="s">
        <v>12545</v>
      </c>
      <c r="J2524" s="66" t="s">
        <v>12548</v>
      </c>
      <c r="K2524" s="207"/>
      <c r="L2524" s="66"/>
      <c r="M2524" s="201" t="s">
        <v>12550</v>
      </c>
      <c r="N2524" s="207"/>
      <c r="O2524" s="38" t="s">
        <v>22197</v>
      </c>
    </row>
    <row r="2525" spans="1:15" ht="72" customHeight="1" x14ac:dyDescent="0.3">
      <c r="A2525" s="139">
        <v>2494</v>
      </c>
      <c r="B2525" s="246" t="s">
        <v>15601</v>
      </c>
      <c r="C2525" s="245" t="s">
        <v>15548</v>
      </c>
      <c r="D2525" s="207"/>
      <c r="E2525" s="207"/>
      <c r="F2525" s="73"/>
      <c r="G2525" s="73"/>
      <c r="H2525" s="207"/>
      <c r="I2525" s="207" t="s">
        <v>12545</v>
      </c>
      <c r="J2525" s="66" t="s">
        <v>12548</v>
      </c>
      <c r="K2525" s="207"/>
      <c r="L2525" s="66"/>
      <c r="M2525" s="201" t="s">
        <v>12550</v>
      </c>
      <c r="N2525" s="207"/>
      <c r="O2525" s="38"/>
    </row>
    <row r="2526" spans="1:15" ht="72" customHeight="1" x14ac:dyDescent="0.3">
      <c r="A2526" s="139">
        <v>2495</v>
      </c>
      <c r="B2526" s="246" t="s">
        <v>22710</v>
      </c>
      <c r="C2526" s="245" t="s">
        <v>22708</v>
      </c>
      <c r="D2526" s="207"/>
      <c r="E2526" s="207"/>
      <c r="F2526" s="73"/>
      <c r="G2526" s="73"/>
      <c r="H2526" s="207"/>
      <c r="I2526" s="207" t="s">
        <v>12545</v>
      </c>
      <c r="J2526" s="66" t="s">
        <v>12548</v>
      </c>
      <c r="K2526" s="242"/>
      <c r="L2526" s="66"/>
      <c r="M2526" s="201" t="s">
        <v>12550</v>
      </c>
      <c r="N2526" s="207"/>
      <c r="O2526" s="38" t="s">
        <v>22709</v>
      </c>
    </row>
    <row r="2527" spans="1:15" ht="72" customHeight="1" x14ac:dyDescent="0.3">
      <c r="A2527" s="139">
        <v>2496</v>
      </c>
      <c r="B2527" s="246" t="s">
        <v>22069</v>
      </c>
      <c r="C2527" s="245" t="s">
        <v>15549</v>
      </c>
      <c r="D2527" s="207"/>
      <c r="E2527" s="207"/>
      <c r="F2527" s="73"/>
      <c r="G2527" s="73"/>
      <c r="H2527" s="207"/>
      <c r="I2527" s="207" t="s">
        <v>12545</v>
      </c>
      <c r="J2527" s="66" t="s">
        <v>12548</v>
      </c>
      <c r="K2527" s="242" t="s">
        <v>22180</v>
      </c>
      <c r="L2527" s="66" t="s">
        <v>22181</v>
      </c>
      <c r="M2527" s="201" t="s">
        <v>12550</v>
      </c>
      <c r="N2527" s="207"/>
      <c r="O2527" s="38" t="s">
        <v>22182</v>
      </c>
    </row>
    <row r="2528" spans="1:15" ht="72" customHeight="1" x14ac:dyDescent="0.3">
      <c r="A2528" s="139">
        <v>2497</v>
      </c>
      <c r="B2528" s="246" t="s">
        <v>15602</v>
      </c>
      <c r="C2528" s="245" t="s">
        <v>15550</v>
      </c>
      <c r="D2528" s="207"/>
      <c r="E2528" s="207"/>
      <c r="F2528" s="73"/>
      <c r="G2528" s="73"/>
      <c r="H2528" s="207"/>
      <c r="I2528" s="207" t="s">
        <v>12545</v>
      </c>
      <c r="J2528" s="66" t="s">
        <v>12548</v>
      </c>
      <c r="K2528" s="207" t="s">
        <v>21482</v>
      </c>
      <c r="L2528" s="66" t="s">
        <v>21483</v>
      </c>
      <c r="M2528" s="201" t="s">
        <v>12550</v>
      </c>
      <c r="N2528" s="207"/>
      <c r="O2528" s="38" t="s">
        <v>21481</v>
      </c>
    </row>
    <row r="2529" spans="1:15" ht="72" customHeight="1" x14ac:dyDescent="0.3">
      <c r="A2529" s="139">
        <v>2498</v>
      </c>
      <c r="B2529" s="246" t="s">
        <v>15603</v>
      </c>
      <c r="C2529" s="245" t="s">
        <v>15551</v>
      </c>
      <c r="D2529" s="207"/>
      <c r="E2529" s="207"/>
      <c r="F2529" s="73"/>
      <c r="G2529" s="73"/>
      <c r="H2529" s="207"/>
      <c r="I2529" s="207" t="s">
        <v>12545</v>
      </c>
      <c r="J2529" s="66" t="s">
        <v>12548</v>
      </c>
      <c r="K2529" s="207"/>
      <c r="L2529" s="66"/>
      <c r="M2529" s="201" t="s">
        <v>12550</v>
      </c>
      <c r="N2529" s="207"/>
      <c r="O2529" s="38"/>
    </row>
    <row r="2530" spans="1:15" ht="72" customHeight="1" x14ac:dyDescent="0.3">
      <c r="A2530" s="139">
        <v>2499</v>
      </c>
      <c r="B2530" s="246" t="s">
        <v>15573</v>
      </c>
      <c r="C2530" s="245" t="s">
        <v>15555</v>
      </c>
      <c r="D2530" s="207"/>
      <c r="E2530" s="207"/>
      <c r="F2530" s="73"/>
      <c r="G2530" s="73"/>
      <c r="H2530" s="207"/>
      <c r="I2530" s="207" t="s">
        <v>12545</v>
      </c>
      <c r="J2530" s="66" t="s">
        <v>12548</v>
      </c>
      <c r="K2530" s="207"/>
      <c r="L2530" s="66"/>
      <c r="M2530" s="201" t="s">
        <v>12550</v>
      </c>
      <c r="N2530" s="207"/>
      <c r="O2530" s="38"/>
    </row>
    <row r="2531" spans="1:15" ht="72" customHeight="1" x14ac:dyDescent="0.3">
      <c r="A2531" s="139">
        <v>2500</v>
      </c>
      <c r="B2531" s="246" t="s">
        <v>15574</v>
      </c>
      <c r="C2531" s="245" t="s">
        <v>15554</v>
      </c>
      <c r="D2531" s="207"/>
      <c r="E2531" s="207"/>
      <c r="F2531" s="73"/>
      <c r="G2531" s="73"/>
      <c r="H2531" s="207"/>
      <c r="I2531" s="207" t="s">
        <v>12545</v>
      </c>
      <c r="J2531" s="66" t="s">
        <v>12548</v>
      </c>
      <c r="K2531" s="207"/>
      <c r="L2531" s="66"/>
      <c r="M2531" s="201" t="s">
        <v>12550</v>
      </c>
      <c r="N2531" s="207"/>
      <c r="O2531" s="38"/>
    </row>
    <row r="2532" spans="1:15" ht="72" customHeight="1" x14ac:dyDescent="0.3">
      <c r="A2532" s="139">
        <v>2501</v>
      </c>
      <c r="B2532" s="246" t="s">
        <v>15575</v>
      </c>
      <c r="C2532" s="245" t="s">
        <v>21998</v>
      </c>
      <c r="D2532" s="207"/>
      <c r="E2532" s="207"/>
      <c r="F2532" s="73"/>
      <c r="G2532" s="73"/>
      <c r="H2532" s="207"/>
      <c r="I2532" s="207" t="s">
        <v>12545</v>
      </c>
      <c r="J2532" s="66" t="s">
        <v>12548</v>
      </c>
      <c r="K2532" s="207"/>
      <c r="L2532" s="66"/>
      <c r="M2532" s="201" t="s">
        <v>12550</v>
      </c>
      <c r="N2532" s="207"/>
      <c r="O2532" s="38" t="s">
        <v>22195</v>
      </c>
    </row>
    <row r="2533" spans="1:15" ht="72" customHeight="1" x14ac:dyDescent="0.3">
      <c r="A2533" s="139">
        <v>2502</v>
      </c>
      <c r="B2533" s="246" t="s">
        <v>22000</v>
      </c>
      <c r="C2533" s="245" t="s">
        <v>21999</v>
      </c>
      <c r="D2533" s="207"/>
      <c r="E2533" s="207"/>
      <c r="F2533" s="73"/>
      <c r="G2533" s="73"/>
      <c r="H2533" s="207"/>
      <c r="I2533" s="207" t="s">
        <v>12545</v>
      </c>
      <c r="J2533" s="66" t="s">
        <v>12548</v>
      </c>
      <c r="K2533" s="207"/>
      <c r="L2533" s="66"/>
      <c r="M2533" s="201" t="s">
        <v>12550</v>
      </c>
      <c r="N2533" s="207"/>
      <c r="O2533" s="38" t="s">
        <v>22197</v>
      </c>
    </row>
    <row r="2534" spans="1:15" ht="72" customHeight="1" x14ac:dyDescent="0.3">
      <c r="A2534" s="139">
        <v>2503</v>
      </c>
      <c r="B2534" s="246" t="s">
        <v>15576</v>
      </c>
      <c r="C2534" s="245" t="s">
        <v>15552</v>
      </c>
      <c r="D2534" s="207"/>
      <c r="E2534" s="207"/>
      <c r="F2534" s="73"/>
      <c r="G2534" s="73"/>
      <c r="H2534" s="207"/>
      <c r="I2534" s="207" t="s">
        <v>12545</v>
      </c>
      <c r="J2534" s="66" t="s">
        <v>12548</v>
      </c>
      <c r="K2534" s="207"/>
      <c r="L2534" s="66"/>
      <c r="M2534" s="201" t="s">
        <v>12550</v>
      </c>
      <c r="N2534" s="207"/>
      <c r="O2534" s="38"/>
    </row>
    <row r="2535" spans="1:15" ht="72" customHeight="1" x14ac:dyDescent="0.3">
      <c r="A2535" s="139">
        <v>2504</v>
      </c>
      <c r="B2535" s="82" t="s">
        <v>15577</v>
      </c>
      <c r="C2535" s="245" t="s">
        <v>21015</v>
      </c>
      <c r="D2535" s="207"/>
      <c r="E2535" s="207"/>
      <c r="F2535" s="73"/>
      <c r="G2535" s="73"/>
      <c r="H2535" s="207"/>
      <c r="I2535" s="207" t="s">
        <v>12545</v>
      </c>
      <c r="J2535" s="66" t="s">
        <v>12548</v>
      </c>
      <c r="K2535" s="207"/>
      <c r="L2535" s="66"/>
      <c r="M2535" s="201" t="s">
        <v>12550</v>
      </c>
      <c r="N2535" s="207"/>
      <c r="O2535" s="38"/>
    </row>
    <row r="2536" spans="1:15" ht="72" customHeight="1" x14ac:dyDescent="0.3">
      <c r="A2536" s="139">
        <v>2505</v>
      </c>
      <c r="B2536" s="246" t="s">
        <v>15578</v>
      </c>
      <c r="C2536" s="66" t="s">
        <v>15553</v>
      </c>
      <c r="D2536" s="207"/>
      <c r="E2536" s="207"/>
      <c r="F2536" s="73"/>
      <c r="G2536" s="73"/>
      <c r="H2536" s="207"/>
      <c r="I2536" s="207" t="s">
        <v>12545</v>
      </c>
      <c r="J2536" s="245" t="s">
        <v>12548</v>
      </c>
      <c r="K2536" s="207"/>
      <c r="L2536" s="66"/>
      <c r="M2536" s="201" t="s">
        <v>12550</v>
      </c>
      <c r="N2536" s="207"/>
      <c r="O2536" s="38"/>
    </row>
    <row r="2537" spans="1:15" ht="72" customHeight="1" x14ac:dyDescent="0.3">
      <c r="A2537" s="139">
        <v>2506</v>
      </c>
      <c r="B2537" s="246" t="s">
        <v>22001</v>
      </c>
      <c r="C2537" s="245" t="s">
        <v>21016</v>
      </c>
      <c r="D2537" s="207"/>
      <c r="E2537" s="207"/>
      <c r="F2537" s="73"/>
      <c r="G2537" s="73"/>
      <c r="H2537" s="207"/>
      <c r="I2537" s="207" t="s">
        <v>12545</v>
      </c>
      <c r="J2537" s="66" t="s">
        <v>12548</v>
      </c>
      <c r="K2537" s="207"/>
      <c r="L2537" s="66"/>
      <c r="M2537" s="201" t="s">
        <v>12550</v>
      </c>
      <c r="N2537" s="207"/>
      <c r="O2537" s="38" t="s">
        <v>22194</v>
      </c>
    </row>
    <row r="2538" spans="1:15" ht="72" customHeight="1" x14ac:dyDescent="0.3">
      <c r="A2538" s="139">
        <v>2507</v>
      </c>
      <c r="B2538" s="246" t="s">
        <v>15579</v>
      </c>
      <c r="C2538" s="245" t="s">
        <v>21017</v>
      </c>
      <c r="D2538" s="207"/>
      <c r="E2538" s="207"/>
      <c r="F2538" s="73"/>
      <c r="G2538" s="73"/>
      <c r="H2538" s="207"/>
      <c r="I2538" s="207" t="s">
        <v>12545</v>
      </c>
      <c r="J2538" s="66" t="s">
        <v>12548</v>
      </c>
      <c r="K2538" s="207"/>
      <c r="L2538" s="66"/>
      <c r="M2538" s="201" t="s">
        <v>12550</v>
      </c>
      <c r="N2538" s="207"/>
      <c r="O2538" s="38"/>
    </row>
    <row r="2539" spans="1:15" ht="72" customHeight="1" x14ac:dyDescent="0.3">
      <c r="A2539" s="139">
        <v>2508</v>
      </c>
      <c r="B2539" s="246" t="s">
        <v>15580</v>
      </c>
      <c r="C2539" s="245" t="s">
        <v>15556</v>
      </c>
      <c r="D2539" s="207"/>
      <c r="E2539" s="207"/>
      <c r="F2539" s="73"/>
      <c r="G2539" s="73"/>
      <c r="H2539" s="207"/>
      <c r="I2539" s="207" t="s">
        <v>12545</v>
      </c>
      <c r="J2539" s="66" t="s">
        <v>12548</v>
      </c>
      <c r="K2539" s="207" t="s">
        <v>21482</v>
      </c>
      <c r="L2539" s="66" t="s">
        <v>21483</v>
      </c>
      <c r="M2539" s="201" t="s">
        <v>12550</v>
      </c>
      <c r="N2539" s="207"/>
      <c r="O2539" s="38" t="s">
        <v>21481</v>
      </c>
    </row>
    <row r="2540" spans="1:15" ht="72" customHeight="1" x14ac:dyDescent="0.3">
      <c r="A2540" s="139">
        <v>2509</v>
      </c>
      <c r="B2540" s="246" t="s">
        <v>15581</v>
      </c>
      <c r="C2540" s="245" t="s">
        <v>15557</v>
      </c>
      <c r="D2540" s="207"/>
      <c r="E2540" s="207"/>
      <c r="F2540" s="73"/>
      <c r="G2540" s="73"/>
      <c r="H2540" s="207"/>
      <c r="I2540" s="207" t="s">
        <v>12545</v>
      </c>
      <c r="J2540" s="66" t="s">
        <v>12548</v>
      </c>
      <c r="K2540" s="207"/>
      <c r="L2540" s="66"/>
      <c r="M2540" s="201" t="s">
        <v>12550</v>
      </c>
      <c r="N2540" s="207"/>
      <c r="O2540" s="38"/>
    </row>
    <row r="2541" spans="1:15" ht="72" customHeight="1" x14ac:dyDescent="0.3">
      <c r="A2541" s="139">
        <v>2510</v>
      </c>
      <c r="B2541" s="246" t="s">
        <v>22003</v>
      </c>
      <c r="C2541" s="245" t="s">
        <v>22002</v>
      </c>
      <c r="D2541" s="207"/>
      <c r="E2541" s="207"/>
      <c r="F2541" s="73"/>
      <c r="G2541" s="73"/>
      <c r="H2541" s="207"/>
      <c r="I2541" s="207" t="s">
        <v>12545</v>
      </c>
      <c r="J2541" s="66" t="s">
        <v>12548</v>
      </c>
      <c r="K2541" s="207"/>
      <c r="L2541" s="66"/>
      <c r="M2541" s="201" t="s">
        <v>12550</v>
      </c>
      <c r="N2541" s="207"/>
      <c r="O2541" s="38" t="s">
        <v>22198</v>
      </c>
    </row>
    <row r="2542" spans="1:15" ht="72" customHeight="1" x14ac:dyDescent="0.3">
      <c r="A2542" s="139">
        <v>2511</v>
      </c>
      <c r="B2542" s="246" t="s">
        <v>15582</v>
      </c>
      <c r="C2542" s="245" t="s">
        <v>15558</v>
      </c>
      <c r="D2542" s="207"/>
      <c r="E2542" s="207"/>
      <c r="F2542" s="73"/>
      <c r="G2542" s="73"/>
      <c r="H2542" s="207"/>
      <c r="I2542" s="207" t="s">
        <v>12545</v>
      </c>
      <c r="J2542" s="66" t="s">
        <v>12548</v>
      </c>
      <c r="K2542" s="207"/>
      <c r="L2542" s="66"/>
      <c r="M2542" s="201" t="s">
        <v>12550</v>
      </c>
      <c r="N2542" s="207"/>
      <c r="O2542" s="38"/>
    </row>
    <row r="2543" spans="1:15" ht="72" customHeight="1" x14ac:dyDescent="0.3">
      <c r="A2543" s="139">
        <v>2512</v>
      </c>
      <c r="B2543" s="246" t="s">
        <v>15604</v>
      </c>
      <c r="C2543" s="245" t="s">
        <v>21018</v>
      </c>
      <c r="D2543" s="207"/>
      <c r="E2543" s="207"/>
      <c r="F2543" s="73"/>
      <c r="G2543" s="73"/>
      <c r="H2543" s="207"/>
      <c r="I2543" s="207" t="s">
        <v>12545</v>
      </c>
      <c r="J2543" s="66" t="s">
        <v>12548</v>
      </c>
      <c r="K2543" s="207"/>
      <c r="L2543" s="66"/>
      <c r="M2543" s="201" t="s">
        <v>12550</v>
      </c>
      <c r="N2543" s="207"/>
      <c r="O2543" s="38"/>
    </row>
    <row r="2544" spans="1:15" ht="72" customHeight="1" x14ac:dyDescent="0.3">
      <c r="A2544" s="139">
        <v>2513</v>
      </c>
      <c r="B2544" s="246" t="s">
        <v>15583</v>
      </c>
      <c r="C2544" s="245" t="s">
        <v>15559</v>
      </c>
      <c r="D2544" s="207"/>
      <c r="E2544" s="207"/>
      <c r="F2544" s="73"/>
      <c r="G2544" s="73"/>
      <c r="H2544" s="207"/>
      <c r="I2544" s="207" t="s">
        <v>12545</v>
      </c>
      <c r="J2544" s="66" t="s">
        <v>12548</v>
      </c>
      <c r="K2544" s="207"/>
      <c r="L2544" s="66"/>
      <c r="M2544" s="201" t="s">
        <v>12550</v>
      </c>
      <c r="N2544" s="207"/>
      <c r="O2544" s="38"/>
    </row>
    <row r="2545" spans="1:15" ht="72" customHeight="1" x14ac:dyDescent="0.3">
      <c r="A2545" s="139">
        <v>2514</v>
      </c>
      <c r="B2545" s="246" t="s">
        <v>15605</v>
      </c>
      <c r="C2545" s="245" t="s">
        <v>15560</v>
      </c>
      <c r="D2545" s="207"/>
      <c r="E2545" s="207"/>
      <c r="F2545" s="73"/>
      <c r="G2545" s="73"/>
      <c r="H2545" s="207"/>
      <c r="I2545" s="207" t="s">
        <v>12545</v>
      </c>
      <c r="J2545" s="66" t="s">
        <v>12548</v>
      </c>
      <c r="K2545" s="207" t="s">
        <v>21482</v>
      </c>
      <c r="L2545" s="66" t="s">
        <v>21483</v>
      </c>
      <c r="M2545" s="201" t="s">
        <v>12550</v>
      </c>
      <c r="N2545" s="207"/>
      <c r="O2545" s="38" t="s">
        <v>21481</v>
      </c>
    </row>
    <row r="2546" spans="1:15" ht="72" customHeight="1" x14ac:dyDescent="0.3">
      <c r="A2546" s="139">
        <v>2515</v>
      </c>
      <c r="B2546" s="246" t="s">
        <v>15584</v>
      </c>
      <c r="C2546" s="245" t="s">
        <v>19074</v>
      </c>
      <c r="D2546" s="207"/>
      <c r="E2546" s="207"/>
      <c r="F2546" s="73"/>
      <c r="G2546" s="73"/>
      <c r="H2546" s="207"/>
      <c r="I2546" s="207" t="s">
        <v>12545</v>
      </c>
      <c r="J2546" s="66" t="s">
        <v>12548</v>
      </c>
      <c r="K2546" s="207" t="s">
        <v>21482</v>
      </c>
      <c r="L2546" s="66" t="s">
        <v>21483</v>
      </c>
      <c r="M2546" s="201" t="s">
        <v>12550</v>
      </c>
      <c r="N2546" s="207"/>
      <c r="O2546" s="38" t="s">
        <v>21481</v>
      </c>
    </row>
    <row r="2547" spans="1:15" ht="72" customHeight="1" x14ac:dyDescent="0.3">
      <c r="A2547" s="139">
        <v>2516</v>
      </c>
      <c r="B2547" s="246" t="s">
        <v>15606</v>
      </c>
      <c r="C2547" s="245" t="s">
        <v>15562</v>
      </c>
      <c r="D2547" s="207"/>
      <c r="E2547" s="207"/>
      <c r="F2547" s="73"/>
      <c r="G2547" s="73"/>
      <c r="H2547" s="207"/>
      <c r="I2547" s="207" t="s">
        <v>12545</v>
      </c>
      <c r="J2547" s="66" t="s">
        <v>12548</v>
      </c>
      <c r="K2547" s="207" t="s">
        <v>21482</v>
      </c>
      <c r="L2547" s="66" t="s">
        <v>21483</v>
      </c>
      <c r="M2547" s="201" t="s">
        <v>12550</v>
      </c>
      <c r="N2547" s="207"/>
      <c r="O2547" s="38" t="s">
        <v>21481</v>
      </c>
    </row>
    <row r="2548" spans="1:15" ht="72" customHeight="1" x14ac:dyDescent="0.3">
      <c r="A2548" s="139">
        <v>2517</v>
      </c>
      <c r="B2548" s="246" t="s">
        <v>22004</v>
      </c>
      <c r="C2548" s="245" t="s">
        <v>15561</v>
      </c>
      <c r="D2548" s="207"/>
      <c r="E2548" s="207"/>
      <c r="F2548" s="73"/>
      <c r="G2548" s="73"/>
      <c r="H2548" s="207"/>
      <c r="I2548" s="207" t="s">
        <v>12545</v>
      </c>
      <c r="J2548" s="66" t="s">
        <v>12548</v>
      </c>
      <c r="K2548" s="207"/>
      <c r="L2548" s="66"/>
      <c r="M2548" s="201" t="s">
        <v>12550</v>
      </c>
      <c r="N2548" s="207"/>
      <c r="O2548" s="38" t="s">
        <v>22194</v>
      </c>
    </row>
    <row r="2549" spans="1:15" ht="72" customHeight="1" x14ac:dyDescent="0.3">
      <c r="A2549" s="139">
        <v>2518</v>
      </c>
      <c r="B2549" s="246" t="s">
        <v>15585</v>
      </c>
      <c r="C2549" s="245" t="s">
        <v>15563</v>
      </c>
      <c r="D2549" s="207"/>
      <c r="E2549" s="207"/>
      <c r="F2549" s="73"/>
      <c r="G2549" s="73"/>
      <c r="H2549" s="207"/>
      <c r="I2549" s="207" t="s">
        <v>12545</v>
      </c>
      <c r="J2549" s="66" t="s">
        <v>12548</v>
      </c>
      <c r="K2549" s="207"/>
      <c r="L2549" s="66"/>
      <c r="M2549" s="201" t="s">
        <v>12550</v>
      </c>
      <c r="N2549" s="207"/>
      <c r="O2549" s="38"/>
    </row>
    <row r="2550" spans="1:15" ht="72" customHeight="1" x14ac:dyDescent="0.3">
      <c r="A2550" s="139">
        <v>2519</v>
      </c>
      <c r="B2550" s="246" t="s">
        <v>22005</v>
      </c>
      <c r="C2550" s="245" t="s">
        <v>21019</v>
      </c>
      <c r="D2550" s="207"/>
      <c r="E2550" s="207"/>
      <c r="F2550" s="73"/>
      <c r="G2550" s="73"/>
      <c r="H2550" s="207"/>
      <c r="I2550" s="207" t="s">
        <v>12545</v>
      </c>
      <c r="J2550" s="66" t="s">
        <v>12548</v>
      </c>
      <c r="K2550" s="207"/>
      <c r="L2550" s="66"/>
      <c r="M2550" s="201" t="s">
        <v>12550</v>
      </c>
      <c r="N2550" s="207"/>
      <c r="O2550" s="38" t="s">
        <v>22194</v>
      </c>
    </row>
    <row r="2551" spans="1:15" ht="72" customHeight="1" x14ac:dyDescent="0.3">
      <c r="A2551" s="139">
        <v>2520</v>
      </c>
      <c r="B2551" s="246" t="s">
        <v>22006</v>
      </c>
      <c r="C2551" s="245" t="s">
        <v>21020</v>
      </c>
      <c r="D2551" s="207"/>
      <c r="E2551" s="207"/>
      <c r="F2551" s="73"/>
      <c r="G2551" s="73"/>
      <c r="H2551" s="207"/>
      <c r="I2551" s="207" t="s">
        <v>12545</v>
      </c>
      <c r="J2551" s="66" t="s">
        <v>12548</v>
      </c>
      <c r="K2551" s="207"/>
      <c r="L2551" s="66"/>
      <c r="M2551" s="201" t="s">
        <v>12550</v>
      </c>
      <c r="N2551" s="207"/>
      <c r="O2551" s="38" t="s">
        <v>22194</v>
      </c>
    </row>
    <row r="2552" spans="1:15" ht="72" customHeight="1" x14ac:dyDescent="0.3">
      <c r="A2552" s="139">
        <v>2521</v>
      </c>
      <c r="B2552" s="246" t="s">
        <v>15607</v>
      </c>
      <c r="C2552" s="245" t="s">
        <v>22007</v>
      </c>
      <c r="D2552" s="207"/>
      <c r="E2552" s="207"/>
      <c r="F2552" s="73"/>
      <c r="G2552" s="73"/>
      <c r="H2552" s="207"/>
      <c r="I2552" s="207" t="s">
        <v>12545</v>
      </c>
      <c r="J2552" s="66" t="s">
        <v>12548</v>
      </c>
      <c r="K2552" s="207"/>
      <c r="L2552" s="66"/>
      <c r="M2552" s="201" t="s">
        <v>12550</v>
      </c>
      <c r="N2552" s="207"/>
      <c r="O2552" s="38"/>
    </row>
    <row r="2553" spans="1:15" ht="72" customHeight="1" x14ac:dyDescent="0.3">
      <c r="A2553" s="139">
        <v>2522</v>
      </c>
      <c r="B2553" s="246" t="s">
        <v>15608</v>
      </c>
      <c r="C2553" s="245" t="s">
        <v>21021</v>
      </c>
      <c r="D2553" s="207"/>
      <c r="E2553" s="207"/>
      <c r="F2553" s="73"/>
      <c r="G2553" s="73"/>
      <c r="H2553" s="207"/>
      <c r="I2553" s="207" t="s">
        <v>12545</v>
      </c>
      <c r="J2553" s="66" t="s">
        <v>12548</v>
      </c>
      <c r="K2553" s="207"/>
      <c r="L2553" s="66"/>
      <c r="M2553" s="201" t="s">
        <v>12550</v>
      </c>
      <c r="N2553" s="207"/>
      <c r="O2553" s="38"/>
    </row>
    <row r="2554" spans="1:15" ht="72" customHeight="1" x14ac:dyDescent="0.3">
      <c r="A2554" s="139">
        <v>2523</v>
      </c>
      <c r="B2554" s="246" t="s">
        <v>15609</v>
      </c>
      <c r="C2554" s="245" t="s">
        <v>22008</v>
      </c>
      <c r="D2554" s="207"/>
      <c r="E2554" s="207"/>
      <c r="F2554" s="73"/>
      <c r="G2554" s="73"/>
      <c r="H2554" s="207"/>
      <c r="I2554" s="207" t="s">
        <v>12545</v>
      </c>
      <c r="J2554" s="66" t="s">
        <v>12548</v>
      </c>
      <c r="K2554" s="207"/>
      <c r="L2554" s="66"/>
      <c r="M2554" s="201" t="s">
        <v>12550</v>
      </c>
      <c r="N2554" s="207"/>
      <c r="O2554" s="38" t="s">
        <v>22195</v>
      </c>
    </row>
    <row r="2555" spans="1:15" ht="72" customHeight="1" x14ac:dyDescent="0.3">
      <c r="A2555" s="139">
        <v>2524</v>
      </c>
      <c r="B2555" s="246" t="s">
        <v>22010</v>
      </c>
      <c r="C2555" s="245" t="s">
        <v>22009</v>
      </c>
      <c r="D2555" s="207"/>
      <c r="E2555" s="207"/>
      <c r="F2555" s="73"/>
      <c r="G2555" s="73"/>
      <c r="H2555" s="207"/>
      <c r="I2555" s="207" t="s">
        <v>12545</v>
      </c>
      <c r="J2555" s="66" t="s">
        <v>12548</v>
      </c>
      <c r="K2555" s="207"/>
      <c r="L2555" s="66"/>
      <c r="M2555" s="201" t="s">
        <v>12550</v>
      </c>
      <c r="N2555" s="207"/>
      <c r="O2555" s="38" t="s">
        <v>22194</v>
      </c>
    </row>
    <row r="2556" spans="1:15" ht="72" customHeight="1" x14ac:dyDescent="0.3">
      <c r="A2556" s="139">
        <v>2525</v>
      </c>
      <c r="B2556" s="246" t="s">
        <v>22012</v>
      </c>
      <c r="C2556" s="245" t="s">
        <v>22011</v>
      </c>
      <c r="D2556" s="207"/>
      <c r="E2556" s="207"/>
      <c r="F2556" s="73"/>
      <c r="G2556" s="73"/>
      <c r="H2556" s="207"/>
      <c r="I2556" s="207" t="s">
        <v>12545</v>
      </c>
      <c r="J2556" s="66" t="s">
        <v>12548</v>
      </c>
      <c r="K2556" s="207"/>
      <c r="L2556" s="66"/>
      <c r="M2556" s="201" t="s">
        <v>12550</v>
      </c>
      <c r="N2556" s="207"/>
      <c r="O2556" s="38" t="s">
        <v>22194</v>
      </c>
    </row>
    <row r="2557" spans="1:15" ht="72" customHeight="1" x14ac:dyDescent="0.3">
      <c r="A2557" s="139">
        <v>2526</v>
      </c>
      <c r="B2557" s="246" t="s">
        <v>15610</v>
      </c>
      <c r="C2557" s="245" t="s">
        <v>22013</v>
      </c>
      <c r="D2557" s="207"/>
      <c r="E2557" s="207"/>
      <c r="F2557" s="73"/>
      <c r="G2557" s="73"/>
      <c r="H2557" s="207"/>
      <c r="I2557" s="207" t="s">
        <v>12545</v>
      </c>
      <c r="J2557" s="66" t="s">
        <v>12548</v>
      </c>
      <c r="K2557" s="207"/>
      <c r="L2557" s="66"/>
      <c r="M2557" s="201" t="s">
        <v>12550</v>
      </c>
      <c r="N2557" s="207"/>
      <c r="O2557" s="38"/>
    </row>
    <row r="2558" spans="1:15" ht="72" customHeight="1" x14ac:dyDescent="0.3">
      <c r="A2558" s="139">
        <v>2527</v>
      </c>
      <c r="B2558" s="246" t="s">
        <v>15611</v>
      </c>
      <c r="C2558" s="245" t="s">
        <v>22014</v>
      </c>
      <c r="D2558" s="207"/>
      <c r="E2558" s="207"/>
      <c r="F2558" s="73"/>
      <c r="G2558" s="73"/>
      <c r="H2558" s="207"/>
      <c r="I2558" s="207" t="s">
        <v>12545</v>
      </c>
      <c r="J2558" s="66" t="s">
        <v>12548</v>
      </c>
      <c r="K2558" s="207"/>
      <c r="L2558" s="66"/>
      <c r="M2558" s="201" t="s">
        <v>12550</v>
      </c>
      <c r="N2558" s="207"/>
      <c r="O2558" s="38"/>
    </row>
    <row r="2559" spans="1:15" ht="72" customHeight="1" x14ac:dyDescent="0.3">
      <c r="A2559" s="139">
        <v>2528</v>
      </c>
      <c r="B2559" s="246" t="s">
        <v>15612</v>
      </c>
      <c r="C2559" s="245" t="s">
        <v>22015</v>
      </c>
      <c r="D2559" s="207"/>
      <c r="E2559" s="207"/>
      <c r="F2559" s="73"/>
      <c r="G2559" s="73"/>
      <c r="H2559" s="207"/>
      <c r="I2559" s="207" t="s">
        <v>12545</v>
      </c>
      <c r="J2559" s="66" t="s">
        <v>12548</v>
      </c>
      <c r="K2559" s="207"/>
      <c r="L2559" s="66"/>
      <c r="M2559" s="201" t="s">
        <v>12550</v>
      </c>
      <c r="N2559" s="207"/>
      <c r="O2559" s="38"/>
    </row>
    <row r="2560" spans="1:15" ht="72" customHeight="1" x14ac:dyDescent="0.3">
      <c r="A2560" s="139">
        <v>2529</v>
      </c>
      <c r="B2560" s="246" t="s">
        <v>15613</v>
      </c>
      <c r="C2560" s="245" t="s">
        <v>21011</v>
      </c>
      <c r="D2560" s="207"/>
      <c r="E2560" s="207"/>
      <c r="F2560" s="73"/>
      <c r="G2560" s="73"/>
      <c r="H2560" s="207"/>
      <c r="I2560" s="207" t="s">
        <v>12545</v>
      </c>
      <c r="J2560" s="66" t="s">
        <v>12548</v>
      </c>
      <c r="K2560" s="207" t="s">
        <v>21482</v>
      </c>
      <c r="L2560" s="66" t="s">
        <v>21483</v>
      </c>
      <c r="M2560" s="201" t="s">
        <v>12550</v>
      </c>
      <c r="N2560" s="207"/>
      <c r="O2560" s="38" t="s">
        <v>21484</v>
      </c>
    </row>
    <row r="2561" spans="1:15" ht="72" customHeight="1" x14ac:dyDescent="0.3">
      <c r="A2561" s="139">
        <v>2530</v>
      </c>
      <c r="B2561" s="246" t="s">
        <v>15614</v>
      </c>
      <c r="C2561" s="245" t="s">
        <v>22016</v>
      </c>
      <c r="D2561" s="207"/>
      <c r="E2561" s="207"/>
      <c r="F2561" s="73"/>
      <c r="G2561" s="73"/>
      <c r="H2561" s="207"/>
      <c r="I2561" s="207" t="s">
        <v>12545</v>
      </c>
      <c r="J2561" s="66" t="s">
        <v>12548</v>
      </c>
      <c r="K2561" s="207"/>
      <c r="L2561" s="66"/>
      <c r="M2561" s="201" t="s">
        <v>12550</v>
      </c>
      <c r="N2561" s="207"/>
      <c r="O2561" s="38"/>
    </row>
    <row r="2562" spans="1:15" ht="72" customHeight="1" x14ac:dyDescent="0.3">
      <c r="A2562" s="139">
        <v>2531</v>
      </c>
      <c r="B2562" s="246" t="s">
        <v>15615</v>
      </c>
      <c r="C2562" s="245" t="s">
        <v>22017</v>
      </c>
      <c r="D2562" s="207"/>
      <c r="E2562" s="207"/>
      <c r="F2562" s="73"/>
      <c r="G2562" s="73"/>
      <c r="H2562" s="207"/>
      <c r="I2562" s="207" t="s">
        <v>12545</v>
      </c>
      <c r="J2562" s="66" t="s">
        <v>12548</v>
      </c>
      <c r="K2562" s="207"/>
      <c r="L2562" s="66"/>
      <c r="M2562" s="201" t="s">
        <v>12550</v>
      </c>
      <c r="N2562" s="207"/>
      <c r="O2562" s="38"/>
    </row>
    <row r="2563" spans="1:15" ht="72" customHeight="1" x14ac:dyDescent="0.3">
      <c r="A2563" s="139">
        <v>2532</v>
      </c>
      <c r="B2563" s="246" t="s">
        <v>22020</v>
      </c>
      <c r="C2563" s="245" t="s">
        <v>22018</v>
      </c>
      <c r="D2563" s="207"/>
      <c r="E2563" s="207"/>
      <c r="F2563" s="73"/>
      <c r="G2563" s="73"/>
      <c r="H2563" s="207"/>
      <c r="I2563" s="207" t="s">
        <v>12545</v>
      </c>
      <c r="J2563" s="66" t="s">
        <v>12548</v>
      </c>
      <c r="K2563" s="207"/>
      <c r="L2563" s="66"/>
      <c r="M2563" s="201" t="s">
        <v>12550</v>
      </c>
      <c r="N2563" s="207"/>
      <c r="O2563" s="38" t="s">
        <v>22194</v>
      </c>
    </row>
    <row r="2564" spans="1:15" ht="72" customHeight="1" x14ac:dyDescent="0.3">
      <c r="A2564" s="139">
        <v>2533</v>
      </c>
      <c r="B2564" s="246" t="s">
        <v>15616</v>
      </c>
      <c r="C2564" s="245" t="s">
        <v>22019</v>
      </c>
      <c r="D2564" s="207"/>
      <c r="E2564" s="207"/>
      <c r="F2564" s="73"/>
      <c r="G2564" s="73"/>
      <c r="H2564" s="207"/>
      <c r="I2564" s="207" t="s">
        <v>12545</v>
      </c>
      <c r="J2564" s="66" t="s">
        <v>12548</v>
      </c>
      <c r="K2564" s="207"/>
      <c r="L2564" s="66"/>
      <c r="M2564" s="201" t="s">
        <v>12550</v>
      </c>
      <c r="N2564" s="207"/>
      <c r="O2564" s="38"/>
    </row>
    <row r="2565" spans="1:15" ht="72" customHeight="1" x14ac:dyDescent="0.3">
      <c r="A2565" s="139">
        <v>2534</v>
      </c>
      <c r="B2565" s="246" t="s">
        <v>15586</v>
      </c>
      <c r="C2565" s="245" t="s">
        <v>15564</v>
      </c>
      <c r="D2565" s="207"/>
      <c r="E2565" s="207"/>
      <c r="F2565" s="73"/>
      <c r="G2565" s="73"/>
      <c r="H2565" s="207"/>
      <c r="I2565" s="207" t="s">
        <v>12545</v>
      </c>
      <c r="J2565" s="66" t="s">
        <v>12548</v>
      </c>
      <c r="K2565" s="207"/>
      <c r="L2565" s="66"/>
      <c r="M2565" s="201" t="s">
        <v>12550</v>
      </c>
      <c r="N2565" s="207"/>
      <c r="O2565" s="38"/>
    </row>
    <row r="2566" spans="1:15" ht="72" customHeight="1" x14ac:dyDescent="0.3">
      <c r="A2566" s="139">
        <v>2535</v>
      </c>
      <c r="B2566" s="246" t="s">
        <v>22021</v>
      </c>
      <c r="C2566" s="245" t="s">
        <v>15565</v>
      </c>
      <c r="D2566" s="207"/>
      <c r="E2566" s="207"/>
      <c r="F2566" s="73"/>
      <c r="G2566" s="73"/>
      <c r="H2566" s="207"/>
      <c r="I2566" s="207" t="s">
        <v>12545</v>
      </c>
      <c r="J2566" s="66" t="s">
        <v>12548</v>
      </c>
      <c r="K2566" s="207"/>
      <c r="L2566" s="66"/>
      <c r="M2566" s="201" t="s">
        <v>12550</v>
      </c>
      <c r="N2566" s="207"/>
      <c r="O2566" s="38" t="s">
        <v>22194</v>
      </c>
    </row>
    <row r="2567" spans="1:15" ht="72" customHeight="1" x14ac:dyDescent="0.3">
      <c r="A2567" s="139">
        <v>2536</v>
      </c>
      <c r="B2567" s="246" t="s">
        <v>15587</v>
      </c>
      <c r="C2567" s="245" t="s">
        <v>22022</v>
      </c>
      <c r="D2567" s="207"/>
      <c r="E2567" s="207"/>
      <c r="F2567" s="73"/>
      <c r="G2567" s="73"/>
      <c r="H2567" s="207"/>
      <c r="I2567" s="207" t="s">
        <v>12545</v>
      </c>
      <c r="J2567" s="66" t="s">
        <v>12548</v>
      </c>
      <c r="K2567" s="207"/>
      <c r="L2567" s="66"/>
      <c r="M2567" s="201" t="s">
        <v>12550</v>
      </c>
      <c r="N2567" s="207"/>
      <c r="O2567" s="38" t="s">
        <v>22195</v>
      </c>
    </row>
    <row r="2568" spans="1:15" ht="72" customHeight="1" x14ac:dyDescent="0.3">
      <c r="A2568" s="139">
        <v>2537</v>
      </c>
      <c r="B2568" s="242" t="s">
        <v>15587</v>
      </c>
      <c r="C2568" s="245" t="s">
        <v>15566</v>
      </c>
      <c r="D2568" s="207"/>
      <c r="E2568" s="207"/>
      <c r="F2568" s="73"/>
      <c r="G2568" s="73"/>
      <c r="H2568" s="207"/>
      <c r="I2568" s="207" t="s">
        <v>12545</v>
      </c>
      <c r="J2568" s="66" t="s">
        <v>12548</v>
      </c>
      <c r="K2568" s="207"/>
      <c r="L2568" s="66"/>
      <c r="M2568" s="201" t="s">
        <v>12550</v>
      </c>
      <c r="N2568" s="207"/>
      <c r="O2568" s="38"/>
    </row>
    <row r="2569" spans="1:15" ht="72" customHeight="1" x14ac:dyDescent="0.3">
      <c r="A2569" s="139">
        <v>2538</v>
      </c>
      <c r="B2569" s="242" t="s">
        <v>22072</v>
      </c>
      <c r="C2569" s="245" t="s">
        <v>19070</v>
      </c>
      <c r="D2569" s="207"/>
      <c r="E2569" s="207"/>
      <c r="F2569" s="43">
        <v>91815.360000000001</v>
      </c>
      <c r="G2569" s="43">
        <v>8161.44</v>
      </c>
      <c r="H2569" s="207"/>
      <c r="I2569" s="207" t="s">
        <v>12545</v>
      </c>
      <c r="J2569" s="66" t="s">
        <v>12548</v>
      </c>
      <c r="K2569" s="207"/>
      <c r="L2569" s="66"/>
      <c r="M2569" s="201" t="s">
        <v>12550</v>
      </c>
      <c r="N2569" s="207"/>
      <c r="O2569" s="38" t="s">
        <v>22185</v>
      </c>
    </row>
    <row r="2570" spans="1:15" ht="72" customHeight="1" x14ac:dyDescent="0.3">
      <c r="A2570" s="139">
        <v>2539</v>
      </c>
      <c r="B2570" s="242" t="s">
        <v>22073</v>
      </c>
      <c r="C2570" s="245" t="s">
        <v>15588</v>
      </c>
      <c r="D2570" s="207"/>
      <c r="E2570" s="207"/>
      <c r="F2570" s="43">
        <v>77961.240000000005</v>
      </c>
      <c r="G2570" s="43"/>
      <c r="H2570" s="207"/>
      <c r="I2570" s="207" t="s">
        <v>12545</v>
      </c>
      <c r="J2570" s="66" t="s">
        <v>12548</v>
      </c>
      <c r="K2570" s="207"/>
      <c r="L2570" s="66"/>
      <c r="M2570" s="201" t="s">
        <v>12550</v>
      </c>
      <c r="N2570" s="207"/>
      <c r="O2570" s="38" t="s">
        <v>22199</v>
      </c>
    </row>
    <row r="2571" spans="1:15" ht="72" customHeight="1" x14ac:dyDescent="0.3">
      <c r="A2571" s="139">
        <v>2540</v>
      </c>
      <c r="B2571" s="242" t="s">
        <v>22023</v>
      </c>
      <c r="C2571" s="245" t="s">
        <v>15567</v>
      </c>
      <c r="D2571" s="207"/>
      <c r="E2571" s="207"/>
      <c r="F2571" s="43">
        <v>67572.070000000007</v>
      </c>
      <c r="G2571" s="43"/>
      <c r="H2571" s="207"/>
      <c r="I2571" s="207" t="s">
        <v>12545</v>
      </c>
      <c r="J2571" s="66" t="s">
        <v>12548</v>
      </c>
      <c r="K2571" s="207"/>
      <c r="L2571" s="66"/>
      <c r="M2571" s="201" t="s">
        <v>12550</v>
      </c>
      <c r="N2571" s="207"/>
      <c r="O2571" s="38" t="s">
        <v>22194</v>
      </c>
    </row>
    <row r="2572" spans="1:15" ht="72" customHeight="1" x14ac:dyDescent="0.3">
      <c r="A2572" s="139">
        <v>2541</v>
      </c>
      <c r="B2572" s="242" t="s">
        <v>15569</v>
      </c>
      <c r="C2572" s="245" t="s">
        <v>15568</v>
      </c>
      <c r="D2572" s="207"/>
      <c r="E2572" s="207"/>
      <c r="F2572" s="43">
        <v>166751.67000000001</v>
      </c>
      <c r="G2572" s="43"/>
      <c r="H2572" s="207"/>
      <c r="I2572" s="207" t="s">
        <v>12545</v>
      </c>
      <c r="J2572" s="66" t="s">
        <v>12548</v>
      </c>
      <c r="K2572" s="207"/>
      <c r="L2572" s="66"/>
      <c r="M2572" s="201" t="s">
        <v>12550</v>
      </c>
      <c r="N2572" s="207"/>
      <c r="O2572" s="41"/>
    </row>
    <row r="2573" spans="1:15" ht="72" customHeight="1" x14ac:dyDescent="0.3">
      <c r="A2573" s="139">
        <v>2542</v>
      </c>
      <c r="B2573" s="246" t="s">
        <v>15653</v>
      </c>
      <c r="C2573" s="245" t="s">
        <v>15617</v>
      </c>
      <c r="D2573" s="207"/>
      <c r="E2573" s="207"/>
      <c r="F2573" s="25"/>
      <c r="G2573" s="25"/>
      <c r="H2573" s="207"/>
      <c r="I2573" s="207" t="s">
        <v>12545</v>
      </c>
      <c r="J2573" s="66" t="s">
        <v>12548</v>
      </c>
      <c r="K2573" s="207"/>
      <c r="L2573" s="66"/>
      <c r="M2573" s="201" t="s">
        <v>12550</v>
      </c>
      <c r="N2573" s="207"/>
      <c r="O2573" s="41"/>
    </row>
    <row r="2574" spans="1:15" ht="72" customHeight="1" x14ac:dyDescent="0.3">
      <c r="A2574" s="139">
        <v>2543</v>
      </c>
      <c r="B2574" s="246" t="s">
        <v>15653</v>
      </c>
      <c r="C2574" s="245" t="s">
        <v>15618</v>
      </c>
      <c r="D2574" s="207"/>
      <c r="E2574" s="207"/>
      <c r="F2574" s="25"/>
      <c r="G2574" s="25"/>
      <c r="H2574" s="207"/>
      <c r="I2574" s="207" t="s">
        <v>12545</v>
      </c>
      <c r="J2574" s="66" t="s">
        <v>12548</v>
      </c>
      <c r="K2574" s="207"/>
      <c r="L2574" s="66"/>
      <c r="M2574" s="201" t="s">
        <v>12550</v>
      </c>
      <c r="N2574" s="207"/>
      <c r="O2574" s="41"/>
    </row>
    <row r="2575" spans="1:15" ht="72" customHeight="1" x14ac:dyDescent="0.3">
      <c r="A2575" s="139">
        <v>2544</v>
      </c>
      <c r="B2575" s="246" t="s">
        <v>15653</v>
      </c>
      <c r="C2575" s="245" t="s">
        <v>15619</v>
      </c>
      <c r="D2575" s="207"/>
      <c r="E2575" s="207"/>
      <c r="F2575" s="25"/>
      <c r="G2575" s="25"/>
      <c r="H2575" s="207"/>
      <c r="I2575" s="207" t="s">
        <v>12545</v>
      </c>
      <c r="J2575" s="66" t="s">
        <v>12548</v>
      </c>
      <c r="K2575" s="207"/>
      <c r="L2575" s="66"/>
      <c r="M2575" s="201" t="s">
        <v>12550</v>
      </c>
      <c r="N2575" s="207"/>
      <c r="O2575" s="41"/>
    </row>
    <row r="2576" spans="1:15" ht="72" customHeight="1" x14ac:dyDescent="0.3">
      <c r="A2576" s="139">
        <v>2545</v>
      </c>
      <c r="B2576" s="246" t="s">
        <v>15653</v>
      </c>
      <c r="C2576" s="245" t="s">
        <v>15620</v>
      </c>
      <c r="D2576" s="207"/>
      <c r="E2576" s="207"/>
      <c r="F2576" s="25"/>
      <c r="G2576" s="25"/>
      <c r="H2576" s="207"/>
      <c r="I2576" s="207" t="s">
        <v>12545</v>
      </c>
      <c r="J2576" s="66" t="s">
        <v>12548</v>
      </c>
      <c r="K2576" s="207"/>
      <c r="L2576" s="66"/>
      <c r="M2576" s="201" t="s">
        <v>12550</v>
      </c>
      <c r="N2576" s="207"/>
      <c r="O2576" s="41"/>
    </row>
    <row r="2577" spans="1:15" ht="72" customHeight="1" x14ac:dyDescent="0.3">
      <c r="A2577" s="139">
        <v>2546</v>
      </c>
      <c r="B2577" s="246" t="s">
        <v>15653</v>
      </c>
      <c r="C2577" s="245" t="s">
        <v>15621</v>
      </c>
      <c r="D2577" s="207"/>
      <c r="E2577" s="207"/>
      <c r="F2577" s="25"/>
      <c r="G2577" s="25"/>
      <c r="H2577" s="207"/>
      <c r="I2577" s="207" t="s">
        <v>12545</v>
      </c>
      <c r="J2577" s="66" t="s">
        <v>12548</v>
      </c>
      <c r="K2577" s="207"/>
      <c r="L2577" s="66"/>
      <c r="M2577" s="201" t="s">
        <v>12550</v>
      </c>
      <c r="N2577" s="207"/>
      <c r="O2577" s="41"/>
    </row>
    <row r="2578" spans="1:15" ht="72" customHeight="1" x14ac:dyDescent="0.3">
      <c r="A2578" s="139">
        <v>2547</v>
      </c>
      <c r="B2578" s="246" t="s">
        <v>15653</v>
      </c>
      <c r="C2578" s="245" t="s">
        <v>15622</v>
      </c>
      <c r="D2578" s="207"/>
      <c r="E2578" s="207"/>
      <c r="F2578" s="25"/>
      <c r="G2578" s="25"/>
      <c r="H2578" s="207"/>
      <c r="I2578" s="207" t="s">
        <v>12545</v>
      </c>
      <c r="J2578" s="66" t="s">
        <v>12548</v>
      </c>
      <c r="K2578" s="207"/>
      <c r="L2578" s="66"/>
      <c r="M2578" s="201" t="s">
        <v>12550</v>
      </c>
      <c r="N2578" s="207"/>
      <c r="O2578" s="41"/>
    </row>
    <row r="2579" spans="1:15" ht="72" customHeight="1" x14ac:dyDescent="0.3">
      <c r="A2579" s="139">
        <v>2548</v>
      </c>
      <c r="B2579" s="246" t="s">
        <v>15653</v>
      </c>
      <c r="C2579" s="245" t="s">
        <v>15623</v>
      </c>
      <c r="D2579" s="207"/>
      <c r="E2579" s="207"/>
      <c r="F2579" s="25"/>
      <c r="G2579" s="25"/>
      <c r="H2579" s="207"/>
      <c r="I2579" s="207" t="s">
        <v>12545</v>
      </c>
      <c r="J2579" s="66" t="s">
        <v>12548</v>
      </c>
      <c r="K2579" s="207"/>
      <c r="L2579" s="66"/>
      <c r="M2579" s="201" t="s">
        <v>12550</v>
      </c>
      <c r="N2579" s="207"/>
      <c r="O2579" s="41"/>
    </row>
    <row r="2580" spans="1:15" ht="72" customHeight="1" x14ac:dyDescent="0.3">
      <c r="A2580" s="139">
        <v>2549</v>
      </c>
      <c r="B2580" s="246" t="s">
        <v>15653</v>
      </c>
      <c r="C2580" s="245" t="s">
        <v>15624</v>
      </c>
      <c r="D2580" s="207"/>
      <c r="E2580" s="207"/>
      <c r="F2580" s="25"/>
      <c r="G2580" s="25"/>
      <c r="H2580" s="207"/>
      <c r="I2580" s="207" t="s">
        <v>12545</v>
      </c>
      <c r="J2580" s="66" t="s">
        <v>12548</v>
      </c>
      <c r="K2580" s="207"/>
      <c r="L2580" s="66"/>
      <c r="M2580" s="201" t="s">
        <v>12550</v>
      </c>
      <c r="N2580" s="207"/>
      <c r="O2580" s="41"/>
    </row>
    <row r="2581" spans="1:15" ht="72" customHeight="1" x14ac:dyDescent="0.3">
      <c r="A2581" s="139">
        <v>2550</v>
      </c>
      <c r="B2581" s="246" t="s">
        <v>15653</v>
      </c>
      <c r="C2581" s="245" t="s">
        <v>15625</v>
      </c>
      <c r="D2581" s="207"/>
      <c r="E2581" s="207"/>
      <c r="F2581" s="25"/>
      <c r="G2581" s="25"/>
      <c r="H2581" s="207"/>
      <c r="I2581" s="207" t="s">
        <v>12545</v>
      </c>
      <c r="J2581" s="66" t="s">
        <v>12548</v>
      </c>
      <c r="K2581" s="207"/>
      <c r="L2581" s="66"/>
      <c r="M2581" s="201" t="s">
        <v>12550</v>
      </c>
      <c r="N2581" s="207"/>
      <c r="O2581" s="41"/>
    </row>
    <row r="2582" spans="1:15" ht="72" customHeight="1" x14ac:dyDescent="0.3">
      <c r="A2582" s="139">
        <v>2551</v>
      </c>
      <c r="B2582" s="246" t="s">
        <v>15653</v>
      </c>
      <c r="C2582" s="245" t="s">
        <v>15626</v>
      </c>
      <c r="D2582" s="207"/>
      <c r="E2582" s="207"/>
      <c r="F2582" s="25"/>
      <c r="G2582" s="25"/>
      <c r="H2582" s="207"/>
      <c r="I2582" s="207" t="s">
        <v>12545</v>
      </c>
      <c r="J2582" s="66" t="s">
        <v>12548</v>
      </c>
      <c r="K2582" s="207"/>
      <c r="L2582" s="66"/>
      <c r="M2582" s="201" t="s">
        <v>12550</v>
      </c>
      <c r="N2582" s="207"/>
      <c r="O2582" s="41"/>
    </row>
    <row r="2583" spans="1:15" ht="72" customHeight="1" x14ac:dyDescent="0.3">
      <c r="A2583" s="139">
        <v>2552</v>
      </c>
      <c r="B2583" s="246" t="s">
        <v>15653</v>
      </c>
      <c r="C2583" s="245" t="s">
        <v>15627</v>
      </c>
      <c r="D2583" s="207"/>
      <c r="E2583" s="207"/>
      <c r="F2583" s="43">
        <v>25503</v>
      </c>
      <c r="G2583" s="43">
        <v>25503</v>
      </c>
      <c r="H2583" s="207"/>
      <c r="I2583" s="207" t="s">
        <v>12545</v>
      </c>
      <c r="J2583" s="66" t="s">
        <v>12548</v>
      </c>
      <c r="K2583" s="207"/>
      <c r="L2583" s="66"/>
      <c r="M2583" s="201" t="s">
        <v>12550</v>
      </c>
      <c r="N2583" s="207"/>
      <c r="O2583" s="41"/>
    </row>
    <row r="2584" spans="1:15" ht="72" customHeight="1" x14ac:dyDescent="0.3">
      <c r="A2584" s="139">
        <v>2553</v>
      </c>
      <c r="B2584" s="246" t="s">
        <v>15653</v>
      </c>
      <c r="C2584" s="245" t="s">
        <v>15628</v>
      </c>
      <c r="D2584" s="207"/>
      <c r="E2584" s="207"/>
      <c r="F2584" s="43"/>
      <c r="G2584" s="43"/>
      <c r="H2584" s="207"/>
      <c r="I2584" s="207" t="s">
        <v>12545</v>
      </c>
      <c r="J2584" s="66" t="s">
        <v>12548</v>
      </c>
      <c r="K2584" s="207"/>
      <c r="L2584" s="66"/>
      <c r="M2584" s="201" t="s">
        <v>12550</v>
      </c>
      <c r="N2584" s="207"/>
      <c r="O2584" s="41"/>
    </row>
    <row r="2585" spans="1:15" ht="72" customHeight="1" x14ac:dyDescent="0.3">
      <c r="A2585" s="139">
        <v>2554</v>
      </c>
      <c r="B2585" s="246" t="s">
        <v>15653</v>
      </c>
      <c r="C2585" s="245" t="s">
        <v>15629</v>
      </c>
      <c r="D2585" s="207"/>
      <c r="E2585" s="207"/>
      <c r="F2585" s="43"/>
      <c r="G2585" s="43"/>
      <c r="H2585" s="207"/>
      <c r="I2585" s="207" t="s">
        <v>12545</v>
      </c>
      <c r="J2585" s="66" t="s">
        <v>12548</v>
      </c>
      <c r="K2585" s="207"/>
      <c r="L2585" s="66"/>
      <c r="M2585" s="201" t="s">
        <v>12550</v>
      </c>
      <c r="N2585" s="207"/>
      <c r="O2585" s="41"/>
    </row>
    <row r="2586" spans="1:15" ht="72" customHeight="1" x14ac:dyDescent="0.3">
      <c r="A2586" s="139">
        <v>2555</v>
      </c>
      <c r="B2586" s="246" t="s">
        <v>15653</v>
      </c>
      <c r="C2586" s="245" t="s">
        <v>15630</v>
      </c>
      <c r="D2586" s="207"/>
      <c r="E2586" s="207"/>
      <c r="F2586" s="43">
        <v>55865.59</v>
      </c>
      <c r="G2586" s="43">
        <v>19287.03</v>
      </c>
      <c r="H2586" s="207"/>
      <c r="I2586" s="207" t="s">
        <v>12545</v>
      </c>
      <c r="J2586" s="66" t="s">
        <v>12548</v>
      </c>
      <c r="K2586" s="207"/>
      <c r="L2586" s="66"/>
      <c r="M2586" s="201" t="s">
        <v>12550</v>
      </c>
      <c r="N2586" s="207"/>
      <c r="O2586" s="41"/>
    </row>
    <row r="2587" spans="1:15" ht="72" customHeight="1" x14ac:dyDescent="0.3">
      <c r="A2587" s="139">
        <v>2556</v>
      </c>
      <c r="B2587" s="246" t="s">
        <v>15653</v>
      </c>
      <c r="C2587" s="245" t="s">
        <v>15631</v>
      </c>
      <c r="D2587" s="207"/>
      <c r="E2587" s="207"/>
      <c r="F2587" s="43">
        <v>111650</v>
      </c>
      <c r="G2587" s="43">
        <v>38545.93</v>
      </c>
      <c r="H2587" s="207"/>
      <c r="I2587" s="207" t="s">
        <v>12545</v>
      </c>
      <c r="J2587" s="66" t="s">
        <v>12548</v>
      </c>
      <c r="K2587" s="207"/>
      <c r="L2587" s="66"/>
      <c r="M2587" s="201" t="s">
        <v>12550</v>
      </c>
      <c r="N2587" s="207"/>
      <c r="O2587" s="41"/>
    </row>
    <row r="2588" spans="1:15" ht="72" customHeight="1" x14ac:dyDescent="0.3">
      <c r="A2588" s="139">
        <v>2557</v>
      </c>
      <c r="B2588" s="246" t="s">
        <v>15653</v>
      </c>
      <c r="C2588" s="245" t="s">
        <v>15632</v>
      </c>
      <c r="D2588" s="207"/>
      <c r="E2588" s="207"/>
      <c r="F2588" s="43">
        <v>44314</v>
      </c>
      <c r="G2588" s="43">
        <v>15298.95</v>
      </c>
      <c r="H2588" s="207"/>
      <c r="I2588" s="207" t="s">
        <v>12545</v>
      </c>
      <c r="J2588" s="66" t="s">
        <v>12548</v>
      </c>
      <c r="K2588" s="207"/>
      <c r="L2588" s="66"/>
      <c r="M2588" s="201" t="s">
        <v>12550</v>
      </c>
      <c r="N2588" s="207"/>
      <c r="O2588" s="41"/>
    </row>
    <row r="2589" spans="1:15" ht="72" customHeight="1" x14ac:dyDescent="0.3">
      <c r="A2589" s="139">
        <v>2558</v>
      </c>
      <c r="B2589" s="246" t="s">
        <v>15653</v>
      </c>
      <c r="C2589" s="245" t="s">
        <v>15633</v>
      </c>
      <c r="D2589" s="207"/>
      <c r="E2589" s="207"/>
      <c r="F2589" s="43"/>
      <c r="G2589" s="43"/>
      <c r="H2589" s="207"/>
      <c r="I2589" s="207" t="s">
        <v>12545</v>
      </c>
      <c r="J2589" s="66" t="s">
        <v>12548</v>
      </c>
      <c r="K2589" s="207"/>
      <c r="L2589" s="66"/>
      <c r="M2589" s="201" t="s">
        <v>12550</v>
      </c>
      <c r="N2589" s="207"/>
      <c r="O2589" s="38"/>
    </row>
    <row r="2590" spans="1:15" ht="72" customHeight="1" x14ac:dyDescent="0.3">
      <c r="A2590" s="139">
        <v>2559</v>
      </c>
      <c r="B2590" s="246" t="s">
        <v>15653</v>
      </c>
      <c r="C2590" s="245" t="s">
        <v>15634</v>
      </c>
      <c r="D2590" s="207"/>
      <c r="E2590" s="207"/>
      <c r="F2590" s="43"/>
      <c r="G2590" s="43"/>
      <c r="H2590" s="207"/>
      <c r="I2590" s="207" t="s">
        <v>12545</v>
      </c>
      <c r="J2590" s="66" t="s">
        <v>12548</v>
      </c>
      <c r="K2590" s="207"/>
      <c r="L2590" s="66"/>
      <c r="M2590" s="201" t="s">
        <v>12550</v>
      </c>
      <c r="N2590" s="207"/>
      <c r="O2590" s="41"/>
    </row>
    <row r="2591" spans="1:15" ht="72" customHeight="1" x14ac:dyDescent="0.3">
      <c r="A2591" s="139">
        <v>2560</v>
      </c>
      <c r="B2591" s="246" t="s">
        <v>15653</v>
      </c>
      <c r="C2591" s="245" t="s">
        <v>15635</v>
      </c>
      <c r="D2591" s="207"/>
      <c r="E2591" s="207"/>
      <c r="F2591" s="43"/>
      <c r="G2591" s="43"/>
      <c r="H2591" s="207"/>
      <c r="I2591" s="207" t="s">
        <v>12545</v>
      </c>
      <c r="J2591" s="66" t="s">
        <v>12548</v>
      </c>
      <c r="K2591" s="207"/>
      <c r="L2591" s="66"/>
      <c r="M2591" s="201" t="s">
        <v>12550</v>
      </c>
      <c r="N2591" s="207"/>
      <c r="O2591" s="41"/>
    </row>
    <row r="2592" spans="1:15" ht="72" customHeight="1" x14ac:dyDescent="0.3">
      <c r="A2592" s="139">
        <v>2561</v>
      </c>
      <c r="B2592" s="246" t="s">
        <v>15653</v>
      </c>
      <c r="C2592" s="245" t="s">
        <v>15636</v>
      </c>
      <c r="D2592" s="207"/>
      <c r="E2592" s="207"/>
      <c r="F2592" s="43">
        <v>43620.5</v>
      </c>
      <c r="G2592" s="43">
        <v>15059.41</v>
      </c>
      <c r="H2592" s="207"/>
      <c r="I2592" s="207" t="s">
        <v>12545</v>
      </c>
      <c r="J2592" s="66" t="s">
        <v>12548</v>
      </c>
      <c r="K2592" s="207"/>
      <c r="L2592" s="66"/>
      <c r="M2592" s="201" t="s">
        <v>12550</v>
      </c>
      <c r="N2592" s="207"/>
      <c r="O2592" s="41"/>
    </row>
    <row r="2593" spans="1:15" ht="72" customHeight="1" x14ac:dyDescent="0.3">
      <c r="A2593" s="139">
        <v>2562</v>
      </c>
      <c r="B2593" s="246" t="s">
        <v>15653</v>
      </c>
      <c r="C2593" s="245" t="s">
        <v>15637</v>
      </c>
      <c r="D2593" s="207"/>
      <c r="E2593" s="207">
        <v>40</v>
      </c>
      <c r="F2593" s="43"/>
      <c r="G2593" s="43"/>
      <c r="H2593" s="207"/>
      <c r="I2593" s="207" t="s">
        <v>12545</v>
      </c>
      <c r="J2593" s="66" t="s">
        <v>12548</v>
      </c>
      <c r="K2593" s="207"/>
      <c r="L2593" s="66"/>
      <c r="M2593" s="201" t="s">
        <v>12550</v>
      </c>
      <c r="N2593" s="207"/>
      <c r="O2593" s="41"/>
    </row>
    <row r="2594" spans="1:15" ht="72" customHeight="1" x14ac:dyDescent="0.3">
      <c r="A2594" s="139">
        <v>2563</v>
      </c>
      <c r="B2594" s="246" t="s">
        <v>15653</v>
      </c>
      <c r="C2594" s="245" t="s">
        <v>15638</v>
      </c>
      <c r="D2594" s="207"/>
      <c r="E2594" s="207">
        <v>7</v>
      </c>
      <c r="F2594" s="43"/>
      <c r="G2594" s="43"/>
      <c r="H2594" s="207"/>
      <c r="I2594" s="207" t="s">
        <v>12545</v>
      </c>
      <c r="J2594" s="66" t="s">
        <v>12548</v>
      </c>
      <c r="K2594" s="207"/>
      <c r="L2594" s="66"/>
      <c r="M2594" s="201" t="s">
        <v>12550</v>
      </c>
      <c r="N2594" s="207"/>
      <c r="O2594" s="41"/>
    </row>
    <row r="2595" spans="1:15" ht="72" customHeight="1" x14ac:dyDescent="0.3">
      <c r="A2595" s="139">
        <v>2564</v>
      </c>
      <c r="B2595" s="246" t="s">
        <v>15653</v>
      </c>
      <c r="C2595" s="245" t="s">
        <v>15639</v>
      </c>
      <c r="D2595" s="207"/>
      <c r="E2595" s="207"/>
      <c r="F2595" s="43"/>
      <c r="G2595" s="43"/>
      <c r="H2595" s="207"/>
      <c r="I2595" s="207" t="s">
        <v>12545</v>
      </c>
      <c r="J2595" s="66" t="s">
        <v>12548</v>
      </c>
      <c r="K2595" s="207"/>
      <c r="L2595" s="66"/>
      <c r="M2595" s="201" t="s">
        <v>12550</v>
      </c>
      <c r="N2595" s="207"/>
      <c r="O2595" s="41"/>
    </row>
    <row r="2596" spans="1:15" ht="72" customHeight="1" x14ac:dyDescent="0.3">
      <c r="A2596" s="139">
        <v>2565</v>
      </c>
      <c r="B2596" s="246" t="s">
        <v>15653</v>
      </c>
      <c r="C2596" s="245" t="s">
        <v>15640</v>
      </c>
      <c r="D2596" s="207"/>
      <c r="E2596" s="6">
        <v>13.5</v>
      </c>
      <c r="F2596" s="43">
        <v>43099.33</v>
      </c>
      <c r="G2596" s="43"/>
      <c r="H2596" s="207"/>
      <c r="I2596" s="207" t="s">
        <v>12545</v>
      </c>
      <c r="J2596" s="66" t="s">
        <v>12548</v>
      </c>
      <c r="K2596" s="207"/>
      <c r="L2596" s="66"/>
      <c r="M2596" s="201" t="s">
        <v>12550</v>
      </c>
      <c r="N2596" s="207"/>
      <c r="O2596" s="41"/>
    </row>
    <row r="2597" spans="1:15" ht="72" customHeight="1" x14ac:dyDescent="0.3">
      <c r="A2597" s="139">
        <v>2566</v>
      </c>
      <c r="B2597" s="246" t="s">
        <v>15653</v>
      </c>
      <c r="C2597" s="245" t="s">
        <v>15641</v>
      </c>
      <c r="D2597" s="207"/>
      <c r="E2597" s="6"/>
      <c r="F2597" s="43"/>
      <c r="G2597" s="43"/>
      <c r="H2597" s="207"/>
      <c r="I2597" s="207" t="s">
        <v>12545</v>
      </c>
      <c r="J2597" s="66" t="s">
        <v>12548</v>
      </c>
      <c r="K2597" s="207"/>
      <c r="L2597" s="66"/>
      <c r="M2597" s="201" t="s">
        <v>12550</v>
      </c>
      <c r="N2597" s="207"/>
      <c r="O2597" s="41"/>
    </row>
    <row r="2598" spans="1:15" ht="72" customHeight="1" x14ac:dyDescent="0.3">
      <c r="A2598" s="139">
        <v>2567</v>
      </c>
      <c r="B2598" s="246" t="s">
        <v>15653</v>
      </c>
      <c r="C2598" s="245" t="s">
        <v>15642</v>
      </c>
      <c r="D2598" s="207"/>
      <c r="E2598" s="6">
        <v>10</v>
      </c>
      <c r="F2598" s="43">
        <v>30108.41</v>
      </c>
      <c r="G2598" s="43">
        <v>30108.41</v>
      </c>
      <c r="H2598" s="207"/>
      <c r="I2598" s="207" t="s">
        <v>12545</v>
      </c>
      <c r="J2598" s="66" t="s">
        <v>12548</v>
      </c>
      <c r="K2598" s="207"/>
      <c r="L2598" s="66"/>
      <c r="M2598" s="201" t="s">
        <v>12550</v>
      </c>
      <c r="N2598" s="207"/>
      <c r="O2598" s="41"/>
    </row>
    <row r="2599" spans="1:15" ht="72" customHeight="1" x14ac:dyDescent="0.3">
      <c r="A2599" s="139">
        <v>2568</v>
      </c>
      <c r="B2599" s="246" t="s">
        <v>15653</v>
      </c>
      <c r="C2599" s="245" t="s">
        <v>15643</v>
      </c>
      <c r="D2599" s="207"/>
      <c r="E2599" s="6">
        <v>10</v>
      </c>
      <c r="F2599" s="43">
        <v>49160.45</v>
      </c>
      <c r="G2599" s="43">
        <v>16971.96</v>
      </c>
      <c r="H2599" s="207"/>
      <c r="I2599" s="207" t="s">
        <v>12545</v>
      </c>
      <c r="J2599" s="66" t="s">
        <v>12548</v>
      </c>
      <c r="K2599" s="207"/>
      <c r="L2599" s="66"/>
      <c r="M2599" s="201" t="s">
        <v>12550</v>
      </c>
      <c r="N2599" s="207"/>
      <c r="O2599" s="41"/>
    </row>
    <row r="2600" spans="1:15" ht="72" customHeight="1" x14ac:dyDescent="0.3">
      <c r="A2600" s="139">
        <v>2569</v>
      </c>
      <c r="B2600" s="246" t="s">
        <v>15653</v>
      </c>
      <c r="C2600" s="245" t="s">
        <v>15644</v>
      </c>
      <c r="D2600" s="207"/>
      <c r="E2600" s="6">
        <v>8</v>
      </c>
      <c r="F2600" s="43">
        <v>29510.71</v>
      </c>
      <c r="G2600" s="43">
        <v>29510.71</v>
      </c>
      <c r="H2600" s="207"/>
      <c r="I2600" s="207" t="s">
        <v>12545</v>
      </c>
      <c r="J2600" s="66" t="s">
        <v>12548</v>
      </c>
      <c r="K2600" s="207"/>
      <c r="L2600" s="66"/>
      <c r="M2600" s="201" t="s">
        <v>12550</v>
      </c>
      <c r="N2600" s="207"/>
      <c r="O2600" s="41"/>
    </row>
    <row r="2601" spans="1:15" ht="72" customHeight="1" x14ac:dyDescent="0.3">
      <c r="A2601" s="139">
        <v>2570</v>
      </c>
      <c r="B2601" s="246" t="s">
        <v>15653</v>
      </c>
      <c r="C2601" s="245" t="s">
        <v>15645</v>
      </c>
      <c r="D2601" s="207"/>
      <c r="E2601" s="6">
        <v>20</v>
      </c>
      <c r="F2601" s="43">
        <v>81180</v>
      </c>
      <c r="G2601" s="43">
        <v>28026.47</v>
      </c>
      <c r="H2601" s="207"/>
      <c r="I2601" s="207" t="s">
        <v>12545</v>
      </c>
      <c r="J2601" s="66" t="s">
        <v>12548</v>
      </c>
      <c r="K2601" s="207"/>
      <c r="L2601" s="66"/>
      <c r="M2601" s="201" t="s">
        <v>12550</v>
      </c>
      <c r="N2601" s="207"/>
      <c r="O2601" s="41"/>
    </row>
    <row r="2602" spans="1:15" ht="72" customHeight="1" x14ac:dyDescent="0.3">
      <c r="A2602" s="139">
        <v>2571</v>
      </c>
      <c r="B2602" s="246" t="s">
        <v>15653</v>
      </c>
      <c r="C2602" s="245" t="s">
        <v>15646</v>
      </c>
      <c r="D2602" s="207"/>
      <c r="E2602" s="6">
        <v>10.5</v>
      </c>
      <c r="F2602" s="43">
        <v>59552.99</v>
      </c>
      <c r="G2602" s="43">
        <v>20559.84</v>
      </c>
      <c r="H2602" s="207"/>
      <c r="I2602" s="207" t="s">
        <v>12545</v>
      </c>
      <c r="J2602" s="66" t="s">
        <v>12548</v>
      </c>
      <c r="K2602" s="207"/>
      <c r="L2602" s="66"/>
      <c r="M2602" s="201" t="s">
        <v>12550</v>
      </c>
      <c r="N2602" s="207"/>
      <c r="O2602" s="41"/>
    </row>
    <row r="2603" spans="1:15" ht="72" customHeight="1" x14ac:dyDescent="0.3">
      <c r="A2603" s="139">
        <v>2572</v>
      </c>
      <c r="B2603" s="246" t="s">
        <v>15653</v>
      </c>
      <c r="C2603" s="245" t="s">
        <v>15647</v>
      </c>
      <c r="D2603" s="207"/>
      <c r="E2603" s="6">
        <v>10.5</v>
      </c>
      <c r="F2603" s="43">
        <v>59552.99</v>
      </c>
      <c r="G2603" s="43">
        <v>20559.84</v>
      </c>
      <c r="H2603" s="207"/>
      <c r="I2603" s="207" t="s">
        <v>12545</v>
      </c>
      <c r="J2603" s="66" t="s">
        <v>12548</v>
      </c>
      <c r="K2603" s="207"/>
      <c r="L2603" s="66"/>
      <c r="M2603" s="201" t="s">
        <v>12550</v>
      </c>
      <c r="N2603" s="207"/>
      <c r="O2603" s="41"/>
    </row>
    <row r="2604" spans="1:15" ht="72" customHeight="1" x14ac:dyDescent="0.3">
      <c r="A2604" s="139">
        <v>2573</v>
      </c>
      <c r="B2604" s="246" t="s">
        <v>15653</v>
      </c>
      <c r="C2604" s="245" t="s">
        <v>15648</v>
      </c>
      <c r="D2604" s="207"/>
      <c r="E2604" s="6">
        <v>10.5</v>
      </c>
      <c r="F2604" s="43">
        <v>59552.99</v>
      </c>
      <c r="G2604" s="43">
        <v>20559.84</v>
      </c>
      <c r="H2604" s="207"/>
      <c r="I2604" s="207" t="s">
        <v>12545</v>
      </c>
      <c r="J2604" s="66" t="s">
        <v>12548</v>
      </c>
      <c r="K2604" s="207"/>
      <c r="L2604" s="66"/>
      <c r="M2604" s="201" t="s">
        <v>12550</v>
      </c>
      <c r="N2604" s="207"/>
      <c r="O2604" s="41"/>
    </row>
    <row r="2605" spans="1:15" ht="72" customHeight="1" x14ac:dyDescent="0.3">
      <c r="A2605" s="139">
        <v>2574</v>
      </c>
      <c r="B2605" s="246" t="s">
        <v>15653</v>
      </c>
      <c r="C2605" s="245" t="s">
        <v>15649</v>
      </c>
      <c r="D2605" s="207"/>
      <c r="E2605" s="6">
        <v>10.5</v>
      </c>
      <c r="F2605" s="43">
        <v>59552.99</v>
      </c>
      <c r="G2605" s="43">
        <v>20559.84</v>
      </c>
      <c r="H2605" s="207"/>
      <c r="I2605" s="207" t="s">
        <v>12545</v>
      </c>
      <c r="J2605" s="66" t="s">
        <v>12548</v>
      </c>
      <c r="K2605" s="207"/>
      <c r="L2605" s="66"/>
      <c r="M2605" s="201" t="s">
        <v>12550</v>
      </c>
      <c r="N2605" s="207"/>
      <c r="O2605" s="41"/>
    </row>
    <row r="2606" spans="1:15" ht="72" customHeight="1" x14ac:dyDescent="0.3">
      <c r="A2606" s="139">
        <v>2575</v>
      </c>
      <c r="B2606" s="246" t="s">
        <v>15653</v>
      </c>
      <c r="C2606" s="245" t="s">
        <v>15650</v>
      </c>
      <c r="D2606" s="207"/>
      <c r="E2606" s="6">
        <v>10.5</v>
      </c>
      <c r="F2606" s="43">
        <v>59552.99</v>
      </c>
      <c r="G2606" s="43">
        <v>20559.84</v>
      </c>
      <c r="H2606" s="207"/>
      <c r="I2606" s="207" t="s">
        <v>12545</v>
      </c>
      <c r="J2606" s="66" t="s">
        <v>12548</v>
      </c>
      <c r="K2606" s="207"/>
      <c r="L2606" s="66"/>
      <c r="M2606" s="201" t="s">
        <v>12550</v>
      </c>
      <c r="N2606" s="207"/>
      <c r="O2606" s="41"/>
    </row>
    <row r="2607" spans="1:15" ht="72" customHeight="1" x14ac:dyDescent="0.3">
      <c r="A2607" s="139">
        <v>2576</v>
      </c>
      <c r="B2607" s="246" t="s">
        <v>15653</v>
      </c>
      <c r="C2607" s="245" t="s">
        <v>15651</v>
      </c>
      <c r="D2607" s="207"/>
      <c r="E2607" s="33">
        <v>16</v>
      </c>
      <c r="F2607" s="43">
        <v>48672</v>
      </c>
      <c r="G2607" s="43">
        <v>16803.47</v>
      </c>
      <c r="H2607" s="207"/>
      <c r="I2607" s="207" t="s">
        <v>12545</v>
      </c>
      <c r="J2607" s="66" t="s">
        <v>12548</v>
      </c>
      <c r="K2607" s="207"/>
      <c r="L2607" s="66"/>
      <c r="M2607" s="201" t="s">
        <v>12550</v>
      </c>
      <c r="N2607" s="207"/>
      <c r="O2607" s="41"/>
    </row>
    <row r="2608" spans="1:15" ht="72" customHeight="1" x14ac:dyDescent="0.3">
      <c r="A2608" s="139">
        <v>2577</v>
      </c>
      <c r="B2608" s="246" t="s">
        <v>15653</v>
      </c>
      <c r="C2608" s="245" t="s">
        <v>15652</v>
      </c>
      <c r="D2608" s="207"/>
      <c r="E2608" s="33">
        <v>10</v>
      </c>
      <c r="F2608" s="43">
        <v>38347.279999999999</v>
      </c>
      <c r="G2608" s="43">
        <v>38347.279999999999</v>
      </c>
      <c r="H2608" s="207"/>
      <c r="I2608" s="207" t="s">
        <v>12545</v>
      </c>
      <c r="J2608" s="245" t="s">
        <v>12548</v>
      </c>
      <c r="K2608" s="207"/>
      <c r="L2608" s="245"/>
      <c r="M2608" s="201" t="s">
        <v>12550</v>
      </c>
      <c r="N2608" s="207"/>
      <c r="O2608" s="41"/>
    </row>
    <row r="2609" spans="1:26" ht="72" customHeight="1" x14ac:dyDescent="0.3">
      <c r="A2609" s="139">
        <v>2578</v>
      </c>
      <c r="B2609" s="105" t="s">
        <v>16119</v>
      </c>
      <c r="C2609" s="105" t="s">
        <v>15654</v>
      </c>
      <c r="D2609" s="85" t="s">
        <v>16120</v>
      </c>
      <c r="E2609" s="33">
        <v>21.2</v>
      </c>
      <c r="F2609" s="43">
        <v>325182</v>
      </c>
      <c r="G2609" s="43"/>
      <c r="H2609" s="25"/>
      <c r="I2609" s="26">
        <v>42403</v>
      </c>
      <c r="J2609" s="38" t="s">
        <v>16408</v>
      </c>
      <c r="K2609" s="207"/>
      <c r="L2609" s="66"/>
      <c r="M2609" s="201" t="s">
        <v>12550</v>
      </c>
      <c r="N2609" s="207"/>
      <c r="O2609" s="41"/>
    </row>
    <row r="2610" spans="1:26" ht="72" customHeight="1" x14ac:dyDescent="0.3">
      <c r="A2610" s="139">
        <v>2579</v>
      </c>
      <c r="B2610" s="105" t="s">
        <v>15655</v>
      </c>
      <c r="C2610" s="105" t="s">
        <v>15656</v>
      </c>
      <c r="D2610" s="85" t="s">
        <v>16118</v>
      </c>
      <c r="E2610" s="207">
        <v>26.5</v>
      </c>
      <c r="F2610" s="25">
        <v>14509</v>
      </c>
      <c r="G2610" s="207"/>
      <c r="H2610" s="25"/>
      <c r="I2610" s="26">
        <v>42403</v>
      </c>
      <c r="J2610" s="38" t="s">
        <v>16406</v>
      </c>
      <c r="K2610" s="207"/>
      <c r="L2610" s="66"/>
      <c r="M2610" s="201" t="s">
        <v>12550</v>
      </c>
      <c r="N2610" s="207"/>
      <c r="O2610" s="38"/>
    </row>
    <row r="2611" spans="1:26" ht="72" customHeight="1" x14ac:dyDescent="0.3">
      <c r="A2611" s="139">
        <v>2580</v>
      </c>
      <c r="B2611" s="105" t="s">
        <v>15682</v>
      </c>
      <c r="C2611" s="105" t="s">
        <v>20564</v>
      </c>
      <c r="D2611" s="85" t="s">
        <v>15683</v>
      </c>
      <c r="E2611" s="207">
        <v>31</v>
      </c>
      <c r="F2611" s="25">
        <v>475501</v>
      </c>
      <c r="G2611" s="207"/>
      <c r="H2611" s="25"/>
      <c r="I2611" s="26">
        <v>42403</v>
      </c>
      <c r="J2611" s="38" t="s">
        <v>16911</v>
      </c>
      <c r="K2611" s="207"/>
      <c r="L2611" s="66"/>
      <c r="M2611" s="201" t="s">
        <v>12550</v>
      </c>
      <c r="N2611" s="207"/>
      <c r="O2611" s="41"/>
    </row>
    <row r="2612" spans="1:26" ht="72" customHeight="1" x14ac:dyDescent="0.3">
      <c r="A2612" s="269">
        <v>2581</v>
      </c>
      <c r="B2612" s="263" t="s">
        <v>15657</v>
      </c>
      <c r="C2612" s="263" t="s">
        <v>15433</v>
      </c>
      <c r="D2612" s="94"/>
      <c r="E2612" s="207"/>
      <c r="F2612" s="25"/>
      <c r="G2612" s="207"/>
      <c r="H2612" s="207"/>
      <c r="I2612" s="26">
        <v>42403</v>
      </c>
      <c r="J2612" s="38" t="s">
        <v>15349</v>
      </c>
      <c r="K2612" s="207"/>
      <c r="L2612" s="66"/>
      <c r="M2612" s="201" t="s">
        <v>12550</v>
      </c>
      <c r="N2612" s="207"/>
      <c r="O2612" s="41"/>
    </row>
    <row r="2613" spans="1:26" ht="108" customHeight="1" x14ac:dyDescent="0.3">
      <c r="A2613" s="139">
        <v>2582</v>
      </c>
      <c r="B2613" s="245" t="s">
        <v>15659</v>
      </c>
      <c r="C2613" s="245" t="s">
        <v>18583</v>
      </c>
      <c r="D2613" s="85" t="s">
        <v>18582</v>
      </c>
      <c r="E2613" s="207">
        <v>135</v>
      </c>
      <c r="F2613" s="25">
        <v>686400</v>
      </c>
      <c r="G2613" s="25">
        <v>95333.5</v>
      </c>
      <c r="H2613" s="25"/>
      <c r="I2613" s="26">
        <v>42403</v>
      </c>
      <c r="J2613" s="38" t="s">
        <v>18584</v>
      </c>
      <c r="K2613" s="207"/>
      <c r="L2613" s="66"/>
      <c r="M2613" s="242" t="s">
        <v>13904</v>
      </c>
      <c r="N2613" s="193" t="s">
        <v>19079</v>
      </c>
      <c r="O2613" s="41"/>
    </row>
    <row r="2614" spans="1:26" ht="146.4" customHeight="1" x14ac:dyDescent="0.3">
      <c r="A2614" s="139">
        <v>2583</v>
      </c>
      <c r="B2614" s="242" t="s">
        <v>23518</v>
      </c>
      <c r="C2614" s="242" t="s">
        <v>15663</v>
      </c>
      <c r="D2614" s="60" t="s">
        <v>16102</v>
      </c>
      <c r="E2614" s="242"/>
      <c r="F2614" s="244">
        <v>276000</v>
      </c>
      <c r="G2614" s="244"/>
      <c r="H2614" s="50">
        <v>1101559.54</v>
      </c>
      <c r="I2614" s="243">
        <v>40500</v>
      </c>
      <c r="J2614" s="242" t="s">
        <v>20436</v>
      </c>
      <c r="K2614" s="242"/>
      <c r="L2614" s="66"/>
      <c r="M2614" s="201" t="s">
        <v>12550</v>
      </c>
      <c r="N2614" s="226" t="s">
        <v>20727</v>
      </c>
      <c r="O2614" s="38" t="s">
        <v>23398</v>
      </c>
    </row>
    <row r="2615" spans="1:26" ht="120" customHeight="1" x14ac:dyDescent="0.3">
      <c r="A2615" s="139">
        <v>2584</v>
      </c>
      <c r="B2615" s="242" t="s">
        <v>16176</v>
      </c>
      <c r="C2615" s="242" t="s">
        <v>15665</v>
      </c>
      <c r="D2615" s="60" t="s">
        <v>16103</v>
      </c>
      <c r="E2615" s="242"/>
      <c r="F2615" s="244">
        <v>1032791</v>
      </c>
      <c r="G2615" s="244"/>
      <c r="H2615" s="244"/>
      <c r="I2615" s="243">
        <v>40500</v>
      </c>
      <c r="J2615" s="242" t="s">
        <v>16433</v>
      </c>
      <c r="K2615" s="242"/>
      <c r="L2615" s="66"/>
      <c r="M2615" s="200" t="s">
        <v>12550</v>
      </c>
      <c r="N2615" s="226" t="s">
        <v>20727</v>
      </c>
      <c r="O2615" s="38"/>
    </row>
    <row r="2616" spans="1:26" ht="129.6" customHeight="1" x14ac:dyDescent="0.3">
      <c r="A2616" s="139">
        <v>2585</v>
      </c>
      <c r="B2616" s="242" t="s">
        <v>16177</v>
      </c>
      <c r="C2616" s="242" t="s">
        <v>15664</v>
      </c>
      <c r="D2616" s="60" t="s">
        <v>16101</v>
      </c>
      <c r="E2616" s="242"/>
      <c r="F2616" s="244">
        <v>2801750</v>
      </c>
      <c r="G2616" s="244"/>
      <c r="H2616" s="244"/>
      <c r="I2616" s="243">
        <v>40500</v>
      </c>
      <c r="J2616" s="242" t="s">
        <v>16434</v>
      </c>
      <c r="K2616" s="242"/>
      <c r="L2616" s="66"/>
      <c r="M2616" s="200" t="s">
        <v>12550</v>
      </c>
      <c r="N2616" s="226" t="s">
        <v>20727</v>
      </c>
      <c r="O2616" s="38"/>
      <c r="Q2616" s="161"/>
      <c r="R2616" s="161"/>
      <c r="S2616" s="161"/>
      <c r="T2616" s="161"/>
      <c r="U2616" s="161"/>
      <c r="V2616" s="161"/>
      <c r="W2616" s="161"/>
      <c r="X2616" s="161"/>
      <c r="Y2616" s="161"/>
      <c r="Z2616" s="161"/>
    </row>
    <row r="2617" spans="1:26" s="161" customFormat="1" ht="96" customHeight="1" x14ac:dyDescent="0.3">
      <c r="A2617" s="139">
        <v>2586</v>
      </c>
      <c r="B2617" s="242" t="s">
        <v>15666</v>
      </c>
      <c r="C2617" s="242" t="s">
        <v>16455</v>
      </c>
      <c r="D2617" s="60" t="s">
        <v>15667</v>
      </c>
      <c r="E2617" s="242">
        <v>186000</v>
      </c>
      <c r="F2617" s="244">
        <v>232500</v>
      </c>
      <c r="G2617" s="244"/>
      <c r="H2617" s="98">
        <v>232500</v>
      </c>
      <c r="I2617" s="243">
        <v>42583</v>
      </c>
      <c r="J2617" s="242" t="s">
        <v>16045</v>
      </c>
      <c r="K2617" s="242"/>
      <c r="L2617" s="66"/>
      <c r="M2617" s="200" t="s">
        <v>12550</v>
      </c>
      <c r="N2617" s="245" t="s">
        <v>17799</v>
      </c>
      <c r="O2617" s="245" t="s">
        <v>12039</v>
      </c>
      <c r="Q2617" s="67"/>
      <c r="R2617" s="67"/>
      <c r="S2617" s="67"/>
      <c r="T2617" s="67"/>
      <c r="U2617" s="67"/>
      <c r="V2617" s="67"/>
      <c r="W2617" s="67"/>
      <c r="X2617" s="67"/>
      <c r="Y2617" s="67"/>
      <c r="Z2617" s="67"/>
    </row>
    <row r="2618" spans="1:26" ht="48" customHeight="1" x14ac:dyDescent="0.3">
      <c r="A2618" s="139">
        <v>2587</v>
      </c>
      <c r="B2618" s="246" t="s">
        <v>15714</v>
      </c>
      <c r="C2618" s="246" t="s">
        <v>14424</v>
      </c>
      <c r="D2618" s="60" t="s">
        <v>15696</v>
      </c>
      <c r="E2618" s="207">
        <v>5740</v>
      </c>
      <c r="F2618" s="22">
        <v>448179.20000000001</v>
      </c>
      <c r="G2618" s="207"/>
      <c r="H2618" s="98">
        <v>448179.20000000001</v>
      </c>
      <c r="I2618" s="207" t="s">
        <v>12545</v>
      </c>
      <c r="J2618" s="66" t="s">
        <v>15717</v>
      </c>
      <c r="K2618" s="207"/>
      <c r="L2618" s="66"/>
      <c r="M2618" s="242" t="s">
        <v>15722</v>
      </c>
      <c r="N2618" s="207"/>
      <c r="O2618" s="245" t="s">
        <v>11937</v>
      </c>
    </row>
    <row r="2619" spans="1:26" ht="173.4" customHeight="1" x14ac:dyDescent="0.3">
      <c r="A2619" s="139">
        <v>2588</v>
      </c>
      <c r="B2619" s="246" t="s">
        <v>22939</v>
      </c>
      <c r="C2619" s="246" t="s">
        <v>15697</v>
      </c>
      <c r="D2619" s="60" t="s">
        <v>15698</v>
      </c>
      <c r="E2619" s="207">
        <v>4030</v>
      </c>
      <c r="F2619" s="22">
        <v>727052.3</v>
      </c>
      <c r="G2619" s="207"/>
      <c r="H2619" s="98">
        <v>727052.3</v>
      </c>
      <c r="I2619" s="207" t="s">
        <v>12545</v>
      </c>
      <c r="J2619" s="66" t="s">
        <v>15716</v>
      </c>
      <c r="K2619" s="207"/>
      <c r="L2619" s="66"/>
      <c r="M2619" s="242" t="s">
        <v>15722</v>
      </c>
      <c r="N2619" s="207"/>
      <c r="O2619" s="245" t="s">
        <v>11937</v>
      </c>
    </row>
    <row r="2620" spans="1:26" ht="54.6" customHeight="1" x14ac:dyDescent="0.3">
      <c r="A2620" s="139">
        <v>2589</v>
      </c>
      <c r="B2620" s="246" t="s">
        <v>15714</v>
      </c>
      <c r="C2620" s="246" t="s">
        <v>15699</v>
      </c>
      <c r="D2620" s="60" t="s">
        <v>15700</v>
      </c>
      <c r="E2620" s="207">
        <v>6240</v>
      </c>
      <c r="F2620" s="22">
        <v>1125758.3999999999</v>
      </c>
      <c r="G2620" s="207"/>
      <c r="H2620" s="98">
        <v>1125758.3999999999</v>
      </c>
      <c r="I2620" s="207" t="s">
        <v>12545</v>
      </c>
      <c r="J2620" s="66" t="s">
        <v>15715</v>
      </c>
      <c r="K2620" s="207"/>
      <c r="L2620" s="66"/>
      <c r="M2620" s="242" t="s">
        <v>15722</v>
      </c>
      <c r="N2620" s="207"/>
      <c r="O2620" s="245" t="s">
        <v>11937</v>
      </c>
    </row>
    <row r="2621" spans="1:26" ht="168" customHeight="1" x14ac:dyDescent="0.3">
      <c r="A2621" s="139">
        <v>2590</v>
      </c>
      <c r="B2621" s="246" t="s">
        <v>22939</v>
      </c>
      <c r="C2621" s="246" t="s">
        <v>15699</v>
      </c>
      <c r="D2621" s="60" t="s">
        <v>15701</v>
      </c>
      <c r="E2621" s="207">
        <v>12660</v>
      </c>
      <c r="F2621" s="22">
        <v>2283990.6</v>
      </c>
      <c r="G2621" s="207"/>
      <c r="H2621" s="98">
        <v>2283990.6</v>
      </c>
      <c r="I2621" s="207" t="s">
        <v>12545</v>
      </c>
      <c r="J2621" s="66" t="s">
        <v>15710</v>
      </c>
      <c r="K2621" s="207"/>
      <c r="L2621" s="66"/>
      <c r="M2621" s="242" t="s">
        <v>15722</v>
      </c>
      <c r="N2621" s="207"/>
      <c r="O2621" s="245" t="s">
        <v>11937</v>
      </c>
    </row>
    <row r="2622" spans="1:26" ht="180" customHeight="1" x14ac:dyDescent="0.3">
      <c r="A2622" s="139">
        <v>2591</v>
      </c>
      <c r="B2622" s="246" t="s">
        <v>22939</v>
      </c>
      <c r="C2622" s="246" t="s">
        <v>15702</v>
      </c>
      <c r="D2622" s="60" t="s">
        <v>15703</v>
      </c>
      <c r="E2622" s="207">
        <v>12990</v>
      </c>
      <c r="F2622" s="22">
        <v>2383535.1</v>
      </c>
      <c r="G2622" s="207"/>
      <c r="H2622" s="98">
        <v>2383535.1</v>
      </c>
      <c r="I2622" s="207" t="s">
        <v>12545</v>
      </c>
      <c r="J2622" s="66" t="s">
        <v>15711</v>
      </c>
      <c r="K2622" s="207"/>
      <c r="L2622" s="66"/>
      <c r="M2622" s="242" t="s">
        <v>15722</v>
      </c>
      <c r="N2622" s="207"/>
      <c r="O2622" s="245" t="s">
        <v>11937</v>
      </c>
    </row>
    <row r="2623" spans="1:26" ht="48" customHeight="1" x14ac:dyDescent="0.3">
      <c r="A2623" s="139">
        <v>2592</v>
      </c>
      <c r="B2623" s="246" t="s">
        <v>15708</v>
      </c>
      <c r="C2623" s="246" t="s">
        <v>15704</v>
      </c>
      <c r="D2623" s="60" t="s">
        <v>15705</v>
      </c>
      <c r="E2623" s="207">
        <v>20940</v>
      </c>
      <c r="F2623" s="22">
        <v>1992859.8</v>
      </c>
      <c r="G2623" s="207"/>
      <c r="H2623" s="98">
        <v>1992859.8</v>
      </c>
      <c r="I2623" s="207" t="s">
        <v>12545</v>
      </c>
      <c r="J2623" s="66" t="s">
        <v>15712</v>
      </c>
      <c r="K2623" s="207"/>
      <c r="L2623" s="66"/>
      <c r="M2623" s="242" t="s">
        <v>15722</v>
      </c>
      <c r="N2623" s="207"/>
      <c r="O2623" s="245" t="s">
        <v>11937</v>
      </c>
    </row>
    <row r="2624" spans="1:26" ht="71.400000000000006" customHeight="1" x14ac:dyDescent="0.3">
      <c r="A2624" s="139">
        <v>2593</v>
      </c>
      <c r="B2624" s="246" t="s">
        <v>15708</v>
      </c>
      <c r="C2624" s="246" t="s">
        <v>15706</v>
      </c>
      <c r="D2624" s="60" t="s">
        <v>15707</v>
      </c>
      <c r="E2624" s="207">
        <v>2383</v>
      </c>
      <c r="F2624" s="22">
        <v>437256.67</v>
      </c>
      <c r="G2624" s="207"/>
      <c r="H2624" s="98">
        <v>437256.67</v>
      </c>
      <c r="I2624" s="207" t="s">
        <v>12545</v>
      </c>
      <c r="J2624" s="66" t="s">
        <v>15713</v>
      </c>
      <c r="K2624" s="207"/>
      <c r="L2624" s="66"/>
      <c r="M2624" s="242" t="s">
        <v>15722</v>
      </c>
      <c r="N2624" s="207"/>
      <c r="O2624" s="245" t="s">
        <v>11937</v>
      </c>
    </row>
    <row r="2625" spans="1:16" ht="48" customHeight="1" x14ac:dyDescent="0.3">
      <c r="A2625" s="139">
        <v>2594</v>
      </c>
      <c r="B2625" s="246" t="s">
        <v>15708</v>
      </c>
      <c r="C2625" s="245" t="s">
        <v>15728</v>
      </c>
      <c r="D2625" s="85" t="s">
        <v>15729</v>
      </c>
      <c r="E2625" s="207">
        <v>12200</v>
      </c>
      <c r="F2625" s="25">
        <v>1233176</v>
      </c>
      <c r="G2625" s="207"/>
      <c r="H2625" s="98">
        <v>1233176</v>
      </c>
      <c r="I2625" s="207" t="s">
        <v>12545</v>
      </c>
      <c r="J2625" s="66" t="s">
        <v>15732</v>
      </c>
      <c r="K2625" s="207"/>
      <c r="L2625" s="66"/>
      <c r="M2625" s="242" t="s">
        <v>15722</v>
      </c>
      <c r="N2625" s="207"/>
      <c r="O2625" s="245" t="s">
        <v>11937</v>
      </c>
    </row>
    <row r="2626" spans="1:16" ht="48" customHeight="1" x14ac:dyDescent="0.3">
      <c r="A2626" s="139">
        <v>2595</v>
      </c>
      <c r="B2626" s="246" t="s">
        <v>15708</v>
      </c>
      <c r="C2626" s="245" t="s">
        <v>15730</v>
      </c>
      <c r="D2626" s="85" t="s">
        <v>15731</v>
      </c>
      <c r="E2626" s="207">
        <v>4410</v>
      </c>
      <c r="F2626" s="98">
        <v>343406.7</v>
      </c>
      <c r="G2626" s="207"/>
      <c r="H2626" s="98">
        <v>343406.7</v>
      </c>
      <c r="I2626" s="207" t="s">
        <v>12545</v>
      </c>
      <c r="J2626" s="66" t="s">
        <v>15733</v>
      </c>
      <c r="K2626" s="207"/>
      <c r="L2626" s="66"/>
      <c r="M2626" s="242" t="s">
        <v>15722</v>
      </c>
      <c r="N2626" s="207"/>
      <c r="O2626" s="245" t="s">
        <v>11937</v>
      </c>
    </row>
    <row r="2627" spans="1:16" ht="48" customHeight="1" x14ac:dyDescent="0.3">
      <c r="A2627" s="139">
        <v>2596</v>
      </c>
      <c r="B2627" s="246" t="s">
        <v>15708</v>
      </c>
      <c r="C2627" s="245" t="s">
        <v>15734</v>
      </c>
      <c r="D2627" s="85" t="s">
        <v>15735</v>
      </c>
      <c r="E2627" s="207">
        <v>5740</v>
      </c>
      <c r="F2627" s="98">
        <v>821538.9</v>
      </c>
      <c r="G2627" s="207"/>
      <c r="H2627" s="98">
        <v>821538.9</v>
      </c>
      <c r="I2627" s="207" t="s">
        <v>12545</v>
      </c>
      <c r="J2627" s="66" t="s">
        <v>15736</v>
      </c>
      <c r="K2627" s="207"/>
      <c r="L2627" s="66"/>
      <c r="M2627" s="242" t="s">
        <v>15722</v>
      </c>
      <c r="N2627" s="207"/>
      <c r="O2627" s="245" t="s">
        <v>11937</v>
      </c>
    </row>
    <row r="2628" spans="1:16" ht="48" customHeight="1" x14ac:dyDescent="0.3">
      <c r="A2628" s="139">
        <v>2597</v>
      </c>
      <c r="B2628" s="246" t="s">
        <v>15708</v>
      </c>
      <c r="C2628" s="245" t="s">
        <v>15737</v>
      </c>
      <c r="D2628" s="85" t="s">
        <v>15738</v>
      </c>
      <c r="E2628" s="207">
        <v>13080</v>
      </c>
      <c r="F2628" s="98">
        <v>2576236.7999999998</v>
      </c>
      <c r="G2628" s="207"/>
      <c r="H2628" s="98">
        <v>2576236.7999999998</v>
      </c>
      <c r="I2628" s="207" t="s">
        <v>12545</v>
      </c>
      <c r="J2628" s="66" t="s">
        <v>15740</v>
      </c>
      <c r="K2628" s="207"/>
      <c r="L2628" s="66"/>
      <c r="M2628" s="242" t="s">
        <v>15722</v>
      </c>
      <c r="N2628" s="207"/>
      <c r="O2628" s="245" t="s">
        <v>11937</v>
      </c>
    </row>
    <row r="2629" spans="1:16" ht="48" customHeight="1" x14ac:dyDescent="0.3">
      <c r="A2629" s="139">
        <v>2598</v>
      </c>
      <c r="B2629" s="246" t="s">
        <v>15708</v>
      </c>
      <c r="C2629" s="245" t="s">
        <v>15741</v>
      </c>
      <c r="D2629" s="85" t="s">
        <v>15742</v>
      </c>
      <c r="E2629" s="207">
        <v>4523</v>
      </c>
      <c r="F2629" s="98">
        <v>704457.25</v>
      </c>
      <c r="G2629" s="207"/>
      <c r="H2629" s="98">
        <v>704457.25</v>
      </c>
      <c r="I2629" s="207" t="s">
        <v>12545</v>
      </c>
      <c r="J2629" s="66" t="s">
        <v>15744</v>
      </c>
      <c r="K2629" s="207"/>
      <c r="L2629" s="66"/>
      <c r="M2629" s="242" t="s">
        <v>15722</v>
      </c>
      <c r="N2629" s="207"/>
      <c r="O2629" s="245" t="s">
        <v>11937</v>
      </c>
    </row>
    <row r="2630" spans="1:16" ht="169.2" customHeight="1" x14ac:dyDescent="0.3">
      <c r="A2630" s="139">
        <v>2599</v>
      </c>
      <c r="B2630" s="246" t="s">
        <v>22938</v>
      </c>
      <c r="C2630" s="245" t="s">
        <v>15747</v>
      </c>
      <c r="D2630" s="85" t="s">
        <v>15748</v>
      </c>
      <c r="E2630" s="207">
        <v>2580</v>
      </c>
      <c r="F2630" s="98">
        <v>510659.4</v>
      </c>
      <c r="G2630" s="207"/>
      <c r="H2630" s="98">
        <v>510659.4</v>
      </c>
      <c r="I2630" s="207" t="s">
        <v>12545</v>
      </c>
      <c r="J2630" s="66" t="s">
        <v>15750</v>
      </c>
      <c r="K2630" s="207"/>
      <c r="L2630" s="66"/>
      <c r="M2630" s="242" t="s">
        <v>15722</v>
      </c>
      <c r="N2630" s="207"/>
      <c r="O2630" s="245" t="s">
        <v>11937</v>
      </c>
    </row>
    <row r="2631" spans="1:16" ht="166.95" customHeight="1" x14ac:dyDescent="0.3">
      <c r="A2631" s="139">
        <v>2600</v>
      </c>
      <c r="B2631" s="246" t="s">
        <v>22938</v>
      </c>
      <c r="C2631" s="245" t="s">
        <v>15751</v>
      </c>
      <c r="D2631" s="85" t="s">
        <v>15752</v>
      </c>
      <c r="E2631" s="207">
        <v>4900</v>
      </c>
      <c r="F2631" s="98">
        <v>893417</v>
      </c>
      <c r="G2631" s="207"/>
      <c r="H2631" s="98">
        <v>893417</v>
      </c>
      <c r="I2631" s="207" t="s">
        <v>12545</v>
      </c>
      <c r="J2631" s="66" t="s">
        <v>15746</v>
      </c>
      <c r="K2631" s="207"/>
      <c r="L2631" s="66"/>
      <c r="M2631" s="242" t="s">
        <v>15722</v>
      </c>
      <c r="N2631" s="207"/>
      <c r="O2631" s="245" t="s">
        <v>11937</v>
      </c>
    </row>
    <row r="2632" spans="1:16" ht="171" customHeight="1" x14ac:dyDescent="0.3">
      <c r="A2632" s="139">
        <v>2601</v>
      </c>
      <c r="B2632" s="246" t="s">
        <v>22938</v>
      </c>
      <c r="C2632" s="245" t="s">
        <v>15753</v>
      </c>
      <c r="D2632" s="85" t="s">
        <v>15754</v>
      </c>
      <c r="E2632" s="207">
        <v>9790</v>
      </c>
      <c r="F2632" s="98">
        <v>1986488.9</v>
      </c>
      <c r="G2632" s="207"/>
      <c r="H2632" s="98">
        <v>1986488.9</v>
      </c>
      <c r="I2632" s="207" t="s">
        <v>12545</v>
      </c>
      <c r="J2632" s="66" t="s">
        <v>15739</v>
      </c>
      <c r="K2632" s="207"/>
      <c r="L2632" s="66"/>
      <c r="M2632" s="242" t="s">
        <v>15722</v>
      </c>
      <c r="N2632" s="207"/>
      <c r="O2632" s="245" t="s">
        <v>11937</v>
      </c>
    </row>
    <row r="2633" spans="1:16" ht="48" customHeight="1" x14ac:dyDescent="0.3">
      <c r="A2633" s="139">
        <v>2602</v>
      </c>
      <c r="B2633" s="246" t="s">
        <v>15714</v>
      </c>
      <c r="C2633" s="245" t="s">
        <v>15758</v>
      </c>
      <c r="D2633" s="85" t="s">
        <v>15756</v>
      </c>
      <c r="E2633" s="207">
        <v>4250</v>
      </c>
      <c r="F2633" s="98">
        <v>596657.5</v>
      </c>
      <c r="G2633" s="207"/>
      <c r="H2633" s="98">
        <v>596657.5</v>
      </c>
      <c r="I2633" s="207" t="s">
        <v>12545</v>
      </c>
      <c r="J2633" s="66" t="s">
        <v>15757</v>
      </c>
      <c r="K2633" s="207"/>
      <c r="L2633" s="66"/>
      <c r="M2633" s="242" t="s">
        <v>15722</v>
      </c>
      <c r="N2633" s="207"/>
      <c r="O2633" s="245" t="s">
        <v>11937</v>
      </c>
    </row>
    <row r="2634" spans="1:16" ht="48" customHeight="1" x14ac:dyDescent="0.3">
      <c r="A2634" s="139">
        <v>2603</v>
      </c>
      <c r="B2634" s="246" t="s">
        <v>15714</v>
      </c>
      <c r="C2634" s="245" t="s">
        <v>15759</v>
      </c>
      <c r="D2634" s="85" t="s">
        <v>15760</v>
      </c>
      <c r="E2634" s="207">
        <v>3020</v>
      </c>
      <c r="F2634" s="98">
        <v>554139.80000000005</v>
      </c>
      <c r="G2634" s="207"/>
      <c r="H2634" s="98">
        <v>554139.80000000005</v>
      </c>
      <c r="I2634" s="207" t="s">
        <v>12545</v>
      </c>
      <c r="J2634" s="66" t="s">
        <v>15762</v>
      </c>
      <c r="K2634" s="207"/>
      <c r="L2634" s="66"/>
      <c r="M2634" s="242" t="s">
        <v>15722</v>
      </c>
      <c r="N2634" s="207"/>
      <c r="O2634" s="245" t="s">
        <v>11937</v>
      </c>
    </row>
    <row r="2635" spans="1:16" ht="48" customHeight="1" x14ac:dyDescent="0.3">
      <c r="A2635" s="139">
        <v>2604</v>
      </c>
      <c r="B2635" s="246" t="s">
        <v>15714</v>
      </c>
      <c r="C2635" s="245" t="s">
        <v>15763</v>
      </c>
      <c r="D2635" s="85" t="s">
        <v>15764</v>
      </c>
      <c r="E2635" s="207">
        <v>4440</v>
      </c>
      <c r="F2635" s="98">
        <v>814695.6</v>
      </c>
      <c r="G2635" s="207"/>
      <c r="H2635" s="98">
        <v>814695.6</v>
      </c>
      <c r="I2635" s="207" t="s">
        <v>12545</v>
      </c>
      <c r="J2635" s="66" t="s">
        <v>15761</v>
      </c>
      <c r="K2635" s="207"/>
      <c r="L2635" s="66"/>
      <c r="M2635" s="242" t="s">
        <v>15722</v>
      </c>
      <c r="N2635" s="207"/>
      <c r="O2635" s="245" t="s">
        <v>11937</v>
      </c>
    </row>
    <row r="2636" spans="1:16" ht="48" customHeight="1" x14ac:dyDescent="0.3">
      <c r="A2636" s="139">
        <v>2605</v>
      </c>
      <c r="B2636" s="246" t="s">
        <v>15714</v>
      </c>
      <c r="C2636" s="245" t="s">
        <v>15766</v>
      </c>
      <c r="D2636" s="85" t="s">
        <v>15767</v>
      </c>
      <c r="E2636" s="207">
        <v>2210</v>
      </c>
      <c r="F2636" s="98">
        <v>405512.9</v>
      </c>
      <c r="G2636" s="207"/>
      <c r="H2636" s="98">
        <v>405512.9</v>
      </c>
      <c r="I2636" s="207" t="s">
        <v>12545</v>
      </c>
      <c r="J2636" s="66" t="s">
        <v>15765</v>
      </c>
      <c r="K2636" s="207"/>
      <c r="L2636" s="66"/>
      <c r="M2636" s="242" t="s">
        <v>15722</v>
      </c>
      <c r="N2636" s="207"/>
      <c r="O2636" s="245" t="s">
        <v>11937</v>
      </c>
    </row>
    <row r="2637" spans="1:16" ht="48" customHeight="1" x14ac:dyDescent="0.3">
      <c r="A2637" s="139">
        <v>2606</v>
      </c>
      <c r="B2637" s="246" t="s">
        <v>15745</v>
      </c>
      <c r="C2637" s="245" t="s">
        <v>15768</v>
      </c>
      <c r="D2637" s="85" t="s">
        <v>15769</v>
      </c>
      <c r="E2637" s="207">
        <v>3511</v>
      </c>
      <c r="F2637" s="98">
        <v>644233.39</v>
      </c>
      <c r="G2637" s="207"/>
      <c r="H2637" s="98">
        <v>644233.39</v>
      </c>
      <c r="I2637" s="207" t="s">
        <v>12545</v>
      </c>
      <c r="J2637" s="66" t="s">
        <v>15755</v>
      </c>
      <c r="K2637" s="207"/>
      <c r="L2637" s="66"/>
      <c r="M2637" s="242" t="s">
        <v>15722</v>
      </c>
      <c r="N2637" s="207"/>
      <c r="O2637" s="245" t="s">
        <v>11937</v>
      </c>
    </row>
    <row r="2638" spans="1:16" ht="48" customHeight="1" x14ac:dyDescent="0.3">
      <c r="A2638" s="139">
        <v>2607</v>
      </c>
      <c r="B2638" s="246" t="s">
        <v>15745</v>
      </c>
      <c r="C2638" s="245" t="s">
        <v>15770</v>
      </c>
      <c r="D2638" s="85" t="s">
        <v>15771</v>
      </c>
      <c r="E2638" s="207">
        <v>2980</v>
      </c>
      <c r="F2638" s="98">
        <v>546800.19999999995</v>
      </c>
      <c r="G2638" s="207"/>
      <c r="H2638" s="98">
        <v>546800.19999999995</v>
      </c>
      <c r="I2638" s="207" t="s">
        <v>12545</v>
      </c>
      <c r="J2638" s="66" t="s">
        <v>15749</v>
      </c>
      <c r="K2638" s="207"/>
      <c r="L2638" s="66"/>
      <c r="M2638" s="242" t="s">
        <v>15722</v>
      </c>
      <c r="N2638" s="207"/>
      <c r="O2638" s="245" t="s">
        <v>11937</v>
      </c>
    </row>
    <row r="2639" spans="1:16" ht="48" customHeight="1" x14ac:dyDescent="0.3">
      <c r="A2639" s="139">
        <v>2608</v>
      </c>
      <c r="B2639" s="246" t="s">
        <v>15772</v>
      </c>
      <c r="C2639" s="245" t="s">
        <v>15773</v>
      </c>
      <c r="D2639" s="85" t="s">
        <v>15774</v>
      </c>
      <c r="E2639" s="207">
        <v>5680</v>
      </c>
      <c r="F2639" s="98">
        <v>884660</v>
      </c>
      <c r="G2639" s="207"/>
      <c r="H2639" s="98">
        <v>884660</v>
      </c>
      <c r="I2639" s="207" t="s">
        <v>12545</v>
      </c>
      <c r="J2639" s="66" t="s">
        <v>15776</v>
      </c>
      <c r="K2639" s="207"/>
      <c r="L2639" s="66"/>
      <c r="M2639" s="242" t="s">
        <v>15722</v>
      </c>
      <c r="N2639" s="207"/>
      <c r="O2639" s="245" t="s">
        <v>11937</v>
      </c>
      <c r="P2639" s="4"/>
    </row>
    <row r="2640" spans="1:16" ht="48" customHeight="1" x14ac:dyDescent="0.3">
      <c r="A2640" s="139">
        <v>2609</v>
      </c>
      <c r="B2640" s="246" t="s">
        <v>15772</v>
      </c>
      <c r="C2640" s="245" t="s">
        <v>15777</v>
      </c>
      <c r="D2640" s="85" t="s">
        <v>15778</v>
      </c>
      <c r="E2640" s="207">
        <v>35530</v>
      </c>
      <c r="F2640" s="98">
        <v>7209392.2999999998</v>
      </c>
      <c r="G2640" s="207"/>
      <c r="H2640" s="98">
        <v>7209392.2999999998</v>
      </c>
      <c r="I2640" s="207" t="s">
        <v>12545</v>
      </c>
      <c r="J2640" s="66" t="s">
        <v>15775</v>
      </c>
      <c r="K2640" s="207"/>
      <c r="L2640" s="66"/>
      <c r="M2640" s="242" t="s">
        <v>15722</v>
      </c>
      <c r="N2640" s="207"/>
      <c r="O2640" s="245" t="s">
        <v>11937</v>
      </c>
      <c r="P2640" s="4"/>
    </row>
    <row r="2641" spans="1:26" ht="156" customHeight="1" x14ac:dyDescent="0.3">
      <c r="A2641" s="139">
        <v>2610</v>
      </c>
      <c r="B2641" s="246" t="s">
        <v>22939</v>
      </c>
      <c r="C2641" s="245" t="s">
        <v>15780</v>
      </c>
      <c r="D2641" s="85" t="s">
        <v>15781</v>
      </c>
      <c r="E2641" s="207">
        <v>3460</v>
      </c>
      <c r="F2641" s="98">
        <v>197773.6</v>
      </c>
      <c r="G2641" s="207"/>
      <c r="H2641" s="98">
        <v>197773.6</v>
      </c>
      <c r="I2641" s="207" t="s">
        <v>12545</v>
      </c>
      <c r="J2641" s="66" t="s">
        <v>15743</v>
      </c>
      <c r="K2641" s="207"/>
      <c r="L2641" s="66"/>
      <c r="M2641" s="242" t="s">
        <v>15722</v>
      </c>
      <c r="N2641" s="207"/>
      <c r="O2641" s="245" t="s">
        <v>11937</v>
      </c>
      <c r="P2641" s="4"/>
    </row>
    <row r="2642" spans="1:26" ht="169.2" customHeight="1" x14ac:dyDescent="0.3">
      <c r="A2642" s="139">
        <v>2611</v>
      </c>
      <c r="B2642" s="246" t="s">
        <v>22938</v>
      </c>
      <c r="C2642" s="245" t="s">
        <v>15782</v>
      </c>
      <c r="D2642" s="85" t="s">
        <v>15783</v>
      </c>
      <c r="E2642" s="207">
        <v>14120</v>
      </c>
      <c r="F2642" s="98">
        <v>2590878.7999999998</v>
      </c>
      <c r="G2642" s="207"/>
      <c r="H2642" s="98">
        <v>2590878.7999999998</v>
      </c>
      <c r="I2642" s="207" t="s">
        <v>12545</v>
      </c>
      <c r="J2642" s="66" t="s">
        <v>15779</v>
      </c>
      <c r="K2642" s="207"/>
      <c r="L2642" s="66"/>
      <c r="M2642" s="242" t="s">
        <v>15722</v>
      </c>
      <c r="N2642" s="207"/>
      <c r="O2642" s="245" t="s">
        <v>11937</v>
      </c>
      <c r="P2642" s="4"/>
    </row>
    <row r="2643" spans="1:26" ht="136.19999999999999" customHeight="1" x14ac:dyDescent="0.3">
      <c r="A2643" s="139">
        <v>2612</v>
      </c>
      <c r="B2643" s="140" t="s">
        <v>15810</v>
      </c>
      <c r="C2643" s="245" t="s">
        <v>15782</v>
      </c>
      <c r="D2643" s="85" t="s">
        <v>15809</v>
      </c>
      <c r="E2643" s="207">
        <v>2800</v>
      </c>
      <c r="F2643" s="244">
        <v>1653736</v>
      </c>
      <c r="G2643" s="207"/>
      <c r="H2643" s="98">
        <v>1653736</v>
      </c>
      <c r="I2643" s="207" t="s">
        <v>12545</v>
      </c>
      <c r="J2643" s="66" t="s">
        <v>19741</v>
      </c>
      <c r="K2643" s="242" t="s">
        <v>20442</v>
      </c>
      <c r="L2643" s="66" t="s">
        <v>22704</v>
      </c>
      <c r="M2643" s="201" t="s">
        <v>12550</v>
      </c>
      <c r="N2643" s="207"/>
      <c r="O2643" s="245" t="s">
        <v>22585</v>
      </c>
    </row>
    <row r="2644" spans="1:26" ht="66.599999999999994" customHeight="1" x14ac:dyDescent="0.3">
      <c r="A2644" s="139">
        <v>2613</v>
      </c>
      <c r="B2644" s="140" t="s">
        <v>15784</v>
      </c>
      <c r="C2644" s="245" t="s">
        <v>15785</v>
      </c>
      <c r="D2644" s="85" t="s">
        <v>15786</v>
      </c>
      <c r="E2644" s="174">
        <v>30260</v>
      </c>
      <c r="F2644" s="103">
        <v>3062009.4</v>
      </c>
      <c r="G2644" s="56"/>
      <c r="H2644" s="98">
        <v>3062009.4</v>
      </c>
      <c r="I2644" s="207" t="s">
        <v>12545</v>
      </c>
      <c r="J2644" s="66" t="s">
        <v>15787</v>
      </c>
      <c r="K2644" s="207"/>
      <c r="L2644" s="66"/>
      <c r="M2644" s="242" t="s">
        <v>15722</v>
      </c>
      <c r="N2644" s="207"/>
      <c r="O2644" s="245" t="s">
        <v>11937</v>
      </c>
      <c r="P2644" s="4"/>
    </row>
    <row r="2645" spans="1:26" ht="60" customHeight="1" x14ac:dyDescent="0.3">
      <c r="A2645" s="139">
        <v>2614</v>
      </c>
      <c r="B2645" s="140" t="s">
        <v>15806</v>
      </c>
      <c r="C2645" s="245" t="s">
        <v>15805</v>
      </c>
      <c r="D2645" s="85" t="s">
        <v>15804</v>
      </c>
      <c r="E2645" s="174">
        <v>6720</v>
      </c>
      <c r="F2645" s="103">
        <v>699484.8</v>
      </c>
      <c r="G2645" s="56"/>
      <c r="H2645" s="98">
        <v>699484.8</v>
      </c>
      <c r="I2645" s="207" t="s">
        <v>12545</v>
      </c>
      <c r="J2645" s="66" t="s">
        <v>15807</v>
      </c>
      <c r="K2645" s="207"/>
      <c r="L2645" s="66"/>
      <c r="M2645" s="242" t="s">
        <v>15722</v>
      </c>
      <c r="N2645" s="207"/>
      <c r="O2645" s="245" t="s">
        <v>11937</v>
      </c>
      <c r="P2645" s="4"/>
    </row>
    <row r="2646" spans="1:26" ht="168.6" customHeight="1" x14ac:dyDescent="0.3">
      <c r="A2646" s="139">
        <v>2615</v>
      </c>
      <c r="B2646" s="246" t="s">
        <v>15709</v>
      </c>
      <c r="C2646" s="140" t="s">
        <v>15803</v>
      </c>
      <c r="D2646" s="85" t="s">
        <v>15801</v>
      </c>
      <c r="E2646" s="174">
        <v>7500</v>
      </c>
      <c r="F2646" s="103">
        <v>655575</v>
      </c>
      <c r="G2646" s="56"/>
      <c r="H2646" s="98">
        <v>655575</v>
      </c>
      <c r="I2646" s="207" t="s">
        <v>12545</v>
      </c>
      <c r="J2646" s="66" t="s">
        <v>15802</v>
      </c>
      <c r="K2646" s="207"/>
      <c r="L2646" s="66"/>
      <c r="M2646" s="242" t="s">
        <v>15722</v>
      </c>
      <c r="N2646" s="207"/>
      <c r="O2646" s="245" t="s">
        <v>11937</v>
      </c>
      <c r="P2646" s="4"/>
    </row>
    <row r="2647" spans="1:26" ht="60" customHeight="1" x14ac:dyDescent="0.3">
      <c r="A2647" s="139">
        <v>2616</v>
      </c>
      <c r="B2647" s="140" t="s">
        <v>15796</v>
      </c>
      <c r="C2647" s="245" t="s">
        <v>15797</v>
      </c>
      <c r="D2647" s="85" t="s">
        <v>15798</v>
      </c>
      <c r="E2647" s="138">
        <v>19950</v>
      </c>
      <c r="F2647" s="104">
        <v>1981035</v>
      </c>
      <c r="G2647" s="6"/>
      <c r="H2647" s="98">
        <v>1981035</v>
      </c>
      <c r="I2647" s="207" t="s">
        <v>12545</v>
      </c>
      <c r="J2647" s="66" t="s">
        <v>15800</v>
      </c>
      <c r="K2647" s="207"/>
      <c r="L2647" s="66"/>
      <c r="M2647" s="242" t="s">
        <v>15722</v>
      </c>
      <c r="N2647" s="207"/>
      <c r="O2647" s="245" t="s">
        <v>11937</v>
      </c>
      <c r="P2647" s="4"/>
    </row>
    <row r="2648" spans="1:26" ht="73.2" customHeight="1" x14ac:dyDescent="0.3">
      <c r="A2648" s="139">
        <v>2617</v>
      </c>
      <c r="B2648" s="140" t="s">
        <v>15795</v>
      </c>
      <c r="C2648" s="245" t="s">
        <v>15785</v>
      </c>
      <c r="D2648" s="85" t="s">
        <v>15794</v>
      </c>
      <c r="E2648" s="138">
        <v>19950</v>
      </c>
      <c r="F2648" s="104">
        <v>2018740.5</v>
      </c>
      <c r="G2648" s="6"/>
      <c r="H2648" s="98">
        <v>2018740.5</v>
      </c>
      <c r="I2648" s="207" t="s">
        <v>12545</v>
      </c>
      <c r="J2648" s="66" t="s">
        <v>15799</v>
      </c>
      <c r="K2648" s="207"/>
      <c r="L2648" s="66"/>
      <c r="M2648" s="242" t="s">
        <v>15722</v>
      </c>
      <c r="N2648" s="207"/>
      <c r="O2648" s="245" t="s">
        <v>11937</v>
      </c>
      <c r="P2648" s="4"/>
    </row>
    <row r="2649" spans="1:26" ht="48" customHeight="1" x14ac:dyDescent="0.3">
      <c r="A2649" s="139">
        <v>2618</v>
      </c>
      <c r="B2649" s="57" t="s">
        <v>15790</v>
      </c>
      <c r="C2649" s="245" t="s">
        <v>15785</v>
      </c>
      <c r="D2649" s="85" t="s">
        <v>15788</v>
      </c>
      <c r="E2649" s="138">
        <v>261</v>
      </c>
      <c r="F2649" s="104">
        <v>216580.41</v>
      </c>
      <c r="G2649" s="207"/>
      <c r="H2649" s="104">
        <v>216580.41</v>
      </c>
      <c r="I2649" s="207" t="s">
        <v>12545</v>
      </c>
      <c r="J2649" s="66" t="s">
        <v>15789</v>
      </c>
      <c r="K2649" s="207"/>
      <c r="L2649" s="66"/>
      <c r="M2649" s="242" t="s">
        <v>15722</v>
      </c>
      <c r="N2649" s="207"/>
      <c r="O2649" s="245" t="s">
        <v>11937</v>
      </c>
      <c r="P2649" s="4"/>
    </row>
    <row r="2650" spans="1:26" ht="60" customHeight="1" x14ac:dyDescent="0.3">
      <c r="A2650" s="139">
        <v>2619</v>
      </c>
      <c r="B2650" s="57" t="s">
        <v>15792</v>
      </c>
      <c r="C2650" s="245" t="s">
        <v>15791</v>
      </c>
      <c r="D2650" s="85" t="s">
        <v>15808</v>
      </c>
      <c r="E2650" s="138">
        <v>1200</v>
      </c>
      <c r="F2650" s="104">
        <v>7200</v>
      </c>
      <c r="G2650" s="6"/>
      <c r="H2650" s="98">
        <v>7200</v>
      </c>
      <c r="I2650" s="207" t="s">
        <v>12545</v>
      </c>
      <c r="J2650" s="66" t="s">
        <v>15793</v>
      </c>
      <c r="K2650" s="207"/>
      <c r="L2650" s="66"/>
      <c r="M2650" s="242" t="s">
        <v>15722</v>
      </c>
      <c r="N2650" s="207"/>
      <c r="O2650" s="245" t="s">
        <v>11937</v>
      </c>
      <c r="P2650" s="4"/>
    </row>
    <row r="2651" spans="1:26" ht="108" customHeight="1" x14ac:dyDescent="0.3">
      <c r="A2651" s="139">
        <v>2620</v>
      </c>
      <c r="B2651" s="245" t="s">
        <v>16456</v>
      </c>
      <c r="C2651" s="245" t="s">
        <v>16445</v>
      </c>
      <c r="D2651" s="85" t="s">
        <v>15811</v>
      </c>
      <c r="E2651" s="207">
        <v>92100</v>
      </c>
      <c r="F2651" s="25">
        <v>949551</v>
      </c>
      <c r="G2651" s="207"/>
      <c r="H2651" s="25">
        <v>949551</v>
      </c>
      <c r="I2651" s="26" t="s">
        <v>15812</v>
      </c>
      <c r="J2651" s="66" t="s">
        <v>15813</v>
      </c>
      <c r="K2651" s="207"/>
      <c r="L2651" s="66"/>
      <c r="M2651" s="200" t="s">
        <v>12550</v>
      </c>
      <c r="N2651" s="207"/>
      <c r="O2651" s="245" t="s">
        <v>12039</v>
      </c>
    </row>
    <row r="2652" spans="1:26" ht="72" customHeight="1" x14ac:dyDescent="0.3">
      <c r="A2652" s="139">
        <v>2621</v>
      </c>
      <c r="B2652" s="245" t="s">
        <v>16457</v>
      </c>
      <c r="C2652" s="245" t="s">
        <v>15814</v>
      </c>
      <c r="D2652" s="85" t="s">
        <v>15815</v>
      </c>
      <c r="E2652" s="207">
        <v>16200</v>
      </c>
      <c r="F2652" s="25">
        <v>138672</v>
      </c>
      <c r="G2652" s="207"/>
      <c r="H2652" s="20">
        <v>138672</v>
      </c>
      <c r="I2652" s="26">
        <v>42544</v>
      </c>
      <c r="J2652" s="66" t="s">
        <v>15816</v>
      </c>
      <c r="K2652" s="207"/>
      <c r="L2652" s="66"/>
      <c r="M2652" s="200" t="s">
        <v>12550</v>
      </c>
      <c r="N2652" s="207"/>
      <c r="O2652" s="245" t="s">
        <v>12039</v>
      </c>
    </row>
    <row r="2653" spans="1:26" ht="96" customHeight="1" x14ac:dyDescent="0.3">
      <c r="A2653" s="139">
        <v>2622</v>
      </c>
      <c r="B2653" s="245" t="s">
        <v>16457</v>
      </c>
      <c r="C2653" s="245" t="s">
        <v>16446</v>
      </c>
      <c r="D2653" s="85" t="s">
        <v>15817</v>
      </c>
      <c r="E2653" s="207">
        <v>13200</v>
      </c>
      <c r="F2653" s="25">
        <v>26664</v>
      </c>
      <c r="G2653" s="207"/>
      <c r="H2653" s="25">
        <v>26664</v>
      </c>
      <c r="I2653" s="26">
        <v>42544</v>
      </c>
      <c r="J2653" s="66" t="s">
        <v>15819</v>
      </c>
      <c r="K2653" s="207"/>
      <c r="L2653" s="66"/>
      <c r="M2653" s="200" t="s">
        <v>12550</v>
      </c>
      <c r="N2653" s="207"/>
      <c r="O2653" s="245" t="s">
        <v>12039</v>
      </c>
    </row>
    <row r="2654" spans="1:26" ht="84" customHeight="1" x14ac:dyDescent="0.3">
      <c r="A2654" s="139">
        <v>2623</v>
      </c>
      <c r="B2654" s="245" t="s">
        <v>16457</v>
      </c>
      <c r="C2654" s="245" t="s">
        <v>15821</v>
      </c>
      <c r="D2654" s="85" t="s">
        <v>15820</v>
      </c>
      <c r="E2654" s="207">
        <v>40400</v>
      </c>
      <c r="F2654" s="98">
        <v>457732</v>
      </c>
      <c r="G2654" s="207"/>
      <c r="H2654" s="98">
        <v>457732</v>
      </c>
      <c r="I2654" s="26">
        <v>42544</v>
      </c>
      <c r="J2654" s="66" t="s">
        <v>15818</v>
      </c>
      <c r="K2654" s="207"/>
      <c r="L2654" s="66"/>
      <c r="M2654" s="200" t="s">
        <v>12550</v>
      </c>
      <c r="N2654" s="207"/>
      <c r="O2654" s="245" t="s">
        <v>12039</v>
      </c>
    </row>
    <row r="2655" spans="1:26" ht="75.599999999999994" customHeight="1" x14ac:dyDescent="0.3">
      <c r="A2655" s="139">
        <v>2624</v>
      </c>
      <c r="B2655" s="245" t="s">
        <v>15823</v>
      </c>
      <c r="C2655" s="245" t="s">
        <v>15822</v>
      </c>
      <c r="D2655" s="85" t="s">
        <v>16442</v>
      </c>
      <c r="E2655" s="207">
        <v>2330</v>
      </c>
      <c r="F2655" s="25">
        <v>461176.9</v>
      </c>
      <c r="G2655" s="207"/>
      <c r="H2655" s="25">
        <v>461176.9</v>
      </c>
      <c r="I2655" s="26">
        <v>42545</v>
      </c>
      <c r="J2655" s="66" t="s">
        <v>20435</v>
      </c>
      <c r="K2655" s="207"/>
      <c r="L2655" s="66"/>
      <c r="M2655" s="242" t="s">
        <v>15722</v>
      </c>
      <c r="N2655" s="207"/>
      <c r="O2655" s="245" t="s">
        <v>11937</v>
      </c>
    </row>
    <row r="2656" spans="1:26" ht="60" customHeight="1" x14ac:dyDescent="0.3">
      <c r="A2656" s="139">
        <v>2625</v>
      </c>
      <c r="B2656" s="245" t="s">
        <v>15824</v>
      </c>
      <c r="C2656" s="245" t="s">
        <v>15822</v>
      </c>
      <c r="D2656" s="85" t="s">
        <v>16443</v>
      </c>
      <c r="E2656" s="207">
        <v>70</v>
      </c>
      <c r="F2656" s="25">
        <v>13855.1</v>
      </c>
      <c r="G2656" s="207"/>
      <c r="H2656" s="25">
        <v>13855.1</v>
      </c>
      <c r="I2656" s="26">
        <v>42545</v>
      </c>
      <c r="J2656" s="66" t="s">
        <v>15825</v>
      </c>
      <c r="K2656" s="207"/>
      <c r="L2656" s="66"/>
      <c r="M2656" s="242" t="s">
        <v>15722</v>
      </c>
      <c r="N2656" s="207"/>
      <c r="O2656" s="245" t="s">
        <v>11937</v>
      </c>
      <c r="Q2656" s="148"/>
      <c r="R2656" s="148"/>
      <c r="S2656" s="148"/>
      <c r="T2656" s="148"/>
      <c r="U2656" s="148"/>
      <c r="V2656" s="148"/>
      <c r="W2656" s="148"/>
      <c r="X2656" s="148"/>
      <c r="Y2656" s="148"/>
      <c r="Z2656" s="148"/>
    </row>
    <row r="2657" spans="1:26" s="148" customFormat="1" ht="76.2" customHeight="1" x14ac:dyDescent="0.3">
      <c r="A2657" s="139">
        <v>2626</v>
      </c>
      <c r="B2657" s="245" t="s">
        <v>15826</v>
      </c>
      <c r="C2657" s="245" t="s">
        <v>15822</v>
      </c>
      <c r="D2657" s="85" t="s">
        <v>20434</v>
      </c>
      <c r="E2657" s="207">
        <v>550</v>
      </c>
      <c r="F2657" s="25">
        <v>108861.5</v>
      </c>
      <c r="G2657" s="207"/>
      <c r="H2657" s="25">
        <v>10861.5</v>
      </c>
      <c r="I2657" s="26">
        <v>42545</v>
      </c>
      <c r="J2657" s="66" t="s">
        <v>15828</v>
      </c>
      <c r="K2657" s="207"/>
      <c r="L2657" s="66"/>
      <c r="M2657" s="242" t="s">
        <v>15722</v>
      </c>
      <c r="N2657" s="207"/>
      <c r="O2657" s="245" t="s">
        <v>11937</v>
      </c>
      <c r="P2657" s="161"/>
      <c r="Q2657" s="67"/>
      <c r="R2657" s="67"/>
      <c r="S2657" s="67"/>
      <c r="T2657" s="67"/>
      <c r="U2657" s="67"/>
      <c r="V2657" s="67"/>
      <c r="W2657" s="67"/>
      <c r="X2657" s="67"/>
      <c r="Y2657" s="67"/>
      <c r="Z2657" s="67"/>
    </row>
    <row r="2658" spans="1:26" ht="60" customHeight="1" x14ac:dyDescent="0.3">
      <c r="A2658" s="139">
        <v>2627</v>
      </c>
      <c r="B2658" s="245" t="s">
        <v>15833</v>
      </c>
      <c r="C2658" s="245" t="s">
        <v>15829</v>
      </c>
      <c r="D2658" s="85" t="s">
        <v>15830</v>
      </c>
      <c r="E2658" s="207">
        <v>900</v>
      </c>
      <c r="F2658" s="98">
        <v>170577</v>
      </c>
      <c r="G2658" s="207"/>
      <c r="H2658" s="98">
        <v>170577</v>
      </c>
      <c r="I2658" s="26">
        <v>42545</v>
      </c>
      <c r="J2658" s="66" t="s">
        <v>15832</v>
      </c>
      <c r="K2658" s="207"/>
      <c r="L2658" s="66"/>
      <c r="M2658" s="242" t="s">
        <v>15722</v>
      </c>
      <c r="N2658" s="207"/>
      <c r="O2658" s="245" t="s">
        <v>11937</v>
      </c>
    </row>
    <row r="2659" spans="1:26" ht="60" customHeight="1" x14ac:dyDescent="0.3">
      <c r="A2659" s="139">
        <v>2628</v>
      </c>
      <c r="B2659" s="245" t="s">
        <v>15833</v>
      </c>
      <c r="C2659" s="245" t="s">
        <v>15834</v>
      </c>
      <c r="D2659" s="85" t="s">
        <v>15835</v>
      </c>
      <c r="E2659" s="207">
        <v>900</v>
      </c>
      <c r="F2659" s="25">
        <v>165141</v>
      </c>
      <c r="G2659" s="207"/>
      <c r="H2659" s="25">
        <v>165141</v>
      </c>
      <c r="I2659" s="26">
        <v>42545</v>
      </c>
      <c r="J2659" s="66" t="s">
        <v>15831</v>
      </c>
      <c r="K2659" s="207"/>
      <c r="L2659" s="66"/>
      <c r="M2659" s="242" t="s">
        <v>15722</v>
      </c>
      <c r="N2659" s="207"/>
      <c r="O2659" s="245" t="s">
        <v>11937</v>
      </c>
    </row>
    <row r="2660" spans="1:26" ht="60" customHeight="1" x14ac:dyDescent="0.3">
      <c r="A2660" s="139">
        <v>2629</v>
      </c>
      <c r="B2660" s="245" t="s">
        <v>15833</v>
      </c>
      <c r="C2660" s="245" t="s">
        <v>15837</v>
      </c>
      <c r="D2660" s="85" t="s">
        <v>15838</v>
      </c>
      <c r="E2660" s="207">
        <v>1120</v>
      </c>
      <c r="F2660" s="98">
        <v>205508.8</v>
      </c>
      <c r="G2660" s="207"/>
      <c r="H2660" s="98">
        <v>205508.8</v>
      </c>
      <c r="I2660" s="26">
        <v>42545</v>
      </c>
      <c r="J2660" s="66" t="s">
        <v>15839</v>
      </c>
      <c r="K2660" s="207"/>
      <c r="L2660" s="66"/>
      <c r="M2660" s="242" t="s">
        <v>15722</v>
      </c>
      <c r="N2660" s="207"/>
      <c r="O2660" s="245" t="s">
        <v>11937</v>
      </c>
    </row>
    <row r="2661" spans="1:26" ht="48.6" customHeight="1" x14ac:dyDescent="0.3">
      <c r="A2661" s="139">
        <v>2630</v>
      </c>
      <c r="B2661" s="245" t="s">
        <v>15826</v>
      </c>
      <c r="C2661" s="245" t="s">
        <v>15492</v>
      </c>
      <c r="D2661" s="85" t="s">
        <v>15840</v>
      </c>
      <c r="E2661" s="207">
        <v>450</v>
      </c>
      <c r="F2661" s="98">
        <v>82570.5</v>
      </c>
      <c r="G2661" s="207"/>
      <c r="H2661" s="98">
        <v>82570.5</v>
      </c>
      <c r="I2661" s="26">
        <v>42545</v>
      </c>
      <c r="J2661" s="66" t="s">
        <v>15841</v>
      </c>
      <c r="K2661" s="207"/>
      <c r="L2661" s="66"/>
      <c r="M2661" s="242" t="s">
        <v>15722</v>
      </c>
      <c r="N2661" s="207"/>
      <c r="O2661" s="245" t="s">
        <v>11937</v>
      </c>
    </row>
    <row r="2662" spans="1:26" ht="60" customHeight="1" x14ac:dyDescent="0.3">
      <c r="A2662" s="139">
        <v>2631</v>
      </c>
      <c r="B2662" s="245" t="s">
        <v>15823</v>
      </c>
      <c r="C2662" s="245" t="s">
        <v>15492</v>
      </c>
      <c r="D2662" s="85" t="s">
        <v>15842</v>
      </c>
      <c r="E2662" s="207">
        <v>4606</v>
      </c>
      <c r="F2662" s="98">
        <v>845154.94</v>
      </c>
      <c r="G2662" s="207"/>
      <c r="H2662" s="98">
        <v>845154.94</v>
      </c>
      <c r="I2662" s="26">
        <v>42545</v>
      </c>
      <c r="J2662" s="66" t="s">
        <v>15827</v>
      </c>
      <c r="K2662" s="207"/>
      <c r="L2662" s="66"/>
      <c r="M2662" s="242" t="s">
        <v>15722</v>
      </c>
      <c r="N2662" s="207"/>
      <c r="O2662" s="245" t="s">
        <v>11937</v>
      </c>
    </row>
    <row r="2663" spans="1:26" ht="60" customHeight="1" x14ac:dyDescent="0.3">
      <c r="A2663" s="139">
        <v>2632</v>
      </c>
      <c r="B2663" s="245" t="s">
        <v>15833</v>
      </c>
      <c r="C2663" s="245" t="s">
        <v>15492</v>
      </c>
      <c r="D2663" s="85" t="s">
        <v>15844</v>
      </c>
      <c r="E2663" s="207">
        <v>1500</v>
      </c>
      <c r="F2663" s="102">
        <v>275235</v>
      </c>
      <c r="G2663" s="207"/>
      <c r="H2663" s="287">
        <v>275235</v>
      </c>
      <c r="I2663" s="26">
        <v>42545</v>
      </c>
      <c r="J2663" s="66" t="s">
        <v>15846</v>
      </c>
      <c r="K2663" s="207"/>
      <c r="L2663" s="66"/>
      <c r="M2663" s="242" t="s">
        <v>15722</v>
      </c>
      <c r="N2663" s="207"/>
      <c r="O2663" s="245" t="s">
        <v>11937</v>
      </c>
    </row>
    <row r="2664" spans="1:26" ht="60" customHeight="1" x14ac:dyDescent="0.3">
      <c r="A2664" s="139">
        <v>2633</v>
      </c>
      <c r="B2664" s="245" t="s">
        <v>15833</v>
      </c>
      <c r="C2664" s="245" t="s">
        <v>15847</v>
      </c>
      <c r="D2664" s="85" t="s">
        <v>15848</v>
      </c>
      <c r="E2664" s="207">
        <v>900</v>
      </c>
      <c r="F2664" s="25">
        <v>165141</v>
      </c>
      <c r="G2664" s="207"/>
      <c r="H2664" s="25">
        <v>165141</v>
      </c>
      <c r="I2664" s="26">
        <v>42545</v>
      </c>
      <c r="J2664" s="66" t="s">
        <v>15850</v>
      </c>
      <c r="K2664" s="207"/>
      <c r="L2664" s="66"/>
      <c r="M2664" s="242" t="s">
        <v>15722</v>
      </c>
      <c r="N2664" s="207"/>
      <c r="O2664" s="245" t="s">
        <v>11937</v>
      </c>
    </row>
    <row r="2665" spans="1:26" ht="60" customHeight="1" x14ac:dyDescent="0.3">
      <c r="A2665" s="139">
        <v>2634</v>
      </c>
      <c r="B2665" s="245" t="s">
        <v>15833</v>
      </c>
      <c r="C2665" s="245" t="s">
        <v>15851</v>
      </c>
      <c r="D2665" s="85" t="s">
        <v>15852</v>
      </c>
      <c r="E2665" s="207">
        <v>900</v>
      </c>
      <c r="F2665" s="98">
        <v>165141</v>
      </c>
      <c r="G2665" s="207"/>
      <c r="H2665" s="98">
        <v>165141</v>
      </c>
      <c r="I2665" s="26">
        <v>42545</v>
      </c>
      <c r="J2665" s="66" t="s">
        <v>15836</v>
      </c>
      <c r="K2665" s="207"/>
      <c r="L2665" s="66"/>
      <c r="M2665" s="242" t="s">
        <v>15722</v>
      </c>
      <c r="N2665" s="207"/>
      <c r="O2665" s="245" t="s">
        <v>11937</v>
      </c>
    </row>
    <row r="2666" spans="1:26" ht="60" customHeight="1" x14ac:dyDescent="0.3">
      <c r="A2666" s="139">
        <v>2635</v>
      </c>
      <c r="B2666" s="245" t="s">
        <v>15833</v>
      </c>
      <c r="C2666" s="245" t="s">
        <v>15853</v>
      </c>
      <c r="D2666" s="85" t="s">
        <v>15854</v>
      </c>
      <c r="E2666" s="207">
        <v>2467</v>
      </c>
      <c r="F2666" s="98">
        <v>452669.83</v>
      </c>
      <c r="G2666" s="207"/>
      <c r="H2666" s="98">
        <v>452669.83</v>
      </c>
      <c r="I2666" s="26">
        <v>42545</v>
      </c>
      <c r="J2666" s="66" t="s">
        <v>15855</v>
      </c>
      <c r="K2666" s="207"/>
      <c r="L2666" s="66"/>
      <c r="M2666" s="242" t="s">
        <v>15722</v>
      </c>
      <c r="N2666" s="207"/>
      <c r="O2666" s="245" t="s">
        <v>11937</v>
      </c>
    </row>
    <row r="2667" spans="1:26" ht="60" customHeight="1" x14ac:dyDescent="0.3">
      <c r="A2667" s="139">
        <v>2636</v>
      </c>
      <c r="B2667" s="245" t="s">
        <v>15833</v>
      </c>
      <c r="C2667" s="245" t="s">
        <v>15856</v>
      </c>
      <c r="D2667" s="85" t="s">
        <v>15857</v>
      </c>
      <c r="E2667" s="207">
        <v>900</v>
      </c>
      <c r="F2667" s="98">
        <v>140175</v>
      </c>
      <c r="G2667" s="207"/>
      <c r="H2667" s="98">
        <v>140175</v>
      </c>
      <c r="I2667" s="26">
        <v>42545</v>
      </c>
      <c r="J2667" s="66" t="s">
        <v>15845</v>
      </c>
      <c r="K2667" s="207"/>
      <c r="L2667" s="66"/>
      <c r="M2667" s="242" t="s">
        <v>15722</v>
      </c>
      <c r="N2667" s="207"/>
      <c r="O2667" s="245" t="s">
        <v>11937</v>
      </c>
    </row>
    <row r="2668" spans="1:26" ht="76.2" customHeight="1" x14ac:dyDescent="0.3">
      <c r="A2668" s="139">
        <v>2637</v>
      </c>
      <c r="B2668" s="245" t="s">
        <v>15824</v>
      </c>
      <c r="C2668" s="245" t="s">
        <v>15858</v>
      </c>
      <c r="D2668" s="85" t="s">
        <v>15859</v>
      </c>
      <c r="E2668" s="207">
        <v>70</v>
      </c>
      <c r="F2668" s="102">
        <v>8994.2999999999993</v>
      </c>
      <c r="G2668" s="207"/>
      <c r="H2668" s="102">
        <v>8994.2999999999993</v>
      </c>
      <c r="I2668" s="26">
        <v>42545</v>
      </c>
      <c r="J2668" s="66" t="s">
        <v>15843</v>
      </c>
      <c r="K2668" s="207"/>
      <c r="L2668" s="66"/>
      <c r="M2668" s="242" t="s">
        <v>15722</v>
      </c>
      <c r="N2668" s="207"/>
      <c r="O2668" s="245" t="s">
        <v>11937</v>
      </c>
    </row>
    <row r="2669" spans="1:26" ht="66.599999999999994" customHeight="1" x14ac:dyDescent="0.3">
      <c r="A2669" s="139">
        <v>2638</v>
      </c>
      <c r="B2669" s="245" t="s">
        <v>15824</v>
      </c>
      <c r="C2669" s="245" t="s">
        <v>15858</v>
      </c>
      <c r="D2669" s="85" t="s">
        <v>15861</v>
      </c>
      <c r="E2669" s="207">
        <v>70</v>
      </c>
      <c r="F2669" s="98">
        <v>13787.2</v>
      </c>
      <c r="G2669" s="207"/>
      <c r="H2669" s="98">
        <v>13787.2</v>
      </c>
      <c r="I2669" s="26">
        <v>42545</v>
      </c>
      <c r="J2669" s="66" t="s">
        <v>15862</v>
      </c>
      <c r="K2669" s="207"/>
      <c r="L2669" s="66"/>
      <c r="M2669" s="242" t="s">
        <v>15722</v>
      </c>
      <c r="N2669" s="207"/>
      <c r="O2669" s="245" t="s">
        <v>11937</v>
      </c>
    </row>
    <row r="2670" spans="1:26" ht="60" customHeight="1" x14ac:dyDescent="0.3">
      <c r="A2670" s="139">
        <v>2639</v>
      </c>
      <c r="B2670" s="245" t="s">
        <v>15833</v>
      </c>
      <c r="C2670" s="245" t="s">
        <v>15858</v>
      </c>
      <c r="D2670" s="85" t="s">
        <v>15860</v>
      </c>
      <c r="E2670" s="207">
        <v>1200</v>
      </c>
      <c r="F2670" s="98">
        <v>154188</v>
      </c>
      <c r="G2670" s="207"/>
      <c r="H2670" s="98">
        <v>154188</v>
      </c>
      <c r="I2670" s="26">
        <v>42545</v>
      </c>
      <c r="J2670" s="66" t="s">
        <v>15849</v>
      </c>
      <c r="K2670" s="207"/>
      <c r="L2670" s="66"/>
      <c r="M2670" s="242" t="s">
        <v>15722</v>
      </c>
      <c r="N2670" s="207"/>
      <c r="O2670" s="245" t="s">
        <v>11937</v>
      </c>
    </row>
    <row r="2671" spans="1:26" ht="60" customHeight="1" x14ac:dyDescent="0.3">
      <c r="A2671" s="139">
        <v>2640</v>
      </c>
      <c r="B2671" s="245" t="s">
        <v>15863</v>
      </c>
      <c r="C2671" s="245" t="s">
        <v>15858</v>
      </c>
      <c r="D2671" s="85" t="s">
        <v>15864</v>
      </c>
      <c r="E2671" s="207">
        <v>450</v>
      </c>
      <c r="F2671" s="98">
        <v>88632</v>
      </c>
      <c r="G2671" s="207"/>
      <c r="H2671" s="98">
        <v>88632</v>
      </c>
      <c r="I2671" s="26">
        <v>42545</v>
      </c>
      <c r="J2671" s="66" t="s">
        <v>15865</v>
      </c>
      <c r="K2671" s="207"/>
      <c r="L2671" s="66"/>
      <c r="M2671" s="242" t="s">
        <v>15722</v>
      </c>
      <c r="N2671" s="207"/>
      <c r="O2671" s="245" t="s">
        <v>11937</v>
      </c>
    </row>
    <row r="2672" spans="1:26" ht="60" customHeight="1" x14ac:dyDescent="0.3">
      <c r="A2672" s="139">
        <v>2641</v>
      </c>
      <c r="B2672" s="245" t="s">
        <v>15833</v>
      </c>
      <c r="C2672" s="245" t="s">
        <v>15866</v>
      </c>
      <c r="D2672" s="85" t="s">
        <v>15867</v>
      </c>
      <c r="E2672" s="207">
        <v>95</v>
      </c>
      <c r="F2672" s="102">
        <v>7967.65</v>
      </c>
      <c r="G2672" s="207"/>
      <c r="H2672" s="102">
        <v>7967.65</v>
      </c>
      <c r="I2672" s="26">
        <v>42548</v>
      </c>
      <c r="J2672" s="66" t="s">
        <v>15868</v>
      </c>
      <c r="K2672" s="207"/>
      <c r="L2672" s="66"/>
      <c r="M2672" s="242" t="s">
        <v>15722</v>
      </c>
      <c r="N2672" s="207"/>
      <c r="O2672" s="245" t="s">
        <v>11937</v>
      </c>
    </row>
    <row r="2673" spans="1:15" ht="77.400000000000006" customHeight="1" x14ac:dyDescent="0.3">
      <c r="A2673" s="139">
        <v>2642</v>
      </c>
      <c r="B2673" s="245" t="s">
        <v>15823</v>
      </c>
      <c r="C2673" s="245" t="s">
        <v>15480</v>
      </c>
      <c r="D2673" s="85" t="s">
        <v>15869</v>
      </c>
      <c r="E2673" s="207">
        <v>1617</v>
      </c>
      <c r="F2673" s="98">
        <v>163446.35999999999</v>
      </c>
      <c r="G2673" s="207"/>
      <c r="H2673" s="98">
        <v>163446.35999999999</v>
      </c>
      <c r="I2673" s="26">
        <v>42548</v>
      </c>
      <c r="J2673" s="66" t="s">
        <v>15871</v>
      </c>
      <c r="K2673" s="207"/>
      <c r="L2673" s="66"/>
      <c r="M2673" s="242" t="s">
        <v>15722</v>
      </c>
      <c r="N2673" s="207"/>
      <c r="O2673" s="245" t="s">
        <v>11937</v>
      </c>
    </row>
    <row r="2674" spans="1:15" ht="60" customHeight="1" x14ac:dyDescent="0.3">
      <c r="A2674" s="139">
        <v>2643</v>
      </c>
      <c r="B2674" s="245" t="s">
        <v>15863</v>
      </c>
      <c r="C2674" s="245" t="s">
        <v>15480</v>
      </c>
      <c r="D2674" s="85" t="s">
        <v>15872</v>
      </c>
      <c r="E2674" s="207">
        <v>450</v>
      </c>
      <c r="F2674" s="98">
        <v>45486</v>
      </c>
      <c r="G2674" s="207"/>
      <c r="H2674" s="98">
        <v>45486</v>
      </c>
      <c r="I2674" s="26">
        <v>42548</v>
      </c>
      <c r="J2674" s="66" t="s">
        <v>15873</v>
      </c>
      <c r="K2674" s="207"/>
      <c r="L2674" s="66"/>
      <c r="M2674" s="242" t="s">
        <v>15722</v>
      </c>
      <c r="N2674" s="207"/>
      <c r="O2674" s="245" t="s">
        <v>11937</v>
      </c>
    </row>
    <row r="2675" spans="1:15" ht="60" customHeight="1" x14ac:dyDescent="0.3">
      <c r="A2675" s="139">
        <v>2644</v>
      </c>
      <c r="B2675" s="245" t="s">
        <v>15824</v>
      </c>
      <c r="C2675" s="245" t="s">
        <v>15874</v>
      </c>
      <c r="D2675" s="85" t="s">
        <v>15875</v>
      </c>
      <c r="E2675" s="207">
        <v>70</v>
      </c>
      <c r="F2675" s="98">
        <v>9827.2999999999993</v>
      </c>
      <c r="G2675" s="207"/>
      <c r="H2675" s="98">
        <v>9827.2999999999993</v>
      </c>
      <c r="I2675" s="26">
        <v>42548</v>
      </c>
      <c r="J2675" s="66" t="s">
        <v>15877</v>
      </c>
      <c r="K2675" s="207"/>
      <c r="L2675" s="66"/>
      <c r="M2675" s="242" t="s">
        <v>15722</v>
      </c>
      <c r="N2675" s="207"/>
      <c r="O2675" s="245" t="s">
        <v>11937</v>
      </c>
    </row>
    <row r="2676" spans="1:15" ht="69.599999999999994" customHeight="1" x14ac:dyDescent="0.3">
      <c r="A2676" s="139">
        <v>2645</v>
      </c>
      <c r="B2676" s="245" t="s">
        <v>15823</v>
      </c>
      <c r="C2676" s="245" t="s">
        <v>15874</v>
      </c>
      <c r="D2676" s="85" t="s">
        <v>15878</v>
      </c>
      <c r="E2676" s="207">
        <v>3506</v>
      </c>
      <c r="F2676" s="98">
        <v>492207.34</v>
      </c>
      <c r="G2676" s="207"/>
      <c r="H2676" s="98">
        <v>492207.34</v>
      </c>
      <c r="I2676" s="26">
        <v>42548</v>
      </c>
      <c r="J2676" s="66" t="s">
        <v>15880</v>
      </c>
      <c r="K2676" s="207"/>
      <c r="L2676" s="66"/>
      <c r="M2676" s="242" t="s">
        <v>15722</v>
      </c>
      <c r="N2676" s="207"/>
      <c r="O2676" s="245" t="s">
        <v>11937</v>
      </c>
    </row>
    <row r="2677" spans="1:15" ht="60" customHeight="1" x14ac:dyDescent="0.3">
      <c r="A2677" s="139">
        <v>2646</v>
      </c>
      <c r="B2677" s="245" t="s">
        <v>15824</v>
      </c>
      <c r="C2677" s="245" t="s">
        <v>15874</v>
      </c>
      <c r="D2677" s="85" t="s">
        <v>15881</v>
      </c>
      <c r="E2677" s="207">
        <v>70</v>
      </c>
      <c r="F2677" s="25">
        <v>9827.2999999999993</v>
      </c>
      <c r="G2677" s="25"/>
      <c r="H2677" s="25">
        <v>9827.2999999999993</v>
      </c>
      <c r="I2677" s="26">
        <v>42548</v>
      </c>
      <c r="J2677" s="66" t="s">
        <v>15882</v>
      </c>
      <c r="K2677" s="207"/>
      <c r="L2677" s="66"/>
      <c r="M2677" s="242" t="s">
        <v>15722</v>
      </c>
      <c r="N2677" s="207"/>
      <c r="O2677" s="245" t="s">
        <v>11937</v>
      </c>
    </row>
    <row r="2678" spans="1:15" ht="60" customHeight="1" x14ac:dyDescent="0.3">
      <c r="A2678" s="139">
        <v>2647</v>
      </c>
      <c r="B2678" s="245" t="s">
        <v>15824</v>
      </c>
      <c r="C2678" s="245" t="s">
        <v>15883</v>
      </c>
      <c r="D2678" s="85" t="s">
        <v>15884</v>
      </c>
      <c r="E2678" s="207">
        <v>70</v>
      </c>
      <c r="F2678" s="25">
        <v>16823.8</v>
      </c>
      <c r="G2678" s="25"/>
      <c r="H2678" s="25">
        <v>16823.8</v>
      </c>
      <c r="I2678" s="26">
        <v>42548</v>
      </c>
      <c r="J2678" s="66" t="s">
        <v>15876</v>
      </c>
      <c r="K2678" s="207"/>
      <c r="L2678" s="66"/>
      <c r="M2678" s="242" t="s">
        <v>15722</v>
      </c>
      <c r="N2678" s="207"/>
      <c r="O2678" s="245" t="s">
        <v>11937</v>
      </c>
    </row>
    <row r="2679" spans="1:15" ht="60" customHeight="1" x14ac:dyDescent="0.3">
      <c r="A2679" s="139">
        <v>2648</v>
      </c>
      <c r="B2679" s="245" t="s">
        <v>15823</v>
      </c>
      <c r="C2679" s="245" t="s">
        <v>15886</v>
      </c>
      <c r="D2679" s="85" t="s">
        <v>15887</v>
      </c>
      <c r="E2679" s="207">
        <v>8184</v>
      </c>
      <c r="F2679" s="25">
        <v>1136102.8799999999</v>
      </c>
      <c r="G2679" s="207"/>
      <c r="H2679" s="25">
        <v>1136102.8799999999</v>
      </c>
      <c r="I2679" s="26">
        <v>42548</v>
      </c>
      <c r="J2679" s="66" t="s">
        <v>15885</v>
      </c>
      <c r="K2679" s="207"/>
      <c r="L2679" s="66"/>
      <c r="M2679" s="242" t="s">
        <v>15722</v>
      </c>
      <c r="N2679" s="207"/>
      <c r="O2679" s="245" t="s">
        <v>11937</v>
      </c>
    </row>
    <row r="2680" spans="1:15" ht="60" customHeight="1" x14ac:dyDescent="0.3">
      <c r="A2680" s="139">
        <v>2649</v>
      </c>
      <c r="B2680" s="245" t="s">
        <v>15824</v>
      </c>
      <c r="C2680" s="245" t="s">
        <v>15883</v>
      </c>
      <c r="D2680" s="85" t="s">
        <v>15888</v>
      </c>
      <c r="E2680" s="207">
        <v>70</v>
      </c>
      <c r="F2680" s="25">
        <v>16823.8</v>
      </c>
      <c r="G2680" s="25"/>
      <c r="H2680" s="25">
        <v>16823.8</v>
      </c>
      <c r="I2680" s="26">
        <v>42548</v>
      </c>
      <c r="J2680" s="66" t="s">
        <v>15890</v>
      </c>
      <c r="K2680" s="207"/>
      <c r="L2680" s="66"/>
      <c r="M2680" s="242" t="s">
        <v>15722</v>
      </c>
      <c r="N2680" s="207"/>
      <c r="O2680" s="245" t="s">
        <v>11937</v>
      </c>
    </row>
    <row r="2681" spans="1:15" ht="60" customHeight="1" x14ac:dyDescent="0.3">
      <c r="A2681" s="139">
        <v>2650</v>
      </c>
      <c r="B2681" s="245" t="s">
        <v>15833</v>
      </c>
      <c r="C2681" s="245" t="s">
        <v>15886</v>
      </c>
      <c r="D2681" s="85" t="s">
        <v>15891</v>
      </c>
      <c r="E2681" s="207">
        <v>6352</v>
      </c>
      <c r="F2681" s="25">
        <v>881784.64</v>
      </c>
      <c r="G2681" s="207"/>
      <c r="H2681" s="25">
        <v>881784.64</v>
      </c>
      <c r="I2681" s="26">
        <v>42548</v>
      </c>
      <c r="J2681" s="66" t="s">
        <v>15870</v>
      </c>
      <c r="K2681" s="207"/>
      <c r="L2681" s="66"/>
      <c r="M2681" s="242" t="s">
        <v>15722</v>
      </c>
      <c r="N2681" s="207"/>
      <c r="O2681" s="245" t="s">
        <v>11937</v>
      </c>
    </row>
    <row r="2682" spans="1:15" ht="60" customHeight="1" x14ac:dyDescent="0.3">
      <c r="A2682" s="139">
        <v>2651</v>
      </c>
      <c r="B2682" s="245" t="s">
        <v>15833</v>
      </c>
      <c r="C2682" s="245" t="s">
        <v>15883</v>
      </c>
      <c r="D2682" s="85" t="s">
        <v>15893</v>
      </c>
      <c r="E2682" s="207">
        <v>1239</v>
      </c>
      <c r="F2682" s="25">
        <v>257736.78</v>
      </c>
      <c r="G2682" s="207"/>
      <c r="H2682" s="25">
        <v>257736.78</v>
      </c>
      <c r="I2682" s="26">
        <v>42548</v>
      </c>
      <c r="J2682" s="66" t="s">
        <v>15894</v>
      </c>
      <c r="K2682" s="207"/>
      <c r="L2682" s="66"/>
      <c r="M2682" s="242" t="s">
        <v>15722</v>
      </c>
      <c r="N2682" s="207"/>
      <c r="O2682" s="245" t="s">
        <v>11937</v>
      </c>
    </row>
    <row r="2683" spans="1:15" ht="60" customHeight="1" x14ac:dyDescent="0.3">
      <c r="A2683" s="139">
        <v>2652</v>
      </c>
      <c r="B2683" s="245" t="s">
        <v>15833</v>
      </c>
      <c r="C2683" s="245" t="s">
        <v>15895</v>
      </c>
      <c r="D2683" s="85" t="s">
        <v>15896</v>
      </c>
      <c r="E2683" s="207">
        <v>1082</v>
      </c>
      <c r="F2683" s="25">
        <v>225077.64</v>
      </c>
      <c r="G2683" s="207"/>
      <c r="H2683" s="25">
        <v>225077.64</v>
      </c>
      <c r="I2683" s="26">
        <v>42548</v>
      </c>
      <c r="J2683" s="66" t="s">
        <v>15897</v>
      </c>
      <c r="K2683" s="207"/>
      <c r="L2683" s="66"/>
      <c r="M2683" s="242" t="s">
        <v>15722</v>
      </c>
      <c r="N2683" s="207"/>
      <c r="O2683" s="245" t="s">
        <v>11937</v>
      </c>
    </row>
    <row r="2684" spans="1:15" ht="60" customHeight="1" x14ac:dyDescent="0.3">
      <c r="A2684" s="139">
        <v>2653</v>
      </c>
      <c r="B2684" s="245" t="s">
        <v>15826</v>
      </c>
      <c r="C2684" s="245" t="s">
        <v>15895</v>
      </c>
      <c r="D2684" s="85" t="s">
        <v>15899</v>
      </c>
      <c r="E2684" s="207">
        <v>1500</v>
      </c>
      <c r="F2684" s="25">
        <v>312030</v>
      </c>
      <c r="G2684" s="207"/>
      <c r="H2684" s="25">
        <v>312030</v>
      </c>
      <c r="I2684" s="26">
        <v>42548</v>
      </c>
      <c r="J2684" s="66" t="s">
        <v>15879</v>
      </c>
      <c r="K2684" s="207"/>
      <c r="L2684" s="66"/>
      <c r="M2684" s="242" t="s">
        <v>15722</v>
      </c>
      <c r="N2684" s="207"/>
      <c r="O2684" s="245" t="s">
        <v>11937</v>
      </c>
    </row>
    <row r="2685" spans="1:15" ht="72" customHeight="1" x14ac:dyDescent="0.3">
      <c r="A2685" s="139">
        <v>2654</v>
      </c>
      <c r="B2685" s="245" t="s">
        <v>15863</v>
      </c>
      <c r="C2685" s="245" t="s">
        <v>15895</v>
      </c>
      <c r="D2685" s="85" t="s">
        <v>15900</v>
      </c>
      <c r="E2685" s="207">
        <v>400</v>
      </c>
      <c r="F2685" s="25">
        <v>83208</v>
      </c>
      <c r="G2685" s="25"/>
      <c r="H2685" s="25">
        <v>83208</v>
      </c>
      <c r="I2685" s="26">
        <v>42548</v>
      </c>
      <c r="J2685" s="66" t="s">
        <v>17819</v>
      </c>
      <c r="K2685" s="207"/>
      <c r="L2685" s="66"/>
      <c r="M2685" s="200" t="s">
        <v>12550</v>
      </c>
      <c r="N2685" s="207"/>
      <c r="O2685" s="66" t="s">
        <v>17794</v>
      </c>
    </row>
    <row r="2686" spans="1:15" ht="72" customHeight="1" x14ac:dyDescent="0.3">
      <c r="A2686" s="139">
        <v>2655</v>
      </c>
      <c r="B2686" s="245" t="s">
        <v>15863</v>
      </c>
      <c r="C2686" s="245" t="s">
        <v>15886</v>
      </c>
      <c r="D2686" s="85" t="s">
        <v>15901</v>
      </c>
      <c r="E2686" s="207">
        <v>300</v>
      </c>
      <c r="F2686" s="25">
        <v>72102</v>
      </c>
      <c r="G2686" s="25"/>
      <c r="H2686" s="25">
        <v>72102</v>
      </c>
      <c r="I2686" s="26">
        <v>42548</v>
      </c>
      <c r="J2686" s="66" t="s">
        <v>17867</v>
      </c>
      <c r="K2686" s="207"/>
      <c r="L2686" s="66"/>
      <c r="M2686" s="200" t="s">
        <v>12550</v>
      </c>
      <c r="N2686" s="207"/>
      <c r="O2686" s="66" t="s">
        <v>12039</v>
      </c>
    </row>
    <row r="2687" spans="1:15" ht="76.95" customHeight="1" x14ac:dyDescent="0.3">
      <c r="A2687" s="139">
        <v>2656</v>
      </c>
      <c r="B2687" s="245" t="s">
        <v>15903</v>
      </c>
      <c r="C2687" s="245" t="s">
        <v>15883</v>
      </c>
      <c r="D2687" s="85" t="s">
        <v>15892</v>
      </c>
      <c r="E2687" s="207">
        <v>2055</v>
      </c>
      <c r="F2687" s="25">
        <v>285275.09999999998</v>
      </c>
      <c r="G2687" s="207"/>
      <c r="H2687" s="25">
        <v>285275.09999999998</v>
      </c>
      <c r="I2687" s="26">
        <v>42548</v>
      </c>
      <c r="J2687" s="66" t="s">
        <v>15902</v>
      </c>
      <c r="K2687" s="207"/>
      <c r="L2687" s="66"/>
      <c r="M2687" s="242" t="s">
        <v>15722</v>
      </c>
      <c r="N2687" s="207"/>
      <c r="O2687" s="66" t="s">
        <v>11937</v>
      </c>
    </row>
    <row r="2688" spans="1:15" ht="60" customHeight="1" x14ac:dyDescent="0.3">
      <c r="A2688" s="139">
        <v>2657</v>
      </c>
      <c r="B2688" s="245" t="s">
        <v>15904</v>
      </c>
      <c r="C2688" s="245" t="s">
        <v>15883</v>
      </c>
      <c r="D2688" s="85" t="s">
        <v>15898</v>
      </c>
      <c r="E2688" s="207">
        <v>141</v>
      </c>
      <c r="F2688" s="25">
        <v>29330.82</v>
      </c>
      <c r="G2688" s="207"/>
      <c r="H2688" s="207">
        <v>29330.82</v>
      </c>
      <c r="I2688" s="26">
        <v>42548</v>
      </c>
      <c r="J2688" s="66" t="s">
        <v>15889</v>
      </c>
      <c r="K2688" s="207"/>
      <c r="L2688" s="66"/>
      <c r="M2688" s="242" t="s">
        <v>15722</v>
      </c>
      <c r="N2688" s="207"/>
      <c r="O2688" s="66" t="s">
        <v>11937</v>
      </c>
    </row>
    <row r="2689" spans="1:15" ht="108" customHeight="1" x14ac:dyDescent="0.3">
      <c r="A2689" s="269">
        <v>2658</v>
      </c>
      <c r="B2689" s="23" t="s">
        <v>15907</v>
      </c>
      <c r="C2689" s="23" t="s">
        <v>15909</v>
      </c>
      <c r="D2689" s="23"/>
      <c r="E2689" s="242">
        <v>16</v>
      </c>
      <c r="F2689" s="244"/>
      <c r="G2689" s="244"/>
      <c r="H2689" s="242"/>
      <c r="I2689" s="243">
        <v>42367</v>
      </c>
      <c r="J2689" s="242" t="s">
        <v>11171</v>
      </c>
      <c r="K2689" s="242"/>
      <c r="L2689" s="66"/>
      <c r="M2689" s="201" t="s">
        <v>12550</v>
      </c>
      <c r="N2689" s="226" t="s">
        <v>20727</v>
      </c>
      <c r="O2689" s="38"/>
    </row>
    <row r="2690" spans="1:15" ht="60" customHeight="1" x14ac:dyDescent="0.3">
      <c r="A2690" s="139">
        <v>2659</v>
      </c>
      <c r="B2690" s="245" t="s">
        <v>17824</v>
      </c>
      <c r="C2690" s="242" t="s">
        <v>17825</v>
      </c>
      <c r="D2690" s="85" t="s">
        <v>17826</v>
      </c>
      <c r="E2690" s="207">
        <v>237</v>
      </c>
      <c r="F2690" s="25">
        <v>91109.91</v>
      </c>
      <c r="G2690" s="25"/>
      <c r="H2690" s="25">
        <v>91109.91</v>
      </c>
      <c r="I2690" s="26">
        <v>42583</v>
      </c>
      <c r="J2690" s="66" t="s">
        <v>17827</v>
      </c>
      <c r="K2690" s="207"/>
      <c r="L2690" s="66"/>
      <c r="M2690" s="242" t="s">
        <v>15722</v>
      </c>
      <c r="N2690" s="207"/>
      <c r="O2690" s="245" t="s">
        <v>11937</v>
      </c>
    </row>
    <row r="2691" spans="1:15" ht="72" customHeight="1" x14ac:dyDescent="0.3">
      <c r="A2691" s="139">
        <v>2660</v>
      </c>
      <c r="B2691" s="245" t="s">
        <v>15908</v>
      </c>
      <c r="C2691" s="245" t="s">
        <v>15910</v>
      </c>
      <c r="D2691" s="85" t="s">
        <v>11800</v>
      </c>
      <c r="E2691" s="207">
        <v>136689</v>
      </c>
      <c r="F2691" s="25">
        <v>1608829.53</v>
      </c>
      <c r="G2691" s="207"/>
      <c r="H2691" s="24">
        <v>1608829.53</v>
      </c>
      <c r="I2691" s="207" t="s">
        <v>15911</v>
      </c>
      <c r="J2691" s="66" t="s">
        <v>15912</v>
      </c>
      <c r="K2691" s="207"/>
      <c r="L2691" s="66"/>
      <c r="M2691" s="200" t="s">
        <v>12550</v>
      </c>
      <c r="N2691" s="207"/>
      <c r="O2691" s="66" t="s">
        <v>17805</v>
      </c>
    </row>
    <row r="2692" spans="1:15" ht="72" customHeight="1" x14ac:dyDescent="0.3">
      <c r="A2692" s="139">
        <v>2661</v>
      </c>
      <c r="B2692" s="245" t="s">
        <v>15908</v>
      </c>
      <c r="C2692" s="245" t="s">
        <v>15910</v>
      </c>
      <c r="D2692" s="85" t="s">
        <v>11799</v>
      </c>
      <c r="E2692" s="207">
        <v>46311</v>
      </c>
      <c r="F2692" s="25">
        <v>396422.16</v>
      </c>
      <c r="G2692" s="207"/>
      <c r="H2692" s="24">
        <v>396422.16</v>
      </c>
      <c r="I2692" s="207" t="s">
        <v>15911</v>
      </c>
      <c r="J2692" s="66" t="s">
        <v>15912</v>
      </c>
      <c r="K2692" s="207"/>
      <c r="L2692" s="66"/>
      <c r="M2692" s="200" t="s">
        <v>12550</v>
      </c>
      <c r="N2692" s="207"/>
      <c r="O2692" s="245" t="s">
        <v>17806</v>
      </c>
    </row>
    <row r="2693" spans="1:15" ht="58.95" customHeight="1" x14ac:dyDescent="0.3">
      <c r="A2693" s="139">
        <v>2662</v>
      </c>
      <c r="B2693" s="140" t="s">
        <v>15913</v>
      </c>
      <c r="C2693" s="245" t="s">
        <v>15782</v>
      </c>
      <c r="D2693" s="85" t="s">
        <v>15914</v>
      </c>
      <c r="E2693" s="138">
        <v>3390</v>
      </c>
      <c r="F2693" s="104">
        <v>622031.1</v>
      </c>
      <c r="G2693" s="6"/>
      <c r="H2693" s="25">
        <v>622031.1</v>
      </c>
      <c r="I2693" s="207" t="s">
        <v>12545</v>
      </c>
      <c r="J2693" s="66" t="s">
        <v>15917</v>
      </c>
      <c r="K2693" s="207"/>
      <c r="L2693" s="66"/>
      <c r="M2693" s="242" t="s">
        <v>15722</v>
      </c>
      <c r="N2693" s="207"/>
      <c r="O2693" s="245" t="s">
        <v>11937</v>
      </c>
    </row>
    <row r="2694" spans="1:15" ht="72" customHeight="1" x14ac:dyDescent="0.3">
      <c r="A2694" s="139">
        <v>2663</v>
      </c>
      <c r="B2694" s="140" t="s">
        <v>15915</v>
      </c>
      <c r="C2694" s="245" t="s">
        <v>15916</v>
      </c>
      <c r="D2694" s="85" t="s">
        <v>17724</v>
      </c>
      <c r="E2694" s="138">
        <v>2460</v>
      </c>
      <c r="F2694" s="104">
        <v>451385.4</v>
      </c>
      <c r="G2694" s="6"/>
      <c r="H2694" s="25">
        <v>451385.4</v>
      </c>
      <c r="I2694" s="207" t="s">
        <v>12545</v>
      </c>
      <c r="J2694" s="66" t="s">
        <v>15918</v>
      </c>
      <c r="K2694" s="207"/>
      <c r="L2694" s="66"/>
      <c r="M2694" s="242" t="s">
        <v>15722</v>
      </c>
      <c r="N2694" s="207"/>
      <c r="O2694" s="66" t="s">
        <v>11937</v>
      </c>
    </row>
    <row r="2695" spans="1:15" ht="72" customHeight="1" x14ac:dyDescent="0.3">
      <c r="A2695" s="139">
        <v>2664</v>
      </c>
      <c r="B2695" s="242" t="s">
        <v>126</v>
      </c>
      <c r="C2695" s="242" t="s">
        <v>15919</v>
      </c>
      <c r="D2695" s="60" t="s">
        <v>15920</v>
      </c>
      <c r="E2695" s="242">
        <v>1000</v>
      </c>
      <c r="F2695" s="288">
        <v>219450</v>
      </c>
      <c r="G2695" s="244"/>
      <c r="H2695" s="288">
        <v>219450</v>
      </c>
      <c r="I2695" s="243" t="s">
        <v>15921</v>
      </c>
      <c r="J2695" s="242" t="s">
        <v>15922</v>
      </c>
      <c r="K2695" s="242"/>
      <c r="L2695" s="66"/>
      <c r="M2695" s="200" t="s">
        <v>12550</v>
      </c>
      <c r="N2695" s="160"/>
      <c r="O2695" s="66" t="s">
        <v>12039</v>
      </c>
    </row>
    <row r="2696" spans="1:15" ht="60" customHeight="1" x14ac:dyDescent="0.3">
      <c r="A2696" s="139">
        <v>2665</v>
      </c>
      <c r="B2696" s="140" t="s">
        <v>15925</v>
      </c>
      <c r="C2696" s="245" t="s">
        <v>15926</v>
      </c>
      <c r="D2696" s="85" t="s">
        <v>15927</v>
      </c>
      <c r="E2696" s="138">
        <v>339</v>
      </c>
      <c r="F2696" s="121">
        <v>130321.77</v>
      </c>
      <c r="G2696" s="43"/>
      <c r="H2696" s="121">
        <v>130321.77</v>
      </c>
      <c r="I2696" s="207" t="s">
        <v>12545</v>
      </c>
      <c r="J2696" s="38" t="s">
        <v>15928</v>
      </c>
      <c r="K2696" s="207"/>
      <c r="L2696" s="66"/>
      <c r="M2696" s="242" t="s">
        <v>15722</v>
      </c>
      <c r="N2696" s="207"/>
      <c r="O2696" s="66" t="s">
        <v>11937</v>
      </c>
    </row>
    <row r="2697" spans="1:15" ht="60" customHeight="1" x14ac:dyDescent="0.3">
      <c r="A2697" s="139">
        <v>2666</v>
      </c>
      <c r="B2697" s="140" t="s">
        <v>15935</v>
      </c>
      <c r="C2697" s="245" t="s">
        <v>15931</v>
      </c>
      <c r="D2697" s="85" t="s">
        <v>15929</v>
      </c>
      <c r="E2697" s="138">
        <v>882</v>
      </c>
      <c r="F2697" s="121">
        <v>338432.22</v>
      </c>
      <c r="G2697" s="43"/>
      <c r="H2697" s="25">
        <v>338432.22</v>
      </c>
      <c r="I2697" s="207" t="s">
        <v>12545</v>
      </c>
      <c r="J2697" s="38" t="s">
        <v>15930</v>
      </c>
      <c r="K2697" s="207"/>
      <c r="L2697" s="66"/>
      <c r="M2697" s="242" t="s">
        <v>15722</v>
      </c>
      <c r="N2697" s="207"/>
      <c r="O2697" s="66" t="s">
        <v>11937</v>
      </c>
    </row>
    <row r="2698" spans="1:15" ht="60" customHeight="1" x14ac:dyDescent="0.3">
      <c r="A2698" s="139">
        <v>2667</v>
      </c>
      <c r="B2698" s="140" t="s">
        <v>15935</v>
      </c>
      <c r="C2698" s="245" t="s">
        <v>15933</v>
      </c>
      <c r="D2698" s="85" t="s">
        <v>15932</v>
      </c>
      <c r="E2698" s="138">
        <v>1221</v>
      </c>
      <c r="F2698" s="121">
        <v>463931.16</v>
      </c>
      <c r="G2698" s="43"/>
      <c r="H2698" s="121">
        <v>463931.16</v>
      </c>
      <c r="I2698" s="207" t="s">
        <v>12545</v>
      </c>
      <c r="J2698" s="38" t="s">
        <v>15934</v>
      </c>
      <c r="K2698" s="207"/>
      <c r="L2698" s="66"/>
      <c r="M2698" s="242" t="s">
        <v>15722</v>
      </c>
      <c r="N2698" s="207"/>
      <c r="O2698" s="66" t="s">
        <v>11937</v>
      </c>
    </row>
    <row r="2699" spans="1:15" ht="60" customHeight="1" x14ac:dyDescent="0.3">
      <c r="A2699" s="139">
        <v>2668</v>
      </c>
      <c r="B2699" s="140" t="s">
        <v>15935</v>
      </c>
      <c r="C2699" s="245" t="s">
        <v>15936</v>
      </c>
      <c r="D2699" s="85" t="s">
        <v>15937</v>
      </c>
      <c r="E2699" s="138">
        <v>415</v>
      </c>
      <c r="F2699" s="121">
        <v>151504.04999999999</v>
      </c>
      <c r="G2699" s="43"/>
      <c r="H2699" s="25">
        <v>151504.04999999999</v>
      </c>
      <c r="I2699" s="207" t="s">
        <v>12545</v>
      </c>
      <c r="J2699" s="38" t="s">
        <v>15938</v>
      </c>
      <c r="K2699" s="207"/>
      <c r="L2699" s="66"/>
      <c r="M2699" s="242" t="s">
        <v>15722</v>
      </c>
      <c r="N2699" s="207"/>
      <c r="O2699" s="66" t="s">
        <v>11937</v>
      </c>
    </row>
    <row r="2700" spans="1:15" ht="60" customHeight="1" x14ac:dyDescent="0.3">
      <c r="A2700" s="139">
        <v>2669</v>
      </c>
      <c r="B2700" s="140" t="s">
        <v>15925</v>
      </c>
      <c r="C2700" s="245" t="s">
        <v>15940</v>
      </c>
      <c r="D2700" s="85" t="s">
        <v>15939</v>
      </c>
      <c r="E2700" s="138">
        <v>855</v>
      </c>
      <c r="F2700" s="121">
        <v>99222.75</v>
      </c>
      <c r="G2700" s="43"/>
      <c r="H2700" s="25">
        <v>99222.75</v>
      </c>
      <c r="I2700" s="207" t="s">
        <v>12545</v>
      </c>
      <c r="J2700" s="38" t="s">
        <v>15943</v>
      </c>
      <c r="K2700" s="207"/>
      <c r="L2700" s="66"/>
      <c r="M2700" s="242" t="s">
        <v>15722</v>
      </c>
      <c r="N2700" s="207"/>
      <c r="O2700" s="66" t="s">
        <v>11937</v>
      </c>
    </row>
    <row r="2701" spans="1:15" ht="60" customHeight="1" x14ac:dyDescent="0.3">
      <c r="A2701" s="139">
        <v>2670</v>
      </c>
      <c r="B2701" s="140" t="s">
        <v>15935</v>
      </c>
      <c r="C2701" s="245" t="s">
        <v>15942</v>
      </c>
      <c r="D2701" s="85" t="s">
        <v>15941</v>
      </c>
      <c r="E2701" s="138">
        <v>988</v>
      </c>
      <c r="F2701" s="121">
        <v>192314.6</v>
      </c>
      <c r="G2701" s="43"/>
      <c r="H2701" s="25">
        <v>192314.6</v>
      </c>
      <c r="I2701" s="207" t="s">
        <v>12545</v>
      </c>
      <c r="J2701" s="38" t="s">
        <v>15944</v>
      </c>
      <c r="K2701" s="207"/>
      <c r="L2701" s="66"/>
      <c r="M2701" s="242" t="s">
        <v>15722</v>
      </c>
      <c r="N2701" s="207"/>
      <c r="O2701" s="66" t="s">
        <v>11937</v>
      </c>
    </row>
    <row r="2702" spans="1:15" ht="60" customHeight="1" x14ac:dyDescent="0.3">
      <c r="A2702" s="139">
        <v>2671</v>
      </c>
      <c r="B2702" s="140" t="s">
        <v>15925</v>
      </c>
      <c r="C2702" s="245" t="s">
        <v>15945</v>
      </c>
      <c r="D2702" s="85" t="s">
        <v>15946</v>
      </c>
      <c r="E2702" s="138">
        <v>249</v>
      </c>
      <c r="F2702" s="121">
        <v>95723.07</v>
      </c>
      <c r="G2702" s="43"/>
      <c r="H2702" s="25">
        <v>95723.07</v>
      </c>
      <c r="I2702" s="207" t="s">
        <v>12545</v>
      </c>
      <c r="J2702" s="38" t="s">
        <v>15947</v>
      </c>
      <c r="K2702" s="207"/>
      <c r="L2702" s="66"/>
      <c r="M2702" s="242" t="s">
        <v>15722</v>
      </c>
      <c r="N2702" s="207"/>
      <c r="O2702" s="66" t="s">
        <v>11937</v>
      </c>
    </row>
    <row r="2703" spans="1:15" ht="60" customHeight="1" x14ac:dyDescent="0.3">
      <c r="A2703" s="139">
        <v>2672</v>
      </c>
      <c r="B2703" s="140" t="s">
        <v>15935</v>
      </c>
      <c r="C2703" s="245" t="s">
        <v>15948</v>
      </c>
      <c r="D2703" s="85" t="s">
        <v>15949</v>
      </c>
      <c r="E2703" s="138">
        <v>6621</v>
      </c>
      <c r="F2703" s="121">
        <v>693947.01</v>
      </c>
      <c r="G2703" s="43"/>
      <c r="H2703" s="121">
        <v>693947.01</v>
      </c>
      <c r="I2703" s="207" t="s">
        <v>12545</v>
      </c>
      <c r="J2703" s="38" t="s">
        <v>15950</v>
      </c>
      <c r="K2703" s="207"/>
      <c r="L2703" s="66"/>
      <c r="M2703" s="242" t="s">
        <v>15722</v>
      </c>
      <c r="N2703" s="207"/>
      <c r="O2703" s="245" t="s">
        <v>11937</v>
      </c>
    </row>
    <row r="2704" spans="1:15" ht="60" customHeight="1" x14ac:dyDescent="0.3">
      <c r="A2704" s="139">
        <v>2673</v>
      </c>
      <c r="B2704" s="140" t="s">
        <v>15954</v>
      </c>
      <c r="C2704" s="245" t="s">
        <v>15952</v>
      </c>
      <c r="D2704" s="85" t="s">
        <v>15951</v>
      </c>
      <c r="E2704" s="138">
        <v>229</v>
      </c>
      <c r="F2704" s="121">
        <v>87876.46</v>
      </c>
      <c r="G2704" s="43"/>
      <c r="H2704" s="121">
        <v>87876.46</v>
      </c>
      <c r="I2704" s="207" t="s">
        <v>12545</v>
      </c>
      <c r="J2704" s="38" t="s">
        <v>15953</v>
      </c>
      <c r="K2704" s="207"/>
      <c r="L2704" s="66"/>
      <c r="M2704" s="242" t="s">
        <v>15722</v>
      </c>
      <c r="N2704" s="207"/>
      <c r="O2704" s="66" t="s">
        <v>11937</v>
      </c>
    </row>
    <row r="2705" spans="1:15" ht="60" customHeight="1" x14ac:dyDescent="0.3">
      <c r="A2705" s="139">
        <v>2674</v>
      </c>
      <c r="B2705" s="140" t="s">
        <v>15935</v>
      </c>
      <c r="C2705" s="245" t="s">
        <v>15955</v>
      </c>
      <c r="D2705" s="85" t="s">
        <v>15956</v>
      </c>
      <c r="E2705" s="138">
        <v>243</v>
      </c>
      <c r="F2705" s="121">
        <v>92449.35</v>
      </c>
      <c r="G2705" s="43"/>
      <c r="H2705" s="121">
        <v>92449.35</v>
      </c>
      <c r="I2705" s="207" t="s">
        <v>12545</v>
      </c>
      <c r="J2705" s="38" t="s">
        <v>15957</v>
      </c>
      <c r="K2705" s="207"/>
      <c r="L2705" s="66"/>
      <c r="M2705" s="242" t="s">
        <v>15722</v>
      </c>
      <c r="N2705" s="207"/>
      <c r="O2705" s="245" t="s">
        <v>11937</v>
      </c>
    </row>
    <row r="2706" spans="1:15" ht="60" customHeight="1" x14ac:dyDescent="0.3">
      <c r="A2706" s="139">
        <v>2675</v>
      </c>
      <c r="B2706" s="140" t="s">
        <v>15925</v>
      </c>
      <c r="C2706" s="245" t="s">
        <v>15958</v>
      </c>
      <c r="D2706" s="85" t="s">
        <v>15959</v>
      </c>
      <c r="E2706" s="138">
        <v>138</v>
      </c>
      <c r="F2706" s="121">
        <v>69274.62</v>
      </c>
      <c r="G2706" s="43"/>
      <c r="H2706" s="25">
        <v>69274.62</v>
      </c>
      <c r="I2706" s="207" t="s">
        <v>12545</v>
      </c>
      <c r="J2706" s="38" t="s">
        <v>15960</v>
      </c>
      <c r="K2706" s="207"/>
      <c r="L2706" s="66"/>
      <c r="M2706" s="242" t="s">
        <v>15722</v>
      </c>
      <c r="N2706" s="207"/>
      <c r="O2706" s="66" t="s">
        <v>11937</v>
      </c>
    </row>
    <row r="2707" spans="1:15" ht="60" customHeight="1" x14ac:dyDescent="0.3">
      <c r="A2707" s="139">
        <v>2676</v>
      </c>
      <c r="B2707" s="140" t="s">
        <v>15935</v>
      </c>
      <c r="C2707" s="245" t="s">
        <v>15961</v>
      </c>
      <c r="D2707" s="85" t="s">
        <v>15962</v>
      </c>
      <c r="E2707" s="138">
        <v>1125</v>
      </c>
      <c r="F2707" s="121">
        <v>427533.75</v>
      </c>
      <c r="G2707" s="43"/>
      <c r="H2707" s="121">
        <v>427533.75</v>
      </c>
      <c r="I2707" s="207" t="s">
        <v>12545</v>
      </c>
      <c r="J2707" s="38" t="s">
        <v>15963</v>
      </c>
      <c r="K2707" s="207"/>
      <c r="L2707" s="66"/>
      <c r="M2707" s="242" t="s">
        <v>15722</v>
      </c>
      <c r="N2707" s="207"/>
      <c r="O2707" s="245" t="s">
        <v>11937</v>
      </c>
    </row>
    <row r="2708" spans="1:15" ht="60" customHeight="1" x14ac:dyDescent="0.3">
      <c r="A2708" s="139">
        <v>2677</v>
      </c>
      <c r="B2708" s="140" t="s">
        <v>15935</v>
      </c>
      <c r="C2708" s="245" t="s">
        <v>15964</v>
      </c>
      <c r="D2708" s="85" t="s">
        <v>15965</v>
      </c>
      <c r="E2708" s="138">
        <v>7838</v>
      </c>
      <c r="F2708" s="121">
        <v>1287626.6399999999</v>
      </c>
      <c r="G2708" s="43"/>
      <c r="H2708" s="121">
        <v>1287626.6399999999</v>
      </c>
      <c r="I2708" s="207" t="s">
        <v>12545</v>
      </c>
      <c r="J2708" s="38" t="s">
        <v>15966</v>
      </c>
      <c r="K2708" s="207"/>
      <c r="L2708" s="66"/>
      <c r="M2708" s="242" t="s">
        <v>15722</v>
      </c>
      <c r="N2708" s="207"/>
      <c r="O2708" s="66" t="s">
        <v>11937</v>
      </c>
    </row>
    <row r="2709" spans="1:15" ht="60" customHeight="1" x14ac:dyDescent="0.3">
      <c r="A2709" s="139">
        <v>2678</v>
      </c>
      <c r="B2709" s="140" t="s">
        <v>15935</v>
      </c>
      <c r="C2709" s="245" t="s">
        <v>15967</v>
      </c>
      <c r="D2709" s="85" t="s">
        <v>15968</v>
      </c>
      <c r="E2709" s="138">
        <v>6514</v>
      </c>
      <c r="F2709" s="121">
        <v>1255247.8</v>
      </c>
      <c r="G2709" s="43"/>
      <c r="H2709" s="121">
        <v>1255247.8</v>
      </c>
      <c r="I2709" s="207" t="s">
        <v>12545</v>
      </c>
      <c r="J2709" s="38" t="s">
        <v>15969</v>
      </c>
      <c r="K2709" s="207"/>
      <c r="L2709" s="66"/>
      <c r="M2709" s="242" t="s">
        <v>15722</v>
      </c>
      <c r="N2709" s="207"/>
      <c r="O2709" s="66" t="s">
        <v>11937</v>
      </c>
    </row>
    <row r="2710" spans="1:15" ht="76.2" customHeight="1" x14ac:dyDescent="0.3">
      <c r="A2710" s="139">
        <v>2679</v>
      </c>
      <c r="B2710" s="140" t="s">
        <v>15935</v>
      </c>
      <c r="C2710" s="245" t="s">
        <v>15940</v>
      </c>
      <c r="D2710" s="85" t="s">
        <v>15970</v>
      </c>
      <c r="E2710" s="138">
        <v>1061</v>
      </c>
      <c r="F2710" s="121">
        <v>123129.05</v>
      </c>
      <c r="G2710" s="43"/>
      <c r="H2710" s="121">
        <v>123129.05</v>
      </c>
      <c r="I2710" s="207" t="s">
        <v>12545</v>
      </c>
      <c r="J2710" s="38" t="s">
        <v>15971</v>
      </c>
      <c r="K2710" s="207"/>
      <c r="L2710" s="207"/>
      <c r="M2710" s="242" t="s">
        <v>15722</v>
      </c>
      <c r="N2710" s="207"/>
      <c r="O2710" s="66" t="s">
        <v>11937</v>
      </c>
    </row>
    <row r="2711" spans="1:15" ht="60" customHeight="1" x14ac:dyDescent="0.3">
      <c r="A2711" s="139">
        <v>2680</v>
      </c>
      <c r="B2711" s="140" t="s">
        <v>15935</v>
      </c>
      <c r="C2711" s="245" t="s">
        <v>15974</v>
      </c>
      <c r="D2711" s="85" t="s">
        <v>15972</v>
      </c>
      <c r="E2711" s="138">
        <v>1411</v>
      </c>
      <c r="F2711" s="121">
        <v>542430.73</v>
      </c>
      <c r="G2711" s="43"/>
      <c r="H2711" s="121">
        <v>542430.73</v>
      </c>
      <c r="I2711" s="207" t="s">
        <v>12545</v>
      </c>
      <c r="J2711" s="38" t="s">
        <v>15973</v>
      </c>
      <c r="K2711" s="207"/>
      <c r="L2711" s="66"/>
      <c r="M2711" s="242" t="s">
        <v>15722</v>
      </c>
      <c r="N2711" s="207"/>
      <c r="O2711" s="66" t="s">
        <v>11937</v>
      </c>
    </row>
    <row r="2712" spans="1:15" ht="60" customHeight="1" x14ac:dyDescent="0.3">
      <c r="A2712" s="139">
        <v>2681</v>
      </c>
      <c r="B2712" s="140" t="s">
        <v>15935</v>
      </c>
      <c r="C2712" s="245" t="s">
        <v>15975</v>
      </c>
      <c r="D2712" s="85" t="s">
        <v>15976</v>
      </c>
      <c r="E2712" s="138">
        <v>9980</v>
      </c>
      <c r="F2712" s="121">
        <v>3580025.6</v>
      </c>
      <c r="G2712" s="51"/>
      <c r="H2712" s="121">
        <v>3580025.6</v>
      </c>
      <c r="I2712" s="207" t="s">
        <v>12545</v>
      </c>
      <c r="J2712" s="38" t="s">
        <v>15977</v>
      </c>
      <c r="K2712" s="207"/>
      <c r="L2712" s="66"/>
      <c r="M2712" s="242" t="s">
        <v>15722</v>
      </c>
      <c r="N2712" s="207"/>
      <c r="O2712" s="66" t="s">
        <v>11937</v>
      </c>
    </row>
    <row r="2713" spans="1:15" ht="60" customHeight="1" x14ac:dyDescent="0.3">
      <c r="A2713" s="139">
        <v>2682</v>
      </c>
      <c r="B2713" s="140" t="s">
        <v>15935</v>
      </c>
      <c r="C2713" s="245" t="s">
        <v>15978</v>
      </c>
      <c r="D2713" s="85" t="s">
        <v>15979</v>
      </c>
      <c r="E2713" s="138">
        <v>871</v>
      </c>
      <c r="F2713" s="121">
        <v>622031.1</v>
      </c>
      <c r="G2713" s="51"/>
      <c r="H2713" s="141">
        <v>622031.1</v>
      </c>
      <c r="I2713" s="207" t="s">
        <v>12545</v>
      </c>
      <c r="J2713" s="38" t="s">
        <v>15980</v>
      </c>
      <c r="K2713" s="207"/>
      <c r="L2713" s="66"/>
      <c r="M2713" s="242" t="s">
        <v>15722</v>
      </c>
      <c r="N2713" s="207"/>
      <c r="O2713" s="66" t="s">
        <v>11937</v>
      </c>
    </row>
    <row r="2714" spans="1:15" ht="69" customHeight="1" x14ac:dyDescent="0.3">
      <c r="A2714" s="139">
        <v>2683</v>
      </c>
      <c r="B2714" s="140" t="s">
        <v>15935</v>
      </c>
      <c r="C2714" s="245" t="s">
        <v>15981</v>
      </c>
      <c r="D2714" s="85" t="s">
        <v>15982</v>
      </c>
      <c r="E2714" s="138">
        <v>377</v>
      </c>
      <c r="F2714" s="121">
        <v>43750.85</v>
      </c>
      <c r="G2714" s="51"/>
      <c r="H2714" s="141">
        <v>43750.85</v>
      </c>
      <c r="I2714" s="207" t="s">
        <v>12545</v>
      </c>
      <c r="J2714" s="38" t="s">
        <v>15983</v>
      </c>
      <c r="K2714" s="207"/>
      <c r="L2714" s="66"/>
      <c r="M2714" s="242" t="s">
        <v>15722</v>
      </c>
      <c r="N2714" s="207"/>
      <c r="O2714" s="66" t="s">
        <v>11937</v>
      </c>
    </row>
    <row r="2715" spans="1:15" ht="83.4" customHeight="1" x14ac:dyDescent="0.3">
      <c r="A2715" s="139">
        <v>2684</v>
      </c>
      <c r="B2715" s="140" t="s">
        <v>15935</v>
      </c>
      <c r="C2715" s="245" t="s">
        <v>15984</v>
      </c>
      <c r="D2715" s="85" t="s">
        <v>15985</v>
      </c>
      <c r="E2715" s="138">
        <v>242</v>
      </c>
      <c r="F2715" s="121">
        <v>92988.5</v>
      </c>
      <c r="G2715" s="51"/>
      <c r="H2715" s="141">
        <v>92988.5</v>
      </c>
      <c r="I2715" s="207" t="s">
        <v>12545</v>
      </c>
      <c r="J2715" s="38" t="s">
        <v>15986</v>
      </c>
      <c r="K2715" s="207"/>
      <c r="L2715" s="66"/>
      <c r="M2715" s="242" t="s">
        <v>15722</v>
      </c>
      <c r="N2715" s="207"/>
      <c r="O2715" s="66" t="s">
        <v>11937</v>
      </c>
    </row>
    <row r="2716" spans="1:15" ht="60" customHeight="1" x14ac:dyDescent="0.3">
      <c r="A2716" s="139">
        <v>2685</v>
      </c>
      <c r="B2716" s="140" t="s">
        <v>15935</v>
      </c>
      <c r="C2716" s="245" t="s">
        <v>15987</v>
      </c>
      <c r="D2716" s="85" t="s">
        <v>15988</v>
      </c>
      <c r="E2716" s="138">
        <v>2861</v>
      </c>
      <c r="F2716" s="121">
        <v>1088982.43</v>
      </c>
      <c r="G2716" s="51"/>
      <c r="H2716" s="141">
        <v>1088982.43</v>
      </c>
      <c r="I2716" s="207" t="s">
        <v>12545</v>
      </c>
      <c r="J2716" s="38" t="s">
        <v>15989</v>
      </c>
      <c r="K2716" s="207"/>
      <c r="L2716" s="66"/>
      <c r="M2716" s="242" t="s">
        <v>15722</v>
      </c>
      <c r="N2716" s="207"/>
      <c r="O2716" s="66" t="s">
        <v>11937</v>
      </c>
    </row>
    <row r="2717" spans="1:15" ht="60" customHeight="1" x14ac:dyDescent="0.3">
      <c r="A2717" s="139">
        <v>2686</v>
      </c>
      <c r="B2717" s="140" t="s">
        <v>15935</v>
      </c>
      <c r="C2717" s="245" t="s">
        <v>15990</v>
      </c>
      <c r="D2717" s="85" t="s">
        <v>15991</v>
      </c>
      <c r="E2717" s="138">
        <v>1582</v>
      </c>
      <c r="F2717" s="121">
        <v>345951.76</v>
      </c>
      <c r="G2717" s="51"/>
      <c r="H2717" s="121">
        <v>345951.76</v>
      </c>
      <c r="I2717" s="207" t="s">
        <v>12545</v>
      </c>
      <c r="J2717" s="38" t="s">
        <v>15992</v>
      </c>
      <c r="K2717" s="207"/>
      <c r="L2717" s="66"/>
      <c r="M2717" s="242" t="s">
        <v>15722</v>
      </c>
      <c r="N2717" s="207"/>
      <c r="O2717" s="66" t="s">
        <v>11937</v>
      </c>
    </row>
    <row r="2718" spans="1:15" ht="60" customHeight="1" x14ac:dyDescent="0.3">
      <c r="A2718" s="139">
        <v>2687</v>
      </c>
      <c r="B2718" s="140" t="s">
        <v>15935</v>
      </c>
      <c r="C2718" s="245" t="s">
        <v>23639</v>
      </c>
      <c r="D2718" s="85" t="s">
        <v>15993</v>
      </c>
      <c r="E2718" s="138">
        <v>1013</v>
      </c>
      <c r="F2718" s="121">
        <v>117558.65</v>
      </c>
      <c r="G2718" s="51"/>
      <c r="H2718" s="121">
        <v>117558.65</v>
      </c>
      <c r="I2718" s="207" t="s">
        <v>12545</v>
      </c>
      <c r="J2718" s="38" t="s">
        <v>15994</v>
      </c>
      <c r="K2718" s="207"/>
      <c r="L2718" s="66"/>
      <c r="M2718" s="242" t="s">
        <v>15722</v>
      </c>
      <c r="N2718" s="207"/>
      <c r="O2718" s="66" t="s">
        <v>11937</v>
      </c>
    </row>
    <row r="2719" spans="1:15" ht="60" customHeight="1" x14ac:dyDescent="0.3">
      <c r="A2719" s="139">
        <v>2688</v>
      </c>
      <c r="B2719" s="140" t="s">
        <v>15935</v>
      </c>
      <c r="C2719" s="245" t="s">
        <v>15990</v>
      </c>
      <c r="D2719" s="85" t="s">
        <v>15995</v>
      </c>
      <c r="E2719" s="138">
        <v>1923</v>
      </c>
      <c r="F2719" s="121">
        <v>420521.64</v>
      </c>
      <c r="G2719" s="51"/>
      <c r="H2719" s="121">
        <v>420521.64</v>
      </c>
      <c r="I2719" s="207" t="s">
        <v>12545</v>
      </c>
      <c r="J2719" s="38" t="s">
        <v>15996</v>
      </c>
      <c r="K2719" s="207"/>
      <c r="L2719" s="66"/>
      <c r="M2719" s="242" t="s">
        <v>15722</v>
      </c>
      <c r="N2719" s="207"/>
      <c r="O2719" s="66" t="s">
        <v>11937</v>
      </c>
    </row>
    <row r="2720" spans="1:15" ht="60" customHeight="1" x14ac:dyDescent="0.3">
      <c r="A2720" s="139">
        <v>2689</v>
      </c>
      <c r="B2720" s="140" t="s">
        <v>15935</v>
      </c>
      <c r="C2720" s="245" t="s">
        <v>15998</v>
      </c>
      <c r="D2720" s="85" t="s">
        <v>15997</v>
      </c>
      <c r="E2720" s="138">
        <v>577</v>
      </c>
      <c r="F2720" s="121">
        <v>219277.31</v>
      </c>
      <c r="G2720" s="51"/>
      <c r="H2720" s="121">
        <v>219277.31</v>
      </c>
      <c r="I2720" s="207" t="s">
        <v>12545</v>
      </c>
      <c r="J2720" s="38" t="s">
        <v>15996</v>
      </c>
      <c r="K2720" s="207"/>
      <c r="L2720" s="66"/>
      <c r="M2720" s="242" t="s">
        <v>15722</v>
      </c>
      <c r="N2720" s="207"/>
      <c r="O2720" s="66" t="s">
        <v>11937</v>
      </c>
    </row>
    <row r="2721" spans="1:15" ht="60" customHeight="1" x14ac:dyDescent="0.3">
      <c r="A2721" s="139">
        <v>2690</v>
      </c>
      <c r="B2721" s="140" t="s">
        <v>15935</v>
      </c>
      <c r="C2721" s="245" t="s">
        <v>15999</v>
      </c>
      <c r="D2721" s="85" t="s">
        <v>16000</v>
      </c>
      <c r="E2721" s="138">
        <v>1634</v>
      </c>
      <c r="F2721" s="121">
        <v>620789.28</v>
      </c>
      <c r="G2721" s="51"/>
      <c r="H2721" s="121">
        <v>620789.28</v>
      </c>
      <c r="I2721" s="207" t="s">
        <v>12545</v>
      </c>
      <c r="J2721" s="38" t="s">
        <v>16001</v>
      </c>
      <c r="K2721" s="207"/>
      <c r="L2721" s="66"/>
      <c r="M2721" s="242" t="s">
        <v>15722</v>
      </c>
      <c r="N2721" s="207"/>
      <c r="O2721" s="66" t="s">
        <v>11937</v>
      </c>
    </row>
    <row r="2722" spans="1:15" ht="64.2" customHeight="1" x14ac:dyDescent="0.3">
      <c r="A2722" s="139">
        <v>2691</v>
      </c>
      <c r="B2722" s="140" t="s">
        <v>15935</v>
      </c>
      <c r="C2722" s="245" t="s">
        <v>16002</v>
      </c>
      <c r="D2722" s="85" t="s">
        <v>16003</v>
      </c>
      <c r="E2722" s="138">
        <v>478</v>
      </c>
      <c r="F2722" s="121">
        <v>181855.1</v>
      </c>
      <c r="G2722" s="51"/>
      <c r="H2722" s="121">
        <v>181855.1</v>
      </c>
      <c r="I2722" s="207" t="s">
        <v>12545</v>
      </c>
      <c r="J2722" s="38" t="s">
        <v>16004</v>
      </c>
      <c r="K2722" s="207"/>
      <c r="L2722" s="66"/>
      <c r="M2722" s="242" t="s">
        <v>15722</v>
      </c>
      <c r="N2722" s="207"/>
      <c r="O2722" s="66" t="s">
        <v>11937</v>
      </c>
    </row>
    <row r="2723" spans="1:15" ht="69" customHeight="1" x14ac:dyDescent="0.3">
      <c r="A2723" s="139">
        <v>2692</v>
      </c>
      <c r="B2723" s="140" t="s">
        <v>15935</v>
      </c>
      <c r="C2723" s="245" t="s">
        <v>16005</v>
      </c>
      <c r="D2723" s="85" t="s">
        <v>16006</v>
      </c>
      <c r="E2723" s="138">
        <v>199</v>
      </c>
      <c r="F2723" s="121">
        <v>23093.95</v>
      </c>
      <c r="G2723" s="51"/>
      <c r="H2723" s="121">
        <v>23093.95</v>
      </c>
      <c r="I2723" s="207" t="s">
        <v>12545</v>
      </c>
      <c r="J2723" s="38" t="s">
        <v>16007</v>
      </c>
      <c r="K2723" s="207"/>
      <c r="L2723" s="66"/>
      <c r="M2723" s="242" t="s">
        <v>15722</v>
      </c>
      <c r="N2723" s="207"/>
      <c r="O2723" s="66" t="s">
        <v>11937</v>
      </c>
    </row>
    <row r="2724" spans="1:15" ht="72" customHeight="1" x14ac:dyDescent="0.3">
      <c r="A2724" s="139">
        <v>2693</v>
      </c>
      <c r="B2724" s="140" t="s">
        <v>16012</v>
      </c>
      <c r="C2724" s="245" t="s">
        <v>16005</v>
      </c>
      <c r="D2724" s="85" t="s">
        <v>16008</v>
      </c>
      <c r="E2724" s="138">
        <v>237</v>
      </c>
      <c r="F2724" s="121">
        <v>36362.910000000003</v>
      </c>
      <c r="G2724" s="51"/>
      <c r="H2724" s="43">
        <v>36362.910000000003</v>
      </c>
      <c r="I2724" s="207" t="s">
        <v>12545</v>
      </c>
      <c r="J2724" s="38" t="s">
        <v>16009</v>
      </c>
      <c r="K2724" s="207"/>
      <c r="L2724" s="66"/>
      <c r="M2724" s="242" t="s">
        <v>15722</v>
      </c>
      <c r="N2724" s="207"/>
      <c r="O2724" s="66" t="s">
        <v>11937</v>
      </c>
    </row>
    <row r="2725" spans="1:15" ht="72" customHeight="1" x14ac:dyDescent="0.3">
      <c r="A2725" s="139">
        <v>2694</v>
      </c>
      <c r="B2725" s="140" t="s">
        <v>16012</v>
      </c>
      <c r="C2725" s="245" t="s">
        <v>16010</v>
      </c>
      <c r="D2725" s="85" t="s">
        <v>16011</v>
      </c>
      <c r="E2725" s="138">
        <v>1629</v>
      </c>
      <c r="F2725" s="121">
        <v>625063.59</v>
      </c>
      <c r="G2725" s="51"/>
      <c r="H2725" s="43">
        <v>625063.59</v>
      </c>
      <c r="I2725" s="207" t="s">
        <v>12545</v>
      </c>
      <c r="J2725" s="38" t="s">
        <v>16015</v>
      </c>
      <c r="K2725" s="207"/>
      <c r="L2725" s="66"/>
      <c r="M2725" s="242" t="s">
        <v>15722</v>
      </c>
      <c r="N2725" s="207"/>
      <c r="O2725" s="66" t="s">
        <v>11937</v>
      </c>
    </row>
    <row r="2726" spans="1:15" ht="72" customHeight="1" x14ac:dyDescent="0.3">
      <c r="A2726" s="139">
        <v>2695</v>
      </c>
      <c r="B2726" s="140" t="s">
        <v>16012</v>
      </c>
      <c r="C2726" s="245" t="s">
        <v>16013</v>
      </c>
      <c r="D2726" s="85" t="s">
        <v>16014</v>
      </c>
      <c r="E2726" s="138">
        <v>301</v>
      </c>
      <c r="F2726" s="121">
        <v>114515.45</v>
      </c>
      <c r="G2726" s="51"/>
      <c r="H2726" s="43">
        <v>114515.45</v>
      </c>
      <c r="I2726" s="207" t="s">
        <v>12545</v>
      </c>
      <c r="J2726" s="38" t="s">
        <v>16016</v>
      </c>
      <c r="K2726" s="207"/>
      <c r="L2726" s="66"/>
      <c r="M2726" s="242" t="s">
        <v>15722</v>
      </c>
      <c r="N2726" s="207"/>
      <c r="O2726" s="66" t="s">
        <v>11937</v>
      </c>
    </row>
    <row r="2727" spans="1:15" ht="72" customHeight="1" x14ac:dyDescent="0.3">
      <c r="A2727" s="139">
        <v>2696</v>
      </c>
      <c r="B2727" s="140" t="s">
        <v>16012</v>
      </c>
      <c r="C2727" s="245" t="s">
        <v>16017</v>
      </c>
      <c r="D2727" s="85" t="s">
        <v>16018</v>
      </c>
      <c r="E2727" s="138">
        <v>291</v>
      </c>
      <c r="F2727" s="121">
        <v>111816.75</v>
      </c>
      <c r="G2727" s="51"/>
      <c r="H2727" s="43">
        <v>111816.75</v>
      </c>
      <c r="I2727" s="207" t="s">
        <v>12545</v>
      </c>
      <c r="J2727" s="38" t="s">
        <v>16019</v>
      </c>
      <c r="K2727" s="207"/>
      <c r="L2727" s="66"/>
      <c r="M2727" s="242" t="s">
        <v>15722</v>
      </c>
      <c r="N2727" s="207"/>
      <c r="O2727" s="66" t="s">
        <v>11937</v>
      </c>
    </row>
    <row r="2728" spans="1:15" ht="72" customHeight="1" x14ac:dyDescent="0.3">
      <c r="A2728" s="139">
        <v>2697</v>
      </c>
      <c r="B2728" s="140" t="s">
        <v>16012</v>
      </c>
      <c r="C2728" s="245" t="s">
        <v>16005</v>
      </c>
      <c r="D2728" s="85" t="s">
        <v>16020</v>
      </c>
      <c r="E2728" s="138">
        <v>369</v>
      </c>
      <c r="F2728" s="121">
        <v>141854.67000000001</v>
      </c>
      <c r="G2728" s="51"/>
      <c r="H2728" s="43">
        <v>141854.67000000001</v>
      </c>
      <c r="I2728" s="207" t="s">
        <v>12545</v>
      </c>
      <c r="J2728" s="38" t="s">
        <v>16021</v>
      </c>
      <c r="K2728" s="207"/>
      <c r="L2728" s="66"/>
      <c r="M2728" s="242" t="s">
        <v>15722</v>
      </c>
      <c r="N2728" s="207"/>
      <c r="O2728" s="66" t="s">
        <v>11937</v>
      </c>
    </row>
    <row r="2729" spans="1:15" ht="60" customHeight="1" x14ac:dyDescent="0.3">
      <c r="A2729" s="139">
        <v>2698</v>
      </c>
      <c r="B2729" s="140" t="s">
        <v>16022</v>
      </c>
      <c r="C2729" s="245" t="s">
        <v>16023</v>
      </c>
      <c r="D2729" s="85" t="s">
        <v>16024</v>
      </c>
      <c r="E2729" s="138">
        <v>140</v>
      </c>
      <c r="F2729" s="121">
        <v>121685.2</v>
      </c>
      <c r="G2729" s="51"/>
      <c r="H2729" s="43">
        <v>121685.2</v>
      </c>
      <c r="I2729" s="207" t="s">
        <v>12545</v>
      </c>
      <c r="J2729" s="38" t="s">
        <v>16025</v>
      </c>
      <c r="K2729" s="207"/>
      <c r="L2729" s="66"/>
      <c r="M2729" s="242" t="s">
        <v>15722</v>
      </c>
      <c r="N2729" s="207"/>
      <c r="O2729" s="66" t="s">
        <v>11937</v>
      </c>
    </row>
    <row r="2730" spans="1:15" ht="60" customHeight="1" x14ac:dyDescent="0.3">
      <c r="A2730" s="139">
        <v>2699</v>
      </c>
      <c r="B2730" s="140" t="s">
        <v>16026</v>
      </c>
      <c r="C2730" s="245" t="s">
        <v>16027</v>
      </c>
      <c r="D2730" s="85" t="s">
        <v>16028</v>
      </c>
      <c r="E2730" s="138">
        <v>1086</v>
      </c>
      <c r="F2730" s="121">
        <v>545161.14</v>
      </c>
      <c r="G2730" s="51"/>
      <c r="H2730" s="43">
        <v>545161.14</v>
      </c>
      <c r="I2730" s="207" t="s">
        <v>12545</v>
      </c>
      <c r="J2730" s="38" t="s">
        <v>16029</v>
      </c>
      <c r="K2730" s="207"/>
      <c r="L2730" s="66"/>
      <c r="M2730" s="242" t="s">
        <v>15722</v>
      </c>
      <c r="N2730" s="207"/>
      <c r="O2730" s="66" t="s">
        <v>11937</v>
      </c>
    </row>
    <row r="2731" spans="1:15" ht="72" customHeight="1" x14ac:dyDescent="0.3">
      <c r="A2731" s="139">
        <v>2700</v>
      </c>
      <c r="B2731" s="140" t="s">
        <v>16030</v>
      </c>
      <c r="C2731" s="245" t="s">
        <v>16031</v>
      </c>
      <c r="D2731" s="85" t="s">
        <v>16032</v>
      </c>
      <c r="E2731" s="138">
        <v>22</v>
      </c>
      <c r="F2731" s="121">
        <v>5657.52</v>
      </c>
      <c r="G2731" s="51"/>
      <c r="H2731" s="43">
        <v>5657.52</v>
      </c>
      <c r="I2731" s="207" t="s">
        <v>12545</v>
      </c>
      <c r="J2731" s="38" t="s">
        <v>16033</v>
      </c>
      <c r="K2731" s="207"/>
      <c r="L2731" s="66"/>
      <c r="M2731" s="242" t="s">
        <v>15722</v>
      </c>
      <c r="N2731" s="207"/>
      <c r="O2731" s="66" t="s">
        <v>11937</v>
      </c>
    </row>
    <row r="2732" spans="1:15" ht="72" customHeight="1" x14ac:dyDescent="0.3">
      <c r="A2732" s="139">
        <v>2701</v>
      </c>
      <c r="B2732" s="140" t="s">
        <v>16030</v>
      </c>
      <c r="C2732" s="245" t="s">
        <v>16034</v>
      </c>
      <c r="D2732" s="85" t="s">
        <v>16035</v>
      </c>
      <c r="E2732" s="138">
        <v>12</v>
      </c>
      <c r="F2732" s="121">
        <v>1182.96</v>
      </c>
      <c r="G2732" s="51"/>
      <c r="H2732" s="43">
        <v>1182.96</v>
      </c>
      <c r="I2732" s="207" t="s">
        <v>12545</v>
      </c>
      <c r="J2732" s="38" t="s">
        <v>16033</v>
      </c>
      <c r="K2732" s="207"/>
      <c r="L2732" s="66"/>
      <c r="M2732" s="242" t="s">
        <v>15722</v>
      </c>
      <c r="N2732" s="207"/>
      <c r="O2732" s="66" t="s">
        <v>11937</v>
      </c>
    </row>
    <row r="2733" spans="1:15" ht="72" customHeight="1" x14ac:dyDescent="0.3">
      <c r="A2733" s="139">
        <v>2702</v>
      </c>
      <c r="B2733" s="140" t="s">
        <v>16030</v>
      </c>
      <c r="C2733" s="245" t="s">
        <v>16036</v>
      </c>
      <c r="D2733" s="85" t="s">
        <v>16037</v>
      </c>
      <c r="E2733" s="138">
        <v>11</v>
      </c>
      <c r="F2733" s="121">
        <v>2333.54</v>
      </c>
      <c r="G2733" s="51"/>
      <c r="H2733" s="43">
        <v>2333.54</v>
      </c>
      <c r="I2733" s="207" t="s">
        <v>12545</v>
      </c>
      <c r="J2733" s="38" t="s">
        <v>16038</v>
      </c>
      <c r="K2733" s="207"/>
      <c r="L2733" s="66"/>
      <c r="M2733" s="242" t="s">
        <v>15722</v>
      </c>
      <c r="N2733" s="207"/>
      <c r="O2733" s="66" t="s">
        <v>11937</v>
      </c>
    </row>
    <row r="2734" spans="1:15" ht="72" customHeight="1" x14ac:dyDescent="0.3">
      <c r="A2734" s="139">
        <v>2703</v>
      </c>
      <c r="B2734" s="140" t="s">
        <v>16030</v>
      </c>
      <c r="C2734" s="245" t="s">
        <v>16039</v>
      </c>
      <c r="D2734" s="85" t="s">
        <v>16040</v>
      </c>
      <c r="E2734" s="138">
        <v>16</v>
      </c>
      <c r="F2734" s="121">
        <v>3394.24</v>
      </c>
      <c r="G2734" s="51"/>
      <c r="H2734" s="43">
        <v>3394.24</v>
      </c>
      <c r="I2734" s="207" t="s">
        <v>12545</v>
      </c>
      <c r="J2734" s="38" t="s">
        <v>16041</v>
      </c>
      <c r="K2734" s="207"/>
      <c r="L2734" s="66"/>
      <c r="M2734" s="242" t="s">
        <v>15722</v>
      </c>
      <c r="N2734" s="207"/>
      <c r="O2734" s="66" t="s">
        <v>11937</v>
      </c>
    </row>
    <row r="2735" spans="1:15" ht="72" customHeight="1" x14ac:dyDescent="0.3">
      <c r="A2735" s="139">
        <v>2704</v>
      </c>
      <c r="B2735" s="140" t="s">
        <v>16030</v>
      </c>
      <c r="C2735" s="245" t="s">
        <v>16042</v>
      </c>
      <c r="D2735" s="85" t="s">
        <v>16043</v>
      </c>
      <c r="E2735" s="138">
        <v>24</v>
      </c>
      <c r="F2735" s="121">
        <v>5091.3599999999997</v>
      </c>
      <c r="G2735" s="51"/>
      <c r="H2735" s="43">
        <v>5091.3599999999997</v>
      </c>
      <c r="I2735" s="207" t="s">
        <v>12545</v>
      </c>
      <c r="J2735" s="38" t="s">
        <v>16044</v>
      </c>
      <c r="K2735" s="207"/>
      <c r="L2735" s="66"/>
      <c r="M2735" s="242" t="s">
        <v>15722</v>
      </c>
      <c r="N2735" s="207"/>
      <c r="O2735" s="66" t="s">
        <v>11937</v>
      </c>
    </row>
    <row r="2736" spans="1:15" ht="72" customHeight="1" x14ac:dyDescent="0.3">
      <c r="A2736" s="139">
        <v>2705</v>
      </c>
      <c r="B2736" s="140" t="s">
        <v>16046</v>
      </c>
      <c r="C2736" s="245" t="s">
        <v>15998</v>
      </c>
      <c r="D2736" s="85" t="s">
        <v>16047</v>
      </c>
      <c r="E2736" s="207">
        <v>4253</v>
      </c>
      <c r="F2736" s="121">
        <v>4089429.62</v>
      </c>
      <c r="G2736" s="207"/>
      <c r="H2736" s="121">
        <v>4089429.62</v>
      </c>
      <c r="I2736" s="207" t="s">
        <v>12545</v>
      </c>
      <c r="J2736" s="38" t="s">
        <v>16048</v>
      </c>
      <c r="K2736" s="207" t="s">
        <v>16451</v>
      </c>
      <c r="L2736" s="66" t="s">
        <v>16452</v>
      </c>
      <c r="M2736" s="242" t="s">
        <v>15722</v>
      </c>
      <c r="N2736" s="245" t="s">
        <v>17808</v>
      </c>
      <c r="O2736" s="245"/>
    </row>
    <row r="2737" spans="1:26" ht="84" customHeight="1" x14ac:dyDescent="0.3">
      <c r="A2737" s="139">
        <v>2706</v>
      </c>
      <c r="B2737" s="242" t="s">
        <v>16055</v>
      </c>
      <c r="C2737" s="242" t="s">
        <v>16056</v>
      </c>
      <c r="D2737" s="60" t="s">
        <v>16057</v>
      </c>
      <c r="E2737" s="242">
        <v>360</v>
      </c>
      <c r="F2737" s="43">
        <v>520534.8</v>
      </c>
      <c r="G2737" s="244"/>
      <c r="H2737" s="43">
        <v>520534.8</v>
      </c>
      <c r="I2737" s="243">
        <v>42576</v>
      </c>
      <c r="J2737" s="242" t="s">
        <v>16058</v>
      </c>
      <c r="K2737" s="242"/>
      <c r="L2737" s="66"/>
      <c r="M2737" s="200" t="s">
        <v>12550</v>
      </c>
      <c r="N2737" s="160"/>
      <c r="O2737" s="66" t="s">
        <v>12039</v>
      </c>
    </row>
    <row r="2738" spans="1:26" ht="72" customHeight="1" x14ac:dyDescent="0.3">
      <c r="A2738" s="269">
        <v>2707</v>
      </c>
      <c r="B2738" s="257" t="s">
        <v>18558</v>
      </c>
      <c r="C2738" s="23" t="s">
        <v>16148</v>
      </c>
      <c r="D2738" s="94"/>
      <c r="E2738" s="207">
        <v>1895</v>
      </c>
      <c r="F2738" s="25">
        <v>6214702.4500000002</v>
      </c>
      <c r="G2738" s="207"/>
      <c r="H2738" s="207"/>
      <c r="I2738" s="207" t="s">
        <v>16149</v>
      </c>
      <c r="J2738" s="66" t="s">
        <v>16150</v>
      </c>
      <c r="K2738" s="207"/>
      <c r="L2738" s="66"/>
      <c r="M2738" s="201" t="s">
        <v>12550</v>
      </c>
      <c r="N2738" s="242" t="s">
        <v>18563</v>
      </c>
      <c r="O2738" s="38"/>
    </row>
    <row r="2739" spans="1:26" ht="72" customHeight="1" x14ac:dyDescent="0.3">
      <c r="A2739" s="139">
        <v>2708</v>
      </c>
      <c r="B2739" s="245" t="s">
        <v>18559</v>
      </c>
      <c r="C2739" s="242" t="s">
        <v>16148</v>
      </c>
      <c r="D2739" s="207"/>
      <c r="E2739" s="207">
        <v>1244</v>
      </c>
      <c r="F2739" s="25">
        <v>3204488.85</v>
      </c>
      <c r="G2739" s="207"/>
      <c r="H2739" s="207"/>
      <c r="I2739" s="207" t="s">
        <v>16149</v>
      </c>
      <c r="J2739" s="66" t="s">
        <v>16150</v>
      </c>
      <c r="K2739" s="207"/>
      <c r="L2739" s="66"/>
      <c r="M2739" s="201" t="s">
        <v>12550</v>
      </c>
      <c r="N2739" s="242" t="s">
        <v>18563</v>
      </c>
      <c r="O2739" s="38"/>
    </row>
    <row r="2740" spans="1:26" ht="72" customHeight="1" x14ac:dyDescent="0.3">
      <c r="A2740" s="139">
        <v>2709</v>
      </c>
      <c r="B2740" s="245" t="s">
        <v>18560</v>
      </c>
      <c r="C2740" s="242" t="s">
        <v>16148</v>
      </c>
      <c r="D2740" s="207"/>
      <c r="E2740" s="207">
        <v>641</v>
      </c>
      <c r="F2740" s="25">
        <v>2102533.73</v>
      </c>
      <c r="G2740" s="207"/>
      <c r="H2740" s="207"/>
      <c r="I2740" s="207" t="s">
        <v>16149</v>
      </c>
      <c r="J2740" s="66" t="s">
        <v>16150</v>
      </c>
      <c r="K2740" s="207"/>
      <c r="L2740" s="66"/>
      <c r="M2740" s="201" t="s">
        <v>12550</v>
      </c>
      <c r="N2740" s="242" t="s">
        <v>18563</v>
      </c>
      <c r="O2740" s="38"/>
    </row>
    <row r="2741" spans="1:26" ht="72" customHeight="1" x14ac:dyDescent="0.3">
      <c r="A2741" s="139">
        <v>2710</v>
      </c>
      <c r="B2741" s="66" t="s">
        <v>18561</v>
      </c>
      <c r="C2741" s="242" t="s">
        <v>16148</v>
      </c>
      <c r="D2741" s="207"/>
      <c r="E2741" s="207">
        <v>786</v>
      </c>
      <c r="F2741" s="25">
        <v>1743555.68</v>
      </c>
      <c r="G2741" s="207"/>
      <c r="H2741" s="207"/>
      <c r="I2741" s="207" t="s">
        <v>16149</v>
      </c>
      <c r="J2741" s="66" t="s">
        <v>16150</v>
      </c>
      <c r="K2741" s="207"/>
      <c r="L2741" s="66"/>
      <c r="M2741" s="201" t="s">
        <v>12550</v>
      </c>
      <c r="N2741" s="242" t="s">
        <v>18563</v>
      </c>
      <c r="O2741" s="38"/>
    </row>
    <row r="2742" spans="1:26" ht="72" customHeight="1" x14ac:dyDescent="0.3">
      <c r="A2742" s="139">
        <v>2711</v>
      </c>
      <c r="B2742" s="245" t="s">
        <v>18562</v>
      </c>
      <c r="C2742" s="242" t="s">
        <v>16148</v>
      </c>
      <c r="D2742" s="207"/>
      <c r="E2742" s="207">
        <v>3498</v>
      </c>
      <c r="F2742" s="25">
        <v>4309728.01</v>
      </c>
      <c r="G2742" s="207"/>
      <c r="H2742" s="207"/>
      <c r="I2742" s="207" t="s">
        <v>16149</v>
      </c>
      <c r="J2742" s="66" t="s">
        <v>16150</v>
      </c>
      <c r="K2742" s="207"/>
      <c r="L2742" s="66"/>
      <c r="M2742" s="201" t="s">
        <v>12550</v>
      </c>
      <c r="N2742" s="242" t="s">
        <v>18563</v>
      </c>
      <c r="O2742" s="38"/>
      <c r="Q2742" s="161"/>
      <c r="R2742" s="161"/>
      <c r="S2742" s="161"/>
      <c r="T2742" s="161"/>
      <c r="U2742" s="161"/>
      <c r="V2742" s="161"/>
      <c r="W2742" s="161"/>
      <c r="X2742" s="161"/>
      <c r="Y2742" s="161"/>
      <c r="Z2742" s="161"/>
    </row>
    <row r="2743" spans="1:26" s="161" customFormat="1" ht="84" customHeight="1" x14ac:dyDescent="0.3">
      <c r="A2743" s="139">
        <v>2712</v>
      </c>
      <c r="B2743" s="245" t="s">
        <v>16156</v>
      </c>
      <c r="C2743" s="242" t="s">
        <v>18590</v>
      </c>
      <c r="D2743" s="207"/>
      <c r="E2743" s="207"/>
      <c r="F2743" s="25">
        <v>12110</v>
      </c>
      <c r="G2743" s="207"/>
      <c r="H2743" s="207"/>
      <c r="I2743" s="26">
        <v>42590</v>
      </c>
      <c r="J2743" s="66" t="s">
        <v>16157</v>
      </c>
      <c r="K2743" s="242" t="s">
        <v>18873</v>
      </c>
      <c r="L2743" s="66" t="s">
        <v>18874</v>
      </c>
      <c r="M2743" s="245" t="s">
        <v>13904</v>
      </c>
      <c r="N2743" s="207"/>
      <c r="O2743" s="245" t="s">
        <v>18876</v>
      </c>
    </row>
    <row r="2744" spans="1:26" s="148" customFormat="1" ht="72" customHeight="1" x14ac:dyDescent="0.3">
      <c r="A2744" s="139">
        <v>2713</v>
      </c>
      <c r="B2744" s="245" t="s">
        <v>16160</v>
      </c>
      <c r="C2744" s="245" t="s">
        <v>15906</v>
      </c>
      <c r="D2744" s="85" t="s">
        <v>16161</v>
      </c>
      <c r="E2744" s="207">
        <v>1524</v>
      </c>
      <c r="F2744" s="194">
        <v>128869.44</v>
      </c>
      <c r="G2744" s="207"/>
      <c r="H2744" s="195">
        <v>128869.44</v>
      </c>
      <c r="I2744" s="26">
        <v>42618</v>
      </c>
      <c r="J2744" s="66" t="s">
        <v>16162</v>
      </c>
      <c r="K2744" s="207" t="s">
        <v>18865</v>
      </c>
      <c r="L2744" s="66" t="s">
        <v>18866</v>
      </c>
      <c r="M2744" s="200" t="s">
        <v>12550</v>
      </c>
      <c r="N2744" s="207"/>
      <c r="O2744" s="245" t="s">
        <v>12039</v>
      </c>
      <c r="P2744" s="161"/>
      <c r="Q2744" s="67"/>
      <c r="R2744" s="67"/>
      <c r="S2744" s="67"/>
      <c r="T2744" s="67"/>
      <c r="U2744" s="67"/>
      <c r="V2744" s="67"/>
      <c r="W2744" s="67"/>
      <c r="X2744" s="67"/>
      <c r="Y2744" s="67"/>
      <c r="Z2744" s="67"/>
    </row>
    <row r="2745" spans="1:26" ht="72" customHeight="1" x14ac:dyDescent="0.3">
      <c r="A2745" s="139">
        <v>2714</v>
      </c>
      <c r="B2745" s="142" t="s">
        <v>19658</v>
      </c>
      <c r="C2745" s="142" t="s">
        <v>22940</v>
      </c>
      <c r="D2745" s="85" t="s">
        <v>19657</v>
      </c>
      <c r="E2745" s="207"/>
      <c r="F2745" s="143">
        <v>134258.38</v>
      </c>
      <c r="G2745" s="143">
        <v>134258.38</v>
      </c>
      <c r="H2745" s="25"/>
      <c r="I2745" s="207" t="s">
        <v>12545</v>
      </c>
      <c r="J2745" s="66" t="s">
        <v>19659</v>
      </c>
      <c r="K2745" s="207"/>
      <c r="L2745" s="66"/>
      <c r="M2745" s="201" t="s">
        <v>12550</v>
      </c>
      <c r="N2745" s="38" t="s">
        <v>19412</v>
      </c>
      <c r="O2745" s="41"/>
    </row>
    <row r="2746" spans="1:26" ht="156" customHeight="1" x14ac:dyDescent="0.3">
      <c r="A2746" s="139">
        <v>2715</v>
      </c>
      <c r="B2746" s="245" t="s">
        <v>16190</v>
      </c>
      <c r="C2746" s="245" t="s">
        <v>16191</v>
      </c>
      <c r="D2746" s="85" t="s">
        <v>16192</v>
      </c>
      <c r="E2746" s="207">
        <v>33000</v>
      </c>
      <c r="F2746" s="25">
        <v>6582180</v>
      </c>
      <c r="G2746" s="207"/>
      <c r="H2746" s="20">
        <v>6582180</v>
      </c>
      <c r="I2746" s="26" t="s">
        <v>16193</v>
      </c>
      <c r="J2746" s="66" t="s">
        <v>16194</v>
      </c>
      <c r="K2746" s="207"/>
      <c r="L2746" s="66"/>
      <c r="M2746" s="242" t="s">
        <v>15722</v>
      </c>
      <c r="N2746" s="207"/>
      <c r="O2746" s="245" t="s">
        <v>11937</v>
      </c>
    </row>
    <row r="2747" spans="1:26" ht="72" customHeight="1" x14ac:dyDescent="0.3">
      <c r="A2747" s="139">
        <v>2716</v>
      </c>
      <c r="B2747" s="245" t="s">
        <v>16300</v>
      </c>
      <c r="C2747" s="245" t="s">
        <v>16305</v>
      </c>
      <c r="D2747" s="85" t="s">
        <v>16302</v>
      </c>
      <c r="E2747" s="207">
        <v>1200</v>
      </c>
      <c r="F2747" s="25">
        <v>758616</v>
      </c>
      <c r="G2747" s="207"/>
      <c r="H2747" s="20">
        <v>758616</v>
      </c>
      <c r="I2747" s="26">
        <v>42663</v>
      </c>
      <c r="J2747" s="66" t="s">
        <v>16303</v>
      </c>
      <c r="K2747" s="207"/>
      <c r="L2747" s="66"/>
      <c r="M2747" s="200" t="s">
        <v>12550</v>
      </c>
      <c r="N2747" s="207"/>
      <c r="O2747" s="245" t="s">
        <v>12039</v>
      </c>
    </row>
    <row r="2748" spans="1:26" ht="72" customHeight="1" x14ac:dyDescent="0.3">
      <c r="A2748" s="139">
        <v>2717</v>
      </c>
      <c r="B2748" s="245" t="s">
        <v>16304</v>
      </c>
      <c r="C2748" s="245" t="s">
        <v>16306</v>
      </c>
      <c r="D2748" s="85" t="s">
        <v>16307</v>
      </c>
      <c r="E2748" s="207">
        <v>208</v>
      </c>
      <c r="F2748" s="25">
        <v>21328.32</v>
      </c>
      <c r="G2748" s="207"/>
      <c r="H2748" s="20">
        <v>21328.32</v>
      </c>
      <c r="I2748" s="26">
        <v>42663</v>
      </c>
      <c r="J2748" s="66" t="s">
        <v>16308</v>
      </c>
      <c r="K2748" s="207"/>
      <c r="L2748" s="66"/>
      <c r="M2748" s="200" t="s">
        <v>12550</v>
      </c>
      <c r="N2748" s="207"/>
      <c r="O2748" s="245" t="s">
        <v>12039</v>
      </c>
    </row>
    <row r="2749" spans="1:26" ht="156" customHeight="1" x14ac:dyDescent="0.3">
      <c r="A2749" s="139">
        <v>2718</v>
      </c>
      <c r="B2749" s="245" t="s">
        <v>16309</v>
      </c>
      <c r="C2749" s="245" t="s">
        <v>16310</v>
      </c>
      <c r="D2749" s="85" t="s">
        <v>16311</v>
      </c>
      <c r="E2749" s="207">
        <v>915</v>
      </c>
      <c r="F2749" s="25">
        <v>102571.5</v>
      </c>
      <c r="G2749" s="207"/>
      <c r="H2749" s="20">
        <v>102571.5</v>
      </c>
      <c r="I2749" s="26">
        <v>42663</v>
      </c>
      <c r="J2749" s="66" t="s">
        <v>16312</v>
      </c>
      <c r="K2749" s="207"/>
      <c r="L2749" s="66"/>
      <c r="M2749" s="200" t="s">
        <v>12550</v>
      </c>
      <c r="N2749" s="207"/>
      <c r="O2749" s="245" t="s">
        <v>12039</v>
      </c>
    </row>
    <row r="2750" spans="1:26" ht="168" customHeight="1" x14ac:dyDescent="0.3">
      <c r="A2750" s="139">
        <v>2719</v>
      </c>
      <c r="B2750" s="245" t="s">
        <v>16313</v>
      </c>
      <c r="C2750" s="245" t="s">
        <v>16314</v>
      </c>
      <c r="D2750" s="85" t="s">
        <v>16315</v>
      </c>
      <c r="E2750" s="207">
        <v>783</v>
      </c>
      <c r="F2750" s="25">
        <v>95784.39</v>
      </c>
      <c r="G2750" s="207"/>
      <c r="H2750" s="98">
        <v>95784.39</v>
      </c>
      <c r="I2750" s="26">
        <v>42663</v>
      </c>
      <c r="J2750" s="66" t="s">
        <v>16316</v>
      </c>
      <c r="K2750" s="207"/>
      <c r="L2750" s="66"/>
      <c r="M2750" s="200" t="s">
        <v>12550</v>
      </c>
      <c r="N2750" s="207"/>
      <c r="O2750" s="245" t="s">
        <v>12039</v>
      </c>
    </row>
    <row r="2751" spans="1:26" ht="72" customHeight="1" x14ac:dyDescent="0.3">
      <c r="A2751" s="139">
        <v>2720</v>
      </c>
      <c r="B2751" s="245" t="s">
        <v>16317</v>
      </c>
      <c r="C2751" s="245" t="s">
        <v>16318</v>
      </c>
      <c r="D2751" s="85" t="s">
        <v>16319</v>
      </c>
      <c r="E2751" s="207">
        <v>221</v>
      </c>
      <c r="F2751" s="25">
        <v>21748.61</v>
      </c>
      <c r="G2751" s="207"/>
      <c r="H2751" s="98">
        <v>21748.61</v>
      </c>
      <c r="I2751" s="26">
        <v>42663</v>
      </c>
      <c r="J2751" s="66" t="s">
        <v>16320</v>
      </c>
      <c r="K2751" s="207"/>
      <c r="L2751" s="66"/>
      <c r="M2751" s="200" t="s">
        <v>12550</v>
      </c>
      <c r="N2751" s="207"/>
      <c r="O2751" s="245" t="s">
        <v>12039</v>
      </c>
    </row>
    <row r="2752" spans="1:26" ht="72" customHeight="1" x14ac:dyDescent="0.3">
      <c r="A2752" s="139">
        <v>2721</v>
      </c>
      <c r="B2752" s="245" t="s">
        <v>16324</v>
      </c>
      <c r="C2752" s="245" t="s">
        <v>16321</v>
      </c>
      <c r="D2752" s="85" t="s">
        <v>16322</v>
      </c>
      <c r="E2752" s="207">
        <v>730</v>
      </c>
      <c r="F2752" s="25">
        <v>133947.70000000001</v>
      </c>
      <c r="G2752" s="207"/>
      <c r="H2752" s="98">
        <v>133947.70000000001</v>
      </c>
      <c r="I2752" s="26">
        <v>42663</v>
      </c>
      <c r="J2752" s="66" t="s">
        <v>16323</v>
      </c>
      <c r="K2752" s="207"/>
      <c r="L2752" s="66"/>
      <c r="M2752" s="200" t="s">
        <v>12550</v>
      </c>
      <c r="N2752" s="207"/>
      <c r="O2752" s="245" t="s">
        <v>12039</v>
      </c>
    </row>
    <row r="2753" spans="1:15" ht="72" customHeight="1" x14ac:dyDescent="0.3">
      <c r="A2753" s="139">
        <v>2722</v>
      </c>
      <c r="B2753" s="245" t="s">
        <v>16324</v>
      </c>
      <c r="C2753" s="245" t="s">
        <v>16325</v>
      </c>
      <c r="D2753" s="85" t="s">
        <v>16326</v>
      </c>
      <c r="E2753" s="207">
        <v>580</v>
      </c>
      <c r="F2753" s="25">
        <v>111957.4</v>
      </c>
      <c r="G2753" s="207"/>
      <c r="H2753" s="98">
        <v>111957.4</v>
      </c>
      <c r="I2753" s="26">
        <v>42663</v>
      </c>
      <c r="J2753" s="66" t="s">
        <v>16327</v>
      </c>
      <c r="K2753" s="207"/>
      <c r="L2753" s="66"/>
      <c r="M2753" s="200" t="s">
        <v>12550</v>
      </c>
      <c r="N2753" s="207"/>
      <c r="O2753" s="245" t="s">
        <v>12039</v>
      </c>
    </row>
    <row r="2754" spans="1:15" ht="168" customHeight="1" x14ac:dyDescent="0.3">
      <c r="A2754" s="139">
        <v>2723</v>
      </c>
      <c r="B2754" s="245" t="s">
        <v>16328</v>
      </c>
      <c r="C2754" s="245" t="s">
        <v>16329</v>
      </c>
      <c r="D2754" s="85" t="s">
        <v>16330</v>
      </c>
      <c r="E2754" s="207">
        <v>405</v>
      </c>
      <c r="F2754" s="25">
        <v>37102.050000000003</v>
      </c>
      <c r="G2754" s="207"/>
      <c r="H2754" s="98">
        <v>37102.050000000003</v>
      </c>
      <c r="I2754" s="26">
        <v>42663</v>
      </c>
      <c r="J2754" s="66" t="s">
        <v>16331</v>
      </c>
      <c r="K2754" s="207"/>
      <c r="L2754" s="66"/>
      <c r="M2754" s="200" t="s">
        <v>12550</v>
      </c>
      <c r="N2754" s="207"/>
      <c r="O2754" s="245" t="s">
        <v>12039</v>
      </c>
    </row>
    <row r="2755" spans="1:15" ht="72" customHeight="1" x14ac:dyDescent="0.3">
      <c r="A2755" s="139">
        <v>2724</v>
      </c>
      <c r="B2755" s="245" t="s">
        <v>16332</v>
      </c>
      <c r="C2755" s="245" t="s">
        <v>16333</v>
      </c>
      <c r="D2755" s="85" t="s">
        <v>16334</v>
      </c>
      <c r="E2755" s="207">
        <v>1204</v>
      </c>
      <c r="F2755" s="25">
        <v>220921.96</v>
      </c>
      <c r="G2755" s="207"/>
      <c r="H2755" s="20">
        <v>220921.96</v>
      </c>
      <c r="I2755" s="26">
        <v>42663</v>
      </c>
      <c r="J2755" s="66" t="s">
        <v>16335</v>
      </c>
      <c r="K2755" s="207"/>
      <c r="L2755" s="66"/>
      <c r="M2755" s="200" t="s">
        <v>12550</v>
      </c>
      <c r="N2755" s="207"/>
      <c r="O2755" s="245" t="s">
        <v>12039</v>
      </c>
    </row>
    <row r="2756" spans="1:15" ht="168" customHeight="1" x14ac:dyDescent="0.3">
      <c r="A2756" s="139">
        <v>2725</v>
      </c>
      <c r="B2756" s="245" t="s">
        <v>16328</v>
      </c>
      <c r="C2756" s="245" t="s">
        <v>16301</v>
      </c>
      <c r="D2756" s="85" t="s">
        <v>16336</v>
      </c>
      <c r="E2756" s="207">
        <v>578</v>
      </c>
      <c r="F2756" s="25">
        <v>58337.54</v>
      </c>
      <c r="G2756" s="207"/>
      <c r="H2756" s="98">
        <v>58337.54</v>
      </c>
      <c r="I2756" s="26">
        <v>42663</v>
      </c>
      <c r="J2756" s="66" t="s">
        <v>16337</v>
      </c>
      <c r="K2756" s="207"/>
      <c r="L2756" s="66"/>
      <c r="M2756" s="200" t="s">
        <v>12550</v>
      </c>
      <c r="N2756" s="207"/>
      <c r="O2756" s="245" t="s">
        <v>12039</v>
      </c>
    </row>
    <row r="2757" spans="1:15" ht="72" customHeight="1" x14ac:dyDescent="0.3">
      <c r="A2757" s="139">
        <v>2726</v>
      </c>
      <c r="B2757" s="242" t="s">
        <v>126</v>
      </c>
      <c r="C2757" s="242" t="s">
        <v>16338</v>
      </c>
      <c r="D2757" s="60" t="s">
        <v>16339</v>
      </c>
      <c r="E2757" s="242">
        <v>1000</v>
      </c>
      <c r="F2757" s="244">
        <v>219450</v>
      </c>
      <c r="G2757" s="244"/>
      <c r="H2757" s="244">
        <v>219450</v>
      </c>
      <c r="I2757" s="243">
        <v>42664</v>
      </c>
      <c r="J2757" s="66" t="s">
        <v>16340</v>
      </c>
      <c r="K2757" s="242"/>
      <c r="L2757" s="66"/>
      <c r="M2757" s="200" t="s">
        <v>12550</v>
      </c>
      <c r="N2757" s="160"/>
      <c r="O2757" s="245" t="s">
        <v>12039</v>
      </c>
    </row>
    <row r="2758" spans="1:15" ht="72" customHeight="1" x14ac:dyDescent="0.3">
      <c r="A2758" s="139">
        <v>2727</v>
      </c>
      <c r="B2758" s="242" t="s">
        <v>126</v>
      </c>
      <c r="C2758" s="242" t="s">
        <v>16453</v>
      </c>
      <c r="D2758" s="60" t="s">
        <v>16391</v>
      </c>
      <c r="E2758" s="242">
        <v>800</v>
      </c>
      <c r="F2758" s="244">
        <v>169456</v>
      </c>
      <c r="G2758" s="244"/>
      <c r="H2758" s="244">
        <v>169456</v>
      </c>
      <c r="I2758" s="243">
        <v>42668</v>
      </c>
      <c r="J2758" s="66" t="s">
        <v>16392</v>
      </c>
      <c r="K2758" s="242"/>
      <c r="L2758" s="66"/>
      <c r="M2758" s="200" t="s">
        <v>12550</v>
      </c>
      <c r="N2758" s="160"/>
      <c r="O2758" s="245" t="s">
        <v>12039</v>
      </c>
    </row>
    <row r="2759" spans="1:15" ht="72" customHeight="1" x14ac:dyDescent="0.3">
      <c r="A2759" s="139">
        <v>2728</v>
      </c>
      <c r="B2759" s="242" t="s">
        <v>126</v>
      </c>
      <c r="C2759" s="242" t="s">
        <v>16454</v>
      </c>
      <c r="D2759" s="60" t="s">
        <v>16397</v>
      </c>
      <c r="E2759" s="242">
        <v>800</v>
      </c>
      <c r="F2759" s="244">
        <v>169456</v>
      </c>
      <c r="G2759" s="244"/>
      <c r="H2759" s="244">
        <v>169456</v>
      </c>
      <c r="I2759" s="243">
        <v>42683</v>
      </c>
      <c r="J2759" s="66" t="s">
        <v>16398</v>
      </c>
      <c r="K2759" s="242"/>
      <c r="L2759" s="66"/>
      <c r="M2759" s="200" t="s">
        <v>12550</v>
      </c>
      <c r="N2759" s="160"/>
      <c r="O2759" s="245" t="s">
        <v>12039</v>
      </c>
    </row>
    <row r="2760" spans="1:15" ht="72" customHeight="1" x14ac:dyDescent="0.3">
      <c r="A2760" s="139">
        <v>2729</v>
      </c>
      <c r="B2760" s="242" t="s">
        <v>16528</v>
      </c>
      <c r="C2760" s="242" t="s">
        <v>16529</v>
      </c>
      <c r="D2760" s="60" t="s">
        <v>16530</v>
      </c>
      <c r="E2760" s="242">
        <v>1588</v>
      </c>
      <c r="F2760" s="244">
        <v>184636.76</v>
      </c>
      <c r="G2760" s="244"/>
      <c r="H2760" s="98">
        <v>184636.76</v>
      </c>
      <c r="I2760" s="243">
        <v>42403</v>
      </c>
      <c r="J2760" s="245" t="s">
        <v>18513</v>
      </c>
      <c r="K2760" s="242"/>
      <c r="L2760" s="66"/>
      <c r="M2760" s="242" t="s">
        <v>15722</v>
      </c>
      <c r="N2760" s="207"/>
      <c r="O2760" s="245" t="s">
        <v>18044</v>
      </c>
    </row>
    <row r="2761" spans="1:15" ht="60" customHeight="1" x14ac:dyDescent="0.3">
      <c r="A2761" s="139">
        <v>2730</v>
      </c>
      <c r="B2761" s="242" t="s">
        <v>16531</v>
      </c>
      <c r="C2761" s="242" t="s">
        <v>16321</v>
      </c>
      <c r="D2761" s="60" t="s">
        <v>16532</v>
      </c>
      <c r="E2761" s="242">
        <v>465</v>
      </c>
      <c r="F2761" s="244">
        <v>85322.85</v>
      </c>
      <c r="G2761" s="244"/>
      <c r="H2761" s="98">
        <v>85322.85</v>
      </c>
      <c r="I2761" s="243">
        <v>42403</v>
      </c>
      <c r="J2761" s="245" t="s">
        <v>18515</v>
      </c>
      <c r="K2761" s="242"/>
      <c r="L2761" s="66"/>
      <c r="M2761" s="242" t="s">
        <v>15722</v>
      </c>
      <c r="N2761" s="207"/>
      <c r="O2761" s="245" t="s">
        <v>18044</v>
      </c>
    </row>
    <row r="2762" spans="1:15" ht="60" customHeight="1" x14ac:dyDescent="0.3">
      <c r="A2762" s="139">
        <v>2731</v>
      </c>
      <c r="B2762" s="242" t="s">
        <v>16531</v>
      </c>
      <c r="C2762" s="242" t="s">
        <v>16533</v>
      </c>
      <c r="D2762" s="60" t="s">
        <v>16534</v>
      </c>
      <c r="E2762" s="207">
        <v>913</v>
      </c>
      <c r="F2762" s="25">
        <v>181878.73</v>
      </c>
      <c r="G2762" s="25"/>
      <c r="H2762" s="98">
        <v>181878.73</v>
      </c>
      <c r="I2762" s="243">
        <v>42403</v>
      </c>
      <c r="J2762" s="245" t="s">
        <v>18514</v>
      </c>
      <c r="K2762" s="207"/>
      <c r="L2762" s="66"/>
      <c r="M2762" s="242" t="s">
        <v>15722</v>
      </c>
      <c r="N2762" s="207"/>
      <c r="O2762" s="245" t="s">
        <v>11937</v>
      </c>
    </row>
    <row r="2763" spans="1:15" ht="60" customHeight="1" x14ac:dyDescent="0.3">
      <c r="A2763" s="139">
        <v>2732</v>
      </c>
      <c r="B2763" s="242" t="s">
        <v>16531</v>
      </c>
      <c r="C2763" s="242" t="s">
        <v>16535</v>
      </c>
      <c r="D2763" s="85" t="s">
        <v>16536</v>
      </c>
      <c r="E2763" s="207">
        <v>1639</v>
      </c>
      <c r="F2763" s="25">
        <v>93685.24</v>
      </c>
      <c r="G2763" s="25"/>
      <c r="H2763" s="98">
        <v>93685.24</v>
      </c>
      <c r="I2763" s="243">
        <v>42403</v>
      </c>
      <c r="J2763" s="245" t="s">
        <v>18512</v>
      </c>
      <c r="K2763" s="207"/>
      <c r="L2763" s="66"/>
      <c r="M2763" s="242" t="s">
        <v>15722</v>
      </c>
      <c r="N2763" s="207"/>
      <c r="O2763" s="245" t="s">
        <v>18044</v>
      </c>
    </row>
    <row r="2764" spans="1:15" ht="60" customHeight="1" x14ac:dyDescent="0.3">
      <c r="A2764" s="139">
        <v>2733</v>
      </c>
      <c r="B2764" s="242" t="s">
        <v>12218</v>
      </c>
      <c r="C2764" s="242" t="s">
        <v>16537</v>
      </c>
      <c r="D2764" s="85" t="s">
        <v>16538</v>
      </c>
      <c r="E2764" s="207">
        <v>3843</v>
      </c>
      <c r="F2764" s="25">
        <v>663724.53</v>
      </c>
      <c r="G2764" s="25"/>
      <c r="H2764" s="25">
        <v>663724.53</v>
      </c>
      <c r="I2764" s="243">
        <v>42403</v>
      </c>
      <c r="J2764" s="245" t="s">
        <v>18273</v>
      </c>
      <c r="K2764" s="207"/>
      <c r="L2764" s="66"/>
      <c r="M2764" s="242" t="s">
        <v>15722</v>
      </c>
      <c r="N2764" s="207"/>
      <c r="O2764" s="245" t="s">
        <v>18044</v>
      </c>
    </row>
    <row r="2765" spans="1:15" ht="60" customHeight="1" x14ac:dyDescent="0.3">
      <c r="A2765" s="139">
        <v>2734</v>
      </c>
      <c r="B2765" s="242" t="s">
        <v>16539</v>
      </c>
      <c r="C2765" s="242" t="s">
        <v>16540</v>
      </c>
      <c r="D2765" s="85" t="s">
        <v>16541</v>
      </c>
      <c r="E2765" s="207">
        <v>308</v>
      </c>
      <c r="F2765" s="25">
        <v>155650.88</v>
      </c>
      <c r="G2765" s="25"/>
      <c r="H2765" s="98">
        <v>155650.88</v>
      </c>
      <c r="I2765" s="243">
        <v>42403</v>
      </c>
      <c r="J2765" s="245" t="s">
        <v>18272</v>
      </c>
      <c r="K2765" s="207"/>
      <c r="L2765" s="66"/>
      <c r="M2765" s="242" t="s">
        <v>15722</v>
      </c>
      <c r="N2765" s="207"/>
      <c r="O2765" s="245" t="s">
        <v>11937</v>
      </c>
    </row>
    <row r="2766" spans="1:15" ht="72" customHeight="1" x14ac:dyDescent="0.3">
      <c r="A2766" s="139">
        <v>2735</v>
      </c>
      <c r="B2766" s="242" t="s">
        <v>16528</v>
      </c>
      <c r="C2766" s="242" t="s">
        <v>16542</v>
      </c>
      <c r="D2766" s="85" t="s">
        <v>16543</v>
      </c>
      <c r="E2766" s="207">
        <v>3348</v>
      </c>
      <c r="F2766" s="25">
        <v>614324.52</v>
      </c>
      <c r="G2766" s="25"/>
      <c r="H2766" s="25">
        <v>614324.52</v>
      </c>
      <c r="I2766" s="243">
        <v>42403</v>
      </c>
      <c r="J2766" s="245" t="s">
        <v>18271</v>
      </c>
      <c r="K2766" s="207"/>
      <c r="L2766" s="66"/>
      <c r="M2766" s="242" t="s">
        <v>15722</v>
      </c>
      <c r="N2766" s="207"/>
      <c r="O2766" s="245" t="s">
        <v>18044</v>
      </c>
    </row>
    <row r="2767" spans="1:15" ht="60" customHeight="1" x14ac:dyDescent="0.3">
      <c r="A2767" s="139">
        <v>2736</v>
      </c>
      <c r="B2767" s="242" t="s">
        <v>16531</v>
      </c>
      <c r="C2767" s="242" t="s">
        <v>16544</v>
      </c>
      <c r="D2767" s="85" t="s">
        <v>16545</v>
      </c>
      <c r="E2767" s="207">
        <v>1635</v>
      </c>
      <c r="F2767" s="25">
        <v>155602.95000000001</v>
      </c>
      <c r="G2767" s="25"/>
      <c r="H2767" s="98">
        <v>155602.95000000001</v>
      </c>
      <c r="I2767" s="243">
        <v>42403</v>
      </c>
      <c r="J2767" s="245" t="s">
        <v>18270</v>
      </c>
      <c r="K2767" s="207"/>
      <c r="L2767" s="66"/>
      <c r="M2767" s="242" t="s">
        <v>15722</v>
      </c>
      <c r="N2767" s="207"/>
      <c r="O2767" s="245" t="s">
        <v>18044</v>
      </c>
    </row>
    <row r="2768" spans="1:15" ht="60" customHeight="1" x14ac:dyDescent="0.3">
      <c r="A2768" s="139">
        <v>2737</v>
      </c>
      <c r="B2768" s="242" t="s">
        <v>16531</v>
      </c>
      <c r="C2768" s="242" t="s">
        <v>16546</v>
      </c>
      <c r="D2768" s="85" t="s">
        <v>16547</v>
      </c>
      <c r="E2768" s="207">
        <v>5324</v>
      </c>
      <c r="F2768" s="25">
        <v>976900.76</v>
      </c>
      <c r="G2768" s="25"/>
      <c r="H2768" s="98">
        <v>976900.76</v>
      </c>
      <c r="I2768" s="243">
        <v>42403</v>
      </c>
      <c r="J2768" s="245" t="s">
        <v>18269</v>
      </c>
      <c r="K2768" s="207"/>
      <c r="L2768" s="66"/>
      <c r="M2768" s="242" t="s">
        <v>15722</v>
      </c>
      <c r="N2768" s="207"/>
      <c r="O2768" s="245" t="s">
        <v>18044</v>
      </c>
    </row>
    <row r="2769" spans="1:15" ht="72" customHeight="1" x14ac:dyDescent="0.3">
      <c r="A2769" s="139">
        <v>2738</v>
      </c>
      <c r="B2769" s="242" t="s">
        <v>16528</v>
      </c>
      <c r="C2769" s="242" t="s">
        <v>16548</v>
      </c>
      <c r="D2769" s="85" t="s">
        <v>16549</v>
      </c>
      <c r="E2769" s="207">
        <v>3246</v>
      </c>
      <c r="F2769" s="25">
        <v>595608.54</v>
      </c>
      <c r="G2769" s="25"/>
      <c r="H2769" s="25">
        <v>595608.54</v>
      </c>
      <c r="I2769" s="243">
        <v>42403</v>
      </c>
      <c r="J2769" s="245" t="s">
        <v>18268</v>
      </c>
      <c r="K2769" s="207"/>
      <c r="L2769" s="66"/>
      <c r="M2769" s="242" t="s">
        <v>15722</v>
      </c>
      <c r="N2769" s="207"/>
      <c r="O2769" s="245" t="s">
        <v>18044</v>
      </c>
    </row>
    <row r="2770" spans="1:15" ht="72" customHeight="1" x14ac:dyDescent="0.3">
      <c r="A2770" s="139">
        <v>2739</v>
      </c>
      <c r="B2770" s="242" t="s">
        <v>16528</v>
      </c>
      <c r="C2770" s="242" t="s">
        <v>16550</v>
      </c>
      <c r="D2770" s="85" t="s">
        <v>16551</v>
      </c>
      <c r="E2770" s="207">
        <v>1150</v>
      </c>
      <c r="F2770" s="25">
        <v>207471.5</v>
      </c>
      <c r="G2770" s="25"/>
      <c r="H2770" s="98">
        <v>207471.5</v>
      </c>
      <c r="I2770" s="243">
        <v>42403</v>
      </c>
      <c r="J2770" s="245" t="s">
        <v>18267</v>
      </c>
      <c r="K2770" s="207"/>
      <c r="L2770" s="66"/>
      <c r="M2770" s="242" t="s">
        <v>15722</v>
      </c>
      <c r="N2770" s="207"/>
      <c r="O2770" s="245" t="s">
        <v>11937</v>
      </c>
    </row>
    <row r="2771" spans="1:15" ht="72" customHeight="1" x14ac:dyDescent="0.3">
      <c r="A2771" s="139">
        <v>2740</v>
      </c>
      <c r="B2771" s="242" t="s">
        <v>16528</v>
      </c>
      <c r="C2771" s="242" t="s">
        <v>16552</v>
      </c>
      <c r="D2771" s="85" t="s">
        <v>16553</v>
      </c>
      <c r="E2771" s="207">
        <v>9170</v>
      </c>
      <c r="F2771" s="25">
        <v>1682603.3</v>
      </c>
      <c r="G2771" s="25"/>
      <c r="H2771" s="25">
        <v>1682603.3</v>
      </c>
      <c r="I2771" s="243">
        <v>42403</v>
      </c>
      <c r="J2771" s="245" t="s">
        <v>18155</v>
      </c>
      <c r="K2771" s="207"/>
      <c r="L2771" s="66"/>
      <c r="M2771" s="242" t="s">
        <v>15722</v>
      </c>
      <c r="N2771" s="207"/>
      <c r="O2771" s="245" t="s">
        <v>18044</v>
      </c>
    </row>
    <row r="2772" spans="1:15" ht="72" customHeight="1" x14ac:dyDescent="0.3">
      <c r="A2772" s="139">
        <v>2741</v>
      </c>
      <c r="B2772" s="242" t="s">
        <v>16528</v>
      </c>
      <c r="C2772" s="242" t="s">
        <v>16555</v>
      </c>
      <c r="D2772" s="85" t="s">
        <v>16554</v>
      </c>
      <c r="E2772" s="207">
        <v>6785</v>
      </c>
      <c r="F2772" s="25">
        <v>529772.80000000005</v>
      </c>
      <c r="G2772" s="25"/>
      <c r="H2772" s="25">
        <v>529772.80000000005</v>
      </c>
      <c r="I2772" s="243">
        <v>42403</v>
      </c>
      <c r="J2772" s="245" t="s">
        <v>18154</v>
      </c>
      <c r="K2772" s="207"/>
      <c r="L2772" s="66"/>
      <c r="M2772" s="242" t="s">
        <v>15722</v>
      </c>
      <c r="N2772" s="207"/>
      <c r="O2772" s="245" t="s">
        <v>18044</v>
      </c>
    </row>
    <row r="2773" spans="1:15" ht="60" customHeight="1" x14ac:dyDescent="0.3">
      <c r="A2773" s="139">
        <v>2742</v>
      </c>
      <c r="B2773" s="242" t="s">
        <v>16563</v>
      </c>
      <c r="C2773" s="242" t="s">
        <v>16546</v>
      </c>
      <c r="D2773" s="85" t="s">
        <v>16556</v>
      </c>
      <c r="E2773" s="207">
        <v>2133</v>
      </c>
      <c r="F2773" s="25">
        <v>343562.31</v>
      </c>
      <c r="G2773" s="25"/>
      <c r="H2773" s="25">
        <v>343562.31</v>
      </c>
      <c r="I2773" s="243">
        <v>42403</v>
      </c>
      <c r="J2773" s="66" t="s">
        <v>18153</v>
      </c>
      <c r="K2773" s="207"/>
      <c r="L2773" s="66"/>
      <c r="M2773" s="242" t="s">
        <v>15722</v>
      </c>
      <c r="N2773" s="207"/>
      <c r="O2773" s="245" t="s">
        <v>18044</v>
      </c>
    </row>
    <row r="2774" spans="1:15" ht="60" customHeight="1" x14ac:dyDescent="0.3">
      <c r="A2774" s="139">
        <v>2743</v>
      </c>
      <c r="B2774" s="242" t="s">
        <v>16563</v>
      </c>
      <c r="C2774" s="242" t="s">
        <v>16557</v>
      </c>
      <c r="D2774" s="85" t="s">
        <v>16558</v>
      </c>
      <c r="E2774" s="207">
        <v>2000</v>
      </c>
      <c r="F2774" s="25">
        <v>376940</v>
      </c>
      <c r="G2774" s="25"/>
      <c r="H2774" s="25">
        <v>376940</v>
      </c>
      <c r="I2774" s="243">
        <v>42403</v>
      </c>
      <c r="J2774" s="66" t="s">
        <v>18152</v>
      </c>
      <c r="K2774" s="207"/>
      <c r="L2774" s="66"/>
      <c r="M2774" s="242" t="s">
        <v>15722</v>
      </c>
      <c r="N2774" s="207"/>
      <c r="O2774" s="245" t="s">
        <v>11937</v>
      </c>
    </row>
    <row r="2775" spans="1:15" ht="60" customHeight="1" x14ac:dyDescent="0.3">
      <c r="A2775" s="139">
        <v>2744</v>
      </c>
      <c r="B2775" s="242" t="s">
        <v>16563</v>
      </c>
      <c r="C2775" s="242" t="s">
        <v>16559</v>
      </c>
      <c r="D2775" s="85" t="s">
        <v>16560</v>
      </c>
      <c r="E2775" s="207">
        <v>807</v>
      </c>
      <c r="F2775" s="25">
        <v>129386.31</v>
      </c>
      <c r="G2775" s="25"/>
      <c r="H2775" s="25">
        <v>129386.31</v>
      </c>
      <c r="I2775" s="243">
        <v>42403</v>
      </c>
      <c r="J2775" s="66" t="s">
        <v>18151</v>
      </c>
      <c r="K2775" s="207"/>
      <c r="L2775" s="66"/>
      <c r="M2775" s="242" t="s">
        <v>15722</v>
      </c>
      <c r="N2775" s="207"/>
      <c r="O2775" s="245" t="s">
        <v>18044</v>
      </c>
    </row>
    <row r="2776" spans="1:15" ht="60" customHeight="1" x14ac:dyDescent="0.3">
      <c r="A2776" s="139">
        <v>2745</v>
      </c>
      <c r="B2776" s="242" t="s">
        <v>16563</v>
      </c>
      <c r="C2776" s="242" t="s">
        <v>16561</v>
      </c>
      <c r="D2776" s="85" t="s">
        <v>16562</v>
      </c>
      <c r="E2776" s="207">
        <v>3440</v>
      </c>
      <c r="F2776" s="25">
        <v>571212</v>
      </c>
      <c r="G2776" s="25"/>
      <c r="H2776" s="25">
        <v>571212</v>
      </c>
      <c r="I2776" s="243">
        <v>42403</v>
      </c>
      <c r="J2776" s="66" t="s">
        <v>18150</v>
      </c>
      <c r="K2776" s="207"/>
      <c r="L2776" s="66"/>
      <c r="M2776" s="242" t="s">
        <v>15722</v>
      </c>
      <c r="N2776" s="207"/>
      <c r="O2776" s="245" t="s">
        <v>11937</v>
      </c>
    </row>
    <row r="2777" spans="1:15" ht="60" customHeight="1" x14ac:dyDescent="0.3">
      <c r="A2777" s="139">
        <v>2746</v>
      </c>
      <c r="B2777" s="242" t="s">
        <v>16563</v>
      </c>
      <c r="C2777" s="242" t="s">
        <v>16564</v>
      </c>
      <c r="D2777" s="85" t="s">
        <v>16565</v>
      </c>
      <c r="E2777" s="207">
        <v>1000</v>
      </c>
      <c r="F2777" s="25">
        <v>151430</v>
      </c>
      <c r="G2777" s="25"/>
      <c r="H2777" s="25">
        <v>151430</v>
      </c>
      <c r="I2777" s="243">
        <v>42403</v>
      </c>
      <c r="J2777" s="66" t="s">
        <v>18149</v>
      </c>
      <c r="K2777" s="207"/>
      <c r="L2777" s="66"/>
      <c r="M2777" s="242" t="s">
        <v>15722</v>
      </c>
      <c r="N2777" s="207"/>
      <c r="O2777" s="245" t="s">
        <v>18044</v>
      </c>
    </row>
    <row r="2778" spans="1:15" ht="60" customHeight="1" x14ac:dyDescent="0.3">
      <c r="A2778" s="139">
        <v>2747</v>
      </c>
      <c r="B2778" s="242" t="s">
        <v>16563</v>
      </c>
      <c r="C2778" s="242" t="s">
        <v>16564</v>
      </c>
      <c r="D2778" s="85" t="s">
        <v>16566</v>
      </c>
      <c r="E2778" s="207">
        <v>4622</v>
      </c>
      <c r="F2778" s="25">
        <v>699909.46</v>
      </c>
      <c r="G2778" s="25"/>
      <c r="H2778" s="25">
        <v>699909.46</v>
      </c>
      <c r="I2778" s="243">
        <v>42403</v>
      </c>
      <c r="J2778" s="66" t="s">
        <v>18148</v>
      </c>
      <c r="K2778" s="207"/>
      <c r="L2778" s="66"/>
      <c r="M2778" s="242" t="s">
        <v>15722</v>
      </c>
      <c r="N2778" s="207"/>
      <c r="O2778" s="245" t="s">
        <v>18044</v>
      </c>
    </row>
    <row r="2779" spans="1:15" ht="60" customHeight="1" x14ac:dyDescent="0.3">
      <c r="A2779" s="139">
        <v>2748</v>
      </c>
      <c r="B2779" s="242" t="s">
        <v>16563</v>
      </c>
      <c r="C2779" s="242" t="s">
        <v>16567</v>
      </c>
      <c r="D2779" s="85" t="s">
        <v>16568</v>
      </c>
      <c r="E2779" s="207">
        <v>1723</v>
      </c>
      <c r="F2779" s="25">
        <v>316153.27</v>
      </c>
      <c r="G2779" s="25"/>
      <c r="H2779" s="98">
        <v>316153.27</v>
      </c>
      <c r="I2779" s="243">
        <v>42403</v>
      </c>
      <c r="J2779" s="66" t="s">
        <v>18147</v>
      </c>
      <c r="K2779" s="207"/>
      <c r="L2779" s="66"/>
      <c r="M2779" s="242" t="s">
        <v>15722</v>
      </c>
      <c r="N2779" s="207"/>
      <c r="O2779" s="245" t="s">
        <v>11937</v>
      </c>
    </row>
    <row r="2780" spans="1:15" ht="60" customHeight="1" x14ac:dyDescent="0.3">
      <c r="A2780" s="139">
        <v>2749</v>
      </c>
      <c r="B2780" s="242" t="s">
        <v>16563</v>
      </c>
      <c r="C2780" s="242" t="s">
        <v>16569</v>
      </c>
      <c r="D2780" s="85" t="s">
        <v>16570</v>
      </c>
      <c r="E2780" s="207">
        <v>2918</v>
      </c>
      <c r="F2780" s="25">
        <v>466909.18</v>
      </c>
      <c r="G2780" s="25"/>
      <c r="H2780" s="25">
        <v>466909.18</v>
      </c>
      <c r="I2780" s="243">
        <v>42403</v>
      </c>
      <c r="J2780" s="66" t="s">
        <v>18146</v>
      </c>
      <c r="K2780" s="207"/>
      <c r="L2780" s="66"/>
      <c r="M2780" s="242" t="s">
        <v>15722</v>
      </c>
      <c r="N2780" s="207"/>
      <c r="O2780" s="245" t="s">
        <v>18044</v>
      </c>
    </row>
    <row r="2781" spans="1:15" ht="72" customHeight="1" x14ac:dyDescent="0.3">
      <c r="A2781" s="139">
        <v>2750</v>
      </c>
      <c r="B2781" s="242" t="s">
        <v>16528</v>
      </c>
      <c r="C2781" s="242" t="s">
        <v>16571</v>
      </c>
      <c r="D2781" s="85" t="s">
        <v>16572</v>
      </c>
      <c r="E2781" s="207">
        <v>692</v>
      </c>
      <c r="F2781" s="25">
        <v>54031.360000000001</v>
      </c>
      <c r="G2781" s="25"/>
      <c r="H2781" s="25">
        <v>54031.360000000001</v>
      </c>
      <c r="I2781" s="243">
        <v>42403</v>
      </c>
      <c r="J2781" s="66" t="s">
        <v>18145</v>
      </c>
      <c r="K2781" s="207"/>
      <c r="L2781" s="66"/>
      <c r="M2781" s="242" t="s">
        <v>15722</v>
      </c>
      <c r="N2781" s="207"/>
      <c r="O2781" s="245" t="s">
        <v>18044</v>
      </c>
    </row>
    <row r="2782" spans="1:15" ht="72" customHeight="1" x14ac:dyDescent="0.3">
      <c r="A2782" s="139">
        <v>2751</v>
      </c>
      <c r="B2782" s="242" t="s">
        <v>16528</v>
      </c>
      <c r="C2782" s="242" t="s">
        <v>16573</v>
      </c>
      <c r="D2782" s="85" t="s">
        <v>16574</v>
      </c>
      <c r="E2782" s="207">
        <v>7032</v>
      </c>
      <c r="F2782" s="25">
        <v>912683.28</v>
      </c>
      <c r="G2782" s="25"/>
      <c r="H2782" s="25">
        <v>912683.28</v>
      </c>
      <c r="I2782" s="243">
        <v>42403</v>
      </c>
      <c r="J2782" s="66" t="s">
        <v>18144</v>
      </c>
      <c r="K2782" s="207"/>
      <c r="L2782" s="66"/>
      <c r="M2782" s="242" t="s">
        <v>15722</v>
      </c>
      <c r="N2782" s="207"/>
      <c r="O2782" s="245" t="s">
        <v>18044</v>
      </c>
    </row>
    <row r="2783" spans="1:15" ht="60" customHeight="1" x14ac:dyDescent="0.3">
      <c r="A2783" s="139">
        <v>2752</v>
      </c>
      <c r="B2783" s="242" t="s">
        <v>16575</v>
      </c>
      <c r="C2783" s="242" t="s">
        <v>16576</v>
      </c>
      <c r="D2783" s="85" t="s">
        <v>16577</v>
      </c>
      <c r="E2783" s="207">
        <v>5799</v>
      </c>
      <c r="F2783" s="25">
        <v>1064058.51</v>
      </c>
      <c r="G2783" s="25"/>
      <c r="H2783" s="98">
        <v>1064058.51</v>
      </c>
      <c r="I2783" s="243">
        <v>42403</v>
      </c>
      <c r="J2783" s="66" t="s">
        <v>18143</v>
      </c>
      <c r="K2783" s="207"/>
      <c r="L2783" s="66"/>
      <c r="M2783" s="242" t="s">
        <v>15722</v>
      </c>
      <c r="N2783" s="207"/>
      <c r="O2783" s="245" t="s">
        <v>18044</v>
      </c>
    </row>
    <row r="2784" spans="1:15" ht="60" customHeight="1" x14ac:dyDescent="0.3">
      <c r="A2784" s="139">
        <v>2753</v>
      </c>
      <c r="B2784" s="242" t="s">
        <v>16575</v>
      </c>
      <c r="C2784" s="242" t="s">
        <v>16567</v>
      </c>
      <c r="D2784" s="85" t="s">
        <v>16578</v>
      </c>
      <c r="E2784" s="207">
        <v>6453</v>
      </c>
      <c r="F2784" s="25">
        <v>1184060.97</v>
      </c>
      <c r="G2784" s="25"/>
      <c r="H2784" s="98">
        <v>1184060.97</v>
      </c>
      <c r="I2784" s="243">
        <v>42403</v>
      </c>
      <c r="J2784" s="66" t="s">
        <v>18142</v>
      </c>
      <c r="K2784" s="207"/>
      <c r="L2784" s="66"/>
      <c r="M2784" s="242" t="s">
        <v>15722</v>
      </c>
      <c r="N2784" s="207"/>
      <c r="O2784" s="245" t="s">
        <v>18044</v>
      </c>
    </row>
    <row r="2785" spans="1:26" ht="60" customHeight="1" x14ac:dyDescent="0.3">
      <c r="A2785" s="139">
        <v>2754</v>
      </c>
      <c r="B2785" s="242" t="s">
        <v>16575</v>
      </c>
      <c r="C2785" s="242" t="s">
        <v>16542</v>
      </c>
      <c r="D2785" s="85" t="s">
        <v>16579</v>
      </c>
      <c r="E2785" s="207">
        <v>1314</v>
      </c>
      <c r="F2785" s="25">
        <v>241105.86</v>
      </c>
      <c r="G2785" s="25"/>
      <c r="H2785" s="98">
        <v>241105.86</v>
      </c>
      <c r="I2785" s="243">
        <v>42403</v>
      </c>
      <c r="J2785" s="66" t="s">
        <v>18141</v>
      </c>
      <c r="K2785" s="207"/>
      <c r="L2785" s="66"/>
      <c r="M2785" s="242" t="s">
        <v>15722</v>
      </c>
      <c r="N2785" s="207"/>
      <c r="O2785" s="245" t="s">
        <v>11937</v>
      </c>
    </row>
    <row r="2786" spans="1:26" ht="81" customHeight="1" x14ac:dyDescent="0.3">
      <c r="A2786" s="139">
        <v>2755</v>
      </c>
      <c r="B2786" s="242" t="s">
        <v>16575</v>
      </c>
      <c r="C2786" s="242" t="s">
        <v>16569</v>
      </c>
      <c r="D2786" s="85" t="s">
        <v>16580</v>
      </c>
      <c r="E2786" s="207">
        <v>892</v>
      </c>
      <c r="F2786" s="25">
        <v>90020.64</v>
      </c>
      <c r="G2786" s="25"/>
      <c r="H2786" s="98">
        <v>90020.64</v>
      </c>
      <c r="I2786" s="243">
        <v>42403</v>
      </c>
      <c r="J2786" s="66" t="s">
        <v>18140</v>
      </c>
      <c r="K2786" s="207"/>
      <c r="L2786" s="66"/>
      <c r="M2786" s="242" t="s">
        <v>15722</v>
      </c>
      <c r="N2786" s="207"/>
      <c r="O2786" s="245" t="s">
        <v>18044</v>
      </c>
    </row>
    <row r="2787" spans="1:26" ht="60" customHeight="1" x14ac:dyDescent="0.3">
      <c r="A2787" s="139">
        <v>2756</v>
      </c>
      <c r="B2787" s="242" t="s">
        <v>16575</v>
      </c>
      <c r="C2787" s="242" t="s">
        <v>16564</v>
      </c>
      <c r="D2787" s="85" t="s">
        <v>16581</v>
      </c>
      <c r="E2787" s="207">
        <v>5164</v>
      </c>
      <c r="F2787" s="25">
        <v>947542.36</v>
      </c>
      <c r="G2787" s="25"/>
      <c r="H2787" s="98">
        <v>947542.36</v>
      </c>
      <c r="I2787" s="243">
        <v>42403</v>
      </c>
      <c r="J2787" s="66" t="s">
        <v>18265</v>
      </c>
      <c r="K2787" s="207"/>
      <c r="L2787" s="66"/>
      <c r="M2787" s="242" t="s">
        <v>15722</v>
      </c>
      <c r="N2787" s="207"/>
      <c r="O2787" s="245" t="s">
        <v>18044</v>
      </c>
    </row>
    <row r="2788" spans="1:26" ht="72" customHeight="1" x14ac:dyDescent="0.3">
      <c r="A2788" s="139">
        <v>2757</v>
      </c>
      <c r="B2788" s="242" t="s">
        <v>16601</v>
      </c>
      <c r="C2788" s="242" t="s">
        <v>16559</v>
      </c>
      <c r="D2788" s="281" t="s">
        <v>16602</v>
      </c>
      <c r="E2788" s="207">
        <v>9919</v>
      </c>
      <c r="F2788" s="25">
        <v>1789486.79</v>
      </c>
      <c r="G2788" s="25"/>
      <c r="H2788" s="25">
        <v>1789486.79</v>
      </c>
      <c r="I2788" s="243">
        <v>42403</v>
      </c>
      <c r="J2788" s="66" t="s">
        <v>18266</v>
      </c>
      <c r="K2788" s="207"/>
      <c r="L2788" s="66"/>
      <c r="M2788" s="242" t="s">
        <v>15722</v>
      </c>
      <c r="N2788" s="207"/>
      <c r="O2788" s="245" t="s">
        <v>11937</v>
      </c>
    </row>
    <row r="2789" spans="1:26" ht="72" customHeight="1" x14ac:dyDescent="0.3">
      <c r="A2789" s="139">
        <v>2758</v>
      </c>
      <c r="B2789" s="242" t="s">
        <v>16528</v>
      </c>
      <c r="C2789" s="242" t="s">
        <v>16582</v>
      </c>
      <c r="D2789" s="85" t="s">
        <v>16583</v>
      </c>
      <c r="E2789" s="207">
        <v>6790</v>
      </c>
      <c r="F2789" s="25">
        <v>530163.19999999995</v>
      </c>
      <c r="G2789" s="25"/>
      <c r="H2789" s="25">
        <v>530163.19999999995</v>
      </c>
      <c r="I2789" s="243">
        <v>42403</v>
      </c>
      <c r="J2789" s="66" t="s">
        <v>18264</v>
      </c>
      <c r="K2789" s="207"/>
      <c r="L2789" s="66"/>
      <c r="M2789" s="242" t="s">
        <v>15722</v>
      </c>
      <c r="N2789" s="207"/>
      <c r="O2789" s="245" t="s">
        <v>11937</v>
      </c>
    </row>
    <row r="2790" spans="1:26" ht="84" customHeight="1" x14ac:dyDescent="0.3">
      <c r="A2790" s="139">
        <v>2759</v>
      </c>
      <c r="B2790" s="242" t="s">
        <v>16528</v>
      </c>
      <c r="C2790" s="242" t="s">
        <v>16584</v>
      </c>
      <c r="D2790" s="85" t="s">
        <v>16585</v>
      </c>
      <c r="E2790" s="207">
        <v>356</v>
      </c>
      <c r="F2790" s="25">
        <v>65322.44</v>
      </c>
      <c r="G2790" s="25"/>
      <c r="H2790" s="25">
        <v>65322.44</v>
      </c>
      <c r="I2790" s="243">
        <v>42403</v>
      </c>
      <c r="J2790" s="66" t="s">
        <v>18263</v>
      </c>
      <c r="K2790" s="207"/>
      <c r="L2790" s="66"/>
      <c r="M2790" s="242" t="s">
        <v>15722</v>
      </c>
      <c r="N2790" s="207"/>
      <c r="O2790" s="245" t="s">
        <v>11937</v>
      </c>
    </row>
    <row r="2791" spans="1:26" ht="72" customHeight="1" x14ac:dyDescent="0.3">
      <c r="A2791" s="139">
        <v>2760</v>
      </c>
      <c r="B2791" s="242" t="s">
        <v>16528</v>
      </c>
      <c r="C2791" s="242" t="s">
        <v>16586</v>
      </c>
      <c r="D2791" s="85" t="s">
        <v>16587</v>
      </c>
      <c r="E2791" s="207">
        <v>3251</v>
      </c>
      <c r="F2791" s="25">
        <v>605498.75</v>
      </c>
      <c r="G2791" s="25"/>
      <c r="H2791" s="25">
        <v>605498.75</v>
      </c>
      <c r="I2791" s="243">
        <v>42403</v>
      </c>
      <c r="J2791" s="66" t="s">
        <v>18262</v>
      </c>
      <c r="K2791" s="207"/>
      <c r="L2791" s="66"/>
      <c r="M2791" s="242" t="s">
        <v>15722</v>
      </c>
      <c r="N2791" s="207"/>
      <c r="O2791" s="245" t="s">
        <v>18044</v>
      </c>
    </row>
    <row r="2792" spans="1:26" ht="64.2" customHeight="1" x14ac:dyDescent="0.3">
      <c r="A2792" s="139">
        <v>2761</v>
      </c>
      <c r="B2792" s="242" t="s">
        <v>16531</v>
      </c>
      <c r="C2792" s="242" t="s">
        <v>16588</v>
      </c>
      <c r="D2792" s="85" t="s">
        <v>16589</v>
      </c>
      <c r="E2792" s="207">
        <v>6015</v>
      </c>
      <c r="F2792" s="25">
        <v>1085166.1499999999</v>
      </c>
      <c r="G2792" s="25"/>
      <c r="H2792" s="98">
        <v>1085166.5</v>
      </c>
      <c r="I2792" s="243">
        <v>42403</v>
      </c>
      <c r="J2792" s="66" t="s">
        <v>18261</v>
      </c>
      <c r="K2792" s="207"/>
      <c r="L2792" s="66"/>
      <c r="M2792" s="242" t="s">
        <v>15722</v>
      </c>
      <c r="N2792" s="207"/>
      <c r="O2792" s="245" t="s">
        <v>18044</v>
      </c>
    </row>
    <row r="2793" spans="1:26" ht="72" customHeight="1" x14ac:dyDescent="0.3">
      <c r="A2793" s="139">
        <v>2762</v>
      </c>
      <c r="B2793" s="242" t="s">
        <v>16528</v>
      </c>
      <c r="C2793" s="242" t="s">
        <v>16590</v>
      </c>
      <c r="D2793" s="85" t="s">
        <v>16591</v>
      </c>
      <c r="E2793" s="207">
        <v>3410</v>
      </c>
      <c r="F2793" s="25">
        <v>625700.9</v>
      </c>
      <c r="G2793" s="25"/>
      <c r="H2793" s="25">
        <v>625700.9</v>
      </c>
      <c r="I2793" s="243">
        <v>42403</v>
      </c>
      <c r="J2793" s="66" t="s">
        <v>18260</v>
      </c>
      <c r="K2793" s="207"/>
      <c r="L2793" s="66"/>
      <c r="M2793" s="242" t="s">
        <v>15722</v>
      </c>
      <c r="N2793" s="207"/>
      <c r="O2793" s="245" t="s">
        <v>11937</v>
      </c>
    </row>
    <row r="2794" spans="1:26" ht="60" customHeight="1" x14ac:dyDescent="0.3">
      <c r="A2794" s="139">
        <v>2763</v>
      </c>
      <c r="B2794" s="242" t="s">
        <v>16592</v>
      </c>
      <c r="C2794" s="242" t="s">
        <v>16594</v>
      </c>
      <c r="D2794" s="85" t="s">
        <v>16593</v>
      </c>
      <c r="E2794" s="207">
        <v>3688</v>
      </c>
      <c r="F2794" s="25">
        <v>287959.03999999998</v>
      </c>
      <c r="G2794" s="25"/>
      <c r="H2794" s="102">
        <v>287959.03999999998</v>
      </c>
      <c r="I2794" s="243">
        <v>42403</v>
      </c>
      <c r="J2794" s="66" t="s">
        <v>18259</v>
      </c>
      <c r="K2794" s="207"/>
      <c r="L2794" s="66"/>
      <c r="M2794" s="2" t="s">
        <v>15722</v>
      </c>
      <c r="N2794" s="207"/>
      <c r="O2794" s="245" t="s">
        <v>18044</v>
      </c>
    </row>
    <row r="2795" spans="1:26" ht="60" customHeight="1" x14ac:dyDescent="0.3">
      <c r="A2795" s="139">
        <v>2764</v>
      </c>
      <c r="B2795" s="242" t="s">
        <v>16531</v>
      </c>
      <c r="C2795" s="242" t="s">
        <v>16595</v>
      </c>
      <c r="D2795" s="85" t="s">
        <v>16596</v>
      </c>
      <c r="E2795" s="207">
        <v>3461</v>
      </c>
      <c r="F2795" s="25">
        <v>635058.89</v>
      </c>
      <c r="G2795" s="25"/>
      <c r="H2795" s="98">
        <v>635058.89</v>
      </c>
      <c r="I2795" s="243">
        <v>42403</v>
      </c>
      <c r="J2795" s="66" t="s">
        <v>18139</v>
      </c>
      <c r="K2795" s="207"/>
      <c r="L2795" s="66"/>
      <c r="M2795" s="242" t="s">
        <v>15722</v>
      </c>
      <c r="N2795" s="207"/>
      <c r="O2795" s="245" t="s">
        <v>18044</v>
      </c>
    </row>
    <row r="2796" spans="1:26" ht="72" customHeight="1" x14ac:dyDescent="0.3">
      <c r="A2796" s="139">
        <v>2765</v>
      </c>
      <c r="B2796" s="242" t="s">
        <v>16528</v>
      </c>
      <c r="C2796" s="242" t="s">
        <v>16321</v>
      </c>
      <c r="D2796" s="85" t="s">
        <v>16597</v>
      </c>
      <c r="E2796" s="207">
        <v>13135</v>
      </c>
      <c r="F2796" s="25">
        <v>2410141.15</v>
      </c>
      <c r="G2796" s="25"/>
      <c r="H2796" s="25">
        <v>2410141.15</v>
      </c>
      <c r="I2796" s="243">
        <v>42403</v>
      </c>
      <c r="J2796" s="66" t="s">
        <v>18138</v>
      </c>
      <c r="K2796" s="207"/>
      <c r="L2796" s="66"/>
      <c r="M2796" s="242" t="s">
        <v>15722</v>
      </c>
      <c r="N2796" s="207"/>
      <c r="O2796" s="245" t="s">
        <v>18044</v>
      </c>
    </row>
    <row r="2797" spans="1:26" ht="60" customHeight="1" x14ac:dyDescent="0.3">
      <c r="A2797" s="139">
        <v>2766</v>
      </c>
      <c r="B2797" s="242" t="s">
        <v>16563</v>
      </c>
      <c r="C2797" s="242" t="s">
        <v>16598</v>
      </c>
      <c r="D2797" s="85" t="s">
        <v>16599</v>
      </c>
      <c r="E2797" s="207">
        <v>4676</v>
      </c>
      <c r="F2797" s="25">
        <v>850938.48</v>
      </c>
      <c r="G2797" s="25"/>
      <c r="H2797" s="98">
        <v>850938.48</v>
      </c>
      <c r="I2797" s="243">
        <v>42403</v>
      </c>
      <c r="J2797" s="66" t="s">
        <v>18136</v>
      </c>
      <c r="K2797" s="207"/>
      <c r="L2797" s="66"/>
      <c r="M2797" s="242" t="s">
        <v>15722</v>
      </c>
      <c r="N2797" s="207"/>
      <c r="O2797" s="245" t="s">
        <v>18044</v>
      </c>
    </row>
    <row r="2798" spans="1:26" ht="60" customHeight="1" x14ac:dyDescent="0.3">
      <c r="A2798" s="139">
        <v>2767</v>
      </c>
      <c r="B2798" s="242" t="s">
        <v>16563</v>
      </c>
      <c r="C2798" s="242" t="s">
        <v>16598</v>
      </c>
      <c r="D2798" s="85" t="s">
        <v>16600</v>
      </c>
      <c r="E2798" s="207">
        <v>1100</v>
      </c>
      <c r="F2798" s="25">
        <v>216436</v>
      </c>
      <c r="G2798" s="25"/>
      <c r="H2798" s="98">
        <v>216436</v>
      </c>
      <c r="I2798" s="243">
        <v>42403</v>
      </c>
      <c r="J2798" s="66" t="s">
        <v>18137</v>
      </c>
      <c r="K2798" s="207"/>
      <c r="L2798" s="66"/>
      <c r="M2798" s="242" t="s">
        <v>15722</v>
      </c>
      <c r="N2798" s="207"/>
      <c r="O2798" s="245" t="s">
        <v>18044</v>
      </c>
    </row>
    <row r="2799" spans="1:26" ht="60" customHeight="1" x14ac:dyDescent="0.3">
      <c r="A2799" s="139">
        <v>2768</v>
      </c>
      <c r="B2799" s="242" t="s">
        <v>16563</v>
      </c>
      <c r="C2799" s="242" t="s">
        <v>16603</v>
      </c>
      <c r="D2799" s="85" t="s">
        <v>16604</v>
      </c>
      <c r="E2799" s="207">
        <v>5448</v>
      </c>
      <c r="F2799" s="25">
        <v>470707.20000000001</v>
      </c>
      <c r="G2799" s="25"/>
      <c r="H2799" s="98">
        <v>470707.20000000001</v>
      </c>
      <c r="I2799" s="243">
        <v>42403</v>
      </c>
      <c r="J2799" s="66" t="s">
        <v>18132</v>
      </c>
      <c r="K2799" s="207"/>
      <c r="L2799" s="66"/>
      <c r="M2799" s="242" t="s">
        <v>15722</v>
      </c>
      <c r="N2799" s="207"/>
      <c r="O2799" s="245" t="s">
        <v>11937</v>
      </c>
      <c r="Q2799" s="110"/>
      <c r="R2799" s="110"/>
      <c r="S2799" s="110"/>
      <c r="T2799" s="110"/>
      <c r="U2799" s="110"/>
      <c r="V2799" s="110"/>
      <c r="W2799" s="110"/>
      <c r="X2799" s="110"/>
      <c r="Y2799" s="110"/>
      <c r="Z2799" s="110"/>
    </row>
    <row r="2800" spans="1:26" s="110" customFormat="1" ht="60" customHeight="1" x14ac:dyDescent="0.3">
      <c r="A2800" s="139">
        <v>2769</v>
      </c>
      <c r="B2800" s="245" t="s">
        <v>16605</v>
      </c>
      <c r="C2800" s="242" t="s">
        <v>16606</v>
      </c>
      <c r="D2800" s="86" t="s">
        <v>16607</v>
      </c>
      <c r="E2800" s="245">
        <v>1952</v>
      </c>
      <c r="F2800" s="20">
        <v>1000302.4</v>
      </c>
      <c r="G2800" s="20"/>
      <c r="H2800" s="20">
        <v>1000302.4</v>
      </c>
      <c r="I2800" s="243">
        <v>42403</v>
      </c>
      <c r="J2800" s="66" t="s">
        <v>18133</v>
      </c>
      <c r="K2800" s="245"/>
      <c r="L2800" s="66"/>
      <c r="M2800" s="242" t="s">
        <v>15722</v>
      </c>
      <c r="N2800" s="245"/>
      <c r="O2800" s="245" t="s">
        <v>18044</v>
      </c>
      <c r="Q2800" s="67"/>
      <c r="R2800" s="67"/>
      <c r="S2800" s="67"/>
      <c r="T2800" s="67"/>
      <c r="U2800" s="67"/>
      <c r="V2800" s="67"/>
      <c r="W2800" s="67"/>
      <c r="X2800" s="67"/>
      <c r="Y2800" s="67"/>
      <c r="Z2800" s="67"/>
    </row>
    <row r="2801" spans="1:15" ht="60" customHeight="1" x14ac:dyDescent="0.3">
      <c r="A2801" s="139">
        <v>2770</v>
      </c>
      <c r="B2801" s="245" t="s">
        <v>16608</v>
      </c>
      <c r="C2801" s="242" t="s">
        <v>16609</v>
      </c>
      <c r="D2801" s="85" t="s">
        <v>16610</v>
      </c>
      <c r="E2801" s="207">
        <v>627</v>
      </c>
      <c r="F2801" s="25">
        <v>315343.38</v>
      </c>
      <c r="G2801" s="25"/>
      <c r="H2801" s="25">
        <v>315343.38</v>
      </c>
      <c r="I2801" s="243">
        <v>42403</v>
      </c>
      <c r="J2801" s="66" t="s">
        <v>18134</v>
      </c>
      <c r="K2801" s="207"/>
      <c r="L2801" s="66"/>
      <c r="M2801" s="2" t="s">
        <v>15722</v>
      </c>
      <c r="N2801" s="207"/>
      <c r="O2801" s="245" t="s">
        <v>18044</v>
      </c>
    </row>
    <row r="2802" spans="1:15" ht="60" customHeight="1" x14ac:dyDescent="0.3">
      <c r="A2802" s="139">
        <v>2771</v>
      </c>
      <c r="B2802" s="245" t="s">
        <v>16608</v>
      </c>
      <c r="C2802" s="242" t="s">
        <v>16611</v>
      </c>
      <c r="D2802" s="85" t="s">
        <v>16612</v>
      </c>
      <c r="E2802" s="207">
        <v>1517</v>
      </c>
      <c r="F2802" s="25">
        <v>758060.07</v>
      </c>
      <c r="G2802" s="25"/>
      <c r="H2802" s="25">
        <v>758060.07</v>
      </c>
      <c r="I2802" s="243">
        <v>42403</v>
      </c>
      <c r="J2802" s="66" t="s">
        <v>18135</v>
      </c>
      <c r="K2802" s="207"/>
      <c r="L2802" s="66"/>
      <c r="M2802" s="242" t="s">
        <v>15722</v>
      </c>
      <c r="N2802" s="207"/>
      <c r="O2802" s="245" t="s">
        <v>18044</v>
      </c>
    </row>
    <row r="2803" spans="1:15" ht="84" customHeight="1" x14ac:dyDescent="0.3">
      <c r="A2803" s="139">
        <v>2772</v>
      </c>
      <c r="B2803" s="242" t="s">
        <v>16840</v>
      </c>
      <c r="C2803" s="242" t="s">
        <v>16841</v>
      </c>
      <c r="D2803" s="85" t="s">
        <v>16842</v>
      </c>
      <c r="E2803" s="207">
        <v>3330</v>
      </c>
      <c r="F2803" s="25">
        <v>642789.9</v>
      </c>
      <c r="G2803" s="25"/>
      <c r="H2803" s="25">
        <v>642789.9</v>
      </c>
      <c r="I2803" s="243">
        <v>42403</v>
      </c>
      <c r="J2803" s="66" t="s">
        <v>18087</v>
      </c>
      <c r="K2803" s="207"/>
      <c r="L2803" s="66"/>
      <c r="M2803" s="242" t="s">
        <v>15722</v>
      </c>
      <c r="N2803" s="207"/>
      <c r="O2803" s="245" t="s">
        <v>18044</v>
      </c>
    </row>
    <row r="2804" spans="1:15" ht="72" customHeight="1" x14ac:dyDescent="0.3">
      <c r="A2804" s="139">
        <v>2773</v>
      </c>
      <c r="B2804" s="242" t="s">
        <v>16843</v>
      </c>
      <c r="C2804" s="242" t="s">
        <v>16844</v>
      </c>
      <c r="D2804" s="85" t="s">
        <v>16845</v>
      </c>
      <c r="E2804" s="207">
        <v>4700</v>
      </c>
      <c r="F2804" s="25">
        <v>455759</v>
      </c>
      <c r="G2804" s="25"/>
      <c r="H2804" s="25">
        <v>455759</v>
      </c>
      <c r="I2804" s="243">
        <v>42403</v>
      </c>
      <c r="J2804" s="66" t="s">
        <v>18088</v>
      </c>
      <c r="K2804" s="207"/>
      <c r="L2804" s="66"/>
      <c r="M2804" s="242" t="s">
        <v>15722</v>
      </c>
      <c r="N2804" s="207"/>
      <c r="O2804" s="245" t="s">
        <v>11937</v>
      </c>
    </row>
    <row r="2805" spans="1:15" ht="84" customHeight="1" x14ac:dyDescent="0.3">
      <c r="A2805" s="139">
        <v>2774</v>
      </c>
      <c r="B2805" s="242" t="s">
        <v>16840</v>
      </c>
      <c r="C2805" s="242" t="s">
        <v>16847</v>
      </c>
      <c r="D2805" s="85" t="s">
        <v>16846</v>
      </c>
      <c r="E2805" s="207">
        <v>1849</v>
      </c>
      <c r="F2805" s="25">
        <v>187100.31</v>
      </c>
      <c r="G2805" s="25"/>
      <c r="H2805" s="25">
        <v>187100.31</v>
      </c>
      <c r="I2805" s="243">
        <v>42403</v>
      </c>
      <c r="J2805" s="66" t="s">
        <v>18089</v>
      </c>
      <c r="K2805" s="207"/>
      <c r="L2805" s="66"/>
      <c r="M2805" s="242" t="s">
        <v>15722</v>
      </c>
      <c r="N2805" s="207"/>
      <c r="O2805" s="66" t="s">
        <v>18044</v>
      </c>
    </row>
    <row r="2806" spans="1:15" ht="84" customHeight="1" x14ac:dyDescent="0.3">
      <c r="A2806" s="139">
        <v>2775</v>
      </c>
      <c r="B2806" s="242" t="s">
        <v>16840</v>
      </c>
      <c r="C2806" s="242" t="s">
        <v>16848</v>
      </c>
      <c r="D2806" s="85" t="s">
        <v>16849</v>
      </c>
      <c r="E2806" s="207">
        <v>2971</v>
      </c>
      <c r="F2806" s="25">
        <v>377554.68</v>
      </c>
      <c r="G2806" s="25"/>
      <c r="H2806" s="25">
        <v>377554.68</v>
      </c>
      <c r="I2806" s="243">
        <v>42403</v>
      </c>
      <c r="J2806" s="245" t="s">
        <v>18090</v>
      </c>
      <c r="K2806" s="207"/>
      <c r="L2806" s="66"/>
      <c r="M2806" s="242" t="s">
        <v>15722</v>
      </c>
      <c r="N2806" s="207"/>
      <c r="O2806" s="245" t="s">
        <v>18044</v>
      </c>
    </row>
    <row r="2807" spans="1:15" ht="60" customHeight="1" x14ac:dyDescent="0.3">
      <c r="A2807" s="139">
        <v>2776</v>
      </c>
      <c r="B2807" s="242" t="s">
        <v>16850</v>
      </c>
      <c r="C2807" s="242" t="s">
        <v>16851</v>
      </c>
      <c r="D2807" s="85" t="s">
        <v>16852</v>
      </c>
      <c r="E2807" s="207">
        <v>2800</v>
      </c>
      <c r="F2807" s="25">
        <v>283332</v>
      </c>
      <c r="G2807" s="25"/>
      <c r="H2807" s="25">
        <v>283332</v>
      </c>
      <c r="I2807" s="243">
        <v>42403</v>
      </c>
      <c r="J2807" s="245" t="s">
        <v>18091</v>
      </c>
      <c r="K2807" s="207"/>
      <c r="L2807" s="66"/>
      <c r="M2807" s="242" t="s">
        <v>15722</v>
      </c>
      <c r="N2807" s="207"/>
      <c r="O2807" s="245" t="s">
        <v>18044</v>
      </c>
    </row>
    <row r="2808" spans="1:15" ht="60" customHeight="1" x14ac:dyDescent="0.3">
      <c r="A2808" s="139">
        <v>2777</v>
      </c>
      <c r="B2808" s="242" t="s">
        <v>16850</v>
      </c>
      <c r="C2808" s="242" t="s">
        <v>16853</v>
      </c>
      <c r="D2808" s="85" t="s">
        <v>16854</v>
      </c>
      <c r="E2808" s="207">
        <v>2400</v>
      </c>
      <c r="F2808" s="25">
        <v>242856</v>
      </c>
      <c r="G2808" s="25"/>
      <c r="H2808" s="25">
        <v>242856</v>
      </c>
      <c r="I2808" s="243">
        <v>42403</v>
      </c>
      <c r="J2808" s="245" t="s">
        <v>18092</v>
      </c>
      <c r="K2808" s="207"/>
      <c r="L2808" s="66"/>
      <c r="M2808" s="242" t="s">
        <v>15722</v>
      </c>
      <c r="N2808" s="207"/>
      <c r="O2808" s="245" t="s">
        <v>18044</v>
      </c>
    </row>
    <row r="2809" spans="1:15" ht="72" customHeight="1" x14ac:dyDescent="0.3">
      <c r="A2809" s="139">
        <v>2778</v>
      </c>
      <c r="B2809" s="242" t="s">
        <v>16843</v>
      </c>
      <c r="C2809" s="242" t="s">
        <v>16855</v>
      </c>
      <c r="D2809" s="85" t="s">
        <v>16856</v>
      </c>
      <c r="E2809" s="207">
        <v>3200</v>
      </c>
      <c r="F2809" s="25">
        <v>662688</v>
      </c>
      <c r="G2809" s="25"/>
      <c r="H2809" s="25">
        <v>662688</v>
      </c>
      <c r="I2809" s="243">
        <v>42403</v>
      </c>
      <c r="J2809" s="245" t="s">
        <v>18093</v>
      </c>
      <c r="K2809" s="207"/>
      <c r="L2809" s="66"/>
      <c r="M2809" s="242" t="s">
        <v>15722</v>
      </c>
      <c r="N2809" s="207"/>
      <c r="O2809" s="245" t="s">
        <v>18044</v>
      </c>
    </row>
    <row r="2810" spans="1:15" ht="72" customHeight="1" x14ac:dyDescent="0.3">
      <c r="A2810" s="139">
        <v>2779</v>
      </c>
      <c r="B2810" s="242" t="s">
        <v>16843</v>
      </c>
      <c r="C2810" s="242" t="s">
        <v>16857</v>
      </c>
      <c r="D2810" s="85" t="s">
        <v>16858</v>
      </c>
      <c r="E2810" s="207">
        <v>3400</v>
      </c>
      <c r="F2810" s="25">
        <v>583338</v>
      </c>
      <c r="G2810" s="25"/>
      <c r="H2810" s="25">
        <v>583338</v>
      </c>
      <c r="I2810" s="243">
        <v>42403</v>
      </c>
      <c r="J2810" s="245" t="s">
        <v>18094</v>
      </c>
      <c r="K2810" s="207"/>
      <c r="L2810" s="66"/>
      <c r="M2810" s="242" t="s">
        <v>15722</v>
      </c>
      <c r="N2810" s="207"/>
      <c r="O2810" s="245" t="s">
        <v>18044</v>
      </c>
    </row>
    <row r="2811" spans="1:15" ht="72" customHeight="1" x14ac:dyDescent="0.3">
      <c r="A2811" s="139">
        <v>2780</v>
      </c>
      <c r="B2811" s="242" t="s">
        <v>16843</v>
      </c>
      <c r="C2811" s="242" t="s">
        <v>16859</v>
      </c>
      <c r="D2811" s="85" t="s">
        <v>16860</v>
      </c>
      <c r="E2811" s="207">
        <v>2860</v>
      </c>
      <c r="F2811" s="25">
        <v>628856.80000000005</v>
      </c>
      <c r="G2811" s="25"/>
      <c r="H2811" s="25">
        <v>628856.80000000005</v>
      </c>
      <c r="I2811" s="243">
        <v>42403</v>
      </c>
      <c r="J2811" s="245" t="s">
        <v>18061</v>
      </c>
      <c r="K2811" s="207"/>
      <c r="L2811" s="66"/>
      <c r="M2811" s="242" t="s">
        <v>15722</v>
      </c>
      <c r="N2811" s="207"/>
      <c r="O2811" s="245" t="s">
        <v>18044</v>
      </c>
    </row>
    <row r="2812" spans="1:15" ht="72" customHeight="1" x14ac:dyDescent="0.3">
      <c r="A2812" s="139">
        <v>2781</v>
      </c>
      <c r="B2812" s="242" t="s">
        <v>16840</v>
      </c>
      <c r="C2812" s="242" t="s">
        <v>16861</v>
      </c>
      <c r="D2812" s="85" t="s">
        <v>16862</v>
      </c>
      <c r="E2812" s="207">
        <v>857</v>
      </c>
      <c r="F2812" s="25">
        <v>188771.39</v>
      </c>
      <c r="G2812" s="25"/>
      <c r="H2812" s="25">
        <v>188771.39</v>
      </c>
      <c r="I2812" s="243">
        <v>42403</v>
      </c>
      <c r="J2812" s="245" t="s">
        <v>18109</v>
      </c>
      <c r="K2812" s="207"/>
      <c r="L2812" s="66"/>
      <c r="M2812" s="242" t="s">
        <v>15722</v>
      </c>
      <c r="N2812" s="207"/>
      <c r="O2812" s="245" t="s">
        <v>18044</v>
      </c>
    </row>
    <row r="2813" spans="1:15" ht="84" customHeight="1" x14ac:dyDescent="0.3">
      <c r="A2813" s="139">
        <v>2782</v>
      </c>
      <c r="B2813" s="242" t="s">
        <v>16863</v>
      </c>
      <c r="C2813" s="242" t="s">
        <v>16864</v>
      </c>
      <c r="D2813" s="85" t="s">
        <v>16865</v>
      </c>
      <c r="E2813" s="207">
        <v>1071</v>
      </c>
      <c r="F2813" s="25">
        <v>108374.49</v>
      </c>
      <c r="G2813" s="25"/>
      <c r="H2813" s="25">
        <v>108374.49</v>
      </c>
      <c r="I2813" s="243">
        <v>42403</v>
      </c>
      <c r="J2813" s="245" t="s">
        <v>18112</v>
      </c>
      <c r="K2813" s="26">
        <v>43214</v>
      </c>
      <c r="L2813" s="66" t="s">
        <v>20258</v>
      </c>
      <c r="M2813" s="242" t="s">
        <v>15722</v>
      </c>
      <c r="N2813" s="207"/>
      <c r="O2813" s="245" t="s">
        <v>18044</v>
      </c>
    </row>
    <row r="2814" spans="1:15" ht="72" customHeight="1" x14ac:dyDescent="0.3">
      <c r="A2814" s="139">
        <v>2783</v>
      </c>
      <c r="B2814" s="242" t="s">
        <v>16863</v>
      </c>
      <c r="C2814" s="242" t="s">
        <v>16866</v>
      </c>
      <c r="D2814" s="85" t="s">
        <v>16867</v>
      </c>
      <c r="E2814" s="207">
        <v>3562</v>
      </c>
      <c r="F2814" s="25">
        <v>653591.38</v>
      </c>
      <c r="G2814" s="25"/>
      <c r="H2814" s="25">
        <v>653591.38</v>
      </c>
      <c r="I2814" s="243">
        <v>42403</v>
      </c>
      <c r="J2814" s="245" t="s">
        <v>18110</v>
      </c>
      <c r="K2814" s="207"/>
      <c r="L2814" s="66"/>
      <c r="M2814" s="242" t="s">
        <v>15722</v>
      </c>
      <c r="N2814" s="207"/>
      <c r="O2814" s="245" t="s">
        <v>18044</v>
      </c>
    </row>
    <row r="2815" spans="1:15" ht="72" customHeight="1" x14ac:dyDescent="0.3">
      <c r="A2815" s="139">
        <v>2784</v>
      </c>
      <c r="B2815" s="242" t="s">
        <v>16863</v>
      </c>
      <c r="C2815" s="242" t="s">
        <v>16868</v>
      </c>
      <c r="D2815" s="85" t="s">
        <v>16869</v>
      </c>
      <c r="E2815" s="207">
        <v>1580</v>
      </c>
      <c r="F2815" s="25">
        <v>164462.20000000001</v>
      </c>
      <c r="G2815" s="25"/>
      <c r="H2815" s="25">
        <v>164462.20000000001</v>
      </c>
      <c r="I2815" s="243">
        <v>42403</v>
      </c>
      <c r="J2815" s="245" t="s">
        <v>18111</v>
      </c>
      <c r="K2815" s="207"/>
      <c r="L2815" s="66"/>
      <c r="M2815" s="242" t="s">
        <v>15722</v>
      </c>
      <c r="N2815" s="207"/>
      <c r="O2815" s="245" t="s">
        <v>18044</v>
      </c>
    </row>
    <row r="2816" spans="1:15" ht="60" customHeight="1" x14ac:dyDescent="0.3">
      <c r="A2816" s="139">
        <v>2785</v>
      </c>
      <c r="B2816" s="242" t="s">
        <v>16870</v>
      </c>
      <c r="C2816" s="242" t="s">
        <v>16329</v>
      </c>
      <c r="D2816" s="85" t="s">
        <v>16871</v>
      </c>
      <c r="E2816" s="207">
        <v>3003</v>
      </c>
      <c r="F2816" s="25">
        <v>520750.23</v>
      </c>
      <c r="G2816" s="25"/>
      <c r="H2816" s="25">
        <v>520750.23</v>
      </c>
      <c r="I2816" s="243">
        <v>42403</v>
      </c>
      <c r="J2816" s="245" t="s">
        <v>18113</v>
      </c>
      <c r="K2816" s="207"/>
      <c r="L2816" s="66"/>
      <c r="M2816" s="242" t="s">
        <v>15722</v>
      </c>
      <c r="N2816" s="207"/>
      <c r="O2816" s="245" t="s">
        <v>11937</v>
      </c>
    </row>
    <row r="2817" spans="1:26" ht="60" customHeight="1" x14ac:dyDescent="0.3">
      <c r="A2817" s="139">
        <v>2786</v>
      </c>
      <c r="B2817" s="242" t="s">
        <v>16870</v>
      </c>
      <c r="C2817" s="242" t="s">
        <v>16329</v>
      </c>
      <c r="D2817" s="85" t="s">
        <v>16872</v>
      </c>
      <c r="E2817" s="207">
        <v>9163</v>
      </c>
      <c r="F2817" s="25">
        <v>1588955.83</v>
      </c>
      <c r="G2817" s="25"/>
      <c r="H2817" s="25">
        <v>1588955.83</v>
      </c>
      <c r="I2817" s="243">
        <v>42403</v>
      </c>
      <c r="J2817" s="245" t="s">
        <v>18114</v>
      </c>
      <c r="K2817" s="207"/>
      <c r="L2817" s="66"/>
      <c r="M2817" s="242" t="s">
        <v>15722</v>
      </c>
      <c r="N2817" s="207"/>
      <c r="O2817" s="245" t="s">
        <v>18044</v>
      </c>
    </row>
    <row r="2818" spans="1:26" ht="60" customHeight="1" x14ac:dyDescent="0.3">
      <c r="A2818" s="139">
        <v>2787</v>
      </c>
      <c r="B2818" s="242" t="s">
        <v>16870</v>
      </c>
      <c r="C2818" s="242" t="s">
        <v>16873</v>
      </c>
      <c r="D2818" s="85" t="s">
        <v>16874</v>
      </c>
      <c r="E2818" s="207">
        <v>4715</v>
      </c>
      <c r="F2818" s="25">
        <v>798721</v>
      </c>
      <c r="G2818" s="25"/>
      <c r="H2818" s="25">
        <v>798721</v>
      </c>
      <c r="I2818" s="243">
        <v>42403</v>
      </c>
      <c r="J2818" s="245" t="s">
        <v>18115</v>
      </c>
      <c r="K2818" s="207"/>
      <c r="L2818" s="66"/>
      <c r="M2818" s="242" t="s">
        <v>15722</v>
      </c>
      <c r="N2818" s="207"/>
      <c r="O2818" s="245" t="s">
        <v>18044</v>
      </c>
    </row>
    <row r="2819" spans="1:26" ht="72" customHeight="1" x14ac:dyDescent="0.3">
      <c r="A2819" s="139">
        <v>2788</v>
      </c>
      <c r="B2819" s="242" t="s">
        <v>16863</v>
      </c>
      <c r="C2819" s="242" t="s">
        <v>16873</v>
      </c>
      <c r="D2819" s="85" t="s">
        <v>16875</v>
      </c>
      <c r="E2819" s="207">
        <v>1539</v>
      </c>
      <c r="F2819" s="25">
        <v>149236.82999999999</v>
      </c>
      <c r="G2819" s="25"/>
      <c r="H2819" s="25">
        <v>149236.82999999999</v>
      </c>
      <c r="I2819" s="243">
        <v>42403</v>
      </c>
      <c r="J2819" s="245" t="s">
        <v>18253</v>
      </c>
      <c r="K2819" s="207"/>
      <c r="L2819" s="66"/>
      <c r="M2819" s="242" t="s">
        <v>15722</v>
      </c>
      <c r="N2819" s="207"/>
      <c r="O2819" s="245" t="s">
        <v>11937</v>
      </c>
    </row>
    <row r="2820" spans="1:26" ht="72" customHeight="1" x14ac:dyDescent="0.3">
      <c r="A2820" s="139">
        <v>2789</v>
      </c>
      <c r="B2820" s="242" t="s">
        <v>16528</v>
      </c>
      <c r="C2820" s="242" t="s">
        <v>16876</v>
      </c>
      <c r="D2820" s="85" t="s">
        <v>16877</v>
      </c>
      <c r="E2820" s="207">
        <v>1685</v>
      </c>
      <c r="F2820" s="25">
        <v>214129.8</v>
      </c>
      <c r="G2820" s="25"/>
      <c r="H2820" s="25">
        <v>214129.8</v>
      </c>
      <c r="I2820" s="243">
        <v>42403</v>
      </c>
      <c r="J2820" s="245" t="s">
        <v>18254</v>
      </c>
      <c r="K2820" s="207"/>
      <c r="L2820" s="66"/>
      <c r="M2820" s="242" t="s">
        <v>15722</v>
      </c>
      <c r="N2820" s="207"/>
      <c r="O2820" s="245" t="s">
        <v>18044</v>
      </c>
    </row>
    <row r="2821" spans="1:26" ht="60" customHeight="1" x14ac:dyDescent="0.3">
      <c r="A2821" s="139">
        <v>2790</v>
      </c>
      <c r="B2821" s="242" t="s">
        <v>16870</v>
      </c>
      <c r="C2821" s="242" t="s">
        <v>16851</v>
      </c>
      <c r="D2821" s="85" t="s">
        <v>16878</v>
      </c>
      <c r="E2821" s="207">
        <v>8275</v>
      </c>
      <c r="F2821" s="25">
        <v>876901.75</v>
      </c>
      <c r="G2821" s="25"/>
      <c r="H2821" s="25">
        <v>876901.75</v>
      </c>
      <c r="I2821" s="243">
        <v>42403</v>
      </c>
      <c r="J2821" s="245" t="s">
        <v>18255</v>
      </c>
      <c r="K2821" s="207"/>
      <c r="L2821" s="66"/>
      <c r="M2821" s="242" t="s">
        <v>15722</v>
      </c>
      <c r="N2821" s="207"/>
      <c r="O2821" s="245" t="s">
        <v>18044</v>
      </c>
    </row>
    <row r="2822" spans="1:26" ht="60" customHeight="1" x14ac:dyDescent="0.3">
      <c r="A2822" s="139">
        <v>2791</v>
      </c>
      <c r="B2822" s="242" t="s">
        <v>16870</v>
      </c>
      <c r="C2822" s="242" t="s">
        <v>16879</v>
      </c>
      <c r="D2822" s="85" t="s">
        <v>16880</v>
      </c>
      <c r="E2822" s="207">
        <v>3131</v>
      </c>
      <c r="F2822" s="25">
        <v>415233.22</v>
      </c>
      <c r="G2822" s="25"/>
      <c r="H2822" s="25">
        <v>415233.22</v>
      </c>
      <c r="I2822" s="243">
        <v>42403</v>
      </c>
      <c r="J2822" s="245" t="s">
        <v>18256</v>
      </c>
      <c r="K2822" s="207"/>
      <c r="L2822" s="66"/>
      <c r="M2822" s="242" t="s">
        <v>15722</v>
      </c>
      <c r="N2822" s="207"/>
      <c r="O2822" s="245" t="s">
        <v>18044</v>
      </c>
    </row>
    <row r="2823" spans="1:26" ht="72" customHeight="1" x14ac:dyDescent="0.3">
      <c r="A2823" s="139">
        <v>2792</v>
      </c>
      <c r="B2823" s="242" t="s">
        <v>16863</v>
      </c>
      <c r="C2823" s="242" t="s">
        <v>16881</v>
      </c>
      <c r="D2823" s="85" t="s">
        <v>16882</v>
      </c>
      <c r="E2823" s="207">
        <v>1271</v>
      </c>
      <c r="F2823" s="25">
        <v>279963.17</v>
      </c>
      <c r="G2823" s="25"/>
      <c r="H2823" s="25">
        <v>279963.17</v>
      </c>
      <c r="I2823" s="243">
        <v>42403</v>
      </c>
      <c r="J2823" s="245" t="s">
        <v>18116</v>
      </c>
      <c r="K2823" s="207"/>
      <c r="L2823" s="66"/>
      <c r="M2823" s="242" t="s">
        <v>15722</v>
      </c>
      <c r="N2823" s="207"/>
      <c r="O2823" s="245" t="s">
        <v>11937</v>
      </c>
    </row>
    <row r="2824" spans="1:26" ht="60" customHeight="1" x14ac:dyDescent="0.3">
      <c r="A2824" s="139">
        <v>2793</v>
      </c>
      <c r="B2824" s="242" t="s">
        <v>16870</v>
      </c>
      <c r="C2824" s="242" t="s">
        <v>16883</v>
      </c>
      <c r="D2824" s="85" t="s">
        <v>16884</v>
      </c>
      <c r="E2824" s="207">
        <v>3444</v>
      </c>
      <c r="F2824" s="25">
        <v>778275.12</v>
      </c>
      <c r="G2824" s="25"/>
      <c r="H2824" s="25">
        <v>778275.12</v>
      </c>
      <c r="I2824" s="243">
        <v>42403</v>
      </c>
      <c r="J2824" s="245" t="s">
        <v>18117</v>
      </c>
      <c r="K2824" s="207"/>
      <c r="L2824" s="66"/>
      <c r="M2824" s="242" t="s">
        <v>15722</v>
      </c>
      <c r="N2824" s="207"/>
      <c r="O2824" s="245" t="s">
        <v>18044</v>
      </c>
    </row>
    <row r="2825" spans="1:26" ht="96" customHeight="1" x14ac:dyDescent="0.3">
      <c r="A2825" s="139">
        <v>2794</v>
      </c>
      <c r="B2825" s="242" t="s">
        <v>16840</v>
      </c>
      <c r="C2825" s="242" t="s">
        <v>16885</v>
      </c>
      <c r="D2825" s="85" t="s">
        <v>16886</v>
      </c>
      <c r="E2825" s="207">
        <v>3540</v>
      </c>
      <c r="F2825" s="25">
        <v>649554.6</v>
      </c>
      <c r="G2825" s="25"/>
      <c r="H2825" s="25">
        <v>649554.6</v>
      </c>
      <c r="I2825" s="243">
        <v>42403</v>
      </c>
      <c r="J2825" s="245" t="s">
        <v>18118</v>
      </c>
      <c r="K2825" s="207"/>
      <c r="L2825" s="66"/>
      <c r="M2825" s="242" t="s">
        <v>15722</v>
      </c>
      <c r="N2825" s="207"/>
      <c r="O2825" s="245" t="s">
        <v>11937</v>
      </c>
    </row>
    <row r="2826" spans="1:26" ht="72" customHeight="1" x14ac:dyDescent="0.3">
      <c r="A2826" s="139">
        <v>2795</v>
      </c>
      <c r="B2826" s="242" t="s">
        <v>16843</v>
      </c>
      <c r="C2826" s="242" t="s">
        <v>16887</v>
      </c>
      <c r="D2826" s="85" t="s">
        <v>16888</v>
      </c>
      <c r="E2826" s="207">
        <v>12300</v>
      </c>
      <c r="F2826" s="25">
        <v>1244637</v>
      </c>
      <c r="G2826" s="25"/>
      <c r="H2826" s="25">
        <v>1244637</v>
      </c>
      <c r="I2826" s="243">
        <v>42403</v>
      </c>
      <c r="J2826" s="245" t="s">
        <v>18119</v>
      </c>
      <c r="K2826" s="207"/>
      <c r="L2826" s="66"/>
      <c r="M2826" s="242" t="s">
        <v>15722</v>
      </c>
      <c r="N2826" s="207"/>
      <c r="O2826" s="245" t="s">
        <v>18044</v>
      </c>
    </row>
    <row r="2827" spans="1:26" ht="60" customHeight="1" x14ac:dyDescent="0.3">
      <c r="A2827" s="139">
        <v>2796</v>
      </c>
      <c r="B2827" s="242" t="s">
        <v>16870</v>
      </c>
      <c r="C2827" s="242" t="s">
        <v>16889</v>
      </c>
      <c r="D2827" s="85" t="s">
        <v>16890</v>
      </c>
      <c r="E2827" s="207">
        <v>5589</v>
      </c>
      <c r="F2827" s="25">
        <v>648882.9</v>
      </c>
      <c r="G2827" s="25"/>
      <c r="H2827" s="25">
        <v>648882.9</v>
      </c>
      <c r="I2827" s="243">
        <v>42403</v>
      </c>
      <c r="J2827" s="245" t="s">
        <v>18120</v>
      </c>
      <c r="K2827" s="207"/>
      <c r="L2827" s="66"/>
      <c r="M2827" s="242" t="s">
        <v>15722</v>
      </c>
      <c r="N2827" s="207"/>
      <c r="O2827" s="245" t="s">
        <v>11937</v>
      </c>
    </row>
    <row r="2828" spans="1:26" ht="60" customHeight="1" x14ac:dyDescent="0.3">
      <c r="A2828" s="139">
        <v>2797</v>
      </c>
      <c r="B2828" s="242" t="s">
        <v>16891</v>
      </c>
      <c r="C2828" s="242" t="s">
        <v>16892</v>
      </c>
      <c r="D2828" s="85" t="s">
        <v>16893</v>
      </c>
      <c r="E2828" s="207">
        <v>7336</v>
      </c>
      <c r="F2828" s="25">
        <v>641239.76</v>
      </c>
      <c r="G2828" s="25"/>
      <c r="H2828" s="25">
        <v>641239.76</v>
      </c>
      <c r="I2828" s="243">
        <v>42403</v>
      </c>
      <c r="J2828" s="245" t="s">
        <v>18121</v>
      </c>
      <c r="K2828" s="207"/>
      <c r="L2828" s="66"/>
      <c r="M2828" s="242" t="s">
        <v>15722</v>
      </c>
      <c r="N2828" s="207"/>
      <c r="O2828" s="245" t="s">
        <v>18044</v>
      </c>
    </row>
    <row r="2829" spans="1:26" ht="60" customHeight="1" x14ac:dyDescent="0.3">
      <c r="A2829" s="139">
        <v>2798</v>
      </c>
      <c r="B2829" s="242" t="s">
        <v>16870</v>
      </c>
      <c r="C2829" s="242" t="s">
        <v>16894</v>
      </c>
      <c r="D2829" s="85" t="s">
        <v>16895</v>
      </c>
      <c r="E2829" s="207">
        <v>1385</v>
      </c>
      <c r="F2829" s="25">
        <v>301749.95</v>
      </c>
      <c r="G2829" s="25"/>
      <c r="H2829" s="25">
        <v>301749.95</v>
      </c>
      <c r="I2829" s="243">
        <v>42403</v>
      </c>
      <c r="J2829" s="245" t="s">
        <v>18122</v>
      </c>
      <c r="K2829" s="207"/>
      <c r="L2829" s="66"/>
      <c r="M2829" s="242" t="s">
        <v>15722</v>
      </c>
      <c r="N2829" s="207"/>
      <c r="O2829" s="245" t="s">
        <v>11937</v>
      </c>
    </row>
    <row r="2830" spans="1:26" ht="60" customHeight="1" x14ac:dyDescent="0.3">
      <c r="A2830" s="139">
        <v>2799</v>
      </c>
      <c r="B2830" s="242" t="s">
        <v>16891</v>
      </c>
      <c r="C2830" s="242" t="s">
        <v>16896</v>
      </c>
      <c r="D2830" s="85" t="s">
        <v>16897</v>
      </c>
      <c r="E2830" s="207">
        <v>9640</v>
      </c>
      <c r="F2830" s="25">
        <v>1068208.3999999999</v>
      </c>
      <c r="G2830" s="25"/>
      <c r="H2830" s="25">
        <v>1068208.3999999999</v>
      </c>
      <c r="I2830" s="243">
        <v>42403</v>
      </c>
      <c r="J2830" s="245" t="s">
        <v>18123</v>
      </c>
      <c r="K2830" s="207"/>
      <c r="L2830" s="66"/>
      <c r="M2830" s="242" t="s">
        <v>15722</v>
      </c>
      <c r="N2830" s="207"/>
      <c r="O2830" s="245" t="s">
        <v>18044</v>
      </c>
    </row>
    <row r="2831" spans="1:26" ht="60" customHeight="1" x14ac:dyDescent="0.3">
      <c r="A2831" s="139">
        <v>2800</v>
      </c>
      <c r="B2831" s="242" t="s">
        <v>16870</v>
      </c>
      <c r="C2831" s="242" t="s">
        <v>16866</v>
      </c>
      <c r="D2831" s="85" t="s">
        <v>16898</v>
      </c>
      <c r="E2831" s="207">
        <v>700</v>
      </c>
      <c r="F2831" s="25">
        <v>97797</v>
      </c>
      <c r="G2831" s="25"/>
      <c r="H2831" s="25">
        <v>97797</v>
      </c>
      <c r="I2831" s="243">
        <v>42403</v>
      </c>
      <c r="J2831" s="245" t="s">
        <v>18257</v>
      </c>
      <c r="K2831" s="207"/>
      <c r="L2831" s="66"/>
      <c r="M2831" s="242" t="s">
        <v>15722</v>
      </c>
      <c r="N2831" s="207"/>
      <c r="O2831" s="245" t="s">
        <v>18044</v>
      </c>
    </row>
    <row r="2832" spans="1:26" ht="60" customHeight="1" x14ac:dyDescent="0.3">
      <c r="A2832" s="139">
        <v>2801</v>
      </c>
      <c r="B2832" s="242" t="s">
        <v>16870</v>
      </c>
      <c r="C2832" s="242" t="s">
        <v>16899</v>
      </c>
      <c r="D2832" s="85" t="s">
        <v>16900</v>
      </c>
      <c r="E2832" s="207">
        <v>1345</v>
      </c>
      <c r="F2832" s="25">
        <v>142529.65</v>
      </c>
      <c r="G2832" s="25"/>
      <c r="H2832" s="25">
        <v>142529.65</v>
      </c>
      <c r="I2832" s="243">
        <v>42403</v>
      </c>
      <c r="J2832" s="245" t="s">
        <v>18258</v>
      </c>
      <c r="K2832" s="207"/>
      <c r="L2832" s="66"/>
      <c r="M2832" s="242" t="s">
        <v>15722</v>
      </c>
      <c r="N2832" s="207"/>
      <c r="O2832" s="245" t="s">
        <v>18044</v>
      </c>
      <c r="Q2832" s="161"/>
      <c r="R2832" s="161"/>
      <c r="S2832" s="161"/>
      <c r="T2832" s="161"/>
      <c r="U2832" s="161"/>
      <c r="V2832" s="161"/>
      <c r="W2832" s="161"/>
      <c r="X2832" s="161"/>
      <c r="Y2832" s="161"/>
      <c r="Z2832" s="161"/>
    </row>
    <row r="2833" spans="1:26" s="161" customFormat="1" ht="72" customHeight="1" x14ac:dyDescent="0.3">
      <c r="A2833" s="139">
        <v>2802</v>
      </c>
      <c r="B2833" s="242" t="s">
        <v>133</v>
      </c>
      <c r="C2833" s="242" t="s">
        <v>16920</v>
      </c>
      <c r="D2833" s="60" t="s">
        <v>16902</v>
      </c>
      <c r="E2833" s="242">
        <v>800</v>
      </c>
      <c r="F2833" s="244">
        <v>163504</v>
      </c>
      <c r="G2833" s="244"/>
      <c r="H2833" s="244">
        <v>163504</v>
      </c>
      <c r="I2833" s="243">
        <v>42703</v>
      </c>
      <c r="J2833" s="242" t="s">
        <v>16903</v>
      </c>
      <c r="K2833" s="242"/>
      <c r="L2833" s="66"/>
      <c r="M2833" s="200" t="s">
        <v>12550</v>
      </c>
      <c r="N2833" s="160"/>
      <c r="O2833" s="245" t="s">
        <v>12039</v>
      </c>
    </row>
    <row r="2834" spans="1:26" s="161" customFormat="1" ht="72" customHeight="1" x14ac:dyDescent="0.3">
      <c r="A2834" s="139">
        <v>2803</v>
      </c>
      <c r="B2834" s="242" t="s">
        <v>133</v>
      </c>
      <c r="C2834" s="242" t="s">
        <v>16919</v>
      </c>
      <c r="D2834" s="60" t="s">
        <v>16904</v>
      </c>
      <c r="E2834" s="242">
        <v>1000</v>
      </c>
      <c r="F2834" s="98">
        <v>194540</v>
      </c>
      <c r="G2834" s="244"/>
      <c r="H2834" s="98">
        <v>194540</v>
      </c>
      <c r="I2834" s="243">
        <v>42615</v>
      </c>
      <c r="J2834" s="242" t="s">
        <v>16905</v>
      </c>
      <c r="K2834" s="242"/>
      <c r="L2834" s="66"/>
      <c r="M2834" s="200" t="s">
        <v>12550</v>
      </c>
      <c r="N2834" s="160"/>
      <c r="O2834" s="245" t="s">
        <v>12039</v>
      </c>
    </row>
    <row r="2835" spans="1:26" s="161" customFormat="1" ht="72" customHeight="1" x14ac:dyDescent="0.3">
      <c r="A2835" s="139">
        <v>2804</v>
      </c>
      <c r="B2835" s="242" t="s">
        <v>133</v>
      </c>
      <c r="C2835" s="242" t="s">
        <v>16921</v>
      </c>
      <c r="D2835" s="60" t="s">
        <v>16922</v>
      </c>
      <c r="E2835" s="242">
        <v>1000</v>
      </c>
      <c r="F2835" s="98">
        <v>219450</v>
      </c>
      <c r="G2835" s="244"/>
      <c r="H2835" s="98">
        <v>219450</v>
      </c>
      <c r="I2835" s="243">
        <v>42696</v>
      </c>
      <c r="J2835" s="242" t="s">
        <v>16923</v>
      </c>
      <c r="K2835" s="242"/>
      <c r="L2835" s="66"/>
      <c r="M2835" s="200" t="s">
        <v>12550</v>
      </c>
      <c r="N2835" s="160"/>
      <c r="O2835" s="245" t="s">
        <v>12039</v>
      </c>
    </row>
    <row r="2836" spans="1:26" s="161" customFormat="1" ht="72" customHeight="1" x14ac:dyDescent="0.3">
      <c r="A2836" s="139">
        <v>2805</v>
      </c>
      <c r="B2836" s="242" t="s">
        <v>133</v>
      </c>
      <c r="C2836" s="242" t="s">
        <v>16939</v>
      </c>
      <c r="D2836" s="60" t="s">
        <v>16940</v>
      </c>
      <c r="E2836" s="242">
        <v>800</v>
      </c>
      <c r="F2836" s="98">
        <v>163504</v>
      </c>
      <c r="G2836" s="244"/>
      <c r="H2836" s="98">
        <v>163504</v>
      </c>
      <c r="I2836" s="243">
        <v>42705</v>
      </c>
      <c r="J2836" s="242" t="s">
        <v>16941</v>
      </c>
      <c r="K2836" s="242"/>
      <c r="L2836" s="66"/>
      <c r="M2836" s="200" t="s">
        <v>12550</v>
      </c>
      <c r="N2836" s="160"/>
      <c r="O2836" s="245" t="s">
        <v>12039</v>
      </c>
    </row>
    <row r="2837" spans="1:26" s="161" customFormat="1" ht="84" customHeight="1" x14ac:dyDescent="0.3">
      <c r="A2837" s="139">
        <v>2806</v>
      </c>
      <c r="B2837" s="242" t="s">
        <v>11811</v>
      </c>
      <c r="C2837" s="242" t="s">
        <v>16949</v>
      </c>
      <c r="D2837" s="60" t="s">
        <v>16950</v>
      </c>
      <c r="E2837" s="242">
        <v>41000</v>
      </c>
      <c r="F2837" s="248">
        <v>350960</v>
      </c>
      <c r="G2837" s="107"/>
      <c r="H2837" s="248">
        <v>350960</v>
      </c>
      <c r="I2837" s="243">
        <v>42705</v>
      </c>
      <c r="J2837" s="242" t="s">
        <v>16951</v>
      </c>
      <c r="K2837" s="242"/>
      <c r="L2837" s="66"/>
      <c r="M2837" s="200" t="s">
        <v>12550</v>
      </c>
      <c r="N2837" s="160"/>
      <c r="O2837" s="245" t="s">
        <v>12039</v>
      </c>
    </row>
    <row r="2838" spans="1:26" s="161" customFormat="1" ht="84" customHeight="1" x14ac:dyDescent="0.3">
      <c r="A2838" s="139">
        <v>2807</v>
      </c>
      <c r="B2838" s="242" t="s">
        <v>11811</v>
      </c>
      <c r="C2838" s="242" t="s">
        <v>16952</v>
      </c>
      <c r="D2838" s="60" t="s">
        <v>16953</v>
      </c>
      <c r="E2838" s="242">
        <v>46400</v>
      </c>
      <c r="F2838" s="98">
        <v>574432</v>
      </c>
      <c r="G2838" s="244"/>
      <c r="H2838" s="98">
        <v>574432</v>
      </c>
      <c r="I2838" s="243">
        <v>42705</v>
      </c>
      <c r="J2838" s="242" t="s">
        <v>16954</v>
      </c>
      <c r="K2838" s="242"/>
      <c r="L2838" s="66"/>
      <c r="M2838" s="200" t="s">
        <v>12550</v>
      </c>
      <c r="N2838" s="160"/>
      <c r="O2838" s="245" t="s">
        <v>12039</v>
      </c>
      <c r="Q2838" s="67"/>
      <c r="R2838" s="67"/>
      <c r="S2838" s="67"/>
      <c r="T2838" s="67"/>
      <c r="U2838" s="67"/>
      <c r="V2838" s="67"/>
      <c r="W2838" s="67"/>
      <c r="X2838" s="67"/>
      <c r="Y2838" s="67"/>
      <c r="Z2838" s="67"/>
    </row>
    <row r="2839" spans="1:26" ht="108" customHeight="1" x14ac:dyDescent="0.3">
      <c r="A2839" s="139">
        <v>2808</v>
      </c>
      <c r="B2839" s="246" t="s">
        <v>16965</v>
      </c>
      <c r="C2839" s="246" t="s">
        <v>15306</v>
      </c>
      <c r="D2839" s="85" t="s">
        <v>16964</v>
      </c>
      <c r="E2839" s="246">
        <v>2188</v>
      </c>
      <c r="F2839" s="121">
        <v>464162.32</v>
      </c>
      <c r="G2839" s="207"/>
      <c r="H2839" s="121">
        <v>464162.32</v>
      </c>
      <c r="I2839" s="26">
        <v>42403</v>
      </c>
      <c r="J2839" s="38" t="s">
        <v>18056</v>
      </c>
      <c r="K2839" s="207"/>
      <c r="L2839" s="245"/>
      <c r="M2839" s="242" t="s">
        <v>15722</v>
      </c>
      <c r="N2839" s="207"/>
      <c r="O2839" s="245" t="s">
        <v>18044</v>
      </c>
    </row>
    <row r="2840" spans="1:26" ht="108" customHeight="1" x14ac:dyDescent="0.3">
      <c r="A2840" s="269">
        <v>2809</v>
      </c>
      <c r="B2840" s="263" t="s">
        <v>17084</v>
      </c>
      <c r="C2840" s="263" t="s">
        <v>17085</v>
      </c>
      <c r="D2840" s="94"/>
      <c r="E2840" s="207">
        <v>32</v>
      </c>
      <c r="F2840" s="121">
        <v>536481.94999999995</v>
      </c>
      <c r="G2840" s="25">
        <v>70726</v>
      </c>
      <c r="H2840" s="25"/>
      <c r="I2840" s="26">
        <v>42403</v>
      </c>
      <c r="J2840" s="38" t="s">
        <v>15349</v>
      </c>
      <c r="K2840" s="207" t="s">
        <v>22975</v>
      </c>
      <c r="L2840" s="66" t="s">
        <v>22976</v>
      </c>
      <c r="M2840" s="242" t="s">
        <v>14091</v>
      </c>
      <c r="N2840" s="242" t="s">
        <v>16265</v>
      </c>
      <c r="O2840" s="38" t="s">
        <v>22974</v>
      </c>
    </row>
    <row r="2841" spans="1:26" ht="60" customHeight="1" x14ac:dyDescent="0.3">
      <c r="A2841" s="139">
        <v>2810</v>
      </c>
      <c r="B2841" s="242" t="s">
        <v>17211</v>
      </c>
      <c r="C2841" s="242" t="s">
        <v>17212</v>
      </c>
      <c r="D2841" s="85" t="s">
        <v>17213</v>
      </c>
      <c r="E2841" s="207">
        <v>2210</v>
      </c>
      <c r="F2841" s="25">
        <v>13260</v>
      </c>
      <c r="G2841" s="25"/>
      <c r="H2841" s="25">
        <v>13260</v>
      </c>
      <c r="I2841" s="243">
        <v>42403</v>
      </c>
      <c r="J2841" s="38" t="s">
        <v>18246</v>
      </c>
      <c r="K2841" s="207"/>
      <c r="L2841" s="66"/>
      <c r="M2841" s="242" t="s">
        <v>15722</v>
      </c>
      <c r="N2841" s="207"/>
      <c r="O2841" s="245" t="s">
        <v>11937</v>
      </c>
    </row>
    <row r="2842" spans="1:26" ht="72" customHeight="1" x14ac:dyDescent="0.3">
      <c r="A2842" s="139">
        <v>2811</v>
      </c>
      <c r="B2842" s="242" t="s">
        <v>17214</v>
      </c>
      <c r="C2842" s="242" t="s">
        <v>17215</v>
      </c>
      <c r="D2842" s="85" t="s">
        <v>17216</v>
      </c>
      <c r="E2842" s="207">
        <v>7876</v>
      </c>
      <c r="F2842" s="25">
        <v>1670814.64</v>
      </c>
      <c r="G2842" s="25"/>
      <c r="H2842" s="98">
        <v>1670814.64</v>
      </c>
      <c r="I2842" s="243">
        <v>42403</v>
      </c>
      <c r="J2842" s="38" t="s">
        <v>18247</v>
      </c>
      <c r="K2842" s="207"/>
      <c r="L2842" s="66"/>
      <c r="M2842" s="242" t="s">
        <v>15722</v>
      </c>
      <c r="N2842" s="207"/>
      <c r="O2842" s="245" t="s">
        <v>18044</v>
      </c>
    </row>
    <row r="2843" spans="1:26" ht="72" customHeight="1" x14ac:dyDescent="0.3">
      <c r="A2843" s="139">
        <v>2812</v>
      </c>
      <c r="B2843" s="242" t="s">
        <v>17217</v>
      </c>
      <c r="C2843" s="242" t="s">
        <v>17218</v>
      </c>
      <c r="D2843" s="85" t="s">
        <v>17219</v>
      </c>
      <c r="E2843" s="207">
        <v>2418</v>
      </c>
      <c r="F2843" s="25">
        <v>248159.34</v>
      </c>
      <c r="G2843" s="25"/>
      <c r="H2843" s="25">
        <v>248159.34</v>
      </c>
      <c r="I2843" s="243">
        <v>42403</v>
      </c>
      <c r="J2843" s="38" t="s">
        <v>18248</v>
      </c>
      <c r="K2843" s="207"/>
      <c r="L2843" s="66"/>
      <c r="M2843" s="242" t="s">
        <v>15722</v>
      </c>
      <c r="N2843" s="207"/>
      <c r="O2843" s="245" t="s">
        <v>11937</v>
      </c>
    </row>
    <row r="2844" spans="1:26" ht="72" customHeight="1" x14ac:dyDescent="0.3">
      <c r="A2844" s="139">
        <v>2813</v>
      </c>
      <c r="B2844" s="242" t="s">
        <v>17217</v>
      </c>
      <c r="C2844" s="242" t="s">
        <v>17220</v>
      </c>
      <c r="D2844" s="85" t="s">
        <v>17221</v>
      </c>
      <c r="E2844" s="207">
        <v>566</v>
      </c>
      <c r="F2844" s="25">
        <v>124825.64</v>
      </c>
      <c r="G2844" s="25"/>
      <c r="H2844" s="25">
        <v>124825.64</v>
      </c>
      <c r="I2844" s="243">
        <v>42403</v>
      </c>
      <c r="J2844" s="38" t="s">
        <v>18249</v>
      </c>
      <c r="K2844" s="207"/>
      <c r="L2844" s="66"/>
      <c r="M2844" s="242" t="s">
        <v>15722</v>
      </c>
      <c r="N2844" s="207"/>
      <c r="O2844" s="245" t="s">
        <v>18044</v>
      </c>
    </row>
    <row r="2845" spans="1:26" ht="72" customHeight="1" x14ac:dyDescent="0.3">
      <c r="A2845" s="139">
        <v>2814</v>
      </c>
      <c r="B2845" s="242" t="s">
        <v>17217</v>
      </c>
      <c r="C2845" s="242" t="s">
        <v>17220</v>
      </c>
      <c r="D2845" s="85" t="s">
        <v>17222</v>
      </c>
      <c r="E2845" s="207">
        <v>6675</v>
      </c>
      <c r="F2845" s="25">
        <v>560633.25</v>
      </c>
      <c r="G2845" s="25"/>
      <c r="H2845" s="25">
        <v>560633.25</v>
      </c>
      <c r="I2845" s="243">
        <v>42403</v>
      </c>
      <c r="J2845" s="38" t="s">
        <v>18250</v>
      </c>
      <c r="K2845" s="207"/>
      <c r="L2845" s="66"/>
      <c r="M2845" s="242" t="s">
        <v>15722</v>
      </c>
      <c r="N2845" s="207"/>
      <c r="O2845" s="245" t="s">
        <v>18044</v>
      </c>
    </row>
    <row r="2846" spans="1:26" ht="72" customHeight="1" x14ac:dyDescent="0.3">
      <c r="A2846" s="139">
        <v>2815</v>
      </c>
      <c r="B2846" s="242" t="s">
        <v>17217</v>
      </c>
      <c r="C2846" s="242" t="s">
        <v>17223</v>
      </c>
      <c r="D2846" s="85" t="s">
        <v>17224</v>
      </c>
      <c r="E2846" s="207">
        <v>15387</v>
      </c>
      <c r="F2846" s="25">
        <v>1292354.1299999999</v>
      </c>
      <c r="G2846" s="25"/>
      <c r="H2846" s="25">
        <v>1292354.1299999999</v>
      </c>
      <c r="I2846" s="243">
        <v>42403</v>
      </c>
      <c r="J2846" s="38" t="s">
        <v>18251</v>
      </c>
      <c r="K2846" s="207"/>
      <c r="L2846" s="66"/>
      <c r="M2846" s="242" t="s">
        <v>15722</v>
      </c>
      <c r="N2846" s="207"/>
      <c r="O2846" s="245" t="s">
        <v>18044</v>
      </c>
    </row>
    <row r="2847" spans="1:26" ht="72" customHeight="1" x14ac:dyDescent="0.3">
      <c r="A2847" s="139">
        <v>2816</v>
      </c>
      <c r="B2847" s="242" t="s">
        <v>17217</v>
      </c>
      <c r="C2847" s="242" t="s">
        <v>17225</v>
      </c>
      <c r="D2847" s="85" t="s">
        <v>17226</v>
      </c>
      <c r="E2847" s="207">
        <v>2146</v>
      </c>
      <c r="F2847" s="25">
        <v>393769.54</v>
      </c>
      <c r="G2847" s="25"/>
      <c r="H2847" s="25">
        <v>393769.54</v>
      </c>
      <c r="I2847" s="243">
        <v>42403</v>
      </c>
      <c r="J2847" s="38" t="s">
        <v>18252</v>
      </c>
      <c r="K2847" s="207"/>
      <c r="L2847" s="66"/>
      <c r="M2847" s="242" t="s">
        <v>15722</v>
      </c>
      <c r="N2847" s="207"/>
      <c r="O2847" s="245" t="s">
        <v>11937</v>
      </c>
    </row>
    <row r="2848" spans="1:26" ht="72" customHeight="1" x14ac:dyDescent="0.3">
      <c r="A2848" s="139">
        <v>2817</v>
      </c>
      <c r="B2848" s="242" t="s">
        <v>17217</v>
      </c>
      <c r="C2848" s="242" t="s">
        <v>17227</v>
      </c>
      <c r="D2848" s="85" t="s">
        <v>17228</v>
      </c>
      <c r="E2848" s="207">
        <v>1566</v>
      </c>
      <c r="F2848" s="25">
        <v>332211.24</v>
      </c>
      <c r="G2848" s="25"/>
      <c r="H2848" s="25">
        <v>332211.24</v>
      </c>
      <c r="I2848" s="243">
        <v>42403</v>
      </c>
      <c r="J2848" s="38" t="s">
        <v>18078</v>
      </c>
      <c r="K2848" s="207"/>
      <c r="L2848" s="66"/>
      <c r="M2848" s="242" t="s">
        <v>15722</v>
      </c>
      <c r="N2848" s="207"/>
      <c r="O2848" s="245" t="s">
        <v>18044</v>
      </c>
    </row>
    <row r="2849" spans="1:15" ht="72" customHeight="1" x14ac:dyDescent="0.3">
      <c r="A2849" s="139">
        <v>2818</v>
      </c>
      <c r="B2849" s="242" t="s">
        <v>17217</v>
      </c>
      <c r="C2849" s="242" t="s">
        <v>15658</v>
      </c>
      <c r="D2849" s="85" t="s">
        <v>17229</v>
      </c>
      <c r="E2849" s="207">
        <v>9257</v>
      </c>
      <c r="F2849" s="25">
        <v>880433.27</v>
      </c>
      <c r="G2849" s="25"/>
      <c r="H2849" s="25">
        <v>880433.27</v>
      </c>
      <c r="I2849" s="243">
        <v>42403</v>
      </c>
      <c r="J2849" s="38" t="s">
        <v>18079</v>
      </c>
      <c r="K2849" s="207"/>
      <c r="L2849" s="66"/>
      <c r="M2849" s="242" t="s">
        <v>15722</v>
      </c>
      <c r="N2849" s="207"/>
      <c r="O2849" s="245" t="s">
        <v>11937</v>
      </c>
    </row>
    <row r="2850" spans="1:15" ht="72" customHeight="1" x14ac:dyDescent="0.3">
      <c r="A2850" s="139">
        <v>2819</v>
      </c>
      <c r="B2850" s="242" t="s">
        <v>17217</v>
      </c>
      <c r="C2850" s="242" t="s">
        <v>17230</v>
      </c>
      <c r="D2850" s="85" t="s">
        <v>17231</v>
      </c>
      <c r="E2850" s="207">
        <v>3936</v>
      </c>
      <c r="F2850" s="25">
        <v>722216.64</v>
      </c>
      <c r="G2850" s="25"/>
      <c r="H2850" s="25">
        <v>722216.64</v>
      </c>
      <c r="I2850" s="243">
        <v>42403</v>
      </c>
      <c r="J2850" s="38" t="s">
        <v>18080</v>
      </c>
      <c r="K2850" s="207"/>
      <c r="L2850" s="66"/>
      <c r="M2850" s="242" t="s">
        <v>15722</v>
      </c>
      <c r="N2850" s="207"/>
      <c r="O2850" s="245" t="s">
        <v>18044</v>
      </c>
    </row>
    <row r="2851" spans="1:15" ht="72" customHeight="1" x14ac:dyDescent="0.3">
      <c r="A2851" s="139">
        <v>2820</v>
      </c>
      <c r="B2851" s="242" t="s">
        <v>17217</v>
      </c>
      <c r="C2851" s="242" t="s">
        <v>17232</v>
      </c>
      <c r="D2851" s="254" t="s">
        <v>17233</v>
      </c>
      <c r="E2851" s="207">
        <v>2039</v>
      </c>
      <c r="F2851" s="25">
        <v>116549.24</v>
      </c>
      <c r="G2851" s="25"/>
      <c r="H2851" s="25">
        <v>116549.24</v>
      </c>
      <c r="I2851" s="243">
        <v>42403</v>
      </c>
      <c r="J2851" s="38" t="s">
        <v>18081</v>
      </c>
      <c r="K2851" s="207"/>
      <c r="L2851" s="66"/>
      <c r="M2851" s="242" t="s">
        <v>15722</v>
      </c>
      <c r="N2851" s="207"/>
      <c r="O2851" s="245" t="s">
        <v>18044</v>
      </c>
    </row>
    <row r="2852" spans="1:15" ht="72" customHeight="1" x14ac:dyDescent="0.3">
      <c r="A2852" s="139">
        <v>2821</v>
      </c>
      <c r="B2852" s="242" t="s">
        <v>17217</v>
      </c>
      <c r="C2852" s="242" t="s">
        <v>17245</v>
      </c>
      <c r="D2852" s="254" t="s">
        <v>17246</v>
      </c>
      <c r="E2852" s="207">
        <v>825</v>
      </c>
      <c r="F2852" s="25">
        <v>151379.25</v>
      </c>
      <c r="G2852" s="25"/>
      <c r="H2852" s="25">
        <v>151379.25</v>
      </c>
      <c r="I2852" s="243">
        <v>42403</v>
      </c>
      <c r="J2852" s="38" t="s">
        <v>18082</v>
      </c>
      <c r="K2852" s="207"/>
      <c r="L2852" s="66"/>
      <c r="M2852" s="242" t="s">
        <v>15722</v>
      </c>
      <c r="N2852" s="207"/>
      <c r="O2852" s="245" t="s">
        <v>11937</v>
      </c>
    </row>
    <row r="2853" spans="1:15" ht="72" customHeight="1" x14ac:dyDescent="0.3">
      <c r="A2853" s="139">
        <v>2822</v>
      </c>
      <c r="B2853" s="242" t="s">
        <v>17217</v>
      </c>
      <c r="C2853" s="242" t="s">
        <v>17247</v>
      </c>
      <c r="D2853" s="254" t="s">
        <v>17248</v>
      </c>
      <c r="E2853" s="207">
        <v>10401</v>
      </c>
      <c r="F2853" s="25">
        <v>2206468.14</v>
      </c>
      <c r="G2853" s="25"/>
      <c r="H2853" s="25">
        <v>2206468.14</v>
      </c>
      <c r="I2853" s="243">
        <v>42403</v>
      </c>
      <c r="J2853" s="38" t="s">
        <v>18083</v>
      </c>
      <c r="K2853" s="207"/>
      <c r="L2853" s="66"/>
      <c r="M2853" s="242" t="s">
        <v>15722</v>
      </c>
      <c r="N2853" s="207"/>
      <c r="O2853" s="245" t="s">
        <v>18044</v>
      </c>
    </row>
    <row r="2854" spans="1:15" ht="72" customHeight="1" x14ac:dyDescent="0.3">
      <c r="A2854" s="139">
        <v>2823</v>
      </c>
      <c r="B2854" s="242" t="s">
        <v>17217</v>
      </c>
      <c r="C2854" s="242" t="s">
        <v>17249</v>
      </c>
      <c r="D2854" s="85" t="s">
        <v>17250</v>
      </c>
      <c r="E2854" s="207">
        <v>5704</v>
      </c>
      <c r="F2854" s="25">
        <v>479078.96</v>
      </c>
      <c r="G2854" s="25"/>
      <c r="H2854" s="25">
        <v>479078.96</v>
      </c>
      <c r="I2854" s="243">
        <v>42403</v>
      </c>
      <c r="J2854" s="38" t="s">
        <v>18084</v>
      </c>
      <c r="K2854" s="207"/>
      <c r="L2854" s="66"/>
      <c r="M2854" s="242" t="s">
        <v>15722</v>
      </c>
      <c r="N2854" s="207"/>
      <c r="O2854" s="245" t="s">
        <v>11937</v>
      </c>
    </row>
    <row r="2855" spans="1:15" ht="72" customHeight="1" x14ac:dyDescent="0.3">
      <c r="A2855" s="139">
        <v>2824</v>
      </c>
      <c r="B2855" s="242" t="s">
        <v>17217</v>
      </c>
      <c r="C2855" s="242" t="s">
        <v>17249</v>
      </c>
      <c r="D2855" s="85" t="s">
        <v>17251</v>
      </c>
      <c r="E2855" s="207">
        <v>8393</v>
      </c>
      <c r="F2855" s="25">
        <v>704928.07</v>
      </c>
      <c r="G2855" s="25"/>
      <c r="H2855" s="25">
        <v>704928.07</v>
      </c>
      <c r="I2855" s="243">
        <v>42403</v>
      </c>
      <c r="J2855" s="38" t="s">
        <v>18085</v>
      </c>
      <c r="K2855" s="207"/>
      <c r="L2855" s="66"/>
      <c r="M2855" s="242" t="s">
        <v>15722</v>
      </c>
      <c r="N2855" s="207"/>
      <c r="O2855" s="245" t="s">
        <v>11937</v>
      </c>
    </row>
    <row r="2856" spans="1:15" ht="72" customHeight="1" x14ac:dyDescent="0.3">
      <c r="A2856" s="139">
        <v>2825</v>
      </c>
      <c r="B2856" s="242" t="s">
        <v>17217</v>
      </c>
      <c r="C2856" s="242" t="s">
        <v>16310</v>
      </c>
      <c r="D2856" s="85" t="s">
        <v>17252</v>
      </c>
      <c r="E2856" s="207">
        <v>1212</v>
      </c>
      <c r="F2856" s="25">
        <v>135865.20000000001</v>
      </c>
      <c r="G2856" s="25"/>
      <c r="H2856" s="25">
        <v>135865.20000000001</v>
      </c>
      <c r="I2856" s="243">
        <v>42403</v>
      </c>
      <c r="J2856" s="38" t="s">
        <v>18086</v>
      </c>
      <c r="K2856" s="207"/>
      <c r="L2856" s="66"/>
      <c r="M2856" s="242" t="s">
        <v>15722</v>
      </c>
      <c r="N2856" s="207"/>
      <c r="O2856" s="245" t="s">
        <v>11937</v>
      </c>
    </row>
    <row r="2857" spans="1:15" ht="72" customHeight="1" x14ac:dyDescent="0.3">
      <c r="A2857" s="139">
        <v>2826</v>
      </c>
      <c r="B2857" s="242" t="s">
        <v>17217</v>
      </c>
      <c r="C2857" s="242" t="s">
        <v>16310</v>
      </c>
      <c r="D2857" s="85" t="s">
        <v>17253</v>
      </c>
      <c r="E2857" s="207">
        <v>5480</v>
      </c>
      <c r="F2857" s="25">
        <v>614308</v>
      </c>
      <c r="G2857" s="25"/>
      <c r="H2857" s="25">
        <v>614308</v>
      </c>
      <c r="I2857" s="243">
        <v>42403</v>
      </c>
      <c r="J2857" s="38" t="s">
        <v>18043</v>
      </c>
      <c r="K2857" s="207"/>
      <c r="L2857" s="66"/>
      <c r="M2857" s="242" t="s">
        <v>15722</v>
      </c>
      <c r="N2857" s="207"/>
      <c r="O2857" s="245" t="s">
        <v>11937</v>
      </c>
    </row>
    <row r="2858" spans="1:15" ht="72" customHeight="1" x14ac:dyDescent="0.3">
      <c r="A2858" s="139">
        <v>2827</v>
      </c>
      <c r="B2858" s="242" t="s">
        <v>17217</v>
      </c>
      <c r="C2858" s="242" t="s">
        <v>16310</v>
      </c>
      <c r="D2858" s="85" t="s">
        <v>17254</v>
      </c>
      <c r="E2858" s="207">
        <v>974</v>
      </c>
      <c r="F2858" s="25">
        <v>109185.4</v>
      </c>
      <c r="G2858" s="25"/>
      <c r="H2858" s="25">
        <v>75923.3</v>
      </c>
      <c r="I2858" s="243">
        <v>42403</v>
      </c>
      <c r="J2858" s="38" t="s">
        <v>18045</v>
      </c>
      <c r="K2858" s="207"/>
      <c r="L2858" s="66"/>
      <c r="M2858" s="242" t="s">
        <v>15722</v>
      </c>
      <c r="N2858" s="207"/>
      <c r="O2858" s="245" t="s">
        <v>18044</v>
      </c>
    </row>
    <row r="2859" spans="1:15" ht="72" customHeight="1" x14ac:dyDescent="0.3">
      <c r="A2859" s="139">
        <v>2828</v>
      </c>
      <c r="B2859" s="242" t="s">
        <v>17217</v>
      </c>
      <c r="C2859" s="242" t="s">
        <v>16310</v>
      </c>
      <c r="D2859" s="85" t="s">
        <v>17255</v>
      </c>
      <c r="E2859" s="207">
        <v>6444</v>
      </c>
      <c r="F2859" s="25">
        <v>722372.4</v>
      </c>
      <c r="G2859" s="25"/>
      <c r="H2859" s="25">
        <v>722372.4</v>
      </c>
      <c r="I2859" s="243">
        <v>42403</v>
      </c>
      <c r="J2859" s="38" t="s">
        <v>18046</v>
      </c>
      <c r="K2859" s="207"/>
      <c r="L2859" s="66"/>
      <c r="M2859" s="242" t="s">
        <v>15722</v>
      </c>
      <c r="N2859" s="207"/>
      <c r="O2859" s="245" t="s">
        <v>11937</v>
      </c>
    </row>
    <row r="2860" spans="1:15" ht="72" customHeight="1" x14ac:dyDescent="0.3">
      <c r="A2860" s="139">
        <v>2829</v>
      </c>
      <c r="B2860" s="242" t="s">
        <v>17217</v>
      </c>
      <c r="C2860" s="242" t="s">
        <v>17232</v>
      </c>
      <c r="D2860" s="85" t="s">
        <v>17256</v>
      </c>
      <c r="E2860" s="207">
        <v>5784</v>
      </c>
      <c r="F2860" s="25">
        <v>330613.44</v>
      </c>
      <c r="G2860" s="25"/>
      <c r="H2860" s="25">
        <v>330613.44</v>
      </c>
      <c r="I2860" s="243">
        <v>42403</v>
      </c>
      <c r="J2860" s="38" t="s">
        <v>18047</v>
      </c>
      <c r="K2860" s="207"/>
      <c r="L2860" s="66"/>
      <c r="M2860" s="242" t="s">
        <v>15722</v>
      </c>
      <c r="N2860" s="207"/>
      <c r="O2860" s="245" t="s">
        <v>18044</v>
      </c>
    </row>
    <row r="2861" spans="1:15" ht="72" customHeight="1" x14ac:dyDescent="0.3">
      <c r="A2861" s="139">
        <v>2830</v>
      </c>
      <c r="B2861" s="242" t="s">
        <v>17217</v>
      </c>
      <c r="C2861" s="242" t="s">
        <v>17257</v>
      </c>
      <c r="D2861" s="85" t="s">
        <v>17258</v>
      </c>
      <c r="E2861" s="207">
        <v>1101</v>
      </c>
      <c r="F2861" s="25">
        <v>92472.99</v>
      </c>
      <c r="G2861" s="25"/>
      <c r="H2861" s="25">
        <v>92472.9</v>
      </c>
      <c r="I2861" s="243">
        <v>42403</v>
      </c>
      <c r="J2861" s="38" t="s">
        <v>18048</v>
      </c>
      <c r="K2861" s="207"/>
      <c r="L2861" s="66"/>
      <c r="M2861" s="242" t="s">
        <v>15722</v>
      </c>
      <c r="N2861" s="207"/>
      <c r="O2861" s="245" t="s">
        <v>18044</v>
      </c>
    </row>
    <row r="2862" spans="1:15" ht="72" customHeight="1" x14ac:dyDescent="0.3">
      <c r="A2862" s="139">
        <v>2831</v>
      </c>
      <c r="B2862" s="242" t="s">
        <v>17217</v>
      </c>
      <c r="C2862" s="242" t="s">
        <v>17259</v>
      </c>
      <c r="D2862" s="85" t="s">
        <v>17260</v>
      </c>
      <c r="E2862" s="207">
        <v>2458</v>
      </c>
      <c r="F2862" s="25">
        <v>206447.42</v>
      </c>
      <c r="G2862" s="25"/>
      <c r="H2862" s="25">
        <v>206447.42</v>
      </c>
      <c r="I2862" s="243">
        <v>42403</v>
      </c>
      <c r="J2862" s="38" t="s">
        <v>18049</v>
      </c>
      <c r="K2862" s="207"/>
      <c r="L2862" s="66"/>
      <c r="M2862" s="242" t="s">
        <v>15722</v>
      </c>
      <c r="N2862" s="207"/>
      <c r="O2862" s="245" t="s">
        <v>18044</v>
      </c>
    </row>
    <row r="2863" spans="1:15" ht="72" customHeight="1" x14ac:dyDescent="0.3">
      <c r="A2863" s="139">
        <v>2832</v>
      </c>
      <c r="B2863" s="57" t="s">
        <v>17217</v>
      </c>
      <c r="C2863" s="57" t="s">
        <v>17261</v>
      </c>
      <c r="D2863" s="85" t="s">
        <v>17262</v>
      </c>
      <c r="E2863" s="56">
        <v>4742</v>
      </c>
      <c r="F2863" s="250">
        <v>398280.58</v>
      </c>
      <c r="G2863" s="250"/>
      <c r="H2863" s="250">
        <v>398280.58</v>
      </c>
      <c r="I2863" s="251">
        <v>42403</v>
      </c>
      <c r="J2863" s="252" t="s">
        <v>18050</v>
      </c>
      <c r="K2863" s="56"/>
      <c r="L2863" s="252"/>
      <c r="M2863" s="57" t="s">
        <v>15722</v>
      </c>
      <c r="N2863" s="207"/>
      <c r="O2863" s="245" t="s">
        <v>11937</v>
      </c>
    </row>
    <row r="2864" spans="1:15" ht="88.2" customHeight="1" x14ac:dyDescent="0.3">
      <c r="A2864" s="139">
        <v>2833</v>
      </c>
      <c r="B2864" s="242" t="s">
        <v>17217</v>
      </c>
      <c r="C2864" s="242" t="s">
        <v>17220</v>
      </c>
      <c r="D2864" s="85" t="s">
        <v>17263</v>
      </c>
      <c r="E2864" s="207">
        <v>3292</v>
      </c>
      <c r="F2864" s="25">
        <v>276495.08</v>
      </c>
      <c r="G2864" s="25"/>
      <c r="H2864" s="25">
        <v>276495.08</v>
      </c>
      <c r="I2864" s="243">
        <v>42403</v>
      </c>
      <c r="J2864" s="38" t="s">
        <v>18051</v>
      </c>
      <c r="K2864" s="207"/>
      <c r="L2864" s="66"/>
      <c r="M2864" s="242" t="s">
        <v>15722</v>
      </c>
      <c r="N2864" s="207"/>
      <c r="O2864" s="245" t="s">
        <v>18044</v>
      </c>
    </row>
    <row r="2865" spans="1:15" ht="72" customHeight="1" x14ac:dyDescent="0.3">
      <c r="A2865" s="139">
        <v>2834</v>
      </c>
      <c r="B2865" s="242" t="s">
        <v>17217</v>
      </c>
      <c r="C2865" s="242" t="s">
        <v>17264</v>
      </c>
      <c r="D2865" s="85" t="s">
        <v>17265</v>
      </c>
      <c r="E2865" s="207">
        <v>4424</v>
      </c>
      <c r="F2865" s="25">
        <v>938507.36</v>
      </c>
      <c r="G2865" s="25"/>
      <c r="H2865" s="25">
        <v>938507.36</v>
      </c>
      <c r="I2865" s="243">
        <v>42403</v>
      </c>
      <c r="J2865" s="38" t="s">
        <v>18052</v>
      </c>
      <c r="K2865" s="207"/>
      <c r="L2865" s="66"/>
      <c r="M2865" s="242" t="s">
        <v>15722</v>
      </c>
      <c r="N2865" s="207"/>
      <c r="O2865" s="245" t="s">
        <v>11937</v>
      </c>
    </row>
    <row r="2866" spans="1:15" ht="72" customHeight="1" x14ac:dyDescent="0.3">
      <c r="A2866" s="139">
        <v>2835</v>
      </c>
      <c r="B2866" s="242" t="s">
        <v>17217</v>
      </c>
      <c r="C2866" s="242" t="s">
        <v>17218</v>
      </c>
      <c r="D2866" s="85" t="s">
        <v>17266</v>
      </c>
      <c r="E2866" s="207">
        <v>1271</v>
      </c>
      <c r="F2866" s="25">
        <v>106751.29</v>
      </c>
      <c r="G2866" s="25"/>
      <c r="H2866" s="25">
        <v>106751.29</v>
      </c>
      <c r="I2866" s="243">
        <v>42403</v>
      </c>
      <c r="J2866" s="38" t="s">
        <v>18053</v>
      </c>
      <c r="K2866" s="207"/>
      <c r="L2866" s="66"/>
      <c r="M2866" s="242" t="s">
        <v>15722</v>
      </c>
      <c r="N2866" s="207"/>
      <c r="O2866" s="245" t="s">
        <v>18044</v>
      </c>
    </row>
    <row r="2867" spans="1:15" ht="72" customHeight="1" x14ac:dyDescent="0.3">
      <c r="A2867" s="139">
        <v>2836</v>
      </c>
      <c r="B2867" s="242" t="s">
        <v>17217</v>
      </c>
      <c r="C2867" s="242" t="s">
        <v>17267</v>
      </c>
      <c r="D2867" s="85" t="s">
        <v>17268</v>
      </c>
      <c r="E2867" s="207">
        <v>776</v>
      </c>
      <c r="F2867" s="25">
        <v>164620.64000000001</v>
      </c>
      <c r="G2867" s="25"/>
      <c r="H2867" s="25">
        <v>164620.64000000001</v>
      </c>
      <c r="I2867" s="243">
        <v>42403</v>
      </c>
      <c r="J2867" s="38" t="s">
        <v>18054</v>
      </c>
      <c r="K2867" s="207"/>
      <c r="L2867" s="66"/>
      <c r="M2867" s="242" t="s">
        <v>15722</v>
      </c>
      <c r="N2867" s="207"/>
      <c r="O2867" s="245" t="s">
        <v>11937</v>
      </c>
    </row>
    <row r="2868" spans="1:15" ht="84" customHeight="1" x14ac:dyDescent="0.3">
      <c r="A2868" s="139">
        <v>2837</v>
      </c>
      <c r="B2868" s="242" t="s">
        <v>17269</v>
      </c>
      <c r="C2868" s="242" t="s">
        <v>17270</v>
      </c>
      <c r="D2868" s="85" t="s">
        <v>17271</v>
      </c>
      <c r="E2868" s="207">
        <v>2927</v>
      </c>
      <c r="F2868" s="25">
        <v>518049.73</v>
      </c>
      <c r="G2868" s="25"/>
      <c r="H2868" s="25">
        <v>518049.73</v>
      </c>
      <c r="I2868" s="243">
        <v>42403</v>
      </c>
      <c r="J2868" s="38" t="s">
        <v>18055</v>
      </c>
      <c r="K2868" s="207"/>
      <c r="L2868" s="66"/>
      <c r="M2868" s="242" t="s">
        <v>15722</v>
      </c>
      <c r="N2868" s="207"/>
      <c r="O2868" s="245" t="s">
        <v>18044</v>
      </c>
    </row>
    <row r="2869" spans="1:15" ht="60" customHeight="1" x14ac:dyDescent="0.3">
      <c r="A2869" s="139">
        <v>2838</v>
      </c>
      <c r="B2869" s="242" t="s">
        <v>17272</v>
      </c>
      <c r="C2869" s="242" t="s">
        <v>17212</v>
      </c>
      <c r="D2869" s="85" t="s">
        <v>16964</v>
      </c>
      <c r="E2869" s="207">
        <v>2188</v>
      </c>
      <c r="F2869" s="25">
        <v>1394762.4</v>
      </c>
      <c r="G2869" s="25"/>
      <c r="H2869" s="98">
        <v>335704.84</v>
      </c>
      <c r="I2869" s="243">
        <v>42403</v>
      </c>
      <c r="J2869" s="38" t="s">
        <v>15349</v>
      </c>
      <c r="K2869" s="243">
        <v>42884</v>
      </c>
      <c r="L2869" s="66" t="s">
        <v>18593</v>
      </c>
      <c r="M2869" s="245" t="s">
        <v>13904</v>
      </c>
      <c r="N2869" s="207"/>
      <c r="O2869" s="38" t="s">
        <v>18887</v>
      </c>
    </row>
    <row r="2870" spans="1:15" ht="60" customHeight="1" x14ac:dyDescent="0.3">
      <c r="A2870" s="139">
        <v>2839</v>
      </c>
      <c r="B2870" s="242" t="s">
        <v>19863</v>
      </c>
      <c r="C2870" s="242" t="s">
        <v>17212</v>
      </c>
      <c r="D2870" s="85" t="s">
        <v>17273</v>
      </c>
      <c r="E2870" s="207">
        <v>3751</v>
      </c>
      <c r="F2870" s="25">
        <v>369773.58</v>
      </c>
      <c r="G2870" s="25"/>
      <c r="H2870" s="25">
        <v>369773.58</v>
      </c>
      <c r="I2870" s="243">
        <v>42403</v>
      </c>
      <c r="J2870" s="38" t="s">
        <v>18057</v>
      </c>
      <c r="K2870" s="207"/>
      <c r="L2870" s="66"/>
      <c r="M2870" s="242" t="s">
        <v>15722</v>
      </c>
      <c r="N2870" s="207"/>
      <c r="O2870" s="245" t="s">
        <v>11937</v>
      </c>
    </row>
    <row r="2871" spans="1:15" ht="60" customHeight="1" x14ac:dyDescent="0.3">
      <c r="A2871" s="139">
        <v>2840</v>
      </c>
      <c r="B2871" s="242" t="s">
        <v>17272</v>
      </c>
      <c r="C2871" s="242" t="s">
        <v>17274</v>
      </c>
      <c r="D2871" s="85" t="s">
        <v>17275</v>
      </c>
      <c r="E2871" s="207">
        <v>4869</v>
      </c>
      <c r="F2871" s="25">
        <v>479986.02</v>
      </c>
      <c r="G2871" s="25"/>
      <c r="H2871" s="98">
        <v>479986.02</v>
      </c>
      <c r="I2871" s="243">
        <v>42403</v>
      </c>
      <c r="J2871" s="38" t="s">
        <v>18058</v>
      </c>
      <c r="K2871" s="207"/>
      <c r="L2871" s="66"/>
      <c r="M2871" s="242" t="s">
        <v>15722</v>
      </c>
      <c r="N2871" s="207"/>
      <c r="O2871" s="245" t="s">
        <v>18044</v>
      </c>
    </row>
    <row r="2872" spans="1:15" ht="60" customHeight="1" x14ac:dyDescent="0.3">
      <c r="A2872" s="139">
        <v>2841</v>
      </c>
      <c r="B2872" s="242" t="s">
        <v>17276</v>
      </c>
      <c r="C2872" s="242" t="s">
        <v>17264</v>
      </c>
      <c r="D2872" s="85" t="s">
        <v>17277</v>
      </c>
      <c r="E2872" s="207">
        <v>3732</v>
      </c>
      <c r="F2872" s="25">
        <v>1434655.44</v>
      </c>
      <c r="G2872" s="25"/>
      <c r="H2872" s="25">
        <v>1434655.44</v>
      </c>
      <c r="I2872" s="243">
        <v>42403</v>
      </c>
      <c r="J2872" s="38" t="s">
        <v>18059</v>
      </c>
      <c r="K2872" s="207"/>
      <c r="L2872" s="66"/>
      <c r="M2872" s="242" t="s">
        <v>15722</v>
      </c>
      <c r="N2872" s="207"/>
      <c r="O2872" s="245" t="s">
        <v>18044</v>
      </c>
    </row>
    <row r="2873" spans="1:15" ht="60" customHeight="1" x14ac:dyDescent="0.3">
      <c r="A2873" s="139">
        <v>2842</v>
      </c>
      <c r="B2873" s="242" t="s">
        <v>17276</v>
      </c>
      <c r="C2873" s="242" t="s">
        <v>17278</v>
      </c>
      <c r="D2873" s="85" t="s">
        <v>17279</v>
      </c>
      <c r="E2873" s="207">
        <v>304</v>
      </c>
      <c r="F2873" s="25">
        <v>35279.199999999997</v>
      </c>
      <c r="G2873" s="25"/>
      <c r="H2873" s="25">
        <v>35279.199999999997</v>
      </c>
      <c r="I2873" s="243">
        <v>42403</v>
      </c>
      <c r="J2873" s="38" t="s">
        <v>18060</v>
      </c>
      <c r="K2873" s="207"/>
      <c r="L2873" s="66"/>
      <c r="M2873" s="242" t="s">
        <v>15722</v>
      </c>
      <c r="N2873" s="207"/>
      <c r="O2873" s="245" t="s">
        <v>11937</v>
      </c>
    </row>
    <row r="2874" spans="1:15" ht="60" customHeight="1" x14ac:dyDescent="0.3">
      <c r="A2874" s="139">
        <v>2843</v>
      </c>
      <c r="B2874" s="242" t="s">
        <v>17276</v>
      </c>
      <c r="C2874" s="242" t="s">
        <v>17280</v>
      </c>
      <c r="D2874" s="85" t="s">
        <v>17281</v>
      </c>
      <c r="E2874" s="207">
        <v>972</v>
      </c>
      <c r="F2874" s="25">
        <v>112800.6</v>
      </c>
      <c r="G2874" s="25"/>
      <c r="H2874" s="25">
        <v>112800.6</v>
      </c>
      <c r="I2874" s="243">
        <v>42403</v>
      </c>
      <c r="J2874" s="38" t="s">
        <v>18108</v>
      </c>
      <c r="K2874" s="207"/>
      <c r="L2874" s="66"/>
      <c r="M2874" s="242" t="s">
        <v>15722</v>
      </c>
      <c r="N2874" s="207"/>
      <c r="O2874" s="245" t="s">
        <v>18044</v>
      </c>
    </row>
    <row r="2875" spans="1:15" ht="60" customHeight="1" x14ac:dyDescent="0.3">
      <c r="A2875" s="139">
        <v>2844</v>
      </c>
      <c r="B2875" s="242" t="s">
        <v>17276</v>
      </c>
      <c r="C2875" s="242" t="s">
        <v>17280</v>
      </c>
      <c r="D2875" s="85" t="s">
        <v>17282</v>
      </c>
      <c r="E2875" s="207">
        <v>3755</v>
      </c>
      <c r="F2875" s="25">
        <v>435767.75</v>
      </c>
      <c r="G2875" s="25"/>
      <c r="H2875" s="25">
        <v>435767.75</v>
      </c>
      <c r="I2875" s="243">
        <v>42403</v>
      </c>
      <c r="J2875" s="38" t="s">
        <v>18062</v>
      </c>
      <c r="K2875" s="207"/>
      <c r="L2875" s="66"/>
      <c r="M2875" s="242" t="s">
        <v>15722</v>
      </c>
      <c r="N2875" s="207"/>
      <c r="O2875" s="245" t="s">
        <v>11937</v>
      </c>
    </row>
    <row r="2876" spans="1:15" ht="96" customHeight="1" x14ac:dyDescent="0.3">
      <c r="A2876" s="139">
        <v>2845</v>
      </c>
      <c r="B2876" s="242" t="s">
        <v>17272</v>
      </c>
      <c r="C2876" s="242" t="s">
        <v>17283</v>
      </c>
      <c r="D2876" s="85" t="s">
        <v>17284</v>
      </c>
      <c r="E2876" s="207">
        <v>7276</v>
      </c>
      <c r="F2876" s="25">
        <v>4638158.96</v>
      </c>
      <c r="G2876" s="25"/>
      <c r="H2876" s="25">
        <v>4638158.96</v>
      </c>
      <c r="I2876" s="243">
        <v>42403</v>
      </c>
      <c r="J2876" s="38" t="s">
        <v>18064</v>
      </c>
      <c r="K2876" s="207"/>
      <c r="L2876" s="66"/>
      <c r="M2876" s="242" t="s">
        <v>15722</v>
      </c>
      <c r="N2876" s="207"/>
      <c r="O2876" s="245" t="s">
        <v>18044</v>
      </c>
    </row>
    <row r="2877" spans="1:15" ht="72" customHeight="1" x14ac:dyDescent="0.3">
      <c r="A2877" s="139">
        <v>2846</v>
      </c>
      <c r="B2877" s="242" t="s">
        <v>17276</v>
      </c>
      <c r="C2877" s="242" t="s">
        <v>17285</v>
      </c>
      <c r="D2877" s="85" t="s">
        <v>17286</v>
      </c>
      <c r="E2877" s="207">
        <v>1071</v>
      </c>
      <c r="F2877" s="25">
        <v>234206.28</v>
      </c>
      <c r="G2877" s="25"/>
      <c r="H2877" s="25">
        <v>234206.28</v>
      </c>
      <c r="I2877" s="243">
        <v>42403</v>
      </c>
      <c r="J2877" s="38" t="s">
        <v>18063</v>
      </c>
      <c r="K2877" s="207"/>
      <c r="L2877" s="66"/>
      <c r="M2877" s="242" t="s">
        <v>15722</v>
      </c>
      <c r="N2877" s="207"/>
      <c r="O2877" s="245" t="s">
        <v>18044</v>
      </c>
    </row>
    <row r="2878" spans="1:15" ht="60" customHeight="1" x14ac:dyDescent="0.3">
      <c r="A2878" s="139">
        <v>2847</v>
      </c>
      <c r="B2878" s="242" t="s">
        <v>17276</v>
      </c>
      <c r="C2878" s="242" t="s">
        <v>17287</v>
      </c>
      <c r="D2878" s="85" t="s">
        <v>17288</v>
      </c>
      <c r="E2878" s="207">
        <v>968</v>
      </c>
      <c r="F2878" s="25">
        <v>112336.4</v>
      </c>
      <c r="G2878" s="25"/>
      <c r="H2878" s="98">
        <v>112336.4</v>
      </c>
      <c r="I2878" s="243">
        <v>42403</v>
      </c>
      <c r="J2878" s="38" t="s">
        <v>18065</v>
      </c>
      <c r="K2878" s="207"/>
      <c r="L2878" s="66"/>
      <c r="M2878" s="242" t="s">
        <v>15722</v>
      </c>
      <c r="N2878" s="207"/>
      <c r="O2878" s="245" t="s">
        <v>18044</v>
      </c>
    </row>
    <row r="2879" spans="1:15" ht="60" customHeight="1" x14ac:dyDescent="0.3">
      <c r="A2879" s="139">
        <v>2848</v>
      </c>
      <c r="B2879" s="242" t="s">
        <v>17290</v>
      </c>
      <c r="C2879" s="242" t="s">
        <v>17212</v>
      </c>
      <c r="D2879" s="85" t="s">
        <v>17291</v>
      </c>
      <c r="E2879" s="207">
        <v>3880</v>
      </c>
      <c r="F2879" s="25">
        <v>15675.2</v>
      </c>
      <c r="G2879" s="25"/>
      <c r="H2879" s="25">
        <v>15675.2</v>
      </c>
      <c r="I2879" s="243">
        <v>42403</v>
      </c>
      <c r="J2879" s="38" t="s">
        <v>18066</v>
      </c>
      <c r="K2879" s="207"/>
      <c r="L2879" s="66"/>
      <c r="M2879" s="242" t="s">
        <v>15722</v>
      </c>
      <c r="N2879" s="207"/>
      <c r="O2879" s="245" t="s">
        <v>18044</v>
      </c>
    </row>
    <row r="2880" spans="1:15" ht="60" customHeight="1" x14ac:dyDescent="0.3">
      <c r="A2880" s="139">
        <v>2849</v>
      </c>
      <c r="B2880" s="242" t="s">
        <v>17276</v>
      </c>
      <c r="C2880" s="242" t="s">
        <v>17292</v>
      </c>
      <c r="D2880" s="85" t="s">
        <v>17293</v>
      </c>
      <c r="E2880" s="207">
        <v>205</v>
      </c>
      <c r="F2880" s="25">
        <v>23790.25</v>
      </c>
      <c r="G2880" s="25"/>
      <c r="H2880" s="98">
        <v>23790.25</v>
      </c>
      <c r="I2880" s="243">
        <v>42403</v>
      </c>
      <c r="J2880" s="38" t="s">
        <v>18067</v>
      </c>
      <c r="K2880" s="207"/>
      <c r="L2880" s="66"/>
      <c r="M2880" s="242" t="s">
        <v>15722</v>
      </c>
      <c r="N2880" s="207"/>
      <c r="O2880" s="245" t="s">
        <v>18044</v>
      </c>
    </row>
    <row r="2881" spans="1:26" ht="60" customHeight="1" x14ac:dyDescent="0.3">
      <c r="A2881" s="139">
        <v>2850</v>
      </c>
      <c r="B2881" s="242" t="s">
        <v>17276</v>
      </c>
      <c r="C2881" s="242" t="s">
        <v>17294</v>
      </c>
      <c r="D2881" s="85" t="s">
        <v>17295</v>
      </c>
      <c r="E2881" s="207">
        <v>91</v>
      </c>
      <c r="F2881" s="25">
        <v>34983.129999999997</v>
      </c>
      <c r="G2881" s="25"/>
      <c r="H2881" s="25">
        <v>34983.129999999997</v>
      </c>
      <c r="I2881" s="243">
        <v>42403</v>
      </c>
      <c r="J2881" s="38" t="s">
        <v>18070</v>
      </c>
      <c r="K2881" s="207"/>
      <c r="L2881" s="66"/>
      <c r="M2881" s="242" t="s">
        <v>15722</v>
      </c>
      <c r="N2881" s="207"/>
      <c r="O2881" s="245" t="s">
        <v>18044</v>
      </c>
    </row>
    <row r="2882" spans="1:26" ht="60" customHeight="1" x14ac:dyDescent="0.3">
      <c r="A2882" s="139">
        <v>2851</v>
      </c>
      <c r="B2882" s="242" t="s">
        <v>17276</v>
      </c>
      <c r="C2882" s="242" t="s">
        <v>17294</v>
      </c>
      <c r="D2882" s="85" t="s">
        <v>17296</v>
      </c>
      <c r="E2882" s="207">
        <v>167</v>
      </c>
      <c r="F2882" s="25">
        <v>64199.81</v>
      </c>
      <c r="G2882" s="25"/>
      <c r="H2882" s="25">
        <v>64199.81</v>
      </c>
      <c r="I2882" s="243">
        <v>42403</v>
      </c>
      <c r="J2882" s="38" t="s">
        <v>18071</v>
      </c>
      <c r="K2882" s="207"/>
      <c r="L2882" s="66"/>
      <c r="M2882" s="242" t="s">
        <v>15722</v>
      </c>
      <c r="N2882" s="207"/>
      <c r="O2882" s="245" t="s">
        <v>11937</v>
      </c>
    </row>
    <row r="2883" spans="1:26" ht="60" customHeight="1" x14ac:dyDescent="0.3">
      <c r="A2883" s="139">
        <v>2852</v>
      </c>
      <c r="B2883" s="242" t="s">
        <v>17276</v>
      </c>
      <c r="C2883" s="242" t="s">
        <v>17294</v>
      </c>
      <c r="D2883" s="85" t="s">
        <v>17297</v>
      </c>
      <c r="E2883" s="207">
        <v>328</v>
      </c>
      <c r="F2883" s="25">
        <v>126093.04</v>
      </c>
      <c r="G2883" s="25"/>
      <c r="H2883" s="25">
        <v>126093.04</v>
      </c>
      <c r="I2883" s="243">
        <v>42403</v>
      </c>
      <c r="J2883" s="38" t="s">
        <v>18072</v>
      </c>
      <c r="K2883" s="207"/>
      <c r="L2883" s="66"/>
      <c r="M2883" s="242" t="s">
        <v>15722</v>
      </c>
      <c r="N2883" s="207"/>
      <c r="O2883" s="245" t="s">
        <v>18044</v>
      </c>
    </row>
    <row r="2884" spans="1:26" ht="60" customHeight="1" x14ac:dyDescent="0.3">
      <c r="A2884" s="139">
        <v>2853</v>
      </c>
      <c r="B2884" s="242" t="s">
        <v>17276</v>
      </c>
      <c r="C2884" s="242" t="s">
        <v>17298</v>
      </c>
      <c r="D2884" s="85" t="s">
        <v>17299</v>
      </c>
      <c r="E2884" s="207">
        <v>811</v>
      </c>
      <c r="F2884" s="25">
        <v>407113.89</v>
      </c>
      <c r="G2884" s="25"/>
      <c r="H2884" s="25">
        <v>407113.89</v>
      </c>
      <c r="I2884" s="243">
        <v>42403</v>
      </c>
      <c r="J2884" s="38" t="s">
        <v>18073</v>
      </c>
      <c r="K2884" s="207"/>
      <c r="L2884" s="66"/>
      <c r="M2884" s="242" t="s">
        <v>15722</v>
      </c>
      <c r="N2884" s="207"/>
      <c r="O2884" s="245" t="s">
        <v>18044</v>
      </c>
    </row>
    <row r="2885" spans="1:26" ht="60" customHeight="1" x14ac:dyDescent="0.3">
      <c r="A2885" s="139">
        <v>2854</v>
      </c>
      <c r="B2885" s="242" t="s">
        <v>17276</v>
      </c>
      <c r="C2885" s="242" t="s">
        <v>17298</v>
      </c>
      <c r="D2885" s="85" t="s">
        <v>17300</v>
      </c>
      <c r="E2885" s="207">
        <v>252</v>
      </c>
      <c r="F2885" s="25">
        <v>126501.48</v>
      </c>
      <c r="G2885" s="25"/>
      <c r="H2885" s="25">
        <v>126501.48</v>
      </c>
      <c r="I2885" s="243">
        <v>42403</v>
      </c>
      <c r="J2885" s="38" t="s">
        <v>18074</v>
      </c>
      <c r="K2885" s="207"/>
      <c r="L2885" s="66"/>
      <c r="M2885" s="242" t="s">
        <v>15722</v>
      </c>
      <c r="N2885" s="207"/>
      <c r="O2885" s="245" t="s">
        <v>18044</v>
      </c>
    </row>
    <row r="2886" spans="1:26" ht="60" customHeight="1" x14ac:dyDescent="0.3">
      <c r="A2886" s="139">
        <v>2855</v>
      </c>
      <c r="B2886" s="242" t="s">
        <v>17276</v>
      </c>
      <c r="C2886" s="242" t="s">
        <v>17298</v>
      </c>
      <c r="D2886" s="85" t="s">
        <v>17301</v>
      </c>
      <c r="E2886" s="207">
        <v>691</v>
      </c>
      <c r="F2886" s="25">
        <v>346875.09</v>
      </c>
      <c r="G2886" s="25"/>
      <c r="H2886" s="25">
        <v>346875.09</v>
      </c>
      <c r="I2886" s="243">
        <v>42403</v>
      </c>
      <c r="J2886" s="38" t="s">
        <v>18075</v>
      </c>
      <c r="K2886" s="207"/>
      <c r="L2886" s="66"/>
      <c r="M2886" s="242" t="s">
        <v>15722</v>
      </c>
      <c r="N2886" s="207"/>
      <c r="O2886" s="245" t="s">
        <v>18044</v>
      </c>
    </row>
    <row r="2887" spans="1:26" ht="60" customHeight="1" x14ac:dyDescent="0.3">
      <c r="A2887" s="139">
        <v>2856</v>
      </c>
      <c r="B2887" s="242" t="s">
        <v>17276</v>
      </c>
      <c r="C2887" s="242" t="s">
        <v>17212</v>
      </c>
      <c r="D2887" s="85" t="s">
        <v>17302</v>
      </c>
      <c r="E2887" s="207">
        <v>917</v>
      </c>
      <c r="F2887" s="25">
        <v>352357.25</v>
      </c>
      <c r="G2887" s="25"/>
      <c r="H2887" s="25">
        <v>352357.25</v>
      </c>
      <c r="I2887" s="243">
        <v>42403</v>
      </c>
      <c r="J2887" s="38" t="s">
        <v>18076</v>
      </c>
      <c r="K2887" s="207"/>
      <c r="L2887" s="66"/>
      <c r="M2887" s="242" t="s">
        <v>15722</v>
      </c>
      <c r="N2887" s="207"/>
      <c r="O2887" s="245" t="s">
        <v>18044</v>
      </c>
    </row>
    <row r="2888" spans="1:26" ht="60" customHeight="1" x14ac:dyDescent="0.3">
      <c r="A2888" s="139">
        <v>2857</v>
      </c>
      <c r="B2888" s="242" t="s">
        <v>17276</v>
      </c>
      <c r="C2888" s="242" t="s">
        <v>17212</v>
      </c>
      <c r="D2888" s="85" t="s">
        <v>17303</v>
      </c>
      <c r="E2888" s="207">
        <v>309</v>
      </c>
      <c r="F2888" s="25">
        <v>118788.87</v>
      </c>
      <c r="G2888" s="25"/>
      <c r="H2888" s="25">
        <v>118788.87</v>
      </c>
      <c r="I2888" s="243">
        <v>42403</v>
      </c>
      <c r="J2888" s="38" t="s">
        <v>18077</v>
      </c>
      <c r="K2888" s="207"/>
      <c r="L2888" s="66"/>
      <c r="M2888" s="242" t="s">
        <v>15722</v>
      </c>
      <c r="N2888" s="207"/>
      <c r="O2888" s="245" t="s">
        <v>11937</v>
      </c>
    </row>
    <row r="2889" spans="1:26" ht="60" customHeight="1" x14ac:dyDescent="0.3">
      <c r="A2889" s="139">
        <v>2858</v>
      </c>
      <c r="B2889" s="242" t="s">
        <v>17276</v>
      </c>
      <c r="C2889" s="242" t="s">
        <v>17274</v>
      </c>
      <c r="D2889" s="85" t="s">
        <v>17304</v>
      </c>
      <c r="E2889" s="207">
        <v>229</v>
      </c>
      <c r="F2889" s="25">
        <v>26575.45</v>
      </c>
      <c r="G2889" s="25"/>
      <c r="H2889" s="25">
        <v>26575.45</v>
      </c>
      <c r="I2889" s="243">
        <v>42403</v>
      </c>
      <c r="J2889" s="38" t="s">
        <v>18245</v>
      </c>
      <c r="K2889" s="207"/>
      <c r="L2889" s="66"/>
      <c r="M2889" s="242" t="s">
        <v>15722</v>
      </c>
      <c r="N2889" s="207"/>
      <c r="O2889" s="245" t="s">
        <v>18044</v>
      </c>
    </row>
    <row r="2890" spans="1:26" ht="96" customHeight="1" x14ac:dyDescent="0.3">
      <c r="A2890" s="139">
        <v>2859</v>
      </c>
      <c r="B2890" s="242" t="s">
        <v>17788</v>
      </c>
      <c r="C2890" s="242" t="s">
        <v>17789</v>
      </c>
      <c r="D2890" s="85" t="s">
        <v>17787</v>
      </c>
      <c r="E2890" s="207">
        <v>9660</v>
      </c>
      <c r="F2890" s="98">
        <v>929388.6</v>
      </c>
      <c r="G2890" s="25"/>
      <c r="H2890" s="98">
        <v>929388.6</v>
      </c>
      <c r="I2890" s="243">
        <v>42403</v>
      </c>
      <c r="J2890" s="38" t="s">
        <v>18203</v>
      </c>
      <c r="K2890" s="207"/>
      <c r="L2890" s="66"/>
      <c r="M2890" s="242" t="s">
        <v>15722</v>
      </c>
      <c r="N2890" s="207"/>
      <c r="O2890" s="245" t="s">
        <v>11937</v>
      </c>
      <c r="Q2890" s="161"/>
      <c r="R2890" s="161"/>
      <c r="S2890" s="161"/>
      <c r="T2890" s="161"/>
      <c r="U2890" s="161"/>
      <c r="V2890" s="161"/>
      <c r="W2890" s="161"/>
      <c r="X2890" s="161"/>
      <c r="Y2890" s="161"/>
      <c r="Z2890" s="161"/>
    </row>
    <row r="2891" spans="1:26" s="161" customFormat="1" ht="72" customHeight="1" x14ac:dyDescent="0.3">
      <c r="A2891" s="139">
        <v>2860</v>
      </c>
      <c r="B2891" s="242" t="s">
        <v>133</v>
      </c>
      <c r="C2891" s="242" t="s">
        <v>17305</v>
      </c>
      <c r="D2891" s="60" t="s">
        <v>17306</v>
      </c>
      <c r="E2891" s="242">
        <v>1000</v>
      </c>
      <c r="F2891" s="98">
        <v>183040</v>
      </c>
      <c r="G2891" s="244"/>
      <c r="H2891" s="98">
        <v>183040</v>
      </c>
      <c r="I2891" s="243">
        <v>42696</v>
      </c>
      <c r="J2891" s="242" t="s">
        <v>17307</v>
      </c>
      <c r="K2891" s="242"/>
      <c r="L2891" s="66"/>
      <c r="M2891" s="200" t="s">
        <v>12550</v>
      </c>
      <c r="N2891" s="160"/>
      <c r="O2891" s="245" t="s">
        <v>12039</v>
      </c>
    </row>
    <row r="2892" spans="1:26" s="161" customFormat="1" ht="72" customHeight="1" x14ac:dyDescent="0.3">
      <c r="A2892" s="139">
        <v>2861</v>
      </c>
      <c r="B2892" s="242" t="s">
        <v>133</v>
      </c>
      <c r="C2892" s="242" t="s">
        <v>17308</v>
      </c>
      <c r="D2892" s="60" t="s">
        <v>17309</v>
      </c>
      <c r="E2892" s="242">
        <v>800</v>
      </c>
      <c r="F2892" s="98">
        <v>158384</v>
      </c>
      <c r="G2892" s="244"/>
      <c r="H2892" s="98">
        <v>158384</v>
      </c>
      <c r="I2892" s="243">
        <v>42640</v>
      </c>
      <c r="J2892" s="242" t="s">
        <v>17310</v>
      </c>
      <c r="K2892" s="242"/>
      <c r="L2892" s="66"/>
      <c r="M2892" s="200" t="s">
        <v>12550</v>
      </c>
      <c r="N2892" s="160"/>
      <c r="O2892" s="245" t="s">
        <v>12039</v>
      </c>
    </row>
    <row r="2893" spans="1:26" s="161" customFormat="1" ht="72" customHeight="1" x14ac:dyDescent="0.3">
      <c r="A2893" s="139">
        <v>2862</v>
      </c>
      <c r="B2893" s="242" t="s">
        <v>133</v>
      </c>
      <c r="C2893" s="242" t="s">
        <v>17311</v>
      </c>
      <c r="D2893" s="60" t="s">
        <v>17312</v>
      </c>
      <c r="E2893" s="242">
        <v>1000</v>
      </c>
      <c r="F2893" s="98">
        <v>207950</v>
      </c>
      <c r="G2893" s="244"/>
      <c r="H2893" s="98">
        <v>207950</v>
      </c>
      <c r="I2893" s="243">
        <v>42605</v>
      </c>
      <c r="J2893" s="242" t="s">
        <v>17313</v>
      </c>
      <c r="K2893" s="242"/>
      <c r="L2893" s="66"/>
      <c r="M2893" s="200" t="s">
        <v>12550</v>
      </c>
      <c r="N2893" s="160"/>
      <c r="O2893" s="245" t="s">
        <v>12039</v>
      </c>
    </row>
    <row r="2894" spans="1:26" s="161" customFormat="1" ht="96" customHeight="1" x14ac:dyDescent="0.3">
      <c r="A2894" s="139">
        <v>2863</v>
      </c>
      <c r="B2894" s="242" t="s">
        <v>17633</v>
      </c>
      <c r="C2894" s="242" t="s">
        <v>17634</v>
      </c>
      <c r="D2894" s="60" t="s">
        <v>17635</v>
      </c>
      <c r="E2894" s="242">
        <v>1949</v>
      </c>
      <c r="F2894" s="98">
        <v>273620.11</v>
      </c>
      <c r="G2894" s="244"/>
      <c r="H2894" s="98">
        <v>273620.11</v>
      </c>
      <c r="I2894" s="243">
        <v>42710</v>
      </c>
      <c r="J2894" s="242" t="s">
        <v>19278</v>
      </c>
      <c r="K2894" s="242"/>
      <c r="L2894" s="66"/>
      <c r="M2894" s="200" t="s">
        <v>12550</v>
      </c>
      <c r="N2894" s="160"/>
      <c r="O2894" s="245" t="s">
        <v>12039</v>
      </c>
    </row>
    <row r="2895" spans="1:26" s="161" customFormat="1" ht="72" customHeight="1" x14ac:dyDescent="0.3">
      <c r="A2895" s="139">
        <v>2864</v>
      </c>
      <c r="B2895" s="242" t="s">
        <v>17636</v>
      </c>
      <c r="C2895" s="242" t="s">
        <v>17637</v>
      </c>
      <c r="D2895" s="60" t="s">
        <v>17638</v>
      </c>
      <c r="E2895" s="242">
        <v>20234</v>
      </c>
      <c r="F2895" s="98">
        <v>4292440.76</v>
      </c>
      <c r="G2895" s="244"/>
      <c r="H2895" s="98">
        <v>4292440.76</v>
      </c>
      <c r="I2895" s="243">
        <v>42710</v>
      </c>
      <c r="J2895" s="242" t="s">
        <v>17639</v>
      </c>
      <c r="K2895" s="242"/>
      <c r="L2895" s="66"/>
      <c r="M2895" s="200" t="s">
        <v>12550</v>
      </c>
      <c r="N2895" s="160"/>
      <c r="O2895" s="245" t="s">
        <v>12039</v>
      </c>
    </row>
    <row r="2896" spans="1:26" s="161" customFormat="1" ht="72" customHeight="1" x14ac:dyDescent="0.3">
      <c r="A2896" s="139">
        <v>2865</v>
      </c>
      <c r="B2896" s="242" t="s">
        <v>17640</v>
      </c>
      <c r="C2896" s="242" t="s">
        <v>17641</v>
      </c>
      <c r="D2896" s="60" t="s">
        <v>17642</v>
      </c>
      <c r="E2896" s="2">
        <v>884</v>
      </c>
      <c r="F2896" s="98">
        <v>108122.04</v>
      </c>
      <c r="G2896" s="244"/>
      <c r="H2896" s="98">
        <v>108122.04</v>
      </c>
      <c r="I2896" s="243">
        <v>42710</v>
      </c>
      <c r="J2896" s="242" t="s">
        <v>17643</v>
      </c>
      <c r="K2896" s="242"/>
      <c r="L2896" s="66"/>
      <c r="M2896" s="200" t="s">
        <v>12550</v>
      </c>
      <c r="N2896" s="160"/>
      <c r="O2896" s="245" t="s">
        <v>12039</v>
      </c>
      <c r="Q2896" s="67"/>
      <c r="R2896" s="67"/>
      <c r="S2896" s="67"/>
      <c r="T2896" s="67"/>
      <c r="U2896" s="67"/>
      <c r="V2896" s="67"/>
      <c r="W2896" s="67"/>
      <c r="X2896" s="67"/>
      <c r="Y2896" s="67"/>
      <c r="Z2896" s="67"/>
    </row>
    <row r="2897" spans="1:15" ht="72" customHeight="1" x14ac:dyDescent="0.3">
      <c r="A2897" s="139">
        <v>2866</v>
      </c>
      <c r="B2897" s="242" t="s">
        <v>17644</v>
      </c>
      <c r="C2897" s="242" t="s">
        <v>15906</v>
      </c>
      <c r="D2897" s="85" t="s">
        <v>17645</v>
      </c>
      <c r="E2897" s="207">
        <v>7500</v>
      </c>
      <c r="F2897" s="25">
        <v>1041150</v>
      </c>
      <c r="G2897" s="25"/>
      <c r="H2897" s="25">
        <v>1041150</v>
      </c>
      <c r="I2897" s="243">
        <v>42403</v>
      </c>
      <c r="J2897" s="245" t="s">
        <v>18306</v>
      </c>
      <c r="K2897" s="207"/>
      <c r="L2897" s="66"/>
      <c r="M2897" s="242" t="s">
        <v>15722</v>
      </c>
      <c r="N2897" s="207"/>
      <c r="O2897" s="245" t="s">
        <v>18044</v>
      </c>
    </row>
    <row r="2898" spans="1:15" ht="60" customHeight="1" x14ac:dyDescent="0.3">
      <c r="A2898" s="139">
        <v>2867</v>
      </c>
      <c r="B2898" s="242" t="s">
        <v>17647</v>
      </c>
      <c r="C2898" s="242" t="s">
        <v>15470</v>
      </c>
      <c r="D2898" s="85" t="s">
        <v>17648</v>
      </c>
      <c r="E2898" s="207">
        <v>2100</v>
      </c>
      <c r="F2898" s="25">
        <v>391209</v>
      </c>
      <c r="G2898" s="25"/>
      <c r="H2898" s="25">
        <v>391209</v>
      </c>
      <c r="I2898" s="243">
        <v>42403</v>
      </c>
      <c r="J2898" s="245" t="s">
        <v>18307</v>
      </c>
      <c r="K2898" s="207"/>
      <c r="L2898" s="66"/>
      <c r="M2898" s="242" t="s">
        <v>15722</v>
      </c>
      <c r="N2898" s="207"/>
      <c r="O2898" s="245" t="s">
        <v>11937</v>
      </c>
    </row>
    <row r="2899" spans="1:15" ht="72" customHeight="1" x14ac:dyDescent="0.3">
      <c r="A2899" s="139">
        <v>2868</v>
      </c>
      <c r="B2899" s="242" t="s">
        <v>17649</v>
      </c>
      <c r="C2899" s="242" t="s">
        <v>17650</v>
      </c>
      <c r="D2899" s="85" t="s">
        <v>17651</v>
      </c>
      <c r="E2899" s="207">
        <v>2800</v>
      </c>
      <c r="F2899" s="25">
        <v>283024</v>
      </c>
      <c r="G2899" s="25"/>
      <c r="H2899" s="25">
        <v>283024</v>
      </c>
      <c r="I2899" s="243">
        <v>42403</v>
      </c>
      <c r="J2899" s="245" t="s">
        <v>18308</v>
      </c>
      <c r="K2899" s="207"/>
      <c r="L2899" s="66"/>
      <c r="M2899" s="242" t="s">
        <v>15722</v>
      </c>
      <c r="N2899" s="207"/>
      <c r="O2899" s="245" t="s">
        <v>11937</v>
      </c>
    </row>
    <row r="2900" spans="1:15" ht="85.2" customHeight="1" x14ac:dyDescent="0.3">
      <c r="A2900" s="139">
        <v>2869</v>
      </c>
      <c r="B2900" s="242" t="s">
        <v>17644</v>
      </c>
      <c r="C2900" s="242" t="s">
        <v>17652</v>
      </c>
      <c r="D2900" s="85" t="s">
        <v>17653</v>
      </c>
      <c r="E2900" s="207">
        <v>2530</v>
      </c>
      <c r="F2900" s="25">
        <v>279893.90000000002</v>
      </c>
      <c r="G2900" s="25"/>
      <c r="H2900" s="25">
        <v>279893.90000000002</v>
      </c>
      <c r="I2900" s="243">
        <v>42403</v>
      </c>
      <c r="J2900" s="245" t="s">
        <v>19277</v>
      </c>
      <c r="K2900" s="207"/>
      <c r="L2900" s="66"/>
      <c r="M2900" s="200" t="s">
        <v>12550</v>
      </c>
      <c r="N2900" s="207"/>
      <c r="O2900" s="245" t="s">
        <v>12039</v>
      </c>
    </row>
    <row r="2901" spans="1:15" ht="72" customHeight="1" x14ac:dyDescent="0.3">
      <c r="A2901" s="139">
        <v>2870</v>
      </c>
      <c r="B2901" s="242" t="s">
        <v>17644</v>
      </c>
      <c r="C2901" s="242" t="s">
        <v>17654</v>
      </c>
      <c r="D2901" s="85" t="s">
        <v>17655</v>
      </c>
      <c r="E2901" s="207">
        <v>5520</v>
      </c>
      <c r="F2901" s="25">
        <v>519984</v>
      </c>
      <c r="G2901" s="25"/>
      <c r="H2901" s="25">
        <v>519984</v>
      </c>
      <c r="I2901" s="243">
        <v>42403</v>
      </c>
      <c r="J2901" s="245" t="s">
        <v>18309</v>
      </c>
      <c r="K2901" s="207"/>
      <c r="L2901" s="66"/>
      <c r="M2901" s="242" t="s">
        <v>15722</v>
      </c>
      <c r="N2901" s="207"/>
      <c r="O2901" s="245" t="s">
        <v>18044</v>
      </c>
    </row>
    <row r="2902" spans="1:15" ht="72" customHeight="1" x14ac:dyDescent="0.3">
      <c r="A2902" s="139">
        <v>2871</v>
      </c>
      <c r="B2902" s="242" t="s">
        <v>17644</v>
      </c>
      <c r="C2902" s="242" t="s">
        <v>15480</v>
      </c>
      <c r="D2902" s="85" t="s">
        <v>17656</v>
      </c>
      <c r="E2902" s="207">
        <v>2130</v>
      </c>
      <c r="F2902" s="25">
        <v>215300.4</v>
      </c>
      <c r="G2902" s="25"/>
      <c r="H2902" s="25">
        <v>215300.4</v>
      </c>
      <c r="I2902" s="243">
        <v>42403</v>
      </c>
      <c r="J2902" s="245" t="s">
        <v>18310</v>
      </c>
      <c r="K2902" s="207"/>
      <c r="L2902" s="66"/>
      <c r="M2902" s="242" t="s">
        <v>15722</v>
      </c>
      <c r="N2902" s="207"/>
      <c r="O2902" s="245" t="s">
        <v>18044</v>
      </c>
    </row>
    <row r="2903" spans="1:15" ht="72" customHeight="1" x14ac:dyDescent="0.3">
      <c r="A2903" s="139">
        <v>2872</v>
      </c>
      <c r="B2903" s="242" t="s">
        <v>17644</v>
      </c>
      <c r="C2903" s="242" t="s">
        <v>17654</v>
      </c>
      <c r="D2903" s="85" t="s">
        <v>17657</v>
      </c>
      <c r="E2903" s="207">
        <v>2950</v>
      </c>
      <c r="F2903" s="25">
        <v>581032</v>
      </c>
      <c r="G2903" s="25"/>
      <c r="H2903" s="25">
        <v>581032</v>
      </c>
      <c r="I2903" s="243">
        <v>42403</v>
      </c>
      <c r="J2903" s="245" t="s">
        <v>18311</v>
      </c>
      <c r="K2903" s="207"/>
      <c r="L2903" s="66"/>
      <c r="M2903" s="242" t="s">
        <v>15722</v>
      </c>
      <c r="N2903" s="207"/>
      <c r="O2903" s="245" t="s">
        <v>11937</v>
      </c>
    </row>
    <row r="2904" spans="1:15" ht="72" customHeight="1" x14ac:dyDescent="0.3">
      <c r="A2904" s="139">
        <v>2873</v>
      </c>
      <c r="B2904" s="242" t="s">
        <v>17647</v>
      </c>
      <c r="C2904" s="242" t="s">
        <v>17658</v>
      </c>
      <c r="D2904" s="85" t="s">
        <v>17659</v>
      </c>
      <c r="E2904" s="207">
        <v>2520</v>
      </c>
      <c r="F2904" s="25">
        <v>462394.8</v>
      </c>
      <c r="G2904" s="25"/>
      <c r="H2904" s="25">
        <v>462394.8</v>
      </c>
      <c r="I2904" s="243">
        <v>42403</v>
      </c>
      <c r="J2904" s="245" t="s">
        <v>18312</v>
      </c>
      <c r="K2904" s="207"/>
      <c r="L2904" s="66"/>
      <c r="M2904" s="242" t="s">
        <v>15722</v>
      </c>
      <c r="N2904" s="207"/>
      <c r="O2904" s="245" t="s">
        <v>18044</v>
      </c>
    </row>
    <row r="2905" spans="1:15" ht="72" customHeight="1" x14ac:dyDescent="0.3">
      <c r="A2905" s="139">
        <v>2874</v>
      </c>
      <c r="B2905" s="242" t="s">
        <v>17660</v>
      </c>
      <c r="C2905" s="242" t="s">
        <v>17661</v>
      </c>
      <c r="D2905" s="85" t="s">
        <v>17662</v>
      </c>
      <c r="E2905" s="207">
        <v>4930</v>
      </c>
      <c r="F2905" s="25">
        <v>692122.7</v>
      </c>
      <c r="G2905" s="25"/>
      <c r="H2905" s="25">
        <v>692122.7</v>
      </c>
      <c r="I2905" s="243">
        <v>42403</v>
      </c>
      <c r="J2905" s="245" t="s">
        <v>18313</v>
      </c>
      <c r="K2905" s="207"/>
      <c r="L2905" s="66"/>
      <c r="M2905" s="242" t="s">
        <v>15722</v>
      </c>
      <c r="N2905" s="207"/>
      <c r="O2905" s="245" t="s">
        <v>11937</v>
      </c>
    </row>
    <row r="2906" spans="1:15" ht="60" customHeight="1" x14ac:dyDescent="0.3">
      <c r="A2906" s="139">
        <v>2875</v>
      </c>
      <c r="B2906" s="242" t="s">
        <v>17649</v>
      </c>
      <c r="C2906" s="242" t="s">
        <v>17663</v>
      </c>
      <c r="D2906" s="85" t="s">
        <v>17664</v>
      </c>
      <c r="E2906" s="207">
        <v>4000</v>
      </c>
      <c r="F2906" s="25">
        <v>959320</v>
      </c>
      <c r="G2906" s="25"/>
      <c r="H2906" s="25">
        <v>959320</v>
      </c>
      <c r="I2906" s="243">
        <v>42403</v>
      </c>
      <c r="J2906" s="245" t="s">
        <v>18314</v>
      </c>
      <c r="K2906" s="207"/>
      <c r="L2906" s="66"/>
      <c r="M2906" s="242" t="s">
        <v>15722</v>
      </c>
      <c r="N2906" s="207"/>
      <c r="O2906" s="245" t="s">
        <v>18044</v>
      </c>
    </row>
    <row r="2907" spans="1:15" ht="72" customHeight="1" x14ac:dyDescent="0.3">
      <c r="A2907" s="139">
        <v>2876</v>
      </c>
      <c r="B2907" s="242" t="s">
        <v>17647</v>
      </c>
      <c r="C2907" s="242" t="s">
        <v>17665</v>
      </c>
      <c r="D2907" s="85" t="s">
        <v>17666</v>
      </c>
      <c r="E2907" s="207">
        <v>2140</v>
      </c>
      <c r="F2907" s="25">
        <v>236748.2</v>
      </c>
      <c r="G2907" s="25"/>
      <c r="H2907" s="25">
        <v>236748.2</v>
      </c>
      <c r="I2907" s="243">
        <v>42403</v>
      </c>
      <c r="J2907" s="245" t="s">
        <v>18315</v>
      </c>
      <c r="K2907" s="207"/>
      <c r="L2907" s="66"/>
      <c r="M2907" s="242" t="s">
        <v>15722</v>
      </c>
      <c r="N2907" s="207"/>
      <c r="O2907" s="245" t="s">
        <v>18044</v>
      </c>
    </row>
    <row r="2908" spans="1:15" ht="84" customHeight="1" x14ac:dyDescent="0.3">
      <c r="A2908" s="139">
        <v>2877</v>
      </c>
      <c r="B2908" s="242" t="s">
        <v>17649</v>
      </c>
      <c r="C2908" s="242" t="s">
        <v>17667</v>
      </c>
      <c r="D2908" s="85" t="s">
        <v>17668</v>
      </c>
      <c r="E2908" s="207">
        <v>2610</v>
      </c>
      <c r="F2908" s="25">
        <v>478908.9</v>
      </c>
      <c r="G2908" s="25"/>
      <c r="H2908" s="25">
        <v>478908.9</v>
      </c>
      <c r="I2908" s="243">
        <v>42403</v>
      </c>
      <c r="J2908" s="245" t="s">
        <v>18316</v>
      </c>
      <c r="K2908" s="207"/>
      <c r="L2908" s="66"/>
      <c r="M2908" s="242" t="s">
        <v>15722</v>
      </c>
      <c r="N2908" s="207"/>
      <c r="O2908" s="245" t="s">
        <v>18044</v>
      </c>
    </row>
    <row r="2909" spans="1:15" ht="72" customHeight="1" x14ac:dyDescent="0.3">
      <c r="A2909" s="139">
        <v>2878</v>
      </c>
      <c r="B2909" s="242" t="s">
        <v>17647</v>
      </c>
      <c r="C2909" s="242" t="s">
        <v>17669</v>
      </c>
      <c r="D2909" s="85" t="s">
        <v>17670</v>
      </c>
      <c r="E2909" s="207">
        <v>6780</v>
      </c>
      <c r="F2909" s="25">
        <v>1244062.2</v>
      </c>
      <c r="G2909" s="25"/>
      <c r="H2909" s="25">
        <v>1244062.2</v>
      </c>
      <c r="I2909" s="243">
        <v>42403</v>
      </c>
      <c r="J2909" s="245" t="s">
        <v>18317</v>
      </c>
      <c r="K2909" s="207"/>
      <c r="L2909" s="66"/>
      <c r="M2909" s="242" t="s">
        <v>15722</v>
      </c>
      <c r="N2909" s="207"/>
      <c r="O2909" s="245" t="s">
        <v>11937</v>
      </c>
    </row>
    <row r="2910" spans="1:15" ht="72" customHeight="1" x14ac:dyDescent="0.3">
      <c r="A2910" s="139">
        <v>2879</v>
      </c>
      <c r="B2910" s="242" t="s">
        <v>17644</v>
      </c>
      <c r="C2910" s="242" t="s">
        <v>15906</v>
      </c>
      <c r="D2910" s="85" t="s">
        <v>17671</v>
      </c>
      <c r="E2910" s="207">
        <v>8368</v>
      </c>
      <c r="F2910" s="25">
        <v>1161645.76</v>
      </c>
      <c r="G2910" s="25"/>
      <c r="H2910" s="25">
        <v>1161645.76</v>
      </c>
      <c r="I2910" s="243">
        <v>42403</v>
      </c>
      <c r="J2910" s="245" t="s">
        <v>18318</v>
      </c>
      <c r="K2910" s="207"/>
      <c r="L2910" s="66"/>
      <c r="M2910" s="242" t="s">
        <v>15722</v>
      </c>
      <c r="N2910" s="207"/>
      <c r="O2910" s="245" t="s">
        <v>11937</v>
      </c>
    </row>
    <row r="2911" spans="1:15" ht="72" customHeight="1" x14ac:dyDescent="0.3">
      <c r="A2911" s="139">
        <v>2880</v>
      </c>
      <c r="B2911" s="242" t="s">
        <v>17644</v>
      </c>
      <c r="C2911" s="242" t="s">
        <v>17672</v>
      </c>
      <c r="D2911" s="85" t="s">
        <v>17673</v>
      </c>
      <c r="E2911" s="207">
        <v>2000</v>
      </c>
      <c r="F2911" s="25">
        <v>221260</v>
      </c>
      <c r="G2911" s="25"/>
      <c r="H2911" s="25">
        <v>221260</v>
      </c>
      <c r="I2911" s="243">
        <v>42403</v>
      </c>
      <c r="J2911" s="245" t="s">
        <v>18319</v>
      </c>
      <c r="K2911" s="207"/>
      <c r="L2911" s="66"/>
      <c r="M2911" s="242" t="s">
        <v>15722</v>
      </c>
      <c r="N2911" s="207"/>
      <c r="O2911" s="245" t="s">
        <v>18044</v>
      </c>
    </row>
    <row r="2912" spans="1:15" ht="72" customHeight="1" x14ac:dyDescent="0.3">
      <c r="A2912" s="139">
        <v>2881</v>
      </c>
      <c r="B2912" s="242" t="s">
        <v>17644</v>
      </c>
      <c r="C2912" s="242" t="s">
        <v>15906</v>
      </c>
      <c r="D2912" s="85" t="s">
        <v>17674</v>
      </c>
      <c r="E2912" s="207">
        <v>2262</v>
      </c>
      <c r="F2912" s="25">
        <v>314010.84000000003</v>
      </c>
      <c r="G2912" s="25"/>
      <c r="H2912" s="25">
        <v>314010.84000000003</v>
      </c>
      <c r="I2912" s="243">
        <v>42403</v>
      </c>
      <c r="J2912" s="245" t="s">
        <v>18320</v>
      </c>
      <c r="K2912" s="207"/>
      <c r="L2912" s="66"/>
      <c r="M2912" s="242" t="s">
        <v>15722</v>
      </c>
      <c r="N2912" s="207"/>
      <c r="O2912" s="245" t="s">
        <v>11937</v>
      </c>
    </row>
    <row r="2913" spans="1:15" ht="72" customHeight="1" x14ac:dyDescent="0.3">
      <c r="A2913" s="139">
        <v>2882</v>
      </c>
      <c r="B2913" s="242" t="s">
        <v>17647</v>
      </c>
      <c r="C2913" s="242" t="s">
        <v>17675</v>
      </c>
      <c r="D2913" s="85" t="s">
        <v>17676</v>
      </c>
      <c r="E2913" s="207">
        <v>1758</v>
      </c>
      <c r="F2913" s="25">
        <v>322575.42</v>
      </c>
      <c r="G2913" s="25"/>
      <c r="H2913" s="25">
        <v>322575.42</v>
      </c>
      <c r="I2913" s="243">
        <v>42403</v>
      </c>
      <c r="J2913" s="245" t="s">
        <v>18321</v>
      </c>
      <c r="K2913" s="207"/>
      <c r="L2913" s="66"/>
      <c r="M2913" s="242" t="s">
        <v>15722</v>
      </c>
      <c r="N2913" s="207"/>
      <c r="O2913" s="245" t="s">
        <v>18044</v>
      </c>
    </row>
    <row r="2914" spans="1:15" ht="72" customHeight="1" x14ac:dyDescent="0.3">
      <c r="A2914" s="139">
        <v>2883</v>
      </c>
      <c r="B2914" s="242" t="s">
        <v>17647</v>
      </c>
      <c r="C2914" s="242" t="s">
        <v>17675</v>
      </c>
      <c r="D2914" s="85" t="s">
        <v>17677</v>
      </c>
      <c r="E2914" s="207">
        <v>1026</v>
      </c>
      <c r="F2914" s="25">
        <v>188260.74</v>
      </c>
      <c r="G2914" s="25"/>
      <c r="H2914" s="25">
        <v>188260.74</v>
      </c>
      <c r="I2914" s="243">
        <v>42403</v>
      </c>
      <c r="J2914" s="245" t="s">
        <v>18322</v>
      </c>
      <c r="K2914" s="207"/>
      <c r="L2914" s="66"/>
      <c r="M2914" s="242" t="s">
        <v>15722</v>
      </c>
      <c r="N2914" s="207"/>
      <c r="O2914" s="245" t="s">
        <v>18044</v>
      </c>
    </row>
    <row r="2915" spans="1:15" ht="72" customHeight="1" x14ac:dyDescent="0.3">
      <c r="A2915" s="139">
        <v>2884</v>
      </c>
      <c r="B2915" s="242" t="s">
        <v>17649</v>
      </c>
      <c r="C2915" s="242" t="s">
        <v>17678</v>
      </c>
      <c r="D2915" s="85" t="s">
        <v>18323</v>
      </c>
      <c r="E2915" s="207">
        <v>2240</v>
      </c>
      <c r="F2915" s="25">
        <v>411017.6</v>
      </c>
      <c r="G2915" s="25"/>
      <c r="H2915" s="25">
        <v>411017.6</v>
      </c>
      <c r="I2915" s="243">
        <v>42403</v>
      </c>
      <c r="J2915" s="245" t="s">
        <v>18324</v>
      </c>
      <c r="K2915" s="207"/>
      <c r="L2915" s="66"/>
      <c r="M2915" s="242" t="s">
        <v>15722</v>
      </c>
      <c r="N2915" s="207"/>
      <c r="O2915" s="245" t="s">
        <v>18044</v>
      </c>
    </row>
    <row r="2916" spans="1:15" ht="72" customHeight="1" x14ac:dyDescent="0.3">
      <c r="A2916" s="139">
        <v>2885</v>
      </c>
      <c r="B2916" s="242" t="s">
        <v>17647</v>
      </c>
      <c r="C2916" s="242" t="s">
        <v>17679</v>
      </c>
      <c r="D2916" s="85" t="s">
        <v>17680</v>
      </c>
      <c r="E2916" s="207">
        <v>3610</v>
      </c>
      <c r="F2916" s="25">
        <v>206347.6</v>
      </c>
      <c r="G2916" s="25"/>
      <c r="H2916" s="25">
        <v>206347.6</v>
      </c>
      <c r="I2916" s="243">
        <v>42403</v>
      </c>
      <c r="J2916" s="245" t="s">
        <v>18325</v>
      </c>
      <c r="K2916" s="207"/>
      <c r="L2916" s="66"/>
      <c r="M2916" s="242" t="s">
        <v>15722</v>
      </c>
      <c r="N2916" s="207"/>
      <c r="O2916" s="245" t="s">
        <v>18044</v>
      </c>
    </row>
    <row r="2917" spans="1:15" ht="72" customHeight="1" x14ac:dyDescent="0.3">
      <c r="A2917" s="139">
        <v>2886</v>
      </c>
      <c r="B2917" s="242" t="s">
        <v>17647</v>
      </c>
      <c r="C2917" s="242" t="s">
        <v>17681</v>
      </c>
      <c r="D2917" s="85" t="s">
        <v>17682</v>
      </c>
      <c r="E2917" s="207">
        <v>4420</v>
      </c>
      <c r="F2917" s="25">
        <v>688415</v>
      </c>
      <c r="G2917" s="25"/>
      <c r="H2917" s="25">
        <v>688415</v>
      </c>
      <c r="I2917" s="243">
        <v>42403</v>
      </c>
      <c r="J2917" s="245" t="s">
        <v>18326</v>
      </c>
      <c r="K2917" s="207"/>
      <c r="L2917" s="66"/>
      <c r="M2917" s="242" t="s">
        <v>15722</v>
      </c>
      <c r="N2917" s="207"/>
      <c r="O2917" s="245" t="s">
        <v>11937</v>
      </c>
    </row>
    <row r="2918" spans="1:15" ht="72" customHeight="1" x14ac:dyDescent="0.3">
      <c r="A2918" s="139">
        <v>2887</v>
      </c>
      <c r="B2918" s="242" t="s">
        <v>17647</v>
      </c>
      <c r="C2918" s="242" t="s">
        <v>17683</v>
      </c>
      <c r="D2918" s="85" t="s">
        <v>17684</v>
      </c>
      <c r="E2918" s="207">
        <v>4540</v>
      </c>
      <c r="F2918" s="25">
        <v>833044.6</v>
      </c>
      <c r="G2918" s="25"/>
      <c r="H2918" s="25">
        <v>833044.6</v>
      </c>
      <c r="I2918" s="243">
        <v>42403</v>
      </c>
      <c r="J2918" s="245" t="s">
        <v>18327</v>
      </c>
      <c r="K2918" s="207"/>
      <c r="L2918" s="66"/>
      <c r="M2918" s="242" t="s">
        <v>15722</v>
      </c>
      <c r="N2918" s="207"/>
      <c r="O2918" s="245" t="s">
        <v>11937</v>
      </c>
    </row>
    <row r="2919" spans="1:15" ht="72" customHeight="1" x14ac:dyDescent="0.3">
      <c r="A2919" s="139">
        <v>2888</v>
      </c>
      <c r="B2919" s="242" t="s">
        <v>17644</v>
      </c>
      <c r="C2919" s="242" t="s">
        <v>15492</v>
      </c>
      <c r="D2919" s="85" t="s">
        <v>17685</v>
      </c>
      <c r="E2919" s="207">
        <v>2989</v>
      </c>
      <c r="F2919" s="25">
        <v>548451.61</v>
      </c>
      <c r="G2919" s="25"/>
      <c r="H2919" s="25">
        <v>548451.61</v>
      </c>
      <c r="I2919" s="243">
        <v>42403</v>
      </c>
      <c r="J2919" s="245" t="s">
        <v>18328</v>
      </c>
      <c r="K2919" s="207"/>
      <c r="L2919" s="245"/>
      <c r="M2919" s="242" t="s">
        <v>15722</v>
      </c>
      <c r="N2919" s="207"/>
      <c r="O2919" s="245" t="s">
        <v>18044</v>
      </c>
    </row>
    <row r="2920" spans="1:15" ht="72" customHeight="1" x14ac:dyDescent="0.3">
      <c r="A2920" s="139">
        <v>2889</v>
      </c>
      <c r="B2920" s="242" t="s">
        <v>17644</v>
      </c>
      <c r="C2920" s="242" t="s">
        <v>15492</v>
      </c>
      <c r="D2920" s="85" t="s">
        <v>17686</v>
      </c>
      <c r="E2920" s="207">
        <v>1784</v>
      </c>
      <c r="F2920" s="25">
        <v>327346.15999999997</v>
      </c>
      <c r="G2920" s="25"/>
      <c r="H2920" s="25">
        <v>327346.15999999997</v>
      </c>
      <c r="I2920" s="243">
        <v>42403</v>
      </c>
      <c r="J2920" s="245" t="s">
        <v>18329</v>
      </c>
      <c r="K2920" s="207"/>
      <c r="L2920" s="66"/>
      <c r="M2920" s="242" t="s">
        <v>15722</v>
      </c>
      <c r="N2920" s="207"/>
      <c r="O2920" s="245" t="s">
        <v>18044</v>
      </c>
    </row>
    <row r="2921" spans="1:15" ht="72" customHeight="1" x14ac:dyDescent="0.3">
      <c r="A2921" s="139">
        <v>2890</v>
      </c>
      <c r="B2921" s="242" t="s">
        <v>17644</v>
      </c>
      <c r="C2921" s="242" t="s">
        <v>15883</v>
      </c>
      <c r="D2921" s="85" t="s">
        <v>17687</v>
      </c>
      <c r="E2921" s="207">
        <v>9239</v>
      </c>
      <c r="F2921" s="25">
        <v>1022110.57</v>
      </c>
      <c r="G2921" s="25"/>
      <c r="H2921" s="25">
        <v>1022110.57</v>
      </c>
      <c r="I2921" s="243">
        <v>42403</v>
      </c>
      <c r="J2921" s="245" t="s">
        <v>18330</v>
      </c>
      <c r="K2921" s="207"/>
      <c r="L2921" s="66"/>
      <c r="M2921" s="242" t="s">
        <v>15722</v>
      </c>
      <c r="N2921" s="207"/>
      <c r="O2921" s="245" t="s">
        <v>11937</v>
      </c>
    </row>
    <row r="2922" spans="1:15" ht="72" customHeight="1" x14ac:dyDescent="0.3">
      <c r="A2922" s="139">
        <v>2891</v>
      </c>
      <c r="B2922" s="242" t="s">
        <v>17644</v>
      </c>
      <c r="C2922" s="242" t="s">
        <v>15883</v>
      </c>
      <c r="D2922" s="85" t="s">
        <v>17688</v>
      </c>
      <c r="E2922" s="207">
        <v>988</v>
      </c>
      <c r="F2922" s="25">
        <v>236952.04</v>
      </c>
      <c r="G2922" s="25"/>
      <c r="H2922" s="25">
        <v>236952.04</v>
      </c>
      <c r="I2922" s="243">
        <v>42403</v>
      </c>
      <c r="J2922" s="245" t="s">
        <v>18331</v>
      </c>
      <c r="K2922" s="207"/>
      <c r="L2922" s="66"/>
      <c r="M2922" s="242" t="s">
        <v>15722</v>
      </c>
      <c r="N2922" s="207"/>
      <c r="O2922" s="245" t="s">
        <v>18044</v>
      </c>
    </row>
    <row r="2923" spans="1:15" ht="60" customHeight="1" x14ac:dyDescent="0.3">
      <c r="A2923" s="139">
        <v>2892</v>
      </c>
      <c r="B2923" s="242" t="s">
        <v>17689</v>
      </c>
      <c r="C2923" s="242" t="s">
        <v>17690</v>
      </c>
      <c r="D2923" s="85" t="s">
        <v>17691</v>
      </c>
      <c r="E2923" s="207">
        <v>15488</v>
      </c>
      <c r="F2923" s="25">
        <v>2841893.12</v>
      </c>
      <c r="G2923" s="25"/>
      <c r="H2923" s="25">
        <v>2841893.12</v>
      </c>
      <c r="I2923" s="243">
        <v>42403</v>
      </c>
      <c r="J2923" s="245" t="s">
        <v>18332</v>
      </c>
      <c r="K2923" s="207"/>
      <c r="L2923" s="66"/>
      <c r="M2923" s="242" t="s">
        <v>15722</v>
      </c>
      <c r="N2923" s="207"/>
      <c r="O2923" s="245" t="s">
        <v>18044</v>
      </c>
    </row>
    <row r="2924" spans="1:15" ht="72" customHeight="1" x14ac:dyDescent="0.3">
      <c r="A2924" s="139">
        <v>2893</v>
      </c>
      <c r="B2924" s="242" t="s">
        <v>17644</v>
      </c>
      <c r="C2924" s="242" t="s">
        <v>15853</v>
      </c>
      <c r="D2924" s="85" t="s">
        <v>17692</v>
      </c>
      <c r="E2924" s="207">
        <v>1295</v>
      </c>
      <c r="F2924" s="25">
        <v>237619.55</v>
      </c>
      <c r="G2924" s="25"/>
      <c r="H2924" s="25">
        <v>237619.55</v>
      </c>
      <c r="I2924" s="243">
        <v>42403</v>
      </c>
      <c r="J2924" s="245" t="s">
        <v>18333</v>
      </c>
      <c r="K2924" s="207"/>
      <c r="L2924" s="66"/>
      <c r="M2924" s="242" t="s">
        <v>15722</v>
      </c>
      <c r="N2924" s="207"/>
      <c r="O2924" s="245" t="s">
        <v>18044</v>
      </c>
    </row>
    <row r="2925" spans="1:15" ht="72" customHeight="1" x14ac:dyDescent="0.3">
      <c r="A2925" s="139">
        <v>2894</v>
      </c>
      <c r="B2925" s="242" t="s">
        <v>17644</v>
      </c>
      <c r="C2925" s="242" t="s">
        <v>15492</v>
      </c>
      <c r="D2925" s="85" t="s">
        <v>17693</v>
      </c>
      <c r="E2925" s="207">
        <v>4660</v>
      </c>
      <c r="F2925" s="25">
        <v>855063.4</v>
      </c>
      <c r="G2925" s="25"/>
      <c r="H2925" s="25">
        <v>855063.4</v>
      </c>
      <c r="I2925" s="243">
        <v>42403</v>
      </c>
      <c r="J2925" s="245" t="s">
        <v>19276</v>
      </c>
      <c r="K2925" s="207"/>
      <c r="L2925" s="66"/>
      <c r="M2925" s="200" t="s">
        <v>12550</v>
      </c>
      <c r="N2925" s="207"/>
      <c r="O2925" s="245" t="s">
        <v>12039</v>
      </c>
    </row>
    <row r="2926" spans="1:15" ht="72" customHeight="1" x14ac:dyDescent="0.3">
      <c r="A2926" s="139">
        <v>2895</v>
      </c>
      <c r="B2926" s="242" t="s">
        <v>17644</v>
      </c>
      <c r="C2926" s="242" t="s">
        <v>15492</v>
      </c>
      <c r="D2926" s="85" t="s">
        <v>17694</v>
      </c>
      <c r="E2926" s="207">
        <v>1800</v>
      </c>
      <c r="F2926" s="25">
        <v>330282</v>
      </c>
      <c r="G2926" s="25"/>
      <c r="H2926" s="25">
        <v>330282</v>
      </c>
      <c r="I2926" s="243">
        <v>42403</v>
      </c>
      <c r="J2926" s="245" t="s">
        <v>18334</v>
      </c>
      <c r="K2926" s="207"/>
      <c r="L2926" s="66"/>
      <c r="M2926" s="242" t="s">
        <v>15722</v>
      </c>
      <c r="N2926" s="207"/>
      <c r="O2926" s="245" t="s">
        <v>18044</v>
      </c>
    </row>
    <row r="2927" spans="1:15" ht="72" customHeight="1" x14ac:dyDescent="0.3">
      <c r="A2927" s="139">
        <v>2896</v>
      </c>
      <c r="B2927" s="242" t="s">
        <v>17695</v>
      </c>
      <c r="C2927" s="242" t="s">
        <v>17696</v>
      </c>
      <c r="D2927" s="85" t="s">
        <v>17697</v>
      </c>
      <c r="E2927" s="207">
        <v>315</v>
      </c>
      <c r="F2927" s="25">
        <v>75814.2</v>
      </c>
      <c r="G2927" s="25"/>
      <c r="H2927" s="25">
        <v>75814.2</v>
      </c>
      <c r="I2927" s="243">
        <v>42403</v>
      </c>
      <c r="J2927" s="245" t="s">
        <v>18335</v>
      </c>
      <c r="K2927" s="26">
        <v>43216</v>
      </c>
      <c r="L2927" s="66" t="s">
        <v>22583</v>
      </c>
      <c r="M2927" s="242" t="s">
        <v>15722</v>
      </c>
      <c r="N2927" s="207"/>
      <c r="O2927" s="245" t="s">
        <v>22584</v>
      </c>
    </row>
    <row r="2928" spans="1:15" ht="72" customHeight="1" x14ac:dyDescent="0.3">
      <c r="A2928" s="139">
        <v>2897</v>
      </c>
      <c r="B2928" s="242" t="s">
        <v>17698</v>
      </c>
      <c r="C2928" s="242" t="s">
        <v>17699</v>
      </c>
      <c r="D2928" s="85" t="s">
        <v>17700</v>
      </c>
      <c r="E2928" s="207">
        <v>640</v>
      </c>
      <c r="F2928" s="25">
        <v>105600</v>
      </c>
      <c r="G2928" s="25"/>
      <c r="H2928" s="25">
        <v>105600</v>
      </c>
      <c r="I2928" s="243">
        <v>42403</v>
      </c>
      <c r="J2928" s="245" t="s">
        <v>18336</v>
      </c>
      <c r="K2928" s="207"/>
      <c r="L2928" s="66"/>
      <c r="M2928" s="242" t="s">
        <v>15722</v>
      </c>
      <c r="N2928" s="207"/>
      <c r="O2928" s="245" t="s">
        <v>18044</v>
      </c>
    </row>
    <row r="2929" spans="1:15" ht="72" customHeight="1" x14ac:dyDescent="0.3">
      <c r="A2929" s="139">
        <v>2898</v>
      </c>
      <c r="B2929" s="242" t="s">
        <v>17698</v>
      </c>
      <c r="C2929" s="242" t="s">
        <v>15856</v>
      </c>
      <c r="D2929" s="85" t="s">
        <v>17701</v>
      </c>
      <c r="E2929" s="207">
        <v>780</v>
      </c>
      <c r="F2929" s="25">
        <v>121485</v>
      </c>
      <c r="G2929" s="25"/>
      <c r="H2929" s="25">
        <v>121485</v>
      </c>
      <c r="I2929" s="243">
        <v>42403</v>
      </c>
      <c r="J2929" s="245" t="s">
        <v>18337</v>
      </c>
      <c r="K2929" s="207"/>
      <c r="L2929" s="66"/>
      <c r="M2929" s="242" t="s">
        <v>15722</v>
      </c>
      <c r="N2929" s="207"/>
      <c r="O2929" s="245" t="s">
        <v>18044</v>
      </c>
    </row>
    <row r="2930" spans="1:15" ht="84" customHeight="1" x14ac:dyDescent="0.3">
      <c r="A2930" s="139">
        <v>2899</v>
      </c>
      <c r="B2930" s="242" t="s">
        <v>17702</v>
      </c>
      <c r="C2930" s="242" t="s">
        <v>15883</v>
      </c>
      <c r="D2930" s="85" t="s">
        <v>17703</v>
      </c>
      <c r="E2930" s="207">
        <v>644</v>
      </c>
      <c r="F2930" s="25">
        <v>550768.12</v>
      </c>
      <c r="G2930" s="25"/>
      <c r="H2930" s="25">
        <v>550768.12</v>
      </c>
      <c r="I2930" s="243">
        <v>42403</v>
      </c>
      <c r="J2930" s="245" t="s">
        <v>18300</v>
      </c>
      <c r="K2930" s="207"/>
      <c r="L2930" s="66"/>
      <c r="M2930" s="242" t="s">
        <v>15722</v>
      </c>
      <c r="N2930" s="207"/>
      <c r="O2930" s="245" t="s">
        <v>11937</v>
      </c>
    </row>
    <row r="2931" spans="1:15" ht="72" customHeight="1" x14ac:dyDescent="0.3">
      <c r="A2931" s="139">
        <v>2900</v>
      </c>
      <c r="B2931" s="242" t="s">
        <v>17704</v>
      </c>
      <c r="C2931" s="242" t="s">
        <v>15883</v>
      </c>
      <c r="D2931" s="85" t="s">
        <v>17705</v>
      </c>
      <c r="E2931" s="207">
        <v>258</v>
      </c>
      <c r="F2931" s="25">
        <v>28542.54</v>
      </c>
      <c r="G2931" s="25"/>
      <c r="H2931" s="25">
        <v>28542.54</v>
      </c>
      <c r="I2931" s="243">
        <v>42403</v>
      </c>
      <c r="J2931" s="245" t="s">
        <v>18301</v>
      </c>
      <c r="K2931" s="207"/>
      <c r="L2931" s="66"/>
      <c r="M2931" s="242" t="s">
        <v>15722</v>
      </c>
      <c r="N2931" s="207"/>
      <c r="O2931" s="245" t="s">
        <v>11937</v>
      </c>
    </row>
    <row r="2932" spans="1:15" ht="88.2" customHeight="1" x14ac:dyDescent="0.3">
      <c r="A2932" s="139">
        <v>2901</v>
      </c>
      <c r="B2932" s="242" t="s">
        <v>17706</v>
      </c>
      <c r="C2932" s="242" t="s">
        <v>15883</v>
      </c>
      <c r="D2932" s="85" t="s">
        <v>17707</v>
      </c>
      <c r="E2932" s="207">
        <v>157</v>
      </c>
      <c r="F2932" s="25">
        <v>942</v>
      </c>
      <c r="G2932" s="25"/>
      <c r="H2932" s="25">
        <v>942</v>
      </c>
      <c r="I2932" s="243">
        <v>42403</v>
      </c>
      <c r="J2932" s="245" t="s">
        <v>18302</v>
      </c>
      <c r="K2932" s="207"/>
      <c r="L2932" s="66"/>
      <c r="M2932" s="242" t="s">
        <v>15722</v>
      </c>
      <c r="N2932" s="207"/>
      <c r="O2932" s="66" t="s">
        <v>18044</v>
      </c>
    </row>
    <row r="2933" spans="1:15" ht="72" customHeight="1" x14ac:dyDescent="0.3">
      <c r="A2933" s="139">
        <v>2902</v>
      </c>
      <c r="B2933" s="242" t="s">
        <v>17708</v>
      </c>
      <c r="C2933" s="242" t="s">
        <v>17654</v>
      </c>
      <c r="D2933" s="85" t="s">
        <v>17709</v>
      </c>
      <c r="E2933" s="207">
        <v>260</v>
      </c>
      <c r="F2933" s="25">
        <v>51209.599999999999</v>
      </c>
      <c r="G2933" s="25"/>
      <c r="H2933" s="25">
        <v>51209.599999999999</v>
      </c>
      <c r="I2933" s="243">
        <v>42403</v>
      </c>
      <c r="J2933" s="245" t="s">
        <v>18303</v>
      </c>
      <c r="K2933" s="207"/>
      <c r="L2933" s="66"/>
      <c r="M2933" s="242" t="s">
        <v>15722</v>
      </c>
      <c r="N2933" s="207"/>
      <c r="O2933" s="66" t="s">
        <v>18044</v>
      </c>
    </row>
    <row r="2934" spans="1:15" ht="72" customHeight="1" x14ac:dyDescent="0.3">
      <c r="A2934" s="139">
        <v>2903</v>
      </c>
      <c r="B2934" s="242" t="s">
        <v>17708</v>
      </c>
      <c r="C2934" s="242" t="s">
        <v>15492</v>
      </c>
      <c r="D2934" s="85" t="s">
        <v>17710</v>
      </c>
      <c r="E2934" s="207">
        <v>768</v>
      </c>
      <c r="F2934" s="25">
        <v>140920.32000000001</v>
      </c>
      <c r="G2934" s="25"/>
      <c r="H2934" s="25">
        <v>140920.32000000001</v>
      </c>
      <c r="I2934" s="243">
        <v>42403</v>
      </c>
      <c r="J2934" s="245" t="s">
        <v>18304</v>
      </c>
      <c r="K2934" s="207"/>
      <c r="L2934" s="66"/>
      <c r="M2934" s="242" t="s">
        <v>15722</v>
      </c>
      <c r="N2934" s="207"/>
      <c r="O2934" s="66" t="s">
        <v>11937</v>
      </c>
    </row>
    <row r="2935" spans="1:15" ht="72" customHeight="1" x14ac:dyDescent="0.3">
      <c r="A2935" s="139">
        <v>2904</v>
      </c>
      <c r="B2935" s="242" t="s">
        <v>17711</v>
      </c>
      <c r="C2935" s="242" t="s">
        <v>16533</v>
      </c>
      <c r="D2935" s="85" t="s">
        <v>17712</v>
      </c>
      <c r="E2935" s="207">
        <v>5</v>
      </c>
      <c r="F2935" s="25">
        <v>577.6</v>
      </c>
      <c r="G2935" s="25"/>
      <c r="H2935" s="25">
        <v>577.6</v>
      </c>
      <c r="I2935" s="243">
        <v>42403</v>
      </c>
      <c r="J2935" s="245" t="s">
        <v>18305</v>
      </c>
      <c r="K2935" s="207"/>
      <c r="L2935" s="66"/>
      <c r="M2935" s="242" t="s">
        <v>15722</v>
      </c>
      <c r="N2935" s="207"/>
      <c r="O2935" s="66" t="s">
        <v>18044</v>
      </c>
    </row>
    <row r="2936" spans="1:15" ht="72" customHeight="1" x14ac:dyDescent="0.3">
      <c r="A2936" s="139">
        <v>2905</v>
      </c>
      <c r="B2936" s="242" t="s">
        <v>17713</v>
      </c>
      <c r="C2936" s="242" t="s">
        <v>15822</v>
      </c>
      <c r="D2936" s="85" t="s">
        <v>17714</v>
      </c>
      <c r="E2936" s="207">
        <v>1298</v>
      </c>
      <c r="F2936" s="25">
        <v>238170.02</v>
      </c>
      <c r="G2936" s="25"/>
      <c r="H2936" s="25">
        <v>238170.02</v>
      </c>
      <c r="I2936" s="243">
        <v>42403</v>
      </c>
      <c r="J2936" s="245" t="s">
        <v>18290</v>
      </c>
      <c r="K2936" s="207"/>
      <c r="L2936" s="66"/>
      <c r="M2936" s="242" t="s">
        <v>15722</v>
      </c>
      <c r="N2936" s="207"/>
      <c r="O2936" s="66" t="s">
        <v>18044</v>
      </c>
    </row>
    <row r="2937" spans="1:15" ht="72" customHeight="1" x14ac:dyDescent="0.3">
      <c r="A2937" s="139">
        <v>2906</v>
      </c>
      <c r="B2937" s="242" t="s">
        <v>17715</v>
      </c>
      <c r="C2937" s="242" t="s">
        <v>15883</v>
      </c>
      <c r="D2937" s="85" t="s">
        <v>17716</v>
      </c>
      <c r="E2937" s="207">
        <v>3770</v>
      </c>
      <c r="F2937" s="25">
        <v>523351.4</v>
      </c>
      <c r="G2937" s="25"/>
      <c r="H2937" s="25">
        <v>523351.4</v>
      </c>
      <c r="I2937" s="243">
        <v>42403</v>
      </c>
      <c r="J2937" s="245" t="s">
        <v>18295</v>
      </c>
      <c r="K2937" s="207"/>
      <c r="L2937" s="66"/>
      <c r="M2937" s="242" t="s">
        <v>15722</v>
      </c>
      <c r="N2937" s="207"/>
      <c r="O2937" s="245" t="s">
        <v>18044</v>
      </c>
    </row>
    <row r="2938" spans="1:15" ht="72" customHeight="1" x14ac:dyDescent="0.3">
      <c r="A2938" s="139">
        <v>2907</v>
      </c>
      <c r="B2938" s="242" t="s">
        <v>17717</v>
      </c>
      <c r="C2938" s="242" t="s">
        <v>17718</v>
      </c>
      <c r="D2938" s="85" t="s">
        <v>17719</v>
      </c>
      <c r="E2938" s="207">
        <v>1900</v>
      </c>
      <c r="F2938" s="25">
        <v>192052</v>
      </c>
      <c r="G2938" s="25"/>
      <c r="H2938" s="25">
        <v>192052</v>
      </c>
      <c r="I2938" s="243">
        <v>42403</v>
      </c>
      <c r="J2938" s="245" t="s">
        <v>18296</v>
      </c>
      <c r="K2938" s="207"/>
      <c r="L2938" s="66"/>
      <c r="M2938" s="242" t="s">
        <v>15722</v>
      </c>
      <c r="N2938" s="207"/>
      <c r="O2938" s="245" t="s">
        <v>18044</v>
      </c>
    </row>
    <row r="2939" spans="1:15" ht="72" customHeight="1" x14ac:dyDescent="0.3">
      <c r="A2939" s="139">
        <v>2908</v>
      </c>
      <c r="B2939" s="242" t="s">
        <v>17720</v>
      </c>
      <c r="C2939" s="242" t="s">
        <v>17721</v>
      </c>
      <c r="D2939" s="85" t="s">
        <v>17722</v>
      </c>
      <c r="E2939" s="207">
        <v>5717</v>
      </c>
      <c r="F2939" s="25">
        <v>1049012.33</v>
      </c>
      <c r="G2939" s="25"/>
      <c r="H2939" s="25">
        <v>1049012.33</v>
      </c>
      <c r="I2939" s="243">
        <v>42403</v>
      </c>
      <c r="J2939" s="245" t="s">
        <v>12548</v>
      </c>
      <c r="K2939" s="207"/>
      <c r="L2939" s="66"/>
      <c r="M2939" s="200" t="s">
        <v>12550</v>
      </c>
      <c r="N2939" s="207"/>
      <c r="O2939" s="66" t="s">
        <v>17646</v>
      </c>
    </row>
    <row r="2940" spans="1:15" ht="60" customHeight="1" x14ac:dyDescent="0.3">
      <c r="A2940" s="139">
        <v>2909</v>
      </c>
      <c r="B2940" s="242" t="s">
        <v>17720</v>
      </c>
      <c r="C2940" s="242" t="s">
        <v>15866</v>
      </c>
      <c r="D2940" s="85" t="s">
        <v>17723</v>
      </c>
      <c r="E2940" s="207">
        <v>2360</v>
      </c>
      <c r="F2940" s="25">
        <v>197933.2</v>
      </c>
      <c r="G2940" s="25"/>
      <c r="H2940" s="25">
        <v>197933.2</v>
      </c>
      <c r="I2940" s="243">
        <v>42403</v>
      </c>
      <c r="J2940" s="245" t="s">
        <v>18297</v>
      </c>
      <c r="K2940" s="207"/>
      <c r="L2940" s="66"/>
      <c r="M2940" s="242" t="s">
        <v>15722</v>
      </c>
      <c r="N2940" s="207"/>
      <c r="O2940" s="66" t="s">
        <v>18044</v>
      </c>
    </row>
    <row r="2941" spans="1:15" ht="60" customHeight="1" x14ac:dyDescent="0.3">
      <c r="A2941" s="139">
        <v>2910</v>
      </c>
      <c r="B2941" s="242" t="s">
        <v>17720</v>
      </c>
      <c r="C2941" s="242" t="s">
        <v>17725</v>
      </c>
      <c r="D2941" s="85" t="s">
        <v>17726</v>
      </c>
      <c r="E2941" s="207">
        <v>9164</v>
      </c>
      <c r="F2941" s="25">
        <v>1681502.36</v>
      </c>
      <c r="G2941" s="25"/>
      <c r="H2941" s="25">
        <v>1681502.36</v>
      </c>
      <c r="I2941" s="243">
        <v>42403</v>
      </c>
      <c r="J2941" s="245" t="s">
        <v>18298</v>
      </c>
      <c r="K2941" s="207"/>
      <c r="L2941" s="66"/>
      <c r="M2941" s="242" t="s">
        <v>15722</v>
      </c>
      <c r="N2941" s="207"/>
      <c r="O2941" s="66" t="s">
        <v>18044</v>
      </c>
    </row>
    <row r="2942" spans="1:15" ht="60" customHeight="1" x14ac:dyDescent="0.3">
      <c r="A2942" s="139">
        <v>2911</v>
      </c>
      <c r="B2942" s="242" t="s">
        <v>17720</v>
      </c>
      <c r="C2942" s="242" t="s">
        <v>17727</v>
      </c>
      <c r="D2942" s="85" t="s">
        <v>17728</v>
      </c>
      <c r="E2942" s="207">
        <v>3528</v>
      </c>
      <c r="F2942" s="25">
        <v>201660.48</v>
      </c>
      <c r="G2942" s="25"/>
      <c r="H2942" s="25">
        <v>201660.48</v>
      </c>
      <c r="I2942" s="243">
        <v>42403</v>
      </c>
      <c r="J2942" s="245" t="s">
        <v>18299</v>
      </c>
      <c r="K2942" s="207"/>
      <c r="L2942" s="66"/>
      <c r="M2942" s="242" t="s">
        <v>15722</v>
      </c>
      <c r="N2942" s="207"/>
      <c r="O2942" s="66" t="s">
        <v>18044</v>
      </c>
    </row>
    <row r="2943" spans="1:15" ht="60" customHeight="1" x14ac:dyDescent="0.3">
      <c r="A2943" s="139">
        <v>2912</v>
      </c>
      <c r="B2943" s="242" t="s">
        <v>17720</v>
      </c>
      <c r="C2943" s="242" t="s">
        <v>17729</v>
      </c>
      <c r="D2943" s="85" t="s">
        <v>17730</v>
      </c>
      <c r="E2943" s="207">
        <v>1988</v>
      </c>
      <c r="F2943" s="25">
        <v>351538.04</v>
      </c>
      <c r="G2943" s="25"/>
      <c r="H2943" s="25">
        <v>351538.04</v>
      </c>
      <c r="I2943" s="243">
        <v>42403</v>
      </c>
      <c r="J2943" s="245" t="s">
        <v>18285</v>
      </c>
      <c r="K2943" s="207"/>
      <c r="L2943" s="66"/>
      <c r="M2943" s="242" t="s">
        <v>15722</v>
      </c>
      <c r="N2943" s="207"/>
      <c r="O2943" s="66" t="s">
        <v>18044</v>
      </c>
    </row>
    <row r="2944" spans="1:15" ht="60" customHeight="1" x14ac:dyDescent="0.3">
      <c r="A2944" s="139">
        <v>2913</v>
      </c>
      <c r="B2944" s="242" t="s">
        <v>17720</v>
      </c>
      <c r="C2944" s="242" t="s">
        <v>17731</v>
      </c>
      <c r="D2944" s="85" t="s">
        <v>17732</v>
      </c>
      <c r="E2944" s="207">
        <v>6823</v>
      </c>
      <c r="F2944" s="25">
        <v>1251952.27</v>
      </c>
      <c r="G2944" s="25"/>
      <c r="H2944" s="25">
        <v>1251952.27</v>
      </c>
      <c r="I2944" s="243">
        <v>42403</v>
      </c>
      <c r="J2944" s="245" t="s">
        <v>18286</v>
      </c>
      <c r="K2944" s="207"/>
      <c r="L2944" s="66"/>
      <c r="M2944" s="242" t="s">
        <v>15722</v>
      </c>
      <c r="N2944" s="207"/>
      <c r="O2944" s="66" t="s">
        <v>18044</v>
      </c>
    </row>
    <row r="2945" spans="1:15" ht="60" customHeight="1" x14ac:dyDescent="0.3">
      <c r="A2945" s="139">
        <v>2914</v>
      </c>
      <c r="B2945" s="242" t="s">
        <v>17720</v>
      </c>
      <c r="C2945" s="242" t="s">
        <v>15847</v>
      </c>
      <c r="D2945" s="85" t="s">
        <v>17733</v>
      </c>
      <c r="E2945" s="207">
        <v>5354</v>
      </c>
      <c r="F2945" s="25">
        <v>982405.46</v>
      </c>
      <c r="G2945" s="25"/>
      <c r="H2945" s="25">
        <v>982405.46</v>
      </c>
      <c r="I2945" s="243">
        <v>42403</v>
      </c>
      <c r="J2945" s="245" t="s">
        <v>18287</v>
      </c>
      <c r="K2945" s="207"/>
      <c r="L2945" s="66"/>
      <c r="M2945" s="242" t="s">
        <v>15722</v>
      </c>
      <c r="N2945" s="207"/>
      <c r="O2945" s="66" t="s">
        <v>18044</v>
      </c>
    </row>
    <row r="2946" spans="1:15" ht="60" customHeight="1" x14ac:dyDescent="0.3">
      <c r="A2946" s="139">
        <v>2915</v>
      </c>
      <c r="B2946" s="242" t="s">
        <v>17720</v>
      </c>
      <c r="C2946" s="242" t="s">
        <v>17734</v>
      </c>
      <c r="D2946" s="85" t="s">
        <v>17735</v>
      </c>
      <c r="E2946" s="207">
        <v>11356</v>
      </c>
      <c r="F2946" s="25">
        <v>2083712.44</v>
      </c>
      <c r="G2946" s="25"/>
      <c r="H2946" s="25">
        <v>2083712.44</v>
      </c>
      <c r="I2946" s="243">
        <v>42403</v>
      </c>
      <c r="J2946" s="245" t="s">
        <v>18288</v>
      </c>
      <c r="K2946" s="207"/>
      <c r="L2946" s="66"/>
      <c r="M2946" s="242" t="s">
        <v>15722</v>
      </c>
      <c r="N2946" s="207"/>
      <c r="O2946" s="66" t="s">
        <v>18044</v>
      </c>
    </row>
    <row r="2947" spans="1:15" ht="60" customHeight="1" x14ac:dyDescent="0.3">
      <c r="A2947" s="139">
        <v>2916</v>
      </c>
      <c r="B2947" s="242" t="s">
        <v>17720</v>
      </c>
      <c r="C2947" s="242" t="s">
        <v>17736</v>
      </c>
      <c r="D2947" s="85" t="s">
        <v>17737</v>
      </c>
      <c r="E2947" s="207">
        <v>4782</v>
      </c>
      <c r="F2947" s="25">
        <v>877449.18</v>
      </c>
      <c r="G2947" s="25"/>
      <c r="H2947" s="25">
        <v>877449.18</v>
      </c>
      <c r="I2947" s="243">
        <v>42403</v>
      </c>
      <c r="J2947" s="245" t="s">
        <v>18289</v>
      </c>
      <c r="K2947" s="207"/>
      <c r="L2947" s="66"/>
      <c r="M2947" s="242" t="s">
        <v>15722</v>
      </c>
      <c r="N2947" s="207"/>
      <c r="O2947" s="66" t="s">
        <v>18044</v>
      </c>
    </row>
    <row r="2948" spans="1:15" ht="60" customHeight="1" x14ac:dyDescent="0.3">
      <c r="A2948" s="139">
        <v>2917</v>
      </c>
      <c r="B2948" s="242" t="s">
        <v>17720</v>
      </c>
      <c r="C2948" s="242" t="s">
        <v>17738</v>
      </c>
      <c r="D2948" s="85" t="s">
        <v>17739</v>
      </c>
      <c r="E2948" s="207">
        <v>584</v>
      </c>
      <c r="F2948" s="25">
        <v>118102.32</v>
      </c>
      <c r="G2948" s="25"/>
      <c r="H2948" s="25">
        <v>118102.32</v>
      </c>
      <c r="I2948" s="243">
        <v>42403</v>
      </c>
      <c r="J2948" s="245" t="s">
        <v>18278</v>
      </c>
      <c r="K2948" s="207"/>
      <c r="L2948" s="66"/>
      <c r="M2948" s="242" t="s">
        <v>15722</v>
      </c>
      <c r="N2948" s="207"/>
      <c r="O2948" s="66" t="s">
        <v>18044</v>
      </c>
    </row>
    <row r="2949" spans="1:15" ht="60" customHeight="1" x14ac:dyDescent="0.3">
      <c r="A2949" s="139">
        <v>2918</v>
      </c>
      <c r="B2949" s="242" t="s">
        <v>17720</v>
      </c>
      <c r="C2949" s="242" t="s">
        <v>17740</v>
      </c>
      <c r="D2949" s="85" t="s">
        <v>17741</v>
      </c>
      <c r="E2949" s="207">
        <v>22848</v>
      </c>
      <c r="F2949" s="25">
        <v>4192379.52</v>
      </c>
      <c r="G2949" s="25"/>
      <c r="H2949" s="25">
        <v>4192379.52</v>
      </c>
      <c r="I2949" s="243">
        <v>42403</v>
      </c>
      <c r="J2949" s="245" t="s">
        <v>18279</v>
      </c>
      <c r="K2949" s="207"/>
      <c r="L2949" s="66"/>
      <c r="M2949" s="242" t="s">
        <v>15722</v>
      </c>
      <c r="N2949" s="207"/>
      <c r="O2949" s="245" t="s">
        <v>18044</v>
      </c>
    </row>
    <row r="2950" spans="1:15" ht="60" customHeight="1" x14ac:dyDescent="0.3">
      <c r="A2950" s="139">
        <v>2919</v>
      </c>
      <c r="B2950" s="242" t="s">
        <v>17720</v>
      </c>
      <c r="C2950" s="242" t="s">
        <v>17742</v>
      </c>
      <c r="D2950" s="85" t="s">
        <v>17743</v>
      </c>
      <c r="E2950" s="207">
        <v>3423</v>
      </c>
      <c r="F2950" s="25">
        <v>628086.27</v>
      </c>
      <c r="G2950" s="25"/>
      <c r="H2950" s="25">
        <v>628086.27</v>
      </c>
      <c r="I2950" s="243">
        <v>42403</v>
      </c>
      <c r="J2950" s="245" t="s">
        <v>18280</v>
      </c>
      <c r="K2950" s="207"/>
      <c r="L2950" s="66"/>
      <c r="M2950" s="242" t="s">
        <v>15722</v>
      </c>
      <c r="N2950" s="207"/>
      <c r="O2950" s="245" t="s">
        <v>18044</v>
      </c>
    </row>
    <row r="2951" spans="1:15" ht="72" customHeight="1" x14ac:dyDescent="0.3">
      <c r="A2951" s="139">
        <v>2920</v>
      </c>
      <c r="B2951" s="242" t="s">
        <v>17744</v>
      </c>
      <c r="C2951" s="242" t="s">
        <v>15822</v>
      </c>
      <c r="D2951" s="85" t="s">
        <v>17745</v>
      </c>
      <c r="E2951" s="207">
        <v>11100</v>
      </c>
      <c r="F2951" s="25">
        <v>2036739</v>
      </c>
      <c r="G2951" s="25"/>
      <c r="H2951" s="25">
        <v>2036739</v>
      </c>
      <c r="I2951" s="243">
        <v>42403</v>
      </c>
      <c r="J2951" s="245" t="s">
        <v>18281</v>
      </c>
      <c r="K2951" s="207"/>
      <c r="L2951" s="66"/>
      <c r="M2951" s="242" t="s">
        <v>15722</v>
      </c>
      <c r="N2951" s="207"/>
      <c r="O2951" s="245" t="s">
        <v>11937</v>
      </c>
    </row>
    <row r="2952" spans="1:15" ht="60" customHeight="1" x14ac:dyDescent="0.3">
      <c r="A2952" s="139">
        <v>2921</v>
      </c>
      <c r="B2952" s="242" t="s">
        <v>17720</v>
      </c>
      <c r="C2952" s="242" t="s">
        <v>17746</v>
      </c>
      <c r="D2952" s="85" t="s">
        <v>17747</v>
      </c>
      <c r="E2952" s="207">
        <v>4272</v>
      </c>
      <c r="F2952" s="25">
        <v>244187.51999999999</v>
      </c>
      <c r="G2952" s="25"/>
      <c r="H2952" s="25">
        <v>244187.51999999999</v>
      </c>
      <c r="I2952" s="243">
        <v>42403</v>
      </c>
      <c r="J2952" s="245" t="s">
        <v>18282</v>
      </c>
      <c r="K2952" s="207"/>
      <c r="L2952" s="66"/>
      <c r="M2952" s="242" t="s">
        <v>15722</v>
      </c>
      <c r="N2952" s="207"/>
      <c r="O2952" s="245" t="s">
        <v>18044</v>
      </c>
    </row>
    <row r="2953" spans="1:15" ht="60" customHeight="1" x14ac:dyDescent="0.3">
      <c r="A2953" s="139">
        <v>2922</v>
      </c>
      <c r="B2953" s="242" t="s">
        <v>17720</v>
      </c>
      <c r="C2953" s="242" t="s">
        <v>17748</v>
      </c>
      <c r="D2953" s="85" t="s">
        <v>17749</v>
      </c>
      <c r="E2953" s="207">
        <v>15218</v>
      </c>
      <c r="F2953" s="25">
        <v>869860.88</v>
      </c>
      <c r="G2953" s="25"/>
      <c r="H2953" s="25">
        <v>869860.88</v>
      </c>
      <c r="I2953" s="243">
        <v>42403</v>
      </c>
      <c r="J2953" s="245" t="s">
        <v>18284</v>
      </c>
      <c r="K2953" s="207"/>
      <c r="L2953" s="66"/>
      <c r="M2953" s="242" t="s">
        <v>15722</v>
      </c>
      <c r="N2953" s="207"/>
      <c r="O2953" s="245" t="s">
        <v>18044</v>
      </c>
    </row>
    <row r="2954" spans="1:15" ht="72" customHeight="1" x14ac:dyDescent="0.3">
      <c r="A2954" s="139">
        <v>2923</v>
      </c>
      <c r="B2954" s="242" t="s">
        <v>17720</v>
      </c>
      <c r="C2954" s="242" t="s">
        <v>17750</v>
      </c>
      <c r="D2954" s="85" t="s">
        <v>17751</v>
      </c>
      <c r="E2954" s="207">
        <v>1388</v>
      </c>
      <c r="F2954" s="25">
        <v>254684.12</v>
      </c>
      <c r="G2954" s="25"/>
      <c r="H2954" s="25">
        <v>254684.12</v>
      </c>
      <c r="I2954" s="243">
        <v>42403</v>
      </c>
      <c r="J2954" s="245" t="s">
        <v>19681</v>
      </c>
      <c r="K2954" s="207"/>
      <c r="L2954" s="66"/>
      <c r="M2954" s="29" t="s">
        <v>15722</v>
      </c>
      <c r="N2954" s="207"/>
      <c r="O2954" s="245" t="s">
        <v>11937</v>
      </c>
    </row>
    <row r="2955" spans="1:15" ht="72" customHeight="1" x14ac:dyDescent="0.3">
      <c r="A2955" s="139">
        <v>2924</v>
      </c>
      <c r="B2955" s="242" t="s">
        <v>17752</v>
      </c>
      <c r="C2955" s="242" t="s">
        <v>17753</v>
      </c>
      <c r="D2955" s="85" t="s">
        <v>17754</v>
      </c>
      <c r="E2955" s="207">
        <v>4180</v>
      </c>
      <c r="F2955" s="25">
        <v>766988.2</v>
      </c>
      <c r="G2955" s="25"/>
      <c r="H2955" s="25">
        <v>766988.2</v>
      </c>
      <c r="I2955" s="243">
        <v>42403</v>
      </c>
      <c r="J2955" s="245" t="s">
        <v>18283</v>
      </c>
      <c r="K2955" s="207"/>
      <c r="L2955" s="66"/>
      <c r="M2955" s="242" t="s">
        <v>15722</v>
      </c>
      <c r="N2955" s="207"/>
      <c r="O2955" s="245" t="s">
        <v>11937</v>
      </c>
    </row>
    <row r="2956" spans="1:15" ht="72" customHeight="1" x14ac:dyDescent="0.3">
      <c r="A2956" s="139">
        <v>2925</v>
      </c>
      <c r="B2956" s="242" t="s">
        <v>17752</v>
      </c>
      <c r="C2956" s="242" t="s">
        <v>17755</v>
      </c>
      <c r="D2956" s="85" t="s">
        <v>17756</v>
      </c>
      <c r="E2956" s="207">
        <v>2240</v>
      </c>
      <c r="F2956" s="25">
        <v>537219.19999999995</v>
      </c>
      <c r="G2956" s="25"/>
      <c r="H2956" s="25">
        <v>537219.19999999995</v>
      </c>
      <c r="I2956" s="243">
        <v>42403</v>
      </c>
      <c r="J2956" s="66" t="s">
        <v>18276</v>
      </c>
      <c r="K2956" s="207"/>
      <c r="L2956" s="66"/>
      <c r="M2956" s="242" t="s">
        <v>15722</v>
      </c>
      <c r="N2956" s="207"/>
      <c r="O2956" s="245" t="s">
        <v>11937</v>
      </c>
    </row>
    <row r="2957" spans="1:15" ht="72" customHeight="1" x14ac:dyDescent="0.3">
      <c r="A2957" s="139">
        <v>2926</v>
      </c>
      <c r="B2957" s="242" t="s">
        <v>17752</v>
      </c>
      <c r="C2957" s="242" t="s">
        <v>15874</v>
      </c>
      <c r="D2957" s="85" t="s">
        <v>17757</v>
      </c>
      <c r="E2957" s="207">
        <v>2871</v>
      </c>
      <c r="F2957" s="25">
        <v>403059.69</v>
      </c>
      <c r="G2957" s="25"/>
      <c r="H2957" s="25">
        <v>403059.69</v>
      </c>
      <c r="I2957" s="243">
        <v>42403</v>
      </c>
      <c r="J2957" s="66" t="s">
        <v>18277</v>
      </c>
      <c r="K2957" s="207"/>
      <c r="L2957" s="66"/>
      <c r="M2957" s="242" t="s">
        <v>15722</v>
      </c>
      <c r="N2957" s="207"/>
      <c r="O2957" s="245" t="s">
        <v>11937</v>
      </c>
    </row>
    <row r="2958" spans="1:15" ht="72" customHeight="1" x14ac:dyDescent="0.3">
      <c r="A2958" s="139">
        <v>2927</v>
      </c>
      <c r="B2958" s="242" t="s">
        <v>17758</v>
      </c>
      <c r="C2958" s="242" t="s">
        <v>17755</v>
      </c>
      <c r="D2958" s="85" t="s">
        <v>17759</v>
      </c>
      <c r="E2958" s="207">
        <v>375</v>
      </c>
      <c r="F2958" s="25">
        <v>90127.5</v>
      </c>
      <c r="G2958" s="25"/>
      <c r="H2958" s="25">
        <v>90127.5</v>
      </c>
      <c r="I2958" s="243">
        <v>42403</v>
      </c>
      <c r="J2958" s="66" t="s">
        <v>18292</v>
      </c>
      <c r="K2958" s="207"/>
      <c r="L2958" s="66"/>
      <c r="M2958" s="242" t="s">
        <v>15722</v>
      </c>
      <c r="N2958" s="207"/>
      <c r="O2958" s="245" t="s">
        <v>18044</v>
      </c>
    </row>
    <row r="2959" spans="1:15" ht="72" customHeight="1" x14ac:dyDescent="0.3">
      <c r="A2959" s="139">
        <v>2928</v>
      </c>
      <c r="B2959" s="242" t="s">
        <v>17758</v>
      </c>
      <c r="C2959" s="242" t="s">
        <v>17654</v>
      </c>
      <c r="D2959" s="85" t="s">
        <v>17763</v>
      </c>
      <c r="E2959" s="207">
        <v>5000</v>
      </c>
      <c r="F2959" s="25">
        <v>642450</v>
      </c>
      <c r="G2959" s="25"/>
      <c r="H2959" s="25">
        <v>642450</v>
      </c>
      <c r="I2959" s="243">
        <v>42403</v>
      </c>
      <c r="J2959" s="66" t="s">
        <v>18293</v>
      </c>
      <c r="K2959" s="207"/>
      <c r="L2959" s="66"/>
      <c r="M2959" s="242" t="s">
        <v>15722</v>
      </c>
      <c r="N2959" s="207"/>
      <c r="O2959" s="245" t="s">
        <v>11937</v>
      </c>
    </row>
    <row r="2960" spans="1:15" ht="72" customHeight="1" x14ac:dyDescent="0.3">
      <c r="A2960" s="139">
        <v>2929</v>
      </c>
      <c r="B2960" s="242" t="s">
        <v>17752</v>
      </c>
      <c r="C2960" s="242" t="s">
        <v>15856</v>
      </c>
      <c r="D2960" s="85" t="s">
        <v>17764</v>
      </c>
      <c r="E2960" s="207">
        <v>5188</v>
      </c>
      <c r="F2960" s="25">
        <v>808031</v>
      </c>
      <c r="G2960" s="25"/>
      <c r="H2960" s="25">
        <v>808031</v>
      </c>
      <c r="I2960" s="243">
        <v>42403</v>
      </c>
      <c r="J2960" s="66" t="s">
        <v>18274</v>
      </c>
      <c r="K2960" s="207"/>
      <c r="L2960" s="66"/>
      <c r="M2960" s="29" t="s">
        <v>15722</v>
      </c>
      <c r="N2960" s="207"/>
      <c r="O2960" s="245" t="s">
        <v>11937</v>
      </c>
    </row>
    <row r="2961" spans="1:15" ht="72" customHeight="1" x14ac:dyDescent="0.3">
      <c r="A2961" s="139">
        <v>2930</v>
      </c>
      <c r="B2961" s="242" t="s">
        <v>17752</v>
      </c>
      <c r="C2961" s="242" t="s">
        <v>15470</v>
      </c>
      <c r="D2961" s="85" t="s">
        <v>17765</v>
      </c>
      <c r="E2961" s="207">
        <v>5160</v>
      </c>
      <c r="F2961" s="25">
        <v>851400</v>
      </c>
      <c r="G2961" s="25"/>
      <c r="H2961" s="25">
        <v>851400</v>
      </c>
      <c r="I2961" s="243">
        <v>42403</v>
      </c>
      <c r="J2961" s="66" t="s">
        <v>18275</v>
      </c>
      <c r="K2961" s="207"/>
      <c r="L2961" s="66"/>
      <c r="M2961" s="242" t="s">
        <v>15722</v>
      </c>
      <c r="N2961" s="207"/>
      <c r="O2961" s="245" t="s">
        <v>18044</v>
      </c>
    </row>
    <row r="2962" spans="1:15" ht="72" customHeight="1" x14ac:dyDescent="0.3">
      <c r="A2962" s="139">
        <v>2931</v>
      </c>
      <c r="B2962" s="242" t="s">
        <v>17752</v>
      </c>
      <c r="C2962" s="242" t="s">
        <v>17654</v>
      </c>
      <c r="D2962" s="85" t="s">
        <v>17766</v>
      </c>
      <c r="E2962" s="207">
        <v>6751</v>
      </c>
      <c r="F2962" s="25">
        <v>635944.19999999995</v>
      </c>
      <c r="G2962" s="25"/>
      <c r="H2962" s="25">
        <v>635944.19999999995</v>
      </c>
      <c r="I2962" s="243">
        <v>42403</v>
      </c>
      <c r="J2962" s="66" t="s">
        <v>18244</v>
      </c>
      <c r="K2962" s="207"/>
      <c r="L2962" s="66"/>
      <c r="M2962" s="242" t="s">
        <v>15722</v>
      </c>
      <c r="N2962" s="207"/>
      <c r="O2962" s="245" t="s">
        <v>18044</v>
      </c>
    </row>
    <row r="2963" spans="1:15" ht="72" customHeight="1" x14ac:dyDescent="0.3">
      <c r="A2963" s="139">
        <v>2932</v>
      </c>
      <c r="B2963" s="242" t="s">
        <v>17767</v>
      </c>
      <c r="C2963" s="242" t="s">
        <v>17654</v>
      </c>
      <c r="D2963" s="85" t="s">
        <v>17768</v>
      </c>
      <c r="E2963" s="207">
        <v>6620</v>
      </c>
      <c r="F2963" s="25">
        <v>1564968</v>
      </c>
      <c r="G2963" s="25"/>
      <c r="H2963" s="25">
        <v>1564968</v>
      </c>
      <c r="I2963" s="243">
        <v>42403</v>
      </c>
      <c r="J2963" s="66" t="s">
        <v>18236</v>
      </c>
      <c r="K2963" s="207"/>
      <c r="L2963" s="66"/>
      <c r="M2963" s="242" t="s">
        <v>15722</v>
      </c>
      <c r="N2963" s="207"/>
      <c r="O2963" s="245" t="s">
        <v>18044</v>
      </c>
    </row>
    <row r="2964" spans="1:15" ht="72" customHeight="1" x14ac:dyDescent="0.3">
      <c r="A2964" s="139">
        <v>2933</v>
      </c>
      <c r="B2964" s="242" t="s">
        <v>17752</v>
      </c>
      <c r="C2964" s="242" t="s">
        <v>17654</v>
      </c>
      <c r="D2964" s="85" t="s">
        <v>17769</v>
      </c>
      <c r="E2964" s="207">
        <v>734</v>
      </c>
      <c r="F2964" s="25">
        <v>144568.64000000001</v>
      </c>
      <c r="G2964" s="25"/>
      <c r="H2964" s="25">
        <v>144568.64000000001</v>
      </c>
      <c r="I2964" s="243">
        <v>42403</v>
      </c>
      <c r="J2964" s="66" t="s">
        <v>18239</v>
      </c>
      <c r="K2964" s="207"/>
      <c r="L2964" s="66"/>
      <c r="M2964" s="242" t="s">
        <v>15722</v>
      </c>
      <c r="N2964" s="207"/>
      <c r="O2964" s="245" t="s">
        <v>18044</v>
      </c>
    </row>
    <row r="2965" spans="1:15" ht="72" customHeight="1" x14ac:dyDescent="0.3">
      <c r="A2965" s="139">
        <v>2934</v>
      </c>
      <c r="B2965" s="242" t="s">
        <v>17752</v>
      </c>
      <c r="C2965" s="242" t="s">
        <v>17654</v>
      </c>
      <c r="D2965" s="85" t="s">
        <v>17770</v>
      </c>
      <c r="E2965" s="207">
        <v>787</v>
      </c>
      <c r="F2965" s="25">
        <v>74135.399999999994</v>
      </c>
      <c r="G2965" s="25"/>
      <c r="H2965" s="25">
        <v>74135.399999999994</v>
      </c>
      <c r="I2965" s="243">
        <v>42403</v>
      </c>
      <c r="J2965" s="66" t="s">
        <v>18240</v>
      </c>
      <c r="K2965" s="207"/>
      <c r="L2965" s="66"/>
      <c r="M2965" s="242" t="s">
        <v>15722</v>
      </c>
      <c r="N2965" s="207"/>
      <c r="O2965" s="245" t="s">
        <v>18044</v>
      </c>
    </row>
    <row r="2966" spans="1:15" ht="72" customHeight="1" x14ac:dyDescent="0.3">
      <c r="A2966" s="139">
        <v>2935</v>
      </c>
      <c r="B2966" s="242" t="s">
        <v>17752</v>
      </c>
      <c r="C2966" s="242" t="s">
        <v>17654</v>
      </c>
      <c r="D2966" s="85" t="s">
        <v>17771</v>
      </c>
      <c r="E2966" s="207">
        <v>498</v>
      </c>
      <c r="F2966" s="25">
        <v>46911.6</v>
      </c>
      <c r="G2966" s="25"/>
      <c r="H2966" s="25">
        <v>46911.6</v>
      </c>
      <c r="I2966" s="243">
        <v>42403</v>
      </c>
      <c r="J2966" s="66" t="s">
        <v>18241</v>
      </c>
      <c r="K2966" s="207"/>
      <c r="L2966" s="66"/>
      <c r="M2966" s="242" t="s">
        <v>15722</v>
      </c>
      <c r="N2966" s="207"/>
      <c r="O2966" s="245" t="s">
        <v>11937</v>
      </c>
    </row>
    <row r="2967" spans="1:15" ht="72" customHeight="1" x14ac:dyDescent="0.3">
      <c r="A2967" s="139">
        <v>2936</v>
      </c>
      <c r="B2967" s="242" t="s">
        <v>17752</v>
      </c>
      <c r="C2967" s="242" t="s">
        <v>17654</v>
      </c>
      <c r="D2967" s="85" t="s">
        <v>17772</v>
      </c>
      <c r="E2967" s="207">
        <v>1775</v>
      </c>
      <c r="F2967" s="25">
        <v>167205</v>
      </c>
      <c r="G2967" s="25"/>
      <c r="H2967" s="25">
        <v>167205</v>
      </c>
      <c r="I2967" s="243">
        <v>42403</v>
      </c>
      <c r="J2967" s="66" t="s">
        <v>12548</v>
      </c>
      <c r="K2967" s="207"/>
      <c r="L2967" s="66"/>
      <c r="M2967" s="200" t="s">
        <v>12550</v>
      </c>
      <c r="N2967" s="207"/>
      <c r="O2967" s="245" t="s">
        <v>17646</v>
      </c>
    </row>
    <row r="2968" spans="1:15" ht="72" customHeight="1" x14ac:dyDescent="0.3">
      <c r="A2968" s="139">
        <v>2937</v>
      </c>
      <c r="B2968" s="242" t="s">
        <v>17752</v>
      </c>
      <c r="C2968" s="242" t="s">
        <v>15883</v>
      </c>
      <c r="D2968" s="85" t="s">
        <v>17773</v>
      </c>
      <c r="E2968" s="207">
        <v>103</v>
      </c>
      <c r="F2968" s="25">
        <v>24702.49</v>
      </c>
      <c r="G2968" s="25"/>
      <c r="H2968" s="25">
        <v>24702.49</v>
      </c>
      <c r="I2968" s="243">
        <v>42403</v>
      </c>
      <c r="J2968" s="66" t="s">
        <v>18243</v>
      </c>
      <c r="K2968" s="207"/>
      <c r="L2968" s="66"/>
      <c r="M2968" s="242" t="s">
        <v>15722</v>
      </c>
      <c r="N2968" s="207"/>
      <c r="O2968" s="245" t="s">
        <v>18044</v>
      </c>
    </row>
    <row r="2969" spans="1:15" ht="72" customHeight="1" x14ac:dyDescent="0.3">
      <c r="A2969" s="139">
        <v>2938</v>
      </c>
      <c r="B2969" s="242" t="s">
        <v>17752</v>
      </c>
      <c r="C2969" s="242" t="s">
        <v>15883</v>
      </c>
      <c r="D2969" s="85" t="s">
        <v>17774</v>
      </c>
      <c r="E2969" s="207">
        <v>3613</v>
      </c>
      <c r="F2969" s="25">
        <v>764113.37</v>
      </c>
      <c r="G2969" s="25"/>
      <c r="H2969" s="25">
        <v>764113.37</v>
      </c>
      <c r="I2969" s="243">
        <v>42403</v>
      </c>
      <c r="J2969" s="66" t="s">
        <v>18242</v>
      </c>
      <c r="K2969" s="207"/>
      <c r="L2969" s="66"/>
      <c r="M2969" s="242" t="s">
        <v>15722</v>
      </c>
      <c r="N2969" s="207"/>
      <c r="O2969" s="245" t="s">
        <v>11937</v>
      </c>
    </row>
    <row r="2970" spans="1:15" ht="72" customHeight="1" x14ac:dyDescent="0.3">
      <c r="A2970" s="139">
        <v>2939</v>
      </c>
      <c r="B2970" s="242" t="s">
        <v>17752</v>
      </c>
      <c r="C2970" s="242" t="s">
        <v>17775</v>
      </c>
      <c r="D2970" s="85" t="s">
        <v>17776</v>
      </c>
      <c r="E2970" s="207">
        <v>4030</v>
      </c>
      <c r="F2970" s="25">
        <v>852304.7</v>
      </c>
      <c r="G2970" s="25"/>
      <c r="H2970" s="25">
        <v>852304.7</v>
      </c>
      <c r="I2970" s="243">
        <v>42403</v>
      </c>
      <c r="J2970" s="66" t="s">
        <v>18231</v>
      </c>
      <c r="K2970" s="207"/>
      <c r="L2970" s="66"/>
      <c r="M2970" s="242" t="s">
        <v>15722</v>
      </c>
      <c r="N2970" s="207"/>
      <c r="O2970" s="245" t="s">
        <v>18044</v>
      </c>
    </row>
    <row r="2971" spans="1:15" ht="72" customHeight="1" x14ac:dyDescent="0.3">
      <c r="A2971" s="139">
        <v>2940</v>
      </c>
      <c r="B2971" s="242" t="s">
        <v>17752</v>
      </c>
      <c r="C2971" s="242" t="s">
        <v>17755</v>
      </c>
      <c r="D2971" s="85" t="s">
        <v>17777</v>
      </c>
      <c r="E2971" s="207">
        <v>910</v>
      </c>
      <c r="F2971" s="25">
        <v>218245.3</v>
      </c>
      <c r="G2971" s="25"/>
      <c r="H2971" s="25">
        <v>218245.3</v>
      </c>
      <c r="I2971" s="243">
        <v>42403</v>
      </c>
      <c r="J2971" s="66" t="s">
        <v>18232</v>
      </c>
      <c r="K2971" s="207"/>
      <c r="L2971" s="66"/>
      <c r="M2971" s="242" t="s">
        <v>15722</v>
      </c>
      <c r="N2971" s="207"/>
      <c r="O2971" s="245" t="s">
        <v>11937</v>
      </c>
    </row>
    <row r="2972" spans="1:15" ht="72" customHeight="1" x14ac:dyDescent="0.3">
      <c r="A2972" s="139">
        <v>2941</v>
      </c>
      <c r="B2972" s="242" t="s">
        <v>17752</v>
      </c>
      <c r="C2972" s="242" t="s">
        <v>15856</v>
      </c>
      <c r="D2972" s="85" t="s">
        <v>17778</v>
      </c>
      <c r="E2972" s="207">
        <v>4433</v>
      </c>
      <c r="F2972" s="25">
        <v>690439.75</v>
      </c>
      <c r="G2972" s="25"/>
      <c r="H2972" s="25">
        <v>690439.75</v>
      </c>
      <c r="I2972" s="243">
        <v>42403</v>
      </c>
      <c r="J2972" s="66" t="s">
        <v>18233</v>
      </c>
      <c r="K2972" s="207"/>
      <c r="L2972" s="66"/>
      <c r="M2972" s="242" t="s">
        <v>15722</v>
      </c>
      <c r="N2972" s="207"/>
      <c r="O2972" s="245" t="s">
        <v>18044</v>
      </c>
    </row>
    <row r="2973" spans="1:15" ht="156" customHeight="1" x14ac:dyDescent="0.3">
      <c r="A2973" s="139">
        <v>2942</v>
      </c>
      <c r="B2973" s="242" t="s">
        <v>17780</v>
      </c>
      <c r="C2973" s="242" t="s">
        <v>16540</v>
      </c>
      <c r="D2973" s="85" t="s">
        <v>17779</v>
      </c>
      <c r="E2973" s="207">
        <v>33650</v>
      </c>
      <c r="F2973" s="25">
        <v>449564</v>
      </c>
      <c r="G2973" s="25"/>
      <c r="H2973" s="25">
        <v>449564</v>
      </c>
      <c r="I2973" s="243">
        <v>42403</v>
      </c>
      <c r="J2973" s="66" t="s">
        <v>18338</v>
      </c>
      <c r="K2973" s="207"/>
      <c r="L2973" s="66"/>
      <c r="M2973" s="242" t="s">
        <v>15722</v>
      </c>
      <c r="N2973" s="207"/>
      <c r="O2973" s="245" t="s">
        <v>11937</v>
      </c>
    </row>
    <row r="2974" spans="1:15" ht="72" customHeight="1" x14ac:dyDescent="0.3">
      <c r="A2974" s="139">
        <v>2943</v>
      </c>
      <c r="B2974" s="242" t="s">
        <v>17781</v>
      </c>
      <c r="C2974" s="242" t="s">
        <v>15874</v>
      </c>
      <c r="D2974" s="85" t="s">
        <v>17782</v>
      </c>
      <c r="E2974" s="207">
        <v>2709</v>
      </c>
      <c r="F2974" s="25">
        <v>380316.51</v>
      </c>
      <c r="G2974" s="25"/>
      <c r="H2974" s="25">
        <v>380316.51</v>
      </c>
      <c r="I2974" s="243">
        <v>42403</v>
      </c>
      <c r="J2974" s="66" t="s">
        <v>18291</v>
      </c>
      <c r="K2974" s="207"/>
      <c r="L2974" s="66"/>
      <c r="M2974" s="242" t="s">
        <v>15722</v>
      </c>
      <c r="N2974" s="207"/>
      <c r="O2974" s="245" t="s">
        <v>18044</v>
      </c>
    </row>
    <row r="2975" spans="1:15" ht="72" customHeight="1" x14ac:dyDescent="0.3">
      <c r="A2975" s="139">
        <v>2944</v>
      </c>
      <c r="B2975" s="242" t="s">
        <v>17644</v>
      </c>
      <c r="C2975" s="242" t="s">
        <v>17672</v>
      </c>
      <c r="D2975" s="85" t="s">
        <v>17783</v>
      </c>
      <c r="E2975" s="207">
        <v>2700</v>
      </c>
      <c r="F2975" s="25">
        <v>298701</v>
      </c>
      <c r="G2975" s="25"/>
      <c r="H2975" s="25">
        <v>298701</v>
      </c>
      <c r="I2975" s="243">
        <v>42403</v>
      </c>
      <c r="J2975" s="66" t="s">
        <v>18234</v>
      </c>
      <c r="K2975" s="207"/>
      <c r="L2975" s="66"/>
      <c r="M2975" s="242" t="s">
        <v>15722</v>
      </c>
      <c r="N2975" s="207"/>
      <c r="O2975" s="245" t="s">
        <v>11937</v>
      </c>
    </row>
    <row r="2976" spans="1:15" ht="72" customHeight="1" x14ac:dyDescent="0.3">
      <c r="A2976" s="139">
        <v>2945</v>
      </c>
      <c r="B2976" s="242" t="s">
        <v>17644</v>
      </c>
      <c r="C2976" s="242" t="s">
        <v>15829</v>
      </c>
      <c r="D2976" s="85" t="s">
        <v>17784</v>
      </c>
      <c r="E2976" s="207">
        <v>1000</v>
      </c>
      <c r="F2976" s="25">
        <v>183490</v>
      </c>
      <c r="G2976" s="25"/>
      <c r="H2976" s="25">
        <v>183490</v>
      </c>
      <c r="I2976" s="243">
        <v>42403</v>
      </c>
      <c r="J2976" s="66" t="s">
        <v>18235</v>
      </c>
      <c r="K2976" s="207"/>
      <c r="L2976" s="66"/>
      <c r="M2976" s="242" t="s">
        <v>15722</v>
      </c>
      <c r="N2976" s="207"/>
      <c r="O2976" s="245" t="s">
        <v>11937</v>
      </c>
    </row>
    <row r="2977" spans="1:15" ht="72" customHeight="1" x14ac:dyDescent="0.3">
      <c r="A2977" s="139">
        <v>2946</v>
      </c>
      <c r="B2977" s="242" t="s">
        <v>17785</v>
      </c>
      <c r="C2977" s="242" t="s">
        <v>15480</v>
      </c>
      <c r="D2977" s="85" t="s">
        <v>17786</v>
      </c>
      <c r="E2977" s="207">
        <v>2255</v>
      </c>
      <c r="F2977" s="25">
        <v>227935.4</v>
      </c>
      <c r="G2977" s="25"/>
      <c r="H2977" s="25">
        <v>227935.4</v>
      </c>
      <c r="I2977" s="243">
        <v>42403</v>
      </c>
      <c r="J2977" s="66" t="s">
        <v>18294</v>
      </c>
      <c r="K2977" s="207"/>
      <c r="L2977" s="66"/>
      <c r="M2977" s="242" t="s">
        <v>15722</v>
      </c>
      <c r="N2977" s="207"/>
      <c r="O2977" s="245" t="s">
        <v>11937</v>
      </c>
    </row>
    <row r="2978" spans="1:15" ht="72" customHeight="1" x14ac:dyDescent="0.3">
      <c r="A2978" s="139">
        <v>2947</v>
      </c>
      <c r="B2978" s="242" t="s">
        <v>17791</v>
      </c>
      <c r="C2978" s="242" t="s">
        <v>16611</v>
      </c>
      <c r="D2978" s="85" t="s">
        <v>17792</v>
      </c>
      <c r="E2978" s="207">
        <v>447</v>
      </c>
      <c r="F2978" s="98">
        <v>42540.99</v>
      </c>
      <c r="G2978" s="25"/>
      <c r="H2978" s="98">
        <v>42540.99</v>
      </c>
      <c r="I2978" s="243">
        <v>42710</v>
      </c>
      <c r="J2978" s="66" t="s">
        <v>17793</v>
      </c>
      <c r="K2978" s="207"/>
      <c r="L2978" s="66"/>
      <c r="M2978" s="200" t="s">
        <v>12550</v>
      </c>
      <c r="N2978" s="207"/>
      <c r="O2978" s="245" t="s">
        <v>17794</v>
      </c>
    </row>
    <row r="2979" spans="1:15" ht="72" customHeight="1" x14ac:dyDescent="0.3">
      <c r="A2979" s="139">
        <v>2948</v>
      </c>
      <c r="B2979" s="242" t="s">
        <v>17820</v>
      </c>
      <c r="C2979" s="242" t="s">
        <v>17821</v>
      </c>
      <c r="D2979" s="85" t="s">
        <v>17822</v>
      </c>
      <c r="E2979" s="207">
        <v>2590</v>
      </c>
      <c r="F2979" s="98">
        <v>15540</v>
      </c>
      <c r="G2979" s="25"/>
      <c r="H2979" s="98">
        <v>15540</v>
      </c>
      <c r="I2979" s="243">
        <v>42529</v>
      </c>
      <c r="J2979" s="66" t="s">
        <v>17823</v>
      </c>
      <c r="K2979" s="207"/>
      <c r="L2979" s="66"/>
      <c r="M2979" s="200" t="s">
        <v>12550</v>
      </c>
      <c r="N2979" s="207"/>
      <c r="O2979" s="245" t="s">
        <v>17794</v>
      </c>
    </row>
    <row r="2980" spans="1:15" ht="96.6" customHeight="1" x14ac:dyDescent="0.3">
      <c r="A2980" s="139">
        <v>2949</v>
      </c>
      <c r="B2980" s="242" t="s">
        <v>17812</v>
      </c>
      <c r="C2980" s="242" t="s">
        <v>17813</v>
      </c>
      <c r="D2980" s="85" t="s">
        <v>17814</v>
      </c>
      <c r="E2980" s="207">
        <v>1199</v>
      </c>
      <c r="F2980" s="98">
        <v>272400.81</v>
      </c>
      <c r="G2980" s="25"/>
      <c r="H2980" s="98">
        <v>272400.81</v>
      </c>
      <c r="I2980" s="243">
        <v>42722</v>
      </c>
      <c r="J2980" s="66" t="s">
        <v>17815</v>
      </c>
      <c r="K2980" s="207"/>
      <c r="L2980" s="66"/>
      <c r="M2980" s="200" t="s">
        <v>12550</v>
      </c>
      <c r="N2980" s="207"/>
      <c r="O2980" s="245" t="s">
        <v>17794</v>
      </c>
    </row>
    <row r="2981" spans="1:15" ht="84" customHeight="1" x14ac:dyDescent="0.3">
      <c r="A2981" s="139">
        <v>2950</v>
      </c>
      <c r="B2981" s="242" t="s">
        <v>17891</v>
      </c>
      <c r="C2981" s="242" t="s">
        <v>16540</v>
      </c>
      <c r="D2981" s="85" t="s">
        <v>17892</v>
      </c>
      <c r="E2981" s="207">
        <v>460100</v>
      </c>
      <c r="F2981" s="100">
        <v>5811063</v>
      </c>
      <c r="G2981" s="25"/>
      <c r="H2981" s="101">
        <v>5811063</v>
      </c>
      <c r="I2981" s="243">
        <v>42730</v>
      </c>
      <c r="J2981" s="66" t="s">
        <v>18125</v>
      </c>
      <c r="K2981" s="207"/>
      <c r="L2981" s="66"/>
      <c r="M2981" s="200" t="s">
        <v>12550</v>
      </c>
      <c r="N2981" s="207"/>
      <c r="O2981" s="245" t="s">
        <v>12039</v>
      </c>
    </row>
    <row r="2982" spans="1:15" ht="84" customHeight="1" x14ac:dyDescent="0.3">
      <c r="A2982" s="139">
        <v>2951</v>
      </c>
      <c r="B2982" s="242" t="s">
        <v>17891</v>
      </c>
      <c r="C2982" s="242" t="s">
        <v>16540</v>
      </c>
      <c r="D2982" s="85" t="s">
        <v>17893</v>
      </c>
      <c r="E2982" s="207">
        <v>281820</v>
      </c>
      <c r="F2982" s="100">
        <v>3559386.6</v>
      </c>
      <c r="G2982" s="25"/>
      <c r="H2982" s="101">
        <v>3559386.6</v>
      </c>
      <c r="I2982" s="243">
        <v>42730</v>
      </c>
      <c r="J2982" s="66" t="s">
        <v>18360</v>
      </c>
      <c r="K2982" s="207"/>
      <c r="L2982" s="66"/>
      <c r="M2982" s="200" t="s">
        <v>12550</v>
      </c>
      <c r="N2982" s="207"/>
      <c r="O2982" s="245" t="s">
        <v>12039</v>
      </c>
    </row>
    <row r="2983" spans="1:15" ht="84" customHeight="1" x14ac:dyDescent="0.3">
      <c r="A2983" s="139">
        <v>2952</v>
      </c>
      <c r="B2983" s="242" t="s">
        <v>17891</v>
      </c>
      <c r="C2983" s="242" t="s">
        <v>16540</v>
      </c>
      <c r="D2983" s="85" t="s">
        <v>17894</v>
      </c>
      <c r="E2983" s="207">
        <v>170500</v>
      </c>
      <c r="F2983" s="100">
        <v>2153415</v>
      </c>
      <c r="G2983" s="25"/>
      <c r="H2983" s="101">
        <v>2153415</v>
      </c>
      <c r="I2983" s="243">
        <v>42730</v>
      </c>
      <c r="J2983" s="66" t="s">
        <v>18188</v>
      </c>
      <c r="K2983" s="207"/>
      <c r="L2983" s="66"/>
      <c r="M2983" s="200" t="s">
        <v>12550</v>
      </c>
      <c r="N2983" s="207"/>
      <c r="O2983" s="245" t="s">
        <v>12039</v>
      </c>
    </row>
    <row r="2984" spans="1:15" ht="84" customHeight="1" x14ac:dyDescent="0.3">
      <c r="A2984" s="139">
        <v>2953</v>
      </c>
      <c r="B2984" s="242" t="s">
        <v>17891</v>
      </c>
      <c r="C2984" s="242" t="s">
        <v>16540</v>
      </c>
      <c r="D2984" s="85" t="s">
        <v>17895</v>
      </c>
      <c r="E2984" s="207">
        <v>92005</v>
      </c>
      <c r="F2984" s="100">
        <v>1162023.1499999999</v>
      </c>
      <c r="G2984" s="25"/>
      <c r="H2984" s="101">
        <v>1162023.1499999999</v>
      </c>
      <c r="I2984" s="243">
        <v>42730</v>
      </c>
      <c r="J2984" s="66" t="s">
        <v>18187</v>
      </c>
      <c r="K2984" s="207"/>
      <c r="L2984" s="66"/>
      <c r="M2984" s="200" t="s">
        <v>12550</v>
      </c>
      <c r="N2984" s="207"/>
      <c r="O2984" s="245" t="s">
        <v>12039</v>
      </c>
    </row>
    <row r="2985" spans="1:15" ht="84" customHeight="1" x14ac:dyDescent="0.3">
      <c r="A2985" s="139">
        <v>2954</v>
      </c>
      <c r="B2985" s="242" t="s">
        <v>17891</v>
      </c>
      <c r="C2985" s="242" t="s">
        <v>16540</v>
      </c>
      <c r="D2985" s="85" t="s">
        <v>17897</v>
      </c>
      <c r="E2985" s="207">
        <v>364250</v>
      </c>
      <c r="F2985" s="100">
        <v>3117980</v>
      </c>
      <c r="G2985" s="25"/>
      <c r="H2985" s="101">
        <v>3117980</v>
      </c>
      <c r="I2985" s="243">
        <v>42730</v>
      </c>
      <c r="J2985" s="66" t="s">
        <v>18347</v>
      </c>
      <c r="K2985" s="207"/>
      <c r="L2985" s="66"/>
      <c r="M2985" s="200" t="s">
        <v>12550</v>
      </c>
      <c r="N2985" s="207"/>
      <c r="O2985" s="245" t="s">
        <v>12039</v>
      </c>
    </row>
    <row r="2986" spans="1:15" ht="84" customHeight="1" x14ac:dyDescent="0.3">
      <c r="A2986" s="139">
        <v>2955</v>
      </c>
      <c r="B2986" s="242" t="s">
        <v>17891</v>
      </c>
      <c r="C2986" s="242" t="s">
        <v>16540</v>
      </c>
      <c r="D2986" s="85" t="s">
        <v>17898</v>
      </c>
      <c r="E2986" s="207">
        <v>401000</v>
      </c>
      <c r="F2986" s="100">
        <v>3432560</v>
      </c>
      <c r="G2986" s="25"/>
      <c r="H2986" s="101">
        <v>3432560</v>
      </c>
      <c r="I2986" s="243">
        <v>42730</v>
      </c>
      <c r="J2986" s="66" t="s">
        <v>18348</v>
      </c>
      <c r="K2986" s="207"/>
      <c r="L2986" s="66"/>
      <c r="M2986" s="200" t="s">
        <v>12550</v>
      </c>
      <c r="N2986" s="207"/>
      <c r="O2986" s="245" t="s">
        <v>12039</v>
      </c>
    </row>
    <row r="2987" spans="1:15" ht="84" customHeight="1" x14ac:dyDescent="0.3">
      <c r="A2987" s="139">
        <v>2956</v>
      </c>
      <c r="B2987" s="242" t="s">
        <v>17891</v>
      </c>
      <c r="C2987" s="242" t="s">
        <v>16540</v>
      </c>
      <c r="D2987" s="85" t="s">
        <v>17899</v>
      </c>
      <c r="E2987" s="207">
        <v>1002000</v>
      </c>
      <c r="F2987" s="100">
        <v>17805540</v>
      </c>
      <c r="G2987" s="25"/>
      <c r="H2987" s="101">
        <v>17805540</v>
      </c>
      <c r="I2987" s="243">
        <v>42730</v>
      </c>
      <c r="J2987" s="66" t="s">
        <v>18195</v>
      </c>
      <c r="K2987" s="207"/>
      <c r="L2987" s="66"/>
      <c r="M2987" s="200" t="s">
        <v>12550</v>
      </c>
      <c r="N2987" s="207"/>
      <c r="O2987" s="245" t="s">
        <v>12039</v>
      </c>
    </row>
    <row r="2988" spans="1:15" ht="72" customHeight="1" x14ac:dyDescent="0.3">
      <c r="A2988" s="139">
        <v>2957</v>
      </c>
      <c r="B2988" s="242" t="s">
        <v>17913</v>
      </c>
      <c r="C2988" s="242" t="s">
        <v>17919</v>
      </c>
      <c r="D2988" s="85" t="s">
        <v>17915</v>
      </c>
      <c r="E2988" s="207">
        <v>800</v>
      </c>
      <c r="F2988" s="100">
        <v>158384</v>
      </c>
      <c r="G2988" s="25"/>
      <c r="H2988" s="101">
        <v>158384</v>
      </c>
      <c r="I2988" s="243" t="s">
        <v>17916</v>
      </c>
      <c r="J2988" s="66" t="s">
        <v>17918</v>
      </c>
      <c r="K2988" s="207"/>
      <c r="L2988" s="66"/>
      <c r="M2988" s="200" t="s">
        <v>12550</v>
      </c>
      <c r="N2988" s="207"/>
      <c r="O2988" s="245" t="s">
        <v>17917</v>
      </c>
    </row>
    <row r="2989" spans="1:15" ht="72" customHeight="1" x14ac:dyDescent="0.3">
      <c r="A2989" s="139">
        <v>2958</v>
      </c>
      <c r="B2989" s="242" t="s">
        <v>17920</v>
      </c>
      <c r="C2989" s="242" t="s">
        <v>17921</v>
      </c>
      <c r="D2989" s="85" t="s">
        <v>17922</v>
      </c>
      <c r="E2989" s="207">
        <v>800</v>
      </c>
      <c r="F2989" s="100">
        <v>158384</v>
      </c>
      <c r="G2989" s="25"/>
      <c r="H2989" s="101">
        <v>158384</v>
      </c>
      <c r="I2989" s="243">
        <v>42732</v>
      </c>
      <c r="J2989" s="66" t="s">
        <v>17923</v>
      </c>
      <c r="K2989" s="207"/>
      <c r="L2989" s="66"/>
      <c r="M2989" s="200" t="s">
        <v>12550</v>
      </c>
      <c r="N2989" s="207"/>
      <c r="O2989" s="245" t="s">
        <v>17794</v>
      </c>
    </row>
    <row r="2990" spans="1:15" ht="84" customHeight="1" x14ac:dyDescent="0.3">
      <c r="A2990" s="269">
        <v>2959</v>
      </c>
      <c r="B2990" s="262" t="s">
        <v>17924</v>
      </c>
      <c r="C2990" s="263" t="s">
        <v>17926</v>
      </c>
      <c r="D2990" s="264" t="s">
        <v>17925</v>
      </c>
      <c r="E2990" s="139">
        <v>35.299999999999997</v>
      </c>
      <c r="F2990" s="143"/>
      <c r="G2990" s="143"/>
      <c r="H2990" s="25">
        <v>840548.42</v>
      </c>
      <c r="I2990" s="26">
        <v>42758</v>
      </c>
      <c r="J2990" s="38" t="s">
        <v>17927</v>
      </c>
      <c r="K2990" s="207"/>
      <c r="L2990" s="66"/>
      <c r="M2990" s="201" t="s">
        <v>12550</v>
      </c>
      <c r="N2990" s="38"/>
      <c r="O2990" s="38"/>
    </row>
    <row r="2991" spans="1:15" ht="108" customHeight="1" x14ac:dyDescent="0.3">
      <c r="A2991" s="139">
        <v>2960</v>
      </c>
      <c r="B2991" s="82" t="s">
        <v>17924</v>
      </c>
      <c r="C2991" s="105" t="s">
        <v>19351</v>
      </c>
      <c r="D2991" s="88" t="s">
        <v>17928</v>
      </c>
      <c r="E2991" s="139">
        <v>295.8</v>
      </c>
      <c r="F2991" s="143">
        <v>6151705.2699999996</v>
      </c>
      <c r="G2991" s="143"/>
      <c r="H2991" s="25">
        <v>6151705.2699999996</v>
      </c>
      <c r="I2991" s="26" t="s">
        <v>17916</v>
      </c>
      <c r="J2991" s="38" t="s">
        <v>17929</v>
      </c>
      <c r="K2991" s="207"/>
      <c r="L2991" s="66"/>
      <c r="M2991" s="201" t="s">
        <v>12550</v>
      </c>
      <c r="N2991" s="38"/>
      <c r="O2991" s="38" t="s">
        <v>20472</v>
      </c>
    </row>
    <row r="2992" spans="1:15" ht="96" customHeight="1" x14ac:dyDescent="0.3">
      <c r="A2992" s="139">
        <v>2961</v>
      </c>
      <c r="B2992" s="82" t="s">
        <v>21320</v>
      </c>
      <c r="C2992" s="105" t="s">
        <v>17932</v>
      </c>
      <c r="D2992" s="88" t="s">
        <v>17930</v>
      </c>
      <c r="E2992" s="139">
        <v>231.9</v>
      </c>
      <c r="F2992" s="143"/>
      <c r="G2992" s="143"/>
      <c r="H2992" s="25">
        <v>4926502.1500000004</v>
      </c>
      <c r="I2992" s="26" t="s">
        <v>17916</v>
      </c>
      <c r="J2992" s="38" t="s">
        <v>17931</v>
      </c>
      <c r="K2992" s="207"/>
      <c r="L2992" s="66"/>
      <c r="M2992" s="201" t="s">
        <v>12550</v>
      </c>
      <c r="N2992" s="38"/>
      <c r="O2992" s="38"/>
    </row>
    <row r="2993" spans="1:15" ht="96" customHeight="1" x14ac:dyDescent="0.3">
      <c r="A2993" s="139" t="s">
        <v>21312</v>
      </c>
      <c r="B2993" s="82" t="s">
        <v>14078</v>
      </c>
      <c r="C2993" s="105" t="s">
        <v>21321</v>
      </c>
      <c r="D2993" s="88" t="s">
        <v>23703</v>
      </c>
      <c r="E2993" s="139">
        <v>25.5</v>
      </c>
      <c r="F2993" s="143"/>
      <c r="G2993" s="143"/>
      <c r="H2993" s="25"/>
      <c r="I2993" s="26" t="s">
        <v>23699</v>
      </c>
      <c r="J2993" s="38" t="s">
        <v>23704</v>
      </c>
      <c r="K2993" s="207"/>
      <c r="L2993" s="66"/>
      <c r="M2993" s="201" t="s">
        <v>12550</v>
      </c>
      <c r="N2993" s="38"/>
      <c r="O2993" s="38" t="s">
        <v>23691</v>
      </c>
    </row>
    <row r="2994" spans="1:15" ht="96" customHeight="1" x14ac:dyDescent="0.3">
      <c r="A2994" s="139" t="s">
        <v>21313</v>
      </c>
      <c r="B2994" s="82" t="s">
        <v>12491</v>
      </c>
      <c r="C2994" s="105" t="s">
        <v>21322</v>
      </c>
      <c r="D2994" s="88" t="s">
        <v>21331</v>
      </c>
      <c r="E2994" s="139">
        <v>41.9</v>
      </c>
      <c r="F2994" s="143"/>
      <c r="G2994" s="143"/>
      <c r="H2994" s="25"/>
      <c r="I2994" s="26" t="s">
        <v>21329</v>
      </c>
      <c r="J2994" s="38" t="s">
        <v>21330</v>
      </c>
      <c r="K2994" s="207" t="s">
        <v>21332</v>
      </c>
      <c r="L2994" s="66" t="s">
        <v>21333</v>
      </c>
      <c r="M2994" s="201" t="s">
        <v>12550</v>
      </c>
      <c r="N2994" s="38"/>
      <c r="O2994" s="38"/>
    </row>
    <row r="2995" spans="1:15" ht="132" customHeight="1" x14ac:dyDescent="0.3">
      <c r="A2995" s="139" t="s">
        <v>21314</v>
      </c>
      <c r="B2995" s="82" t="s">
        <v>12491</v>
      </c>
      <c r="C2995" s="105" t="s">
        <v>21323</v>
      </c>
      <c r="D2995" s="88" t="s">
        <v>23696</v>
      </c>
      <c r="E2995" s="139">
        <v>38.5</v>
      </c>
      <c r="F2995" s="143"/>
      <c r="G2995" s="143"/>
      <c r="H2995" s="25"/>
      <c r="I2995" s="26" t="s">
        <v>23594</v>
      </c>
      <c r="J2995" s="38" t="s">
        <v>23695</v>
      </c>
      <c r="K2995" s="207"/>
      <c r="L2995" s="66"/>
      <c r="M2995" s="201" t="s">
        <v>12550</v>
      </c>
      <c r="N2995" s="38"/>
      <c r="O2995" s="38" t="s">
        <v>23691</v>
      </c>
    </row>
    <row r="2996" spans="1:15" ht="96" customHeight="1" x14ac:dyDescent="0.3">
      <c r="A2996" s="139" t="s">
        <v>21315</v>
      </c>
      <c r="B2996" s="82" t="s">
        <v>12491</v>
      </c>
      <c r="C2996" s="105" t="s">
        <v>21324</v>
      </c>
      <c r="D2996" s="88" t="s">
        <v>23702</v>
      </c>
      <c r="E2996" s="139">
        <v>48.3</v>
      </c>
      <c r="F2996" s="143"/>
      <c r="G2996" s="143"/>
      <c r="H2996" s="25"/>
      <c r="I2996" s="26" t="s">
        <v>23699</v>
      </c>
      <c r="J2996" s="38" t="s">
        <v>23701</v>
      </c>
      <c r="K2996" s="207"/>
      <c r="L2996" s="66"/>
      <c r="M2996" s="201" t="s">
        <v>12550</v>
      </c>
      <c r="N2996" s="38"/>
      <c r="O2996" s="38"/>
    </row>
    <row r="2997" spans="1:15" ht="96" customHeight="1" x14ac:dyDescent="0.3">
      <c r="A2997" s="139" t="s">
        <v>21316</v>
      </c>
      <c r="B2997" s="82" t="s">
        <v>12491</v>
      </c>
      <c r="C2997" s="105" t="s">
        <v>21325</v>
      </c>
      <c r="D2997" s="88" t="s">
        <v>23697</v>
      </c>
      <c r="E2997" s="139">
        <v>46.1</v>
      </c>
      <c r="F2997" s="143"/>
      <c r="G2997" s="143"/>
      <c r="H2997" s="25"/>
      <c r="I2997" s="26" t="s">
        <v>23637</v>
      </c>
      <c r="J2997" s="38" t="s">
        <v>23638</v>
      </c>
      <c r="K2997" s="26"/>
      <c r="L2997" s="66"/>
      <c r="M2997" s="201" t="s">
        <v>12550</v>
      </c>
      <c r="N2997" s="38"/>
      <c r="O2997" s="38" t="s">
        <v>23691</v>
      </c>
    </row>
    <row r="2998" spans="1:15" ht="96" customHeight="1" x14ac:dyDescent="0.3">
      <c r="A2998" s="139" t="s">
        <v>21317</v>
      </c>
      <c r="B2998" s="82" t="s">
        <v>12491</v>
      </c>
      <c r="C2998" s="105" t="s">
        <v>21326</v>
      </c>
      <c r="D2998" s="88" t="s">
        <v>21334</v>
      </c>
      <c r="E2998" s="139">
        <v>50.6</v>
      </c>
      <c r="F2998" s="143"/>
      <c r="G2998" s="143"/>
      <c r="H2998" s="25"/>
      <c r="I2998" s="26" t="s">
        <v>23689</v>
      </c>
      <c r="J2998" s="38" t="s">
        <v>23692</v>
      </c>
      <c r="K2998" s="207"/>
      <c r="L2998" s="66"/>
      <c r="M2998" s="201" t="s">
        <v>12550</v>
      </c>
      <c r="N2998" s="38"/>
      <c r="O2998" s="38" t="s">
        <v>23691</v>
      </c>
    </row>
    <row r="2999" spans="1:15" ht="96" customHeight="1" x14ac:dyDescent="0.3">
      <c r="A2999" s="139" t="s">
        <v>21318</v>
      </c>
      <c r="B2999" s="82" t="s">
        <v>12491</v>
      </c>
      <c r="C2999" s="105" t="s">
        <v>21327</v>
      </c>
      <c r="D2999" s="88" t="s">
        <v>21335</v>
      </c>
      <c r="E2999" s="139">
        <v>47.6</v>
      </c>
      <c r="F2999" s="143"/>
      <c r="G2999" s="143"/>
      <c r="H2999" s="25"/>
      <c r="I2999" s="26" t="s">
        <v>21329</v>
      </c>
      <c r="J2999" s="38" t="s">
        <v>21330</v>
      </c>
      <c r="K2999" s="207" t="s">
        <v>21336</v>
      </c>
      <c r="L2999" s="66" t="s">
        <v>21337</v>
      </c>
      <c r="M2999" s="201" t="s">
        <v>12550</v>
      </c>
      <c r="N2999" s="38"/>
      <c r="O2999" s="38"/>
    </row>
    <row r="3000" spans="1:15" ht="96" customHeight="1" x14ac:dyDescent="0.3">
      <c r="A3000" s="139" t="s">
        <v>21319</v>
      </c>
      <c r="B3000" s="82" t="s">
        <v>14078</v>
      </c>
      <c r="C3000" s="105" t="s">
        <v>21328</v>
      </c>
      <c r="D3000" s="88" t="s">
        <v>21338</v>
      </c>
      <c r="E3000" s="139">
        <v>25.2</v>
      </c>
      <c r="F3000" s="143"/>
      <c r="G3000" s="143"/>
      <c r="H3000" s="25"/>
      <c r="I3000" s="26" t="s">
        <v>21329</v>
      </c>
      <c r="J3000" s="38" t="s">
        <v>21330</v>
      </c>
      <c r="K3000" s="26">
        <v>39457</v>
      </c>
      <c r="L3000" s="66" t="s">
        <v>21339</v>
      </c>
      <c r="M3000" s="201" t="s">
        <v>12550</v>
      </c>
      <c r="N3000" s="38"/>
      <c r="O3000" s="38"/>
    </row>
    <row r="3001" spans="1:15" ht="84" customHeight="1" x14ac:dyDescent="0.3">
      <c r="A3001" s="139">
        <v>2962</v>
      </c>
      <c r="B3001" s="82" t="s">
        <v>23454</v>
      </c>
      <c r="C3001" s="105" t="s">
        <v>17933</v>
      </c>
      <c r="D3001" s="88" t="s">
        <v>17934</v>
      </c>
      <c r="E3001" s="139">
        <v>129.80000000000001</v>
      </c>
      <c r="F3001" s="143"/>
      <c r="G3001" s="143"/>
      <c r="H3001" s="25">
        <v>1756206.98</v>
      </c>
      <c r="I3001" s="26" t="s">
        <v>17916</v>
      </c>
      <c r="J3001" s="38" t="s">
        <v>17935</v>
      </c>
      <c r="K3001" s="207"/>
      <c r="L3001" s="66"/>
      <c r="M3001" s="201" t="s">
        <v>12550</v>
      </c>
      <c r="N3001" s="38"/>
      <c r="O3001" s="38" t="s">
        <v>17869</v>
      </c>
    </row>
    <row r="3002" spans="1:15" ht="84" customHeight="1" x14ac:dyDescent="0.3">
      <c r="A3002" s="139" t="s">
        <v>23449</v>
      </c>
      <c r="B3002" s="246" t="s">
        <v>14078</v>
      </c>
      <c r="C3002" s="105" t="s">
        <v>23456</v>
      </c>
      <c r="D3002" s="88" t="s">
        <v>23463</v>
      </c>
      <c r="E3002" s="139">
        <v>22.1</v>
      </c>
      <c r="F3002" s="143"/>
      <c r="G3002" s="143"/>
      <c r="H3002" s="25"/>
      <c r="I3002" s="26" t="s">
        <v>17916</v>
      </c>
      <c r="J3002" s="38" t="s">
        <v>23462</v>
      </c>
      <c r="K3002" s="207"/>
      <c r="L3002" s="245"/>
      <c r="M3002" s="201" t="s">
        <v>12550</v>
      </c>
      <c r="N3002" s="38"/>
      <c r="O3002" s="38" t="s">
        <v>23319</v>
      </c>
    </row>
    <row r="3003" spans="1:15" ht="84" customHeight="1" x14ac:dyDescent="0.3">
      <c r="A3003" s="139" t="s">
        <v>23450</v>
      </c>
      <c r="B3003" s="246" t="s">
        <v>14078</v>
      </c>
      <c r="C3003" s="105" t="s">
        <v>23457</v>
      </c>
      <c r="D3003" s="88" t="s">
        <v>23464</v>
      </c>
      <c r="E3003" s="139">
        <v>22.5</v>
      </c>
      <c r="F3003" s="143"/>
      <c r="G3003" s="143"/>
      <c r="H3003" s="25"/>
      <c r="I3003" s="26" t="s">
        <v>17916</v>
      </c>
      <c r="J3003" s="38" t="s">
        <v>23462</v>
      </c>
      <c r="K3003" s="207"/>
      <c r="L3003" s="245"/>
      <c r="M3003" s="201" t="s">
        <v>12550</v>
      </c>
      <c r="N3003" s="38"/>
      <c r="O3003" s="38" t="s">
        <v>23319</v>
      </c>
    </row>
    <row r="3004" spans="1:15" ht="84" customHeight="1" x14ac:dyDescent="0.3">
      <c r="A3004" s="139" t="s">
        <v>23451</v>
      </c>
      <c r="B3004" s="246" t="s">
        <v>14078</v>
      </c>
      <c r="C3004" s="105" t="s">
        <v>23458</v>
      </c>
      <c r="D3004" s="88" t="s">
        <v>23466</v>
      </c>
      <c r="E3004" s="139">
        <v>20.399999999999999</v>
      </c>
      <c r="F3004" s="143"/>
      <c r="G3004" s="143"/>
      <c r="H3004" s="25"/>
      <c r="I3004" s="26" t="s">
        <v>17916</v>
      </c>
      <c r="J3004" s="38" t="s">
        <v>23462</v>
      </c>
      <c r="K3004" s="207"/>
      <c r="L3004" s="245"/>
      <c r="M3004" s="201" t="s">
        <v>12550</v>
      </c>
      <c r="N3004" s="38"/>
      <c r="O3004" s="38" t="s">
        <v>23483</v>
      </c>
    </row>
    <row r="3005" spans="1:15" ht="84" customHeight="1" x14ac:dyDescent="0.3">
      <c r="A3005" s="139" t="s">
        <v>23452</v>
      </c>
      <c r="B3005" s="246" t="s">
        <v>14078</v>
      </c>
      <c r="C3005" s="105" t="s">
        <v>23459</v>
      </c>
      <c r="D3005" s="88" t="s">
        <v>23465</v>
      </c>
      <c r="E3005" s="139">
        <v>21</v>
      </c>
      <c r="F3005" s="143"/>
      <c r="G3005" s="143"/>
      <c r="H3005" s="25"/>
      <c r="I3005" s="26" t="s">
        <v>17916</v>
      </c>
      <c r="J3005" s="38" t="s">
        <v>23462</v>
      </c>
      <c r="K3005" s="207"/>
      <c r="L3005" s="245"/>
      <c r="M3005" s="201" t="s">
        <v>12550</v>
      </c>
      <c r="N3005" s="38"/>
      <c r="O3005" s="38" t="s">
        <v>23319</v>
      </c>
    </row>
    <row r="3006" spans="1:15" ht="84" customHeight="1" x14ac:dyDescent="0.3">
      <c r="A3006" s="139" t="s">
        <v>23453</v>
      </c>
      <c r="B3006" s="246" t="s">
        <v>14078</v>
      </c>
      <c r="C3006" s="105" t="s">
        <v>23460</v>
      </c>
      <c r="D3006" s="88" t="s">
        <v>23467</v>
      </c>
      <c r="E3006" s="139">
        <v>21.7</v>
      </c>
      <c r="F3006" s="143"/>
      <c r="G3006" s="143"/>
      <c r="H3006" s="25"/>
      <c r="I3006" s="26" t="s">
        <v>17916</v>
      </c>
      <c r="J3006" s="38" t="s">
        <v>23462</v>
      </c>
      <c r="K3006" s="207"/>
      <c r="L3006" s="245"/>
      <c r="M3006" s="201" t="s">
        <v>12550</v>
      </c>
      <c r="N3006" s="38"/>
      <c r="O3006" s="38" t="s">
        <v>23319</v>
      </c>
    </row>
    <row r="3007" spans="1:15" ht="84" customHeight="1" x14ac:dyDescent="0.3">
      <c r="A3007" s="139" t="s">
        <v>23455</v>
      </c>
      <c r="B3007" s="246" t="s">
        <v>14078</v>
      </c>
      <c r="C3007" s="105" t="s">
        <v>23461</v>
      </c>
      <c r="D3007" s="88" t="s">
        <v>23468</v>
      </c>
      <c r="E3007" s="139">
        <v>22.1</v>
      </c>
      <c r="F3007" s="143"/>
      <c r="G3007" s="143"/>
      <c r="H3007" s="25"/>
      <c r="I3007" s="26" t="s">
        <v>17916</v>
      </c>
      <c r="J3007" s="38" t="s">
        <v>23462</v>
      </c>
      <c r="K3007" s="207"/>
      <c r="L3007" s="245"/>
      <c r="M3007" s="201" t="s">
        <v>12550</v>
      </c>
      <c r="N3007" s="38"/>
      <c r="O3007" s="38" t="s">
        <v>23319</v>
      </c>
    </row>
    <row r="3008" spans="1:15" ht="84" customHeight="1" x14ac:dyDescent="0.3">
      <c r="A3008" s="139">
        <v>2963</v>
      </c>
      <c r="B3008" s="82" t="s">
        <v>23318</v>
      </c>
      <c r="C3008" s="105" t="s">
        <v>17936</v>
      </c>
      <c r="D3008" s="88" t="s">
        <v>17940</v>
      </c>
      <c r="E3008" s="139">
        <v>385.2</v>
      </c>
      <c r="F3008" s="143"/>
      <c r="G3008" s="143"/>
      <c r="H3008" s="25">
        <v>9130538.1199999992</v>
      </c>
      <c r="I3008" s="26">
        <v>42758</v>
      </c>
      <c r="J3008" s="38" t="s">
        <v>17937</v>
      </c>
      <c r="K3008" s="207"/>
      <c r="L3008" s="66"/>
      <c r="M3008" s="201" t="s">
        <v>12550</v>
      </c>
      <c r="N3008" s="38"/>
      <c r="O3008" s="38"/>
    </row>
    <row r="3009" spans="1:15" ht="120" x14ac:dyDescent="0.3">
      <c r="A3009" s="139" t="s">
        <v>23311</v>
      </c>
      <c r="B3009" s="246" t="s">
        <v>14078</v>
      </c>
      <c r="C3009" s="105" t="s">
        <v>23303</v>
      </c>
      <c r="D3009" s="88"/>
      <c r="E3009" s="139">
        <v>56.5</v>
      </c>
      <c r="F3009" s="143"/>
      <c r="G3009" s="143"/>
      <c r="H3009" s="25"/>
      <c r="I3009" s="26">
        <v>42758</v>
      </c>
      <c r="J3009" s="38" t="s">
        <v>23296</v>
      </c>
      <c r="K3009" s="207"/>
      <c r="L3009" s="245"/>
      <c r="M3009" s="201" t="s">
        <v>12550</v>
      </c>
      <c r="N3009" s="38"/>
      <c r="O3009" s="38" t="s">
        <v>23319</v>
      </c>
    </row>
    <row r="3010" spans="1:15" ht="84" customHeight="1" x14ac:dyDescent="0.3">
      <c r="A3010" s="139" t="s">
        <v>23312</v>
      </c>
      <c r="B3010" s="246" t="s">
        <v>23310</v>
      </c>
      <c r="C3010" s="105" t="s">
        <v>23304</v>
      </c>
      <c r="D3010" s="88"/>
      <c r="E3010" s="139">
        <v>113.8</v>
      </c>
      <c r="F3010" s="143"/>
      <c r="G3010" s="143"/>
      <c r="H3010" s="25"/>
      <c r="I3010" s="26">
        <v>42758</v>
      </c>
      <c r="J3010" s="38" t="s">
        <v>23297</v>
      </c>
      <c r="K3010" s="207"/>
      <c r="L3010" s="245"/>
      <c r="M3010" s="201" t="s">
        <v>12550</v>
      </c>
      <c r="N3010" s="38"/>
      <c r="O3010" s="38" t="s">
        <v>23319</v>
      </c>
    </row>
    <row r="3011" spans="1:15" ht="84" customHeight="1" x14ac:dyDescent="0.3">
      <c r="A3011" s="139" t="s">
        <v>23313</v>
      </c>
      <c r="B3011" s="246" t="s">
        <v>14078</v>
      </c>
      <c r="C3011" s="105" t="s">
        <v>23305</v>
      </c>
      <c r="D3011" s="88"/>
      <c r="E3011" s="139">
        <v>38.9</v>
      </c>
      <c r="F3011" s="143"/>
      <c r="G3011" s="143"/>
      <c r="H3011" s="25"/>
      <c r="I3011" s="26">
        <v>42758</v>
      </c>
      <c r="J3011" s="38" t="s">
        <v>23298</v>
      </c>
      <c r="K3011" s="207"/>
      <c r="L3011" s="245"/>
      <c r="M3011" s="201" t="s">
        <v>12550</v>
      </c>
      <c r="N3011" s="38"/>
      <c r="O3011" s="38" t="s">
        <v>23319</v>
      </c>
    </row>
    <row r="3012" spans="1:15" ht="84" customHeight="1" x14ac:dyDescent="0.3">
      <c r="A3012" s="139" t="s">
        <v>23314</v>
      </c>
      <c r="B3012" s="246" t="s">
        <v>14078</v>
      </c>
      <c r="C3012" s="105" t="s">
        <v>23306</v>
      </c>
      <c r="D3012" s="88"/>
      <c r="E3012" s="139">
        <v>36.9</v>
      </c>
      <c r="F3012" s="143"/>
      <c r="G3012" s="143"/>
      <c r="H3012" s="25"/>
      <c r="I3012" s="26">
        <v>42758</v>
      </c>
      <c r="J3012" s="38" t="s">
        <v>23299</v>
      </c>
      <c r="K3012" s="207"/>
      <c r="L3012" s="245"/>
      <c r="M3012" s="201" t="s">
        <v>12550</v>
      </c>
      <c r="N3012" s="38"/>
      <c r="O3012" s="38" t="s">
        <v>23319</v>
      </c>
    </row>
    <row r="3013" spans="1:15" ht="84" customHeight="1" x14ac:dyDescent="0.3">
      <c r="A3013" s="139" t="s">
        <v>23315</v>
      </c>
      <c r="B3013" s="246" t="s">
        <v>14078</v>
      </c>
      <c r="C3013" s="105" t="s">
        <v>23307</v>
      </c>
      <c r="D3013" s="88"/>
      <c r="E3013" s="139">
        <v>33.5</v>
      </c>
      <c r="F3013" s="143"/>
      <c r="G3013" s="143"/>
      <c r="H3013" s="25"/>
      <c r="I3013" s="26">
        <v>42758</v>
      </c>
      <c r="J3013" s="38" t="s">
        <v>23300</v>
      </c>
      <c r="K3013" s="207"/>
      <c r="L3013" s="245"/>
      <c r="M3013" s="201" t="s">
        <v>12550</v>
      </c>
      <c r="N3013" s="38"/>
      <c r="O3013" s="38" t="s">
        <v>23319</v>
      </c>
    </row>
    <row r="3014" spans="1:15" ht="84" customHeight="1" x14ac:dyDescent="0.3">
      <c r="A3014" s="139" t="s">
        <v>23316</v>
      </c>
      <c r="B3014" s="246" t="s">
        <v>14078</v>
      </c>
      <c r="C3014" s="105" t="s">
        <v>23308</v>
      </c>
      <c r="D3014" s="88"/>
      <c r="E3014" s="139">
        <v>43</v>
      </c>
      <c r="F3014" s="143"/>
      <c r="G3014" s="143"/>
      <c r="H3014" s="25"/>
      <c r="I3014" s="26">
        <v>42758</v>
      </c>
      <c r="J3014" s="38" t="s">
        <v>23301</v>
      </c>
      <c r="K3014" s="207"/>
      <c r="L3014" s="245"/>
      <c r="M3014" s="201" t="s">
        <v>12550</v>
      </c>
      <c r="N3014" s="38"/>
      <c r="O3014" s="38" t="s">
        <v>23319</v>
      </c>
    </row>
    <row r="3015" spans="1:15" ht="84" customHeight="1" x14ac:dyDescent="0.3">
      <c r="A3015" s="139" t="s">
        <v>23317</v>
      </c>
      <c r="B3015" s="246" t="s">
        <v>12491</v>
      </c>
      <c r="C3015" s="105" t="s">
        <v>23309</v>
      </c>
      <c r="D3015" s="88"/>
      <c r="E3015" s="139">
        <v>62.6</v>
      </c>
      <c r="F3015" s="143"/>
      <c r="G3015" s="143"/>
      <c r="H3015" s="25"/>
      <c r="I3015" s="26">
        <v>42758</v>
      </c>
      <c r="J3015" s="38" t="s">
        <v>23302</v>
      </c>
      <c r="K3015" s="207"/>
      <c r="L3015" s="245"/>
      <c r="M3015" s="201" t="s">
        <v>12550</v>
      </c>
      <c r="N3015" s="38"/>
      <c r="O3015" s="38" t="s">
        <v>23484</v>
      </c>
    </row>
    <row r="3016" spans="1:15" ht="84" customHeight="1" x14ac:dyDescent="0.3">
      <c r="A3016" s="139">
        <v>2964</v>
      </c>
      <c r="B3016" s="82" t="s">
        <v>17938</v>
      </c>
      <c r="C3016" s="105" t="s">
        <v>17939</v>
      </c>
      <c r="D3016" s="88" t="s">
        <v>17941</v>
      </c>
      <c r="E3016" s="139">
        <v>224.4</v>
      </c>
      <c r="F3016" s="143"/>
      <c r="G3016" s="143"/>
      <c r="H3016" s="25">
        <v>5137698.59</v>
      </c>
      <c r="I3016" s="26">
        <v>42758</v>
      </c>
      <c r="J3016" s="38" t="s">
        <v>17942</v>
      </c>
      <c r="K3016" s="207"/>
      <c r="L3016" s="66"/>
      <c r="M3016" s="201" t="s">
        <v>12550</v>
      </c>
      <c r="N3016" s="38"/>
      <c r="O3016" s="38" t="s">
        <v>21754</v>
      </c>
    </row>
    <row r="3017" spans="1:15" ht="84" customHeight="1" x14ac:dyDescent="0.3">
      <c r="A3017" s="139">
        <v>2965</v>
      </c>
      <c r="B3017" s="82" t="s">
        <v>18098</v>
      </c>
      <c r="C3017" s="105" t="s">
        <v>18095</v>
      </c>
      <c r="D3017" s="88" t="s">
        <v>18096</v>
      </c>
      <c r="E3017" s="139">
        <v>64.900000000000006</v>
      </c>
      <c r="F3017" s="143"/>
      <c r="G3017" s="143"/>
      <c r="H3017" s="25">
        <v>1040689.67</v>
      </c>
      <c r="I3017" s="26">
        <v>42758</v>
      </c>
      <c r="J3017" s="38" t="s">
        <v>18097</v>
      </c>
      <c r="K3017" s="207"/>
      <c r="L3017" s="66"/>
      <c r="M3017" s="201" t="s">
        <v>12550</v>
      </c>
      <c r="N3017" s="38"/>
      <c r="O3017" s="38"/>
    </row>
    <row r="3018" spans="1:15" ht="84" customHeight="1" x14ac:dyDescent="0.3">
      <c r="A3018" s="139">
        <v>2966</v>
      </c>
      <c r="B3018" s="82" t="s">
        <v>18099</v>
      </c>
      <c r="C3018" s="105" t="s">
        <v>18100</v>
      </c>
      <c r="D3018" s="88" t="s">
        <v>18101</v>
      </c>
      <c r="E3018" s="139">
        <v>255.9</v>
      </c>
      <c r="F3018" s="143"/>
      <c r="G3018" s="143"/>
      <c r="H3018" s="25">
        <v>8549158.3800000008</v>
      </c>
      <c r="I3018" s="26">
        <v>42758</v>
      </c>
      <c r="J3018" s="38" t="s">
        <v>18102</v>
      </c>
      <c r="K3018" s="207"/>
      <c r="L3018" s="66"/>
      <c r="M3018" s="201" t="s">
        <v>12550</v>
      </c>
      <c r="N3018" s="38"/>
      <c r="O3018" s="38"/>
    </row>
    <row r="3019" spans="1:15" ht="72" customHeight="1" x14ac:dyDescent="0.3">
      <c r="A3019" s="139">
        <v>2967</v>
      </c>
      <c r="B3019" s="242" t="s">
        <v>17913</v>
      </c>
      <c r="C3019" s="242" t="s">
        <v>18103</v>
      </c>
      <c r="D3019" s="85" t="s">
        <v>18104</v>
      </c>
      <c r="E3019" s="207">
        <v>700</v>
      </c>
      <c r="F3019" s="100">
        <v>157857</v>
      </c>
      <c r="G3019" s="25"/>
      <c r="H3019" s="101">
        <v>157857</v>
      </c>
      <c r="I3019" s="243">
        <v>42762</v>
      </c>
      <c r="J3019" s="66" t="s">
        <v>18105</v>
      </c>
      <c r="K3019" s="207"/>
      <c r="L3019" s="66"/>
      <c r="M3019" s="200" t="s">
        <v>12550</v>
      </c>
      <c r="N3019" s="207"/>
      <c r="O3019" s="245" t="s">
        <v>17794</v>
      </c>
    </row>
    <row r="3020" spans="1:15" ht="72" customHeight="1" x14ac:dyDescent="0.3">
      <c r="A3020" s="139">
        <v>2968</v>
      </c>
      <c r="B3020" s="242" t="s">
        <v>17920</v>
      </c>
      <c r="C3020" s="242" t="s">
        <v>18106</v>
      </c>
      <c r="D3020" s="85" t="s">
        <v>18107</v>
      </c>
      <c r="E3020" s="207">
        <v>1000</v>
      </c>
      <c r="F3020" s="100">
        <v>183520</v>
      </c>
      <c r="G3020" s="25"/>
      <c r="H3020" s="101">
        <v>182520</v>
      </c>
      <c r="I3020" s="243">
        <v>42766</v>
      </c>
      <c r="J3020" s="66" t="s">
        <v>18684</v>
      </c>
      <c r="K3020" s="207"/>
      <c r="L3020" s="66"/>
      <c r="M3020" s="200" t="s">
        <v>12550</v>
      </c>
      <c r="N3020" s="207"/>
      <c r="O3020" s="245" t="s">
        <v>17794</v>
      </c>
    </row>
    <row r="3021" spans="1:15" ht="84" customHeight="1" x14ac:dyDescent="0.3">
      <c r="A3021" s="139">
        <v>2969</v>
      </c>
      <c r="B3021" s="242" t="s">
        <v>18126</v>
      </c>
      <c r="C3021" s="242" t="s">
        <v>16540</v>
      </c>
      <c r="D3021" s="85" t="s">
        <v>18127</v>
      </c>
      <c r="E3021" s="207">
        <v>37000</v>
      </c>
      <c r="F3021" s="100">
        <v>6197130</v>
      </c>
      <c r="G3021" s="25"/>
      <c r="H3021" s="101">
        <v>6197130</v>
      </c>
      <c r="I3021" s="243">
        <v>42780</v>
      </c>
      <c r="J3021" s="66" t="s">
        <v>18182</v>
      </c>
      <c r="K3021" s="26">
        <v>42900</v>
      </c>
      <c r="L3021" s="66" t="s">
        <v>18748</v>
      </c>
      <c r="M3021" s="200" t="s">
        <v>12550</v>
      </c>
      <c r="N3021" s="207"/>
      <c r="O3021" s="245" t="s">
        <v>17794</v>
      </c>
    </row>
    <row r="3022" spans="1:15" ht="84" customHeight="1" x14ac:dyDescent="0.3">
      <c r="A3022" s="139">
        <v>2970</v>
      </c>
      <c r="B3022" s="242" t="s">
        <v>17891</v>
      </c>
      <c r="C3022" s="242" t="s">
        <v>16540</v>
      </c>
      <c r="D3022" s="85" t="s">
        <v>18128</v>
      </c>
      <c r="E3022" s="207">
        <v>1715000</v>
      </c>
      <c r="F3022" s="100">
        <v>30475550</v>
      </c>
      <c r="G3022" s="25"/>
      <c r="H3022" s="101">
        <v>30475550</v>
      </c>
      <c r="I3022" s="243">
        <v>42780</v>
      </c>
      <c r="J3022" s="66" t="s">
        <v>18184</v>
      </c>
      <c r="K3022" s="207"/>
      <c r="L3022" s="66"/>
      <c r="M3022" s="200" t="s">
        <v>12550</v>
      </c>
      <c r="N3022" s="207"/>
      <c r="O3022" s="245" t="s">
        <v>17794</v>
      </c>
    </row>
    <row r="3023" spans="1:15" ht="72" customHeight="1" x14ac:dyDescent="0.3">
      <c r="A3023" s="139">
        <v>2971</v>
      </c>
      <c r="B3023" s="242" t="s">
        <v>17913</v>
      </c>
      <c r="C3023" s="242" t="s">
        <v>18129</v>
      </c>
      <c r="D3023" s="85" t="s">
        <v>18130</v>
      </c>
      <c r="E3023" s="207">
        <v>800</v>
      </c>
      <c r="F3023" s="100">
        <v>158384</v>
      </c>
      <c r="G3023" s="25"/>
      <c r="H3023" s="101">
        <v>158384</v>
      </c>
      <c r="I3023" s="243">
        <v>42783</v>
      </c>
      <c r="J3023" s="66" t="s">
        <v>18131</v>
      </c>
      <c r="K3023" s="207"/>
      <c r="L3023" s="66"/>
      <c r="M3023" s="200" t="s">
        <v>12550</v>
      </c>
      <c r="N3023" s="207"/>
      <c r="O3023" s="245" t="s">
        <v>17794</v>
      </c>
    </row>
    <row r="3024" spans="1:15" ht="84" customHeight="1" x14ac:dyDescent="0.3">
      <c r="A3024" s="139">
        <v>2972</v>
      </c>
      <c r="B3024" s="242" t="s">
        <v>17891</v>
      </c>
      <c r="C3024" s="242" t="s">
        <v>16540</v>
      </c>
      <c r="D3024" s="85" t="s">
        <v>18160</v>
      </c>
      <c r="E3024" s="207">
        <v>889082</v>
      </c>
      <c r="F3024" s="100">
        <v>15798987.140000001</v>
      </c>
      <c r="G3024" s="25"/>
      <c r="H3024" s="101">
        <v>15798987.140000001</v>
      </c>
      <c r="I3024" s="243">
        <v>42724</v>
      </c>
      <c r="J3024" s="66" t="s">
        <v>18183</v>
      </c>
      <c r="K3024" s="207"/>
      <c r="L3024" s="66"/>
      <c r="M3024" s="200" t="s">
        <v>12550</v>
      </c>
      <c r="N3024" s="207"/>
      <c r="O3024" s="245" t="s">
        <v>17794</v>
      </c>
    </row>
    <row r="3025" spans="1:26" ht="197.4" customHeight="1" x14ac:dyDescent="0.3">
      <c r="A3025" s="139">
        <v>2973</v>
      </c>
      <c r="B3025" s="242" t="s">
        <v>21770</v>
      </c>
      <c r="C3025" s="242" t="s">
        <v>16540</v>
      </c>
      <c r="D3025" s="85" t="s">
        <v>18161</v>
      </c>
      <c r="E3025" s="207">
        <v>510000</v>
      </c>
      <c r="F3025" s="100">
        <v>6441300</v>
      </c>
      <c r="G3025" s="25"/>
      <c r="H3025" s="101">
        <v>6441300</v>
      </c>
      <c r="I3025" s="243">
        <v>42726</v>
      </c>
      <c r="J3025" s="66" t="s">
        <v>21771</v>
      </c>
      <c r="K3025" s="207"/>
      <c r="L3025" s="66"/>
      <c r="M3025" s="200" t="s">
        <v>12550</v>
      </c>
      <c r="N3025" s="207"/>
      <c r="O3025" s="245" t="s">
        <v>17794</v>
      </c>
    </row>
    <row r="3026" spans="1:26" ht="96" customHeight="1" x14ac:dyDescent="0.3">
      <c r="A3026" s="139">
        <v>2974</v>
      </c>
      <c r="B3026" s="242" t="s">
        <v>17891</v>
      </c>
      <c r="C3026" s="242" t="s">
        <v>16540</v>
      </c>
      <c r="D3026" s="85" t="s">
        <v>18162</v>
      </c>
      <c r="E3026" s="207">
        <v>77000</v>
      </c>
      <c r="F3026" s="100">
        <v>972510</v>
      </c>
      <c r="G3026" s="25"/>
      <c r="H3026" s="101">
        <v>972510</v>
      </c>
      <c r="I3026" s="243">
        <v>42726</v>
      </c>
      <c r="J3026" s="66" t="s">
        <v>18185</v>
      </c>
      <c r="K3026" s="207"/>
      <c r="L3026" s="66"/>
      <c r="M3026" s="200" t="s">
        <v>12550</v>
      </c>
      <c r="N3026" s="207"/>
      <c r="O3026" s="245" t="s">
        <v>17794</v>
      </c>
    </row>
    <row r="3027" spans="1:26" ht="72" customHeight="1" x14ac:dyDescent="0.3">
      <c r="A3027" s="139">
        <v>2975</v>
      </c>
      <c r="B3027" s="242" t="s">
        <v>17913</v>
      </c>
      <c r="C3027" s="242" t="s">
        <v>18163</v>
      </c>
      <c r="D3027" s="85" t="s">
        <v>18164</v>
      </c>
      <c r="E3027" s="207">
        <v>800</v>
      </c>
      <c r="F3027" s="100">
        <v>175240</v>
      </c>
      <c r="G3027" s="25"/>
      <c r="H3027" s="101">
        <v>175240</v>
      </c>
      <c r="I3027" s="243">
        <v>42791</v>
      </c>
      <c r="J3027" s="66" t="s">
        <v>18165</v>
      </c>
      <c r="K3027" s="207"/>
      <c r="L3027" s="66"/>
      <c r="M3027" s="200" t="s">
        <v>12550</v>
      </c>
      <c r="N3027" s="207"/>
      <c r="O3027" s="245" t="s">
        <v>17794</v>
      </c>
    </row>
    <row r="3028" spans="1:26" ht="156" customHeight="1" x14ac:dyDescent="0.3">
      <c r="A3028" s="139">
        <v>2976</v>
      </c>
      <c r="B3028" s="242" t="s">
        <v>18166</v>
      </c>
      <c r="C3028" s="242" t="s">
        <v>18167</v>
      </c>
      <c r="D3028" s="60" t="s">
        <v>18168</v>
      </c>
      <c r="E3028" s="242">
        <v>8625</v>
      </c>
      <c r="F3028" s="244">
        <v>1463403.75</v>
      </c>
      <c r="G3028" s="244"/>
      <c r="H3028" s="244">
        <v>1463403.75</v>
      </c>
      <c r="I3028" s="243">
        <v>42723</v>
      </c>
      <c r="J3028" s="66" t="s">
        <v>18169</v>
      </c>
      <c r="K3028" s="242"/>
      <c r="L3028" s="66"/>
      <c r="M3028" s="200" t="s">
        <v>12550</v>
      </c>
      <c r="N3028" s="207"/>
      <c r="O3028" s="245" t="s">
        <v>17794</v>
      </c>
      <c r="Q3028" s="161"/>
      <c r="R3028" s="161"/>
      <c r="S3028" s="161"/>
      <c r="T3028" s="161"/>
      <c r="U3028" s="161"/>
      <c r="V3028" s="161"/>
      <c r="W3028" s="161"/>
      <c r="X3028" s="161"/>
      <c r="Y3028" s="161"/>
      <c r="Z3028" s="161"/>
    </row>
    <row r="3029" spans="1:26" s="161" customFormat="1" ht="84" customHeight="1" x14ac:dyDescent="0.3">
      <c r="A3029" s="139">
        <v>2977</v>
      </c>
      <c r="B3029" s="242" t="s">
        <v>17891</v>
      </c>
      <c r="C3029" s="242" t="s">
        <v>16540</v>
      </c>
      <c r="D3029" s="85" t="s">
        <v>18191</v>
      </c>
      <c r="E3029" s="207">
        <v>1345570</v>
      </c>
      <c r="F3029" s="194">
        <v>25915678.199999999</v>
      </c>
      <c r="G3029" s="25"/>
      <c r="H3029" s="195">
        <v>25915678.199999999</v>
      </c>
      <c r="I3029" s="243" t="s">
        <v>18192</v>
      </c>
      <c r="J3029" s="66" t="s">
        <v>18202</v>
      </c>
      <c r="K3029" s="207"/>
      <c r="L3029" s="66"/>
      <c r="M3029" s="200" t="s">
        <v>12550</v>
      </c>
      <c r="N3029" s="207"/>
      <c r="O3029" s="245" t="s">
        <v>17794</v>
      </c>
      <c r="Q3029" s="197"/>
    </row>
    <row r="3030" spans="1:26" s="161" customFormat="1" ht="72" customHeight="1" x14ac:dyDescent="0.3">
      <c r="A3030" s="273">
        <v>2978</v>
      </c>
      <c r="B3030" s="23" t="s">
        <v>11409</v>
      </c>
      <c r="C3030" s="23" t="s">
        <v>18518</v>
      </c>
      <c r="D3030" s="274" t="s">
        <v>18519</v>
      </c>
      <c r="E3030" s="242">
        <v>32.299999999999997</v>
      </c>
      <c r="F3030" s="244">
        <v>1376892</v>
      </c>
      <c r="G3030" s="242"/>
      <c r="H3030" s="242">
        <v>349838.07</v>
      </c>
      <c r="I3030" s="243">
        <v>42831</v>
      </c>
      <c r="J3030" s="242" t="s">
        <v>18520</v>
      </c>
      <c r="K3030" s="242"/>
      <c r="L3030" s="66"/>
      <c r="M3030" s="201" t="s">
        <v>12550</v>
      </c>
      <c r="N3030" s="242" t="s">
        <v>19173</v>
      </c>
      <c r="O3030" s="245"/>
      <c r="Q3030" s="197"/>
    </row>
    <row r="3031" spans="1:26" ht="84" customHeight="1" x14ac:dyDescent="0.3">
      <c r="A3031" s="139">
        <v>2979</v>
      </c>
      <c r="B3031" s="242" t="s">
        <v>11409</v>
      </c>
      <c r="C3031" s="242" t="s">
        <v>18521</v>
      </c>
      <c r="D3031" s="87" t="s">
        <v>18522</v>
      </c>
      <c r="E3031" s="242">
        <v>29.4</v>
      </c>
      <c r="F3031" s="244">
        <v>1063099.1299999999</v>
      </c>
      <c r="G3031" s="242"/>
      <c r="H3031" s="242">
        <v>884833.87</v>
      </c>
      <c r="I3031" s="243">
        <v>42838</v>
      </c>
      <c r="J3031" s="242" t="s">
        <v>18523</v>
      </c>
      <c r="K3031" s="242"/>
      <c r="L3031" s="66"/>
      <c r="M3031" s="201" t="s">
        <v>12550</v>
      </c>
      <c r="N3031" s="242" t="s">
        <v>19172</v>
      </c>
      <c r="O3031" s="38"/>
      <c r="P3031" s="161"/>
      <c r="Q3031" s="197"/>
    </row>
    <row r="3032" spans="1:26" ht="84" customHeight="1" x14ac:dyDescent="0.3">
      <c r="A3032" s="139">
        <v>2980</v>
      </c>
      <c r="B3032" s="242" t="s">
        <v>11409</v>
      </c>
      <c r="C3032" s="242" t="s">
        <v>18524</v>
      </c>
      <c r="D3032" s="87" t="s">
        <v>18525</v>
      </c>
      <c r="E3032" s="242">
        <v>38.1</v>
      </c>
      <c r="F3032" s="244">
        <v>1321816.32</v>
      </c>
      <c r="G3032" s="242"/>
      <c r="H3032" s="242">
        <v>884833.87</v>
      </c>
      <c r="I3032" s="243">
        <v>42836</v>
      </c>
      <c r="J3032" s="242" t="s">
        <v>18526</v>
      </c>
      <c r="K3032" s="242"/>
      <c r="L3032" s="66"/>
      <c r="M3032" s="201" t="s">
        <v>12550</v>
      </c>
      <c r="N3032" s="242" t="s">
        <v>19222</v>
      </c>
      <c r="O3032" s="38"/>
      <c r="P3032" s="161"/>
      <c r="Q3032" s="161"/>
    </row>
    <row r="3033" spans="1:26" ht="72" customHeight="1" x14ac:dyDescent="0.3">
      <c r="A3033" s="139">
        <v>2981</v>
      </c>
      <c r="B3033" s="242" t="s">
        <v>17913</v>
      </c>
      <c r="C3033" s="242" t="s">
        <v>18527</v>
      </c>
      <c r="D3033" s="85" t="s">
        <v>18528</v>
      </c>
      <c r="E3033" s="207">
        <v>1000</v>
      </c>
      <c r="F3033" s="100">
        <v>191170</v>
      </c>
      <c r="G3033" s="25"/>
      <c r="H3033" s="101">
        <v>191170</v>
      </c>
      <c r="I3033" s="243">
        <v>42807</v>
      </c>
      <c r="J3033" s="66" t="s">
        <v>18529</v>
      </c>
      <c r="K3033" s="207"/>
      <c r="L3033" s="66"/>
      <c r="M3033" s="200" t="s">
        <v>12550</v>
      </c>
      <c r="N3033" s="207"/>
      <c r="O3033" s="245" t="s">
        <v>17794</v>
      </c>
      <c r="P3033" s="161"/>
      <c r="Q3033" s="161"/>
    </row>
    <row r="3034" spans="1:26" ht="120" customHeight="1" x14ac:dyDescent="0.3">
      <c r="A3034" s="139">
        <v>2982</v>
      </c>
      <c r="B3034" s="242" t="s">
        <v>17913</v>
      </c>
      <c r="C3034" s="242" t="s">
        <v>18586</v>
      </c>
      <c r="D3034" s="85" t="s">
        <v>18587</v>
      </c>
      <c r="E3034" s="207">
        <v>800</v>
      </c>
      <c r="F3034" s="100">
        <v>165896</v>
      </c>
      <c r="G3034" s="25"/>
      <c r="H3034" s="101">
        <v>165896</v>
      </c>
      <c r="I3034" s="243">
        <v>42877</v>
      </c>
      <c r="J3034" s="66" t="s">
        <v>18588</v>
      </c>
      <c r="K3034" s="207"/>
      <c r="L3034" s="66"/>
      <c r="M3034" s="200" t="s">
        <v>12550</v>
      </c>
      <c r="N3034" s="207"/>
      <c r="O3034" s="245" t="s">
        <v>20473</v>
      </c>
      <c r="P3034" s="161"/>
      <c r="Q3034" s="197"/>
    </row>
    <row r="3035" spans="1:26" ht="123.6" customHeight="1" x14ac:dyDescent="0.3">
      <c r="A3035" s="139">
        <v>2983</v>
      </c>
      <c r="B3035" s="242" t="s">
        <v>18642</v>
      </c>
      <c r="C3035" s="242" t="s">
        <v>17223</v>
      </c>
      <c r="D3035" s="60" t="s">
        <v>18643</v>
      </c>
      <c r="E3035" s="242">
        <v>23.4</v>
      </c>
      <c r="F3035" s="244">
        <v>8357030.4000000004</v>
      </c>
      <c r="G3035" s="242"/>
      <c r="H3035" s="244">
        <v>172540.84</v>
      </c>
      <c r="I3035" s="243" t="s">
        <v>18644</v>
      </c>
      <c r="J3035" s="242" t="s">
        <v>20441</v>
      </c>
      <c r="K3035" s="242"/>
      <c r="L3035" s="66"/>
      <c r="M3035" s="201" t="s">
        <v>12550</v>
      </c>
      <c r="N3035" s="226" t="s">
        <v>21145</v>
      </c>
      <c r="O3035" s="38"/>
      <c r="P3035" s="161"/>
      <c r="Q3035" s="161"/>
    </row>
    <row r="3036" spans="1:26" ht="84" customHeight="1" x14ac:dyDescent="0.3">
      <c r="A3036" s="139">
        <v>2984</v>
      </c>
      <c r="B3036" s="245" t="s">
        <v>18646</v>
      </c>
      <c r="C3036" s="242" t="s">
        <v>17223</v>
      </c>
      <c r="D3036" s="60" t="s">
        <v>18645</v>
      </c>
      <c r="E3036" s="207"/>
      <c r="F3036" s="25">
        <v>231411.84</v>
      </c>
      <c r="G3036" s="207"/>
      <c r="H3036" s="25">
        <v>34607.03</v>
      </c>
      <c r="I3036" s="243" t="s">
        <v>18644</v>
      </c>
      <c r="J3036" s="242" t="s">
        <v>22924</v>
      </c>
      <c r="K3036" s="207"/>
      <c r="L3036" s="66"/>
      <c r="M3036" s="201" t="s">
        <v>12550</v>
      </c>
      <c r="N3036" s="245" t="s">
        <v>22951</v>
      </c>
      <c r="O3036" s="38"/>
      <c r="P3036" s="161"/>
    </row>
    <row r="3037" spans="1:26" ht="72" customHeight="1" x14ac:dyDescent="0.3">
      <c r="A3037" s="237">
        <v>2985</v>
      </c>
      <c r="B3037" s="242" t="s">
        <v>17920</v>
      </c>
      <c r="C3037" s="242" t="s">
        <v>18681</v>
      </c>
      <c r="D3037" s="85" t="s">
        <v>18682</v>
      </c>
      <c r="E3037" s="207">
        <v>1000</v>
      </c>
      <c r="F3037" s="194">
        <v>183520</v>
      </c>
      <c r="G3037" s="25"/>
      <c r="H3037" s="195">
        <v>183520</v>
      </c>
      <c r="I3037" s="243">
        <v>42823</v>
      </c>
      <c r="J3037" s="66" t="s">
        <v>18683</v>
      </c>
      <c r="K3037" s="207"/>
      <c r="L3037" s="66"/>
      <c r="M3037" s="200" t="s">
        <v>12550</v>
      </c>
      <c r="N3037" s="207"/>
      <c r="O3037" s="245" t="s">
        <v>17794</v>
      </c>
      <c r="P3037" s="161"/>
    </row>
    <row r="3038" spans="1:26" s="161" customFormat="1" ht="72" customHeight="1" x14ac:dyDescent="0.3">
      <c r="A3038" s="139">
        <v>2986</v>
      </c>
      <c r="B3038" s="242" t="s">
        <v>133</v>
      </c>
      <c r="C3038" s="242" t="s">
        <v>18685</v>
      </c>
      <c r="D3038" s="60" t="s">
        <v>18686</v>
      </c>
      <c r="E3038" s="242">
        <v>800</v>
      </c>
      <c r="F3038" s="244">
        <v>169456</v>
      </c>
      <c r="G3038" s="244"/>
      <c r="H3038" s="244">
        <v>169456</v>
      </c>
      <c r="I3038" s="243">
        <v>42859</v>
      </c>
      <c r="J3038" s="242" t="s">
        <v>18687</v>
      </c>
      <c r="K3038" s="242"/>
      <c r="L3038" s="66"/>
      <c r="M3038" s="200" t="s">
        <v>12550</v>
      </c>
      <c r="N3038" s="160"/>
      <c r="O3038" s="245" t="s">
        <v>12039</v>
      </c>
    </row>
    <row r="3039" spans="1:26" ht="72" customHeight="1" x14ac:dyDescent="0.3">
      <c r="A3039" s="139">
        <v>2987</v>
      </c>
      <c r="B3039" s="242" t="s">
        <v>18126</v>
      </c>
      <c r="C3039" s="242" t="s">
        <v>16540</v>
      </c>
      <c r="D3039" s="85" t="s">
        <v>18749</v>
      </c>
      <c r="E3039" s="207">
        <v>7475</v>
      </c>
      <c r="F3039" s="194">
        <v>1624766</v>
      </c>
      <c r="G3039" s="25"/>
      <c r="H3039" s="194">
        <v>1624766</v>
      </c>
      <c r="I3039" s="243">
        <v>42900</v>
      </c>
      <c r="J3039" s="66" t="s">
        <v>18751</v>
      </c>
      <c r="K3039" s="26"/>
      <c r="L3039" s="66"/>
      <c r="M3039" s="200" t="s">
        <v>12550</v>
      </c>
      <c r="N3039" s="245" t="s">
        <v>21291</v>
      </c>
      <c r="O3039" s="245" t="s">
        <v>17794</v>
      </c>
    </row>
    <row r="3040" spans="1:26" ht="96" customHeight="1" x14ac:dyDescent="0.3">
      <c r="A3040" s="139">
        <v>2988</v>
      </c>
      <c r="B3040" s="242" t="s">
        <v>18126</v>
      </c>
      <c r="C3040" s="242" t="s">
        <v>16540</v>
      </c>
      <c r="D3040" s="85" t="s">
        <v>18750</v>
      </c>
      <c r="E3040" s="207">
        <v>29525</v>
      </c>
      <c r="F3040" s="194">
        <v>6279081.75</v>
      </c>
      <c r="G3040" s="25"/>
      <c r="H3040" s="195">
        <v>6279081.75</v>
      </c>
      <c r="I3040" s="243">
        <v>42901</v>
      </c>
      <c r="J3040" s="66" t="s">
        <v>18752</v>
      </c>
      <c r="K3040" s="26"/>
      <c r="L3040" s="66"/>
      <c r="M3040" s="200" t="s">
        <v>12550</v>
      </c>
      <c r="N3040" s="245" t="s">
        <v>21292</v>
      </c>
      <c r="O3040" s="245" t="s">
        <v>20474</v>
      </c>
    </row>
    <row r="3041" spans="1:26" s="161" customFormat="1" ht="72" customHeight="1" x14ac:dyDescent="0.3">
      <c r="A3041" s="139">
        <v>2989</v>
      </c>
      <c r="B3041" s="242" t="s">
        <v>18869</v>
      </c>
      <c r="C3041" s="242" t="s">
        <v>18870</v>
      </c>
      <c r="D3041" s="60" t="s">
        <v>18871</v>
      </c>
      <c r="E3041" s="242">
        <v>898</v>
      </c>
      <c r="F3041" s="24">
        <v>107445.7</v>
      </c>
      <c r="G3041" s="244"/>
      <c r="H3041" s="24">
        <v>107445.7</v>
      </c>
      <c r="I3041" s="243">
        <v>42899</v>
      </c>
      <c r="J3041" s="242" t="s">
        <v>18872</v>
      </c>
      <c r="K3041" s="242"/>
      <c r="L3041" s="66"/>
      <c r="M3041" s="200" t="s">
        <v>12550</v>
      </c>
      <c r="N3041" s="160"/>
      <c r="O3041" s="245" t="s">
        <v>12039</v>
      </c>
      <c r="Q3041" s="67"/>
      <c r="R3041" s="67"/>
      <c r="S3041" s="67"/>
      <c r="T3041" s="67"/>
      <c r="U3041" s="67"/>
      <c r="V3041" s="67"/>
      <c r="W3041" s="67"/>
      <c r="X3041" s="67"/>
      <c r="Y3041" s="67"/>
      <c r="Z3041" s="67"/>
    </row>
    <row r="3042" spans="1:26" s="161" customFormat="1" ht="84" customHeight="1" x14ac:dyDescent="0.3">
      <c r="A3042" s="139">
        <v>2990</v>
      </c>
      <c r="B3042" s="108" t="s">
        <v>19076</v>
      </c>
      <c r="C3042" s="108" t="s">
        <v>14574</v>
      </c>
      <c r="D3042" s="256" t="s">
        <v>19077</v>
      </c>
      <c r="E3042" s="219">
        <v>3444</v>
      </c>
      <c r="F3042" s="25">
        <f>403126.39/6304*E3042</f>
        <v>220235.9275317259</v>
      </c>
      <c r="G3042" s="25">
        <f>306159.35/6304*E3042</f>
        <v>167260.91392766495</v>
      </c>
      <c r="H3042" s="98">
        <v>6907059.4699999997</v>
      </c>
      <c r="I3042" s="207" t="s">
        <v>12545</v>
      </c>
      <c r="J3042" s="66" t="s">
        <v>19078</v>
      </c>
      <c r="K3042" s="207"/>
      <c r="L3042" s="66"/>
      <c r="M3042" s="201" t="s">
        <v>12550</v>
      </c>
      <c r="N3042" s="207"/>
      <c r="O3042" s="245"/>
    </row>
    <row r="3043" spans="1:26" s="161" customFormat="1" ht="72" customHeight="1" x14ac:dyDescent="0.3">
      <c r="A3043" s="237">
        <v>2991</v>
      </c>
      <c r="B3043" s="242" t="s">
        <v>19344</v>
      </c>
      <c r="C3043" s="242" t="s">
        <v>19080</v>
      </c>
      <c r="D3043" s="60" t="s">
        <v>19081</v>
      </c>
      <c r="E3043" s="242">
        <v>2074</v>
      </c>
      <c r="F3043" s="24">
        <v>2646755.84</v>
      </c>
      <c r="G3043" s="244"/>
      <c r="H3043" s="24">
        <v>2646755.84</v>
      </c>
      <c r="I3043" s="243">
        <v>42914</v>
      </c>
      <c r="J3043" s="242" t="s">
        <v>19345</v>
      </c>
      <c r="K3043" s="242"/>
      <c r="L3043" s="66"/>
      <c r="M3043" s="200" t="s">
        <v>12550</v>
      </c>
      <c r="N3043" s="160"/>
      <c r="O3043" s="245" t="s">
        <v>12039</v>
      </c>
      <c r="Q3043" s="67"/>
      <c r="R3043" s="67"/>
      <c r="S3043" s="67"/>
      <c r="T3043" s="67"/>
      <c r="U3043" s="67"/>
      <c r="V3043" s="67"/>
      <c r="W3043" s="67"/>
      <c r="X3043" s="67"/>
      <c r="Y3043" s="67"/>
      <c r="Z3043" s="67"/>
    </row>
    <row r="3044" spans="1:26" ht="84" customHeight="1" x14ac:dyDescent="0.3">
      <c r="A3044" s="269">
        <v>2992</v>
      </c>
      <c r="B3044" s="23" t="s">
        <v>12490</v>
      </c>
      <c r="C3044" s="23" t="s">
        <v>19133</v>
      </c>
      <c r="D3044" s="274" t="s">
        <v>19134</v>
      </c>
      <c r="E3044" s="242">
        <v>58.7</v>
      </c>
      <c r="F3044" s="244">
        <v>2481836</v>
      </c>
      <c r="G3044" s="242"/>
      <c r="H3044" s="244">
        <v>732118.14</v>
      </c>
      <c r="I3044" s="243" t="s">
        <v>19135</v>
      </c>
      <c r="J3044" s="242" t="s">
        <v>19136</v>
      </c>
      <c r="K3044" s="242"/>
      <c r="L3044" s="66"/>
      <c r="M3044" s="201" t="s">
        <v>12550</v>
      </c>
      <c r="N3044" s="242"/>
      <c r="O3044" s="38" t="s">
        <v>19978</v>
      </c>
    </row>
    <row r="3045" spans="1:26" ht="120" customHeight="1" x14ac:dyDescent="0.3">
      <c r="A3045" s="139">
        <v>2993</v>
      </c>
      <c r="B3045" s="242" t="s">
        <v>12490</v>
      </c>
      <c r="C3045" s="242" t="s">
        <v>19137</v>
      </c>
      <c r="D3045" s="87" t="s">
        <v>19138</v>
      </c>
      <c r="E3045" s="242">
        <v>57.7</v>
      </c>
      <c r="F3045" s="244">
        <v>2439556</v>
      </c>
      <c r="G3045" s="242"/>
      <c r="H3045" s="244">
        <v>2491001.3199999998</v>
      </c>
      <c r="I3045" s="243">
        <v>42956</v>
      </c>
      <c r="J3045" s="242" t="s">
        <v>19139</v>
      </c>
      <c r="K3045" s="243">
        <v>43406</v>
      </c>
      <c r="L3045" s="66" t="s">
        <v>21768</v>
      </c>
      <c r="M3045" s="201" t="s">
        <v>12550</v>
      </c>
      <c r="N3045" s="242"/>
      <c r="O3045" s="38" t="s">
        <v>21769</v>
      </c>
    </row>
    <row r="3046" spans="1:26" ht="84" customHeight="1" x14ac:dyDescent="0.3">
      <c r="A3046" s="139">
        <v>2994</v>
      </c>
      <c r="B3046" s="242" t="s">
        <v>12490</v>
      </c>
      <c r="C3046" s="242" t="s">
        <v>19140</v>
      </c>
      <c r="D3046" s="87" t="s">
        <v>19141</v>
      </c>
      <c r="E3046" s="30">
        <v>59</v>
      </c>
      <c r="F3046" s="244">
        <v>2494520</v>
      </c>
      <c r="G3046" s="242"/>
      <c r="H3046" s="244">
        <v>1716295.25</v>
      </c>
      <c r="I3046" s="243" t="s">
        <v>19135</v>
      </c>
      <c r="J3046" s="242" t="s">
        <v>19142</v>
      </c>
      <c r="K3046" s="243">
        <v>43059</v>
      </c>
      <c r="L3046" s="66" t="s">
        <v>19490</v>
      </c>
      <c r="M3046" s="201" t="s">
        <v>12550</v>
      </c>
      <c r="N3046" s="242"/>
      <c r="O3046" s="38"/>
    </row>
    <row r="3047" spans="1:26" ht="84" customHeight="1" x14ac:dyDescent="0.3">
      <c r="A3047" s="139">
        <v>2995</v>
      </c>
      <c r="B3047" s="242" t="s">
        <v>14078</v>
      </c>
      <c r="C3047" s="242" t="s">
        <v>19143</v>
      </c>
      <c r="D3047" s="88" t="s">
        <v>19144</v>
      </c>
      <c r="E3047" s="91">
        <v>33.299999999999997</v>
      </c>
      <c r="F3047" s="25">
        <v>1412152</v>
      </c>
      <c r="G3047" s="207"/>
      <c r="H3047" s="25">
        <v>1022209.1</v>
      </c>
      <c r="I3047" s="26">
        <v>42956</v>
      </c>
      <c r="J3047" s="242" t="s">
        <v>19145</v>
      </c>
      <c r="K3047" s="207"/>
      <c r="L3047" s="66"/>
      <c r="M3047" s="201" t="s">
        <v>12550</v>
      </c>
      <c r="N3047" s="207"/>
      <c r="O3047" s="38" t="s">
        <v>21755</v>
      </c>
    </row>
    <row r="3048" spans="1:26" ht="84" customHeight="1" x14ac:dyDescent="0.3">
      <c r="A3048" s="139">
        <v>2996</v>
      </c>
      <c r="B3048" s="242" t="s">
        <v>12491</v>
      </c>
      <c r="C3048" s="242" t="s">
        <v>19147</v>
      </c>
      <c r="D3048" s="88" t="s">
        <v>19146</v>
      </c>
      <c r="E3048" s="207">
        <v>48.8</v>
      </c>
      <c r="F3048" s="25">
        <v>2063264</v>
      </c>
      <c r="G3048" s="207"/>
      <c r="H3048" s="25">
        <v>608643.36</v>
      </c>
      <c r="I3048" s="26">
        <v>42956</v>
      </c>
      <c r="J3048" s="242" t="s">
        <v>19148</v>
      </c>
      <c r="K3048" s="207"/>
      <c r="L3048" s="66"/>
      <c r="M3048" s="201" t="s">
        <v>12550</v>
      </c>
      <c r="N3048" s="207"/>
      <c r="O3048" s="38" t="s">
        <v>19975</v>
      </c>
    </row>
    <row r="3049" spans="1:26" ht="84" customHeight="1" x14ac:dyDescent="0.3">
      <c r="A3049" s="139">
        <v>2997</v>
      </c>
      <c r="B3049" s="242" t="s">
        <v>12491</v>
      </c>
      <c r="C3049" s="242" t="s">
        <v>19149</v>
      </c>
      <c r="D3049" s="88" t="s">
        <v>19150</v>
      </c>
      <c r="E3049" s="207">
        <v>42.2</v>
      </c>
      <c r="F3049" s="25">
        <v>1784216</v>
      </c>
      <c r="G3049" s="207"/>
      <c r="H3049" s="25">
        <v>1004974.85</v>
      </c>
      <c r="I3049" s="26">
        <v>42956</v>
      </c>
      <c r="J3049" s="242" t="s">
        <v>19151</v>
      </c>
      <c r="K3049" s="207"/>
      <c r="L3049" s="66"/>
      <c r="M3049" s="201" t="s">
        <v>12550</v>
      </c>
      <c r="N3049" s="207"/>
      <c r="O3049" s="38" t="s">
        <v>21756</v>
      </c>
    </row>
    <row r="3050" spans="1:26" ht="72" customHeight="1" x14ac:dyDescent="0.3">
      <c r="A3050" s="139">
        <v>2998</v>
      </c>
      <c r="B3050" s="242" t="s">
        <v>19152</v>
      </c>
      <c r="C3050" s="245" t="s">
        <v>19153</v>
      </c>
      <c r="D3050" s="85" t="s">
        <v>19154</v>
      </c>
      <c r="E3050" s="207">
        <v>1000</v>
      </c>
      <c r="F3050" s="25">
        <v>203920</v>
      </c>
      <c r="G3050" s="207"/>
      <c r="H3050" s="25">
        <v>203920</v>
      </c>
      <c r="I3050" s="26">
        <v>42958</v>
      </c>
      <c r="J3050" s="66" t="s">
        <v>19155</v>
      </c>
      <c r="K3050" s="207"/>
      <c r="L3050" s="66"/>
      <c r="M3050" s="200" t="s">
        <v>12550</v>
      </c>
      <c r="N3050" s="207"/>
      <c r="O3050" s="38" t="s">
        <v>12039</v>
      </c>
    </row>
    <row r="3051" spans="1:26" ht="96" customHeight="1" x14ac:dyDescent="0.3">
      <c r="A3051" s="269">
        <v>2999</v>
      </c>
      <c r="B3051" s="23" t="s">
        <v>14078</v>
      </c>
      <c r="C3051" s="23" t="s">
        <v>19156</v>
      </c>
      <c r="D3051" s="264" t="s">
        <v>18012</v>
      </c>
      <c r="E3051" s="207">
        <v>29.9</v>
      </c>
      <c r="F3051" s="25">
        <v>1344504</v>
      </c>
      <c r="G3051" s="207"/>
      <c r="H3051" s="25">
        <v>1214753.8799999999</v>
      </c>
      <c r="I3051" s="26">
        <v>42976</v>
      </c>
      <c r="J3051" s="242" t="s">
        <v>19159</v>
      </c>
      <c r="K3051" s="207"/>
      <c r="L3051" s="66"/>
      <c r="M3051" s="201" t="s">
        <v>12550</v>
      </c>
      <c r="N3051" s="207"/>
      <c r="O3051" s="38" t="s">
        <v>19979</v>
      </c>
    </row>
    <row r="3052" spans="1:26" ht="84" customHeight="1" x14ac:dyDescent="0.3">
      <c r="A3052" s="139">
        <v>3000</v>
      </c>
      <c r="B3052" s="242" t="s">
        <v>12491</v>
      </c>
      <c r="C3052" s="242" t="s">
        <v>19157</v>
      </c>
      <c r="D3052" s="88" t="s">
        <v>19158</v>
      </c>
      <c r="E3052" s="207">
        <v>50.7</v>
      </c>
      <c r="F3052" s="25">
        <v>2207016</v>
      </c>
      <c r="G3052" s="207"/>
      <c r="H3052" s="25">
        <v>1460164.42</v>
      </c>
      <c r="I3052" s="26">
        <v>42976</v>
      </c>
      <c r="J3052" s="242" t="s">
        <v>19160</v>
      </c>
      <c r="K3052" s="207"/>
      <c r="L3052" s="66"/>
      <c r="M3052" s="201" t="s">
        <v>12550</v>
      </c>
      <c r="N3052" s="207"/>
      <c r="O3052" s="38" t="s">
        <v>21757</v>
      </c>
    </row>
    <row r="3053" spans="1:26" ht="84" customHeight="1" x14ac:dyDescent="0.3">
      <c r="A3053" s="139">
        <v>3001</v>
      </c>
      <c r="B3053" s="242" t="s">
        <v>14078</v>
      </c>
      <c r="C3053" s="242" t="s">
        <v>19161</v>
      </c>
      <c r="D3053" s="88" t="s">
        <v>19162</v>
      </c>
      <c r="E3053" s="207">
        <v>33.700000000000003</v>
      </c>
      <c r="F3053" s="25">
        <v>1303724</v>
      </c>
      <c r="G3053" s="207"/>
      <c r="H3053" s="25">
        <v>1011231.86</v>
      </c>
      <c r="I3053" s="26">
        <v>42976</v>
      </c>
      <c r="J3053" s="242" t="s">
        <v>19163</v>
      </c>
      <c r="K3053" s="207"/>
      <c r="L3053" s="66"/>
      <c r="M3053" s="201" t="s">
        <v>12550</v>
      </c>
      <c r="N3053" s="207"/>
      <c r="O3053" s="38" t="s">
        <v>19977</v>
      </c>
    </row>
    <row r="3054" spans="1:26" ht="144" customHeight="1" x14ac:dyDescent="0.3">
      <c r="A3054" s="139">
        <v>3002</v>
      </c>
      <c r="B3054" s="242" t="s">
        <v>14078</v>
      </c>
      <c r="C3054" s="242" t="s">
        <v>19164</v>
      </c>
      <c r="D3054" s="88" t="s">
        <v>19165</v>
      </c>
      <c r="E3054" s="207">
        <v>30.2</v>
      </c>
      <c r="F3054" s="25">
        <v>1302224</v>
      </c>
      <c r="G3054" s="207"/>
      <c r="H3054" s="25">
        <v>1366892.17</v>
      </c>
      <c r="I3054" s="26">
        <v>42976</v>
      </c>
      <c r="J3054" s="242" t="s">
        <v>19166</v>
      </c>
      <c r="K3054" s="26">
        <v>43180</v>
      </c>
      <c r="L3054" s="66" t="s">
        <v>20039</v>
      </c>
      <c r="M3054" s="201" t="s">
        <v>12550</v>
      </c>
      <c r="N3054" s="207"/>
      <c r="O3054" s="38" t="s">
        <v>21758</v>
      </c>
    </row>
    <row r="3055" spans="1:26" ht="72" customHeight="1" x14ac:dyDescent="0.3">
      <c r="A3055" s="139">
        <v>3003</v>
      </c>
      <c r="B3055" s="242" t="s">
        <v>19232</v>
      </c>
      <c r="C3055" s="242" t="s">
        <v>19287</v>
      </c>
      <c r="D3055" s="85" t="s">
        <v>19231</v>
      </c>
      <c r="E3055" s="207">
        <v>355.3</v>
      </c>
      <c r="F3055" s="25">
        <v>2025857.04</v>
      </c>
      <c r="G3055" s="207">
        <v>669183.54</v>
      </c>
      <c r="H3055" s="25"/>
      <c r="I3055" s="26">
        <v>38486</v>
      </c>
      <c r="J3055" s="242" t="s">
        <v>19288</v>
      </c>
      <c r="K3055" s="207"/>
      <c r="L3055" s="66"/>
      <c r="M3055" s="242" t="s">
        <v>14091</v>
      </c>
      <c r="N3055" s="242" t="s">
        <v>19289</v>
      </c>
      <c r="O3055" s="38"/>
    </row>
    <row r="3056" spans="1:26" ht="72" customHeight="1" x14ac:dyDescent="0.3">
      <c r="A3056" s="139">
        <v>3004</v>
      </c>
      <c r="B3056" s="242" t="s">
        <v>19279</v>
      </c>
      <c r="C3056" s="245" t="s">
        <v>19280</v>
      </c>
      <c r="D3056" s="85" t="s">
        <v>19281</v>
      </c>
      <c r="E3056" s="207">
        <v>1000</v>
      </c>
      <c r="F3056" s="25">
        <v>183040</v>
      </c>
      <c r="G3056" s="207"/>
      <c r="H3056" s="25">
        <v>183040</v>
      </c>
      <c r="I3056" s="26">
        <v>42977</v>
      </c>
      <c r="J3056" s="66" t="s">
        <v>19282</v>
      </c>
      <c r="K3056" s="207"/>
      <c r="L3056" s="66"/>
      <c r="M3056" s="200" t="s">
        <v>12550</v>
      </c>
      <c r="N3056" s="207"/>
      <c r="O3056" s="38" t="s">
        <v>12039</v>
      </c>
    </row>
    <row r="3057" spans="1:15" ht="72" customHeight="1" x14ac:dyDescent="0.3">
      <c r="A3057" s="139">
        <v>3005</v>
      </c>
      <c r="B3057" s="242" t="s">
        <v>19283</v>
      </c>
      <c r="C3057" s="245" t="s">
        <v>19284</v>
      </c>
      <c r="D3057" s="85" t="s">
        <v>19285</v>
      </c>
      <c r="E3057" s="207">
        <v>84</v>
      </c>
      <c r="F3057" s="25">
        <v>145137.72</v>
      </c>
      <c r="G3057" s="207"/>
      <c r="H3057" s="25">
        <v>145137.72</v>
      </c>
      <c r="I3057" s="26">
        <v>42990</v>
      </c>
      <c r="J3057" s="66" t="s">
        <v>19286</v>
      </c>
      <c r="K3057" s="207"/>
      <c r="L3057" s="66"/>
      <c r="M3057" s="242" t="s">
        <v>15722</v>
      </c>
      <c r="N3057" s="207"/>
      <c r="O3057" s="38" t="s">
        <v>11937</v>
      </c>
    </row>
    <row r="3058" spans="1:15" ht="84" customHeight="1" x14ac:dyDescent="0.3">
      <c r="A3058" s="269">
        <v>3006</v>
      </c>
      <c r="B3058" s="23" t="s">
        <v>12491</v>
      </c>
      <c r="C3058" s="23" t="s">
        <v>19299</v>
      </c>
      <c r="D3058" s="274" t="s">
        <v>19300</v>
      </c>
      <c r="E3058" s="242">
        <v>41.7</v>
      </c>
      <c r="F3058" s="244">
        <v>1758848</v>
      </c>
      <c r="G3058" s="242"/>
      <c r="H3058" s="244">
        <v>61027.53</v>
      </c>
      <c r="I3058" s="243">
        <v>42993</v>
      </c>
      <c r="J3058" s="242" t="s">
        <v>19301</v>
      </c>
      <c r="K3058" s="207" t="s">
        <v>22219</v>
      </c>
      <c r="L3058" s="66" t="s">
        <v>22220</v>
      </c>
      <c r="M3058" s="201" t="s">
        <v>12550</v>
      </c>
      <c r="N3058" s="242"/>
      <c r="O3058" s="38"/>
    </row>
    <row r="3059" spans="1:15" ht="108" customHeight="1" x14ac:dyDescent="0.3">
      <c r="A3059" s="139">
        <v>3007</v>
      </c>
      <c r="B3059" s="242" t="s">
        <v>12491</v>
      </c>
      <c r="C3059" s="242" t="s">
        <v>19302</v>
      </c>
      <c r="D3059" s="87" t="s">
        <v>19303</v>
      </c>
      <c r="E3059" s="242">
        <v>46.4</v>
      </c>
      <c r="F3059" s="244">
        <v>1961792</v>
      </c>
      <c r="G3059" s="242"/>
      <c r="H3059" s="244">
        <v>493825.92</v>
      </c>
      <c r="I3059" s="243">
        <v>42986</v>
      </c>
      <c r="J3059" s="242" t="s">
        <v>19304</v>
      </c>
      <c r="K3059" s="242" t="s">
        <v>21299</v>
      </c>
      <c r="L3059" s="66" t="s">
        <v>21300</v>
      </c>
      <c r="M3059" s="201" t="s">
        <v>12550</v>
      </c>
      <c r="N3059" s="242"/>
      <c r="O3059" s="38" t="s">
        <v>19976</v>
      </c>
    </row>
    <row r="3060" spans="1:15" ht="72" customHeight="1" x14ac:dyDescent="0.3">
      <c r="A3060" s="139">
        <v>3008</v>
      </c>
      <c r="B3060" s="242" t="s">
        <v>19308</v>
      </c>
      <c r="C3060" s="245" t="s">
        <v>19309</v>
      </c>
      <c r="D3060" s="85" t="s">
        <v>19310</v>
      </c>
      <c r="E3060" s="207">
        <v>1000</v>
      </c>
      <c r="F3060" s="25">
        <v>219950</v>
      </c>
      <c r="G3060" s="207"/>
      <c r="H3060" s="25">
        <v>219950</v>
      </c>
      <c r="I3060" s="26">
        <v>42933</v>
      </c>
      <c r="J3060" s="66" t="s">
        <v>19311</v>
      </c>
      <c r="K3060" s="207"/>
      <c r="L3060" s="66"/>
      <c r="M3060" s="200" t="s">
        <v>12550</v>
      </c>
      <c r="N3060" s="207"/>
      <c r="O3060" s="38" t="s">
        <v>12039</v>
      </c>
    </row>
    <row r="3061" spans="1:15" ht="72" customHeight="1" x14ac:dyDescent="0.3">
      <c r="A3061" s="139">
        <v>3009</v>
      </c>
      <c r="B3061" s="242" t="s">
        <v>19312</v>
      </c>
      <c r="C3061" s="245" t="s">
        <v>19346</v>
      </c>
      <c r="D3061" s="85" t="s">
        <v>19313</v>
      </c>
      <c r="E3061" s="207">
        <v>1000</v>
      </c>
      <c r="F3061" s="25">
        <v>196950</v>
      </c>
      <c r="G3061" s="207"/>
      <c r="H3061" s="25">
        <v>196950</v>
      </c>
      <c r="I3061" s="26">
        <v>42991</v>
      </c>
      <c r="J3061" s="66" t="s">
        <v>19349</v>
      </c>
      <c r="K3061" s="207"/>
      <c r="L3061" s="66"/>
      <c r="M3061" s="200" t="s">
        <v>12550</v>
      </c>
      <c r="N3061" s="207"/>
      <c r="O3061" s="38" t="s">
        <v>12039</v>
      </c>
    </row>
    <row r="3062" spans="1:15" ht="72" customHeight="1" x14ac:dyDescent="0.3">
      <c r="A3062" s="139">
        <v>3010</v>
      </c>
      <c r="B3062" s="242" t="s">
        <v>19279</v>
      </c>
      <c r="C3062" s="245" t="s">
        <v>19347</v>
      </c>
      <c r="D3062" s="85" t="s">
        <v>19348</v>
      </c>
      <c r="E3062" s="207">
        <v>1000</v>
      </c>
      <c r="F3062" s="25">
        <v>183040</v>
      </c>
      <c r="G3062" s="207"/>
      <c r="H3062" s="25">
        <v>183040</v>
      </c>
      <c r="I3062" s="26">
        <v>42989</v>
      </c>
      <c r="J3062" s="66" t="s">
        <v>19350</v>
      </c>
      <c r="K3062" s="207"/>
      <c r="L3062" s="66"/>
      <c r="M3062" s="200" t="s">
        <v>12550</v>
      </c>
      <c r="N3062" s="207"/>
      <c r="O3062" s="38" t="s">
        <v>12039</v>
      </c>
    </row>
    <row r="3063" spans="1:15" ht="60" customHeight="1" x14ac:dyDescent="0.3">
      <c r="A3063" s="139">
        <v>3011</v>
      </c>
      <c r="B3063" s="242" t="s">
        <v>19361</v>
      </c>
      <c r="C3063" s="245" t="s">
        <v>19362</v>
      </c>
      <c r="D3063" s="85" t="s">
        <v>19363</v>
      </c>
      <c r="E3063" s="207">
        <v>6215</v>
      </c>
      <c r="F3063" s="25">
        <v>1118389.25</v>
      </c>
      <c r="G3063" s="207"/>
      <c r="H3063" s="25">
        <v>1118389.25</v>
      </c>
      <c r="I3063" s="26">
        <v>43026</v>
      </c>
      <c r="J3063" s="66" t="s">
        <v>19364</v>
      </c>
      <c r="K3063" s="207"/>
      <c r="L3063" s="66"/>
      <c r="M3063" s="29" t="s">
        <v>15722</v>
      </c>
      <c r="N3063" s="207"/>
      <c r="O3063" s="38" t="s">
        <v>11937</v>
      </c>
    </row>
    <row r="3064" spans="1:15" ht="69" customHeight="1" x14ac:dyDescent="0.3">
      <c r="A3064" s="139">
        <v>3012</v>
      </c>
      <c r="B3064" s="242" t="s">
        <v>19361</v>
      </c>
      <c r="C3064" s="245" t="s">
        <v>19365</v>
      </c>
      <c r="D3064" s="85" t="s">
        <v>19366</v>
      </c>
      <c r="E3064" s="207">
        <v>1917</v>
      </c>
      <c r="F3064" s="25">
        <v>383093.28</v>
      </c>
      <c r="G3064" s="207"/>
      <c r="H3064" s="25">
        <v>383093.28</v>
      </c>
      <c r="I3064" s="26">
        <v>43026</v>
      </c>
      <c r="J3064" s="66" t="s">
        <v>19367</v>
      </c>
      <c r="K3064" s="207"/>
      <c r="L3064" s="66"/>
      <c r="M3064" s="29" t="s">
        <v>15722</v>
      </c>
      <c r="N3064" s="207"/>
      <c r="O3064" s="38" t="s">
        <v>11937</v>
      </c>
    </row>
    <row r="3065" spans="1:15" ht="75.599999999999994" customHeight="1" x14ac:dyDescent="0.3">
      <c r="A3065" s="139">
        <v>3013</v>
      </c>
      <c r="B3065" s="242" t="s">
        <v>19361</v>
      </c>
      <c r="C3065" s="245" t="s">
        <v>19368</v>
      </c>
      <c r="D3065" s="85" t="s">
        <v>19369</v>
      </c>
      <c r="E3065" s="207">
        <v>11823</v>
      </c>
      <c r="F3065" s="25">
        <v>2586044.79</v>
      </c>
      <c r="G3065" s="207"/>
      <c r="H3065" s="25">
        <v>2586044.79</v>
      </c>
      <c r="I3065" s="26">
        <v>43026</v>
      </c>
      <c r="J3065" s="66" t="s">
        <v>19370</v>
      </c>
      <c r="K3065" s="207"/>
      <c r="L3065" s="66"/>
      <c r="M3065" s="29" t="s">
        <v>15722</v>
      </c>
      <c r="N3065" s="207"/>
      <c r="O3065" s="38" t="s">
        <v>11937</v>
      </c>
    </row>
    <row r="3066" spans="1:15" ht="72" customHeight="1" x14ac:dyDescent="0.3">
      <c r="A3066" s="139">
        <v>3014</v>
      </c>
      <c r="B3066" s="242" t="s">
        <v>19361</v>
      </c>
      <c r="C3066" s="245" t="s">
        <v>17696</v>
      </c>
      <c r="D3066" s="85" t="s">
        <v>19371</v>
      </c>
      <c r="E3066" s="207">
        <v>6020</v>
      </c>
      <c r="F3066" s="25">
        <v>708554</v>
      </c>
      <c r="G3066" s="207"/>
      <c r="H3066" s="25">
        <v>708554</v>
      </c>
      <c r="I3066" s="26">
        <v>43026</v>
      </c>
      <c r="J3066" s="66" t="s">
        <v>19372</v>
      </c>
      <c r="K3066" s="207"/>
      <c r="L3066" s="66"/>
      <c r="M3066" s="29" t="s">
        <v>15722</v>
      </c>
      <c r="N3066" s="207"/>
      <c r="O3066" s="38" t="s">
        <v>11937</v>
      </c>
    </row>
    <row r="3067" spans="1:15" ht="108" customHeight="1" x14ac:dyDescent="0.3">
      <c r="A3067" s="269">
        <v>3015</v>
      </c>
      <c r="B3067" s="23" t="s">
        <v>12491</v>
      </c>
      <c r="C3067" s="23" t="s">
        <v>19489</v>
      </c>
      <c r="D3067" s="274" t="s">
        <v>19446</v>
      </c>
      <c r="E3067" s="242">
        <v>44.9</v>
      </c>
      <c r="F3067" s="244">
        <v>2000000</v>
      </c>
      <c r="G3067" s="242"/>
      <c r="H3067" s="244">
        <v>1739940.55</v>
      </c>
      <c r="I3067" s="243" t="s">
        <v>19447</v>
      </c>
      <c r="J3067" s="242" t="s">
        <v>19448</v>
      </c>
      <c r="K3067" s="242"/>
      <c r="L3067" s="66"/>
      <c r="M3067" s="201" t="s">
        <v>12550</v>
      </c>
      <c r="N3067" s="242" t="s">
        <v>19612</v>
      </c>
      <c r="O3067" s="38"/>
    </row>
    <row r="3068" spans="1:15" ht="108" customHeight="1" x14ac:dyDescent="0.3">
      <c r="A3068" s="139">
        <v>3016</v>
      </c>
      <c r="B3068" s="242" t="s">
        <v>12491</v>
      </c>
      <c r="C3068" s="242" t="s">
        <v>19487</v>
      </c>
      <c r="D3068" s="87" t="s">
        <v>19449</v>
      </c>
      <c r="E3068" s="242">
        <v>51.3</v>
      </c>
      <c r="F3068" s="244">
        <v>2000000</v>
      </c>
      <c r="G3068" s="242"/>
      <c r="H3068" s="244">
        <v>639823.86</v>
      </c>
      <c r="I3068" s="243" t="s">
        <v>19450</v>
      </c>
      <c r="J3068" s="242" t="s">
        <v>19451</v>
      </c>
      <c r="K3068" s="242"/>
      <c r="L3068" s="66"/>
      <c r="M3068" s="201" t="s">
        <v>12550</v>
      </c>
      <c r="N3068" s="242" t="s">
        <v>19613</v>
      </c>
      <c r="O3068" s="38"/>
    </row>
    <row r="3069" spans="1:15" ht="120" customHeight="1" x14ac:dyDescent="0.3">
      <c r="A3069" s="139">
        <v>3017</v>
      </c>
      <c r="B3069" s="242" t="s">
        <v>19457</v>
      </c>
      <c r="C3069" s="245" t="s">
        <v>16533</v>
      </c>
      <c r="D3069" s="85" t="s">
        <v>19458</v>
      </c>
      <c r="E3069" s="207"/>
      <c r="F3069" s="25">
        <v>56.1</v>
      </c>
      <c r="G3069" s="207"/>
      <c r="H3069" s="25">
        <v>56.1</v>
      </c>
      <c r="I3069" s="26">
        <v>43040</v>
      </c>
      <c r="J3069" s="66" t="s">
        <v>19459</v>
      </c>
      <c r="K3069" s="207"/>
      <c r="L3069" s="66"/>
      <c r="M3069" s="200" t="s">
        <v>12550</v>
      </c>
      <c r="N3069" s="207"/>
      <c r="O3069" s="38" t="s">
        <v>19623</v>
      </c>
    </row>
    <row r="3070" spans="1:15" ht="60" customHeight="1" x14ac:dyDescent="0.3">
      <c r="A3070" s="139">
        <v>3018</v>
      </c>
      <c r="B3070" s="242" t="s">
        <v>19361</v>
      </c>
      <c r="C3070" s="245" t="s">
        <v>19462</v>
      </c>
      <c r="D3070" s="85" t="s">
        <v>19463</v>
      </c>
      <c r="E3070" s="207">
        <v>17005</v>
      </c>
      <c r="F3070" s="25">
        <v>3099161.25</v>
      </c>
      <c r="G3070" s="207"/>
      <c r="H3070" s="25">
        <v>3099161.25</v>
      </c>
      <c r="I3070" s="26" t="s">
        <v>19464</v>
      </c>
      <c r="J3070" s="66" t="s">
        <v>19465</v>
      </c>
      <c r="K3070" s="207"/>
      <c r="L3070" s="66"/>
      <c r="M3070" s="29" t="s">
        <v>15722</v>
      </c>
      <c r="N3070" s="207"/>
      <c r="O3070" s="38" t="s">
        <v>11937</v>
      </c>
    </row>
    <row r="3071" spans="1:15" ht="67.2" customHeight="1" x14ac:dyDescent="0.3">
      <c r="A3071" s="139">
        <v>3019</v>
      </c>
      <c r="B3071" s="242" t="s">
        <v>19361</v>
      </c>
      <c r="C3071" s="245" t="s">
        <v>19466</v>
      </c>
      <c r="D3071" s="85" t="s">
        <v>19467</v>
      </c>
      <c r="E3071" s="207">
        <v>1176</v>
      </c>
      <c r="F3071" s="25">
        <v>210609.84</v>
      </c>
      <c r="G3071" s="207"/>
      <c r="H3071" s="25">
        <v>210609.84</v>
      </c>
      <c r="I3071" s="26" t="s">
        <v>19464</v>
      </c>
      <c r="J3071" s="66" t="s">
        <v>19468</v>
      </c>
      <c r="K3071" s="207"/>
      <c r="L3071" s="66"/>
      <c r="M3071" s="29" t="s">
        <v>15722</v>
      </c>
      <c r="N3071" s="207"/>
      <c r="O3071" s="38" t="s">
        <v>11937</v>
      </c>
    </row>
    <row r="3072" spans="1:15" ht="64.95" customHeight="1" x14ac:dyDescent="0.3">
      <c r="A3072" s="139">
        <v>3020</v>
      </c>
      <c r="B3072" s="242" t="s">
        <v>19361</v>
      </c>
      <c r="C3072" s="245" t="s">
        <v>19469</v>
      </c>
      <c r="D3072" s="85" t="s">
        <v>19470</v>
      </c>
      <c r="E3072" s="207">
        <v>20764</v>
      </c>
      <c r="F3072" s="25">
        <v>3995201.24</v>
      </c>
      <c r="G3072" s="207"/>
      <c r="H3072" s="25">
        <v>3995201.24</v>
      </c>
      <c r="I3072" s="26" t="s">
        <v>19464</v>
      </c>
      <c r="J3072" s="66" t="s">
        <v>19471</v>
      </c>
      <c r="K3072" s="207"/>
      <c r="L3072" s="66"/>
      <c r="M3072" s="29" t="s">
        <v>15722</v>
      </c>
      <c r="N3072" s="207"/>
      <c r="O3072" s="38" t="s">
        <v>11937</v>
      </c>
    </row>
    <row r="3073" spans="1:26" ht="67.95" customHeight="1" x14ac:dyDescent="0.3">
      <c r="A3073" s="139">
        <v>3021</v>
      </c>
      <c r="B3073" s="242" t="s">
        <v>19361</v>
      </c>
      <c r="C3073" s="245" t="s">
        <v>17740</v>
      </c>
      <c r="D3073" s="85" t="s">
        <v>19472</v>
      </c>
      <c r="E3073" s="207">
        <v>12888</v>
      </c>
      <c r="F3073" s="25">
        <v>2148171.84</v>
      </c>
      <c r="G3073" s="207"/>
      <c r="H3073" s="25">
        <v>2148171.84</v>
      </c>
      <c r="I3073" s="26" t="s">
        <v>19464</v>
      </c>
      <c r="J3073" s="66" t="s">
        <v>19473</v>
      </c>
      <c r="K3073" s="207"/>
      <c r="L3073" s="66"/>
      <c r="M3073" s="29" t="s">
        <v>15722</v>
      </c>
      <c r="N3073" s="207"/>
      <c r="O3073" s="38" t="s">
        <v>11937</v>
      </c>
    </row>
    <row r="3074" spans="1:26" ht="72" customHeight="1" x14ac:dyDescent="0.3">
      <c r="A3074" s="269">
        <v>3022</v>
      </c>
      <c r="B3074" s="257" t="s">
        <v>19492</v>
      </c>
      <c r="C3074" s="257" t="s">
        <v>19493</v>
      </c>
      <c r="D3074" s="275" t="s">
        <v>19491</v>
      </c>
      <c r="E3074" s="207">
        <v>52.2</v>
      </c>
      <c r="F3074" s="25">
        <v>2207016</v>
      </c>
      <c r="G3074" s="207"/>
      <c r="H3074" s="207">
        <v>76394.179999999993</v>
      </c>
      <c r="I3074" s="243">
        <v>43059</v>
      </c>
      <c r="J3074" s="66" t="s">
        <v>19490</v>
      </c>
      <c r="K3074" s="207" t="s">
        <v>22219</v>
      </c>
      <c r="L3074" s="66" t="s">
        <v>22220</v>
      </c>
      <c r="M3074" s="200" t="s">
        <v>12550</v>
      </c>
      <c r="N3074" s="207"/>
      <c r="O3074" s="38"/>
    </row>
    <row r="3075" spans="1:26" ht="72" customHeight="1" x14ac:dyDescent="0.3">
      <c r="A3075" s="139">
        <v>3023</v>
      </c>
      <c r="B3075" s="242" t="s">
        <v>19497</v>
      </c>
      <c r="C3075" s="245" t="s">
        <v>16535</v>
      </c>
      <c r="D3075" s="85" t="s">
        <v>19498</v>
      </c>
      <c r="E3075" s="207">
        <v>800</v>
      </c>
      <c r="F3075" s="25">
        <v>169664</v>
      </c>
      <c r="G3075" s="207"/>
      <c r="H3075" s="25">
        <v>169664</v>
      </c>
      <c r="I3075" s="26">
        <v>43068</v>
      </c>
      <c r="J3075" s="66" t="s">
        <v>19499</v>
      </c>
      <c r="K3075" s="207"/>
      <c r="L3075" s="66"/>
      <c r="M3075" s="200" t="s">
        <v>12550</v>
      </c>
      <c r="N3075" s="207"/>
      <c r="O3075" s="38" t="s">
        <v>12039</v>
      </c>
    </row>
    <row r="3076" spans="1:26" ht="168" customHeight="1" x14ac:dyDescent="0.3">
      <c r="A3076" s="269">
        <v>3024</v>
      </c>
      <c r="B3076" s="23" t="s">
        <v>167</v>
      </c>
      <c r="C3076" s="23" t="s">
        <v>19500</v>
      </c>
      <c r="D3076" s="274" t="s">
        <v>19501</v>
      </c>
      <c r="E3076" s="242">
        <v>32.6</v>
      </c>
      <c r="F3076" s="244">
        <v>770338</v>
      </c>
      <c r="G3076" s="242"/>
      <c r="H3076" s="244">
        <v>542700.35</v>
      </c>
      <c r="I3076" s="243">
        <v>43061</v>
      </c>
      <c r="J3076" s="242" t="s">
        <v>20129</v>
      </c>
      <c r="K3076" s="242"/>
      <c r="L3076" s="66"/>
      <c r="M3076" s="201" t="s">
        <v>12550</v>
      </c>
      <c r="N3076" s="245" t="s">
        <v>23446</v>
      </c>
      <c r="O3076" s="38" t="s">
        <v>23447</v>
      </c>
      <c r="Q3076" s="161"/>
      <c r="R3076" s="161"/>
      <c r="S3076" s="161"/>
      <c r="T3076" s="161"/>
      <c r="U3076" s="161"/>
      <c r="V3076" s="161"/>
      <c r="W3076" s="161"/>
      <c r="X3076" s="161"/>
      <c r="Y3076" s="161"/>
      <c r="Z3076" s="161"/>
    </row>
    <row r="3077" spans="1:26" ht="168" customHeight="1" x14ac:dyDescent="0.3">
      <c r="A3077" s="139">
        <v>3025</v>
      </c>
      <c r="B3077" s="242" t="s">
        <v>19504</v>
      </c>
      <c r="C3077" s="242" t="s">
        <v>19503</v>
      </c>
      <c r="D3077" s="87" t="s">
        <v>19502</v>
      </c>
      <c r="E3077" s="242">
        <v>49.8</v>
      </c>
      <c r="F3077" s="244">
        <v>1176774</v>
      </c>
      <c r="G3077" s="242"/>
      <c r="H3077" s="244">
        <v>1403849.55</v>
      </c>
      <c r="I3077" s="243">
        <v>43061</v>
      </c>
      <c r="J3077" s="242" t="s">
        <v>19515</v>
      </c>
      <c r="K3077" s="242"/>
      <c r="L3077" s="66"/>
      <c r="M3077" s="201" t="s">
        <v>12550</v>
      </c>
      <c r="N3077" s="242"/>
      <c r="O3077" s="38" t="s">
        <v>20475</v>
      </c>
      <c r="Q3077" s="161"/>
      <c r="R3077" s="161"/>
      <c r="S3077" s="161"/>
      <c r="T3077" s="161"/>
      <c r="U3077" s="161"/>
      <c r="V3077" s="161"/>
      <c r="W3077" s="161"/>
      <c r="X3077" s="161"/>
      <c r="Y3077" s="161"/>
      <c r="Z3077" s="161"/>
    </row>
    <row r="3078" spans="1:26" ht="166.95" customHeight="1" x14ac:dyDescent="0.3">
      <c r="A3078" s="139">
        <v>3026</v>
      </c>
      <c r="B3078" s="242" t="s">
        <v>19530</v>
      </c>
      <c r="C3078" s="242" t="s">
        <v>19531</v>
      </c>
      <c r="D3078" s="60" t="s">
        <v>19529</v>
      </c>
      <c r="E3078" s="242">
        <v>289.10000000000002</v>
      </c>
      <c r="F3078" s="244">
        <v>7399080.4400000004</v>
      </c>
      <c r="G3078" s="20">
        <v>126666.68</v>
      </c>
      <c r="H3078" s="98">
        <v>3054133.35</v>
      </c>
      <c r="I3078" s="243" t="s">
        <v>19532</v>
      </c>
      <c r="J3078" s="242" t="s">
        <v>20270</v>
      </c>
      <c r="K3078" s="242" t="s">
        <v>20442</v>
      </c>
      <c r="L3078" s="66" t="s">
        <v>20443</v>
      </c>
      <c r="M3078" s="201" t="s">
        <v>12550</v>
      </c>
      <c r="N3078" s="242"/>
      <c r="O3078" s="38"/>
      <c r="Q3078" s="161"/>
      <c r="R3078" s="161"/>
      <c r="S3078" s="161"/>
      <c r="T3078" s="161"/>
      <c r="U3078" s="161"/>
      <c r="V3078" s="161"/>
      <c r="W3078" s="161"/>
      <c r="X3078" s="161"/>
      <c r="Y3078" s="161"/>
      <c r="Z3078" s="161"/>
    </row>
    <row r="3079" spans="1:26" ht="72" customHeight="1" x14ac:dyDescent="0.3">
      <c r="A3079" s="139">
        <v>3027</v>
      </c>
      <c r="B3079" s="242" t="s">
        <v>19279</v>
      </c>
      <c r="C3079" s="245" t="s">
        <v>19581</v>
      </c>
      <c r="D3079" s="85" t="s">
        <v>19582</v>
      </c>
      <c r="E3079" s="207">
        <v>1000</v>
      </c>
      <c r="F3079" s="25">
        <v>183520</v>
      </c>
      <c r="G3079" s="207"/>
      <c r="H3079" s="25">
        <v>183520</v>
      </c>
      <c r="I3079" s="26">
        <v>43074</v>
      </c>
      <c r="J3079" s="66" t="s">
        <v>19583</v>
      </c>
      <c r="K3079" s="207"/>
      <c r="L3079" s="66"/>
      <c r="M3079" s="200" t="s">
        <v>12550</v>
      </c>
      <c r="N3079" s="207"/>
      <c r="O3079" s="38" t="s">
        <v>12039</v>
      </c>
    </row>
    <row r="3080" spans="1:26" ht="108" customHeight="1" x14ac:dyDescent="0.3">
      <c r="A3080" s="269">
        <v>3028</v>
      </c>
      <c r="B3080" s="276" t="s">
        <v>12467</v>
      </c>
      <c r="C3080" s="276" t="s">
        <v>19629</v>
      </c>
      <c r="D3080" s="264" t="s">
        <v>19630</v>
      </c>
      <c r="E3080" s="245">
        <v>61</v>
      </c>
      <c r="F3080" s="35">
        <v>2524458.16</v>
      </c>
      <c r="G3080" s="35"/>
      <c r="H3080" s="25">
        <v>2524458.16</v>
      </c>
      <c r="I3080" s="26">
        <v>43110</v>
      </c>
      <c r="J3080" s="66" t="s">
        <v>19631</v>
      </c>
      <c r="K3080" s="207"/>
      <c r="L3080" s="66"/>
      <c r="M3080" s="201" t="s">
        <v>12550</v>
      </c>
      <c r="N3080" s="193" t="s">
        <v>22669</v>
      </c>
      <c r="O3080" s="38"/>
    </row>
    <row r="3081" spans="1:26" ht="72" customHeight="1" x14ac:dyDescent="0.3">
      <c r="A3081" s="139">
        <v>3029</v>
      </c>
      <c r="B3081" s="108" t="s">
        <v>14442</v>
      </c>
      <c r="C3081" s="108" t="s">
        <v>19665</v>
      </c>
      <c r="D3081" s="256" t="s">
        <v>19677</v>
      </c>
      <c r="E3081" s="109">
        <v>854078</v>
      </c>
      <c r="F3081" s="244">
        <v>13656707.220000001</v>
      </c>
      <c r="G3081" s="207"/>
      <c r="H3081" s="98">
        <v>13656707.220000001</v>
      </c>
      <c r="I3081" s="26">
        <v>43088</v>
      </c>
      <c r="J3081" s="66" t="s">
        <v>19678</v>
      </c>
      <c r="K3081" s="207"/>
      <c r="L3081" s="66"/>
      <c r="M3081" s="200" t="s">
        <v>12550</v>
      </c>
      <c r="N3081" s="207"/>
      <c r="O3081" s="38" t="s">
        <v>12039</v>
      </c>
    </row>
    <row r="3082" spans="1:26" ht="72" customHeight="1" x14ac:dyDescent="0.3">
      <c r="A3082" s="139">
        <v>3030</v>
      </c>
      <c r="B3082" s="108" t="s">
        <v>14442</v>
      </c>
      <c r="C3082" s="108" t="s">
        <v>19665</v>
      </c>
      <c r="D3082" s="256" t="s">
        <v>19679</v>
      </c>
      <c r="E3082" s="109">
        <v>229170</v>
      </c>
      <c r="F3082" s="244">
        <v>3339006.9</v>
      </c>
      <c r="G3082" s="207"/>
      <c r="H3082" s="98">
        <v>3339006.9</v>
      </c>
      <c r="I3082" s="26">
        <v>43088</v>
      </c>
      <c r="J3082" s="66" t="s">
        <v>19680</v>
      </c>
      <c r="K3082" s="207"/>
      <c r="L3082" s="66"/>
      <c r="M3082" s="200" t="s">
        <v>12550</v>
      </c>
      <c r="N3082" s="207"/>
      <c r="O3082" s="38" t="s">
        <v>20062</v>
      </c>
    </row>
    <row r="3083" spans="1:26" s="4" customFormat="1" ht="72" customHeight="1" x14ac:dyDescent="0.3">
      <c r="A3083" s="139">
        <v>3031</v>
      </c>
      <c r="B3083" s="242" t="s">
        <v>19936</v>
      </c>
      <c r="C3083" s="242" t="s">
        <v>19937</v>
      </c>
      <c r="D3083" s="85" t="s">
        <v>19938</v>
      </c>
      <c r="E3083" s="33">
        <v>1056</v>
      </c>
      <c r="F3083" s="98">
        <v>230926.07999999999</v>
      </c>
      <c r="G3083" s="244"/>
      <c r="H3083" s="98">
        <v>230926.07999999999</v>
      </c>
      <c r="I3083" s="243" t="s">
        <v>19939</v>
      </c>
      <c r="J3083" s="242" t="s">
        <v>19940</v>
      </c>
      <c r="K3083" s="242"/>
      <c r="L3083" s="66"/>
      <c r="M3083" s="242" t="s">
        <v>15722</v>
      </c>
      <c r="N3083" s="6"/>
      <c r="O3083" s="245" t="s">
        <v>11937</v>
      </c>
    </row>
    <row r="3084" spans="1:26" ht="84" customHeight="1" x14ac:dyDescent="0.3">
      <c r="A3084" s="139">
        <v>3032</v>
      </c>
      <c r="B3084" s="108" t="s">
        <v>20059</v>
      </c>
      <c r="C3084" s="108" t="s">
        <v>20060</v>
      </c>
      <c r="D3084" s="256" t="s">
        <v>20061</v>
      </c>
      <c r="E3084" s="109">
        <v>400000</v>
      </c>
      <c r="F3084" s="244">
        <v>6812000</v>
      </c>
      <c r="G3084" s="207"/>
      <c r="H3084" s="98">
        <v>6812000</v>
      </c>
      <c r="I3084" s="26" t="s">
        <v>20063</v>
      </c>
      <c r="J3084" s="66" t="s">
        <v>20064</v>
      </c>
      <c r="K3084" s="207"/>
      <c r="L3084" s="66"/>
      <c r="M3084" s="200" t="s">
        <v>12550</v>
      </c>
      <c r="N3084" s="207"/>
      <c r="O3084" s="38" t="s">
        <v>12039</v>
      </c>
    </row>
    <row r="3085" spans="1:26" ht="60" customHeight="1" x14ac:dyDescent="0.3">
      <c r="A3085" s="139">
        <v>3033</v>
      </c>
      <c r="B3085" s="108" t="s">
        <v>20138</v>
      </c>
      <c r="C3085" s="108" t="s">
        <v>20139</v>
      </c>
      <c r="D3085" s="256" t="s">
        <v>20140</v>
      </c>
      <c r="E3085" s="109">
        <v>10000</v>
      </c>
      <c r="F3085" s="244">
        <v>10662300</v>
      </c>
      <c r="G3085" s="207"/>
      <c r="H3085" s="98">
        <v>10662300</v>
      </c>
      <c r="I3085" s="26" t="s">
        <v>20141</v>
      </c>
      <c r="J3085" s="66" t="s">
        <v>20142</v>
      </c>
      <c r="K3085" s="207"/>
      <c r="L3085" s="66"/>
      <c r="M3085" s="29" t="s">
        <v>15722</v>
      </c>
      <c r="N3085" s="207"/>
      <c r="O3085" s="38" t="s">
        <v>11937</v>
      </c>
    </row>
    <row r="3086" spans="1:26" ht="60" customHeight="1" x14ac:dyDescent="0.3">
      <c r="A3086" s="139">
        <v>3034</v>
      </c>
      <c r="B3086" s="108" t="s">
        <v>20143</v>
      </c>
      <c r="C3086" s="108" t="s">
        <v>20144</v>
      </c>
      <c r="D3086" s="256" t="s">
        <v>20145</v>
      </c>
      <c r="E3086" s="109">
        <v>1856</v>
      </c>
      <c r="F3086" s="244">
        <v>330572.15999999997</v>
      </c>
      <c r="G3086" s="207"/>
      <c r="H3086" s="98">
        <v>330572.15999999997</v>
      </c>
      <c r="I3086" s="26" t="s">
        <v>20141</v>
      </c>
      <c r="J3086" s="66" t="s">
        <v>20146</v>
      </c>
      <c r="K3086" s="207"/>
      <c r="L3086" s="66"/>
      <c r="M3086" s="29" t="s">
        <v>15722</v>
      </c>
      <c r="N3086" s="207"/>
      <c r="O3086" s="38" t="s">
        <v>11937</v>
      </c>
    </row>
    <row r="3087" spans="1:26" ht="84" customHeight="1" x14ac:dyDescent="0.3">
      <c r="A3087" s="269">
        <v>3035</v>
      </c>
      <c r="B3087" s="23" t="s">
        <v>14078</v>
      </c>
      <c r="C3087" s="23" t="s">
        <v>20227</v>
      </c>
      <c r="D3087" s="264"/>
      <c r="E3087" s="91">
        <v>39.4</v>
      </c>
      <c r="F3087" s="25"/>
      <c r="G3087" s="207"/>
      <c r="H3087" s="25"/>
      <c r="I3087" s="26" t="s">
        <v>20148</v>
      </c>
      <c r="J3087" s="242" t="s">
        <v>20228</v>
      </c>
      <c r="K3087" s="207"/>
      <c r="L3087" s="66"/>
      <c r="M3087" s="201" t="s">
        <v>12550</v>
      </c>
      <c r="N3087" s="207"/>
      <c r="O3087" s="38" t="s">
        <v>20549</v>
      </c>
    </row>
    <row r="3088" spans="1:26" ht="84" customHeight="1" x14ac:dyDescent="0.3">
      <c r="A3088" s="139">
        <v>3036</v>
      </c>
      <c r="B3088" s="242" t="s">
        <v>12491</v>
      </c>
      <c r="C3088" s="242" t="s">
        <v>20229</v>
      </c>
      <c r="D3088" s="88"/>
      <c r="E3088" s="91">
        <v>46.6</v>
      </c>
      <c r="F3088" s="25"/>
      <c r="G3088" s="207"/>
      <c r="H3088" s="25"/>
      <c r="I3088" s="26" t="s">
        <v>20148</v>
      </c>
      <c r="J3088" s="242" t="s">
        <v>20230</v>
      </c>
      <c r="K3088" s="207"/>
      <c r="L3088" s="66"/>
      <c r="M3088" s="201" t="s">
        <v>12550</v>
      </c>
      <c r="N3088" s="207"/>
      <c r="O3088" s="38" t="s">
        <v>20231</v>
      </c>
    </row>
    <row r="3089" spans="1:17" ht="84" customHeight="1" x14ac:dyDescent="0.3">
      <c r="A3089" s="139">
        <v>3037</v>
      </c>
      <c r="B3089" s="242" t="s">
        <v>12491</v>
      </c>
      <c r="C3089" s="242" t="s">
        <v>20237</v>
      </c>
      <c r="D3089" s="88"/>
      <c r="E3089" s="91">
        <v>55.2</v>
      </c>
      <c r="F3089" s="25"/>
      <c r="G3089" s="207"/>
      <c r="H3089" s="25"/>
      <c r="I3089" s="26" t="s">
        <v>20148</v>
      </c>
      <c r="J3089" s="242" t="s">
        <v>20232</v>
      </c>
      <c r="K3089" s="207"/>
      <c r="L3089" s="66"/>
      <c r="M3089" s="201" t="s">
        <v>12550</v>
      </c>
      <c r="N3089" s="207"/>
      <c r="O3089" s="38"/>
    </row>
    <row r="3090" spans="1:17" ht="96" customHeight="1" x14ac:dyDescent="0.3">
      <c r="A3090" s="139">
        <v>3038</v>
      </c>
      <c r="B3090" s="242" t="s">
        <v>12491</v>
      </c>
      <c r="C3090" s="242" t="s">
        <v>20233</v>
      </c>
      <c r="D3090" s="88"/>
      <c r="E3090" s="91">
        <v>43.5</v>
      </c>
      <c r="F3090" s="25"/>
      <c r="G3090" s="207"/>
      <c r="H3090" s="25"/>
      <c r="I3090" s="26" t="s">
        <v>20148</v>
      </c>
      <c r="J3090" s="242" t="s">
        <v>20234</v>
      </c>
      <c r="K3090" s="207"/>
      <c r="L3090" s="66"/>
      <c r="M3090" s="201" t="s">
        <v>12550</v>
      </c>
      <c r="N3090" s="207"/>
      <c r="O3090" s="38" t="s">
        <v>20235</v>
      </c>
    </row>
    <row r="3091" spans="1:17" ht="98.4" customHeight="1" x14ac:dyDescent="0.3">
      <c r="A3091" s="139">
        <v>3039</v>
      </c>
      <c r="B3091" s="242" t="s">
        <v>14078</v>
      </c>
      <c r="C3091" s="242" t="s">
        <v>20236</v>
      </c>
      <c r="D3091" s="88"/>
      <c r="E3091" s="207">
        <v>35.6</v>
      </c>
      <c r="F3091" s="25"/>
      <c r="G3091" s="207"/>
      <c r="H3091" s="207"/>
      <c r="I3091" s="26" t="s">
        <v>20148</v>
      </c>
      <c r="J3091" s="242" t="s">
        <v>20265</v>
      </c>
      <c r="K3091" s="207"/>
      <c r="L3091" s="66"/>
      <c r="M3091" s="201" t="s">
        <v>12550</v>
      </c>
      <c r="N3091" s="207"/>
      <c r="O3091" s="38"/>
    </row>
    <row r="3092" spans="1:17" ht="72" customHeight="1" x14ac:dyDescent="0.3">
      <c r="A3092" s="139">
        <v>3040</v>
      </c>
      <c r="B3092" s="245" t="s">
        <v>21070</v>
      </c>
      <c r="C3092" s="245" t="s">
        <v>14427</v>
      </c>
      <c r="D3092" s="86" t="s">
        <v>21071</v>
      </c>
      <c r="E3092" s="207"/>
      <c r="F3092" s="25"/>
      <c r="G3092" s="207"/>
      <c r="H3092" s="207"/>
      <c r="I3092" s="26" t="s">
        <v>20148</v>
      </c>
      <c r="J3092" s="242" t="s">
        <v>21072</v>
      </c>
      <c r="K3092" s="207"/>
      <c r="L3092" s="66"/>
      <c r="M3092" s="201" t="s">
        <v>12550</v>
      </c>
      <c r="N3092" s="207"/>
      <c r="O3092" s="38" t="s">
        <v>20238</v>
      </c>
    </row>
    <row r="3093" spans="1:17" ht="84" customHeight="1" x14ac:dyDescent="0.3">
      <c r="A3093" s="139">
        <v>3041</v>
      </c>
      <c r="B3093" s="230" t="s">
        <v>21069</v>
      </c>
      <c r="C3093" s="245" t="s">
        <v>20241</v>
      </c>
      <c r="D3093" s="86" t="s">
        <v>21064</v>
      </c>
      <c r="E3093" s="207"/>
      <c r="F3093" s="25"/>
      <c r="G3093" s="207"/>
      <c r="H3093" s="207"/>
      <c r="I3093" s="26" t="s">
        <v>20148</v>
      </c>
      <c r="J3093" s="242" t="s">
        <v>21065</v>
      </c>
      <c r="K3093" s="207"/>
      <c r="L3093" s="66"/>
      <c r="M3093" s="201" t="s">
        <v>12550</v>
      </c>
      <c r="N3093" s="207"/>
      <c r="O3093" s="38" t="s">
        <v>20239</v>
      </c>
    </row>
    <row r="3094" spans="1:17" ht="72" customHeight="1" x14ac:dyDescent="0.3">
      <c r="A3094" s="139">
        <v>3042</v>
      </c>
      <c r="B3094" s="230" t="s">
        <v>21066</v>
      </c>
      <c r="C3094" s="245" t="s">
        <v>20240</v>
      </c>
      <c r="D3094" s="85" t="s">
        <v>21067</v>
      </c>
      <c r="E3094" s="207"/>
      <c r="F3094" s="25"/>
      <c r="G3094" s="207"/>
      <c r="H3094" s="207"/>
      <c r="I3094" s="26" t="s">
        <v>20148</v>
      </c>
      <c r="J3094" s="242" t="s">
        <v>21068</v>
      </c>
      <c r="K3094" s="207"/>
      <c r="L3094" s="66"/>
      <c r="M3094" s="201" t="s">
        <v>12550</v>
      </c>
      <c r="N3094" s="207"/>
      <c r="O3094" s="38" t="s">
        <v>20242</v>
      </c>
    </row>
    <row r="3095" spans="1:17" ht="72" customHeight="1" x14ac:dyDescent="0.3">
      <c r="A3095" s="139">
        <v>3043</v>
      </c>
      <c r="B3095" s="230" t="s">
        <v>21121</v>
      </c>
      <c r="C3095" s="245" t="s">
        <v>20243</v>
      </c>
      <c r="D3095" s="85" t="s">
        <v>21120</v>
      </c>
      <c r="E3095" s="207"/>
      <c r="F3095" s="25"/>
      <c r="G3095" s="207"/>
      <c r="H3095" s="207"/>
      <c r="I3095" s="26" t="s">
        <v>20148</v>
      </c>
      <c r="J3095" s="242" t="s">
        <v>21122</v>
      </c>
      <c r="K3095" s="207"/>
      <c r="L3095" s="66"/>
      <c r="M3095" s="201" t="s">
        <v>12550</v>
      </c>
      <c r="N3095" s="207"/>
      <c r="O3095" s="38" t="s">
        <v>20244</v>
      </c>
    </row>
    <row r="3096" spans="1:17" ht="96" customHeight="1" x14ac:dyDescent="0.3">
      <c r="A3096" s="269">
        <v>3044</v>
      </c>
      <c r="B3096" s="23" t="s">
        <v>12491</v>
      </c>
      <c r="C3096" s="23" t="s">
        <v>20255</v>
      </c>
      <c r="D3096" s="274" t="s">
        <v>20256</v>
      </c>
      <c r="E3096" s="242">
        <v>44.8</v>
      </c>
      <c r="F3096" s="244">
        <v>1374450</v>
      </c>
      <c r="G3096" s="242"/>
      <c r="H3096" s="244">
        <v>1250960.7</v>
      </c>
      <c r="I3096" s="243">
        <v>43210</v>
      </c>
      <c r="J3096" s="242" t="s">
        <v>20257</v>
      </c>
      <c r="K3096" s="242"/>
      <c r="L3096" s="66"/>
      <c r="M3096" s="201" t="s">
        <v>12550</v>
      </c>
      <c r="N3096" s="242" t="s">
        <v>20563</v>
      </c>
      <c r="O3096" s="38"/>
      <c r="P3096" s="161"/>
      <c r="Q3096" s="161"/>
    </row>
    <row r="3097" spans="1:17" s="161" customFormat="1" ht="72" customHeight="1" x14ac:dyDescent="0.3">
      <c r="A3097" s="139">
        <v>3045</v>
      </c>
      <c r="B3097" s="242" t="s">
        <v>20259</v>
      </c>
      <c r="C3097" s="242" t="s">
        <v>20260</v>
      </c>
      <c r="D3097" s="60" t="s">
        <v>20261</v>
      </c>
      <c r="E3097" s="242">
        <v>1000</v>
      </c>
      <c r="F3097" s="244">
        <v>196950</v>
      </c>
      <c r="G3097" s="244"/>
      <c r="H3097" s="244">
        <v>196950</v>
      </c>
      <c r="I3097" s="243">
        <v>43094</v>
      </c>
      <c r="J3097" s="242" t="s">
        <v>20262</v>
      </c>
      <c r="K3097" s="242"/>
      <c r="L3097" s="66"/>
      <c r="M3097" s="200" t="s">
        <v>12550</v>
      </c>
      <c r="N3097" s="160"/>
      <c r="O3097" s="245" t="s">
        <v>12039</v>
      </c>
    </row>
    <row r="3098" spans="1:17" ht="96" customHeight="1" x14ac:dyDescent="0.3">
      <c r="A3098" s="269">
        <v>3046</v>
      </c>
      <c r="B3098" s="23" t="s">
        <v>12491</v>
      </c>
      <c r="C3098" s="23" t="s">
        <v>20289</v>
      </c>
      <c r="D3098" s="274" t="s">
        <v>20288</v>
      </c>
      <c r="E3098" s="242">
        <v>53.2</v>
      </c>
      <c r="F3098" s="244">
        <v>1374450</v>
      </c>
      <c r="G3098" s="242"/>
      <c r="H3098" s="244">
        <v>827557.92</v>
      </c>
      <c r="I3098" s="243">
        <v>43231</v>
      </c>
      <c r="J3098" s="242" t="s">
        <v>20290</v>
      </c>
      <c r="K3098" s="242"/>
      <c r="L3098" s="66"/>
      <c r="M3098" s="201" t="s">
        <v>12550</v>
      </c>
      <c r="N3098" s="242" t="s">
        <v>20562</v>
      </c>
      <c r="O3098" s="38"/>
      <c r="P3098" s="161"/>
      <c r="Q3098" s="161"/>
    </row>
    <row r="3099" spans="1:17" ht="96" customHeight="1" x14ac:dyDescent="0.3">
      <c r="A3099" s="139">
        <v>3047</v>
      </c>
      <c r="B3099" s="2" t="s">
        <v>12491</v>
      </c>
      <c r="C3099" s="242" t="s">
        <v>20559</v>
      </c>
      <c r="D3099" s="87" t="s">
        <v>18019</v>
      </c>
      <c r="E3099" s="242">
        <v>41.3</v>
      </c>
      <c r="F3099" s="244">
        <v>1374450</v>
      </c>
      <c r="G3099" s="242"/>
      <c r="H3099" s="244">
        <v>1607542.62</v>
      </c>
      <c r="I3099" s="243">
        <v>43231</v>
      </c>
      <c r="J3099" s="242" t="s">
        <v>20291</v>
      </c>
      <c r="K3099" s="242"/>
      <c r="L3099" s="66"/>
      <c r="M3099" s="201" t="s">
        <v>12550</v>
      </c>
      <c r="N3099" s="242" t="s">
        <v>20560</v>
      </c>
      <c r="O3099" s="38"/>
      <c r="P3099" s="161"/>
      <c r="Q3099" s="161"/>
    </row>
    <row r="3100" spans="1:17" ht="96" customHeight="1" x14ac:dyDescent="0.3">
      <c r="A3100" s="139">
        <v>3048</v>
      </c>
      <c r="B3100" s="2" t="s">
        <v>12491</v>
      </c>
      <c r="C3100" s="242" t="s">
        <v>20292</v>
      </c>
      <c r="D3100" s="87" t="s">
        <v>20293</v>
      </c>
      <c r="E3100" s="242">
        <v>40.5</v>
      </c>
      <c r="F3100" s="244">
        <v>1374450</v>
      </c>
      <c r="G3100" s="242"/>
      <c r="H3100" s="244">
        <v>1124786.25</v>
      </c>
      <c r="I3100" s="243">
        <v>43231</v>
      </c>
      <c r="J3100" s="242" t="s">
        <v>20294</v>
      </c>
      <c r="K3100" s="242"/>
      <c r="L3100" s="66"/>
      <c r="M3100" s="201" t="s">
        <v>12550</v>
      </c>
      <c r="N3100" s="242" t="s">
        <v>20557</v>
      </c>
      <c r="O3100" s="38"/>
      <c r="P3100" s="161"/>
      <c r="Q3100" s="161"/>
    </row>
    <row r="3101" spans="1:17" ht="96" customHeight="1" x14ac:dyDescent="0.3">
      <c r="A3101" s="139">
        <v>3049</v>
      </c>
      <c r="B3101" s="2" t="s">
        <v>14078</v>
      </c>
      <c r="C3101" s="242" t="s">
        <v>20295</v>
      </c>
      <c r="D3101" s="87" t="s">
        <v>20296</v>
      </c>
      <c r="E3101" s="242">
        <v>32.299999999999997</v>
      </c>
      <c r="F3101" s="244">
        <v>1345295</v>
      </c>
      <c r="G3101" s="242"/>
      <c r="H3101" s="244">
        <v>866616.43</v>
      </c>
      <c r="I3101" s="243">
        <v>43231</v>
      </c>
      <c r="J3101" s="242" t="s">
        <v>20297</v>
      </c>
      <c r="K3101" s="242"/>
      <c r="L3101" s="66"/>
      <c r="M3101" s="201" t="s">
        <v>12550</v>
      </c>
      <c r="N3101" s="242" t="s">
        <v>20561</v>
      </c>
      <c r="O3101" s="38"/>
      <c r="P3101" s="161"/>
      <c r="Q3101" s="161"/>
    </row>
    <row r="3102" spans="1:17" ht="96" customHeight="1" x14ac:dyDescent="0.3">
      <c r="A3102" s="139">
        <v>3050</v>
      </c>
      <c r="B3102" s="2" t="s">
        <v>12491</v>
      </c>
      <c r="C3102" s="242" t="s">
        <v>20313</v>
      </c>
      <c r="D3102" s="87" t="s">
        <v>20311</v>
      </c>
      <c r="E3102" s="242">
        <v>43.5</v>
      </c>
      <c r="F3102" s="244">
        <v>1374450</v>
      </c>
      <c r="G3102" s="242"/>
      <c r="H3102" s="244">
        <v>1049255.24</v>
      </c>
      <c r="I3102" s="243">
        <v>43236</v>
      </c>
      <c r="J3102" s="242" t="s">
        <v>20312</v>
      </c>
      <c r="K3102" s="242"/>
      <c r="L3102" s="66"/>
      <c r="M3102" s="201" t="s">
        <v>12550</v>
      </c>
      <c r="N3102" s="242" t="s">
        <v>20558</v>
      </c>
      <c r="O3102" s="38"/>
      <c r="P3102" s="161"/>
      <c r="Q3102" s="161"/>
    </row>
    <row r="3103" spans="1:17" ht="84" customHeight="1" x14ac:dyDescent="0.3">
      <c r="A3103" s="139">
        <v>3051</v>
      </c>
      <c r="B3103" s="32" t="s">
        <v>22349</v>
      </c>
      <c r="C3103" s="32" t="s">
        <v>20314</v>
      </c>
      <c r="D3103" s="207"/>
      <c r="E3103" s="207">
        <v>543</v>
      </c>
      <c r="F3103" s="25"/>
      <c r="G3103" s="207"/>
      <c r="H3103" s="25"/>
      <c r="I3103" s="26" t="s">
        <v>20336</v>
      </c>
      <c r="J3103" s="242" t="s">
        <v>20841</v>
      </c>
      <c r="K3103" s="207"/>
      <c r="L3103" s="245"/>
      <c r="M3103" s="201" t="s">
        <v>12550</v>
      </c>
      <c r="N3103" s="207"/>
      <c r="O3103" s="38" t="s">
        <v>22947</v>
      </c>
    </row>
    <row r="3104" spans="1:17" ht="72" customHeight="1" x14ac:dyDescent="0.3">
      <c r="A3104" s="139">
        <v>3052</v>
      </c>
      <c r="B3104" s="32" t="s">
        <v>20337</v>
      </c>
      <c r="C3104" s="32" t="s">
        <v>20315</v>
      </c>
      <c r="D3104" s="207"/>
      <c r="E3104" s="207">
        <v>2220</v>
      </c>
      <c r="F3104" s="25"/>
      <c r="G3104" s="207"/>
      <c r="H3104" s="207"/>
      <c r="I3104" s="115" t="s">
        <v>20336</v>
      </c>
      <c r="J3104" s="242" t="s">
        <v>20842</v>
      </c>
      <c r="K3104" s="207"/>
      <c r="L3104" s="66"/>
      <c r="M3104" s="231" t="s">
        <v>12550</v>
      </c>
      <c r="N3104" s="207"/>
      <c r="O3104" s="118" t="s">
        <v>22351</v>
      </c>
    </row>
    <row r="3105" spans="1:15" ht="72" customHeight="1" x14ac:dyDescent="0.3">
      <c r="A3105" s="139">
        <v>3053</v>
      </c>
      <c r="B3105" s="32" t="s">
        <v>20338</v>
      </c>
      <c r="C3105" s="32" t="s">
        <v>20315</v>
      </c>
      <c r="D3105" s="207"/>
      <c r="E3105" s="207">
        <v>1638</v>
      </c>
      <c r="F3105" s="25"/>
      <c r="G3105" s="207"/>
      <c r="H3105" s="207"/>
      <c r="I3105" s="115" t="s">
        <v>20336</v>
      </c>
      <c r="J3105" s="242" t="s">
        <v>20843</v>
      </c>
      <c r="K3105" s="207"/>
      <c r="L3105" s="66"/>
      <c r="M3105" s="231" t="s">
        <v>12550</v>
      </c>
      <c r="N3105" s="207"/>
      <c r="O3105" s="118" t="s">
        <v>22352</v>
      </c>
    </row>
    <row r="3106" spans="1:15" ht="72" customHeight="1" x14ac:dyDescent="0.3">
      <c r="A3106" s="139">
        <v>3054</v>
      </c>
      <c r="B3106" s="32" t="s">
        <v>20339</v>
      </c>
      <c r="C3106" s="32" t="s">
        <v>20316</v>
      </c>
      <c r="D3106" s="207"/>
      <c r="E3106" s="207">
        <v>1350</v>
      </c>
      <c r="F3106" s="25"/>
      <c r="G3106" s="207"/>
      <c r="H3106" s="207"/>
      <c r="I3106" s="115" t="s">
        <v>20336</v>
      </c>
      <c r="J3106" s="242" t="s">
        <v>20844</v>
      </c>
      <c r="K3106" s="207"/>
      <c r="L3106" s="66"/>
      <c r="M3106" s="231" t="s">
        <v>12550</v>
      </c>
      <c r="N3106" s="207"/>
      <c r="O3106" s="118" t="s">
        <v>22353</v>
      </c>
    </row>
    <row r="3107" spans="1:15" ht="72" customHeight="1" x14ac:dyDescent="0.3">
      <c r="A3107" s="139">
        <v>3055</v>
      </c>
      <c r="B3107" s="32" t="s">
        <v>20340</v>
      </c>
      <c r="C3107" s="32" t="s">
        <v>20317</v>
      </c>
      <c r="D3107" s="207"/>
      <c r="E3107" s="207">
        <v>999</v>
      </c>
      <c r="F3107" s="25"/>
      <c r="G3107" s="207"/>
      <c r="H3107" s="207"/>
      <c r="I3107" s="115" t="s">
        <v>20336</v>
      </c>
      <c r="J3107" s="242" t="s">
        <v>20845</v>
      </c>
      <c r="K3107" s="207"/>
      <c r="L3107" s="66"/>
      <c r="M3107" s="231" t="s">
        <v>12550</v>
      </c>
      <c r="N3107" s="207"/>
      <c r="O3107" s="118" t="s">
        <v>22354</v>
      </c>
    </row>
    <row r="3108" spans="1:15" ht="72" customHeight="1" x14ac:dyDescent="0.3">
      <c r="A3108" s="139">
        <v>3056</v>
      </c>
      <c r="B3108" s="32" t="s">
        <v>20341</v>
      </c>
      <c r="C3108" s="32" t="s">
        <v>20318</v>
      </c>
      <c r="D3108" s="207"/>
      <c r="E3108" s="207">
        <v>351</v>
      </c>
      <c r="F3108" s="25"/>
      <c r="G3108" s="207"/>
      <c r="H3108" s="207"/>
      <c r="I3108" s="115" t="s">
        <v>20336</v>
      </c>
      <c r="J3108" s="242" t="s">
        <v>20846</v>
      </c>
      <c r="K3108" s="207"/>
      <c r="L3108" s="66"/>
      <c r="M3108" s="231" t="s">
        <v>12550</v>
      </c>
      <c r="N3108" s="207"/>
      <c r="O3108" s="118" t="s">
        <v>22355</v>
      </c>
    </row>
    <row r="3109" spans="1:15" ht="72" customHeight="1" x14ac:dyDescent="0.3">
      <c r="A3109" s="139">
        <v>3057</v>
      </c>
      <c r="B3109" s="32" t="s">
        <v>20342</v>
      </c>
      <c r="C3109" s="32" t="s">
        <v>20318</v>
      </c>
      <c r="D3109" s="207"/>
      <c r="E3109" s="207">
        <v>899.5</v>
      </c>
      <c r="F3109" s="25"/>
      <c r="G3109" s="207"/>
      <c r="H3109" s="207"/>
      <c r="I3109" s="115" t="s">
        <v>20336</v>
      </c>
      <c r="J3109" s="242" t="s">
        <v>20847</v>
      </c>
      <c r="K3109" s="207"/>
      <c r="L3109" s="66"/>
      <c r="M3109" s="231" t="s">
        <v>12550</v>
      </c>
      <c r="N3109" s="207"/>
      <c r="O3109" s="118" t="s">
        <v>22356</v>
      </c>
    </row>
    <row r="3110" spans="1:15" ht="132" customHeight="1" x14ac:dyDescent="0.3">
      <c r="A3110" s="139">
        <v>3058</v>
      </c>
      <c r="B3110" s="32" t="s">
        <v>20343</v>
      </c>
      <c r="C3110" s="32" t="s">
        <v>20318</v>
      </c>
      <c r="D3110" s="207"/>
      <c r="E3110" s="207">
        <v>270</v>
      </c>
      <c r="F3110" s="25"/>
      <c r="G3110" s="207"/>
      <c r="H3110" s="207"/>
      <c r="I3110" s="26" t="s">
        <v>20336</v>
      </c>
      <c r="J3110" s="242" t="s">
        <v>20848</v>
      </c>
      <c r="K3110" s="207"/>
      <c r="L3110" s="66"/>
      <c r="M3110" s="201" t="s">
        <v>12550</v>
      </c>
      <c r="N3110" s="207"/>
      <c r="O3110" s="38" t="s">
        <v>22357</v>
      </c>
    </row>
    <row r="3111" spans="1:15" ht="72" customHeight="1" x14ac:dyDescent="0.3">
      <c r="A3111" s="139">
        <v>3059</v>
      </c>
      <c r="B3111" s="32" t="s">
        <v>20344</v>
      </c>
      <c r="C3111" s="32" t="s">
        <v>20318</v>
      </c>
      <c r="D3111" s="207"/>
      <c r="E3111" s="207">
        <v>1673</v>
      </c>
      <c r="F3111" s="25"/>
      <c r="G3111" s="207"/>
      <c r="H3111" s="207"/>
      <c r="I3111" s="115" t="s">
        <v>20336</v>
      </c>
      <c r="J3111" s="242" t="s">
        <v>20849</v>
      </c>
      <c r="K3111" s="207"/>
      <c r="L3111" s="66"/>
      <c r="M3111" s="231" t="s">
        <v>12550</v>
      </c>
      <c r="N3111" s="207"/>
      <c r="O3111" s="118" t="s">
        <v>22358</v>
      </c>
    </row>
    <row r="3112" spans="1:15" ht="72" customHeight="1" x14ac:dyDescent="0.3">
      <c r="A3112" s="139">
        <v>3060</v>
      </c>
      <c r="B3112" s="32" t="s">
        <v>20345</v>
      </c>
      <c r="C3112" s="32" t="s">
        <v>20317</v>
      </c>
      <c r="D3112" s="207"/>
      <c r="E3112" s="207">
        <v>2574</v>
      </c>
      <c r="F3112" s="25"/>
      <c r="G3112" s="207"/>
      <c r="H3112" s="207"/>
      <c r="I3112" s="115" t="s">
        <v>20336</v>
      </c>
      <c r="J3112" s="242" t="s">
        <v>20850</v>
      </c>
      <c r="K3112" s="207"/>
      <c r="L3112" s="66"/>
      <c r="M3112" s="231" t="s">
        <v>12550</v>
      </c>
      <c r="N3112" s="207"/>
      <c r="O3112" s="38" t="s">
        <v>22359</v>
      </c>
    </row>
    <row r="3113" spans="1:15" ht="72" customHeight="1" x14ac:dyDescent="0.3">
      <c r="A3113" s="139">
        <v>3061</v>
      </c>
      <c r="B3113" s="32" t="s">
        <v>20346</v>
      </c>
      <c r="C3113" s="32" t="s">
        <v>20319</v>
      </c>
      <c r="D3113" s="207"/>
      <c r="E3113" s="207">
        <v>800</v>
      </c>
      <c r="F3113" s="25"/>
      <c r="G3113" s="207"/>
      <c r="H3113" s="207"/>
      <c r="I3113" s="115" t="s">
        <v>20336</v>
      </c>
      <c r="J3113" s="242" t="s">
        <v>20851</v>
      </c>
      <c r="K3113" s="207"/>
      <c r="L3113" s="66"/>
      <c r="M3113" s="231" t="s">
        <v>12550</v>
      </c>
      <c r="N3113" s="207"/>
      <c r="O3113" s="38" t="s">
        <v>22360</v>
      </c>
    </row>
    <row r="3114" spans="1:15" ht="72" customHeight="1" x14ac:dyDescent="0.3">
      <c r="A3114" s="139">
        <v>3062</v>
      </c>
      <c r="B3114" s="32" t="s">
        <v>20347</v>
      </c>
      <c r="C3114" s="32" t="s">
        <v>20320</v>
      </c>
      <c r="D3114" s="207"/>
      <c r="E3114" s="207">
        <v>2332</v>
      </c>
      <c r="F3114" s="25"/>
      <c r="G3114" s="207"/>
      <c r="H3114" s="207"/>
      <c r="I3114" s="115" t="s">
        <v>20336</v>
      </c>
      <c r="J3114" s="242" t="s">
        <v>20852</v>
      </c>
      <c r="K3114" s="207"/>
      <c r="L3114" s="66"/>
      <c r="M3114" s="231" t="s">
        <v>12550</v>
      </c>
      <c r="N3114" s="207"/>
      <c r="O3114" s="38" t="s">
        <v>22361</v>
      </c>
    </row>
    <row r="3115" spans="1:15" ht="72" customHeight="1" x14ac:dyDescent="0.3">
      <c r="A3115" s="139">
        <v>3063</v>
      </c>
      <c r="B3115" s="32" t="s">
        <v>20348</v>
      </c>
      <c r="C3115" s="32" t="s">
        <v>20320</v>
      </c>
      <c r="D3115" s="207"/>
      <c r="E3115" s="207">
        <v>591</v>
      </c>
      <c r="F3115" s="25"/>
      <c r="G3115" s="207"/>
      <c r="H3115" s="207"/>
      <c r="I3115" s="115" t="s">
        <v>20336</v>
      </c>
      <c r="J3115" s="242" t="s">
        <v>20853</v>
      </c>
      <c r="K3115" s="207"/>
      <c r="L3115" s="66"/>
      <c r="M3115" s="231" t="s">
        <v>12550</v>
      </c>
      <c r="N3115" s="207"/>
      <c r="O3115" s="38" t="s">
        <v>22362</v>
      </c>
    </row>
    <row r="3116" spans="1:15" ht="72" customHeight="1" x14ac:dyDescent="0.3">
      <c r="A3116" s="139">
        <v>3064</v>
      </c>
      <c r="B3116" s="32" t="s">
        <v>20349</v>
      </c>
      <c r="C3116" s="32" t="s">
        <v>20321</v>
      </c>
      <c r="D3116" s="207"/>
      <c r="E3116" s="207">
        <v>1225</v>
      </c>
      <c r="F3116" s="25"/>
      <c r="G3116" s="207"/>
      <c r="H3116" s="207"/>
      <c r="I3116" s="115" t="s">
        <v>20336</v>
      </c>
      <c r="J3116" s="242" t="s">
        <v>20854</v>
      </c>
      <c r="K3116" s="207"/>
      <c r="L3116" s="66"/>
      <c r="M3116" s="231" t="s">
        <v>12550</v>
      </c>
      <c r="N3116" s="207"/>
      <c r="O3116" s="38" t="s">
        <v>22363</v>
      </c>
    </row>
    <row r="3117" spans="1:15" ht="72" customHeight="1" x14ac:dyDescent="0.3">
      <c r="A3117" s="139">
        <v>3065</v>
      </c>
      <c r="B3117" s="32" t="s">
        <v>20350</v>
      </c>
      <c r="C3117" s="32" t="s">
        <v>20322</v>
      </c>
      <c r="D3117" s="207"/>
      <c r="E3117" s="207">
        <v>2050</v>
      </c>
      <c r="F3117" s="25"/>
      <c r="G3117" s="207"/>
      <c r="H3117" s="207"/>
      <c r="I3117" s="115" t="s">
        <v>20336</v>
      </c>
      <c r="J3117" s="242" t="s">
        <v>20855</v>
      </c>
      <c r="K3117" s="207"/>
      <c r="L3117" s="245"/>
      <c r="M3117" s="231" t="s">
        <v>12550</v>
      </c>
      <c r="N3117" s="207"/>
      <c r="O3117" s="38" t="s">
        <v>22364</v>
      </c>
    </row>
    <row r="3118" spans="1:15" ht="72" customHeight="1" x14ac:dyDescent="0.3">
      <c r="A3118" s="139">
        <v>3066</v>
      </c>
      <c r="B3118" s="32" t="s">
        <v>20351</v>
      </c>
      <c r="C3118" s="32" t="s">
        <v>20322</v>
      </c>
      <c r="D3118" s="207"/>
      <c r="E3118" s="207">
        <v>990</v>
      </c>
      <c r="F3118" s="25"/>
      <c r="G3118" s="207"/>
      <c r="H3118" s="207"/>
      <c r="I3118" s="115" t="s">
        <v>20336</v>
      </c>
      <c r="J3118" s="242" t="s">
        <v>20856</v>
      </c>
      <c r="K3118" s="207"/>
      <c r="L3118" s="66"/>
      <c r="M3118" s="231" t="s">
        <v>12550</v>
      </c>
      <c r="N3118" s="207"/>
      <c r="O3118" s="38" t="s">
        <v>22365</v>
      </c>
    </row>
    <row r="3119" spans="1:15" ht="72" customHeight="1" x14ac:dyDescent="0.3">
      <c r="A3119" s="139">
        <v>3067</v>
      </c>
      <c r="B3119" s="32" t="s">
        <v>20352</v>
      </c>
      <c r="C3119" s="32" t="s">
        <v>20322</v>
      </c>
      <c r="D3119" s="207"/>
      <c r="E3119" s="207">
        <v>4272</v>
      </c>
      <c r="F3119" s="25"/>
      <c r="G3119" s="207"/>
      <c r="H3119" s="207"/>
      <c r="I3119" s="115" t="s">
        <v>20336</v>
      </c>
      <c r="J3119" s="242" t="s">
        <v>20857</v>
      </c>
      <c r="K3119" s="207"/>
      <c r="L3119" s="66"/>
      <c r="M3119" s="231" t="s">
        <v>12550</v>
      </c>
      <c r="N3119" s="207"/>
      <c r="O3119" s="38" t="s">
        <v>22366</v>
      </c>
    </row>
    <row r="3120" spans="1:15" ht="72" customHeight="1" x14ac:dyDescent="0.3">
      <c r="A3120" s="139">
        <v>3068</v>
      </c>
      <c r="B3120" s="32" t="s">
        <v>20353</v>
      </c>
      <c r="C3120" s="32" t="s">
        <v>20322</v>
      </c>
      <c r="D3120" s="207"/>
      <c r="E3120" s="207">
        <v>3200</v>
      </c>
      <c r="F3120" s="25"/>
      <c r="G3120" s="207"/>
      <c r="H3120" s="207"/>
      <c r="I3120" s="115" t="s">
        <v>20336</v>
      </c>
      <c r="J3120" s="242" t="s">
        <v>20858</v>
      </c>
      <c r="K3120" s="207"/>
      <c r="L3120" s="66"/>
      <c r="M3120" s="231" t="s">
        <v>12550</v>
      </c>
      <c r="N3120" s="207"/>
      <c r="O3120" s="38" t="s">
        <v>22367</v>
      </c>
    </row>
    <row r="3121" spans="1:15" ht="72" customHeight="1" x14ac:dyDescent="0.3">
      <c r="A3121" s="139">
        <v>3069</v>
      </c>
      <c r="B3121" s="32" t="s">
        <v>20354</v>
      </c>
      <c r="C3121" s="32" t="s">
        <v>20322</v>
      </c>
      <c r="D3121" s="207"/>
      <c r="E3121" s="207">
        <v>675</v>
      </c>
      <c r="F3121" s="25"/>
      <c r="G3121" s="207"/>
      <c r="H3121" s="207"/>
      <c r="I3121" s="115" t="s">
        <v>20336</v>
      </c>
      <c r="J3121" s="242" t="s">
        <v>20859</v>
      </c>
      <c r="K3121" s="207"/>
      <c r="L3121" s="66"/>
      <c r="M3121" s="231" t="s">
        <v>12550</v>
      </c>
      <c r="N3121" s="207"/>
      <c r="O3121" s="38" t="s">
        <v>22368</v>
      </c>
    </row>
    <row r="3122" spans="1:15" ht="72" customHeight="1" x14ac:dyDescent="0.3">
      <c r="A3122" s="139">
        <v>3070</v>
      </c>
      <c r="B3122" s="32" t="s">
        <v>20355</v>
      </c>
      <c r="C3122" s="32" t="s">
        <v>20322</v>
      </c>
      <c r="D3122" s="207"/>
      <c r="E3122" s="207">
        <v>471</v>
      </c>
      <c r="F3122" s="25"/>
      <c r="G3122" s="207"/>
      <c r="H3122" s="207"/>
      <c r="I3122" s="115" t="s">
        <v>20336</v>
      </c>
      <c r="J3122" s="242" t="s">
        <v>20860</v>
      </c>
      <c r="K3122" s="207"/>
      <c r="L3122" s="66"/>
      <c r="M3122" s="231" t="s">
        <v>12550</v>
      </c>
      <c r="N3122" s="207"/>
      <c r="O3122" s="38" t="s">
        <v>22369</v>
      </c>
    </row>
    <row r="3123" spans="1:15" ht="72" customHeight="1" x14ac:dyDescent="0.3">
      <c r="A3123" s="139">
        <v>3071</v>
      </c>
      <c r="B3123" s="32" t="s">
        <v>20356</v>
      </c>
      <c r="C3123" s="32" t="s">
        <v>20322</v>
      </c>
      <c r="D3123" s="207"/>
      <c r="E3123" s="207">
        <v>420</v>
      </c>
      <c r="F3123" s="25"/>
      <c r="G3123" s="207"/>
      <c r="H3123" s="207"/>
      <c r="I3123" s="115" t="s">
        <v>20336</v>
      </c>
      <c r="J3123" s="242" t="s">
        <v>20861</v>
      </c>
      <c r="K3123" s="207"/>
      <c r="L3123" s="66"/>
      <c r="M3123" s="231" t="s">
        <v>12550</v>
      </c>
      <c r="N3123" s="207"/>
      <c r="O3123" s="38" t="s">
        <v>22370</v>
      </c>
    </row>
    <row r="3124" spans="1:15" ht="72" customHeight="1" x14ac:dyDescent="0.3">
      <c r="A3124" s="139">
        <v>3072</v>
      </c>
      <c r="B3124" s="32" t="s">
        <v>20357</v>
      </c>
      <c r="C3124" s="32" t="s">
        <v>20322</v>
      </c>
      <c r="D3124" s="207"/>
      <c r="E3124" s="207">
        <v>1371</v>
      </c>
      <c r="F3124" s="25"/>
      <c r="G3124" s="207"/>
      <c r="H3124" s="207"/>
      <c r="I3124" s="115" t="s">
        <v>20336</v>
      </c>
      <c r="J3124" s="242" t="s">
        <v>20862</v>
      </c>
      <c r="K3124" s="207"/>
      <c r="L3124" s="66"/>
      <c r="M3124" s="231" t="s">
        <v>12550</v>
      </c>
      <c r="N3124" s="207"/>
      <c r="O3124" s="38" t="s">
        <v>22371</v>
      </c>
    </row>
    <row r="3125" spans="1:15" ht="72" customHeight="1" x14ac:dyDescent="0.3">
      <c r="A3125" s="139">
        <v>3073</v>
      </c>
      <c r="B3125" s="32" t="s">
        <v>20358</v>
      </c>
      <c r="C3125" s="32" t="s">
        <v>20322</v>
      </c>
      <c r="D3125" s="207"/>
      <c r="E3125" s="207">
        <v>2065</v>
      </c>
      <c r="F3125" s="25"/>
      <c r="G3125" s="207"/>
      <c r="H3125" s="207"/>
      <c r="I3125" s="115" t="s">
        <v>20336</v>
      </c>
      <c r="J3125" s="242" t="s">
        <v>20863</v>
      </c>
      <c r="K3125" s="207"/>
      <c r="L3125" s="66"/>
      <c r="M3125" s="231" t="s">
        <v>12550</v>
      </c>
      <c r="N3125" s="207"/>
      <c r="O3125" s="38" t="s">
        <v>22372</v>
      </c>
    </row>
    <row r="3126" spans="1:15" ht="72" customHeight="1" x14ac:dyDescent="0.3">
      <c r="A3126" s="139">
        <v>3074</v>
      </c>
      <c r="B3126" s="32" t="s">
        <v>20359</v>
      </c>
      <c r="C3126" s="32" t="s">
        <v>20322</v>
      </c>
      <c r="D3126" s="207"/>
      <c r="E3126" s="207">
        <v>450</v>
      </c>
      <c r="F3126" s="25"/>
      <c r="G3126" s="207"/>
      <c r="H3126" s="207"/>
      <c r="I3126" s="115" t="s">
        <v>20336</v>
      </c>
      <c r="J3126" s="242" t="s">
        <v>20864</v>
      </c>
      <c r="K3126" s="207"/>
      <c r="L3126" s="66"/>
      <c r="M3126" s="231" t="s">
        <v>12550</v>
      </c>
      <c r="N3126" s="207"/>
      <c r="O3126" s="38" t="s">
        <v>22373</v>
      </c>
    </row>
    <row r="3127" spans="1:15" ht="72" customHeight="1" x14ac:dyDescent="0.3">
      <c r="A3127" s="139">
        <v>3075</v>
      </c>
      <c r="B3127" s="32" t="s">
        <v>20360</v>
      </c>
      <c r="C3127" s="32" t="s">
        <v>20322</v>
      </c>
      <c r="D3127" s="207"/>
      <c r="E3127" s="207">
        <v>780</v>
      </c>
      <c r="F3127" s="25"/>
      <c r="G3127" s="207"/>
      <c r="H3127" s="207"/>
      <c r="I3127" s="115" t="s">
        <v>20336</v>
      </c>
      <c r="J3127" s="242" t="s">
        <v>20865</v>
      </c>
      <c r="K3127" s="207"/>
      <c r="L3127" s="66"/>
      <c r="M3127" s="231" t="s">
        <v>12550</v>
      </c>
      <c r="N3127" s="207"/>
      <c r="O3127" s="38" t="s">
        <v>22374</v>
      </c>
    </row>
    <row r="3128" spans="1:15" ht="72" customHeight="1" x14ac:dyDescent="0.3">
      <c r="A3128" s="139">
        <v>3076</v>
      </c>
      <c r="B3128" s="32" t="s">
        <v>20361</v>
      </c>
      <c r="C3128" s="32" t="s">
        <v>20323</v>
      </c>
      <c r="D3128" s="207"/>
      <c r="E3128" s="207">
        <v>7200</v>
      </c>
      <c r="F3128" s="25"/>
      <c r="G3128" s="207"/>
      <c r="H3128" s="207"/>
      <c r="I3128" s="115" t="s">
        <v>20336</v>
      </c>
      <c r="J3128" s="242" t="s">
        <v>20866</v>
      </c>
      <c r="K3128" s="207"/>
      <c r="L3128" s="66"/>
      <c r="M3128" s="231" t="s">
        <v>12550</v>
      </c>
      <c r="N3128" s="207"/>
      <c r="O3128" s="38" t="s">
        <v>22375</v>
      </c>
    </row>
    <row r="3129" spans="1:15" ht="72" customHeight="1" x14ac:dyDescent="0.3">
      <c r="A3129" s="139">
        <v>3077</v>
      </c>
      <c r="B3129" s="32" t="s">
        <v>20362</v>
      </c>
      <c r="C3129" s="32" t="s">
        <v>20323</v>
      </c>
      <c r="D3129" s="207"/>
      <c r="E3129" s="207">
        <v>390</v>
      </c>
      <c r="F3129" s="25"/>
      <c r="G3129" s="207"/>
      <c r="H3129" s="207"/>
      <c r="I3129" s="115" t="s">
        <v>20336</v>
      </c>
      <c r="J3129" s="242" t="s">
        <v>20867</v>
      </c>
      <c r="K3129" s="207"/>
      <c r="L3129" s="66"/>
      <c r="M3129" s="231" t="s">
        <v>12550</v>
      </c>
      <c r="N3129" s="207"/>
      <c r="O3129" s="38" t="s">
        <v>22376</v>
      </c>
    </row>
    <row r="3130" spans="1:15" ht="72" customHeight="1" x14ac:dyDescent="0.3">
      <c r="A3130" s="139">
        <v>3078</v>
      </c>
      <c r="B3130" s="32" t="s">
        <v>20363</v>
      </c>
      <c r="C3130" s="32" t="s">
        <v>20324</v>
      </c>
      <c r="D3130" s="207"/>
      <c r="E3130" s="207">
        <v>1860</v>
      </c>
      <c r="F3130" s="25"/>
      <c r="G3130" s="207"/>
      <c r="H3130" s="207"/>
      <c r="I3130" s="115" t="s">
        <v>20336</v>
      </c>
      <c r="J3130" s="242" t="s">
        <v>20868</v>
      </c>
      <c r="K3130" s="207"/>
      <c r="L3130" s="66"/>
      <c r="M3130" s="231" t="s">
        <v>12550</v>
      </c>
      <c r="N3130" s="207"/>
      <c r="O3130" s="38" t="s">
        <v>22377</v>
      </c>
    </row>
    <row r="3131" spans="1:15" ht="72" customHeight="1" x14ac:dyDescent="0.3">
      <c r="A3131" s="139">
        <v>3079</v>
      </c>
      <c r="B3131" s="32" t="s">
        <v>20364</v>
      </c>
      <c r="C3131" s="32" t="s">
        <v>20324</v>
      </c>
      <c r="D3131" s="207"/>
      <c r="E3131" s="207">
        <v>665</v>
      </c>
      <c r="F3131" s="25"/>
      <c r="G3131" s="207"/>
      <c r="H3131" s="207"/>
      <c r="I3131" s="115" t="s">
        <v>20336</v>
      </c>
      <c r="J3131" s="242" t="s">
        <v>20869</v>
      </c>
      <c r="K3131" s="207"/>
      <c r="L3131" s="66"/>
      <c r="M3131" s="231" t="s">
        <v>12550</v>
      </c>
      <c r="N3131" s="207"/>
      <c r="O3131" s="38" t="s">
        <v>22378</v>
      </c>
    </row>
    <row r="3132" spans="1:15" ht="72" customHeight="1" x14ac:dyDescent="0.3">
      <c r="A3132" s="139">
        <v>3080</v>
      </c>
      <c r="B3132" s="32" t="s">
        <v>20365</v>
      </c>
      <c r="C3132" s="32" t="s">
        <v>20324</v>
      </c>
      <c r="D3132" s="207"/>
      <c r="E3132" s="207">
        <v>1081.5</v>
      </c>
      <c r="F3132" s="25"/>
      <c r="G3132" s="207"/>
      <c r="H3132" s="207"/>
      <c r="I3132" s="115" t="s">
        <v>20336</v>
      </c>
      <c r="J3132" s="242" t="s">
        <v>20870</v>
      </c>
      <c r="K3132" s="207"/>
      <c r="L3132" s="66"/>
      <c r="M3132" s="231" t="s">
        <v>12550</v>
      </c>
      <c r="N3132" s="207"/>
      <c r="O3132" s="38" t="s">
        <v>22379</v>
      </c>
    </row>
    <row r="3133" spans="1:15" ht="72" customHeight="1" x14ac:dyDescent="0.3">
      <c r="A3133" s="139">
        <v>3081</v>
      </c>
      <c r="B3133" s="32" t="s">
        <v>20366</v>
      </c>
      <c r="C3133" s="32" t="s">
        <v>20324</v>
      </c>
      <c r="D3133" s="207"/>
      <c r="E3133" s="207">
        <v>480</v>
      </c>
      <c r="F3133" s="25"/>
      <c r="G3133" s="207"/>
      <c r="H3133" s="207"/>
      <c r="I3133" s="115" t="s">
        <v>20336</v>
      </c>
      <c r="J3133" s="242" t="s">
        <v>20871</v>
      </c>
      <c r="K3133" s="207"/>
      <c r="L3133" s="66"/>
      <c r="M3133" s="231" t="s">
        <v>12550</v>
      </c>
      <c r="N3133" s="207"/>
      <c r="O3133" s="38" t="s">
        <v>22380</v>
      </c>
    </row>
    <row r="3134" spans="1:15" ht="72" customHeight="1" x14ac:dyDescent="0.3">
      <c r="A3134" s="139">
        <v>3082</v>
      </c>
      <c r="B3134" s="32" t="s">
        <v>20367</v>
      </c>
      <c r="C3134" s="32" t="s">
        <v>20324</v>
      </c>
      <c r="D3134" s="207"/>
      <c r="E3134" s="207">
        <v>360</v>
      </c>
      <c r="F3134" s="25"/>
      <c r="G3134" s="207"/>
      <c r="H3134" s="207"/>
      <c r="I3134" s="115" t="s">
        <v>20336</v>
      </c>
      <c r="J3134" s="242" t="s">
        <v>20872</v>
      </c>
      <c r="K3134" s="207"/>
      <c r="L3134" s="66"/>
      <c r="M3134" s="231" t="s">
        <v>12550</v>
      </c>
      <c r="N3134" s="207"/>
      <c r="O3134" s="38" t="s">
        <v>22381</v>
      </c>
    </row>
    <row r="3135" spans="1:15" ht="72" customHeight="1" x14ac:dyDescent="0.3">
      <c r="A3135" s="139">
        <v>3083</v>
      </c>
      <c r="B3135" s="32" t="s">
        <v>20368</v>
      </c>
      <c r="C3135" s="32" t="s">
        <v>20326</v>
      </c>
      <c r="D3135" s="207"/>
      <c r="E3135" s="207">
        <v>1376</v>
      </c>
      <c r="F3135" s="25"/>
      <c r="G3135" s="207"/>
      <c r="H3135" s="207"/>
      <c r="I3135" s="115" t="s">
        <v>20336</v>
      </c>
      <c r="J3135" s="242" t="s">
        <v>20873</v>
      </c>
      <c r="K3135" s="207"/>
      <c r="L3135" s="66"/>
      <c r="M3135" s="231" t="s">
        <v>12550</v>
      </c>
      <c r="N3135" s="207"/>
      <c r="O3135" s="38" t="s">
        <v>22382</v>
      </c>
    </row>
    <row r="3136" spans="1:15" ht="72" customHeight="1" x14ac:dyDescent="0.3">
      <c r="A3136" s="139">
        <v>3084</v>
      </c>
      <c r="B3136" s="32" t="s">
        <v>20369</v>
      </c>
      <c r="C3136" s="32" t="s">
        <v>20325</v>
      </c>
      <c r="D3136" s="207"/>
      <c r="E3136" s="207">
        <v>1590</v>
      </c>
      <c r="F3136" s="25"/>
      <c r="G3136" s="207"/>
      <c r="H3136" s="207"/>
      <c r="I3136" s="115" t="s">
        <v>20336</v>
      </c>
      <c r="J3136" s="242" t="s">
        <v>20874</v>
      </c>
      <c r="K3136" s="207"/>
      <c r="L3136" s="66"/>
      <c r="M3136" s="231" t="s">
        <v>12550</v>
      </c>
      <c r="N3136" s="207"/>
      <c r="O3136" s="38" t="s">
        <v>22383</v>
      </c>
    </row>
    <row r="3137" spans="1:15" ht="72" customHeight="1" x14ac:dyDescent="0.3">
      <c r="A3137" s="139">
        <v>3085</v>
      </c>
      <c r="B3137" s="32" t="s">
        <v>20370</v>
      </c>
      <c r="C3137" s="32" t="s">
        <v>20325</v>
      </c>
      <c r="D3137" s="207"/>
      <c r="E3137" s="207">
        <v>1050</v>
      </c>
      <c r="F3137" s="25"/>
      <c r="G3137" s="207"/>
      <c r="H3137" s="207"/>
      <c r="I3137" s="115" t="s">
        <v>20336</v>
      </c>
      <c r="J3137" s="242" t="s">
        <v>20875</v>
      </c>
      <c r="K3137" s="207"/>
      <c r="L3137" s="66"/>
      <c r="M3137" s="231" t="s">
        <v>12550</v>
      </c>
      <c r="N3137" s="207"/>
      <c r="O3137" s="38" t="s">
        <v>22384</v>
      </c>
    </row>
    <row r="3138" spans="1:15" ht="72" customHeight="1" x14ac:dyDescent="0.3">
      <c r="A3138" s="139">
        <v>3086</v>
      </c>
      <c r="B3138" s="32" t="s">
        <v>20371</v>
      </c>
      <c r="C3138" s="32" t="s">
        <v>20335</v>
      </c>
      <c r="D3138" s="207"/>
      <c r="E3138" s="207">
        <v>582</v>
      </c>
      <c r="F3138" s="25"/>
      <c r="G3138" s="207"/>
      <c r="H3138" s="207"/>
      <c r="I3138" s="115" t="s">
        <v>20336</v>
      </c>
      <c r="J3138" s="242" t="s">
        <v>20876</v>
      </c>
      <c r="K3138" s="207"/>
      <c r="L3138" s="66"/>
      <c r="M3138" s="231" t="s">
        <v>12550</v>
      </c>
      <c r="N3138" s="207"/>
      <c r="O3138" s="38" t="s">
        <v>22385</v>
      </c>
    </row>
    <row r="3139" spans="1:15" ht="72" customHeight="1" x14ac:dyDescent="0.3">
      <c r="A3139" s="139">
        <v>3087</v>
      </c>
      <c r="B3139" s="32" t="s">
        <v>20372</v>
      </c>
      <c r="C3139" s="32" t="s">
        <v>20325</v>
      </c>
      <c r="D3139" s="207"/>
      <c r="E3139" s="207">
        <v>10840</v>
      </c>
      <c r="F3139" s="25"/>
      <c r="G3139" s="207"/>
      <c r="H3139" s="207"/>
      <c r="I3139" s="115" t="s">
        <v>20336</v>
      </c>
      <c r="J3139" s="242" t="s">
        <v>20877</v>
      </c>
      <c r="K3139" s="207"/>
      <c r="L3139" s="66"/>
      <c r="M3139" s="231" t="s">
        <v>12550</v>
      </c>
      <c r="N3139" s="207"/>
      <c r="O3139" s="38" t="s">
        <v>22386</v>
      </c>
    </row>
    <row r="3140" spans="1:15" ht="72" customHeight="1" x14ac:dyDescent="0.3">
      <c r="A3140" s="139">
        <v>3088</v>
      </c>
      <c r="B3140" s="32" t="s">
        <v>20373</v>
      </c>
      <c r="C3140" s="32" t="s">
        <v>20334</v>
      </c>
      <c r="D3140" s="207"/>
      <c r="E3140" s="207">
        <v>1252</v>
      </c>
      <c r="F3140" s="25"/>
      <c r="G3140" s="207"/>
      <c r="H3140" s="207"/>
      <c r="I3140" s="115" t="s">
        <v>20336</v>
      </c>
      <c r="J3140" s="242" t="s">
        <v>20878</v>
      </c>
      <c r="K3140" s="207"/>
      <c r="L3140" s="66"/>
      <c r="M3140" s="231" t="s">
        <v>12550</v>
      </c>
      <c r="N3140" s="207"/>
      <c r="O3140" s="38" t="s">
        <v>22387</v>
      </c>
    </row>
    <row r="3141" spans="1:15" ht="72" customHeight="1" x14ac:dyDescent="0.3">
      <c r="A3141" s="139">
        <v>3089</v>
      </c>
      <c r="B3141" s="232" t="s">
        <v>20374</v>
      </c>
      <c r="C3141" s="32" t="s">
        <v>20333</v>
      </c>
      <c r="D3141" s="207"/>
      <c r="E3141" s="207">
        <v>584.5</v>
      </c>
      <c r="F3141" s="25"/>
      <c r="G3141" s="207"/>
      <c r="H3141" s="207"/>
      <c r="I3141" s="115" t="s">
        <v>20336</v>
      </c>
      <c r="J3141" s="242" t="s">
        <v>20879</v>
      </c>
      <c r="K3141" s="207"/>
      <c r="L3141" s="66"/>
      <c r="M3141" s="231" t="s">
        <v>12550</v>
      </c>
      <c r="N3141" s="207"/>
      <c r="O3141" s="38" t="s">
        <v>22388</v>
      </c>
    </row>
    <row r="3142" spans="1:15" ht="72" customHeight="1" x14ac:dyDescent="0.3">
      <c r="A3142" s="139">
        <v>3090</v>
      </c>
      <c r="B3142" s="232" t="s">
        <v>20375</v>
      </c>
      <c r="C3142" s="32" t="s">
        <v>20332</v>
      </c>
      <c r="D3142" s="207"/>
      <c r="E3142" s="207">
        <v>2828</v>
      </c>
      <c r="F3142" s="25"/>
      <c r="G3142" s="207"/>
      <c r="H3142" s="207"/>
      <c r="I3142" s="115" t="s">
        <v>20336</v>
      </c>
      <c r="J3142" s="242" t="s">
        <v>20880</v>
      </c>
      <c r="K3142" s="207"/>
      <c r="L3142" s="66"/>
      <c r="M3142" s="231" t="s">
        <v>12550</v>
      </c>
      <c r="N3142" s="207"/>
      <c r="O3142" s="38" t="s">
        <v>22389</v>
      </c>
    </row>
    <row r="3143" spans="1:15" ht="72" customHeight="1" x14ac:dyDescent="0.3">
      <c r="A3143" s="139">
        <v>3091</v>
      </c>
      <c r="B3143" s="232" t="s">
        <v>20376</v>
      </c>
      <c r="C3143" s="32" t="s">
        <v>20332</v>
      </c>
      <c r="D3143" s="207"/>
      <c r="E3143" s="207">
        <v>440</v>
      </c>
      <c r="F3143" s="25"/>
      <c r="G3143" s="207"/>
      <c r="H3143" s="207"/>
      <c r="I3143" s="115" t="s">
        <v>20336</v>
      </c>
      <c r="J3143" s="242" t="s">
        <v>20881</v>
      </c>
      <c r="K3143" s="207"/>
      <c r="L3143" s="66"/>
      <c r="M3143" s="231" t="s">
        <v>12550</v>
      </c>
      <c r="N3143" s="207"/>
      <c r="O3143" s="38" t="s">
        <v>22390</v>
      </c>
    </row>
    <row r="3144" spans="1:15" ht="72" customHeight="1" x14ac:dyDescent="0.3">
      <c r="A3144" s="139">
        <v>3092</v>
      </c>
      <c r="B3144" s="232" t="s">
        <v>20377</v>
      </c>
      <c r="C3144" s="32" t="s">
        <v>20332</v>
      </c>
      <c r="D3144" s="207"/>
      <c r="E3144" s="207">
        <v>360</v>
      </c>
      <c r="F3144" s="25"/>
      <c r="G3144" s="207"/>
      <c r="H3144" s="207"/>
      <c r="I3144" s="115" t="s">
        <v>20336</v>
      </c>
      <c r="J3144" s="242" t="s">
        <v>20882</v>
      </c>
      <c r="K3144" s="207"/>
      <c r="L3144" s="66"/>
      <c r="M3144" s="231" t="s">
        <v>12550</v>
      </c>
      <c r="N3144" s="207"/>
      <c r="O3144" s="38" t="s">
        <v>22391</v>
      </c>
    </row>
    <row r="3145" spans="1:15" ht="72" customHeight="1" x14ac:dyDescent="0.3">
      <c r="A3145" s="139">
        <v>3093</v>
      </c>
      <c r="B3145" s="232" t="s">
        <v>20378</v>
      </c>
      <c r="C3145" s="32" t="s">
        <v>20333</v>
      </c>
      <c r="D3145" s="207"/>
      <c r="E3145" s="207">
        <v>900</v>
      </c>
      <c r="F3145" s="25"/>
      <c r="G3145" s="207"/>
      <c r="H3145" s="207"/>
      <c r="I3145" s="115" t="s">
        <v>20336</v>
      </c>
      <c r="J3145" s="242" t="s">
        <v>20883</v>
      </c>
      <c r="K3145" s="207"/>
      <c r="L3145" s="66"/>
      <c r="M3145" s="231" t="s">
        <v>12550</v>
      </c>
      <c r="N3145" s="207"/>
      <c r="O3145" s="38" t="s">
        <v>22392</v>
      </c>
    </row>
    <row r="3146" spans="1:15" ht="72" customHeight="1" x14ac:dyDescent="0.3">
      <c r="A3146" s="139">
        <v>3094</v>
      </c>
      <c r="B3146" s="232" t="s">
        <v>20379</v>
      </c>
      <c r="C3146" s="32" t="s">
        <v>20332</v>
      </c>
      <c r="D3146" s="207"/>
      <c r="E3146" s="207">
        <v>1137.5</v>
      </c>
      <c r="F3146" s="25"/>
      <c r="G3146" s="207"/>
      <c r="H3146" s="207"/>
      <c r="I3146" s="115" t="s">
        <v>20336</v>
      </c>
      <c r="J3146" s="242" t="s">
        <v>20884</v>
      </c>
      <c r="K3146" s="207"/>
      <c r="L3146" s="66"/>
      <c r="M3146" s="231" t="s">
        <v>12550</v>
      </c>
      <c r="N3146" s="207"/>
      <c r="O3146" s="38" t="s">
        <v>22393</v>
      </c>
    </row>
    <row r="3147" spans="1:15" ht="72" customHeight="1" x14ac:dyDescent="0.3">
      <c r="A3147" s="139">
        <v>3095</v>
      </c>
      <c r="B3147" s="232" t="s">
        <v>20380</v>
      </c>
      <c r="C3147" s="32" t="s">
        <v>20333</v>
      </c>
      <c r="D3147" s="207"/>
      <c r="E3147" s="207">
        <v>832</v>
      </c>
      <c r="F3147" s="25"/>
      <c r="G3147" s="207"/>
      <c r="H3147" s="207"/>
      <c r="I3147" s="115" t="s">
        <v>20336</v>
      </c>
      <c r="J3147" s="242" t="s">
        <v>20885</v>
      </c>
      <c r="K3147" s="207"/>
      <c r="L3147" s="66"/>
      <c r="M3147" s="231" t="s">
        <v>12550</v>
      </c>
      <c r="N3147" s="207"/>
      <c r="O3147" s="38" t="s">
        <v>22394</v>
      </c>
    </row>
    <row r="3148" spans="1:15" ht="72" customHeight="1" x14ac:dyDescent="0.3">
      <c r="A3148" s="139">
        <v>3096</v>
      </c>
      <c r="B3148" s="232" t="s">
        <v>20381</v>
      </c>
      <c r="C3148" s="32" t="s">
        <v>20332</v>
      </c>
      <c r="D3148" s="207"/>
      <c r="E3148" s="207">
        <v>1160</v>
      </c>
      <c r="F3148" s="25"/>
      <c r="G3148" s="207"/>
      <c r="H3148" s="207"/>
      <c r="I3148" s="115" t="s">
        <v>20336</v>
      </c>
      <c r="J3148" s="242" t="s">
        <v>20886</v>
      </c>
      <c r="K3148" s="207"/>
      <c r="L3148" s="66"/>
      <c r="M3148" s="231" t="s">
        <v>12550</v>
      </c>
      <c r="N3148" s="207"/>
      <c r="O3148" s="38" t="s">
        <v>22395</v>
      </c>
    </row>
    <row r="3149" spans="1:15" ht="72" customHeight="1" x14ac:dyDescent="0.3">
      <c r="A3149" s="139">
        <v>3097</v>
      </c>
      <c r="B3149" s="232" t="s">
        <v>20382</v>
      </c>
      <c r="C3149" s="32" t="s">
        <v>20331</v>
      </c>
      <c r="D3149" s="207"/>
      <c r="E3149" s="207">
        <v>2800</v>
      </c>
      <c r="F3149" s="25"/>
      <c r="G3149" s="207"/>
      <c r="H3149" s="207"/>
      <c r="I3149" s="115" t="s">
        <v>20336</v>
      </c>
      <c r="J3149" s="242" t="s">
        <v>20887</v>
      </c>
      <c r="K3149" s="207"/>
      <c r="L3149" s="66"/>
      <c r="M3149" s="231" t="s">
        <v>12550</v>
      </c>
      <c r="N3149" s="207"/>
      <c r="O3149" s="38" t="s">
        <v>22396</v>
      </c>
    </row>
    <row r="3150" spans="1:15" ht="72" customHeight="1" x14ac:dyDescent="0.3">
      <c r="A3150" s="139">
        <v>3098</v>
      </c>
      <c r="B3150" s="232" t="s">
        <v>20383</v>
      </c>
      <c r="C3150" s="32" t="s">
        <v>20330</v>
      </c>
      <c r="D3150" s="207"/>
      <c r="E3150" s="207">
        <v>1452.5</v>
      </c>
      <c r="F3150" s="25"/>
      <c r="G3150" s="207"/>
      <c r="H3150" s="207"/>
      <c r="I3150" s="115" t="s">
        <v>20336</v>
      </c>
      <c r="J3150" s="242" t="s">
        <v>20888</v>
      </c>
      <c r="K3150" s="207"/>
      <c r="L3150" s="66"/>
      <c r="M3150" s="231" t="s">
        <v>12550</v>
      </c>
      <c r="N3150" s="207"/>
      <c r="O3150" s="38" t="s">
        <v>22397</v>
      </c>
    </row>
    <row r="3151" spans="1:15" ht="72" customHeight="1" x14ac:dyDescent="0.3">
      <c r="A3151" s="139">
        <v>3099</v>
      </c>
      <c r="B3151" s="232" t="s">
        <v>20384</v>
      </c>
      <c r="C3151" s="32" t="s">
        <v>20330</v>
      </c>
      <c r="D3151" s="207"/>
      <c r="E3151" s="207">
        <v>805</v>
      </c>
      <c r="F3151" s="25"/>
      <c r="G3151" s="207"/>
      <c r="H3151" s="207"/>
      <c r="I3151" s="115" t="s">
        <v>20336</v>
      </c>
      <c r="J3151" s="242" t="s">
        <v>20889</v>
      </c>
      <c r="K3151" s="207"/>
      <c r="L3151" s="66"/>
      <c r="M3151" s="231" t="s">
        <v>12550</v>
      </c>
      <c r="N3151" s="207"/>
      <c r="O3151" s="38" t="s">
        <v>22398</v>
      </c>
    </row>
    <row r="3152" spans="1:15" ht="72" customHeight="1" x14ac:dyDescent="0.3">
      <c r="A3152" s="139">
        <v>3100</v>
      </c>
      <c r="B3152" s="232" t="s">
        <v>20385</v>
      </c>
      <c r="C3152" s="32" t="s">
        <v>20330</v>
      </c>
      <c r="D3152" s="207"/>
      <c r="E3152" s="207">
        <v>2280</v>
      </c>
      <c r="F3152" s="25"/>
      <c r="G3152" s="207"/>
      <c r="H3152" s="207"/>
      <c r="I3152" s="115" t="s">
        <v>20336</v>
      </c>
      <c r="J3152" s="242" t="s">
        <v>20890</v>
      </c>
      <c r="K3152" s="207"/>
      <c r="L3152" s="66"/>
      <c r="M3152" s="231" t="s">
        <v>12550</v>
      </c>
      <c r="N3152" s="207"/>
      <c r="O3152" s="38" t="s">
        <v>22399</v>
      </c>
    </row>
    <row r="3153" spans="1:17" ht="72" customHeight="1" x14ac:dyDescent="0.3">
      <c r="A3153" s="139">
        <v>3101</v>
      </c>
      <c r="B3153" s="232" t="s">
        <v>20386</v>
      </c>
      <c r="C3153" s="32" t="s">
        <v>20330</v>
      </c>
      <c r="D3153" s="207"/>
      <c r="E3153" s="207">
        <v>745.5</v>
      </c>
      <c r="F3153" s="25"/>
      <c r="G3153" s="207"/>
      <c r="H3153" s="207"/>
      <c r="I3153" s="115" t="s">
        <v>20336</v>
      </c>
      <c r="J3153" s="242" t="s">
        <v>20891</v>
      </c>
      <c r="K3153" s="207"/>
      <c r="L3153" s="66"/>
      <c r="M3153" s="231" t="s">
        <v>12550</v>
      </c>
      <c r="N3153" s="207"/>
      <c r="O3153" s="38" t="s">
        <v>22400</v>
      </c>
    </row>
    <row r="3154" spans="1:17" ht="72" customHeight="1" x14ac:dyDescent="0.3">
      <c r="A3154" s="139">
        <v>3102</v>
      </c>
      <c r="B3154" s="232" t="s">
        <v>20387</v>
      </c>
      <c r="C3154" s="32" t="s">
        <v>20330</v>
      </c>
      <c r="D3154" s="207"/>
      <c r="E3154" s="207">
        <v>483</v>
      </c>
      <c r="F3154" s="25"/>
      <c r="G3154" s="207"/>
      <c r="H3154" s="207"/>
      <c r="I3154" s="115" t="s">
        <v>20336</v>
      </c>
      <c r="J3154" s="242" t="s">
        <v>20892</v>
      </c>
      <c r="K3154" s="207"/>
      <c r="L3154" s="66"/>
      <c r="M3154" s="231" t="s">
        <v>12550</v>
      </c>
      <c r="N3154" s="207"/>
      <c r="O3154" s="38" t="s">
        <v>22401</v>
      </c>
    </row>
    <row r="3155" spans="1:17" ht="72" customHeight="1" x14ac:dyDescent="0.3">
      <c r="A3155" s="139">
        <v>3103</v>
      </c>
      <c r="B3155" s="232" t="s">
        <v>20388</v>
      </c>
      <c r="C3155" s="32" t="s">
        <v>20328</v>
      </c>
      <c r="D3155" s="207"/>
      <c r="E3155" s="207">
        <v>1425</v>
      </c>
      <c r="F3155" s="25"/>
      <c r="G3155" s="207"/>
      <c r="H3155" s="207"/>
      <c r="I3155" s="115" t="s">
        <v>20336</v>
      </c>
      <c r="J3155" s="242" t="s">
        <v>20893</v>
      </c>
      <c r="K3155" s="207"/>
      <c r="L3155" s="66"/>
      <c r="M3155" s="231" t="s">
        <v>12550</v>
      </c>
      <c r="N3155" s="207"/>
      <c r="O3155" s="38" t="s">
        <v>22402</v>
      </c>
    </row>
    <row r="3156" spans="1:17" ht="72" customHeight="1" x14ac:dyDescent="0.3">
      <c r="A3156" s="139">
        <v>3104</v>
      </c>
      <c r="B3156" s="232" t="s">
        <v>20389</v>
      </c>
      <c r="C3156" s="32" t="s">
        <v>20329</v>
      </c>
      <c r="D3156" s="207"/>
      <c r="E3156" s="207">
        <v>477</v>
      </c>
      <c r="F3156" s="25"/>
      <c r="G3156" s="207"/>
      <c r="H3156" s="207"/>
      <c r="I3156" s="115" t="s">
        <v>20336</v>
      </c>
      <c r="J3156" s="242" t="s">
        <v>20894</v>
      </c>
      <c r="K3156" s="207"/>
      <c r="L3156" s="66"/>
      <c r="M3156" s="231" t="s">
        <v>12550</v>
      </c>
      <c r="N3156" s="207"/>
      <c r="O3156" s="38" t="s">
        <v>22403</v>
      </c>
    </row>
    <row r="3157" spans="1:17" ht="72" customHeight="1" x14ac:dyDescent="0.3">
      <c r="A3157" s="139">
        <v>3105</v>
      </c>
      <c r="B3157" s="232" t="s">
        <v>20390</v>
      </c>
      <c r="C3157" s="32" t="s">
        <v>20328</v>
      </c>
      <c r="D3157" s="207"/>
      <c r="E3157" s="207">
        <v>420</v>
      </c>
      <c r="F3157" s="25"/>
      <c r="G3157" s="207"/>
      <c r="H3157" s="207"/>
      <c r="I3157" s="26" t="s">
        <v>20336</v>
      </c>
      <c r="J3157" s="242" t="s">
        <v>20895</v>
      </c>
      <c r="K3157" s="207"/>
      <c r="L3157" s="66"/>
      <c r="M3157" s="231" t="s">
        <v>12550</v>
      </c>
      <c r="N3157" s="207"/>
      <c r="O3157" s="38" t="s">
        <v>22404</v>
      </c>
    </row>
    <row r="3158" spans="1:17" ht="72" customHeight="1" x14ac:dyDescent="0.3">
      <c r="A3158" s="237">
        <v>3106</v>
      </c>
      <c r="B3158" s="232" t="s">
        <v>20391</v>
      </c>
      <c r="C3158" s="32" t="s">
        <v>20327</v>
      </c>
      <c r="D3158" s="207"/>
      <c r="E3158" s="207">
        <v>1464</v>
      </c>
      <c r="F3158" s="25"/>
      <c r="G3158" s="207"/>
      <c r="H3158" s="207"/>
      <c r="I3158" s="26" t="s">
        <v>20336</v>
      </c>
      <c r="J3158" s="242" t="s">
        <v>20896</v>
      </c>
      <c r="K3158" s="207"/>
      <c r="L3158" s="66"/>
      <c r="M3158" s="231" t="s">
        <v>12550</v>
      </c>
      <c r="N3158" s="207"/>
      <c r="O3158" s="38" t="s">
        <v>22405</v>
      </c>
    </row>
    <row r="3159" spans="1:17" ht="72" customHeight="1" x14ac:dyDescent="0.3">
      <c r="A3159" s="139">
        <v>3107</v>
      </c>
      <c r="B3159" s="246" t="s">
        <v>20530</v>
      </c>
      <c r="C3159" s="246" t="s">
        <v>20555</v>
      </c>
      <c r="D3159" s="86" t="s">
        <v>20531</v>
      </c>
      <c r="E3159" s="246">
        <v>104</v>
      </c>
      <c r="F3159" s="25"/>
      <c r="G3159" s="207"/>
      <c r="H3159" s="207" t="s">
        <v>14</v>
      </c>
      <c r="I3159" s="26">
        <v>42403</v>
      </c>
      <c r="J3159" s="38" t="s">
        <v>21361</v>
      </c>
      <c r="K3159" s="207"/>
      <c r="L3159" s="66"/>
      <c r="M3159" s="201" t="s">
        <v>12550</v>
      </c>
      <c r="N3159" s="207"/>
      <c r="O3159" s="41"/>
    </row>
    <row r="3160" spans="1:17" ht="72" customHeight="1" x14ac:dyDescent="0.3">
      <c r="A3160" s="139">
        <v>3108</v>
      </c>
      <c r="B3160" s="242" t="s">
        <v>17913</v>
      </c>
      <c r="C3160" s="242" t="s">
        <v>20552</v>
      </c>
      <c r="D3160" s="85" t="s">
        <v>20553</v>
      </c>
      <c r="E3160" s="207">
        <v>1000</v>
      </c>
      <c r="F3160" s="100">
        <v>191170</v>
      </c>
      <c r="G3160" s="25"/>
      <c r="H3160" s="101">
        <v>191170</v>
      </c>
      <c r="I3160" s="243">
        <v>43200</v>
      </c>
      <c r="J3160" s="245" t="s">
        <v>20554</v>
      </c>
      <c r="K3160" s="207"/>
      <c r="L3160" s="66"/>
      <c r="M3160" s="200" t="s">
        <v>12550</v>
      </c>
      <c r="N3160" s="207"/>
      <c r="O3160" s="245" t="s">
        <v>17794</v>
      </c>
      <c r="P3160" s="161"/>
      <c r="Q3160" s="161"/>
    </row>
    <row r="3161" spans="1:17" s="161" customFormat="1" ht="108" customHeight="1" x14ac:dyDescent="0.3">
      <c r="A3161" s="139">
        <v>3109</v>
      </c>
      <c r="B3161" s="242" t="s">
        <v>20575</v>
      </c>
      <c r="C3161" s="242" t="s">
        <v>18454</v>
      </c>
      <c r="D3161" s="60" t="s">
        <v>20574</v>
      </c>
      <c r="E3161" s="242">
        <v>1004.2</v>
      </c>
      <c r="F3161" s="244">
        <v>8428989.5199999996</v>
      </c>
      <c r="G3161" s="244">
        <v>6165121.9800000004</v>
      </c>
      <c r="H3161" s="244">
        <v>12896789.970000001</v>
      </c>
      <c r="I3161" s="243" t="s">
        <v>20571</v>
      </c>
      <c r="J3161" s="2" t="s">
        <v>21163</v>
      </c>
      <c r="K3161" s="242"/>
      <c r="L3161" s="66"/>
      <c r="M3161" s="242" t="s">
        <v>14091</v>
      </c>
      <c r="N3161" s="245" t="s">
        <v>22561</v>
      </c>
      <c r="O3161" s="245" t="s">
        <v>22697</v>
      </c>
    </row>
    <row r="3162" spans="1:17" s="161" customFormat="1" ht="111.6" customHeight="1" x14ac:dyDescent="0.3">
      <c r="A3162" s="139">
        <v>3110</v>
      </c>
      <c r="B3162" s="242" t="s">
        <v>20577</v>
      </c>
      <c r="C3162" s="242" t="s">
        <v>22696</v>
      </c>
      <c r="D3162" s="60" t="s">
        <v>20576</v>
      </c>
      <c r="E3162" s="242">
        <v>2674.6</v>
      </c>
      <c r="F3162" s="244">
        <v>22449885.84</v>
      </c>
      <c r="G3162" s="244">
        <v>16420270.130000001</v>
      </c>
      <c r="H3162" s="244">
        <v>34349486.609999999</v>
      </c>
      <c r="I3162" s="243" t="s">
        <v>20571</v>
      </c>
      <c r="J3162" s="2" t="s">
        <v>21167</v>
      </c>
      <c r="K3162" s="242"/>
      <c r="L3162" s="66"/>
      <c r="M3162" s="242" t="s">
        <v>14091</v>
      </c>
      <c r="N3162" s="245" t="s">
        <v>21164</v>
      </c>
      <c r="O3162" s="245" t="s">
        <v>22698</v>
      </c>
    </row>
    <row r="3163" spans="1:17" s="161" customFormat="1" ht="72" customHeight="1" x14ac:dyDescent="0.3">
      <c r="A3163" s="139">
        <v>3111</v>
      </c>
      <c r="B3163" s="242" t="s">
        <v>110</v>
      </c>
      <c r="C3163" s="242" t="s">
        <v>20621</v>
      </c>
      <c r="D3163" s="60" t="s">
        <v>20622</v>
      </c>
      <c r="E3163" s="242">
        <v>200</v>
      </c>
      <c r="F3163" s="244">
        <v>44492</v>
      </c>
      <c r="G3163" s="244"/>
      <c r="H3163" s="244">
        <v>44492</v>
      </c>
      <c r="I3163" s="243">
        <v>43255</v>
      </c>
      <c r="J3163" s="2" t="s">
        <v>20626</v>
      </c>
      <c r="K3163" s="242"/>
      <c r="L3163" s="66"/>
      <c r="M3163" s="200" t="s">
        <v>12550</v>
      </c>
      <c r="N3163" s="160"/>
      <c r="O3163" s="245" t="s">
        <v>12039</v>
      </c>
    </row>
    <row r="3164" spans="1:17" s="161" customFormat="1" ht="72" customHeight="1" x14ac:dyDescent="0.3">
      <c r="A3164" s="139">
        <v>3112</v>
      </c>
      <c r="B3164" s="242" t="s">
        <v>133</v>
      </c>
      <c r="C3164" s="242" t="s">
        <v>20623</v>
      </c>
      <c r="D3164" s="60" t="s">
        <v>20624</v>
      </c>
      <c r="E3164" s="242">
        <v>1000</v>
      </c>
      <c r="F3164" s="98">
        <v>196950</v>
      </c>
      <c r="G3164" s="244"/>
      <c r="H3164" s="98">
        <v>196950</v>
      </c>
      <c r="I3164" s="243" t="s">
        <v>20627</v>
      </c>
      <c r="J3164" s="2" t="s">
        <v>20625</v>
      </c>
      <c r="K3164" s="242"/>
      <c r="L3164" s="66"/>
      <c r="M3164" s="200" t="s">
        <v>12550</v>
      </c>
      <c r="N3164" s="160"/>
      <c r="O3164" s="245" t="s">
        <v>12039</v>
      </c>
    </row>
    <row r="3165" spans="1:17" ht="72" customHeight="1" x14ac:dyDescent="0.3">
      <c r="A3165" s="139">
        <v>3113</v>
      </c>
      <c r="B3165" s="242" t="s">
        <v>17913</v>
      </c>
      <c r="C3165" s="242" t="s">
        <v>20756</v>
      </c>
      <c r="D3165" s="85" t="s">
        <v>20757</v>
      </c>
      <c r="E3165" s="207">
        <v>800</v>
      </c>
      <c r="F3165" s="100">
        <v>178864</v>
      </c>
      <c r="G3165" s="25"/>
      <c r="H3165" s="101">
        <v>178864</v>
      </c>
      <c r="I3165" s="243" t="s">
        <v>20758</v>
      </c>
      <c r="J3165" s="245" t="s">
        <v>20759</v>
      </c>
      <c r="K3165" s="207"/>
      <c r="L3165" s="66"/>
      <c r="M3165" s="200" t="s">
        <v>12550</v>
      </c>
      <c r="N3165" s="207"/>
      <c r="O3165" s="245" t="s">
        <v>17794</v>
      </c>
    </row>
    <row r="3166" spans="1:17" ht="72" customHeight="1" x14ac:dyDescent="0.3">
      <c r="A3166" s="139">
        <v>3114</v>
      </c>
      <c r="B3166" s="242" t="s">
        <v>17913</v>
      </c>
      <c r="C3166" s="242" t="s">
        <v>20760</v>
      </c>
      <c r="D3166" s="85" t="s">
        <v>20761</v>
      </c>
      <c r="E3166" s="207">
        <v>800</v>
      </c>
      <c r="F3166" s="100">
        <v>178864</v>
      </c>
      <c r="G3166" s="25"/>
      <c r="H3166" s="101">
        <v>178864</v>
      </c>
      <c r="I3166" s="243" t="s">
        <v>20758</v>
      </c>
      <c r="J3166" s="245" t="s">
        <v>20762</v>
      </c>
      <c r="K3166" s="207"/>
      <c r="L3166" s="66"/>
      <c r="M3166" s="200" t="s">
        <v>12550</v>
      </c>
      <c r="N3166" s="207"/>
      <c r="O3166" s="245" t="s">
        <v>17794</v>
      </c>
    </row>
    <row r="3167" spans="1:17" ht="72" customHeight="1" x14ac:dyDescent="0.3">
      <c r="A3167" s="139">
        <v>3115</v>
      </c>
      <c r="B3167" s="245" t="s">
        <v>116</v>
      </c>
      <c r="C3167" s="245" t="s">
        <v>14975</v>
      </c>
      <c r="D3167" s="86" t="s">
        <v>20763</v>
      </c>
      <c r="E3167" s="245">
        <v>14329200</v>
      </c>
      <c r="F3167" s="20">
        <v>129791002.88</v>
      </c>
      <c r="G3167" s="245"/>
      <c r="H3167" s="20">
        <v>129791002.88</v>
      </c>
      <c r="I3167" s="75">
        <v>43279</v>
      </c>
      <c r="J3167" s="245" t="s">
        <v>20764</v>
      </c>
      <c r="K3167" s="245"/>
      <c r="L3167" s="66"/>
      <c r="M3167" s="200" t="s">
        <v>12550</v>
      </c>
      <c r="N3167" s="207"/>
      <c r="O3167" s="245" t="s">
        <v>20765</v>
      </c>
    </row>
    <row r="3168" spans="1:17" ht="72" customHeight="1" x14ac:dyDescent="0.3">
      <c r="A3168" s="277">
        <v>3116</v>
      </c>
      <c r="B3168" s="278" t="s">
        <v>20798</v>
      </c>
      <c r="C3168" s="278" t="s">
        <v>20780</v>
      </c>
      <c r="D3168" s="279"/>
      <c r="E3168" s="69">
        <v>600</v>
      </c>
      <c r="F3168" s="167"/>
      <c r="G3168" s="69"/>
      <c r="H3168" s="69"/>
      <c r="I3168" s="115">
        <v>43293</v>
      </c>
      <c r="J3168" s="68" t="s">
        <v>22586</v>
      </c>
      <c r="K3168" s="69"/>
      <c r="L3168" s="70"/>
      <c r="M3168" s="231" t="s">
        <v>12550</v>
      </c>
      <c r="N3168" s="69"/>
      <c r="O3168" s="38" t="s">
        <v>22406</v>
      </c>
    </row>
    <row r="3169" spans="1:15" ht="60" customHeight="1" x14ac:dyDescent="0.3">
      <c r="A3169" s="139">
        <v>3117</v>
      </c>
      <c r="B3169" s="32" t="s">
        <v>20799</v>
      </c>
      <c r="C3169" s="32" t="s">
        <v>20781</v>
      </c>
      <c r="D3169" s="207"/>
      <c r="E3169" s="207">
        <v>1115</v>
      </c>
      <c r="F3169" s="25"/>
      <c r="G3169" s="207"/>
      <c r="H3169" s="207"/>
      <c r="I3169" s="115">
        <v>43293</v>
      </c>
      <c r="J3169" s="68" t="s">
        <v>22586</v>
      </c>
      <c r="K3169" s="207"/>
      <c r="L3169" s="66"/>
      <c r="M3169" s="201" t="s">
        <v>12550</v>
      </c>
      <c r="N3169" s="207"/>
      <c r="O3169" s="38" t="s">
        <v>22407</v>
      </c>
    </row>
    <row r="3170" spans="1:15" ht="60" customHeight="1" x14ac:dyDescent="0.3">
      <c r="A3170" s="139">
        <v>3118</v>
      </c>
      <c r="B3170" s="32" t="s">
        <v>20800</v>
      </c>
      <c r="C3170" s="32" t="s">
        <v>20781</v>
      </c>
      <c r="D3170" s="207"/>
      <c r="E3170" s="207">
        <v>2200</v>
      </c>
      <c r="F3170" s="25"/>
      <c r="G3170" s="207"/>
      <c r="H3170" s="207"/>
      <c r="I3170" s="115">
        <v>43293</v>
      </c>
      <c r="J3170" s="68" t="s">
        <v>22586</v>
      </c>
      <c r="K3170" s="207"/>
      <c r="L3170" s="66"/>
      <c r="M3170" s="201" t="s">
        <v>12550</v>
      </c>
      <c r="N3170" s="207"/>
      <c r="O3170" s="38" t="s">
        <v>22408</v>
      </c>
    </row>
    <row r="3171" spans="1:15" ht="60" customHeight="1" x14ac:dyDescent="0.3">
      <c r="A3171" s="139">
        <v>3119</v>
      </c>
      <c r="B3171" s="32" t="s">
        <v>20801</v>
      </c>
      <c r="C3171" s="32" t="s">
        <v>20782</v>
      </c>
      <c r="D3171" s="207"/>
      <c r="E3171" s="207">
        <v>760</v>
      </c>
      <c r="F3171" s="25"/>
      <c r="G3171" s="207"/>
      <c r="H3171" s="207"/>
      <c r="I3171" s="115">
        <v>43293</v>
      </c>
      <c r="J3171" s="68" t="s">
        <v>22586</v>
      </c>
      <c r="K3171" s="207"/>
      <c r="L3171" s="66"/>
      <c r="M3171" s="201" t="s">
        <v>12550</v>
      </c>
      <c r="N3171" s="207"/>
      <c r="O3171" s="38" t="s">
        <v>22409</v>
      </c>
    </row>
    <row r="3172" spans="1:15" ht="60" customHeight="1" x14ac:dyDescent="0.3">
      <c r="A3172" s="139">
        <v>3120</v>
      </c>
      <c r="B3172" s="32" t="s">
        <v>20802</v>
      </c>
      <c r="C3172" s="32" t="s">
        <v>20781</v>
      </c>
      <c r="D3172" s="207"/>
      <c r="E3172" s="207">
        <v>1280</v>
      </c>
      <c r="F3172" s="25"/>
      <c r="G3172" s="207"/>
      <c r="H3172" s="207"/>
      <c r="I3172" s="115">
        <v>43293</v>
      </c>
      <c r="J3172" s="68" t="s">
        <v>22586</v>
      </c>
      <c r="K3172" s="207"/>
      <c r="L3172" s="66"/>
      <c r="M3172" s="201" t="s">
        <v>12550</v>
      </c>
      <c r="N3172" s="207"/>
      <c r="O3172" s="38" t="s">
        <v>22410</v>
      </c>
    </row>
    <row r="3173" spans="1:15" ht="60" customHeight="1" x14ac:dyDescent="0.3">
      <c r="A3173" s="139">
        <v>3121</v>
      </c>
      <c r="B3173" s="32" t="s">
        <v>20803</v>
      </c>
      <c r="C3173" s="32" t="s">
        <v>20783</v>
      </c>
      <c r="D3173" s="207"/>
      <c r="E3173" s="207">
        <v>1260</v>
      </c>
      <c r="F3173" s="25"/>
      <c r="G3173" s="207"/>
      <c r="H3173" s="207"/>
      <c r="I3173" s="115">
        <v>43293</v>
      </c>
      <c r="J3173" s="68" t="s">
        <v>22586</v>
      </c>
      <c r="K3173" s="207"/>
      <c r="L3173" s="66"/>
      <c r="M3173" s="201" t="s">
        <v>12550</v>
      </c>
      <c r="N3173" s="207"/>
      <c r="O3173" s="38" t="s">
        <v>22411</v>
      </c>
    </row>
    <row r="3174" spans="1:15" ht="60" customHeight="1" x14ac:dyDescent="0.3">
      <c r="A3174" s="139">
        <v>3122</v>
      </c>
      <c r="B3174" s="32" t="s">
        <v>20804</v>
      </c>
      <c r="C3174" s="32" t="s">
        <v>20784</v>
      </c>
      <c r="D3174" s="207"/>
      <c r="E3174" s="207">
        <v>2360</v>
      </c>
      <c r="F3174" s="25"/>
      <c r="G3174" s="207"/>
      <c r="H3174" s="207"/>
      <c r="I3174" s="115">
        <v>43293</v>
      </c>
      <c r="J3174" s="68" t="s">
        <v>22586</v>
      </c>
      <c r="K3174" s="207"/>
      <c r="L3174" s="66"/>
      <c r="M3174" s="201" t="s">
        <v>12550</v>
      </c>
      <c r="N3174" s="207"/>
      <c r="O3174" s="38" t="s">
        <v>22412</v>
      </c>
    </row>
    <row r="3175" spans="1:15" ht="60" customHeight="1" x14ac:dyDescent="0.3">
      <c r="A3175" s="139">
        <v>3123</v>
      </c>
      <c r="B3175" s="32" t="s">
        <v>20805</v>
      </c>
      <c r="C3175" s="32" t="s">
        <v>20784</v>
      </c>
      <c r="D3175" s="207"/>
      <c r="E3175" s="207">
        <v>2340</v>
      </c>
      <c r="F3175" s="25"/>
      <c r="G3175" s="207"/>
      <c r="H3175" s="207"/>
      <c r="I3175" s="115">
        <v>43293</v>
      </c>
      <c r="J3175" s="68" t="s">
        <v>22586</v>
      </c>
      <c r="K3175" s="207"/>
      <c r="L3175" s="66"/>
      <c r="M3175" s="201" t="s">
        <v>12550</v>
      </c>
      <c r="N3175" s="207"/>
      <c r="O3175" s="38" t="s">
        <v>22413</v>
      </c>
    </row>
    <row r="3176" spans="1:15" ht="60" customHeight="1" x14ac:dyDescent="0.3">
      <c r="A3176" s="139">
        <v>3124</v>
      </c>
      <c r="B3176" s="32" t="s">
        <v>20806</v>
      </c>
      <c r="C3176" s="32" t="s">
        <v>20783</v>
      </c>
      <c r="D3176" s="207"/>
      <c r="E3176" s="207">
        <v>960</v>
      </c>
      <c r="F3176" s="25"/>
      <c r="G3176" s="207"/>
      <c r="H3176" s="207"/>
      <c r="I3176" s="115">
        <v>43293</v>
      </c>
      <c r="J3176" s="68" t="s">
        <v>22586</v>
      </c>
      <c r="K3176" s="207"/>
      <c r="L3176" s="66"/>
      <c r="M3176" s="201" t="s">
        <v>12550</v>
      </c>
      <c r="N3176" s="207"/>
      <c r="O3176" s="38" t="s">
        <v>22414</v>
      </c>
    </row>
    <row r="3177" spans="1:15" ht="60" customHeight="1" x14ac:dyDescent="0.3">
      <c r="A3177" s="139">
        <v>3125</v>
      </c>
      <c r="B3177" s="32" t="s">
        <v>20807</v>
      </c>
      <c r="C3177" s="32" t="s">
        <v>20784</v>
      </c>
      <c r="D3177" s="207"/>
      <c r="E3177" s="207">
        <v>500</v>
      </c>
      <c r="F3177" s="25"/>
      <c r="G3177" s="207"/>
      <c r="H3177" s="207"/>
      <c r="I3177" s="115">
        <v>43293</v>
      </c>
      <c r="J3177" s="68" t="s">
        <v>22586</v>
      </c>
      <c r="K3177" s="207"/>
      <c r="L3177" s="66"/>
      <c r="M3177" s="201" t="s">
        <v>12550</v>
      </c>
      <c r="N3177" s="207"/>
      <c r="O3177" s="38" t="s">
        <v>22415</v>
      </c>
    </row>
    <row r="3178" spans="1:15" ht="60" customHeight="1" x14ac:dyDescent="0.3">
      <c r="A3178" s="139">
        <v>3126</v>
      </c>
      <c r="B3178" s="32" t="s">
        <v>20808</v>
      </c>
      <c r="C3178" s="32" t="s">
        <v>20784</v>
      </c>
      <c r="D3178" s="207"/>
      <c r="E3178" s="207">
        <v>500</v>
      </c>
      <c r="F3178" s="25"/>
      <c r="G3178" s="207"/>
      <c r="H3178" s="207"/>
      <c r="I3178" s="115">
        <v>43293</v>
      </c>
      <c r="J3178" s="68" t="s">
        <v>22586</v>
      </c>
      <c r="K3178" s="207"/>
      <c r="L3178" s="66"/>
      <c r="M3178" s="201" t="s">
        <v>12550</v>
      </c>
      <c r="N3178" s="207"/>
      <c r="O3178" s="38" t="s">
        <v>22416</v>
      </c>
    </row>
    <row r="3179" spans="1:15" ht="60" customHeight="1" x14ac:dyDescent="0.3">
      <c r="A3179" s="139">
        <v>3127</v>
      </c>
      <c r="B3179" s="32" t="s">
        <v>20809</v>
      </c>
      <c r="C3179" s="32" t="s">
        <v>20783</v>
      </c>
      <c r="D3179" s="207"/>
      <c r="E3179" s="207">
        <v>460</v>
      </c>
      <c r="F3179" s="25"/>
      <c r="G3179" s="207"/>
      <c r="H3179" s="207"/>
      <c r="I3179" s="115">
        <v>43293</v>
      </c>
      <c r="J3179" s="68" t="s">
        <v>22586</v>
      </c>
      <c r="K3179" s="207"/>
      <c r="L3179" s="66"/>
      <c r="M3179" s="201" t="s">
        <v>12550</v>
      </c>
      <c r="N3179" s="207"/>
      <c r="O3179" s="38" t="s">
        <v>22417</v>
      </c>
    </row>
    <row r="3180" spans="1:15" ht="60" customHeight="1" x14ac:dyDescent="0.3">
      <c r="A3180" s="139">
        <v>3128</v>
      </c>
      <c r="B3180" s="32" t="s">
        <v>20810</v>
      </c>
      <c r="C3180" s="32" t="s">
        <v>20783</v>
      </c>
      <c r="D3180" s="207"/>
      <c r="E3180" s="207">
        <v>1740</v>
      </c>
      <c r="F3180" s="25"/>
      <c r="G3180" s="207"/>
      <c r="H3180" s="207"/>
      <c r="I3180" s="115">
        <v>43293</v>
      </c>
      <c r="J3180" s="68" t="s">
        <v>22586</v>
      </c>
      <c r="K3180" s="207"/>
      <c r="L3180" s="66"/>
      <c r="M3180" s="201" t="s">
        <v>12550</v>
      </c>
      <c r="N3180" s="207"/>
      <c r="O3180" s="38" t="s">
        <v>22418</v>
      </c>
    </row>
    <row r="3181" spans="1:15" ht="60" customHeight="1" x14ac:dyDescent="0.3">
      <c r="A3181" s="139">
        <v>3129</v>
      </c>
      <c r="B3181" s="32" t="s">
        <v>20811</v>
      </c>
      <c r="C3181" s="32" t="s">
        <v>20783</v>
      </c>
      <c r="D3181" s="207"/>
      <c r="E3181" s="207">
        <v>2175</v>
      </c>
      <c r="F3181" s="25"/>
      <c r="G3181" s="207"/>
      <c r="H3181" s="207"/>
      <c r="I3181" s="115">
        <v>43293</v>
      </c>
      <c r="J3181" s="68" t="s">
        <v>22586</v>
      </c>
      <c r="K3181" s="207"/>
      <c r="L3181" s="66"/>
      <c r="M3181" s="201" t="s">
        <v>12550</v>
      </c>
      <c r="N3181" s="207"/>
      <c r="O3181" s="38" t="s">
        <v>22419</v>
      </c>
    </row>
    <row r="3182" spans="1:15" ht="60" customHeight="1" x14ac:dyDescent="0.3">
      <c r="A3182" s="139">
        <v>3130</v>
      </c>
      <c r="B3182" s="32" t="s">
        <v>20812</v>
      </c>
      <c r="C3182" s="32" t="s">
        <v>20785</v>
      </c>
      <c r="D3182" s="207"/>
      <c r="E3182" s="207">
        <v>10746</v>
      </c>
      <c r="F3182" s="25"/>
      <c r="G3182" s="207"/>
      <c r="H3182" s="207"/>
      <c r="I3182" s="115">
        <v>43293</v>
      </c>
      <c r="J3182" s="68" t="s">
        <v>22586</v>
      </c>
      <c r="K3182" s="207"/>
      <c r="L3182" s="66"/>
      <c r="M3182" s="201" t="s">
        <v>12550</v>
      </c>
      <c r="N3182" s="207"/>
      <c r="O3182" s="38" t="s">
        <v>22420</v>
      </c>
    </row>
    <row r="3183" spans="1:15" ht="60" customHeight="1" x14ac:dyDescent="0.3">
      <c r="A3183" s="139">
        <v>3131</v>
      </c>
      <c r="B3183" s="32" t="s">
        <v>20813</v>
      </c>
      <c r="C3183" s="32" t="s">
        <v>20785</v>
      </c>
      <c r="D3183" s="207"/>
      <c r="E3183" s="207">
        <v>647.5</v>
      </c>
      <c r="F3183" s="25"/>
      <c r="G3183" s="207"/>
      <c r="H3183" s="207"/>
      <c r="I3183" s="115">
        <v>43293</v>
      </c>
      <c r="J3183" s="68" t="s">
        <v>22586</v>
      </c>
      <c r="K3183" s="207"/>
      <c r="L3183" s="66"/>
      <c r="M3183" s="201" t="s">
        <v>12550</v>
      </c>
      <c r="N3183" s="207"/>
      <c r="O3183" s="38" t="s">
        <v>22421</v>
      </c>
    </row>
    <row r="3184" spans="1:15" ht="60" customHeight="1" x14ac:dyDescent="0.3">
      <c r="A3184" s="139">
        <v>3132</v>
      </c>
      <c r="B3184" s="32" t="s">
        <v>20814</v>
      </c>
      <c r="C3184" s="32" t="s">
        <v>20785</v>
      </c>
      <c r="D3184" s="207"/>
      <c r="E3184" s="207">
        <v>1032.5</v>
      </c>
      <c r="F3184" s="25"/>
      <c r="G3184" s="207"/>
      <c r="H3184" s="207"/>
      <c r="I3184" s="115">
        <v>43293</v>
      </c>
      <c r="J3184" s="68" t="s">
        <v>22586</v>
      </c>
      <c r="K3184" s="207"/>
      <c r="L3184" s="66"/>
      <c r="M3184" s="201" t="s">
        <v>12550</v>
      </c>
      <c r="N3184" s="207"/>
      <c r="O3184" s="38" t="s">
        <v>22422</v>
      </c>
    </row>
    <row r="3185" spans="1:15" ht="60" customHeight="1" x14ac:dyDescent="0.3">
      <c r="A3185" s="139">
        <v>3133</v>
      </c>
      <c r="B3185" s="32" t="s">
        <v>20815</v>
      </c>
      <c r="C3185" s="32" t="s">
        <v>20785</v>
      </c>
      <c r="D3185" s="207"/>
      <c r="E3185" s="207">
        <v>2400</v>
      </c>
      <c r="F3185" s="25"/>
      <c r="G3185" s="207"/>
      <c r="H3185" s="207"/>
      <c r="I3185" s="115">
        <v>43293</v>
      </c>
      <c r="J3185" s="68" t="s">
        <v>22586</v>
      </c>
      <c r="K3185" s="207"/>
      <c r="L3185" s="66"/>
      <c r="M3185" s="201" t="s">
        <v>12550</v>
      </c>
      <c r="N3185" s="207"/>
      <c r="O3185" s="38" t="s">
        <v>22423</v>
      </c>
    </row>
    <row r="3186" spans="1:15" ht="60" customHeight="1" x14ac:dyDescent="0.3">
      <c r="A3186" s="139">
        <v>3134</v>
      </c>
      <c r="B3186" s="32" t="s">
        <v>20816</v>
      </c>
      <c r="C3186" s="32" t="s">
        <v>20785</v>
      </c>
      <c r="D3186" s="207"/>
      <c r="E3186" s="207">
        <v>2450</v>
      </c>
      <c r="F3186" s="25"/>
      <c r="G3186" s="207"/>
      <c r="H3186" s="207"/>
      <c r="I3186" s="115">
        <v>43293</v>
      </c>
      <c r="J3186" s="68" t="s">
        <v>22586</v>
      </c>
      <c r="K3186" s="207"/>
      <c r="L3186" s="66"/>
      <c r="M3186" s="201" t="s">
        <v>12550</v>
      </c>
      <c r="N3186" s="207"/>
      <c r="O3186" s="38" t="s">
        <v>22424</v>
      </c>
    </row>
    <row r="3187" spans="1:15" ht="60" customHeight="1" x14ac:dyDescent="0.3">
      <c r="A3187" s="139">
        <v>3135</v>
      </c>
      <c r="B3187" s="32" t="s">
        <v>20817</v>
      </c>
      <c r="C3187" s="32" t="s">
        <v>20785</v>
      </c>
      <c r="D3187" s="207"/>
      <c r="E3187" s="207">
        <v>150</v>
      </c>
      <c r="F3187" s="25"/>
      <c r="G3187" s="207"/>
      <c r="H3187" s="207"/>
      <c r="I3187" s="115">
        <v>43293</v>
      </c>
      <c r="J3187" s="68" t="s">
        <v>22586</v>
      </c>
      <c r="K3187" s="207"/>
      <c r="L3187" s="66"/>
      <c r="M3187" s="201" t="s">
        <v>12550</v>
      </c>
      <c r="N3187" s="207"/>
      <c r="O3187" s="38" t="s">
        <v>22425</v>
      </c>
    </row>
    <row r="3188" spans="1:15" ht="60" customHeight="1" x14ac:dyDescent="0.3">
      <c r="A3188" s="139">
        <v>3136</v>
      </c>
      <c r="B3188" s="32" t="s">
        <v>20818</v>
      </c>
      <c r="C3188" s="32" t="s">
        <v>20786</v>
      </c>
      <c r="D3188" s="207"/>
      <c r="E3188" s="207">
        <v>175</v>
      </c>
      <c r="F3188" s="25"/>
      <c r="G3188" s="207"/>
      <c r="H3188" s="207"/>
      <c r="I3188" s="115">
        <v>43293</v>
      </c>
      <c r="J3188" s="68" t="s">
        <v>22586</v>
      </c>
      <c r="K3188" s="207"/>
      <c r="L3188" s="66"/>
      <c r="M3188" s="201" t="s">
        <v>12550</v>
      </c>
      <c r="N3188" s="207"/>
      <c r="O3188" s="38" t="s">
        <v>22426</v>
      </c>
    </row>
    <row r="3189" spans="1:15" ht="60" customHeight="1" x14ac:dyDescent="0.3">
      <c r="A3189" s="139">
        <v>3137</v>
      </c>
      <c r="B3189" s="32" t="s">
        <v>20819</v>
      </c>
      <c r="C3189" s="32" t="s">
        <v>20786</v>
      </c>
      <c r="D3189" s="207"/>
      <c r="E3189" s="207">
        <v>420</v>
      </c>
      <c r="F3189" s="25"/>
      <c r="G3189" s="207"/>
      <c r="H3189" s="207"/>
      <c r="I3189" s="115">
        <v>43293</v>
      </c>
      <c r="J3189" s="68" t="s">
        <v>22586</v>
      </c>
      <c r="K3189" s="207"/>
      <c r="L3189" s="66"/>
      <c r="M3189" s="201" t="s">
        <v>12550</v>
      </c>
      <c r="N3189" s="207"/>
      <c r="O3189" s="38" t="s">
        <v>22427</v>
      </c>
    </row>
    <row r="3190" spans="1:15" ht="60" customHeight="1" x14ac:dyDescent="0.3">
      <c r="A3190" s="139">
        <v>3138</v>
      </c>
      <c r="B3190" s="32" t="s">
        <v>20820</v>
      </c>
      <c r="C3190" s="32" t="s">
        <v>20786</v>
      </c>
      <c r="D3190" s="207"/>
      <c r="E3190" s="207">
        <v>336</v>
      </c>
      <c r="F3190" s="25"/>
      <c r="G3190" s="207"/>
      <c r="H3190" s="207"/>
      <c r="I3190" s="115">
        <v>43293</v>
      </c>
      <c r="J3190" s="68" t="s">
        <v>22586</v>
      </c>
      <c r="K3190" s="207"/>
      <c r="L3190" s="66"/>
      <c r="M3190" s="201" t="s">
        <v>12550</v>
      </c>
      <c r="N3190" s="207"/>
      <c r="O3190" s="38" t="s">
        <v>22428</v>
      </c>
    </row>
    <row r="3191" spans="1:15" ht="60" customHeight="1" x14ac:dyDescent="0.3">
      <c r="A3191" s="139">
        <v>3139</v>
      </c>
      <c r="B3191" s="32" t="s">
        <v>20821</v>
      </c>
      <c r="C3191" s="32" t="s">
        <v>20786</v>
      </c>
      <c r="D3191" s="207"/>
      <c r="E3191" s="207">
        <v>494.1</v>
      </c>
      <c r="F3191" s="25"/>
      <c r="G3191" s="207"/>
      <c r="H3191" s="207"/>
      <c r="I3191" s="115">
        <v>43293</v>
      </c>
      <c r="J3191" s="68" t="s">
        <v>22586</v>
      </c>
      <c r="K3191" s="207"/>
      <c r="L3191" s="66"/>
      <c r="M3191" s="201" t="s">
        <v>12550</v>
      </c>
      <c r="N3191" s="207"/>
      <c r="O3191" s="38" t="s">
        <v>22429</v>
      </c>
    </row>
    <row r="3192" spans="1:15" ht="60" customHeight="1" x14ac:dyDescent="0.3">
      <c r="A3192" s="139">
        <v>3140</v>
      </c>
      <c r="B3192" s="32" t="s">
        <v>20822</v>
      </c>
      <c r="C3192" s="32" t="s">
        <v>20786</v>
      </c>
      <c r="D3192" s="207"/>
      <c r="E3192" s="207">
        <v>7161</v>
      </c>
      <c r="F3192" s="25"/>
      <c r="G3192" s="207"/>
      <c r="H3192" s="207"/>
      <c r="I3192" s="115">
        <v>43293</v>
      </c>
      <c r="J3192" s="68" t="s">
        <v>22586</v>
      </c>
      <c r="K3192" s="207"/>
      <c r="L3192" s="66"/>
      <c r="M3192" s="201" t="s">
        <v>12550</v>
      </c>
      <c r="N3192" s="207"/>
      <c r="O3192" s="38" t="s">
        <v>22430</v>
      </c>
    </row>
    <row r="3193" spans="1:15" ht="60" customHeight="1" x14ac:dyDescent="0.3">
      <c r="A3193" s="139">
        <v>3141</v>
      </c>
      <c r="B3193" s="32" t="s">
        <v>20823</v>
      </c>
      <c r="C3193" s="32" t="s">
        <v>20786</v>
      </c>
      <c r="D3193" s="207"/>
      <c r="E3193" s="207">
        <v>7359</v>
      </c>
      <c r="F3193" s="25"/>
      <c r="G3193" s="207"/>
      <c r="H3193" s="207"/>
      <c r="I3193" s="115">
        <v>43293</v>
      </c>
      <c r="J3193" s="68" t="s">
        <v>22586</v>
      </c>
      <c r="K3193" s="207"/>
      <c r="L3193" s="66"/>
      <c r="M3193" s="201" t="s">
        <v>12550</v>
      </c>
      <c r="N3193" s="207"/>
      <c r="O3193" s="38" t="s">
        <v>22431</v>
      </c>
    </row>
    <row r="3194" spans="1:15" ht="60" customHeight="1" x14ac:dyDescent="0.3">
      <c r="A3194" s="139">
        <v>3142</v>
      </c>
      <c r="B3194" s="32" t="s">
        <v>20824</v>
      </c>
      <c r="C3194" s="32" t="s">
        <v>20787</v>
      </c>
      <c r="D3194" s="207"/>
      <c r="E3194" s="207">
        <v>88</v>
      </c>
      <c r="F3194" s="25"/>
      <c r="G3194" s="207"/>
      <c r="H3194" s="207"/>
      <c r="I3194" s="115">
        <v>43293</v>
      </c>
      <c r="J3194" s="68" t="s">
        <v>22586</v>
      </c>
      <c r="K3194" s="207"/>
      <c r="L3194" s="66"/>
      <c r="M3194" s="201" t="s">
        <v>12550</v>
      </c>
      <c r="N3194" s="207"/>
      <c r="O3194" s="38" t="s">
        <v>22432</v>
      </c>
    </row>
    <row r="3195" spans="1:15" ht="60" customHeight="1" x14ac:dyDescent="0.3">
      <c r="A3195" s="139">
        <v>3143</v>
      </c>
      <c r="B3195" s="32" t="s">
        <v>20825</v>
      </c>
      <c r="C3195" s="32" t="s">
        <v>20787</v>
      </c>
      <c r="D3195" s="207"/>
      <c r="E3195" s="207">
        <v>990</v>
      </c>
      <c r="F3195" s="25"/>
      <c r="G3195" s="207"/>
      <c r="H3195" s="207"/>
      <c r="I3195" s="115">
        <v>43293</v>
      </c>
      <c r="J3195" s="68" t="s">
        <v>22586</v>
      </c>
      <c r="K3195" s="207"/>
      <c r="L3195" s="66"/>
      <c r="M3195" s="201" t="s">
        <v>12550</v>
      </c>
      <c r="N3195" s="207"/>
      <c r="O3195" s="38" t="s">
        <v>22433</v>
      </c>
    </row>
    <row r="3196" spans="1:15" ht="60" customHeight="1" x14ac:dyDescent="0.3">
      <c r="A3196" s="139">
        <v>3144</v>
      </c>
      <c r="B3196" s="32" t="s">
        <v>20826</v>
      </c>
      <c r="C3196" s="32" t="s">
        <v>20787</v>
      </c>
      <c r="D3196" s="207"/>
      <c r="E3196" s="207">
        <v>690</v>
      </c>
      <c r="F3196" s="25"/>
      <c r="G3196" s="207"/>
      <c r="H3196" s="207"/>
      <c r="I3196" s="115">
        <v>43293</v>
      </c>
      <c r="J3196" s="68" t="s">
        <v>22586</v>
      </c>
      <c r="K3196" s="207"/>
      <c r="L3196" s="66"/>
      <c r="M3196" s="201" t="s">
        <v>12550</v>
      </c>
      <c r="N3196" s="207"/>
      <c r="O3196" s="38" t="s">
        <v>22434</v>
      </c>
    </row>
    <row r="3197" spans="1:15" ht="60" customHeight="1" x14ac:dyDescent="0.3">
      <c r="A3197" s="139">
        <v>3145</v>
      </c>
      <c r="B3197" s="32" t="s">
        <v>20827</v>
      </c>
      <c r="C3197" s="32" t="s">
        <v>20787</v>
      </c>
      <c r="D3197" s="207"/>
      <c r="E3197" s="207">
        <v>510</v>
      </c>
      <c r="F3197" s="25"/>
      <c r="G3197" s="207"/>
      <c r="H3197" s="207"/>
      <c r="I3197" s="115">
        <v>43293</v>
      </c>
      <c r="J3197" s="68" t="s">
        <v>22586</v>
      </c>
      <c r="K3197" s="207"/>
      <c r="L3197" s="66"/>
      <c r="M3197" s="201" t="s">
        <v>12550</v>
      </c>
      <c r="N3197" s="207"/>
      <c r="O3197" s="38" t="s">
        <v>22435</v>
      </c>
    </row>
    <row r="3198" spans="1:15" ht="60" customHeight="1" x14ac:dyDescent="0.3">
      <c r="A3198" s="139">
        <v>3146</v>
      </c>
      <c r="B3198" s="32" t="s">
        <v>20828</v>
      </c>
      <c r="C3198" s="32" t="s">
        <v>20787</v>
      </c>
      <c r="D3198" s="207"/>
      <c r="E3198" s="207">
        <v>867</v>
      </c>
      <c r="F3198" s="25"/>
      <c r="G3198" s="207"/>
      <c r="H3198" s="207"/>
      <c r="I3198" s="115">
        <v>43293</v>
      </c>
      <c r="J3198" s="68" t="s">
        <v>22586</v>
      </c>
      <c r="K3198" s="207"/>
      <c r="L3198" s="66"/>
      <c r="M3198" s="201" t="s">
        <v>12550</v>
      </c>
      <c r="N3198" s="207"/>
      <c r="O3198" s="38" t="s">
        <v>22436</v>
      </c>
    </row>
    <row r="3199" spans="1:15" ht="60" customHeight="1" x14ac:dyDescent="0.3">
      <c r="A3199" s="139">
        <v>3147</v>
      </c>
      <c r="B3199" s="32" t="s">
        <v>20829</v>
      </c>
      <c r="C3199" s="32" t="s">
        <v>20787</v>
      </c>
      <c r="D3199" s="207"/>
      <c r="E3199" s="207">
        <v>144</v>
      </c>
      <c r="F3199" s="25"/>
      <c r="G3199" s="207"/>
      <c r="H3199" s="207"/>
      <c r="I3199" s="115">
        <v>43293</v>
      </c>
      <c r="J3199" s="68" t="s">
        <v>22586</v>
      </c>
      <c r="K3199" s="207"/>
      <c r="L3199" s="66"/>
      <c r="M3199" s="201" t="s">
        <v>12550</v>
      </c>
      <c r="N3199" s="207"/>
      <c r="O3199" s="38" t="s">
        <v>22437</v>
      </c>
    </row>
    <row r="3200" spans="1:15" ht="60" customHeight="1" x14ac:dyDescent="0.3">
      <c r="A3200" s="139">
        <v>3148</v>
      </c>
      <c r="B3200" s="32" t="s">
        <v>20830</v>
      </c>
      <c r="C3200" s="32" t="s">
        <v>20787</v>
      </c>
      <c r="D3200" s="207"/>
      <c r="E3200" s="207">
        <v>1200</v>
      </c>
      <c r="F3200" s="25"/>
      <c r="G3200" s="207"/>
      <c r="H3200" s="207"/>
      <c r="I3200" s="115">
        <v>43293</v>
      </c>
      <c r="J3200" s="68" t="s">
        <v>22586</v>
      </c>
      <c r="K3200" s="207"/>
      <c r="L3200" s="66"/>
      <c r="M3200" s="201" t="s">
        <v>12550</v>
      </c>
      <c r="N3200" s="207"/>
      <c r="O3200" s="38" t="s">
        <v>22438</v>
      </c>
    </row>
    <row r="3201" spans="1:15" ht="60" customHeight="1" x14ac:dyDescent="0.3">
      <c r="A3201" s="139">
        <v>3149</v>
      </c>
      <c r="B3201" s="32" t="s">
        <v>20831</v>
      </c>
      <c r="C3201" s="32" t="s">
        <v>20787</v>
      </c>
      <c r="D3201" s="207"/>
      <c r="E3201" s="207">
        <v>561</v>
      </c>
      <c r="F3201" s="25"/>
      <c r="G3201" s="207"/>
      <c r="H3201" s="207"/>
      <c r="I3201" s="115">
        <v>43293</v>
      </c>
      <c r="J3201" s="68" t="s">
        <v>22586</v>
      </c>
      <c r="K3201" s="207"/>
      <c r="L3201" s="66"/>
      <c r="M3201" s="201" t="s">
        <v>12550</v>
      </c>
      <c r="N3201" s="207"/>
      <c r="O3201" s="38" t="s">
        <v>22439</v>
      </c>
    </row>
    <row r="3202" spans="1:15" ht="60" customHeight="1" x14ac:dyDescent="0.3">
      <c r="A3202" s="139">
        <v>3150</v>
      </c>
      <c r="B3202" s="32" t="s">
        <v>20832</v>
      </c>
      <c r="C3202" s="32" t="s">
        <v>20787</v>
      </c>
      <c r="D3202" s="207"/>
      <c r="E3202" s="207">
        <v>750</v>
      </c>
      <c r="F3202" s="25"/>
      <c r="G3202" s="207"/>
      <c r="H3202" s="207"/>
      <c r="I3202" s="115">
        <v>43293</v>
      </c>
      <c r="J3202" s="68" t="s">
        <v>22586</v>
      </c>
      <c r="K3202" s="207"/>
      <c r="L3202" s="66"/>
      <c r="M3202" s="201" t="s">
        <v>12550</v>
      </c>
      <c r="N3202" s="207"/>
      <c r="O3202" s="38" t="s">
        <v>22440</v>
      </c>
    </row>
    <row r="3203" spans="1:15" ht="60" customHeight="1" x14ac:dyDescent="0.3">
      <c r="A3203" s="139">
        <v>3151</v>
      </c>
      <c r="B3203" s="32" t="s">
        <v>21957</v>
      </c>
      <c r="C3203" s="32" t="s">
        <v>20788</v>
      </c>
      <c r="D3203" s="207"/>
      <c r="E3203" s="207">
        <v>30000</v>
      </c>
      <c r="F3203" s="25"/>
      <c r="G3203" s="207"/>
      <c r="H3203" s="25"/>
      <c r="I3203" s="26">
        <v>43293</v>
      </c>
      <c r="J3203" s="242" t="s">
        <v>22586</v>
      </c>
      <c r="K3203" s="207"/>
      <c r="L3203" s="245"/>
      <c r="M3203" s="201" t="s">
        <v>12550</v>
      </c>
      <c r="N3203" s="207"/>
      <c r="O3203" s="38" t="s">
        <v>22441</v>
      </c>
    </row>
    <row r="3204" spans="1:15" ht="60" customHeight="1" x14ac:dyDescent="0.3">
      <c r="A3204" s="139">
        <v>3152</v>
      </c>
      <c r="B3204" s="32" t="s">
        <v>21958</v>
      </c>
      <c r="C3204" s="32" t="s">
        <v>20788</v>
      </c>
      <c r="D3204" s="207"/>
      <c r="E3204" s="207">
        <v>6600</v>
      </c>
      <c r="F3204" s="25"/>
      <c r="G3204" s="207"/>
      <c r="H3204" s="207"/>
      <c r="I3204" s="115">
        <v>43293</v>
      </c>
      <c r="J3204" s="68" t="s">
        <v>22586</v>
      </c>
      <c r="K3204" s="207"/>
      <c r="L3204" s="66"/>
      <c r="M3204" s="201" t="s">
        <v>12550</v>
      </c>
      <c r="N3204" s="207"/>
      <c r="O3204" s="38" t="s">
        <v>22442</v>
      </c>
    </row>
    <row r="3205" spans="1:15" ht="60" customHeight="1" x14ac:dyDescent="0.3">
      <c r="A3205" s="139">
        <v>3153</v>
      </c>
      <c r="B3205" s="32" t="s">
        <v>21959</v>
      </c>
      <c r="C3205" s="32" t="s">
        <v>20788</v>
      </c>
      <c r="D3205" s="207"/>
      <c r="E3205" s="207">
        <v>6100</v>
      </c>
      <c r="F3205" s="25"/>
      <c r="G3205" s="207"/>
      <c r="H3205" s="207"/>
      <c r="I3205" s="115">
        <v>43293</v>
      </c>
      <c r="J3205" s="68" t="s">
        <v>22586</v>
      </c>
      <c r="K3205" s="207"/>
      <c r="L3205" s="66"/>
      <c r="M3205" s="201" t="s">
        <v>12550</v>
      </c>
      <c r="N3205" s="207"/>
      <c r="O3205" s="38" t="s">
        <v>22443</v>
      </c>
    </row>
    <row r="3206" spans="1:15" ht="60" customHeight="1" x14ac:dyDescent="0.3">
      <c r="A3206" s="139">
        <v>3154</v>
      </c>
      <c r="B3206" s="32" t="s">
        <v>20833</v>
      </c>
      <c r="C3206" s="32" t="s">
        <v>20788</v>
      </c>
      <c r="D3206" s="207"/>
      <c r="E3206" s="207">
        <v>13500</v>
      </c>
      <c r="F3206" s="25"/>
      <c r="G3206" s="207"/>
      <c r="H3206" s="207"/>
      <c r="I3206" s="115">
        <v>43293</v>
      </c>
      <c r="J3206" s="68" t="s">
        <v>22586</v>
      </c>
      <c r="K3206" s="207"/>
      <c r="L3206" s="66"/>
      <c r="M3206" s="201" t="s">
        <v>12550</v>
      </c>
      <c r="N3206" s="207"/>
      <c r="O3206" s="38" t="s">
        <v>22444</v>
      </c>
    </row>
    <row r="3207" spans="1:15" ht="60" customHeight="1" x14ac:dyDescent="0.3">
      <c r="A3207" s="139">
        <v>3155</v>
      </c>
      <c r="B3207" s="32" t="s">
        <v>20834</v>
      </c>
      <c r="C3207" s="32" t="s">
        <v>20789</v>
      </c>
      <c r="D3207" s="207"/>
      <c r="E3207" s="207">
        <v>10860</v>
      </c>
      <c r="F3207" s="25"/>
      <c r="G3207" s="207"/>
      <c r="H3207" s="207"/>
      <c r="I3207" s="115">
        <v>43293</v>
      </c>
      <c r="J3207" s="68" t="s">
        <v>22586</v>
      </c>
      <c r="K3207" s="207"/>
      <c r="L3207" s="66"/>
      <c r="M3207" s="201" t="s">
        <v>12550</v>
      </c>
      <c r="N3207" s="207"/>
      <c r="O3207" s="38" t="s">
        <v>22445</v>
      </c>
    </row>
    <row r="3208" spans="1:15" ht="60" customHeight="1" x14ac:dyDescent="0.3">
      <c r="A3208" s="139">
        <v>3156</v>
      </c>
      <c r="B3208" s="32" t="s">
        <v>20835</v>
      </c>
      <c r="C3208" s="32" t="s">
        <v>20790</v>
      </c>
      <c r="D3208" s="207"/>
      <c r="E3208" s="207">
        <v>10800</v>
      </c>
      <c r="F3208" s="25"/>
      <c r="G3208" s="207"/>
      <c r="H3208" s="207"/>
      <c r="I3208" s="115">
        <v>43293</v>
      </c>
      <c r="J3208" s="68" t="s">
        <v>22586</v>
      </c>
      <c r="K3208" s="207"/>
      <c r="L3208" s="66"/>
      <c r="M3208" s="201" t="s">
        <v>12550</v>
      </c>
      <c r="N3208" s="207"/>
      <c r="O3208" s="38" t="s">
        <v>22446</v>
      </c>
    </row>
    <row r="3209" spans="1:15" ht="60" customHeight="1" x14ac:dyDescent="0.3">
      <c r="A3209" s="139">
        <v>3157</v>
      </c>
      <c r="B3209" s="315" t="s">
        <v>20836</v>
      </c>
      <c r="C3209" s="315" t="s">
        <v>20791</v>
      </c>
      <c r="D3209" s="207"/>
      <c r="E3209" s="207">
        <v>20430</v>
      </c>
      <c r="F3209" s="25"/>
      <c r="G3209" s="207"/>
      <c r="H3209" s="207"/>
      <c r="I3209" s="115">
        <v>43293</v>
      </c>
      <c r="J3209" s="68" t="s">
        <v>22586</v>
      </c>
      <c r="K3209" s="207"/>
      <c r="L3209" s="66"/>
      <c r="M3209" s="201" t="s">
        <v>12550</v>
      </c>
      <c r="N3209" s="207"/>
      <c r="O3209" s="38" t="s">
        <v>22447</v>
      </c>
    </row>
    <row r="3210" spans="1:15" ht="120" x14ac:dyDescent="0.3">
      <c r="A3210" s="309">
        <v>3158</v>
      </c>
      <c r="B3210" s="105" t="s">
        <v>23540</v>
      </c>
      <c r="C3210" s="105" t="s">
        <v>20792</v>
      </c>
      <c r="D3210" s="314"/>
      <c r="E3210" s="207">
        <v>8550</v>
      </c>
      <c r="F3210" s="25"/>
      <c r="G3210" s="207"/>
      <c r="H3210" s="207"/>
      <c r="I3210" s="115">
        <v>43293</v>
      </c>
      <c r="J3210" s="68" t="s">
        <v>22586</v>
      </c>
      <c r="K3210" s="207"/>
      <c r="L3210" s="245"/>
      <c r="M3210" s="201" t="s">
        <v>12550</v>
      </c>
      <c r="N3210" s="207"/>
      <c r="O3210" s="38" t="s">
        <v>23855</v>
      </c>
    </row>
    <row r="3211" spans="1:15" ht="60" customHeight="1" x14ac:dyDescent="0.3">
      <c r="A3211" s="139">
        <v>3159</v>
      </c>
      <c r="B3211" s="280" t="s">
        <v>20837</v>
      </c>
      <c r="C3211" s="280" t="s">
        <v>20793</v>
      </c>
      <c r="D3211" s="207"/>
      <c r="E3211" s="207">
        <v>9500</v>
      </c>
      <c r="F3211" s="25"/>
      <c r="G3211" s="207"/>
      <c r="H3211" s="207"/>
      <c r="I3211" s="26">
        <v>43293</v>
      </c>
      <c r="J3211" s="242" t="s">
        <v>22586</v>
      </c>
      <c r="K3211" s="207"/>
      <c r="L3211" s="245"/>
      <c r="M3211" s="201" t="s">
        <v>12550</v>
      </c>
      <c r="N3211" s="207"/>
      <c r="O3211" s="38" t="s">
        <v>22448</v>
      </c>
    </row>
    <row r="3212" spans="1:15" ht="60" customHeight="1" x14ac:dyDescent="0.3">
      <c r="A3212" s="139">
        <v>3160</v>
      </c>
      <c r="B3212" s="32" t="s">
        <v>21960</v>
      </c>
      <c r="C3212" s="32" t="s">
        <v>20794</v>
      </c>
      <c r="D3212" s="207"/>
      <c r="E3212" s="207">
        <v>8800</v>
      </c>
      <c r="F3212" s="25"/>
      <c r="G3212" s="207"/>
      <c r="H3212" s="207"/>
      <c r="I3212" s="115">
        <v>43293</v>
      </c>
      <c r="J3212" s="68" t="s">
        <v>22586</v>
      </c>
      <c r="K3212" s="207"/>
      <c r="L3212" s="66"/>
      <c r="M3212" s="201" t="s">
        <v>12550</v>
      </c>
      <c r="N3212" s="207"/>
      <c r="O3212" s="38" t="s">
        <v>22449</v>
      </c>
    </row>
    <row r="3213" spans="1:15" ht="60" customHeight="1" x14ac:dyDescent="0.3">
      <c r="A3213" s="139">
        <v>3161</v>
      </c>
      <c r="B3213" s="32" t="s">
        <v>20838</v>
      </c>
      <c r="C3213" s="32" t="s">
        <v>20795</v>
      </c>
      <c r="D3213" s="207"/>
      <c r="E3213" s="207">
        <v>21000</v>
      </c>
      <c r="F3213" s="25"/>
      <c r="G3213" s="207"/>
      <c r="H3213" s="207"/>
      <c r="I3213" s="115">
        <v>43293</v>
      </c>
      <c r="J3213" s="68" t="s">
        <v>22586</v>
      </c>
      <c r="K3213" s="207"/>
      <c r="L3213" s="66"/>
      <c r="M3213" s="201" t="s">
        <v>12550</v>
      </c>
      <c r="N3213" s="207"/>
      <c r="O3213" s="38" t="s">
        <v>22450</v>
      </c>
    </row>
    <row r="3214" spans="1:15" ht="60" customHeight="1" x14ac:dyDescent="0.3">
      <c r="A3214" s="139">
        <v>3162</v>
      </c>
      <c r="B3214" s="32" t="s">
        <v>20839</v>
      </c>
      <c r="C3214" s="32" t="s">
        <v>20795</v>
      </c>
      <c r="D3214" s="207"/>
      <c r="E3214" s="207">
        <v>2590</v>
      </c>
      <c r="F3214" s="25"/>
      <c r="G3214" s="207"/>
      <c r="H3214" s="207"/>
      <c r="I3214" s="115">
        <v>43293</v>
      </c>
      <c r="J3214" s="68" t="s">
        <v>22586</v>
      </c>
      <c r="K3214" s="207"/>
      <c r="L3214" s="66"/>
      <c r="M3214" s="201" t="s">
        <v>12550</v>
      </c>
      <c r="N3214" s="207"/>
      <c r="O3214" s="38" t="s">
        <v>22451</v>
      </c>
    </row>
    <row r="3215" spans="1:15" ht="60" customHeight="1" x14ac:dyDescent="0.3">
      <c r="A3215" s="139">
        <v>3163</v>
      </c>
      <c r="B3215" s="32" t="s">
        <v>20840</v>
      </c>
      <c r="C3215" s="32" t="s">
        <v>20796</v>
      </c>
      <c r="D3215" s="207"/>
      <c r="E3215" s="207">
        <v>6510</v>
      </c>
      <c r="F3215" s="25"/>
      <c r="G3215" s="207"/>
      <c r="H3215" s="207"/>
      <c r="I3215" s="115">
        <v>43293</v>
      </c>
      <c r="J3215" s="68" t="s">
        <v>22586</v>
      </c>
      <c r="K3215" s="207"/>
      <c r="L3215" s="66"/>
      <c r="M3215" s="201" t="s">
        <v>12550</v>
      </c>
      <c r="N3215" s="207"/>
      <c r="O3215" s="38" t="s">
        <v>22452</v>
      </c>
    </row>
    <row r="3216" spans="1:15" ht="60" customHeight="1" x14ac:dyDescent="0.3">
      <c r="A3216" s="237">
        <v>3164</v>
      </c>
      <c r="B3216" s="32" t="s">
        <v>21961</v>
      </c>
      <c r="C3216" s="32" t="s">
        <v>20797</v>
      </c>
      <c r="D3216" s="207"/>
      <c r="E3216" s="207">
        <v>9000</v>
      </c>
      <c r="F3216" s="25"/>
      <c r="G3216" s="207"/>
      <c r="H3216" s="207"/>
      <c r="I3216" s="26">
        <v>43293</v>
      </c>
      <c r="J3216" s="242" t="s">
        <v>22586</v>
      </c>
      <c r="K3216" s="207"/>
      <c r="L3216" s="66"/>
      <c r="M3216" s="201" t="s">
        <v>12550</v>
      </c>
      <c r="N3216" s="207"/>
      <c r="O3216" s="38" t="s">
        <v>22453</v>
      </c>
    </row>
    <row r="3217" spans="1:26" ht="107.4" customHeight="1" x14ac:dyDescent="0.3">
      <c r="A3217" s="207">
        <v>3165</v>
      </c>
      <c r="B3217" s="245" t="s">
        <v>20899</v>
      </c>
      <c r="C3217" s="32" t="s">
        <v>20900</v>
      </c>
      <c r="D3217" s="85" t="s">
        <v>20901</v>
      </c>
      <c r="E3217" s="207"/>
      <c r="F3217" s="25">
        <v>56.1</v>
      </c>
      <c r="G3217" s="25"/>
      <c r="H3217" s="25">
        <v>56.1</v>
      </c>
      <c r="I3217" s="207" t="s">
        <v>20902</v>
      </c>
      <c r="J3217" s="234" t="s">
        <v>20903</v>
      </c>
      <c r="K3217" s="207"/>
      <c r="L3217" s="66"/>
      <c r="M3217" s="201" t="s">
        <v>12550</v>
      </c>
      <c r="N3217" s="207"/>
      <c r="O3217" s="38" t="s">
        <v>22454</v>
      </c>
    </row>
    <row r="3218" spans="1:26" ht="96" customHeight="1" x14ac:dyDescent="0.3">
      <c r="A3218" s="207">
        <v>3166</v>
      </c>
      <c r="B3218" s="245" t="s">
        <v>20947</v>
      </c>
      <c r="C3218" s="32" t="s">
        <v>20948</v>
      </c>
      <c r="D3218" s="85" t="s">
        <v>20946</v>
      </c>
      <c r="E3218" s="207">
        <v>2968</v>
      </c>
      <c r="F3218" s="25"/>
      <c r="G3218" s="207"/>
      <c r="H3218" s="207"/>
      <c r="I3218" s="26">
        <v>43321</v>
      </c>
      <c r="J3218" s="245" t="s">
        <v>21408</v>
      </c>
      <c r="K3218" s="207"/>
      <c r="L3218" s="66"/>
      <c r="M3218" s="201" t="s">
        <v>12550</v>
      </c>
      <c r="N3218" s="207"/>
      <c r="O3218" s="38" t="s">
        <v>22455</v>
      </c>
    </row>
    <row r="3219" spans="1:26" ht="118.95" customHeight="1" x14ac:dyDescent="0.3">
      <c r="A3219" s="207">
        <v>3167</v>
      </c>
      <c r="B3219" s="230" t="s">
        <v>20949</v>
      </c>
      <c r="C3219" s="32" t="s">
        <v>20951</v>
      </c>
      <c r="D3219" s="85" t="s">
        <v>20950</v>
      </c>
      <c r="E3219" s="207">
        <v>2070</v>
      </c>
      <c r="F3219" s="25"/>
      <c r="G3219" s="207"/>
      <c r="H3219" s="207"/>
      <c r="I3219" s="26">
        <v>43321</v>
      </c>
      <c r="J3219" s="38" t="s">
        <v>21409</v>
      </c>
      <c r="K3219" s="207"/>
      <c r="L3219" s="66"/>
      <c r="M3219" s="201" t="s">
        <v>12550</v>
      </c>
      <c r="N3219" s="207"/>
      <c r="O3219" s="38" t="s">
        <v>22456</v>
      </c>
    </row>
    <row r="3220" spans="1:26" ht="118.95" customHeight="1" x14ac:dyDescent="0.3">
      <c r="A3220" s="207">
        <v>3168</v>
      </c>
      <c r="B3220" s="230" t="s">
        <v>20952</v>
      </c>
      <c r="C3220" s="32" t="s">
        <v>20953</v>
      </c>
      <c r="D3220" s="85" t="s">
        <v>20954</v>
      </c>
      <c r="E3220" s="207">
        <v>1423</v>
      </c>
      <c r="F3220" s="25"/>
      <c r="G3220" s="207"/>
      <c r="H3220" s="207"/>
      <c r="I3220" s="26">
        <v>43321</v>
      </c>
      <c r="J3220" s="38" t="s">
        <v>21414</v>
      </c>
      <c r="K3220" s="207"/>
      <c r="L3220" s="66"/>
      <c r="M3220" s="201" t="s">
        <v>12550</v>
      </c>
      <c r="N3220" s="207"/>
      <c r="O3220" s="38" t="s">
        <v>22457</v>
      </c>
    </row>
    <row r="3221" spans="1:26" ht="96" customHeight="1" x14ac:dyDescent="0.3">
      <c r="A3221" s="207">
        <v>3169</v>
      </c>
      <c r="B3221" s="230" t="s">
        <v>21052</v>
      </c>
      <c r="C3221" s="32" t="s">
        <v>20948</v>
      </c>
      <c r="D3221" s="85" t="s">
        <v>21053</v>
      </c>
      <c r="E3221" s="207">
        <v>4363</v>
      </c>
      <c r="F3221" s="25"/>
      <c r="G3221" s="207"/>
      <c r="H3221" s="207"/>
      <c r="I3221" s="26" t="s">
        <v>21054</v>
      </c>
      <c r="J3221" s="38" t="s">
        <v>21413</v>
      </c>
      <c r="K3221" s="207"/>
      <c r="L3221" s="66"/>
      <c r="M3221" s="201" t="s">
        <v>12550</v>
      </c>
      <c r="N3221" s="207"/>
      <c r="O3221" s="38" t="s">
        <v>22458</v>
      </c>
    </row>
    <row r="3222" spans="1:26" ht="132" customHeight="1" x14ac:dyDescent="0.3">
      <c r="A3222" s="207">
        <v>3170</v>
      </c>
      <c r="B3222" s="230" t="s">
        <v>21055</v>
      </c>
      <c r="C3222" s="32" t="s">
        <v>21056</v>
      </c>
      <c r="D3222" s="85" t="s">
        <v>21057</v>
      </c>
      <c r="E3222" s="207">
        <v>907</v>
      </c>
      <c r="F3222" s="25"/>
      <c r="G3222" s="207"/>
      <c r="H3222" s="207"/>
      <c r="I3222" s="26" t="s">
        <v>21054</v>
      </c>
      <c r="J3222" s="38" t="s">
        <v>21412</v>
      </c>
      <c r="K3222" s="207"/>
      <c r="L3222" s="66"/>
      <c r="M3222" s="201" t="s">
        <v>12550</v>
      </c>
      <c r="N3222" s="207"/>
      <c r="O3222" s="38" t="s">
        <v>22459</v>
      </c>
    </row>
    <row r="3223" spans="1:26" ht="132" customHeight="1" x14ac:dyDescent="0.3">
      <c r="A3223" s="207">
        <v>3171</v>
      </c>
      <c r="B3223" s="230" t="s">
        <v>21058</v>
      </c>
      <c r="C3223" s="32" t="s">
        <v>21059</v>
      </c>
      <c r="D3223" s="85" t="s">
        <v>21060</v>
      </c>
      <c r="E3223" s="207">
        <v>2482</v>
      </c>
      <c r="F3223" s="25"/>
      <c r="G3223" s="207"/>
      <c r="H3223" s="207"/>
      <c r="I3223" s="26" t="s">
        <v>21054</v>
      </c>
      <c r="J3223" s="38" t="s">
        <v>21411</v>
      </c>
      <c r="K3223" s="207"/>
      <c r="L3223" s="66"/>
      <c r="M3223" s="201" t="s">
        <v>12550</v>
      </c>
      <c r="N3223" s="207"/>
      <c r="O3223" s="38" t="s">
        <v>22460</v>
      </c>
    </row>
    <row r="3224" spans="1:26" ht="96" customHeight="1" x14ac:dyDescent="0.3">
      <c r="A3224" s="207">
        <v>3172</v>
      </c>
      <c r="B3224" s="230" t="s">
        <v>21061</v>
      </c>
      <c r="C3224" s="32" t="s">
        <v>21062</v>
      </c>
      <c r="D3224" s="85" t="s">
        <v>21063</v>
      </c>
      <c r="E3224" s="207">
        <v>4953</v>
      </c>
      <c r="F3224" s="25"/>
      <c r="G3224" s="207"/>
      <c r="H3224" s="207"/>
      <c r="I3224" s="26" t="s">
        <v>21054</v>
      </c>
      <c r="J3224" s="38" t="s">
        <v>21410</v>
      </c>
      <c r="K3224" s="207"/>
      <c r="L3224" s="66"/>
      <c r="M3224" s="201" t="s">
        <v>12550</v>
      </c>
      <c r="N3224" s="207"/>
      <c r="O3224" s="38" t="s">
        <v>22461</v>
      </c>
    </row>
    <row r="3225" spans="1:26" s="161" customFormat="1" ht="72" customHeight="1" x14ac:dyDescent="0.3">
      <c r="A3225" s="207">
        <v>3173</v>
      </c>
      <c r="B3225" s="242" t="s">
        <v>11804</v>
      </c>
      <c r="C3225" s="245" t="s">
        <v>21176</v>
      </c>
      <c r="D3225" s="85" t="s">
        <v>21177</v>
      </c>
      <c r="E3225" s="207">
        <v>1000</v>
      </c>
      <c r="F3225" s="24">
        <v>203920</v>
      </c>
      <c r="G3225" s="207"/>
      <c r="H3225" s="24">
        <v>203920</v>
      </c>
      <c r="I3225" s="26" t="s">
        <v>21178</v>
      </c>
      <c r="J3225" s="245" t="s">
        <v>21179</v>
      </c>
      <c r="K3225" s="207"/>
      <c r="L3225" s="66"/>
      <c r="M3225" s="200" t="s">
        <v>12550</v>
      </c>
      <c r="N3225" s="160"/>
      <c r="O3225" s="245" t="s">
        <v>12039</v>
      </c>
      <c r="Q3225" s="67"/>
      <c r="R3225" s="67"/>
      <c r="S3225" s="67"/>
      <c r="T3225" s="67"/>
      <c r="U3225" s="67"/>
      <c r="V3225" s="67"/>
      <c r="W3225" s="67"/>
      <c r="X3225" s="67"/>
      <c r="Y3225" s="67"/>
      <c r="Z3225" s="67"/>
    </row>
    <row r="3226" spans="1:26" ht="72" customHeight="1" x14ac:dyDescent="0.3">
      <c r="A3226" s="207">
        <v>3174</v>
      </c>
      <c r="B3226" s="242" t="s">
        <v>17913</v>
      </c>
      <c r="C3226" s="242" t="s">
        <v>21223</v>
      </c>
      <c r="D3226" s="85" t="s">
        <v>21224</v>
      </c>
      <c r="E3226" s="207">
        <v>1000</v>
      </c>
      <c r="F3226" s="100">
        <v>219860</v>
      </c>
      <c r="G3226" s="25"/>
      <c r="H3226" s="101">
        <v>219860</v>
      </c>
      <c r="I3226" s="243" t="s">
        <v>21225</v>
      </c>
      <c r="J3226" s="245" t="s">
        <v>21226</v>
      </c>
      <c r="K3226" s="207"/>
      <c r="L3226" s="66"/>
      <c r="M3226" s="200" t="s">
        <v>12550</v>
      </c>
      <c r="N3226" s="207"/>
      <c r="O3226" s="245" t="s">
        <v>17794</v>
      </c>
    </row>
    <row r="3227" spans="1:26" ht="72" customHeight="1" x14ac:dyDescent="0.3">
      <c r="A3227" s="207">
        <v>3175</v>
      </c>
      <c r="B3227" s="242" t="s">
        <v>17913</v>
      </c>
      <c r="C3227" s="242" t="s">
        <v>21228</v>
      </c>
      <c r="D3227" s="85" t="s">
        <v>21229</v>
      </c>
      <c r="E3227" s="207">
        <v>800</v>
      </c>
      <c r="F3227" s="100">
        <v>178864</v>
      </c>
      <c r="G3227" s="25"/>
      <c r="H3227" s="101">
        <v>178864</v>
      </c>
      <c r="I3227" s="243" t="s">
        <v>21230</v>
      </c>
      <c r="J3227" s="245" t="s">
        <v>21231</v>
      </c>
      <c r="K3227" s="207"/>
      <c r="L3227" s="66"/>
      <c r="M3227" s="200" t="s">
        <v>12550</v>
      </c>
      <c r="N3227" s="207"/>
      <c r="O3227" s="245" t="s">
        <v>17794</v>
      </c>
    </row>
    <row r="3228" spans="1:26" ht="60" customHeight="1" x14ac:dyDescent="0.3">
      <c r="A3228" s="94">
        <v>3176</v>
      </c>
      <c r="B3228" s="280" t="s">
        <v>21232</v>
      </c>
      <c r="C3228" s="280" t="s">
        <v>21233</v>
      </c>
      <c r="D3228" s="94"/>
      <c r="E3228" s="207">
        <v>420</v>
      </c>
      <c r="F3228" s="25"/>
      <c r="G3228" s="207"/>
      <c r="H3228" s="207"/>
      <c r="I3228" s="26">
        <v>43385</v>
      </c>
      <c r="J3228" s="242" t="s">
        <v>21234</v>
      </c>
      <c r="K3228" s="207"/>
      <c r="L3228" s="66"/>
      <c r="M3228" s="201" t="s">
        <v>12550</v>
      </c>
      <c r="N3228" s="207"/>
      <c r="O3228" s="38" t="s">
        <v>22462</v>
      </c>
    </row>
    <row r="3229" spans="1:26" ht="60" customHeight="1" x14ac:dyDescent="0.3">
      <c r="A3229" s="207">
        <v>3177</v>
      </c>
      <c r="B3229" s="32" t="s">
        <v>21235</v>
      </c>
      <c r="C3229" s="32" t="s">
        <v>21233</v>
      </c>
      <c r="D3229" s="207"/>
      <c r="E3229" s="207">
        <v>360</v>
      </c>
      <c r="F3229" s="25"/>
      <c r="G3229" s="207"/>
      <c r="H3229" s="207"/>
      <c r="I3229" s="26">
        <v>43385</v>
      </c>
      <c r="J3229" s="242" t="s">
        <v>21234</v>
      </c>
      <c r="K3229" s="207"/>
      <c r="L3229" s="66"/>
      <c r="M3229" s="201" t="s">
        <v>12550</v>
      </c>
      <c r="N3229" s="207"/>
      <c r="O3229" s="38" t="s">
        <v>22463</v>
      </c>
    </row>
    <row r="3230" spans="1:26" ht="60" customHeight="1" x14ac:dyDescent="0.3">
      <c r="A3230" s="207">
        <v>3178</v>
      </c>
      <c r="B3230" s="32" t="s">
        <v>21236</v>
      </c>
      <c r="C3230" s="32" t="s">
        <v>21233</v>
      </c>
      <c r="D3230" s="207"/>
      <c r="E3230" s="207">
        <v>300</v>
      </c>
      <c r="F3230" s="25"/>
      <c r="G3230" s="207"/>
      <c r="H3230" s="207"/>
      <c r="I3230" s="26">
        <v>43385</v>
      </c>
      <c r="J3230" s="242" t="s">
        <v>21234</v>
      </c>
      <c r="K3230" s="207"/>
      <c r="L3230" s="66"/>
      <c r="M3230" s="201" t="s">
        <v>12550</v>
      </c>
      <c r="N3230" s="207"/>
      <c r="O3230" s="38" t="s">
        <v>22464</v>
      </c>
    </row>
    <row r="3231" spans="1:26" ht="60" customHeight="1" x14ac:dyDescent="0.3">
      <c r="A3231" s="207">
        <v>3179</v>
      </c>
      <c r="B3231" s="32" t="s">
        <v>21237</v>
      </c>
      <c r="C3231" s="32" t="s">
        <v>21238</v>
      </c>
      <c r="D3231" s="207"/>
      <c r="E3231" s="207">
        <v>519</v>
      </c>
      <c r="F3231" s="25"/>
      <c r="G3231" s="207"/>
      <c r="H3231" s="207"/>
      <c r="I3231" s="26">
        <v>43385</v>
      </c>
      <c r="J3231" s="242" t="s">
        <v>21234</v>
      </c>
      <c r="K3231" s="207"/>
      <c r="L3231" s="66"/>
      <c r="M3231" s="201" t="s">
        <v>12550</v>
      </c>
      <c r="N3231" s="207"/>
      <c r="O3231" s="38" t="s">
        <v>22465</v>
      </c>
    </row>
    <row r="3232" spans="1:26" ht="60" customHeight="1" x14ac:dyDescent="0.3">
      <c r="A3232" s="207">
        <v>3180</v>
      </c>
      <c r="B3232" s="32" t="s">
        <v>21239</v>
      </c>
      <c r="C3232" s="32" t="s">
        <v>21238</v>
      </c>
      <c r="D3232" s="207"/>
      <c r="E3232" s="207">
        <v>1122</v>
      </c>
      <c r="F3232" s="25"/>
      <c r="G3232" s="207"/>
      <c r="H3232" s="207"/>
      <c r="I3232" s="26">
        <v>43385</v>
      </c>
      <c r="J3232" s="242" t="s">
        <v>21234</v>
      </c>
      <c r="K3232" s="207"/>
      <c r="L3232" s="66"/>
      <c r="M3232" s="201" t="s">
        <v>12550</v>
      </c>
      <c r="N3232" s="207"/>
      <c r="O3232" s="38" t="s">
        <v>22466</v>
      </c>
    </row>
    <row r="3233" spans="1:15" ht="60" customHeight="1" x14ac:dyDescent="0.3">
      <c r="A3233" s="207">
        <v>3181</v>
      </c>
      <c r="B3233" s="32" t="s">
        <v>21240</v>
      </c>
      <c r="C3233" s="32" t="s">
        <v>21238</v>
      </c>
      <c r="D3233" s="207"/>
      <c r="E3233" s="207">
        <v>570</v>
      </c>
      <c r="F3233" s="25"/>
      <c r="G3233" s="207"/>
      <c r="H3233" s="207"/>
      <c r="I3233" s="26">
        <v>43385</v>
      </c>
      <c r="J3233" s="242" t="s">
        <v>21234</v>
      </c>
      <c r="K3233" s="207"/>
      <c r="L3233" s="66"/>
      <c r="M3233" s="201" t="s">
        <v>12550</v>
      </c>
      <c r="N3233" s="207"/>
      <c r="O3233" s="38" t="s">
        <v>22467</v>
      </c>
    </row>
    <row r="3234" spans="1:15" ht="60" customHeight="1" x14ac:dyDescent="0.3">
      <c r="A3234" s="207">
        <v>3182</v>
      </c>
      <c r="B3234" s="32" t="s">
        <v>21241</v>
      </c>
      <c r="C3234" s="32" t="s">
        <v>21238</v>
      </c>
      <c r="D3234" s="207"/>
      <c r="E3234" s="207">
        <v>360</v>
      </c>
      <c r="F3234" s="25"/>
      <c r="G3234" s="207"/>
      <c r="H3234" s="207"/>
      <c r="I3234" s="26">
        <v>43385</v>
      </c>
      <c r="J3234" s="242" t="s">
        <v>21234</v>
      </c>
      <c r="K3234" s="207"/>
      <c r="L3234" s="66"/>
      <c r="M3234" s="201" t="s">
        <v>12550</v>
      </c>
      <c r="N3234" s="207"/>
      <c r="O3234" s="38" t="s">
        <v>22468</v>
      </c>
    </row>
    <row r="3235" spans="1:15" ht="60" customHeight="1" x14ac:dyDescent="0.3">
      <c r="A3235" s="207">
        <v>3183</v>
      </c>
      <c r="B3235" s="32" t="s">
        <v>21242</v>
      </c>
      <c r="C3235" s="32" t="s">
        <v>21238</v>
      </c>
      <c r="D3235" s="207"/>
      <c r="E3235" s="207">
        <v>3027.5</v>
      </c>
      <c r="F3235" s="25"/>
      <c r="G3235" s="207"/>
      <c r="H3235" s="207"/>
      <c r="I3235" s="26">
        <v>43385</v>
      </c>
      <c r="J3235" s="242" t="s">
        <v>21234</v>
      </c>
      <c r="K3235" s="207"/>
      <c r="L3235" s="66"/>
      <c r="M3235" s="201" t="s">
        <v>12550</v>
      </c>
      <c r="N3235" s="207"/>
      <c r="O3235" s="38" t="s">
        <v>22469</v>
      </c>
    </row>
    <row r="3236" spans="1:15" ht="60" customHeight="1" x14ac:dyDescent="0.3">
      <c r="A3236" s="207">
        <v>3184</v>
      </c>
      <c r="B3236" s="32" t="s">
        <v>21243</v>
      </c>
      <c r="C3236" s="32" t="s">
        <v>21238</v>
      </c>
      <c r="D3236" s="207"/>
      <c r="E3236" s="207">
        <v>1851.5</v>
      </c>
      <c r="F3236" s="25"/>
      <c r="G3236" s="207"/>
      <c r="H3236" s="207"/>
      <c r="I3236" s="26">
        <v>43385</v>
      </c>
      <c r="J3236" s="242" t="s">
        <v>21234</v>
      </c>
      <c r="K3236" s="207"/>
      <c r="L3236" s="66"/>
      <c r="M3236" s="201" t="s">
        <v>12550</v>
      </c>
      <c r="N3236" s="207"/>
      <c r="O3236" s="38" t="s">
        <v>22470</v>
      </c>
    </row>
    <row r="3237" spans="1:15" ht="60" customHeight="1" x14ac:dyDescent="0.3">
      <c r="A3237" s="207">
        <v>3185</v>
      </c>
      <c r="B3237" s="32" t="s">
        <v>21244</v>
      </c>
      <c r="C3237" s="32" t="s">
        <v>21238</v>
      </c>
      <c r="D3237" s="207"/>
      <c r="E3237" s="207">
        <v>558</v>
      </c>
      <c r="F3237" s="25"/>
      <c r="G3237" s="207"/>
      <c r="H3237" s="207"/>
      <c r="I3237" s="26">
        <v>43385</v>
      </c>
      <c r="J3237" s="242" t="s">
        <v>21234</v>
      </c>
      <c r="K3237" s="207"/>
      <c r="L3237" s="66"/>
      <c r="M3237" s="201" t="s">
        <v>12550</v>
      </c>
      <c r="N3237" s="207"/>
      <c r="O3237" s="38" t="s">
        <v>22471</v>
      </c>
    </row>
    <row r="3238" spans="1:15" ht="60" customHeight="1" x14ac:dyDescent="0.3">
      <c r="A3238" s="207">
        <v>3186</v>
      </c>
      <c r="B3238" s="32" t="s">
        <v>21245</v>
      </c>
      <c r="C3238" s="32" t="s">
        <v>21238</v>
      </c>
      <c r="D3238" s="207"/>
      <c r="E3238" s="207">
        <v>768</v>
      </c>
      <c r="F3238" s="25"/>
      <c r="G3238" s="207"/>
      <c r="H3238" s="207"/>
      <c r="I3238" s="26">
        <v>43385</v>
      </c>
      <c r="J3238" s="242" t="s">
        <v>21234</v>
      </c>
      <c r="K3238" s="207"/>
      <c r="L3238" s="66"/>
      <c r="M3238" s="201" t="s">
        <v>12550</v>
      </c>
      <c r="N3238" s="207"/>
      <c r="O3238" s="38" t="s">
        <v>22472</v>
      </c>
    </row>
    <row r="3239" spans="1:15" ht="60" customHeight="1" x14ac:dyDescent="0.3">
      <c r="A3239" s="207">
        <v>3187</v>
      </c>
      <c r="B3239" s="32" t="s">
        <v>21247</v>
      </c>
      <c r="C3239" s="32" t="s">
        <v>21246</v>
      </c>
      <c r="D3239" s="207"/>
      <c r="E3239" s="207">
        <v>663</v>
      </c>
      <c r="F3239" s="25"/>
      <c r="G3239" s="207"/>
      <c r="H3239" s="207"/>
      <c r="I3239" s="26">
        <v>43385</v>
      </c>
      <c r="J3239" s="242" t="s">
        <v>21234</v>
      </c>
      <c r="K3239" s="207"/>
      <c r="L3239" s="66"/>
      <c r="M3239" s="201" t="s">
        <v>12550</v>
      </c>
      <c r="N3239" s="207"/>
      <c r="O3239" s="38" t="s">
        <v>22473</v>
      </c>
    </row>
    <row r="3240" spans="1:15" ht="60" customHeight="1" x14ac:dyDescent="0.3">
      <c r="A3240" s="207">
        <v>3188</v>
      </c>
      <c r="B3240" s="32" t="s">
        <v>21248</v>
      </c>
      <c r="C3240" s="32" t="s">
        <v>21246</v>
      </c>
      <c r="D3240" s="207"/>
      <c r="E3240" s="207">
        <v>480</v>
      </c>
      <c r="F3240" s="25"/>
      <c r="G3240" s="207"/>
      <c r="H3240" s="207"/>
      <c r="I3240" s="26">
        <v>43385</v>
      </c>
      <c r="J3240" s="242" t="s">
        <v>21234</v>
      </c>
      <c r="K3240" s="207"/>
      <c r="L3240" s="66"/>
      <c r="M3240" s="201" t="s">
        <v>12550</v>
      </c>
      <c r="N3240" s="207"/>
      <c r="O3240" s="38" t="s">
        <v>22474</v>
      </c>
    </row>
    <row r="3241" spans="1:15" ht="60" customHeight="1" x14ac:dyDescent="0.3">
      <c r="A3241" s="207">
        <v>3189</v>
      </c>
      <c r="B3241" s="32" t="s">
        <v>21249</v>
      </c>
      <c r="C3241" s="32" t="s">
        <v>21246</v>
      </c>
      <c r="D3241" s="207"/>
      <c r="E3241" s="207">
        <v>240</v>
      </c>
      <c r="F3241" s="25"/>
      <c r="G3241" s="207"/>
      <c r="H3241" s="207"/>
      <c r="I3241" s="26">
        <v>43385</v>
      </c>
      <c r="J3241" s="242" t="s">
        <v>21234</v>
      </c>
      <c r="K3241" s="207"/>
      <c r="L3241" s="66"/>
      <c r="M3241" s="201" t="s">
        <v>12550</v>
      </c>
      <c r="N3241" s="207"/>
      <c r="O3241" s="38" t="s">
        <v>22475</v>
      </c>
    </row>
    <row r="3242" spans="1:15" ht="60" customHeight="1" x14ac:dyDescent="0.3">
      <c r="A3242" s="207">
        <v>3190</v>
      </c>
      <c r="B3242" s="32" t="s">
        <v>21250</v>
      </c>
      <c r="C3242" s="32" t="s">
        <v>21246</v>
      </c>
      <c r="D3242" s="207"/>
      <c r="E3242" s="207">
        <v>1225</v>
      </c>
      <c r="F3242" s="25"/>
      <c r="G3242" s="207"/>
      <c r="H3242" s="207"/>
      <c r="I3242" s="26">
        <v>43385</v>
      </c>
      <c r="J3242" s="242" t="s">
        <v>21234</v>
      </c>
      <c r="K3242" s="207"/>
      <c r="L3242" s="66"/>
      <c r="M3242" s="201" t="s">
        <v>12550</v>
      </c>
      <c r="N3242" s="207"/>
      <c r="O3242" s="38" t="s">
        <v>22476</v>
      </c>
    </row>
    <row r="3243" spans="1:15" ht="60" customHeight="1" x14ac:dyDescent="0.3">
      <c r="A3243" s="207">
        <v>3191</v>
      </c>
      <c r="B3243" s="32" t="s">
        <v>21251</v>
      </c>
      <c r="C3243" s="32" t="s">
        <v>21246</v>
      </c>
      <c r="D3243" s="207"/>
      <c r="E3243" s="207">
        <v>7300</v>
      </c>
      <c r="F3243" s="25"/>
      <c r="G3243" s="207"/>
      <c r="H3243" s="207"/>
      <c r="I3243" s="26">
        <v>43385</v>
      </c>
      <c r="J3243" s="242" t="s">
        <v>21234</v>
      </c>
      <c r="K3243" s="207"/>
      <c r="L3243" s="66"/>
      <c r="M3243" s="201" t="s">
        <v>12550</v>
      </c>
      <c r="N3243" s="207"/>
      <c r="O3243" s="38" t="s">
        <v>22477</v>
      </c>
    </row>
    <row r="3244" spans="1:15" ht="60" customHeight="1" x14ac:dyDescent="0.3">
      <c r="A3244" s="207">
        <v>3192</v>
      </c>
      <c r="B3244" s="32" t="s">
        <v>21252</v>
      </c>
      <c r="C3244" s="32" t="s">
        <v>21254</v>
      </c>
      <c r="D3244" s="207"/>
      <c r="E3244" s="207">
        <v>1235.5</v>
      </c>
      <c r="F3244" s="25"/>
      <c r="G3244" s="207"/>
      <c r="H3244" s="207"/>
      <c r="I3244" s="26">
        <v>43385</v>
      </c>
      <c r="J3244" s="242" t="s">
        <v>21234</v>
      </c>
      <c r="K3244" s="207"/>
      <c r="L3244" s="66"/>
      <c r="M3244" s="201" t="s">
        <v>12550</v>
      </c>
      <c r="N3244" s="207"/>
      <c r="O3244" s="38" t="s">
        <v>22478</v>
      </c>
    </row>
    <row r="3245" spans="1:15" ht="60" customHeight="1" x14ac:dyDescent="0.3">
      <c r="A3245" s="207">
        <v>3193</v>
      </c>
      <c r="B3245" s="32" t="s">
        <v>21253</v>
      </c>
      <c r="C3245" s="32" t="s">
        <v>21254</v>
      </c>
      <c r="D3245" s="207"/>
      <c r="E3245" s="207">
        <v>168</v>
      </c>
      <c r="F3245" s="25"/>
      <c r="G3245" s="207"/>
      <c r="H3245" s="207"/>
      <c r="I3245" s="26">
        <v>43385</v>
      </c>
      <c r="J3245" s="242" t="s">
        <v>21234</v>
      </c>
      <c r="K3245" s="207"/>
      <c r="L3245" s="66"/>
      <c r="M3245" s="201" t="s">
        <v>12550</v>
      </c>
      <c r="N3245" s="207"/>
      <c r="O3245" s="38" t="s">
        <v>22479</v>
      </c>
    </row>
    <row r="3246" spans="1:15" ht="60" customHeight="1" x14ac:dyDescent="0.3">
      <c r="A3246" s="207">
        <v>3194</v>
      </c>
      <c r="B3246" s="32" t="s">
        <v>21255</v>
      </c>
      <c r="C3246" s="32" t="s">
        <v>21254</v>
      </c>
      <c r="D3246" s="207"/>
      <c r="E3246" s="207">
        <v>654</v>
      </c>
      <c r="F3246" s="25"/>
      <c r="G3246" s="207"/>
      <c r="H3246" s="207"/>
      <c r="I3246" s="26">
        <v>43385</v>
      </c>
      <c r="J3246" s="242" t="s">
        <v>21234</v>
      </c>
      <c r="K3246" s="207"/>
      <c r="L3246" s="66"/>
      <c r="M3246" s="201" t="s">
        <v>12550</v>
      </c>
      <c r="N3246" s="207"/>
      <c r="O3246" s="38" t="s">
        <v>22480</v>
      </c>
    </row>
    <row r="3247" spans="1:15" ht="60" customHeight="1" x14ac:dyDescent="0.3">
      <c r="A3247" s="207">
        <v>3195</v>
      </c>
      <c r="B3247" s="32" t="s">
        <v>21256</v>
      </c>
      <c r="C3247" s="32" t="s">
        <v>21257</v>
      </c>
      <c r="D3247" s="207"/>
      <c r="E3247" s="207">
        <v>574</v>
      </c>
      <c r="F3247" s="25"/>
      <c r="G3247" s="207"/>
      <c r="H3247" s="207"/>
      <c r="I3247" s="26">
        <v>43385</v>
      </c>
      <c r="J3247" s="242" t="s">
        <v>21234</v>
      </c>
      <c r="K3247" s="207"/>
      <c r="L3247" s="66"/>
      <c r="M3247" s="201" t="s">
        <v>12550</v>
      </c>
      <c r="N3247" s="207"/>
      <c r="O3247" s="38" t="s">
        <v>22481</v>
      </c>
    </row>
    <row r="3248" spans="1:15" ht="60" customHeight="1" x14ac:dyDescent="0.3">
      <c r="A3248" s="207">
        <v>3196</v>
      </c>
      <c r="B3248" s="32" t="s">
        <v>21258</v>
      </c>
      <c r="C3248" s="32" t="s">
        <v>21259</v>
      </c>
      <c r="D3248" s="207"/>
      <c r="E3248" s="207">
        <v>423.5</v>
      </c>
      <c r="F3248" s="25"/>
      <c r="G3248" s="207"/>
      <c r="H3248" s="207"/>
      <c r="I3248" s="26">
        <v>43385</v>
      </c>
      <c r="J3248" s="242" t="s">
        <v>21234</v>
      </c>
      <c r="K3248" s="207"/>
      <c r="L3248" s="66"/>
      <c r="M3248" s="201" t="s">
        <v>12550</v>
      </c>
      <c r="N3248" s="207"/>
      <c r="O3248" s="38" t="s">
        <v>22482</v>
      </c>
    </row>
    <row r="3249" spans="1:15" ht="60" customHeight="1" x14ac:dyDescent="0.3">
      <c r="A3249" s="207">
        <v>3197</v>
      </c>
      <c r="B3249" s="32" t="s">
        <v>21260</v>
      </c>
      <c r="C3249" s="32" t="s">
        <v>21261</v>
      </c>
      <c r="D3249" s="207"/>
      <c r="E3249" s="207">
        <v>840</v>
      </c>
      <c r="F3249" s="25"/>
      <c r="G3249" s="207"/>
      <c r="H3249" s="207"/>
      <c r="I3249" s="26">
        <v>43385</v>
      </c>
      <c r="J3249" s="242" t="s">
        <v>21234</v>
      </c>
      <c r="K3249" s="207"/>
      <c r="L3249" s="66"/>
      <c r="M3249" s="201" t="s">
        <v>12550</v>
      </c>
      <c r="N3249" s="207"/>
      <c r="O3249" s="38" t="s">
        <v>22483</v>
      </c>
    </row>
    <row r="3250" spans="1:15" ht="60" customHeight="1" x14ac:dyDescent="0.3">
      <c r="A3250" s="207">
        <v>3198</v>
      </c>
      <c r="B3250" s="32" t="s">
        <v>21262</v>
      </c>
      <c r="C3250" s="32" t="s">
        <v>21263</v>
      </c>
      <c r="D3250" s="207"/>
      <c r="E3250" s="207">
        <v>760</v>
      </c>
      <c r="F3250" s="25"/>
      <c r="G3250" s="207"/>
      <c r="H3250" s="207"/>
      <c r="I3250" s="26">
        <v>43385</v>
      </c>
      <c r="J3250" s="242" t="s">
        <v>21234</v>
      </c>
      <c r="K3250" s="207"/>
      <c r="L3250" s="66"/>
      <c r="M3250" s="201" t="s">
        <v>12550</v>
      </c>
      <c r="N3250" s="207"/>
      <c r="O3250" s="38" t="s">
        <v>22484</v>
      </c>
    </row>
    <row r="3251" spans="1:15" ht="60" customHeight="1" x14ac:dyDescent="0.3">
      <c r="A3251" s="207">
        <v>3199</v>
      </c>
      <c r="B3251" s="32" t="s">
        <v>21264</v>
      </c>
      <c r="C3251" s="32" t="s">
        <v>21265</v>
      </c>
      <c r="D3251" s="207"/>
      <c r="E3251" s="207">
        <v>1365</v>
      </c>
      <c r="F3251" s="25"/>
      <c r="G3251" s="207"/>
      <c r="H3251" s="207"/>
      <c r="I3251" s="26">
        <v>43385</v>
      </c>
      <c r="J3251" s="242" t="s">
        <v>21234</v>
      </c>
      <c r="K3251" s="207"/>
      <c r="L3251" s="66"/>
      <c r="M3251" s="201" t="s">
        <v>12550</v>
      </c>
      <c r="N3251" s="207"/>
      <c r="O3251" s="38" t="s">
        <v>22485</v>
      </c>
    </row>
    <row r="3252" spans="1:15" ht="60" customHeight="1" x14ac:dyDescent="0.3">
      <c r="A3252" s="207">
        <v>3200</v>
      </c>
      <c r="B3252" s="32" t="s">
        <v>21266</v>
      </c>
      <c r="C3252" s="32" t="s">
        <v>21265</v>
      </c>
      <c r="D3252" s="207"/>
      <c r="E3252" s="207">
        <v>1740</v>
      </c>
      <c r="F3252" s="25"/>
      <c r="G3252" s="207"/>
      <c r="H3252" s="207"/>
      <c r="I3252" s="26">
        <v>43385</v>
      </c>
      <c r="J3252" s="242" t="s">
        <v>21234</v>
      </c>
      <c r="K3252" s="207"/>
      <c r="L3252" s="66"/>
      <c r="M3252" s="201" t="s">
        <v>12550</v>
      </c>
      <c r="N3252" s="207"/>
      <c r="O3252" s="38" t="s">
        <v>22486</v>
      </c>
    </row>
    <row r="3253" spans="1:15" ht="60" customHeight="1" x14ac:dyDescent="0.3">
      <c r="A3253" s="207">
        <v>3201</v>
      </c>
      <c r="B3253" s="32" t="s">
        <v>21267</v>
      </c>
      <c r="C3253" s="32" t="s">
        <v>21268</v>
      </c>
      <c r="D3253" s="207"/>
      <c r="E3253" s="207">
        <v>500</v>
      </c>
      <c r="F3253" s="25"/>
      <c r="G3253" s="207"/>
      <c r="H3253" s="207"/>
      <c r="I3253" s="26">
        <v>43385</v>
      </c>
      <c r="J3253" s="242" t="s">
        <v>21234</v>
      </c>
      <c r="K3253" s="207"/>
      <c r="L3253" s="66"/>
      <c r="M3253" s="201" t="s">
        <v>12550</v>
      </c>
      <c r="N3253" s="207"/>
      <c r="O3253" s="38" t="s">
        <v>22487</v>
      </c>
    </row>
    <row r="3254" spans="1:15" ht="60" customHeight="1" x14ac:dyDescent="0.3">
      <c r="A3254" s="207">
        <v>3202</v>
      </c>
      <c r="B3254" s="32" t="s">
        <v>21270</v>
      </c>
      <c r="C3254" s="32" t="s">
        <v>21269</v>
      </c>
      <c r="D3254" s="207"/>
      <c r="E3254" s="207">
        <v>2100</v>
      </c>
      <c r="F3254" s="25"/>
      <c r="G3254" s="207"/>
      <c r="H3254" s="207"/>
      <c r="I3254" s="26">
        <v>43385</v>
      </c>
      <c r="J3254" s="242" t="s">
        <v>21234</v>
      </c>
      <c r="K3254" s="207"/>
      <c r="L3254" s="66"/>
      <c r="M3254" s="201" t="s">
        <v>12550</v>
      </c>
      <c r="N3254" s="207"/>
      <c r="O3254" s="38" t="s">
        <v>22488</v>
      </c>
    </row>
    <row r="3255" spans="1:15" ht="60" customHeight="1" x14ac:dyDescent="0.3">
      <c r="A3255" s="207">
        <v>3203</v>
      </c>
      <c r="B3255" s="32" t="s">
        <v>21271</v>
      </c>
      <c r="C3255" s="32" t="s">
        <v>21272</v>
      </c>
      <c r="D3255" s="207"/>
      <c r="E3255" s="207">
        <v>780</v>
      </c>
      <c r="F3255" s="25"/>
      <c r="G3255" s="207"/>
      <c r="H3255" s="207"/>
      <c r="I3255" s="26">
        <v>43385</v>
      </c>
      <c r="J3255" s="242" t="s">
        <v>21234</v>
      </c>
      <c r="K3255" s="207"/>
      <c r="L3255" s="66"/>
      <c r="M3255" s="201" t="s">
        <v>12550</v>
      </c>
      <c r="N3255" s="207"/>
      <c r="O3255" s="38" t="s">
        <v>22489</v>
      </c>
    </row>
    <row r="3256" spans="1:15" ht="60" customHeight="1" x14ac:dyDescent="0.3">
      <c r="A3256" s="207">
        <v>3204</v>
      </c>
      <c r="B3256" s="32" t="s">
        <v>21273</v>
      </c>
      <c r="C3256" s="32" t="s">
        <v>21274</v>
      </c>
      <c r="D3256" s="207"/>
      <c r="E3256" s="207">
        <v>656</v>
      </c>
      <c r="F3256" s="25"/>
      <c r="G3256" s="207"/>
      <c r="H3256" s="207"/>
      <c r="I3256" s="26">
        <v>43385</v>
      </c>
      <c r="J3256" s="242" t="s">
        <v>21234</v>
      </c>
      <c r="K3256" s="207"/>
      <c r="L3256" s="66"/>
      <c r="M3256" s="201" t="s">
        <v>12550</v>
      </c>
      <c r="N3256" s="207"/>
      <c r="O3256" s="38" t="s">
        <v>22490</v>
      </c>
    </row>
    <row r="3257" spans="1:15" ht="60" customHeight="1" x14ac:dyDescent="0.3">
      <c r="A3257" s="207">
        <v>3205</v>
      </c>
      <c r="B3257" s="32" t="s">
        <v>21275</v>
      </c>
      <c r="C3257" s="32" t="s">
        <v>21274</v>
      </c>
      <c r="D3257" s="207"/>
      <c r="E3257" s="207">
        <v>648</v>
      </c>
      <c r="F3257" s="25"/>
      <c r="G3257" s="207"/>
      <c r="H3257" s="207"/>
      <c r="I3257" s="26">
        <v>43385</v>
      </c>
      <c r="J3257" s="242" t="s">
        <v>21234</v>
      </c>
      <c r="K3257" s="207"/>
      <c r="L3257" s="66"/>
      <c r="M3257" s="201" t="s">
        <v>12550</v>
      </c>
      <c r="N3257" s="207"/>
      <c r="O3257" s="38" t="s">
        <v>22491</v>
      </c>
    </row>
    <row r="3258" spans="1:15" ht="60" customHeight="1" x14ac:dyDescent="0.3">
      <c r="A3258" s="207">
        <v>3206</v>
      </c>
      <c r="B3258" s="32" t="s">
        <v>22588</v>
      </c>
      <c r="C3258" s="32" t="s">
        <v>21276</v>
      </c>
      <c r="D3258" s="207"/>
      <c r="E3258" s="207">
        <v>390</v>
      </c>
      <c r="F3258" s="25"/>
      <c r="G3258" s="207"/>
      <c r="H3258" s="207"/>
      <c r="I3258" s="26">
        <v>43385</v>
      </c>
      <c r="J3258" s="2" t="s">
        <v>21234</v>
      </c>
      <c r="K3258" s="207"/>
      <c r="L3258" s="66"/>
      <c r="M3258" s="201" t="s">
        <v>12550</v>
      </c>
      <c r="N3258" s="207"/>
      <c r="O3258" s="38" t="s">
        <v>22492</v>
      </c>
    </row>
    <row r="3259" spans="1:15" ht="60" customHeight="1" x14ac:dyDescent="0.3">
      <c r="A3259" s="207">
        <v>3207</v>
      </c>
      <c r="B3259" s="32" t="s">
        <v>21277</v>
      </c>
      <c r="C3259" s="32" t="s">
        <v>21278</v>
      </c>
      <c r="D3259" s="207"/>
      <c r="E3259" s="207">
        <v>912</v>
      </c>
      <c r="F3259" s="25"/>
      <c r="G3259" s="207"/>
      <c r="H3259" s="207"/>
      <c r="I3259" s="26">
        <v>43385</v>
      </c>
      <c r="J3259" s="2" t="s">
        <v>21234</v>
      </c>
      <c r="K3259" s="207"/>
      <c r="L3259" s="66"/>
      <c r="M3259" s="201" t="s">
        <v>12550</v>
      </c>
      <c r="N3259" s="207"/>
      <c r="O3259" s="38" t="s">
        <v>22493</v>
      </c>
    </row>
    <row r="3260" spans="1:15" ht="60" customHeight="1" x14ac:dyDescent="0.3">
      <c r="A3260" s="207">
        <v>3208</v>
      </c>
      <c r="B3260" s="32" t="s">
        <v>21279</v>
      </c>
      <c r="C3260" s="32" t="s">
        <v>21280</v>
      </c>
      <c r="D3260" s="207"/>
      <c r="E3260" s="207">
        <v>567</v>
      </c>
      <c r="F3260" s="25"/>
      <c r="G3260" s="207"/>
      <c r="H3260" s="207"/>
      <c r="I3260" s="26">
        <v>43385</v>
      </c>
      <c r="J3260" s="2" t="s">
        <v>21234</v>
      </c>
      <c r="K3260" s="207"/>
      <c r="L3260" s="66"/>
      <c r="M3260" s="201" t="s">
        <v>12550</v>
      </c>
      <c r="N3260" s="207"/>
      <c r="O3260" s="38" t="s">
        <v>22494</v>
      </c>
    </row>
    <row r="3261" spans="1:15" ht="60" customHeight="1" x14ac:dyDescent="0.3">
      <c r="A3261" s="207">
        <v>3209</v>
      </c>
      <c r="B3261" s="32" t="s">
        <v>21281</v>
      </c>
      <c r="C3261" s="32" t="s">
        <v>21282</v>
      </c>
      <c r="D3261" s="207"/>
      <c r="E3261" s="207">
        <v>2971.5</v>
      </c>
      <c r="F3261" s="25"/>
      <c r="G3261" s="207"/>
      <c r="H3261" s="207"/>
      <c r="I3261" s="26">
        <v>43385</v>
      </c>
      <c r="J3261" s="2" t="s">
        <v>21234</v>
      </c>
      <c r="K3261" s="207"/>
      <c r="L3261" s="66"/>
      <c r="M3261" s="201" t="s">
        <v>12550</v>
      </c>
      <c r="N3261" s="207"/>
      <c r="O3261" s="38" t="s">
        <v>22495</v>
      </c>
    </row>
    <row r="3262" spans="1:15" ht="60" customHeight="1" x14ac:dyDescent="0.3">
      <c r="A3262" s="207">
        <v>3210</v>
      </c>
      <c r="B3262" s="32" t="s">
        <v>21283</v>
      </c>
      <c r="C3262" s="32" t="s">
        <v>21282</v>
      </c>
      <c r="D3262" s="207"/>
      <c r="E3262" s="207">
        <v>1858.5</v>
      </c>
      <c r="F3262" s="25"/>
      <c r="G3262" s="207"/>
      <c r="H3262" s="207"/>
      <c r="I3262" s="26">
        <v>43385</v>
      </c>
      <c r="J3262" s="2" t="s">
        <v>21234</v>
      </c>
      <c r="K3262" s="207"/>
      <c r="L3262" s="66"/>
      <c r="M3262" s="201" t="s">
        <v>12550</v>
      </c>
      <c r="N3262" s="207"/>
      <c r="O3262" s="38" t="s">
        <v>22496</v>
      </c>
    </row>
    <row r="3263" spans="1:15" ht="60" customHeight="1" x14ac:dyDescent="0.3">
      <c r="A3263" s="207">
        <v>3211</v>
      </c>
      <c r="B3263" s="32" t="s">
        <v>21285</v>
      </c>
      <c r="C3263" s="32" t="s">
        <v>21282</v>
      </c>
      <c r="D3263" s="207"/>
      <c r="E3263" s="207">
        <v>661.5</v>
      </c>
      <c r="F3263" s="25"/>
      <c r="G3263" s="207"/>
      <c r="H3263" s="207"/>
      <c r="I3263" s="26">
        <v>43385</v>
      </c>
      <c r="J3263" s="2" t="s">
        <v>21234</v>
      </c>
      <c r="K3263" s="207"/>
      <c r="L3263" s="66"/>
      <c r="M3263" s="201" t="s">
        <v>12550</v>
      </c>
      <c r="N3263" s="207"/>
      <c r="O3263" s="38" t="s">
        <v>22497</v>
      </c>
    </row>
    <row r="3264" spans="1:15" ht="60" customHeight="1" x14ac:dyDescent="0.3">
      <c r="A3264" s="207">
        <v>3212</v>
      </c>
      <c r="B3264" s="32" t="s">
        <v>21284</v>
      </c>
      <c r="C3264" s="32" t="s">
        <v>21282</v>
      </c>
      <c r="D3264" s="207"/>
      <c r="E3264" s="207">
        <v>1128</v>
      </c>
      <c r="F3264" s="25"/>
      <c r="G3264" s="207"/>
      <c r="H3264" s="207"/>
      <c r="I3264" s="26">
        <v>43385</v>
      </c>
      <c r="J3264" s="2" t="s">
        <v>21234</v>
      </c>
      <c r="K3264" s="207"/>
      <c r="L3264" s="66"/>
      <c r="M3264" s="201" t="s">
        <v>12550</v>
      </c>
      <c r="N3264" s="207"/>
      <c r="O3264" s="38" t="s">
        <v>22498</v>
      </c>
    </row>
    <row r="3265" spans="1:15" ht="60" customHeight="1" x14ac:dyDescent="0.3">
      <c r="A3265" s="207">
        <v>3213</v>
      </c>
      <c r="B3265" s="32" t="s">
        <v>21286</v>
      </c>
      <c r="C3265" s="32" t="s">
        <v>21282</v>
      </c>
      <c r="D3265" s="207"/>
      <c r="E3265" s="207">
        <v>432</v>
      </c>
      <c r="F3265" s="25"/>
      <c r="G3265" s="207"/>
      <c r="H3265" s="207"/>
      <c r="I3265" s="26">
        <v>43385</v>
      </c>
      <c r="J3265" s="2" t="s">
        <v>21234</v>
      </c>
      <c r="K3265" s="207"/>
      <c r="L3265" s="66"/>
      <c r="M3265" s="201" t="s">
        <v>12550</v>
      </c>
      <c r="N3265" s="207"/>
      <c r="O3265" s="38" t="s">
        <v>22499</v>
      </c>
    </row>
    <row r="3266" spans="1:15" ht="60" customHeight="1" x14ac:dyDescent="0.3">
      <c r="A3266" s="207">
        <v>3214</v>
      </c>
      <c r="B3266" s="32" t="s">
        <v>21287</v>
      </c>
      <c r="C3266" s="32" t="s">
        <v>21282</v>
      </c>
      <c r="D3266" s="207"/>
      <c r="E3266" s="207">
        <v>560</v>
      </c>
      <c r="F3266" s="25"/>
      <c r="G3266" s="207"/>
      <c r="H3266" s="207"/>
      <c r="I3266" s="26">
        <v>43385</v>
      </c>
      <c r="J3266" s="2" t="s">
        <v>21234</v>
      </c>
      <c r="K3266" s="207"/>
      <c r="L3266" s="66"/>
      <c r="M3266" s="201" t="s">
        <v>12550</v>
      </c>
      <c r="N3266" s="207"/>
      <c r="O3266" s="38" t="s">
        <v>22500</v>
      </c>
    </row>
    <row r="3267" spans="1:15" ht="60" customHeight="1" x14ac:dyDescent="0.3">
      <c r="A3267" s="207">
        <v>3215</v>
      </c>
      <c r="B3267" s="32" t="s">
        <v>21288</v>
      </c>
      <c r="C3267" s="32" t="s">
        <v>21282</v>
      </c>
      <c r="D3267" s="207"/>
      <c r="E3267" s="207">
        <v>612</v>
      </c>
      <c r="F3267" s="25"/>
      <c r="G3267" s="207"/>
      <c r="H3267" s="207"/>
      <c r="I3267" s="26">
        <v>43385</v>
      </c>
      <c r="J3267" s="2" t="s">
        <v>21234</v>
      </c>
      <c r="K3267" s="207"/>
      <c r="L3267" s="66"/>
      <c r="M3267" s="201" t="s">
        <v>12550</v>
      </c>
      <c r="N3267" s="207"/>
      <c r="O3267" s="38" t="s">
        <v>22501</v>
      </c>
    </row>
    <row r="3268" spans="1:15" ht="72" customHeight="1" x14ac:dyDescent="0.3">
      <c r="A3268" s="240">
        <v>3216</v>
      </c>
      <c r="B3268" s="242" t="s">
        <v>21301</v>
      </c>
      <c r="C3268" s="242" t="s">
        <v>21302</v>
      </c>
      <c r="D3268" s="85" t="s">
        <v>21303</v>
      </c>
      <c r="E3268" s="207">
        <v>4878</v>
      </c>
      <c r="F3268" s="100">
        <v>3614451.66</v>
      </c>
      <c r="G3268" s="25"/>
      <c r="H3268" s="101">
        <v>3614451.66</v>
      </c>
      <c r="I3268" s="243" t="s">
        <v>21304</v>
      </c>
      <c r="J3268" s="245" t="s">
        <v>21305</v>
      </c>
      <c r="K3268" s="207"/>
      <c r="L3268" s="66"/>
      <c r="M3268" s="29" t="s">
        <v>15722</v>
      </c>
      <c r="N3268" s="207"/>
      <c r="O3268" s="245" t="s">
        <v>11937</v>
      </c>
    </row>
    <row r="3269" spans="1:15" s="161" customFormat="1" ht="108" customHeight="1" x14ac:dyDescent="0.3">
      <c r="A3269" s="139">
        <v>3217</v>
      </c>
      <c r="B3269" s="242" t="s">
        <v>21373</v>
      </c>
      <c r="C3269" s="242" t="s">
        <v>17280</v>
      </c>
      <c r="D3269" s="60" t="s">
        <v>21374</v>
      </c>
      <c r="E3269" s="242">
        <v>110.3</v>
      </c>
      <c r="F3269" s="244"/>
      <c r="G3269" s="244"/>
      <c r="H3269" s="244">
        <v>989184.74</v>
      </c>
      <c r="I3269" s="243">
        <v>43410</v>
      </c>
      <c r="J3269" s="2" t="s">
        <v>21375</v>
      </c>
      <c r="K3269" s="242"/>
      <c r="L3269" s="66"/>
      <c r="M3269" s="201" t="s">
        <v>12550</v>
      </c>
      <c r="N3269" s="245" t="s">
        <v>23346</v>
      </c>
      <c r="O3269" s="245"/>
    </row>
    <row r="3270" spans="1:15" s="161" customFormat="1" ht="75" customHeight="1" x14ac:dyDescent="0.3">
      <c r="A3270" s="139">
        <v>3218</v>
      </c>
      <c r="B3270" s="242" t="s">
        <v>21376</v>
      </c>
      <c r="C3270" s="242" t="s">
        <v>16567</v>
      </c>
      <c r="D3270" s="60" t="s">
        <v>21377</v>
      </c>
      <c r="E3270" s="242">
        <v>379542</v>
      </c>
      <c r="F3270" s="244">
        <v>7309978.9199999999</v>
      </c>
      <c r="G3270" s="244"/>
      <c r="H3270" s="244">
        <v>7309978.9199999999</v>
      </c>
      <c r="I3270" s="243" t="s">
        <v>21343</v>
      </c>
      <c r="J3270" s="2" t="s">
        <v>21378</v>
      </c>
      <c r="K3270" s="242"/>
      <c r="L3270" s="66"/>
      <c r="M3270" s="200" t="s">
        <v>12550</v>
      </c>
      <c r="N3270" s="160"/>
      <c r="O3270" s="245" t="s">
        <v>12039</v>
      </c>
    </row>
    <row r="3271" spans="1:15" ht="118.95" customHeight="1" x14ac:dyDescent="0.3">
      <c r="A3271" s="139">
        <v>3219</v>
      </c>
      <c r="B3271" s="230" t="s">
        <v>21403</v>
      </c>
      <c r="C3271" s="32" t="s">
        <v>21404</v>
      </c>
      <c r="D3271" s="85" t="s">
        <v>21405</v>
      </c>
      <c r="E3271" s="207">
        <v>3736</v>
      </c>
      <c r="F3271" s="25"/>
      <c r="G3271" s="207"/>
      <c r="H3271" s="207"/>
      <c r="I3271" s="26" t="s">
        <v>21406</v>
      </c>
      <c r="J3271" s="72" t="s">
        <v>21407</v>
      </c>
      <c r="K3271" s="207"/>
      <c r="L3271" s="66"/>
      <c r="M3271" s="201" t="s">
        <v>12550</v>
      </c>
      <c r="N3271" s="207"/>
      <c r="O3271" s="38" t="s">
        <v>22502</v>
      </c>
    </row>
    <row r="3272" spans="1:15" ht="118.95" customHeight="1" x14ac:dyDescent="0.3">
      <c r="A3272" s="139">
        <v>3220</v>
      </c>
      <c r="B3272" s="230" t="s">
        <v>21416</v>
      </c>
      <c r="C3272" s="32" t="s">
        <v>21417</v>
      </c>
      <c r="D3272" s="85" t="s">
        <v>21418</v>
      </c>
      <c r="E3272" s="207">
        <v>688</v>
      </c>
      <c r="F3272" s="25"/>
      <c r="G3272" s="207"/>
      <c r="H3272" s="207"/>
      <c r="I3272" s="26" t="s">
        <v>21406</v>
      </c>
      <c r="J3272" s="72" t="s">
        <v>21415</v>
      </c>
      <c r="K3272" s="207"/>
      <c r="L3272" s="66"/>
      <c r="M3272" s="201" t="s">
        <v>12550</v>
      </c>
      <c r="N3272" s="207"/>
      <c r="O3272" s="38" t="s">
        <v>22503</v>
      </c>
    </row>
    <row r="3273" spans="1:15" ht="118.95" customHeight="1" x14ac:dyDescent="0.3">
      <c r="A3273" s="139">
        <v>3221</v>
      </c>
      <c r="B3273" s="230" t="s">
        <v>21429</v>
      </c>
      <c r="C3273" s="32" t="s">
        <v>21433</v>
      </c>
      <c r="D3273" s="85" t="s">
        <v>21430</v>
      </c>
      <c r="E3273" s="207">
        <v>638</v>
      </c>
      <c r="F3273" s="25"/>
      <c r="G3273" s="207"/>
      <c r="H3273" s="207"/>
      <c r="I3273" s="26" t="s">
        <v>21431</v>
      </c>
      <c r="J3273" s="72" t="s">
        <v>21432</v>
      </c>
      <c r="K3273" s="207"/>
      <c r="L3273" s="66"/>
      <c r="M3273" s="201" t="s">
        <v>12550</v>
      </c>
      <c r="N3273" s="207"/>
      <c r="O3273" s="38" t="s">
        <v>22504</v>
      </c>
    </row>
    <row r="3274" spans="1:15" ht="118.95" customHeight="1" x14ac:dyDescent="0.3">
      <c r="A3274" s="139">
        <v>3222</v>
      </c>
      <c r="B3274" s="230" t="s">
        <v>21419</v>
      </c>
      <c r="C3274" s="32" t="s">
        <v>21421</v>
      </c>
      <c r="D3274" s="85" t="s">
        <v>21420</v>
      </c>
      <c r="E3274" s="207">
        <v>650</v>
      </c>
      <c r="F3274" s="25"/>
      <c r="G3274" s="207"/>
      <c r="H3274" s="207"/>
      <c r="I3274" s="26" t="s">
        <v>21406</v>
      </c>
      <c r="J3274" s="72" t="s">
        <v>21422</v>
      </c>
      <c r="K3274" s="207"/>
      <c r="L3274" s="66"/>
      <c r="M3274" s="201" t="s">
        <v>12550</v>
      </c>
      <c r="N3274" s="207"/>
      <c r="O3274" s="38" t="s">
        <v>22505</v>
      </c>
    </row>
    <row r="3275" spans="1:15" ht="118.95" customHeight="1" x14ac:dyDescent="0.3">
      <c r="A3275" s="139">
        <v>3223</v>
      </c>
      <c r="B3275" s="230" t="s">
        <v>21425</v>
      </c>
      <c r="C3275" s="32" t="s">
        <v>21426</v>
      </c>
      <c r="D3275" s="85" t="s">
        <v>21427</v>
      </c>
      <c r="E3275" s="207">
        <v>1966</v>
      </c>
      <c r="F3275" s="25"/>
      <c r="G3275" s="207"/>
      <c r="H3275" s="207"/>
      <c r="I3275" s="26" t="s">
        <v>21428</v>
      </c>
      <c r="J3275" s="72" t="s">
        <v>21437</v>
      </c>
      <c r="K3275" s="207"/>
      <c r="L3275" s="66"/>
      <c r="M3275" s="201" t="s">
        <v>12550</v>
      </c>
      <c r="N3275" s="207"/>
      <c r="O3275" s="38" t="s">
        <v>22506</v>
      </c>
    </row>
    <row r="3276" spans="1:15" ht="118.95" customHeight="1" x14ac:dyDescent="0.3">
      <c r="A3276" s="139">
        <v>3224</v>
      </c>
      <c r="B3276" s="230" t="s">
        <v>21434</v>
      </c>
      <c r="C3276" s="32" t="s">
        <v>21435</v>
      </c>
      <c r="D3276" s="85" t="s">
        <v>21436</v>
      </c>
      <c r="E3276" s="207">
        <v>1452</v>
      </c>
      <c r="F3276" s="25"/>
      <c r="G3276" s="207"/>
      <c r="H3276" s="207"/>
      <c r="I3276" s="26" t="s">
        <v>21428</v>
      </c>
      <c r="J3276" s="72" t="s">
        <v>21438</v>
      </c>
      <c r="K3276" s="207"/>
      <c r="L3276" s="66"/>
      <c r="M3276" s="201" t="s">
        <v>12550</v>
      </c>
      <c r="N3276" s="207"/>
      <c r="O3276" s="38" t="s">
        <v>22507</v>
      </c>
    </row>
    <row r="3277" spans="1:15" s="161" customFormat="1" ht="108" customHeight="1" x14ac:dyDescent="0.3">
      <c r="A3277" s="139">
        <v>3225</v>
      </c>
      <c r="B3277" s="242" t="s">
        <v>21439</v>
      </c>
      <c r="C3277" s="242" t="s">
        <v>21440</v>
      </c>
      <c r="D3277" s="60" t="s">
        <v>21441</v>
      </c>
      <c r="E3277" s="242">
        <v>544</v>
      </c>
      <c r="F3277" s="244"/>
      <c r="G3277" s="244"/>
      <c r="H3277" s="244">
        <v>4271303.04</v>
      </c>
      <c r="I3277" s="243">
        <v>43424</v>
      </c>
      <c r="J3277" s="2" t="s">
        <v>21442</v>
      </c>
      <c r="K3277" s="242"/>
      <c r="L3277" s="66"/>
      <c r="M3277" s="242" t="s">
        <v>14091</v>
      </c>
      <c r="N3277" s="245" t="s">
        <v>22699</v>
      </c>
      <c r="O3277" s="245"/>
    </row>
    <row r="3278" spans="1:15" s="161" customFormat="1" ht="108" customHeight="1" x14ac:dyDescent="0.3">
      <c r="A3278" s="139">
        <v>3226</v>
      </c>
      <c r="B3278" s="242" t="s">
        <v>21443</v>
      </c>
      <c r="C3278" s="242" t="s">
        <v>21447</v>
      </c>
      <c r="D3278" s="60" t="s">
        <v>21444</v>
      </c>
      <c r="E3278" s="242">
        <v>96.6</v>
      </c>
      <c r="F3278" s="244"/>
      <c r="G3278" s="244"/>
      <c r="H3278" s="244">
        <v>729195.72</v>
      </c>
      <c r="I3278" s="243" t="s">
        <v>21431</v>
      </c>
      <c r="J3278" s="2" t="s">
        <v>21445</v>
      </c>
      <c r="K3278" s="242"/>
      <c r="L3278" s="66"/>
      <c r="M3278" s="201" t="s">
        <v>12550</v>
      </c>
      <c r="N3278" s="245"/>
      <c r="O3278" s="245"/>
    </row>
    <row r="3279" spans="1:15" s="161" customFormat="1" ht="108" customHeight="1" x14ac:dyDescent="0.3">
      <c r="A3279" s="139">
        <v>3227</v>
      </c>
      <c r="B3279" s="242" t="s">
        <v>21446</v>
      </c>
      <c r="C3279" s="242" t="s">
        <v>21447</v>
      </c>
      <c r="D3279" s="60" t="s">
        <v>21448</v>
      </c>
      <c r="E3279" s="242">
        <v>282.8</v>
      </c>
      <c r="F3279" s="244"/>
      <c r="G3279" s="244"/>
      <c r="H3279" s="244">
        <v>2134746.9</v>
      </c>
      <c r="I3279" s="243">
        <v>43424</v>
      </c>
      <c r="J3279" s="2" t="s">
        <v>21449</v>
      </c>
      <c r="K3279" s="242"/>
      <c r="L3279" s="66"/>
      <c r="M3279" s="201" t="s">
        <v>12550</v>
      </c>
      <c r="N3279" s="245"/>
      <c r="O3279" s="245"/>
    </row>
    <row r="3280" spans="1:15" s="161" customFormat="1" ht="108" customHeight="1" x14ac:dyDescent="0.3">
      <c r="A3280" s="139">
        <v>3228</v>
      </c>
      <c r="B3280" s="242" t="s">
        <v>23272</v>
      </c>
      <c r="C3280" s="242" t="s">
        <v>21447</v>
      </c>
      <c r="D3280" s="60" t="s">
        <v>21450</v>
      </c>
      <c r="E3280" s="242">
        <v>1572.2</v>
      </c>
      <c r="F3280" s="244"/>
      <c r="G3280" s="244"/>
      <c r="H3280" s="244">
        <v>11867924.640000001</v>
      </c>
      <c r="I3280" s="243">
        <v>43425</v>
      </c>
      <c r="J3280" s="2" t="s">
        <v>21449</v>
      </c>
      <c r="K3280" s="242"/>
      <c r="L3280" s="66"/>
      <c r="M3280" s="201" t="s">
        <v>12550</v>
      </c>
      <c r="N3280" s="245"/>
      <c r="O3280" s="245"/>
    </row>
    <row r="3281" spans="1:17" s="161" customFormat="1" ht="108" customHeight="1" x14ac:dyDescent="0.3">
      <c r="A3281" s="139">
        <v>3229</v>
      </c>
      <c r="B3281" s="242" t="s">
        <v>23273</v>
      </c>
      <c r="C3281" s="242" t="s">
        <v>21447</v>
      </c>
      <c r="D3281" s="60" t="s">
        <v>21451</v>
      </c>
      <c r="E3281" s="242">
        <v>725.3</v>
      </c>
      <c r="F3281" s="244"/>
      <c r="G3281" s="244"/>
      <c r="H3281" s="244">
        <v>5475006.8300000001</v>
      </c>
      <c r="I3281" s="243" t="s">
        <v>21452</v>
      </c>
      <c r="J3281" s="2" t="s">
        <v>21453</v>
      </c>
      <c r="K3281" s="242"/>
      <c r="L3281" s="66"/>
      <c r="M3281" s="201" t="s">
        <v>12550</v>
      </c>
      <c r="N3281" s="245"/>
      <c r="O3281" s="245"/>
    </row>
    <row r="3282" spans="1:17" ht="159" customHeight="1" x14ac:dyDescent="0.3">
      <c r="A3282" s="269">
        <v>3230</v>
      </c>
      <c r="B3282" s="23" t="s">
        <v>12491</v>
      </c>
      <c r="C3282" s="23" t="s">
        <v>21454</v>
      </c>
      <c r="D3282" s="274" t="s">
        <v>21455</v>
      </c>
      <c r="E3282" s="242">
        <v>52.9</v>
      </c>
      <c r="F3282" s="244">
        <v>304704</v>
      </c>
      <c r="G3282" s="242"/>
      <c r="H3282" s="244">
        <v>1234041.1499999999</v>
      </c>
      <c r="I3282" s="243">
        <v>43426</v>
      </c>
      <c r="J3282" s="2" t="s">
        <v>21456</v>
      </c>
      <c r="K3282" s="242" t="s">
        <v>23004</v>
      </c>
      <c r="L3282" s="66" t="s">
        <v>23005</v>
      </c>
      <c r="M3282" s="201" t="s">
        <v>12550</v>
      </c>
      <c r="N3282" s="242"/>
      <c r="O3282" s="38" t="s">
        <v>22555</v>
      </c>
      <c r="P3282" s="161"/>
      <c r="Q3282" s="161"/>
    </row>
    <row r="3283" spans="1:17" s="161" customFormat="1" ht="75" customHeight="1" x14ac:dyDescent="0.3">
      <c r="A3283" s="139">
        <v>3231</v>
      </c>
      <c r="B3283" s="242" t="s">
        <v>21457</v>
      </c>
      <c r="C3283" s="242" t="s">
        <v>14574</v>
      </c>
      <c r="D3283" s="60" t="s">
        <v>21458</v>
      </c>
      <c r="E3283" s="242">
        <v>93</v>
      </c>
      <c r="F3283" s="244">
        <v>62150.04</v>
      </c>
      <c r="G3283" s="244"/>
      <c r="H3283" s="244">
        <v>62150.04</v>
      </c>
      <c r="I3283" s="243">
        <v>43419</v>
      </c>
      <c r="J3283" s="2" t="s">
        <v>21459</v>
      </c>
      <c r="K3283" s="242"/>
      <c r="L3283" s="66"/>
      <c r="M3283" s="200" t="s">
        <v>12550</v>
      </c>
      <c r="N3283" s="160"/>
      <c r="O3283" s="245" t="s">
        <v>12039</v>
      </c>
    </row>
    <row r="3284" spans="1:17" s="161" customFormat="1" ht="75" customHeight="1" x14ac:dyDescent="0.3">
      <c r="A3284" s="139">
        <v>3232</v>
      </c>
      <c r="B3284" s="242" t="s">
        <v>21460</v>
      </c>
      <c r="C3284" s="242" t="s">
        <v>21461</v>
      </c>
      <c r="D3284" s="60" t="s">
        <v>21462</v>
      </c>
      <c r="E3284" s="242">
        <v>900</v>
      </c>
      <c r="F3284" s="244">
        <v>190926</v>
      </c>
      <c r="G3284" s="244"/>
      <c r="H3284" s="244">
        <v>190926</v>
      </c>
      <c r="I3284" s="243">
        <v>43419</v>
      </c>
      <c r="J3284" s="2" t="s">
        <v>21463</v>
      </c>
      <c r="K3284" s="242"/>
      <c r="L3284" s="66"/>
      <c r="M3284" s="200" t="s">
        <v>12550</v>
      </c>
      <c r="N3284" s="160"/>
      <c r="O3284" s="245" t="s">
        <v>12039</v>
      </c>
    </row>
    <row r="3285" spans="1:17" s="161" customFormat="1" ht="75" customHeight="1" x14ac:dyDescent="0.3">
      <c r="A3285" s="139">
        <v>3233</v>
      </c>
      <c r="B3285" s="242" t="s">
        <v>21464</v>
      </c>
      <c r="C3285" s="242" t="s">
        <v>21465</v>
      </c>
      <c r="D3285" s="60" t="s">
        <v>21466</v>
      </c>
      <c r="E3285" s="242">
        <v>1000</v>
      </c>
      <c r="F3285" s="244">
        <v>196950</v>
      </c>
      <c r="G3285" s="244"/>
      <c r="H3285" s="244">
        <v>196960</v>
      </c>
      <c r="I3285" s="243">
        <v>43039</v>
      </c>
      <c r="J3285" s="2" t="s">
        <v>21467</v>
      </c>
      <c r="K3285" s="242"/>
      <c r="L3285" s="66"/>
      <c r="M3285" s="200" t="s">
        <v>12550</v>
      </c>
      <c r="N3285" s="160"/>
      <c r="O3285" s="245" t="s">
        <v>12039</v>
      </c>
    </row>
    <row r="3286" spans="1:17" ht="118.95" customHeight="1" x14ac:dyDescent="0.3">
      <c r="A3286" s="139">
        <v>3234</v>
      </c>
      <c r="B3286" s="230" t="s">
        <v>21471</v>
      </c>
      <c r="C3286" s="32" t="s">
        <v>16588</v>
      </c>
      <c r="D3286" s="85" t="s">
        <v>21472</v>
      </c>
      <c r="E3286" s="207">
        <v>2514</v>
      </c>
      <c r="F3286" s="25"/>
      <c r="G3286" s="207"/>
      <c r="H3286" s="207"/>
      <c r="I3286" s="26" t="s">
        <v>21473</v>
      </c>
      <c r="J3286" s="72" t="s">
        <v>21474</v>
      </c>
      <c r="K3286" s="207"/>
      <c r="L3286" s="66"/>
      <c r="M3286" s="201" t="s">
        <v>12550</v>
      </c>
      <c r="N3286" s="207"/>
      <c r="O3286" s="38" t="s">
        <v>22508</v>
      </c>
    </row>
    <row r="3287" spans="1:17" ht="118.95" customHeight="1" x14ac:dyDescent="0.3">
      <c r="A3287" s="139">
        <v>3235</v>
      </c>
      <c r="B3287" s="230" t="s">
        <v>21476</v>
      </c>
      <c r="C3287" s="32" t="s">
        <v>16609</v>
      </c>
      <c r="D3287" s="85" t="s">
        <v>21477</v>
      </c>
      <c r="E3287" s="207">
        <v>1487</v>
      </c>
      <c r="F3287" s="25"/>
      <c r="G3287" s="207"/>
      <c r="H3287" s="207"/>
      <c r="I3287" s="26" t="s">
        <v>21478</v>
      </c>
      <c r="J3287" s="72" t="s">
        <v>21475</v>
      </c>
      <c r="K3287" s="207"/>
      <c r="L3287" s="66"/>
      <c r="M3287" s="201" t="s">
        <v>12550</v>
      </c>
      <c r="N3287" s="207"/>
      <c r="O3287" s="38" t="s">
        <v>22509</v>
      </c>
    </row>
    <row r="3288" spans="1:17" ht="108" customHeight="1" x14ac:dyDescent="0.3">
      <c r="A3288" s="139">
        <v>3236</v>
      </c>
      <c r="B3288" s="242" t="s">
        <v>22711</v>
      </c>
      <c r="C3288" s="242" t="s">
        <v>21778</v>
      </c>
      <c r="D3288" s="60" t="s">
        <v>21779</v>
      </c>
      <c r="E3288" s="242">
        <v>99.6</v>
      </c>
      <c r="F3288" s="244">
        <v>200000</v>
      </c>
      <c r="G3288" s="244"/>
      <c r="H3288" s="244">
        <v>523670.9</v>
      </c>
      <c r="I3288" s="243">
        <v>43425</v>
      </c>
      <c r="J3288" s="2" t="s">
        <v>21780</v>
      </c>
      <c r="K3288" s="242"/>
      <c r="L3288" s="66"/>
      <c r="M3288" s="201" t="s">
        <v>12550</v>
      </c>
      <c r="N3288" s="245" t="s">
        <v>22202</v>
      </c>
      <c r="O3288" s="38"/>
    </row>
    <row r="3289" spans="1:17" s="161" customFormat="1" ht="72" customHeight="1" x14ac:dyDescent="0.3">
      <c r="A3289" s="139">
        <v>3237</v>
      </c>
      <c r="B3289" s="242" t="s">
        <v>139</v>
      </c>
      <c r="C3289" s="242" t="s">
        <v>22090</v>
      </c>
      <c r="D3289" s="60" t="s">
        <v>22087</v>
      </c>
      <c r="E3289" s="242">
        <v>1000</v>
      </c>
      <c r="F3289" s="244">
        <v>196950</v>
      </c>
      <c r="G3289" s="244"/>
      <c r="H3289" s="244">
        <v>196950</v>
      </c>
      <c r="I3289" s="243">
        <v>43017</v>
      </c>
      <c r="J3289" s="2" t="s">
        <v>22088</v>
      </c>
      <c r="K3289" s="242"/>
      <c r="L3289" s="66"/>
      <c r="M3289" s="200" t="s">
        <v>12550</v>
      </c>
      <c r="N3289" s="160"/>
      <c r="O3289" s="245" t="s">
        <v>12039</v>
      </c>
    </row>
    <row r="3290" spans="1:17" s="161" customFormat="1" ht="72" customHeight="1" x14ac:dyDescent="0.3">
      <c r="A3290" s="139">
        <v>3238</v>
      </c>
      <c r="B3290" s="242" t="s">
        <v>22089</v>
      </c>
      <c r="C3290" s="242" t="s">
        <v>22091</v>
      </c>
      <c r="D3290" s="60" t="s">
        <v>22092</v>
      </c>
      <c r="E3290" s="242">
        <v>1310</v>
      </c>
      <c r="F3290" s="244">
        <v>217525.5</v>
      </c>
      <c r="G3290" s="244"/>
      <c r="H3290" s="244">
        <v>217525.5</v>
      </c>
      <c r="I3290" s="243">
        <v>43482</v>
      </c>
      <c r="J3290" s="2" t="s">
        <v>22093</v>
      </c>
      <c r="K3290" s="242"/>
      <c r="L3290" s="66"/>
      <c r="M3290" s="200" t="s">
        <v>12550</v>
      </c>
      <c r="N3290" s="160"/>
      <c r="O3290" s="245" t="s">
        <v>12039</v>
      </c>
    </row>
    <row r="3291" spans="1:17" ht="84" customHeight="1" x14ac:dyDescent="0.3">
      <c r="A3291" s="139">
        <v>3239</v>
      </c>
      <c r="B3291" s="242" t="s">
        <v>19279</v>
      </c>
      <c r="C3291" s="245" t="s">
        <v>22511</v>
      </c>
      <c r="D3291" s="85" t="s">
        <v>22512</v>
      </c>
      <c r="E3291" s="207">
        <v>1000</v>
      </c>
      <c r="F3291" s="25">
        <v>183520</v>
      </c>
      <c r="G3291" s="207"/>
      <c r="H3291" s="25">
        <v>183520</v>
      </c>
      <c r="I3291" s="26">
        <v>42488</v>
      </c>
      <c r="J3291" s="245" t="s">
        <v>22515</v>
      </c>
      <c r="K3291" s="207"/>
      <c r="L3291" s="66"/>
      <c r="M3291" s="200" t="s">
        <v>12550</v>
      </c>
      <c r="N3291" s="207"/>
      <c r="O3291" s="38" t="s">
        <v>12039</v>
      </c>
    </row>
    <row r="3292" spans="1:17" ht="60" customHeight="1" x14ac:dyDescent="0.3">
      <c r="A3292" s="139">
        <v>3240</v>
      </c>
      <c r="B3292" s="242" t="s">
        <v>19279</v>
      </c>
      <c r="C3292" s="245" t="s">
        <v>22513</v>
      </c>
      <c r="D3292" s="85" t="s">
        <v>22514</v>
      </c>
      <c r="E3292" s="207">
        <v>800</v>
      </c>
      <c r="F3292" s="25">
        <v>166920</v>
      </c>
      <c r="G3292" s="207"/>
      <c r="H3292" s="25">
        <v>166920</v>
      </c>
      <c r="I3292" s="26">
        <v>42681</v>
      </c>
      <c r="J3292" s="245" t="s">
        <v>22516</v>
      </c>
      <c r="K3292" s="207"/>
      <c r="L3292" s="66"/>
      <c r="M3292" s="200" t="s">
        <v>12550</v>
      </c>
      <c r="N3292" s="207"/>
      <c r="O3292" s="38" t="s">
        <v>12039</v>
      </c>
    </row>
    <row r="3293" spans="1:17" ht="60" customHeight="1" x14ac:dyDescent="0.3">
      <c r="A3293" s="139">
        <v>3241</v>
      </c>
      <c r="B3293" s="242" t="s">
        <v>19279</v>
      </c>
      <c r="C3293" s="245" t="s">
        <v>22517</v>
      </c>
      <c r="D3293" s="85" t="s">
        <v>22518</v>
      </c>
      <c r="E3293" s="207">
        <v>1000</v>
      </c>
      <c r="F3293" s="25">
        <v>183520</v>
      </c>
      <c r="G3293" s="207"/>
      <c r="H3293" s="25">
        <v>183520</v>
      </c>
      <c r="I3293" s="26">
        <v>42724</v>
      </c>
      <c r="J3293" s="245" t="s">
        <v>22519</v>
      </c>
      <c r="K3293" s="207"/>
      <c r="L3293" s="66"/>
      <c r="M3293" s="200" t="s">
        <v>12550</v>
      </c>
      <c r="N3293" s="207"/>
      <c r="O3293" s="38" t="s">
        <v>12039</v>
      </c>
    </row>
    <row r="3294" spans="1:17" ht="60" customHeight="1" x14ac:dyDescent="0.3">
      <c r="A3294" s="139">
        <v>3242</v>
      </c>
      <c r="B3294" s="242" t="s">
        <v>19152</v>
      </c>
      <c r="C3294" s="245" t="s">
        <v>22520</v>
      </c>
      <c r="D3294" s="85" t="s">
        <v>22521</v>
      </c>
      <c r="E3294" s="207">
        <v>1000</v>
      </c>
      <c r="F3294" s="25">
        <v>191170</v>
      </c>
      <c r="G3294" s="207"/>
      <c r="H3294" s="25">
        <v>191170</v>
      </c>
      <c r="I3294" s="26">
        <v>42765</v>
      </c>
      <c r="J3294" s="245" t="s">
        <v>22522</v>
      </c>
      <c r="K3294" s="207"/>
      <c r="L3294" s="66"/>
      <c r="M3294" s="200" t="s">
        <v>12550</v>
      </c>
      <c r="N3294" s="207"/>
      <c r="O3294" s="38" t="s">
        <v>12039</v>
      </c>
    </row>
    <row r="3295" spans="1:17" ht="60" customHeight="1" x14ac:dyDescent="0.3">
      <c r="A3295" s="139">
        <v>3243</v>
      </c>
      <c r="B3295" s="242" t="s">
        <v>19152</v>
      </c>
      <c r="C3295" s="245" t="s">
        <v>22523</v>
      </c>
      <c r="D3295" s="85" t="s">
        <v>22524</v>
      </c>
      <c r="E3295" s="207">
        <v>1000</v>
      </c>
      <c r="F3295" s="25">
        <v>191170</v>
      </c>
      <c r="G3295" s="207"/>
      <c r="H3295" s="25">
        <v>191170</v>
      </c>
      <c r="I3295" s="26">
        <v>42765</v>
      </c>
      <c r="J3295" s="245" t="s">
        <v>22525</v>
      </c>
      <c r="K3295" s="207"/>
      <c r="L3295" s="66"/>
      <c r="M3295" s="200" t="s">
        <v>12550</v>
      </c>
      <c r="N3295" s="207"/>
      <c r="O3295" s="38" t="s">
        <v>12039</v>
      </c>
    </row>
    <row r="3296" spans="1:17" ht="72" customHeight="1" x14ac:dyDescent="0.3">
      <c r="A3296" s="139">
        <v>3244</v>
      </c>
      <c r="B3296" s="242" t="s">
        <v>19312</v>
      </c>
      <c r="C3296" s="245" t="s">
        <v>22526</v>
      </c>
      <c r="D3296" s="85" t="s">
        <v>22527</v>
      </c>
      <c r="E3296" s="207">
        <v>1000</v>
      </c>
      <c r="F3296" s="25">
        <v>196950</v>
      </c>
      <c r="G3296" s="207"/>
      <c r="H3296" s="25">
        <v>196950</v>
      </c>
      <c r="I3296" s="26">
        <v>42968</v>
      </c>
      <c r="J3296" s="245" t="s">
        <v>22528</v>
      </c>
      <c r="K3296" s="207"/>
      <c r="L3296" s="66"/>
      <c r="M3296" s="200" t="s">
        <v>12550</v>
      </c>
      <c r="N3296" s="207"/>
      <c r="O3296" s="38" t="s">
        <v>12039</v>
      </c>
    </row>
    <row r="3297" spans="1:15" s="161" customFormat="1" ht="72" customHeight="1" x14ac:dyDescent="0.3">
      <c r="A3297" s="139">
        <v>3245</v>
      </c>
      <c r="B3297" s="242" t="s">
        <v>133</v>
      </c>
      <c r="C3297" s="242" t="s">
        <v>22529</v>
      </c>
      <c r="D3297" s="60" t="s">
        <v>22530</v>
      </c>
      <c r="E3297" s="242">
        <v>800</v>
      </c>
      <c r="F3297" s="244">
        <v>163504</v>
      </c>
      <c r="G3297" s="244"/>
      <c r="H3297" s="244">
        <v>163504</v>
      </c>
      <c r="I3297" s="243">
        <v>42823</v>
      </c>
      <c r="J3297" s="245" t="s">
        <v>22531</v>
      </c>
      <c r="K3297" s="242"/>
      <c r="L3297" s="66"/>
      <c r="M3297" s="200" t="s">
        <v>12550</v>
      </c>
      <c r="N3297" s="160"/>
      <c r="O3297" s="245" t="s">
        <v>12039</v>
      </c>
    </row>
    <row r="3298" spans="1:15" s="161" customFormat="1" ht="96" customHeight="1" x14ac:dyDescent="0.3">
      <c r="A3298" s="269">
        <v>3246</v>
      </c>
      <c r="B3298" s="269" t="s">
        <v>22597</v>
      </c>
      <c r="C3298" s="269" t="s">
        <v>22598</v>
      </c>
      <c r="D3298" s="94"/>
      <c r="E3298" s="207"/>
      <c r="F3298" s="150">
        <v>7393750.75</v>
      </c>
      <c r="G3298" s="150">
        <v>328611.12</v>
      </c>
      <c r="H3298" s="207"/>
      <c r="I3298" s="207" t="s">
        <v>22599</v>
      </c>
      <c r="J3298" s="245" t="s">
        <v>22600</v>
      </c>
      <c r="K3298" s="242"/>
      <c r="L3298" s="66"/>
      <c r="M3298" s="201" t="s">
        <v>12550</v>
      </c>
      <c r="N3298" s="38" t="s">
        <v>22948</v>
      </c>
      <c r="O3298" s="38" t="s">
        <v>23271</v>
      </c>
    </row>
    <row r="3299" spans="1:15" ht="108" customHeight="1" x14ac:dyDescent="0.3">
      <c r="A3299" s="237">
        <v>3247</v>
      </c>
      <c r="B3299" s="242" t="s">
        <v>19312</v>
      </c>
      <c r="C3299" s="245" t="s">
        <v>22601</v>
      </c>
      <c r="D3299" s="85" t="s">
        <v>22602</v>
      </c>
      <c r="E3299" s="207">
        <v>1000</v>
      </c>
      <c r="F3299" s="25">
        <v>196950</v>
      </c>
      <c r="G3299" s="207"/>
      <c r="H3299" s="25">
        <v>196950</v>
      </c>
      <c r="I3299" s="26">
        <v>43538</v>
      </c>
      <c r="J3299" s="66" t="s">
        <v>22603</v>
      </c>
      <c r="K3299" s="207"/>
      <c r="L3299" s="66"/>
      <c r="M3299" s="200" t="s">
        <v>12550</v>
      </c>
      <c r="N3299" s="207"/>
      <c r="O3299" s="38" t="s">
        <v>12039</v>
      </c>
    </row>
    <row r="3300" spans="1:15" ht="96.6" customHeight="1" x14ac:dyDescent="0.3">
      <c r="A3300" s="139">
        <v>3248</v>
      </c>
      <c r="B3300" s="242" t="s">
        <v>17812</v>
      </c>
      <c r="C3300" s="242" t="s">
        <v>17813</v>
      </c>
      <c r="D3300" s="85" t="s">
        <v>22925</v>
      </c>
      <c r="E3300" s="207">
        <v>1199</v>
      </c>
      <c r="F3300" s="98">
        <v>272400.81</v>
      </c>
      <c r="G3300" s="25"/>
      <c r="H3300" s="98">
        <v>272400.81</v>
      </c>
      <c r="I3300" s="243" t="s">
        <v>22701</v>
      </c>
      <c r="J3300" s="245" t="s">
        <v>22926</v>
      </c>
      <c r="K3300" s="207"/>
      <c r="L3300" s="245"/>
      <c r="M3300" s="200" t="s">
        <v>12550</v>
      </c>
      <c r="N3300" s="207"/>
      <c r="O3300" s="245" t="s">
        <v>17794</v>
      </c>
    </row>
    <row r="3301" spans="1:15" ht="96.6" customHeight="1" x14ac:dyDescent="0.3">
      <c r="A3301" s="139">
        <v>3249</v>
      </c>
      <c r="B3301" s="242" t="s">
        <v>17812</v>
      </c>
      <c r="C3301" s="242" t="s">
        <v>17813</v>
      </c>
      <c r="D3301" s="85" t="s">
        <v>22927</v>
      </c>
      <c r="E3301" s="207">
        <v>1200</v>
      </c>
      <c r="F3301" s="98">
        <v>272616</v>
      </c>
      <c r="G3301" s="25"/>
      <c r="H3301" s="98">
        <v>272616</v>
      </c>
      <c r="I3301" s="243" t="s">
        <v>22928</v>
      </c>
      <c r="J3301" s="245" t="s">
        <v>22929</v>
      </c>
      <c r="K3301" s="207"/>
      <c r="L3301" s="245"/>
      <c r="M3301" s="200" t="s">
        <v>12550</v>
      </c>
      <c r="N3301" s="207"/>
      <c r="O3301" s="245" t="s">
        <v>17794</v>
      </c>
    </row>
    <row r="3302" spans="1:15" ht="96.6" customHeight="1" x14ac:dyDescent="0.3">
      <c r="A3302" s="269">
        <v>3250</v>
      </c>
      <c r="B3302" s="23" t="s">
        <v>14078</v>
      </c>
      <c r="C3302" s="23" t="s">
        <v>23006</v>
      </c>
      <c r="D3302" s="274" t="s">
        <v>23007</v>
      </c>
      <c r="E3302" s="207">
        <v>29.8</v>
      </c>
      <c r="F3302" s="98">
        <v>1236700</v>
      </c>
      <c r="G3302" s="25"/>
      <c r="H3302" s="98">
        <v>1170196.83</v>
      </c>
      <c r="I3302" s="243" t="s">
        <v>23008</v>
      </c>
      <c r="J3302" s="245" t="s">
        <v>23109</v>
      </c>
      <c r="K3302" s="207"/>
      <c r="L3302" s="245"/>
      <c r="M3302" s="200" t="s">
        <v>12550</v>
      </c>
      <c r="N3302" s="245" t="s">
        <v>23288</v>
      </c>
      <c r="O3302" s="245"/>
    </row>
    <row r="3303" spans="1:15" ht="96.6" customHeight="1" x14ac:dyDescent="0.3">
      <c r="A3303" s="139">
        <v>3251</v>
      </c>
      <c r="B3303" s="242" t="s">
        <v>14078</v>
      </c>
      <c r="C3303" s="242" t="s">
        <v>23009</v>
      </c>
      <c r="D3303" s="87" t="s">
        <v>23010</v>
      </c>
      <c r="E3303" s="207">
        <v>33.700000000000003</v>
      </c>
      <c r="F3303" s="98">
        <v>1369500</v>
      </c>
      <c r="G3303" s="25"/>
      <c r="H3303" s="98">
        <v>1386456.76</v>
      </c>
      <c r="I3303" s="243" t="s">
        <v>23008</v>
      </c>
      <c r="J3303" s="245" t="s">
        <v>23110</v>
      </c>
      <c r="K3303" s="207"/>
      <c r="L3303" s="245"/>
      <c r="M3303" s="200" t="s">
        <v>12550</v>
      </c>
      <c r="N3303" s="245" t="s">
        <v>23284</v>
      </c>
      <c r="O3303" s="245"/>
    </row>
    <row r="3304" spans="1:15" ht="132" customHeight="1" x14ac:dyDescent="0.3">
      <c r="A3304" s="139">
        <v>3252</v>
      </c>
      <c r="B3304" s="230" t="s">
        <v>23012</v>
      </c>
      <c r="C3304" s="32" t="s">
        <v>16301</v>
      </c>
      <c r="D3304" s="85" t="s">
        <v>23013</v>
      </c>
      <c r="E3304" s="207">
        <v>864</v>
      </c>
      <c r="F3304" s="25">
        <v>2025637.52</v>
      </c>
      <c r="G3304" s="207"/>
      <c r="H3304" s="25">
        <v>2025637.52</v>
      </c>
      <c r="I3304" s="26" t="s">
        <v>23014</v>
      </c>
      <c r="J3304" s="72" t="s">
        <v>23015</v>
      </c>
      <c r="K3304" s="207"/>
      <c r="L3304" s="245"/>
      <c r="M3304" s="201" t="s">
        <v>12550</v>
      </c>
      <c r="N3304" s="207"/>
      <c r="O3304" s="38" t="s">
        <v>23016</v>
      </c>
    </row>
    <row r="3305" spans="1:15" ht="132" customHeight="1" x14ac:dyDescent="0.3">
      <c r="A3305" s="139">
        <v>3253</v>
      </c>
      <c r="B3305" s="230" t="s">
        <v>23017</v>
      </c>
      <c r="C3305" s="32" t="s">
        <v>16611</v>
      </c>
      <c r="D3305" s="85" t="s">
        <v>23018</v>
      </c>
      <c r="E3305" s="207">
        <v>1327</v>
      </c>
      <c r="F3305" s="25">
        <v>2025637.52</v>
      </c>
      <c r="G3305" s="207"/>
      <c r="H3305" s="25">
        <v>2025637.52</v>
      </c>
      <c r="I3305" s="26">
        <v>43592</v>
      </c>
      <c r="J3305" s="72" t="s">
        <v>23019</v>
      </c>
      <c r="K3305" s="207"/>
      <c r="L3305" s="245"/>
      <c r="M3305" s="201" t="s">
        <v>12550</v>
      </c>
      <c r="N3305" s="207"/>
      <c r="O3305" s="38" t="s">
        <v>23020</v>
      </c>
    </row>
    <row r="3306" spans="1:15" ht="132" customHeight="1" x14ac:dyDescent="0.3">
      <c r="A3306" s="139">
        <v>3254</v>
      </c>
      <c r="B3306" s="230" t="s">
        <v>23021</v>
      </c>
      <c r="C3306" s="32" t="s">
        <v>16301</v>
      </c>
      <c r="D3306" s="85" t="s">
        <v>23022</v>
      </c>
      <c r="E3306" s="207">
        <v>759</v>
      </c>
      <c r="F3306" s="25">
        <v>2025637.52</v>
      </c>
      <c r="G3306" s="207"/>
      <c r="H3306" s="25">
        <v>2025637.52</v>
      </c>
      <c r="I3306" s="26">
        <v>43580</v>
      </c>
      <c r="J3306" s="72" t="s">
        <v>23023</v>
      </c>
      <c r="K3306" s="207"/>
      <c r="L3306" s="245"/>
      <c r="M3306" s="201" t="s">
        <v>12550</v>
      </c>
      <c r="N3306" s="207"/>
      <c r="O3306" s="38" t="s">
        <v>23024</v>
      </c>
    </row>
    <row r="3307" spans="1:15" ht="192.6" customHeight="1" x14ac:dyDescent="0.3">
      <c r="A3307" s="139">
        <v>3255</v>
      </c>
      <c r="B3307" s="242" t="s">
        <v>23033</v>
      </c>
      <c r="C3307" s="242" t="s">
        <v>23034</v>
      </c>
      <c r="D3307" s="85" t="s">
        <v>23035</v>
      </c>
      <c r="E3307" s="207">
        <v>9674</v>
      </c>
      <c r="F3307" s="98">
        <v>978912.06</v>
      </c>
      <c r="G3307" s="25"/>
      <c r="H3307" s="98">
        <v>978912.06</v>
      </c>
      <c r="I3307" s="243" t="s">
        <v>23036</v>
      </c>
      <c r="J3307" s="245" t="s">
        <v>23037</v>
      </c>
      <c r="K3307" s="207"/>
      <c r="L3307" s="245"/>
      <c r="M3307" s="200" t="s">
        <v>12550</v>
      </c>
      <c r="N3307" s="207"/>
      <c r="O3307" s="245" t="s">
        <v>17794</v>
      </c>
    </row>
    <row r="3308" spans="1:15" ht="192.6" customHeight="1" x14ac:dyDescent="0.3">
      <c r="A3308" s="139">
        <v>3256</v>
      </c>
      <c r="B3308" s="242" t="s">
        <v>23038</v>
      </c>
      <c r="C3308" s="242" t="s">
        <v>17223</v>
      </c>
      <c r="D3308" s="85" t="s">
        <v>23039</v>
      </c>
      <c r="E3308" s="207">
        <v>702</v>
      </c>
      <c r="F3308" s="98">
        <v>148922.28</v>
      </c>
      <c r="G3308" s="25"/>
      <c r="H3308" s="98">
        <v>148922.28</v>
      </c>
      <c r="I3308" s="243" t="s">
        <v>23036</v>
      </c>
      <c r="J3308" s="245" t="s">
        <v>23040</v>
      </c>
      <c r="K3308" s="207"/>
      <c r="L3308" s="245"/>
      <c r="M3308" s="200" t="s">
        <v>12550</v>
      </c>
      <c r="N3308" s="207"/>
      <c r="O3308" s="245" t="s">
        <v>17794</v>
      </c>
    </row>
    <row r="3309" spans="1:15" ht="192.6" customHeight="1" x14ac:dyDescent="0.3">
      <c r="A3309" s="139">
        <v>3257</v>
      </c>
      <c r="B3309" s="242" t="s">
        <v>23038</v>
      </c>
      <c r="C3309" s="242" t="s">
        <v>16609</v>
      </c>
      <c r="D3309" s="85" t="s">
        <v>23041</v>
      </c>
      <c r="E3309" s="207">
        <v>5192</v>
      </c>
      <c r="F3309" s="98">
        <v>458194</v>
      </c>
      <c r="G3309" s="25"/>
      <c r="H3309" s="98">
        <v>458194</v>
      </c>
      <c r="I3309" s="243" t="s">
        <v>23036</v>
      </c>
      <c r="J3309" s="245" t="s">
        <v>23042</v>
      </c>
      <c r="K3309" s="207"/>
      <c r="L3309" s="245"/>
      <c r="M3309" s="200" t="s">
        <v>12550</v>
      </c>
      <c r="N3309" s="207"/>
      <c r="O3309" s="245" t="s">
        <v>17794</v>
      </c>
    </row>
    <row r="3310" spans="1:15" ht="192.6" customHeight="1" x14ac:dyDescent="0.3">
      <c r="A3310" s="139">
        <v>3258</v>
      </c>
      <c r="B3310" s="242" t="s">
        <v>23038</v>
      </c>
      <c r="C3310" s="242" t="s">
        <v>16606</v>
      </c>
      <c r="D3310" s="85" t="s">
        <v>23043</v>
      </c>
      <c r="E3310" s="207">
        <v>2772</v>
      </c>
      <c r="F3310" s="98">
        <v>508634.28</v>
      </c>
      <c r="G3310" s="25"/>
      <c r="H3310" s="98">
        <v>508634.28</v>
      </c>
      <c r="I3310" s="243" t="s">
        <v>23036</v>
      </c>
      <c r="J3310" s="245" t="s">
        <v>23044</v>
      </c>
      <c r="K3310" s="207"/>
      <c r="L3310" s="245"/>
      <c r="M3310" s="200" t="s">
        <v>12550</v>
      </c>
      <c r="N3310" s="207"/>
      <c r="O3310" s="245" t="s">
        <v>17794</v>
      </c>
    </row>
    <row r="3311" spans="1:15" ht="192.6" customHeight="1" x14ac:dyDescent="0.3">
      <c r="A3311" s="139">
        <v>3258</v>
      </c>
      <c r="B3311" s="242" t="s">
        <v>23038</v>
      </c>
      <c r="C3311" s="242" t="s">
        <v>23045</v>
      </c>
      <c r="D3311" s="85" t="s">
        <v>23046</v>
      </c>
      <c r="E3311" s="207">
        <v>3480</v>
      </c>
      <c r="F3311" s="98">
        <v>451669.2</v>
      </c>
      <c r="G3311" s="25"/>
      <c r="H3311" s="98">
        <v>451669.2</v>
      </c>
      <c r="I3311" s="243" t="s">
        <v>23036</v>
      </c>
      <c r="J3311" s="245" t="s">
        <v>23047</v>
      </c>
      <c r="K3311" s="207"/>
      <c r="L3311" s="245"/>
      <c r="M3311" s="200" t="s">
        <v>12550</v>
      </c>
      <c r="N3311" s="207"/>
      <c r="O3311" s="245" t="s">
        <v>17794</v>
      </c>
    </row>
    <row r="3312" spans="1:15" ht="192.6" customHeight="1" x14ac:dyDescent="0.3">
      <c r="A3312" s="139">
        <v>3259</v>
      </c>
      <c r="B3312" s="242" t="s">
        <v>23038</v>
      </c>
      <c r="C3312" s="242" t="s">
        <v>17267</v>
      </c>
      <c r="D3312" s="85" t="s">
        <v>23048</v>
      </c>
      <c r="E3312" s="207">
        <v>2807</v>
      </c>
      <c r="F3312" s="98">
        <v>595476.98</v>
      </c>
      <c r="G3312" s="25"/>
      <c r="H3312" s="98">
        <v>595476.98</v>
      </c>
      <c r="I3312" s="243" t="s">
        <v>23036</v>
      </c>
      <c r="J3312" s="245" t="s">
        <v>23049</v>
      </c>
      <c r="K3312" s="207"/>
      <c r="L3312" s="245"/>
      <c r="M3312" s="200" t="s">
        <v>12550</v>
      </c>
      <c r="N3312" s="207"/>
      <c r="O3312" s="245" t="s">
        <v>17794</v>
      </c>
    </row>
    <row r="3313" spans="1:26" ht="192.6" customHeight="1" x14ac:dyDescent="0.3">
      <c r="A3313" s="139">
        <v>3260</v>
      </c>
      <c r="B3313" s="242" t="s">
        <v>23038</v>
      </c>
      <c r="C3313" s="242" t="s">
        <v>17270</v>
      </c>
      <c r="D3313" s="85" t="s">
        <v>23050</v>
      </c>
      <c r="E3313" s="207">
        <v>11362</v>
      </c>
      <c r="F3313" s="98">
        <v>2511115.62</v>
      </c>
      <c r="G3313" s="25"/>
      <c r="H3313" s="98">
        <v>2511115.62</v>
      </c>
      <c r="I3313" s="243" t="s">
        <v>23036</v>
      </c>
      <c r="J3313" s="245" t="s">
        <v>23051</v>
      </c>
      <c r="K3313" s="207"/>
      <c r="L3313" s="245"/>
      <c r="M3313" s="200" t="s">
        <v>12550</v>
      </c>
      <c r="N3313" s="207"/>
      <c r="O3313" s="245" t="s">
        <v>17794</v>
      </c>
    </row>
    <row r="3314" spans="1:26" ht="132" customHeight="1" x14ac:dyDescent="0.3">
      <c r="A3314" s="139">
        <v>3261</v>
      </c>
      <c r="B3314" s="230" t="s">
        <v>23144</v>
      </c>
      <c r="C3314" s="32" t="s">
        <v>16609</v>
      </c>
      <c r="D3314" s="85" t="s">
        <v>23145</v>
      </c>
      <c r="E3314" s="207">
        <v>339</v>
      </c>
      <c r="F3314" s="25">
        <v>2025637.52</v>
      </c>
      <c r="G3314" s="207"/>
      <c r="H3314" s="25">
        <v>2025637.52</v>
      </c>
      <c r="I3314" s="26">
        <v>43671</v>
      </c>
      <c r="J3314" s="72" t="s">
        <v>23146</v>
      </c>
      <c r="K3314" s="207"/>
      <c r="L3314" s="245"/>
      <c r="M3314" s="201" t="s">
        <v>12550</v>
      </c>
      <c r="N3314" s="207"/>
      <c r="O3314" s="38" t="s">
        <v>23147</v>
      </c>
    </row>
    <row r="3315" spans="1:26" ht="79.2" customHeight="1" x14ac:dyDescent="0.3">
      <c r="A3315" s="139">
        <v>3262</v>
      </c>
      <c r="B3315" s="230" t="s">
        <v>23148</v>
      </c>
      <c r="C3315" s="32" t="s">
        <v>23149</v>
      </c>
      <c r="D3315" s="85" t="s">
        <v>23150</v>
      </c>
      <c r="E3315" s="207">
        <v>144.80000000000001</v>
      </c>
      <c r="F3315" s="25">
        <v>407056.85</v>
      </c>
      <c r="G3315" s="207"/>
      <c r="H3315" s="25">
        <v>407056.82</v>
      </c>
      <c r="I3315" s="26">
        <v>43671</v>
      </c>
      <c r="J3315" s="72" t="s">
        <v>23151</v>
      </c>
      <c r="K3315" s="207"/>
      <c r="L3315" s="245"/>
      <c r="M3315" s="201" t="s">
        <v>12550</v>
      </c>
      <c r="N3315" s="207"/>
      <c r="O3315" s="38"/>
    </row>
    <row r="3316" spans="1:26" s="161" customFormat="1" ht="190.95" customHeight="1" x14ac:dyDescent="0.3">
      <c r="A3316" s="139">
        <v>3263</v>
      </c>
      <c r="B3316" s="242" t="s">
        <v>23264</v>
      </c>
      <c r="C3316" s="242" t="s">
        <v>17641</v>
      </c>
      <c r="D3316" s="60" t="s">
        <v>23265</v>
      </c>
      <c r="E3316" s="242">
        <v>3885</v>
      </c>
      <c r="F3316" s="98">
        <v>385780.5</v>
      </c>
      <c r="G3316" s="244"/>
      <c r="H3316" s="98">
        <v>385780.5</v>
      </c>
      <c r="I3316" s="243">
        <v>43683</v>
      </c>
      <c r="J3316" s="242" t="s">
        <v>23266</v>
      </c>
      <c r="K3316" s="242"/>
      <c r="L3316" s="245"/>
      <c r="M3316" s="200" t="s">
        <v>12550</v>
      </c>
      <c r="N3316" s="160"/>
      <c r="O3316" s="245" t="s">
        <v>12039</v>
      </c>
      <c r="Q3316" s="67"/>
      <c r="R3316" s="67"/>
      <c r="S3316" s="67"/>
      <c r="T3316" s="67"/>
      <c r="U3316" s="67"/>
      <c r="V3316" s="67"/>
      <c r="W3316" s="67"/>
      <c r="X3316" s="67"/>
      <c r="Y3316" s="67"/>
      <c r="Z3316" s="67"/>
    </row>
    <row r="3317" spans="1:26" ht="72" customHeight="1" x14ac:dyDescent="0.3">
      <c r="A3317" s="139">
        <v>3264</v>
      </c>
      <c r="B3317" s="242" t="s">
        <v>19312</v>
      </c>
      <c r="C3317" s="245" t="s">
        <v>23277</v>
      </c>
      <c r="D3317" s="85" t="s">
        <v>23274</v>
      </c>
      <c r="E3317" s="207">
        <v>1000</v>
      </c>
      <c r="F3317" s="25">
        <v>196950</v>
      </c>
      <c r="G3317" s="207"/>
      <c r="H3317" s="25">
        <v>196950</v>
      </c>
      <c r="I3317" s="26">
        <v>43655</v>
      </c>
      <c r="J3317" s="245" t="s">
        <v>23275</v>
      </c>
      <c r="K3317" s="207"/>
      <c r="L3317" s="245"/>
      <c r="M3317" s="200" t="s">
        <v>12550</v>
      </c>
      <c r="N3317" s="207"/>
      <c r="O3317" s="38" t="s">
        <v>12039</v>
      </c>
    </row>
    <row r="3318" spans="1:26" ht="92.4" customHeight="1" x14ac:dyDescent="0.3">
      <c r="A3318" s="139">
        <v>3265</v>
      </c>
      <c r="B3318" s="242" t="s">
        <v>23276</v>
      </c>
      <c r="C3318" s="245" t="s">
        <v>23278</v>
      </c>
      <c r="D3318" s="85" t="s">
        <v>23279</v>
      </c>
      <c r="E3318" s="207">
        <v>1200</v>
      </c>
      <c r="F3318" s="25">
        <v>272616</v>
      </c>
      <c r="G3318" s="207"/>
      <c r="H3318" s="25">
        <v>272616</v>
      </c>
      <c r="I3318" s="26" t="s">
        <v>23114</v>
      </c>
      <c r="J3318" s="245" t="s">
        <v>23280</v>
      </c>
      <c r="K3318" s="207"/>
      <c r="L3318" s="245"/>
      <c r="M3318" s="200" t="s">
        <v>12550</v>
      </c>
      <c r="N3318" s="207"/>
      <c r="O3318" s="38" t="s">
        <v>12039</v>
      </c>
    </row>
    <row r="3319" spans="1:26" ht="92.4" customHeight="1" x14ac:dyDescent="0.3">
      <c r="A3319" s="139">
        <v>3266</v>
      </c>
      <c r="B3319" s="242" t="s">
        <v>23276</v>
      </c>
      <c r="C3319" s="245" t="s">
        <v>23281</v>
      </c>
      <c r="D3319" s="85" t="s">
        <v>23282</v>
      </c>
      <c r="E3319" s="207">
        <v>1200</v>
      </c>
      <c r="F3319" s="25">
        <v>272616</v>
      </c>
      <c r="G3319" s="207"/>
      <c r="H3319" s="25">
        <v>272616</v>
      </c>
      <c r="I3319" s="26" t="s">
        <v>23114</v>
      </c>
      <c r="J3319" s="245" t="s">
        <v>23283</v>
      </c>
      <c r="K3319" s="207"/>
      <c r="L3319" s="245"/>
      <c r="M3319" s="200" t="s">
        <v>12550</v>
      </c>
      <c r="N3319" s="207"/>
      <c r="O3319" s="38" t="s">
        <v>12039</v>
      </c>
    </row>
    <row r="3320" spans="1:26" ht="72" customHeight="1" x14ac:dyDescent="0.3">
      <c r="A3320" s="139">
        <v>3267</v>
      </c>
      <c r="B3320" s="52" t="s">
        <v>23520</v>
      </c>
      <c r="C3320" s="52" t="s">
        <v>23285</v>
      </c>
      <c r="D3320" s="88" t="s">
        <v>23286</v>
      </c>
      <c r="E3320" s="157">
        <v>33.700000000000003</v>
      </c>
      <c r="F3320" s="43">
        <v>1399200</v>
      </c>
      <c r="G3320" s="6"/>
      <c r="H3320" s="25">
        <v>715377.53</v>
      </c>
      <c r="I3320" s="207" t="s">
        <v>23287</v>
      </c>
      <c r="J3320" s="245" t="s">
        <v>23387</v>
      </c>
      <c r="K3320" s="207"/>
      <c r="L3320" s="245"/>
      <c r="M3320" s="201" t="s">
        <v>12550</v>
      </c>
      <c r="N3320" s="234" t="s">
        <v>23388</v>
      </c>
      <c r="O3320" s="38"/>
    </row>
    <row r="3321" spans="1:26" ht="99.75" customHeight="1" x14ac:dyDescent="0.3">
      <c r="A3321" s="139">
        <v>3268</v>
      </c>
      <c r="B3321" s="52" t="s">
        <v>23519</v>
      </c>
      <c r="C3321" s="52" t="s">
        <v>23389</v>
      </c>
      <c r="D3321" s="88" t="s">
        <v>23390</v>
      </c>
      <c r="E3321" s="157">
        <v>36.1</v>
      </c>
      <c r="F3321" s="43">
        <v>1399200</v>
      </c>
      <c r="G3321" s="6"/>
      <c r="H3321" s="25">
        <v>690358.71</v>
      </c>
      <c r="I3321" s="26">
        <v>43705</v>
      </c>
      <c r="J3321" s="245" t="s">
        <v>23391</v>
      </c>
      <c r="K3321" s="207"/>
      <c r="L3321" s="245"/>
      <c r="M3321" s="201" t="s">
        <v>12550</v>
      </c>
      <c r="N3321" s="234" t="s">
        <v>23392</v>
      </c>
      <c r="O3321" s="38"/>
    </row>
    <row r="3322" spans="1:26" ht="99.75" customHeight="1" x14ac:dyDescent="0.3">
      <c r="A3322" s="81">
        <v>3269</v>
      </c>
      <c r="B3322" s="297" t="s">
        <v>23469</v>
      </c>
      <c r="C3322" s="297" t="s">
        <v>23470</v>
      </c>
      <c r="D3322" s="298"/>
      <c r="E3322" s="297">
        <v>7471.5</v>
      </c>
      <c r="F3322" s="297"/>
      <c r="G3322" s="297"/>
      <c r="H3322" s="298"/>
      <c r="I3322" s="298" t="s">
        <v>23471</v>
      </c>
      <c r="J3322" s="297" t="s">
        <v>23472</v>
      </c>
      <c r="K3322" s="298"/>
      <c r="L3322" s="297"/>
      <c r="M3322" s="231" t="s">
        <v>12550</v>
      </c>
      <c r="N3322" s="152"/>
      <c r="O3322" s="38" t="s">
        <v>23857</v>
      </c>
    </row>
    <row r="3323" spans="1:26" ht="99.75" customHeight="1" x14ac:dyDescent="0.3">
      <c r="A3323" s="246">
        <v>3270</v>
      </c>
      <c r="B3323" s="105" t="s">
        <v>23473</v>
      </c>
      <c r="C3323" s="105" t="s">
        <v>23474</v>
      </c>
      <c r="D3323" s="152"/>
      <c r="E3323" s="105">
        <v>339</v>
      </c>
      <c r="F3323" s="105"/>
      <c r="G3323" s="105"/>
      <c r="H3323" s="152"/>
      <c r="I3323" s="302">
        <v>43385</v>
      </c>
      <c r="J3323" s="105" t="s">
        <v>21234</v>
      </c>
      <c r="K3323" s="152"/>
      <c r="L3323" s="105"/>
      <c r="M3323" s="231" t="s">
        <v>12550</v>
      </c>
      <c r="N3323" s="296"/>
      <c r="O3323" s="38" t="s">
        <v>23858</v>
      </c>
    </row>
    <row r="3324" spans="1:26" ht="132" customHeight="1" x14ac:dyDescent="0.3">
      <c r="A3324" s="246">
        <v>3271</v>
      </c>
      <c r="B3324" s="299" t="s">
        <v>23021</v>
      </c>
      <c r="C3324" s="280" t="s">
        <v>16301</v>
      </c>
      <c r="D3324" s="300" t="s">
        <v>23433</v>
      </c>
      <c r="E3324" s="94">
        <v>1716</v>
      </c>
      <c r="F3324" s="293">
        <v>2025637.52</v>
      </c>
      <c r="G3324" s="94"/>
      <c r="H3324" s="293">
        <v>2025637.52</v>
      </c>
      <c r="I3324" s="294" t="s">
        <v>23434</v>
      </c>
      <c r="J3324" s="301" t="s">
        <v>23435</v>
      </c>
      <c r="K3324" s="94"/>
      <c r="L3324" s="257"/>
      <c r="M3324" s="295" t="s">
        <v>12550</v>
      </c>
      <c r="N3324" s="207"/>
      <c r="O3324" s="38" t="s">
        <v>23436</v>
      </c>
    </row>
    <row r="3325" spans="1:26" ht="132" customHeight="1" x14ac:dyDescent="0.3">
      <c r="A3325" s="246">
        <v>3272</v>
      </c>
      <c r="B3325" s="230" t="s">
        <v>23437</v>
      </c>
      <c r="C3325" s="32" t="s">
        <v>23045</v>
      </c>
      <c r="D3325" s="85" t="s">
        <v>23438</v>
      </c>
      <c r="E3325" s="207">
        <v>664</v>
      </c>
      <c r="F3325" s="25">
        <v>2025637.52</v>
      </c>
      <c r="G3325" s="207"/>
      <c r="H3325" s="25">
        <v>2025637.52</v>
      </c>
      <c r="I3325" s="26" t="s">
        <v>23439</v>
      </c>
      <c r="J3325" s="72" t="s">
        <v>23440</v>
      </c>
      <c r="K3325" s="207"/>
      <c r="L3325" s="245"/>
      <c r="M3325" s="201" t="s">
        <v>12550</v>
      </c>
      <c r="N3325" s="207"/>
      <c r="O3325" s="38" t="s">
        <v>23441</v>
      </c>
    </row>
    <row r="3326" spans="1:26" ht="84" x14ac:dyDescent="0.3">
      <c r="A3326" s="246">
        <v>3273</v>
      </c>
      <c r="B3326" s="52" t="s">
        <v>14078</v>
      </c>
      <c r="C3326" s="52" t="s">
        <v>23542</v>
      </c>
      <c r="D3326" s="88" t="s">
        <v>23543</v>
      </c>
      <c r="E3326" s="157">
        <v>32.9</v>
      </c>
      <c r="F3326" s="43">
        <v>1747147.92</v>
      </c>
      <c r="G3326" s="6"/>
      <c r="H3326" s="25">
        <v>1535296.59</v>
      </c>
      <c r="I3326" s="207" t="s">
        <v>23443</v>
      </c>
      <c r="J3326" s="245" t="s">
        <v>23544</v>
      </c>
      <c r="K3326" s="207"/>
      <c r="L3326" s="245"/>
      <c r="M3326" s="201" t="s">
        <v>12550</v>
      </c>
      <c r="N3326" s="234"/>
      <c r="O3326" s="38" t="s">
        <v>23718</v>
      </c>
    </row>
    <row r="3327" spans="1:26" ht="84" x14ac:dyDescent="0.3">
      <c r="A3327" s="246">
        <v>3274</v>
      </c>
      <c r="B3327" s="52" t="s">
        <v>14078</v>
      </c>
      <c r="C3327" s="52" t="s">
        <v>23545</v>
      </c>
      <c r="D3327" s="88" t="s">
        <v>23546</v>
      </c>
      <c r="E3327" s="157">
        <v>37.700000000000003</v>
      </c>
      <c r="F3327" s="43">
        <v>2278195.92</v>
      </c>
      <c r="G3327" s="6"/>
      <c r="H3327" s="25">
        <v>1728912.2</v>
      </c>
      <c r="I3327" s="26" t="s">
        <v>23487</v>
      </c>
      <c r="J3327" s="245" t="s">
        <v>23547</v>
      </c>
      <c r="K3327" s="207"/>
      <c r="L3327" s="245"/>
      <c r="M3327" s="201" t="s">
        <v>12550</v>
      </c>
      <c r="N3327" s="234"/>
      <c r="O3327" s="38" t="s">
        <v>23719</v>
      </c>
    </row>
    <row r="3328" spans="1:26" ht="84" x14ac:dyDescent="0.3">
      <c r="A3328" s="246">
        <v>3275</v>
      </c>
      <c r="B3328" s="52" t="s">
        <v>12491</v>
      </c>
      <c r="C3328" s="52" t="s">
        <v>23548</v>
      </c>
      <c r="D3328" s="88" t="s">
        <v>23549</v>
      </c>
      <c r="E3328" s="157">
        <v>48</v>
      </c>
      <c r="F3328" s="43">
        <v>2900620.8</v>
      </c>
      <c r="G3328" s="6"/>
      <c r="H3328" s="25">
        <v>2129333.2799999998</v>
      </c>
      <c r="I3328" s="26" t="s">
        <v>23443</v>
      </c>
      <c r="J3328" s="245" t="s">
        <v>23550</v>
      </c>
      <c r="K3328" s="207" t="s">
        <v>23699</v>
      </c>
      <c r="L3328" s="245" t="s">
        <v>23700</v>
      </c>
      <c r="M3328" s="201" t="s">
        <v>12550</v>
      </c>
      <c r="N3328" s="234"/>
      <c r="O3328" s="38"/>
    </row>
    <row r="3329" spans="1:15" ht="84" x14ac:dyDescent="0.3">
      <c r="A3329" s="246">
        <v>3276</v>
      </c>
      <c r="B3329" s="52" t="s">
        <v>14078</v>
      </c>
      <c r="C3329" s="52" t="s">
        <v>23551</v>
      </c>
      <c r="D3329" s="88" t="s">
        <v>23552</v>
      </c>
      <c r="E3329" s="157">
        <v>35</v>
      </c>
      <c r="F3329" s="43">
        <v>1650000</v>
      </c>
      <c r="G3329" s="6"/>
      <c r="H3329" s="25">
        <v>537484.5</v>
      </c>
      <c r="I3329" s="26" t="s">
        <v>23553</v>
      </c>
      <c r="J3329" s="245" t="s">
        <v>23554</v>
      </c>
      <c r="K3329" s="207"/>
      <c r="L3329" s="245"/>
      <c r="M3329" s="201" t="s">
        <v>12550</v>
      </c>
      <c r="N3329" s="234"/>
      <c r="O3329" s="38"/>
    </row>
    <row r="3330" spans="1:15" ht="84" x14ac:dyDescent="0.3">
      <c r="A3330" s="246">
        <v>3277</v>
      </c>
      <c r="B3330" s="52" t="s">
        <v>12491</v>
      </c>
      <c r="C3330" s="52" t="s">
        <v>23555</v>
      </c>
      <c r="D3330" s="88" t="s">
        <v>23556</v>
      </c>
      <c r="E3330" s="157">
        <v>47.5</v>
      </c>
      <c r="F3330" s="43">
        <v>1985502</v>
      </c>
      <c r="G3330" s="6"/>
      <c r="H3330" s="25">
        <v>592429.5</v>
      </c>
      <c r="I3330" s="26" t="s">
        <v>23443</v>
      </c>
      <c r="J3330" s="245" t="s">
        <v>23557</v>
      </c>
      <c r="K3330" s="207" t="s">
        <v>23594</v>
      </c>
      <c r="L3330" s="245" t="s">
        <v>23698</v>
      </c>
      <c r="M3330" s="201" t="s">
        <v>12550</v>
      </c>
      <c r="N3330" s="234"/>
      <c r="O3330" s="38"/>
    </row>
    <row r="3331" spans="1:15" ht="84" x14ac:dyDescent="0.3">
      <c r="A3331" s="246">
        <v>3278</v>
      </c>
      <c r="B3331" s="52" t="s">
        <v>12491</v>
      </c>
      <c r="C3331" s="52" t="s">
        <v>23558</v>
      </c>
      <c r="D3331" s="88" t="s">
        <v>23559</v>
      </c>
      <c r="E3331" s="157">
        <v>42.3</v>
      </c>
      <c r="F3331" s="43">
        <v>2194693.2000000002</v>
      </c>
      <c r="G3331" s="6"/>
      <c r="H3331" s="25">
        <v>1029775.73</v>
      </c>
      <c r="I3331" s="26" t="s">
        <v>23443</v>
      </c>
      <c r="J3331" s="245" t="s">
        <v>23560</v>
      </c>
      <c r="K3331" s="207" t="s">
        <v>23689</v>
      </c>
      <c r="L3331" s="245" t="s">
        <v>23690</v>
      </c>
      <c r="M3331" s="201" t="s">
        <v>12550</v>
      </c>
      <c r="N3331" s="234"/>
      <c r="O3331" s="38"/>
    </row>
    <row r="3332" spans="1:15" ht="84" x14ac:dyDescent="0.3">
      <c r="A3332" s="246">
        <v>3279</v>
      </c>
      <c r="B3332" s="52" t="s">
        <v>12491</v>
      </c>
      <c r="C3332" s="52" t="s">
        <v>23561</v>
      </c>
      <c r="D3332" s="88" t="s">
        <v>23562</v>
      </c>
      <c r="E3332" s="157">
        <v>47.6</v>
      </c>
      <c r="F3332" s="43">
        <v>2876448.96</v>
      </c>
      <c r="G3332" s="6"/>
      <c r="H3332" s="25">
        <v>2000052.52</v>
      </c>
      <c r="I3332" s="26" t="s">
        <v>23487</v>
      </c>
      <c r="J3332" s="245" t="s">
        <v>23563</v>
      </c>
      <c r="K3332" s="26" t="s">
        <v>23637</v>
      </c>
      <c r="L3332" s="38" t="s">
        <v>23694</v>
      </c>
      <c r="M3332" s="201" t="s">
        <v>12550</v>
      </c>
      <c r="N3332" s="234"/>
      <c r="O3332" s="38"/>
    </row>
    <row r="3333" spans="1:15" ht="84" x14ac:dyDescent="0.3">
      <c r="A3333" s="246">
        <v>3280</v>
      </c>
      <c r="B3333" s="52" t="s">
        <v>12491</v>
      </c>
      <c r="C3333" s="52" t="s">
        <v>23564</v>
      </c>
      <c r="D3333" s="88" t="s">
        <v>23565</v>
      </c>
      <c r="E3333" s="157">
        <v>49.1</v>
      </c>
      <c r="F3333" s="43">
        <v>2565044.04</v>
      </c>
      <c r="G3333" s="6"/>
      <c r="H3333" s="25">
        <v>358741.29</v>
      </c>
      <c r="I3333" s="26" t="s">
        <v>23443</v>
      </c>
      <c r="J3333" s="245" t="s">
        <v>23566</v>
      </c>
      <c r="K3333" s="207"/>
      <c r="L3333" s="245"/>
      <c r="M3333" s="201" t="s">
        <v>12550</v>
      </c>
      <c r="N3333" s="234"/>
      <c r="O3333" s="38"/>
    </row>
    <row r="3334" spans="1:15" ht="84" x14ac:dyDescent="0.3">
      <c r="A3334" s="246">
        <v>3281</v>
      </c>
      <c r="B3334" s="52" t="s">
        <v>14078</v>
      </c>
      <c r="C3334" s="52" t="s">
        <v>23567</v>
      </c>
      <c r="D3334" s="88" t="s">
        <v>23568</v>
      </c>
      <c r="E3334" s="157">
        <v>30.5</v>
      </c>
      <c r="F3334" s="43">
        <v>1843102.8</v>
      </c>
      <c r="G3334" s="6"/>
      <c r="H3334" s="25">
        <v>1227983.68</v>
      </c>
      <c r="I3334" s="26" t="s">
        <v>23569</v>
      </c>
      <c r="J3334" s="245" t="s">
        <v>23570</v>
      </c>
      <c r="K3334" s="207" t="s">
        <v>23699</v>
      </c>
      <c r="L3334" s="245" t="s">
        <v>23705</v>
      </c>
      <c r="M3334" s="201" t="s">
        <v>12550</v>
      </c>
      <c r="N3334" s="234"/>
      <c r="O3334" s="38" t="s">
        <v>23706</v>
      </c>
    </row>
    <row r="3335" spans="1:15" ht="84" x14ac:dyDescent="0.3">
      <c r="A3335" s="246">
        <v>3282</v>
      </c>
      <c r="B3335" s="52" t="s">
        <v>12491</v>
      </c>
      <c r="C3335" s="52" t="s">
        <v>23571</v>
      </c>
      <c r="D3335" s="88" t="s">
        <v>23572</v>
      </c>
      <c r="E3335" s="157">
        <v>42.8</v>
      </c>
      <c r="F3335" s="43">
        <v>2750000</v>
      </c>
      <c r="G3335" s="6"/>
      <c r="H3335" s="25">
        <v>429271.16</v>
      </c>
      <c r="I3335" s="26" t="s">
        <v>23573</v>
      </c>
      <c r="J3335" s="245" t="s">
        <v>23574</v>
      </c>
      <c r="K3335" s="207"/>
      <c r="L3335" s="245"/>
      <c r="M3335" s="201" t="s">
        <v>12550</v>
      </c>
      <c r="N3335" s="234"/>
      <c r="O3335" s="38"/>
    </row>
    <row r="3336" spans="1:15" ht="84" x14ac:dyDescent="0.3">
      <c r="A3336" s="246">
        <v>3283</v>
      </c>
      <c r="B3336" s="52" t="s">
        <v>12491</v>
      </c>
      <c r="C3336" s="52" t="s">
        <v>23575</v>
      </c>
      <c r="D3336" s="88" t="s">
        <v>23576</v>
      </c>
      <c r="E3336" s="157">
        <v>40.799999999999997</v>
      </c>
      <c r="F3336" s="43">
        <v>2465527.6800000002</v>
      </c>
      <c r="G3336" s="6"/>
      <c r="H3336" s="25">
        <v>1699170.26</v>
      </c>
      <c r="I3336" s="26" t="s">
        <v>23577</v>
      </c>
      <c r="J3336" s="245" t="s">
        <v>23578</v>
      </c>
      <c r="K3336" s="207" t="s">
        <v>23699</v>
      </c>
      <c r="L3336" s="245" t="s">
        <v>23714</v>
      </c>
      <c r="M3336" s="201" t="s">
        <v>12550</v>
      </c>
      <c r="N3336" s="234"/>
      <c r="O3336" s="38"/>
    </row>
    <row r="3337" spans="1:15" ht="84" x14ac:dyDescent="0.3">
      <c r="A3337" s="246">
        <v>3284</v>
      </c>
      <c r="B3337" s="52" t="s">
        <v>14078</v>
      </c>
      <c r="C3337" s="52" t="s">
        <v>23579</v>
      </c>
      <c r="D3337" s="88" t="s">
        <v>23580</v>
      </c>
      <c r="E3337" s="157">
        <v>31.5</v>
      </c>
      <c r="F3337" s="43">
        <v>1903532.4</v>
      </c>
      <c r="G3337" s="6"/>
      <c r="H3337" s="25">
        <v>341173.35</v>
      </c>
      <c r="I3337" s="26" t="s">
        <v>23577</v>
      </c>
      <c r="J3337" s="245" t="s">
        <v>23581</v>
      </c>
      <c r="K3337" s="207"/>
      <c r="L3337" s="245"/>
      <c r="M3337" s="201" t="s">
        <v>12550</v>
      </c>
      <c r="N3337" s="234"/>
      <c r="O3337" s="38" t="s">
        <v>23715</v>
      </c>
    </row>
    <row r="3338" spans="1:15" ht="84" x14ac:dyDescent="0.3">
      <c r="A3338" s="246">
        <v>3285</v>
      </c>
      <c r="B3338" s="52" t="s">
        <v>14078</v>
      </c>
      <c r="C3338" s="52" t="s">
        <v>23582</v>
      </c>
      <c r="D3338" s="88" t="s">
        <v>23583</v>
      </c>
      <c r="E3338" s="157">
        <v>32.5</v>
      </c>
      <c r="F3338" s="43">
        <v>1963962</v>
      </c>
      <c r="G3338" s="6"/>
      <c r="H3338" s="25">
        <v>661252.47</v>
      </c>
      <c r="I3338" s="26" t="s">
        <v>23577</v>
      </c>
      <c r="J3338" s="245" t="s">
        <v>23584</v>
      </c>
      <c r="K3338" s="207"/>
      <c r="L3338" s="245"/>
      <c r="M3338" s="201" t="s">
        <v>12550</v>
      </c>
      <c r="N3338" s="234"/>
      <c r="O3338" s="38" t="s">
        <v>23717</v>
      </c>
    </row>
    <row r="3339" spans="1:15" ht="84" x14ac:dyDescent="0.3">
      <c r="A3339" s="246">
        <v>3286</v>
      </c>
      <c r="B3339" s="52" t="s">
        <v>12490</v>
      </c>
      <c r="C3339" s="52" t="s">
        <v>23585</v>
      </c>
      <c r="D3339" s="88" t="s">
        <v>23586</v>
      </c>
      <c r="E3339" s="157">
        <v>58</v>
      </c>
      <c r="F3339" s="43">
        <v>3504916.8</v>
      </c>
      <c r="G3339" s="6"/>
      <c r="H3339" s="25">
        <v>1525358.82</v>
      </c>
      <c r="I3339" s="26" t="s">
        <v>23587</v>
      </c>
      <c r="J3339" s="245" t="s">
        <v>23588</v>
      </c>
      <c r="K3339" s="207"/>
      <c r="L3339" s="245"/>
      <c r="M3339" s="201" t="s">
        <v>12550</v>
      </c>
      <c r="N3339" s="234"/>
      <c r="O3339" s="38" t="s">
        <v>23716</v>
      </c>
    </row>
    <row r="3340" spans="1:15" ht="84" x14ac:dyDescent="0.3">
      <c r="A3340" s="246">
        <v>3287</v>
      </c>
      <c r="B3340" s="52" t="s">
        <v>12491</v>
      </c>
      <c r="C3340" s="52" t="s">
        <v>23589</v>
      </c>
      <c r="D3340" s="88" t="s">
        <v>23590</v>
      </c>
      <c r="E3340" s="157">
        <v>50</v>
      </c>
      <c r="F3340" s="43">
        <v>3021480</v>
      </c>
      <c r="G3340" s="6"/>
      <c r="H3340" s="25">
        <v>777780</v>
      </c>
      <c r="I3340" s="26" t="s">
        <v>23587</v>
      </c>
      <c r="J3340" s="245" t="s">
        <v>23591</v>
      </c>
      <c r="K3340" s="207" t="s">
        <v>23699</v>
      </c>
      <c r="L3340" s="245" t="s">
        <v>23710</v>
      </c>
      <c r="M3340" s="201" t="s">
        <v>12550</v>
      </c>
      <c r="N3340" s="234"/>
      <c r="O3340" s="38"/>
    </row>
    <row r="3341" spans="1:15" ht="96" x14ac:dyDescent="0.3">
      <c r="A3341" s="246">
        <v>3288</v>
      </c>
      <c r="B3341" s="52" t="s">
        <v>23652</v>
      </c>
      <c r="C3341" s="52" t="s">
        <v>23653</v>
      </c>
      <c r="D3341" s="85" t="s">
        <v>23654</v>
      </c>
      <c r="E3341" s="157">
        <v>263.7</v>
      </c>
      <c r="F3341" s="316">
        <v>7764403.7999999998</v>
      </c>
      <c r="G3341" s="46"/>
      <c r="H3341" s="317">
        <v>7764403.7999999998</v>
      </c>
      <c r="I3341" s="26" t="s">
        <v>23655</v>
      </c>
      <c r="J3341" s="245" t="s">
        <v>23656</v>
      </c>
      <c r="K3341" s="207"/>
      <c r="L3341" s="245"/>
      <c r="M3341" s="201" t="s">
        <v>12550</v>
      </c>
      <c r="N3341" s="234"/>
      <c r="O3341" s="38"/>
    </row>
    <row r="3342" spans="1:15" ht="144" x14ac:dyDescent="0.3">
      <c r="A3342" s="246">
        <v>3289</v>
      </c>
      <c r="B3342" s="52" t="s">
        <v>23663</v>
      </c>
      <c r="C3342" s="52" t="s">
        <v>23667</v>
      </c>
      <c r="D3342" s="88" t="s">
        <v>23664</v>
      </c>
      <c r="E3342" s="157">
        <v>59.2</v>
      </c>
      <c r="F3342" s="43">
        <v>1593312.6</v>
      </c>
      <c r="G3342" s="6"/>
      <c r="H3342" s="25">
        <v>1593312.6</v>
      </c>
      <c r="I3342" s="26" t="s">
        <v>23665</v>
      </c>
      <c r="J3342" s="245" t="s">
        <v>23666</v>
      </c>
      <c r="K3342" s="207"/>
      <c r="L3342" s="245"/>
      <c r="M3342" s="201" t="s">
        <v>12550</v>
      </c>
      <c r="N3342" s="234"/>
      <c r="O3342" s="38"/>
    </row>
    <row r="3343" spans="1:15" ht="91.95" customHeight="1" x14ac:dyDescent="0.3">
      <c r="A3343" s="246">
        <v>3290</v>
      </c>
      <c r="B3343" s="52" t="s">
        <v>12491</v>
      </c>
      <c r="C3343" s="52" t="s">
        <v>23707</v>
      </c>
      <c r="D3343" s="88" t="s">
        <v>23708</v>
      </c>
      <c r="E3343" s="157">
        <v>41.5</v>
      </c>
      <c r="F3343" s="43">
        <v>793625.66</v>
      </c>
      <c r="G3343" s="43"/>
      <c r="H3343" s="25">
        <v>793625.66</v>
      </c>
      <c r="I3343" s="207" t="s">
        <v>23699</v>
      </c>
      <c r="J3343" s="245" t="s">
        <v>23709</v>
      </c>
      <c r="K3343" s="207"/>
      <c r="L3343" s="245"/>
      <c r="M3343" s="201" t="s">
        <v>12550</v>
      </c>
      <c r="N3343" s="207"/>
      <c r="O3343" s="38"/>
    </row>
    <row r="3344" spans="1:15" ht="91.95" customHeight="1" x14ac:dyDescent="0.3">
      <c r="A3344" s="246">
        <v>3291</v>
      </c>
      <c r="B3344" s="52" t="s">
        <v>12490</v>
      </c>
      <c r="C3344" s="52" t="s">
        <v>23712</v>
      </c>
      <c r="D3344" s="88" t="s">
        <v>23711</v>
      </c>
      <c r="E3344" s="157">
        <v>53.8</v>
      </c>
      <c r="F3344" s="43">
        <v>1028844.84</v>
      </c>
      <c r="G3344" s="43"/>
      <c r="H3344" s="25">
        <v>1028844.84</v>
      </c>
      <c r="I3344" s="207" t="s">
        <v>23699</v>
      </c>
      <c r="J3344" s="245" t="s">
        <v>23713</v>
      </c>
      <c r="K3344" s="207"/>
      <c r="L3344" s="245"/>
      <c r="M3344" s="201" t="s">
        <v>12550</v>
      </c>
      <c r="N3344" s="207"/>
      <c r="O3344" s="38"/>
    </row>
  </sheetData>
  <sheetProtection password="DE32" sheet="1" objects="1" scenarios="1" sort="0" autoFilter="0"/>
  <autoFilter ref="A3:O3344"/>
  <customSheetViews>
    <customSheetView guid="{2DCD716E-1533-446D-B259-42ED725E95A4}" scale="85" showAutoFilter="1" topLeftCell="A2980">
      <selection activeCell="O2984" sqref="O2984"/>
      <pageMargins left="0.39370078740157483" right="0.39370078740157483" top="0.39370078740157483" bottom="0.39370078740157483" header="0" footer="0"/>
      <pageSetup paperSize="9" scale="72" orientation="landscape" r:id="rId1"/>
      <autoFilter ref="A3:O2980"/>
    </customSheetView>
  </customSheetViews>
  <mergeCells count="2">
    <mergeCell ref="A2:N2"/>
    <mergeCell ref="A1:O1"/>
  </mergeCells>
  <pageMargins left="0.59055118110236215" right="0.19685039370078741" top="0.19685039370078741" bottom="0.19685039370078741" header="0" footer="0"/>
  <pageSetup paperSize="9" scale="40" fitToHeight="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0232"/>
  <sheetViews>
    <sheetView zoomScaleNormal="100" workbookViewId="0">
      <selection activeCell="I6" sqref="I6"/>
    </sheetView>
  </sheetViews>
  <sheetFormatPr defaultColWidth="8.88671875" defaultRowHeight="12" x14ac:dyDescent="0.3"/>
  <cols>
    <col min="1" max="1" width="6.88671875" style="12" customWidth="1"/>
    <col min="2" max="2" width="30.5546875" style="15" customWidth="1"/>
    <col min="3" max="3" width="13.88671875" style="15" customWidth="1"/>
    <col min="4" max="4" width="12.33203125" style="12" customWidth="1"/>
    <col min="5" max="5" width="10.33203125" style="12" customWidth="1"/>
    <col min="6" max="6" width="11.88671875" style="13" customWidth="1"/>
    <col min="7" max="7" width="17.88671875" style="12" customWidth="1"/>
    <col min="8" max="8" width="11.6640625" style="12" customWidth="1"/>
    <col min="9" max="9" width="12.5546875" style="12" customWidth="1"/>
    <col min="10" max="10" width="14.33203125" style="12" customWidth="1"/>
    <col min="11" max="11" width="21" style="12" customWidth="1"/>
    <col min="12" max="12" width="19.44140625" style="208" customWidth="1"/>
    <col min="13" max="14" width="9.109375" style="16" customWidth="1"/>
    <col min="15" max="15" width="14.33203125" style="16" customWidth="1"/>
    <col min="16" max="16384" width="8.88671875" style="17"/>
  </cols>
  <sheetData>
    <row r="1" spans="1:12" x14ac:dyDescent="0.3">
      <c r="A1" s="321" t="s">
        <v>18592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</row>
    <row r="2" spans="1:12" x14ac:dyDescent="0.25">
      <c r="A2" s="321"/>
      <c r="B2" s="322"/>
      <c r="C2" s="322"/>
      <c r="D2" s="322"/>
      <c r="E2" s="322"/>
      <c r="F2" s="322"/>
      <c r="G2" s="322"/>
      <c r="H2" s="322"/>
      <c r="I2" s="322"/>
      <c r="J2" s="322"/>
      <c r="K2" s="322"/>
    </row>
    <row r="3" spans="1:12" ht="79.8" x14ac:dyDescent="0.3">
      <c r="A3" s="8" t="s">
        <v>75</v>
      </c>
      <c r="B3" s="8" t="s">
        <v>0</v>
      </c>
      <c r="C3" s="8" t="s">
        <v>237</v>
      </c>
      <c r="D3" s="8" t="s">
        <v>94</v>
      </c>
      <c r="E3" s="8" t="s">
        <v>93</v>
      </c>
      <c r="F3" s="9" t="s">
        <v>89</v>
      </c>
      <c r="G3" s="8" t="s">
        <v>90</v>
      </c>
      <c r="H3" s="8" t="s">
        <v>91</v>
      </c>
      <c r="I3" s="8" t="s">
        <v>92</v>
      </c>
      <c r="J3" s="8" t="s">
        <v>4</v>
      </c>
      <c r="K3" s="8" t="s">
        <v>5</v>
      </c>
      <c r="L3" s="136" t="s">
        <v>15080</v>
      </c>
    </row>
    <row r="4" spans="1:12" ht="12" customHeight="1" x14ac:dyDescent="0.25">
      <c r="A4" s="8">
        <v>1</v>
      </c>
      <c r="B4" s="8">
        <v>2</v>
      </c>
      <c r="C4" s="8">
        <v>3</v>
      </c>
      <c r="D4" s="8">
        <v>4</v>
      </c>
      <c r="E4" s="8">
        <v>5</v>
      </c>
      <c r="F4" s="10">
        <v>6</v>
      </c>
      <c r="G4" s="8">
        <v>7</v>
      </c>
      <c r="H4" s="8">
        <v>8</v>
      </c>
      <c r="I4" s="8">
        <v>9</v>
      </c>
      <c r="J4" s="8">
        <v>10</v>
      </c>
      <c r="K4" s="8">
        <v>11</v>
      </c>
      <c r="L4" s="136">
        <v>12</v>
      </c>
    </row>
    <row r="5" spans="1:12" s="4" customFormat="1" ht="84" customHeight="1" x14ac:dyDescent="0.3">
      <c r="A5" s="2">
        <v>1</v>
      </c>
      <c r="B5" s="2" t="s">
        <v>12323</v>
      </c>
      <c r="C5" s="2">
        <v>13048</v>
      </c>
      <c r="D5" s="11">
        <v>0.01</v>
      </c>
      <c r="E5" s="11">
        <v>0.01</v>
      </c>
      <c r="F5" s="3">
        <v>40500</v>
      </c>
      <c r="G5" s="2" t="s">
        <v>11171</v>
      </c>
      <c r="H5" s="198"/>
      <c r="I5" s="2"/>
      <c r="J5" s="2" t="s">
        <v>13904</v>
      </c>
      <c r="K5" s="2" t="s">
        <v>18543</v>
      </c>
      <c r="L5" s="6"/>
    </row>
    <row r="6" spans="1:12" s="4" customFormat="1" ht="84" customHeight="1" x14ac:dyDescent="0.3">
      <c r="A6" s="2">
        <v>2</v>
      </c>
      <c r="B6" s="2" t="s">
        <v>12322</v>
      </c>
      <c r="C6" s="2">
        <v>13047</v>
      </c>
      <c r="D6" s="11">
        <v>254148.07</v>
      </c>
      <c r="E6" s="11">
        <v>135935.25</v>
      </c>
      <c r="F6" s="3">
        <v>40500</v>
      </c>
      <c r="G6" s="2" t="s">
        <v>11171</v>
      </c>
      <c r="H6" s="2"/>
      <c r="I6" s="2"/>
      <c r="J6" s="2" t="s">
        <v>13904</v>
      </c>
      <c r="K6" s="2" t="s">
        <v>18543</v>
      </c>
      <c r="L6" s="6"/>
    </row>
    <row r="7" spans="1:12" s="4" customFormat="1" ht="84" customHeight="1" x14ac:dyDescent="0.3">
      <c r="A7" s="2">
        <v>3</v>
      </c>
      <c r="B7" s="2" t="s">
        <v>16347</v>
      </c>
      <c r="C7" s="2">
        <v>13021</v>
      </c>
      <c r="D7" s="11">
        <v>65867.77</v>
      </c>
      <c r="E7" s="11">
        <v>50213.61</v>
      </c>
      <c r="F7" s="3">
        <v>40500</v>
      </c>
      <c r="G7" s="2" t="s">
        <v>11171</v>
      </c>
      <c r="H7" s="2"/>
      <c r="I7" s="2"/>
      <c r="J7" s="2" t="s">
        <v>13904</v>
      </c>
      <c r="K7" s="2" t="s">
        <v>18543</v>
      </c>
      <c r="L7" s="6"/>
    </row>
    <row r="8" spans="1:12" s="4" customFormat="1" ht="84" customHeight="1" x14ac:dyDescent="0.3">
      <c r="A8" s="2">
        <v>4</v>
      </c>
      <c r="B8" s="2" t="s">
        <v>12321</v>
      </c>
      <c r="C8" s="2">
        <v>14006</v>
      </c>
      <c r="D8" s="11">
        <v>31047.26</v>
      </c>
      <c r="E8" s="11"/>
      <c r="F8" s="3">
        <v>40500</v>
      </c>
      <c r="G8" s="2" t="s">
        <v>11171</v>
      </c>
      <c r="H8" s="3">
        <v>41961</v>
      </c>
      <c r="I8" s="2" t="s">
        <v>16344</v>
      </c>
      <c r="J8" s="2" t="s">
        <v>13904</v>
      </c>
      <c r="K8" s="2"/>
      <c r="L8" s="6"/>
    </row>
    <row r="9" spans="1:12" s="4" customFormat="1" ht="84" customHeight="1" x14ac:dyDescent="0.3">
      <c r="A9" s="2">
        <v>5</v>
      </c>
      <c r="B9" s="2" t="s">
        <v>12320</v>
      </c>
      <c r="C9" s="2">
        <v>14087</v>
      </c>
      <c r="D9" s="11">
        <v>3700.02</v>
      </c>
      <c r="E9" s="11">
        <v>3700.02</v>
      </c>
      <c r="F9" s="3">
        <v>40500</v>
      </c>
      <c r="G9" s="2" t="s">
        <v>11171</v>
      </c>
      <c r="H9" s="2"/>
      <c r="I9" s="2"/>
      <c r="J9" s="2" t="s">
        <v>13904</v>
      </c>
      <c r="K9" s="2" t="s">
        <v>18543</v>
      </c>
      <c r="L9" s="6"/>
    </row>
    <row r="10" spans="1:12" s="4" customFormat="1" ht="84" customHeight="1" x14ac:dyDescent="0.3">
      <c r="A10" s="2">
        <v>6</v>
      </c>
      <c r="B10" s="2" t="s">
        <v>12319</v>
      </c>
      <c r="C10" s="2">
        <v>17607</v>
      </c>
      <c r="D10" s="11">
        <v>526779.43999999994</v>
      </c>
      <c r="E10" s="11">
        <v>299306.25</v>
      </c>
      <c r="F10" s="3">
        <v>40500</v>
      </c>
      <c r="G10" s="2" t="s">
        <v>11171</v>
      </c>
      <c r="H10" s="2"/>
      <c r="I10" s="2"/>
      <c r="J10" s="2" t="s">
        <v>13904</v>
      </c>
      <c r="K10" s="2" t="s">
        <v>18543</v>
      </c>
      <c r="L10" s="6"/>
    </row>
    <row r="11" spans="1:12" s="4" customFormat="1" ht="84" customHeight="1" x14ac:dyDescent="0.3">
      <c r="A11" s="2">
        <v>7</v>
      </c>
      <c r="B11" s="2" t="s">
        <v>21793</v>
      </c>
      <c r="C11" s="79" t="s">
        <v>21794</v>
      </c>
      <c r="D11" s="11">
        <v>60507.6</v>
      </c>
      <c r="E11" s="11"/>
      <c r="F11" s="3" t="s">
        <v>21874</v>
      </c>
      <c r="G11" s="2" t="s">
        <v>21875</v>
      </c>
      <c r="H11" s="3"/>
      <c r="I11" s="2"/>
      <c r="J11" s="2" t="s">
        <v>13904</v>
      </c>
      <c r="K11" s="2" t="s">
        <v>21792</v>
      </c>
      <c r="L11" s="38"/>
    </row>
    <row r="12" spans="1:12" s="4" customFormat="1" ht="96" customHeight="1" x14ac:dyDescent="0.3">
      <c r="A12" s="2">
        <v>8</v>
      </c>
      <c r="B12" s="2" t="s">
        <v>12068</v>
      </c>
      <c r="C12" s="2"/>
      <c r="D12" s="11">
        <v>512898.74</v>
      </c>
      <c r="E12" s="11"/>
      <c r="F12" s="3" t="s">
        <v>12067</v>
      </c>
      <c r="G12" s="2" t="s">
        <v>12070</v>
      </c>
      <c r="H12" s="26">
        <v>43053</v>
      </c>
      <c r="I12" s="66" t="s">
        <v>19506</v>
      </c>
      <c r="J12" s="2" t="s">
        <v>12550</v>
      </c>
      <c r="K12" s="2"/>
      <c r="L12" s="38" t="s">
        <v>19510</v>
      </c>
    </row>
    <row r="13" spans="1:12" s="4" customFormat="1" ht="96" customHeight="1" x14ac:dyDescent="0.3">
      <c r="A13" s="2">
        <v>9</v>
      </c>
      <c r="B13" s="2" t="s">
        <v>12069</v>
      </c>
      <c r="C13" s="2"/>
      <c r="D13" s="11">
        <v>14019227.77</v>
      </c>
      <c r="E13" s="11"/>
      <c r="F13" s="3" t="s">
        <v>12067</v>
      </c>
      <c r="G13" s="2" t="s">
        <v>12071</v>
      </c>
      <c r="H13" s="26">
        <v>43053</v>
      </c>
      <c r="I13" s="66" t="s">
        <v>19506</v>
      </c>
      <c r="J13" s="2" t="s">
        <v>12550</v>
      </c>
      <c r="K13" s="2"/>
      <c r="L13" s="38" t="s">
        <v>19511</v>
      </c>
    </row>
    <row r="14" spans="1:12" s="4" customFormat="1" ht="84" customHeight="1" x14ac:dyDescent="0.3">
      <c r="A14" s="2">
        <v>10</v>
      </c>
      <c r="B14" s="2" t="s">
        <v>12318</v>
      </c>
      <c r="C14" s="2"/>
      <c r="D14" s="11">
        <v>8194954</v>
      </c>
      <c r="E14" s="11"/>
      <c r="F14" s="3">
        <v>35727</v>
      </c>
      <c r="G14" s="2" t="s">
        <v>12011</v>
      </c>
      <c r="H14" s="2"/>
      <c r="I14" s="2"/>
      <c r="J14" s="2" t="s">
        <v>12550</v>
      </c>
      <c r="K14" s="2"/>
      <c r="L14" s="6"/>
    </row>
    <row r="15" spans="1:12" s="4" customFormat="1" ht="84" customHeight="1" x14ac:dyDescent="0.3">
      <c r="A15" s="2">
        <v>11</v>
      </c>
      <c r="B15" s="2" t="s">
        <v>12317</v>
      </c>
      <c r="C15" s="2">
        <v>17491</v>
      </c>
      <c r="D15" s="11">
        <v>68220.34</v>
      </c>
      <c r="E15" s="11">
        <v>68220.34</v>
      </c>
      <c r="F15" s="3">
        <v>40500</v>
      </c>
      <c r="G15" s="2" t="s">
        <v>11171</v>
      </c>
      <c r="H15" s="2"/>
      <c r="I15" s="2"/>
      <c r="J15" s="2" t="s">
        <v>13904</v>
      </c>
      <c r="K15" s="2" t="s">
        <v>18543</v>
      </c>
      <c r="L15" s="6"/>
    </row>
    <row r="16" spans="1:12" s="4" customFormat="1" ht="84" customHeight="1" x14ac:dyDescent="0.3">
      <c r="A16" s="2">
        <v>12</v>
      </c>
      <c r="B16" s="2" t="s">
        <v>11832</v>
      </c>
      <c r="C16" s="2">
        <v>17328</v>
      </c>
      <c r="D16" s="25">
        <v>72033.899999999994</v>
      </c>
      <c r="E16" s="11">
        <v>72033.899999999994</v>
      </c>
      <c r="F16" s="3">
        <v>40500</v>
      </c>
      <c r="G16" s="66" t="s">
        <v>11171</v>
      </c>
      <c r="H16" s="2"/>
      <c r="I16" s="2"/>
      <c r="J16" s="2" t="s">
        <v>13904</v>
      </c>
      <c r="K16" s="2" t="s">
        <v>18543</v>
      </c>
      <c r="L16" s="6"/>
    </row>
    <row r="17" spans="1:12" s="4" customFormat="1" ht="84" customHeight="1" x14ac:dyDescent="0.3">
      <c r="A17" s="2">
        <v>13</v>
      </c>
      <c r="B17" s="2" t="s">
        <v>11865</v>
      </c>
      <c r="C17" s="2">
        <v>17437</v>
      </c>
      <c r="D17" s="11">
        <v>112880.7</v>
      </c>
      <c r="E17" s="11">
        <v>72431.59</v>
      </c>
      <c r="F17" s="3">
        <v>40500</v>
      </c>
      <c r="G17" s="2" t="s">
        <v>11171</v>
      </c>
      <c r="H17" s="2"/>
      <c r="I17" s="2"/>
      <c r="J17" s="2" t="s">
        <v>13904</v>
      </c>
      <c r="K17" s="2" t="s">
        <v>18543</v>
      </c>
      <c r="L17" s="6"/>
    </row>
    <row r="18" spans="1:12" ht="84" customHeight="1" x14ac:dyDescent="0.3">
      <c r="A18" s="2">
        <v>14</v>
      </c>
      <c r="B18" s="2" t="s">
        <v>198</v>
      </c>
      <c r="C18" s="2"/>
      <c r="D18" s="11">
        <v>213384</v>
      </c>
      <c r="E18" s="11">
        <v>103451.44</v>
      </c>
      <c r="F18" s="3">
        <v>40816</v>
      </c>
      <c r="G18" s="2" t="s">
        <v>20155</v>
      </c>
      <c r="H18" s="2"/>
      <c r="I18" s="2"/>
      <c r="J18" s="2" t="s">
        <v>12550</v>
      </c>
      <c r="K18" s="2"/>
      <c r="L18" s="82"/>
    </row>
    <row r="19" spans="1:12" ht="84" customHeight="1" x14ac:dyDescent="0.3">
      <c r="A19" s="2">
        <v>15</v>
      </c>
      <c r="B19" s="2" t="s">
        <v>250</v>
      </c>
      <c r="C19" s="2" t="s">
        <v>238</v>
      </c>
      <c r="D19" s="11">
        <v>29000</v>
      </c>
      <c r="E19" s="11">
        <v>29000</v>
      </c>
      <c r="F19" s="3">
        <v>41709</v>
      </c>
      <c r="G19" s="2" t="s">
        <v>209</v>
      </c>
      <c r="H19" s="2"/>
      <c r="I19" s="2"/>
      <c r="J19" s="2" t="s">
        <v>12550</v>
      </c>
      <c r="K19" s="2"/>
      <c r="L19" s="82"/>
    </row>
    <row r="20" spans="1:12" ht="84" customHeight="1" x14ac:dyDescent="0.3">
      <c r="A20" s="2">
        <v>16</v>
      </c>
      <c r="B20" s="2" t="s">
        <v>250</v>
      </c>
      <c r="C20" s="2" t="s">
        <v>239</v>
      </c>
      <c r="D20" s="11">
        <v>29000</v>
      </c>
      <c r="E20" s="11">
        <v>29000</v>
      </c>
      <c r="F20" s="3">
        <v>41709</v>
      </c>
      <c r="G20" s="2" t="s">
        <v>209</v>
      </c>
      <c r="H20" s="2"/>
      <c r="I20" s="2"/>
      <c r="J20" s="2" t="s">
        <v>12550</v>
      </c>
      <c r="K20" s="2"/>
      <c r="L20" s="82"/>
    </row>
    <row r="21" spans="1:12" ht="84" customHeight="1" x14ac:dyDescent="0.3">
      <c r="A21" s="2">
        <v>17</v>
      </c>
      <c r="B21" s="2" t="s">
        <v>250</v>
      </c>
      <c r="C21" s="2" t="s">
        <v>240</v>
      </c>
      <c r="D21" s="11">
        <v>29000</v>
      </c>
      <c r="E21" s="11">
        <v>29000</v>
      </c>
      <c r="F21" s="3">
        <v>41709</v>
      </c>
      <c r="G21" s="2" t="s">
        <v>209</v>
      </c>
      <c r="H21" s="2"/>
      <c r="I21" s="2"/>
      <c r="J21" s="2" t="s">
        <v>12550</v>
      </c>
      <c r="K21" s="2"/>
      <c r="L21" s="82"/>
    </row>
    <row r="22" spans="1:12" ht="84" customHeight="1" x14ac:dyDescent="0.3">
      <c r="A22" s="2">
        <v>18</v>
      </c>
      <c r="B22" s="2" t="s">
        <v>249</v>
      </c>
      <c r="C22" s="2" t="s">
        <v>241</v>
      </c>
      <c r="D22" s="11">
        <v>30000</v>
      </c>
      <c r="E22" s="11">
        <v>30000</v>
      </c>
      <c r="F22" s="3">
        <v>41709</v>
      </c>
      <c r="G22" s="2" t="s">
        <v>209</v>
      </c>
      <c r="H22" s="2"/>
      <c r="I22" s="2"/>
      <c r="J22" s="2" t="s">
        <v>12550</v>
      </c>
      <c r="K22" s="2"/>
      <c r="L22" s="82"/>
    </row>
    <row r="23" spans="1:12" ht="84" customHeight="1" x14ac:dyDescent="0.3">
      <c r="A23" s="2">
        <v>19</v>
      </c>
      <c r="B23" s="2" t="s">
        <v>249</v>
      </c>
      <c r="C23" s="2" t="s">
        <v>242</v>
      </c>
      <c r="D23" s="11">
        <v>30000</v>
      </c>
      <c r="E23" s="11">
        <v>30000</v>
      </c>
      <c r="F23" s="3">
        <v>41709</v>
      </c>
      <c r="G23" s="2" t="s">
        <v>209</v>
      </c>
      <c r="H23" s="2"/>
      <c r="I23" s="2"/>
      <c r="J23" s="2" t="s">
        <v>12550</v>
      </c>
      <c r="K23" s="2"/>
      <c r="L23" s="82"/>
    </row>
    <row r="24" spans="1:12" ht="84" customHeight="1" x14ac:dyDescent="0.3">
      <c r="A24" s="2">
        <v>20</v>
      </c>
      <c r="B24" s="2" t="s">
        <v>249</v>
      </c>
      <c r="C24" s="2" t="s">
        <v>243</v>
      </c>
      <c r="D24" s="11">
        <v>30000</v>
      </c>
      <c r="E24" s="11">
        <v>30000</v>
      </c>
      <c r="F24" s="3">
        <v>41709</v>
      </c>
      <c r="G24" s="2" t="s">
        <v>209</v>
      </c>
      <c r="H24" s="2"/>
      <c r="I24" s="2"/>
      <c r="J24" s="2" t="s">
        <v>12550</v>
      </c>
      <c r="K24" s="2"/>
      <c r="L24" s="82"/>
    </row>
    <row r="25" spans="1:12" ht="84" customHeight="1" x14ac:dyDescent="0.3">
      <c r="A25" s="2">
        <v>21</v>
      </c>
      <c r="B25" s="2" t="s">
        <v>249</v>
      </c>
      <c r="C25" s="2" t="s">
        <v>244</v>
      </c>
      <c r="D25" s="11">
        <v>30000</v>
      </c>
      <c r="E25" s="11">
        <v>30000</v>
      </c>
      <c r="F25" s="3">
        <v>41709</v>
      </c>
      <c r="G25" s="2" t="s">
        <v>209</v>
      </c>
      <c r="H25" s="2"/>
      <c r="I25" s="2"/>
      <c r="J25" s="2" t="s">
        <v>12550</v>
      </c>
      <c r="K25" s="2"/>
      <c r="L25" s="82"/>
    </row>
    <row r="26" spans="1:12" ht="84" customHeight="1" x14ac:dyDescent="0.3">
      <c r="A26" s="2">
        <v>22</v>
      </c>
      <c r="B26" s="2" t="s">
        <v>249</v>
      </c>
      <c r="C26" s="2" t="s">
        <v>245</v>
      </c>
      <c r="D26" s="11">
        <v>30000</v>
      </c>
      <c r="E26" s="11">
        <v>30000</v>
      </c>
      <c r="F26" s="3">
        <v>41709</v>
      </c>
      <c r="G26" s="2" t="s">
        <v>209</v>
      </c>
      <c r="H26" s="2"/>
      <c r="I26" s="2"/>
      <c r="J26" s="2" t="s">
        <v>12550</v>
      </c>
      <c r="K26" s="2"/>
      <c r="L26" s="82"/>
    </row>
    <row r="27" spans="1:12" ht="84" customHeight="1" x14ac:dyDescent="0.3">
      <c r="A27" s="2">
        <v>23</v>
      </c>
      <c r="B27" s="2" t="s">
        <v>249</v>
      </c>
      <c r="C27" s="2" t="s">
        <v>246</v>
      </c>
      <c r="D27" s="11">
        <v>30000</v>
      </c>
      <c r="E27" s="11">
        <v>30000</v>
      </c>
      <c r="F27" s="3">
        <v>41709</v>
      </c>
      <c r="G27" s="2" t="s">
        <v>209</v>
      </c>
      <c r="H27" s="2"/>
      <c r="I27" s="2"/>
      <c r="J27" s="2" t="s">
        <v>12550</v>
      </c>
      <c r="K27" s="2"/>
      <c r="L27" s="82"/>
    </row>
    <row r="28" spans="1:12" ht="84" customHeight="1" x14ac:dyDescent="0.3">
      <c r="A28" s="2">
        <v>24</v>
      </c>
      <c r="B28" s="2" t="s">
        <v>249</v>
      </c>
      <c r="C28" s="2" t="s">
        <v>247</v>
      </c>
      <c r="D28" s="11">
        <v>30000</v>
      </c>
      <c r="E28" s="11">
        <v>30000</v>
      </c>
      <c r="F28" s="3">
        <v>41709</v>
      </c>
      <c r="G28" s="2" t="s">
        <v>209</v>
      </c>
      <c r="H28" s="2"/>
      <c r="I28" s="2"/>
      <c r="J28" s="2" t="s">
        <v>12550</v>
      </c>
      <c r="K28" s="2"/>
      <c r="L28" s="82"/>
    </row>
    <row r="29" spans="1:12" ht="84" customHeight="1" x14ac:dyDescent="0.3">
      <c r="A29" s="2">
        <v>25</v>
      </c>
      <c r="B29" s="2" t="s">
        <v>249</v>
      </c>
      <c r="C29" s="2" t="s">
        <v>248</v>
      </c>
      <c r="D29" s="11">
        <v>30000</v>
      </c>
      <c r="E29" s="11">
        <v>30000</v>
      </c>
      <c r="F29" s="3">
        <v>41709</v>
      </c>
      <c r="G29" s="2" t="s">
        <v>209</v>
      </c>
      <c r="H29" s="2"/>
      <c r="I29" s="2"/>
      <c r="J29" s="2" t="s">
        <v>12550</v>
      </c>
      <c r="K29" s="2"/>
      <c r="L29" s="82"/>
    </row>
    <row r="30" spans="1:12" ht="84" customHeight="1" x14ac:dyDescent="0.3">
      <c r="A30" s="2">
        <v>26</v>
      </c>
      <c r="B30" s="2" t="s">
        <v>20040</v>
      </c>
      <c r="C30" s="2"/>
      <c r="D30" s="11">
        <v>552961.91</v>
      </c>
      <c r="E30" s="11">
        <v>157989.12</v>
      </c>
      <c r="F30" s="3" t="s">
        <v>20041</v>
      </c>
      <c r="G30" s="2" t="s">
        <v>20042</v>
      </c>
      <c r="H30" s="2"/>
      <c r="I30" s="2"/>
      <c r="J30" s="2" t="s">
        <v>14091</v>
      </c>
      <c r="K30" s="2" t="s">
        <v>20127</v>
      </c>
      <c r="L30" s="82"/>
    </row>
    <row r="31" spans="1:12" ht="84" customHeight="1" x14ac:dyDescent="0.3">
      <c r="A31" s="2">
        <v>27</v>
      </c>
      <c r="B31" s="2" t="s">
        <v>192</v>
      </c>
      <c r="C31" s="2"/>
      <c r="D31" s="11">
        <v>59400</v>
      </c>
      <c r="E31" s="11">
        <v>11715</v>
      </c>
      <c r="F31" s="3" t="s">
        <v>207</v>
      </c>
      <c r="G31" s="2" t="s">
        <v>208</v>
      </c>
      <c r="H31" s="2"/>
      <c r="I31" s="2"/>
      <c r="J31" s="2" t="s">
        <v>13904</v>
      </c>
      <c r="K31" s="2" t="s">
        <v>19765</v>
      </c>
      <c r="L31" s="82"/>
    </row>
    <row r="32" spans="1:12" ht="84" customHeight="1" x14ac:dyDescent="0.3">
      <c r="A32" s="2">
        <v>28</v>
      </c>
      <c r="B32" s="2" t="s">
        <v>18022</v>
      </c>
      <c r="C32" s="2"/>
      <c r="D32" s="11">
        <v>141525.42000000001</v>
      </c>
      <c r="E32" s="11">
        <v>102774.63</v>
      </c>
      <c r="F32" s="3" t="s">
        <v>207</v>
      </c>
      <c r="G32" s="2" t="s">
        <v>208</v>
      </c>
      <c r="H32" s="3">
        <v>42867</v>
      </c>
      <c r="I32" s="2" t="s">
        <v>19168</v>
      </c>
      <c r="J32" s="2" t="s">
        <v>13904</v>
      </c>
      <c r="K32" s="2"/>
      <c r="L32" s="82"/>
    </row>
    <row r="33" spans="1:12" ht="76.95" customHeight="1" x14ac:dyDescent="0.3">
      <c r="A33" s="2">
        <v>29</v>
      </c>
      <c r="B33" s="2" t="s">
        <v>22936</v>
      </c>
      <c r="C33" s="2"/>
      <c r="D33" s="11">
        <v>126765.5</v>
      </c>
      <c r="E33" s="11">
        <v>114228.46</v>
      </c>
      <c r="F33" s="3" t="s">
        <v>207</v>
      </c>
      <c r="G33" s="2" t="s">
        <v>208</v>
      </c>
      <c r="H33" s="2" t="s">
        <v>23505</v>
      </c>
      <c r="I33" s="2" t="s">
        <v>23509</v>
      </c>
      <c r="J33" s="2" t="s">
        <v>12550</v>
      </c>
      <c r="K33" s="2" t="s">
        <v>22934</v>
      </c>
      <c r="L33" s="246" t="s">
        <v>18696</v>
      </c>
    </row>
    <row r="34" spans="1:12" ht="84" customHeight="1" x14ac:dyDescent="0.3">
      <c r="A34" s="2">
        <v>30</v>
      </c>
      <c r="B34" s="2" t="s">
        <v>12312</v>
      </c>
      <c r="C34" s="2"/>
      <c r="D34" s="11">
        <v>898885</v>
      </c>
      <c r="E34" s="11">
        <v>700601.7</v>
      </c>
      <c r="F34" s="3" t="s">
        <v>207</v>
      </c>
      <c r="G34" s="2" t="s">
        <v>208</v>
      </c>
      <c r="H34" s="2"/>
      <c r="I34" s="2"/>
      <c r="J34" s="2" t="s">
        <v>13904</v>
      </c>
      <c r="K34" s="2" t="s">
        <v>19765</v>
      </c>
      <c r="L34" s="82"/>
    </row>
    <row r="35" spans="1:12" ht="84" customHeight="1" x14ac:dyDescent="0.3">
      <c r="A35" s="2">
        <v>31</v>
      </c>
      <c r="B35" s="2" t="s">
        <v>18817</v>
      </c>
      <c r="C35" s="2"/>
      <c r="D35" s="11">
        <v>266949.15000000002</v>
      </c>
      <c r="E35" s="11">
        <v>225635.87</v>
      </c>
      <c r="F35" s="3" t="s">
        <v>207</v>
      </c>
      <c r="G35" s="2" t="s">
        <v>208</v>
      </c>
      <c r="H35" s="79" t="s">
        <v>21126</v>
      </c>
      <c r="I35" s="2" t="s">
        <v>20915</v>
      </c>
      <c r="J35" s="2" t="s">
        <v>13904</v>
      </c>
      <c r="K35" s="2"/>
      <c r="L35" s="82"/>
    </row>
    <row r="36" spans="1:12" ht="84" customHeight="1" x14ac:dyDescent="0.3">
      <c r="A36" s="2">
        <v>32</v>
      </c>
      <c r="B36" s="2" t="s">
        <v>18818</v>
      </c>
      <c r="C36" s="2"/>
      <c r="D36" s="11">
        <v>61581.27</v>
      </c>
      <c r="E36" s="11">
        <v>61581.27</v>
      </c>
      <c r="F36" s="3" t="s">
        <v>207</v>
      </c>
      <c r="G36" s="2" t="s">
        <v>208</v>
      </c>
      <c r="H36" s="11"/>
      <c r="I36" s="2"/>
      <c r="J36" s="2" t="s">
        <v>13904</v>
      </c>
      <c r="K36" s="2" t="s">
        <v>19765</v>
      </c>
      <c r="L36" s="82"/>
    </row>
    <row r="37" spans="1:12" ht="84" customHeight="1" x14ac:dyDescent="0.3">
      <c r="A37" s="2">
        <v>33</v>
      </c>
      <c r="B37" s="2" t="s">
        <v>21890</v>
      </c>
      <c r="C37" s="79" t="s">
        <v>21796</v>
      </c>
      <c r="D37" s="11">
        <v>144500</v>
      </c>
      <c r="E37" s="11"/>
      <c r="F37" s="3" t="s">
        <v>21868</v>
      </c>
      <c r="G37" s="2" t="s">
        <v>21869</v>
      </c>
      <c r="H37" s="3"/>
      <c r="I37" s="2"/>
      <c r="J37" s="2" t="s">
        <v>13904</v>
      </c>
      <c r="K37" s="2" t="s">
        <v>21792</v>
      </c>
      <c r="L37" s="38"/>
    </row>
    <row r="38" spans="1:12" ht="84" customHeight="1" x14ac:dyDescent="0.3">
      <c r="A38" s="2">
        <v>34</v>
      </c>
      <c r="B38" s="2" t="s">
        <v>193</v>
      </c>
      <c r="C38" s="2"/>
      <c r="D38" s="11">
        <v>284123.59999999998</v>
      </c>
      <c r="E38" s="11">
        <v>284123.59999999998</v>
      </c>
      <c r="F38" s="3">
        <v>39863</v>
      </c>
      <c r="G38" s="2" t="s">
        <v>20156</v>
      </c>
      <c r="H38" s="11"/>
      <c r="I38" s="2"/>
      <c r="J38" s="2" t="s">
        <v>12550</v>
      </c>
      <c r="K38" s="2"/>
      <c r="L38" s="82"/>
    </row>
    <row r="39" spans="1:12" ht="84" customHeight="1" x14ac:dyDescent="0.3">
      <c r="A39" s="2">
        <v>35</v>
      </c>
      <c r="B39" s="2" t="s">
        <v>201</v>
      </c>
      <c r="C39" s="2"/>
      <c r="D39" s="11">
        <v>42126</v>
      </c>
      <c r="E39" s="11">
        <v>23871.4</v>
      </c>
      <c r="F39" s="3">
        <v>40112</v>
      </c>
      <c r="G39" s="11" t="s">
        <v>203</v>
      </c>
      <c r="H39" s="11"/>
      <c r="I39" s="2"/>
      <c r="J39" s="2" t="s">
        <v>12550</v>
      </c>
      <c r="K39" s="2"/>
      <c r="L39" s="82"/>
    </row>
    <row r="40" spans="1:12" ht="84" customHeight="1" x14ac:dyDescent="0.3">
      <c r="A40" s="2">
        <v>36</v>
      </c>
      <c r="B40" s="2" t="s">
        <v>202</v>
      </c>
      <c r="C40" s="2"/>
      <c r="D40" s="11">
        <v>42534</v>
      </c>
      <c r="E40" s="11">
        <v>24811.5</v>
      </c>
      <c r="F40" s="3">
        <v>40112</v>
      </c>
      <c r="G40" s="11" t="s">
        <v>203</v>
      </c>
      <c r="H40" s="11"/>
      <c r="I40" s="2"/>
      <c r="J40" s="2" t="s">
        <v>12550</v>
      </c>
      <c r="K40" s="2"/>
      <c r="L40" s="82"/>
    </row>
    <row r="41" spans="1:12" ht="96" customHeight="1" x14ac:dyDescent="0.3">
      <c r="A41" s="2">
        <v>37</v>
      </c>
      <c r="B41" s="2" t="s">
        <v>18888</v>
      </c>
      <c r="C41" s="2" t="s">
        <v>18889</v>
      </c>
      <c r="D41" s="11">
        <v>20000</v>
      </c>
      <c r="E41" s="11">
        <v>20000</v>
      </c>
      <c r="F41" s="3" t="s">
        <v>18892</v>
      </c>
      <c r="G41" s="11" t="s">
        <v>18893</v>
      </c>
      <c r="H41" s="11"/>
      <c r="I41" s="2"/>
      <c r="J41" s="2" t="s">
        <v>13904</v>
      </c>
      <c r="K41" s="2" t="s">
        <v>19171</v>
      </c>
      <c r="L41" s="82"/>
    </row>
    <row r="42" spans="1:12" ht="96" customHeight="1" x14ac:dyDescent="0.3">
      <c r="A42" s="2">
        <v>38</v>
      </c>
      <c r="B42" s="2" t="s">
        <v>18888</v>
      </c>
      <c r="C42" s="2" t="s">
        <v>18890</v>
      </c>
      <c r="D42" s="11">
        <v>20000</v>
      </c>
      <c r="E42" s="11">
        <v>20000</v>
      </c>
      <c r="F42" s="3" t="s">
        <v>18892</v>
      </c>
      <c r="G42" s="11" t="s">
        <v>18893</v>
      </c>
      <c r="H42" s="11"/>
      <c r="I42" s="2"/>
      <c r="J42" s="2" t="s">
        <v>13904</v>
      </c>
      <c r="K42" s="2" t="s">
        <v>19171</v>
      </c>
      <c r="L42" s="82"/>
    </row>
    <row r="43" spans="1:12" ht="96" customHeight="1" x14ac:dyDescent="0.3">
      <c r="A43" s="2">
        <v>39</v>
      </c>
      <c r="B43" s="2" t="s">
        <v>18888</v>
      </c>
      <c r="C43" s="2" t="s">
        <v>18891</v>
      </c>
      <c r="D43" s="11">
        <v>20000</v>
      </c>
      <c r="E43" s="11">
        <v>20000</v>
      </c>
      <c r="F43" s="3" t="s">
        <v>18892</v>
      </c>
      <c r="G43" s="11" t="s">
        <v>18893</v>
      </c>
      <c r="H43" s="11"/>
      <c r="I43" s="2"/>
      <c r="J43" s="2" t="s">
        <v>13904</v>
      </c>
      <c r="K43" s="2" t="s">
        <v>19171</v>
      </c>
      <c r="L43" s="82"/>
    </row>
    <row r="44" spans="1:12" ht="96" customHeight="1" x14ac:dyDescent="0.3">
      <c r="A44" s="2">
        <v>40</v>
      </c>
      <c r="B44" s="2" t="s">
        <v>19208</v>
      </c>
      <c r="C44" s="109">
        <v>410123334</v>
      </c>
      <c r="D44" s="244">
        <v>99976</v>
      </c>
      <c r="E44" s="244">
        <v>4443.3599999999997</v>
      </c>
      <c r="F44" s="3">
        <v>42704</v>
      </c>
      <c r="G44" s="11" t="s">
        <v>14104</v>
      </c>
      <c r="H44" s="11"/>
      <c r="I44" s="2"/>
      <c r="J44" s="2" t="s">
        <v>13904</v>
      </c>
      <c r="K44" s="2" t="s">
        <v>19207</v>
      </c>
      <c r="L44" s="82" t="s">
        <v>19197</v>
      </c>
    </row>
    <row r="45" spans="1:12" ht="84" customHeight="1" x14ac:dyDescent="0.3">
      <c r="A45" s="2">
        <v>41</v>
      </c>
      <c r="B45" s="2" t="s">
        <v>19198</v>
      </c>
      <c r="C45" s="27">
        <v>410124335</v>
      </c>
      <c r="D45" s="11">
        <v>52450</v>
      </c>
      <c r="E45" s="244">
        <v>4370.82</v>
      </c>
      <c r="F45" s="3">
        <v>42849</v>
      </c>
      <c r="G45" s="11" t="s">
        <v>14104</v>
      </c>
      <c r="H45" s="11"/>
      <c r="I45" s="2"/>
      <c r="J45" s="2" t="s">
        <v>13904</v>
      </c>
      <c r="K45" s="2" t="s">
        <v>23112</v>
      </c>
      <c r="L45" s="82" t="s">
        <v>19197</v>
      </c>
    </row>
    <row r="46" spans="1:12" ht="84" customHeight="1" x14ac:dyDescent="0.3">
      <c r="A46" s="2">
        <v>42</v>
      </c>
      <c r="B46" s="2" t="s">
        <v>19947</v>
      </c>
      <c r="C46" s="2" t="s">
        <v>19948</v>
      </c>
      <c r="D46" s="11">
        <v>7850</v>
      </c>
      <c r="E46" s="11">
        <v>7850</v>
      </c>
      <c r="F46" s="3" t="s">
        <v>19949</v>
      </c>
      <c r="G46" s="11" t="s">
        <v>19950</v>
      </c>
      <c r="H46" s="26"/>
      <c r="I46" s="66"/>
      <c r="J46" s="2" t="s">
        <v>13904</v>
      </c>
      <c r="K46" s="2" t="s">
        <v>20107</v>
      </c>
      <c r="L46" s="82"/>
    </row>
    <row r="47" spans="1:12" ht="84" customHeight="1" x14ac:dyDescent="0.3">
      <c r="A47" s="2">
        <v>43</v>
      </c>
      <c r="B47" s="2" t="s">
        <v>19952</v>
      </c>
      <c r="C47" s="2" t="s">
        <v>19951</v>
      </c>
      <c r="D47" s="11">
        <v>49500</v>
      </c>
      <c r="E47" s="11">
        <v>49500</v>
      </c>
      <c r="F47" s="3" t="s">
        <v>19949</v>
      </c>
      <c r="G47" s="11" t="s">
        <v>19950</v>
      </c>
      <c r="H47" s="26"/>
      <c r="I47" s="66"/>
      <c r="J47" s="2" t="s">
        <v>13904</v>
      </c>
      <c r="K47" s="2" t="s">
        <v>20107</v>
      </c>
      <c r="L47" s="82"/>
    </row>
    <row r="48" spans="1:12" ht="84" customHeight="1" x14ac:dyDescent="0.3">
      <c r="A48" s="2">
        <v>44</v>
      </c>
      <c r="B48" s="2" t="s">
        <v>19953</v>
      </c>
      <c r="C48" s="2" t="s">
        <v>19954</v>
      </c>
      <c r="D48" s="11">
        <v>53268.18</v>
      </c>
      <c r="E48" s="11">
        <v>53268.18</v>
      </c>
      <c r="F48" s="3" t="s">
        <v>19949</v>
      </c>
      <c r="G48" s="11" t="s">
        <v>19950</v>
      </c>
      <c r="H48" s="26"/>
      <c r="I48" s="66"/>
      <c r="J48" s="2" t="s">
        <v>13904</v>
      </c>
      <c r="K48" s="2" t="s">
        <v>20107</v>
      </c>
      <c r="L48" s="82"/>
    </row>
    <row r="49" spans="1:12" ht="84" customHeight="1" x14ac:dyDescent="0.3">
      <c r="A49" s="2">
        <v>45</v>
      </c>
      <c r="B49" s="2" t="s">
        <v>19955</v>
      </c>
      <c r="C49" s="2" t="s">
        <v>19956</v>
      </c>
      <c r="D49" s="11">
        <v>9800</v>
      </c>
      <c r="E49" s="11">
        <v>9800</v>
      </c>
      <c r="F49" s="3" t="s">
        <v>19949</v>
      </c>
      <c r="G49" s="11" t="s">
        <v>19950</v>
      </c>
      <c r="H49" s="26"/>
      <c r="I49" s="66"/>
      <c r="J49" s="2" t="s">
        <v>13904</v>
      </c>
      <c r="K49" s="2" t="s">
        <v>20107</v>
      </c>
      <c r="L49" s="82"/>
    </row>
    <row r="50" spans="1:12" ht="84" customHeight="1" x14ac:dyDescent="0.3">
      <c r="A50" s="2">
        <v>46</v>
      </c>
      <c r="B50" s="2" t="s">
        <v>19957</v>
      </c>
      <c r="C50" s="2" t="s">
        <v>19958</v>
      </c>
      <c r="D50" s="11">
        <v>7130832.6699999999</v>
      </c>
      <c r="E50" s="11">
        <v>39615.74</v>
      </c>
      <c r="F50" s="3">
        <v>42986</v>
      </c>
      <c r="G50" s="11" t="s">
        <v>19962</v>
      </c>
      <c r="H50" s="26"/>
      <c r="I50" s="66"/>
      <c r="J50" s="2" t="s">
        <v>14091</v>
      </c>
      <c r="K50" s="2" t="s">
        <v>20107</v>
      </c>
      <c r="L50" s="82"/>
    </row>
    <row r="51" spans="1:12" ht="84" customHeight="1" x14ac:dyDescent="0.3">
      <c r="A51" s="2">
        <v>47</v>
      </c>
      <c r="B51" s="2" t="s">
        <v>19959</v>
      </c>
      <c r="C51" s="2" t="s">
        <v>19960</v>
      </c>
      <c r="D51" s="11">
        <v>4888766.33</v>
      </c>
      <c r="E51" s="11">
        <v>27159.82</v>
      </c>
      <c r="F51" s="3">
        <v>42986</v>
      </c>
      <c r="G51" s="11" t="s">
        <v>19961</v>
      </c>
      <c r="H51" s="26"/>
      <c r="I51" s="66"/>
      <c r="J51" s="2" t="s">
        <v>14091</v>
      </c>
      <c r="K51" s="2" t="s">
        <v>20107</v>
      </c>
      <c r="L51" s="82"/>
    </row>
    <row r="52" spans="1:12" ht="84" customHeight="1" x14ac:dyDescent="0.3">
      <c r="A52" s="2">
        <v>48</v>
      </c>
      <c r="B52" s="2" t="s">
        <v>19963</v>
      </c>
      <c r="C52" s="2" t="s">
        <v>19964</v>
      </c>
      <c r="D52" s="11">
        <v>7130832.6699999999</v>
      </c>
      <c r="E52" s="11">
        <v>39615.74</v>
      </c>
      <c r="F52" s="3">
        <v>42986</v>
      </c>
      <c r="G52" s="11" t="s">
        <v>19965</v>
      </c>
      <c r="H52" s="26"/>
      <c r="I52" s="66"/>
      <c r="J52" s="2" t="s">
        <v>14091</v>
      </c>
      <c r="K52" s="2" t="s">
        <v>20107</v>
      </c>
      <c r="L52" s="82"/>
    </row>
    <row r="53" spans="1:12" ht="76.2" customHeight="1" x14ac:dyDescent="0.3">
      <c r="A53" s="2">
        <v>49</v>
      </c>
      <c r="B53" s="2" t="s">
        <v>22606</v>
      </c>
      <c r="C53" s="2">
        <v>41013600259</v>
      </c>
      <c r="D53" s="11">
        <v>10869.48</v>
      </c>
      <c r="E53" s="11">
        <v>10869.48</v>
      </c>
      <c r="F53" s="3" t="s">
        <v>20444</v>
      </c>
      <c r="G53" s="11" t="s">
        <v>22642</v>
      </c>
      <c r="H53" s="26"/>
      <c r="I53" s="66"/>
      <c r="J53" s="242" t="s">
        <v>13904</v>
      </c>
      <c r="K53" s="2" t="s">
        <v>22641</v>
      </c>
      <c r="L53" s="82" t="s">
        <v>22979</v>
      </c>
    </row>
    <row r="54" spans="1:12" ht="77.400000000000006" customHeight="1" x14ac:dyDescent="0.3">
      <c r="A54" s="2">
        <v>50</v>
      </c>
      <c r="B54" s="2" t="s">
        <v>22606</v>
      </c>
      <c r="C54" s="2">
        <v>41013600258</v>
      </c>
      <c r="D54" s="11">
        <v>10869.48</v>
      </c>
      <c r="E54" s="11">
        <v>10869.48</v>
      </c>
      <c r="F54" s="243" t="s">
        <v>20444</v>
      </c>
      <c r="G54" s="244" t="s">
        <v>22642</v>
      </c>
      <c r="H54" s="26"/>
      <c r="I54" s="66"/>
      <c r="J54" s="242" t="s">
        <v>13904</v>
      </c>
      <c r="K54" s="242" t="s">
        <v>22641</v>
      </c>
      <c r="L54" s="246" t="s">
        <v>22979</v>
      </c>
    </row>
    <row r="55" spans="1:12" ht="72" customHeight="1" x14ac:dyDescent="0.3">
      <c r="A55" s="2">
        <v>51</v>
      </c>
      <c r="B55" s="2" t="s">
        <v>19980</v>
      </c>
      <c r="C55" s="2" t="s">
        <v>19981</v>
      </c>
      <c r="D55" s="11">
        <v>99200</v>
      </c>
      <c r="E55" s="11">
        <v>27555.599999999999</v>
      </c>
      <c r="F55" s="3">
        <v>42817</v>
      </c>
      <c r="G55" s="11" t="s">
        <v>19982</v>
      </c>
      <c r="H55" s="26"/>
      <c r="I55" s="66"/>
      <c r="J55" s="2" t="s">
        <v>15048</v>
      </c>
      <c r="K55" s="2"/>
      <c r="L55" s="82"/>
    </row>
    <row r="56" spans="1:12" ht="72" customHeight="1" x14ac:dyDescent="0.3">
      <c r="A56" s="2">
        <v>52</v>
      </c>
      <c r="B56" s="2" t="s">
        <v>19983</v>
      </c>
      <c r="C56" s="2" t="s">
        <v>19984</v>
      </c>
      <c r="D56" s="11">
        <v>84500</v>
      </c>
      <c r="E56" s="11">
        <v>2347.2199999999998</v>
      </c>
      <c r="F56" s="3">
        <v>43084</v>
      </c>
      <c r="G56" s="11" t="s">
        <v>19985</v>
      </c>
      <c r="H56" s="26"/>
      <c r="I56" s="66"/>
      <c r="J56" s="2" t="s">
        <v>15048</v>
      </c>
      <c r="K56" s="2"/>
      <c r="L56" s="82"/>
    </row>
    <row r="57" spans="1:12" ht="72" customHeight="1" x14ac:dyDescent="0.3">
      <c r="A57" s="2">
        <v>53</v>
      </c>
      <c r="B57" s="2" t="s">
        <v>19986</v>
      </c>
      <c r="C57" s="2" t="s">
        <v>19987</v>
      </c>
      <c r="D57" s="11">
        <v>93684.99</v>
      </c>
      <c r="E57" s="11">
        <v>3122.84</v>
      </c>
      <c r="F57" s="3">
        <v>43050</v>
      </c>
      <c r="G57" s="11" t="s">
        <v>19988</v>
      </c>
      <c r="H57" s="26"/>
      <c r="I57" s="66"/>
      <c r="J57" s="2" t="s">
        <v>15048</v>
      </c>
      <c r="K57" s="2"/>
      <c r="L57" s="82"/>
    </row>
    <row r="58" spans="1:12" ht="72" customHeight="1" x14ac:dyDescent="0.3">
      <c r="A58" s="2">
        <v>54</v>
      </c>
      <c r="B58" s="2" t="s">
        <v>19989</v>
      </c>
      <c r="C58" s="2" t="s">
        <v>19990</v>
      </c>
      <c r="D58" s="11">
        <v>52086.67</v>
      </c>
      <c r="E58" s="11">
        <v>3100.4</v>
      </c>
      <c r="F58" s="3">
        <v>42916</v>
      </c>
      <c r="G58" s="11" t="s">
        <v>19991</v>
      </c>
      <c r="H58" s="26"/>
      <c r="I58" s="66"/>
      <c r="J58" s="2" t="s">
        <v>15048</v>
      </c>
      <c r="K58" s="2"/>
      <c r="L58" s="82"/>
    </row>
    <row r="59" spans="1:12" ht="72" customHeight="1" x14ac:dyDescent="0.3">
      <c r="A59" s="2">
        <v>55</v>
      </c>
      <c r="B59" s="2" t="s">
        <v>194</v>
      </c>
      <c r="C59" s="2"/>
      <c r="D59" s="11">
        <v>112920</v>
      </c>
      <c r="E59" s="11">
        <v>91200</v>
      </c>
      <c r="F59" s="3">
        <v>40499</v>
      </c>
      <c r="G59" s="11" t="s">
        <v>20157</v>
      </c>
      <c r="H59" s="11"/>
      <c r="I59" s="2"/>
      <c r="J59" s="2" t="s">
        <v>15048</v>
      </c>
      <c r="K59" s="2"/>
      <c r="L59" s="82"/>
    </row>
    <row r="60" spans="1:12" ht="72" customHeight="1" x14ac:dyDescent="0.3">
      <c r="A60" s="2">
        <v>56</v>
      </c>
      <c r="B60" s="2" t="s">
        <v>195</v>
      </c>
      <c r="C60" s="2"/>
      <c r="D60" s="11">
        <v>342525.38</v>
      </c>
      <c r="E60" s="11">
        <v>106867.8</v>
      </c>
      <c r="F60" s="3">
        <v>39647</v>
      </c>
      <c r="G60" s="11" t="s">
        <v>204</v>
      </c>
      <c r="H60" s="11"/>
      <c r="I60" s="2"/>
      <c r="J60" s="2" t="s">
        <v>15048</v>
      </c>
      <c r="K60" s="2"/>
      <c r="L60" s="82"/>
    </row>
    <row r="61" spans="1:12" ht="96" customHeight="1" x14ac:dyDescent="0.3">
      <c r="A61" s="2">
        <v>57</v>
      </c>
      <c r="B61" s="2" t="s">
        <v>196</v>
      </c>
      <c r="C61" s="2"/>
      <c r="D61" s="11">
        <v>367972.2</v>
      </c>
      <c r="E61" s="11">
        <v>361839.56</v>
      </c>
      <c r="F61" s="3">
        <v>38729</v>
      </c>
      <c r="G61" s="11" t="s">
        <v>18340</v>
      </c>
      <c r="H61" s="3">
        <v>42822</v>
      </c>
      <c r="I61" s="27" t="s">
        <v>18339</v>
      </c>
      <c r="J61" s="2" t="s">
        <v>13904</v>
      </c>
      <c r="K61" s="2"/>
      <c r="L61" s="82"/>
    </row>
    <row r="62" spans="1:12" ht="72" customHeight="1" x14ac:dyDescent="0.3">
      <c r="A62" s="2">
        <v>58</v>
      </c>
      <c r="B62" s="2" t="s">
        <v>19992</v>
      </c>
      <c r="C62" s="2" t="s">
        <v>19993</v>
      </c>
      <c r="D62" s="11">
        <v>78400</v>
      </c>
      <c r="E62" s="11">
        <v>15244.46</v>
      </c>
      <c r="F62" s="3">
        <v>42906</v>
      </c>
      <c r="G62" s="11" t="s">
        <v>19994</v>
      </c>
      <c r="H62" s="26"/>
      <c r="I62" s="66"/>
      <c r="J62" s="2" t="s">
        <v>15048</v>
      </c>
      <c r="K62" s="2"/>
      <c r="L62" s="82"/>
    </row>
    <row r="63" spans="1:12" ht="72" customHeight="1" x14ac:dyDescent="0.3">
      <c r="A63" s="2">
        <v>59</v>
      </c>
      <c r="B63" s="2" t="s">
        <v>199</v>
      </c>
      <c r="C63" s="2"/>
      <c r="D63" s="11">
        <v>81000</v>
      </c>
      <c r="E63" s="11">
        <v>5400</v>
      </c>
      <c r="F63" s="3">
        <v>41863</v>
      </c>
      <c r="G63" s="11" t="s">
        <v>20158</v>
      </c>
      <c r="H63" s="11"/>
      <c r="I63" s="2"/>
      <c r="J63" s="2" t="s">
        <v>15048</v>
      </c>
      <c r="K63" s="2"/>
      <c r="L63" s="82"/>
    </row>
    <row r="64" spans="1:12" ht="84" customHeight="1" x14ac:dyDescent="0.3">
      <c r="A64" s="2">
        <v>60</v>
      </c>
      <c r="B64" s="2" t="s">
        <v>200</v>
      </c>
      <c r="C64" s="2"/>
      <c r="D64" s="11">
        <v>20000</v>
      </c>
      <c r="E64" s="11"/>
      <c r="F64" s="3" t="s">
        <v>20159</v>
      </c>
      <c r="G64" s="11" t="s">
        <v>20160</v>
      </c>
      <c r="H64" s="11"/>
      <c r="I64" s="2"/>
      <c r="J64" s="2" t="s">
        <v>14091</v>
      </c>
      <c r="K64" s="2" t="s">
        <v>20161</v>
      </c>
      <c r="L64" s="82"/>
    </row>
    <row r="65" spans="1:12" ht="72" customHeight="1" x14ac:dyDescent="0.3">
      <c r="A65" s="2">
        <v>61</v>
      </c>
      <c r="B65" s="2" t="s">
        <v>12324</v>
      </c>
      <c r="C65" s="2"/>
      <c r="D65" s="11">
        <v>153659.6</v>
      </c>
      <c r="E65" s="11">
        <v>25609.919999999998</v>
      </c>
      <c r="F65" s="3">
        <v>41178</v>
      </c>
      <c r="G65" s="11" t="s">
        <v>20162</v>
      </c>
      <c r="H65" s="11"/>
      <c r="I65" s="2"/>
      <c r="J65" s="2" t="s">
        <v>15048</v>
      </c>
      <c r="K65" s="2"/>
      <c r="L65" s="82"/>
    </row>
    <row r="66" spans="1:12" ht="108" customHeight="1" x14ac:dyDescent="0.3">
      <c r="A66" s="2">
        <v>62</v>
      </c>
      <c r="B66" s="2" t="s">
        <v>19995</v>
      </c>
      <c r="C66" s="2">
        <v>1101340033</v>
      </c>
      <c r="D66" s="11">
        <v>67500</v>
      </c>
      <c r="E66" s="11">
        <v>16875</v>
      </c>
      <c r="F66" s="3">
        <v>43073</v>
      </c>
      <c r="G66" s="11" t="s">
        <v>19996</v>
      </c>
      <c r="H66" s="26"/>
      <c r="I66" s="66"/>
      <c r="J66" s="2" t="s">
        <v>14091</v>
      </c>
      <c r="K66" s="2" t="s">
        <v>21125</v>
      </c>
      <c r="L66" s="82"/>
    </row>
    <row r="67" spans="1:12" ht="72" customHeight="1" x14ac:dyDescent="0.3">
      <c r="A67" s="2">
        <v>63</v>
      </c>
      <c r="B67" s="2" t="s">
        <v>19997</v>
      </c>
      <c r="C67" s="2" t="s">
        <v>19998</v>
      </c>
      <c r="D67" s="11">
        <v>87400</v>
      </c>
      <c r="E67" s="11">
        <v>1456.66</v>
      </c>
      <c r="F67" s="3">
        <v>43049</v>
      </c>
      <c r="G67" s="11" t="s">
        <v>19999</v>
      </c>
      <c r="H67" s="26"/>
      <c r="I67" s="66"/>
      <c r="J67" s="2" t="s">
        <v>15048</v>
      </c>
      <c r="K67" s="2"/>
      <c r="L67" s="82"/>
    </row>
    <row r="68" spans="1:12" ht="84" customHeight="1" x14ac:dyDescent="0.3">
      <c r="A68" s="2">
        <v>64</v>
      </c>
      <c r="B68" s="2" t="s">
        <v>210</v>
      </c>
      <c r="C68" s="2"/>
      <c r="D68" s="11">
        <v>904586.43</v>
      </c>
      <c r="E68" s="11"/>
      <c r="F68" s="3" t="s">
        <v>211</v>
      </c>
      <c r="G68" s="11" t="s">
        <v>212</v>
      </c>
      <c r="H68" s="11"/>
      <c r="I68" s="2"/>
      <c r="J68" s="2" t="s">
        <v>12550</v>
      </c>
      <c r="K68" s="2"/>
      <c r="L68" s="82"/>
    </row>
    <row r="69" spans="1:12" ht="84" customHeight="1" x14ac:dyDescent="0.3">
      <c r="A69" s="2">
        <v>65</v>
      </c>
      <c r="B69" s="2" t="s">
        <v>11182</v>
      </c>
      <c r="C69" s="2">
        <v>12058</v>
      </c>
      <c r="D69" s="11">
        <v>20031.25</v>
      </c>
      <c r="E69" s="11">
        <v>20031.25</v>
      </c>
      <c r="F69" s="3">
        <v>40500</v>
      </c>
      <c r="G69" s="11" t="s">
        <v>11205</v>
      </c>
      <c r="H69" s="11"/>
      <c r="I69" s="2"/>
      <c r="J69" s="2" t="s">
        <v>13904</v>
      </c>
      <c r="K69" s="2" t="s">
        <v>18543</v>
      </c>
      <c r="L69" s="82"/>
    </row>
    <row r="70" spans="1:12" ht="84" customHeight="1" x14ac:dyDescent="0.3">
      <c r="A70" s="2">
        <v>66</v>
      </c>
      <c r="B70" s="2" t="s">
        <v>11183</v>
      </c>
      <c r="C70" s="2">
        <v>17036</v>
      </c>
      <c r="D70" s="11">
        <v>0.01</v>
      </c>
      <c r="E70" s="11">
        <v>0.01</v>
      </c>
      <c r="F70" s="3">
        <v>40500</v>
      </c>
      <c r="G70" s="11" t="s">
        <v>11205</v>
      </c>
      <c r="H70" s="3">
        <v>42109</v>
      </c>
      <c r="I70" s="2" t="s">
        <v>11796</v>
      </c>
      <c r="J70" s="2" t="s">
        <v>13904</v>
      </c>
      <c r="K70" s="2"/>
      <c r="L70" s="82"/>
    </row>
    <row r="71" spans="1:12" ht="84" customHeight="1" x14ac:dyDescent="0.3">
      <c r="A71" s="2">
        <v>67</v>
      </c>
      <c r="B71" s="2" t="s">
        <v>11184</v>
      </c>
      <c r="C71" s="2">
        <v>12092</v>
      </c>
      <c r="D71" s="11">
        <v>2570.5700000000002</v>
      </c>
      <c r="E71" s="11">
        <v>2570.5700000000002</v>
      </c>
      <c r="F71" s="243">
        <v>40500</v>
      </c>
      <c r="G71" s="11" t="s">
        <v>11205</v>
      </c>
      <c r="H71" s="11"/>
      <c r="I71" s="2"/>
      <c r="J71" s="2" t="s">
        <v>13904</v>
      </c>
      <c r="K71" s="2" t="s">
        <v>18543</v>
      </c>
      <c r="L71" s="82"/>
    </row>
    <row r="72" spans="1:12" ht="84" customHeight="1" x14ac:dyDescent="0.3">
      <c r="A72" s="2">
        <v>68</v>
      </c>
      <c r="B72" s="2" t="s">
        <v>11185</v>
      </c>
      <c r="C72" s="2">
        <v>17636</v>
      </c>
      <c r="D72" s="11">
        <v>3135593.22</v>
      </c>
      <c r="E72" s="11">
        <v>1959745.5</v>
      </c>
      <c r="F72" s="243">
        <v>40500</v>
      </c>
      <c r="G72" s="11" t="s">
        <v>11205</v>
      </c>
      <c r="H72" s="11"/>
      <c r="I72" s="2"/>
      <c r="J72" s="2" t="s">
        <v>13904</v>
      </c>
      <c r="K72" s="2" t="s">
        <v>18543</v>
      </c>
      <c r="L72" s="82"/>
    </row>
    <row r="73" spans="1:12" ht="84" customHeight="1" x14ac:dyDescent="0.3">
      <c r="A73" s="2">
        <v>69</v>
      </c>
      <c r="B73" s="2" t="s">
        <v>22937</v>
      </c>
      <c r="C73" s="2">
        <v>17289</v>
      </c>
      <c r="D73" s="11">
        <v>331355.93</v>
      </c>
      <c r="E73" s="11">
        <v>331355.93</v>
      </c>
      <c r="F73" s="243">
        <v>40500</v>
      </c>
      <c r="G73" s="11" t="s">
        <v>11205</v>
      </c>
      <c r="H73" s="27"/>
      <c r="I73" s="27"/>
      <c r="J73" s="2" t="s">
        <v>12550</v>
      </c>
      <c r="K73" s="2"/>
      <c r="L73" s="82"/>
    </row>
    <row r="74" spans="1:12" ht="84" customHeight="1" x14ac:dyDescent="0.3">
      <c r="A74" s="2">
        <v>70</v>
      </c>
      <c r="B74" s="2" t="s">
        <v>11186</v>
      </c>
      <c r="C74" s="2">
        <v>17649</v>
      </c>
      <c r="D74" s="11">
        <v>98400</v>
      </c>
      <c r="E74" s="11">
        <v>98400</v>
      </c>
      <c r="F74" s="243">
        <v>40500</v>
      </c>
      <c r="G74" s="11" t="s">
        <v>11205</v>
      </c>
      <c r="H74" s="11"/>
      <c r="I74" s="2"/>
      <c r="J74" s="2" t="s">
        <v>13904</v>
      </c>
      <c r="K74" s="2" t="s">
        <v>18543</v>
      </c>
      <c r="L74" s="82"/>
    </row>
    <row r="75" spans="1:12" ht="95.4" customHeight="1" x14ac:dyDescent="0.3">
      <c r="A75" s="2">
        <v>71</v>
      </c>
      <c r="B75" s="2" t="s">
        <v>17952</v>
      </c>
      <c r="C75" s="2">
        <v>41012400009</v>
      </c>
      <c r="D75" s="11">
        <v>1372881.36</v>
      </c>
      <c r="E75" s="11">
        <v>1372267.14</v>
      </c>
      <c r="F75" s="3">
        <v>40500</v>
      </c>
      <c r="G75" s="11" t="s">
        <v>11205</v>
      </c>
      <c r="H75" s="11"/>
      <c r="I75" s="2"/>
      <c r="J75" s="2" t="s">
        <v>13904</v>
      </c>
      <c r="K75" s="2" t="s">
        <v>18539</v>
      </c>
      <c r="L75" s="82" t="s">
        <v>18696</v>
      </c>
    </row>
    <row r="76" spans="1:12" ht="96" customHeight="1" x14ac:dyDescent="0.3">
      <c r="A76" s="2">
        <v>72</v>
      </c>
      <c r="B76" s="2" t="s">
        <v>18546</v>
      </c>
      <c r="C76" s="2">
        <v>12104</v>
      </c>
      <c r="D76" s="11">
        <v>190854.54</v>
      </c>
      <c r="E76" s="11">
        <v>190854.54</v>
      </c>
      <c r="F76" s="3">
        <v>40500</v>
      </c>
      <c r="G76" s="11" t="s">
        <v>11205</v>
      </c>
      <c r="H76" s="3">
        <v>42822</v>
      </c>
      <c r="I76" s="27" t="s">
        <v>19170</v>
      </c>
      <c r="J76" s="2" t="s">
        <v>13904</v>
      </c>
      <c r="K76" s="2"/>
      <c r="L76" s="82"/>
    </row>
    <row r="77" spans="1:12" ht="84" customHeight="1" x14ac:dyDescent="0.3">
      <c r="A77" s="2">
        <v>73</v>
      </c>
      <c r="B77" s="2" t="s">
        <v>11187</v>
      </c>
      <c r="C77" s="2">
        <v>17311</v>
      </c>
      <c r="D77" s="11">
        <v>100000</v>
      </c>
      <c r="E77" s="11">
        <v>100000</v>
      </c>
      <c r="F77" s="243">
        <v>40500</v>
      </c>
      <c r="G77" s="11" t="s">
        <v>11205</v>
      </c>
      <c r="H77" s="11"/>
      <c r="I77" s="2"/>
      <c r="J77" s="2" t="s">
        <v>13904</v>
      </c>
      <c r="K77" s="2" t="s">
        <v>18543</v>
      </c>
      <c r="L77" s="82"/>
    </row>
    <row r="78" spans="1:12" ht="84" customHeight="1" x14ac:dyDescent="0.3">
      <c r="A78" s="2">
        <v>74</v>
      </c>
      <c r="B78" s="2" t="s">
        <v>11188</v>
      </c>
      <c r="C78" s="2">
        <v>12076</v>
      </c>
      <c r="D78" s="11">
        <v>686.99</v>
      </c>
      <c r="E78" s="11">
        <v>686.99</v>
      </c>
      <c r="F78" s="243">
        <v>40500</v>
      </c>
      <c r="G78" s="11" t="s">
        <v>11205</v>
      </c>
      <c r="H78" s="11"/>
      <c r="I78" s="2"/>
      <c r="J78" s="2" t="s">
        <v>13904</v>
      </c>
      <c r="K78" s="2" t="s">
        <v>18543</v>
      </c>
      <c r="L78" s="82"/>
    </row>
    <row r="79" spans="1:12" ht="84" customHeight="1" x14ac:dyDescent="0.3">
      <c r="A79" s="2">
        <v>75</v>
      </c>
      <c r="B79" s="2" t="s">
        <v>11189</v>
      </c>
      <c r="C79" s="2">
        <v>12100</v>
      </c>
      <c r="D79" s="11">
        <v>112463.23</v>
      </c>
      <c r="E79" s="11">
        <v>112463.23</v>
      </c>
      <c r="F79" s="243">
        <v>40500</v>
      </c>
      <c r="G79" s="11" t="s">
        <v>11205</v>
      </c>
      <c r="H79" s="11"/>
      <c r="I79" s="2"/>
      <c r="J79" s="2" t="s">
        <v>13904</v>
      </c>
      <c r="K79" s="2" t="s">
        <v>18543</v>
      </c>
      <c r="L79" s="82"/>
    </row>
    <row r="80" spans="1:12" ht="84" customHeight="1" x14ac:dyDescent="0.3">
      <c r="A80" s="2">
        <v>76</v>
      </c>
      <c r="B80" s="2" t="s">
        <v>11190</v>
      </c>
      <c r="C80" s="2">
        <v>12051</v>
      </c>
      <c r="D80" s="11">
        <v>91367.89</v>
      </c>
      <c r="E80" s="11">
        <v>91367.89</v>
      </c>
      <c r="F80" s="243">
        <v>40500</v>
      </c>
      <c r="G80" s="11" t="s">
        <v>11205</v>
      </c>
      <c r="H80" s="11"/>
      <c r="I80" s="2"/>
      <c r="J80" s="2" t="s">
        <v>13904</v>
      </c>
      <c r="K80" s="2" t="s">
        <v>18543</v>
      </c>
      <c r="L80" s="82"/>
    </row>
    <row r="81" spans="1:12" ht="84" customHeight="1" x14ac:dyDescent="0.3">
      <c r="A81" s="2">
        <v>77</v>
      </c>
      <c r="B81" s="2" t="s">
        <v>11191</v>
      </c>
      <c r="C81" s="2">
        <v>12029</v>
      </c>
      <c r="D81" s="11">
        <v>0.01</v>
      </c>
      <c r="E81" s="11">
        <v>0.01</v>
      </c>
      <c r="F81" s="243">
        <v>40500</v>
      </c>
      <c r="G81" s="11" t="s">
        <v>11205</v>
      </c>
      <c r="H81" s="11"/>
      <c r="I81" s="2"/>
      <c r="J81" s="2" t="s">
        <v>13904</v>
      </c>
      <c r="K81" s="2" t="s">
        <v>18543</v>
      </c>
      <c r="L81" s="82"/>
    </row>
    <row r="82" spans="1:12" ht="84" customHeight="1" x14ac:dyDescent="0.3">
      <c r="A82" s="2">
        <v>78</v>
      </c>
      <c r="B82" s="2" t="s">
        <v>11192</v>
      </c>
      <c r="C82" s="2">
        <v>12072</v>
      </c>
      <c r="D82" s="11">
        <v>130044</v>
      </c>
      <c r="E82" s="11">
        <v>110537.4</v>
      </c>
      <c r="F82" s="243">
        <v>40500</v>
      </c>
      <c r="G82" s="11" t="s">
        <v>11205</v>
      </c>
      <c r="H82" s="11"/>
      <c r="I82" s="2"/>
      <c r="J82" s="2" t="s">
        <v>13904</v>
      </c>
      <c r="K82" s="2" t="s">
        <v>18543</v>
      </c>
      <c r="L82" s="82"/>
    </row>
    <row r="83" spans="1:12" ht="84" customHeight="1" x14ac:dyDescent="0.3">
      <c r="A83" s="2">
        <v>79</v>
      </c>
      <c r="B83" s="2" t="s">
        <v>11193</v>
      </c>
      <c r="C83" s="2">
        <v>12030</v>
      </c>
      <c r="D83" s="11">
        <v>0.01</v>
      </c>
      <c r="E83" s="11">
        <v>0.01</v>
      </c>
      <c r="F83" s="243">
        <v>40500</v>
      </c>
      <c r="G83" s="11" t="s">
        <v>11205</v>
      </c>
      <c r="H83" s="11"/>
      <c r="I83" s="2"/>
      <c r="J83" s="2" t="s">
        <v>13904</v>
      </c>
      <c r="K83" s="2" t="s">
        <v>18543</v>
      </c>
      <c r="L83" s="82"/>
    </row>
    <row r="84" spans="1:12" ht="84" customHeight="1" x14ac:dyDescent="0.3">
      <c r="A84" s="2">
        <v>80</v>
      </c>
      <c r="B84" s="2" t="s">
        <v>20037</v>
      </c>
      <c r="C84" s="2">
        <v>12088</v>
      </c>
      <c r="D84" s="11">
        <v>27186.75</v>
      </c>
      <c r="E84" s="11">
        <v>27186.75</v>
      </c>
      <c r="F84" s="243">
        <v>40500</v>
      </c>
      <c r="G84" s="11" t="s">
        <v>11205</v>
      </c>
      <c r="H84" s="11"/>
      <c r="I84" s="2"/>
      <c r="J84" s="2" t="s">
        <v>12550</v>
      </c>
      <c r="K84" s="2"/>
      <c r="L84" s="82"/>
    </row>
    <row r="85" spans="1:12" ht="84" customHeight="1" x14ac:dyDescent="0.3">
      <c r="A85" s="2">
        <v>81</v>
      </c>
      <c r="B85" s="2" t="s">
        <v>11194</v>
      </c>
      <c r="C85" s="2">
        <v>12099</v>
      </c>
      <c r="D85" s="11">
        <v>8904.19</v>
      </c>
      <c r="E85" s="11">
        <v>8904.19</v>
      </c>
      <c r="F85" s="243">
        <v>40500</v>
      </c>
      <c r="G85" s="11" t="s">
        <v>11205</v>
      </c>
      <c r="H85" s="11"/>
      <c r="I85" s="2"/>
      <c r="J85" s="2" t="s">
        <v>13904</v>
      </c>
      <c r="K85" s="2" t="s">
        <v>18543</v>
      </c>
      <c r="L85" s="82"/>
    </row>
    <row r="86" spans="1:12" ht="84" customHeight="1" x14ac:dyDescent="0.3">
      <c r="A86" s="2">
        <v>82</v>
      </c>
      <c r="B86" s="2" t="s">
        <v>11195</v>
      </c>
      <c r="C86" s="2">
        <v>17312</v>
      </c>
      <c r="D86" s="11">
        <v>50000</v>
      </c>
      <c r="E86" s="11">
        <v>50000</v>
      </c>
      <c r="F86" s="243">
        <v>40500</v>
      </c>
      <c r="G86" s="11" t="s">
        <v>11205</v>
      </c>
      <c r="H86" s="2"/>
      <c r="I86" s="2"/>
      <c r="J86" s="2" t="s">
        <v>12550</v>
      </c>
      <c r="K86" s="2"/>
      <c r="L86" s="82"/>
    </row>
    <row r="87" spans="1:12" ht="84" customHeight="1" x14ac:dyDescent="0.3">
      <c r="A87" s="2">
        <v>83</v>
      </c>
      <c r="B87" s="2" t="s">
        <v>18530</v>
      </c>
      <c r="C87" s="2">
        <v>12060</v>
      </c>
      <c r="D87" s="11">
        <v>102000</v>
      </c>
      <c r="E87" s="11">
        <v>49150</v>
      </c>
      <c r="F87" s="243">
        <v>40500</v>
      </c>
      <c r="G87" s="11" t="s">
        <v>11205</v>
      </c>
      <c r="H87" s="11" t="s">
        <v>18531</v>
      </c>
      <c r="I87" s="2" t="s">
        <v>18532</v>
      </c>
      <c r="J87" s="2" t="s">
        <v>13904</v>
      </c>
      <c r="K87" s="2"/>
      <c r="L87" s="82"/>
    </row>
    <row r="88" spans="1:12" ht="96" customHeight="1" x14ac:dyDescent="0.3">
      <c r="A88" s="2">
        <v>84</v>
      </c>
      <c r="B88" s="2" t="s">
        <v>11196</v>
      </c>
      <c r="C88" s="2">
        <v>12074</v>
      </c>
      <c r="D88" s="11">
        <v>74191.990000000005</v>
      </c>
      <c r="E88" s="11">
        <v>74191.990000000005</v>
      </c>
      <c r="F88" s="243">
        <v>40500</v>
      </c>
      <c r="G88" s="11" t="s">
        <v>11205</v>
      </c>
      <c r="H88" s="3">
        <v>42822</v>
      </c>
      <c r="I88" s="27" t="s">
        <v>18339</v>
      </c>
      <c r="J88" s="2" t="s">
        <v>13904</v>
      </c>
      <c r="K88" s="2"/>
      <c r="L88" s="82"/>
    </row>
    <row r="89" spans="1:12" ht="84" customHeight="1" x14ac:dyDescent="0.3">
      <c r="A89" s="2">
        <v>85</v>
      </c>
      <c r="B89" s="2" t="s">
        <v>11197</v>
      </c>
      <c r="C89" s="2">
        <v>17185</v>
      </c>
      <c r="D89" s="11">
        <v>236440.68</v>
      </c>
      <c r="E89" s="11">
        <v>236440.68</v>
      </c>
      <c r="F89" s="243">
        <v>40500</v>
      </c>
      <c r="G89" s="11" t="s">
        <v>11205</v>
      </c>
      <c r="H89" s="11"/>
      <c r="I89" s="2"/>
      <c r="J89" s="2" t="s">
        <v>13904</v>
      </c>
      <c r="K89" s="2" t="s">
        <v>18543</v>
      </c>
      <c r="L89" s="82"/>
    </row>
    <row r="90" spans="1:12" ht="84" customHeight="1" x14ac:dyDescent="0.3">
      <c r="A90" s="2">
        <v>86</v>
      </c>
      <c r="B90" s="2" t="s">
        <v>11198</v>
      </c>
      <c r="C90" s="2">
        <v>17330</v>
      </c>
      <c r="D90" s="11">
        <v>296864.40999999997</v>
      </c>
      <c r="E90" s="11">
        <v>296864.40999999997</v>
      </c>
      <c r="F90" s="243">
        <v>40500</v>
      </c>
      <c r="G90" s="11" t="s">
        <v>11205</v>
      </c>
      <c r="H90" s="11"/>
      <c r="I90" s="2"/>
      <c r="J90" s="2" t="s">
        <v>13904</v>
      </c>
      <c r="K90" s="2" t="s">
        <v>18543</v>
      </c>
      <c r="L90" s="82"/>
    </row>
    <row r="91" spans="1:12" ht="84" customHeight="1" x14ac:dyDescent="0.3">
      <c r="A91" s="2">
        <v>87</v>
      </c>
      <c r="B91" s="2" t="s">
        <v>11199</v>
      </c>
      <c r="C91" s="2">
        <v>17090</v>
      </c>
      <c r="D91" s="11">
        <v>203167.26</v>
      </c>
      <c r="E91" s="11">
        <v>203167.26</v>
      </c>
      <c r="F91" s="243">
        <v>40500</v>
      </c>
      <c r="G91" s="11" t="s">
        <v>11205</v>
      </c>
      <c r="H91" s="11"/>
      <c r="I91" s="2"/>
      <c r="J91" s="2" t="s">
        <v>13904</v>
      </c>
      <c r="K91" s="2" t="s">
        <v>18543</v>
      </c>
      <c r="L91" s="82"/>
    </row>
    <row r="92" spans="1:12" ht="84" customHeight="1" x14ac:dyDescent="0.3">
      <c r="A92" s="2">
        <v>88</v>
      </c>
      <c r="B92" s="2" t="s">
        <v>20043</v>
      </c>
      <c r="C92" s="2">
        <v>17294</v>
      </c>
      <c r="D92" s="11">
        <v>250000</v>
      </c>
      <c r="E92" s="11">
        <v>250000</v>
      </c>
      <c r="F92" s="243">
        <v>40500</v>
      </c>
      <c r="G92" s="11" t="s">
        <v>11205</v>
      </c>
      <c r="H92" s="11"/>
      <c r="I92" s="2"/>
      <c r="J92" s="2" t="s">
        <v>13904</v>
      </c>
      <c r="K92" s="2" t="s">
        <v>18543</v>
      </c>
      <c r="L92" s="82"/>
    </row>
    <row r="93" spans="1:12" ht="84" customHeight="1" x14ac:dyDescent="0.3">
      <c r="A93" s="2">
        <v>89</v>
      </c>
      <c r="B93" s="2" t="s">
        <v>11200</v>
      </c>
      <c r="C93" s="2">
        <v>17091</v>
      </c>
      <c r="D93" s="11">
        <v>188418.09</v>
      </c>
      <c r="E93" s="11">
        <v>188418.09</v>
      </c>
      <c r="F93" s="243">
        <v>40500</v>
      </c>
      <c r="G93" s="11" t="s">
        <v>11205</v>
      </c>
      <c r="H93" s="11"/>
      <c r="I93" s="2"/>
      <c r="J93" s="2" t="s">
        <v>13904</v>
      </c>
      <c r="K93" s="2" t="s">
        <v>18543</v>
      </c>
      <c r="L93" s="82"/>
    </row>
    <row r="94" spans="1:12" ht="84" customHeight="1" x14ac:dyDescent="0.3">
      <c r="A94" s="2">
        <v>90</v>
      </c>
      <c r="B94" s="2" t="s">
        <v>11201</v>
      </c>
      <c r="C94" s="2">
        <v>17142</v>
      </c>
      <c r="D94" s="11">
        <v>320762.71000000002</v>
      </c>
      <c r="E94" s="11">
        <v>302051.26</v>
      </c>
      <c r="F94" s="243">
        <v>40500</v>
      </c>
      <c r="G94" s="11" t="s">
        <v>11205</v>
      </c>
      <c r="H94" s="11"/>
      <c r="I94" s="2"/>
      <c r="J94" s="2" t="s">
        <v>13904</v>
      </c>
      <c r="K94" s="2" t="s">
        <v>18543</v>
      </c>
      <c r="L94" s="82"/>
    </row>
    <row r="95" spans="1:12" ht="84" customHeight="1" x14ac:dyDescent="0.3">
      <c r="A95" s="2">
        <v>91</v>
      </c>
      <c r="B95" s="2" t="s">
        <v>16263</v>
      </c>
      <c r="C95" s="2">
        <v>12110</v>
      </c>
      <c r="D95" s="11">
        <v>0.01</v>
      </c>
      <c r="E95" s="11">
        <v>0.01</v>
      </c>
      <c r="F95" s="243">
        <v>40500</v>
      </c>
      <c r="G95" s="11" t="s">
        <v>11205</v>
      </c>
      <c r="H95" s="11"/>
      <c r="I95" s="2"/>
      <c r="J95" s="2" t="s">
        <v>13904</v>
      </c>
      <c r="K95" s="2" t="s">
        <v>18543</v>
      </c>
      <c r="L95" s="82"/>
    </row>
    <row r="96" spans="1:12" ht="84" customHeight="1" x14ac:dyDescent="0.3">
      <c r="A96" s="2">
        <v>92</v>
      </c>
      <c r="B96" s="2" t="s">
        <v>11202</v>
      </c>
      <c r="C96" s="2">
        <v>12057</v>
      </c>
      <c r="D96" s="11">
        <v>29268.87</v>
      </c>
      <c r="E96" s="11">
        <v>29268.87</v>
      </c>
      <c r="F96" s="243">
        <v>40500</v>
      </c>
      <c r="G96" s="11" t="s">
        <v>11205</v>
      </c>
      <c r="H96" s="11"/>
      <c r="I96" s="2"/>
      <c r="J96" s="2" t="s">
        <v>13904</v>
      </c>
      <c r="K96" s="2" t="s">
        <v>18543</v>
      </c>
      <c r="L96" s="82"/>
    </row>
    <row r="97" spans="1:15" ht="84" customHeight="1" x14ac:dyDescent="0.3">
      <c r="A97" s="2">
        <v>93</v>
      </c>
      <c r="B97" s="2" t="s">
        <v>11203</v>
      </c>
      <c r="C97" s="2">
        <v>17335</v>
      </c>
      <c r="D97" s="11">
        <v>500000</v>
      </c>
      <c r="E97" s="11">
        <v>500000</v>
      </c>
      <c r="F97" s="243">
        <v>40500</v>
      </c>
      <c r="G97" s="11" t="s">
        <v>11205</v>
      </c>
      <c r="H97" s="11"/>
      <c r="I97" s="2"/>
      <c r="J97" s="2" t="s">
        <v>13904</v>
      </c>
      <c r="K97" s="2" t="s">
        <v>18543</v>
      </c>
      <c r="L97" s="82"/>
    </row>
    <row r="98" spans="1:15" ht="84" customHeight="1" x14ac:dyDescent="0.3">
      <c r="A98" s="2">
        <v>94</v>
      </c>
      <c r="B98" s="2" t="s">
        <v>11204</v>
      </c>
      <c r="C98" s="2">
        <v>12086</v>
      </c>
      <c r="D98" s="11">
        <v>0.01</v>
      </c>
      <c r="E98" s="11">
        <v>0.01</v>
      </c>
      <c r="F98" s="243">
        <v>40500</v>
      </c>
      <c r="G98" s="11" t="s">
        <v>11205</v>
      </c>
      <c r="H98" s="11"/>
      <c r="I98" s="2"/>
      <c r="J98" s="2" t="s">
        <v>13904</v>
      </c>
      <c r="K98" s="2" t="s">
        <v>18543</v>
      </c>
      <c r="L98" s="82"/>
    </row>
    <row r="99" spans="1:15" ht="120" customHeight="1" x14ac:dyDescent="0.3">
      <c r="A99" s="2">
        <v>95</v>
      </c>
      <c r="B99" s="2" t="s">
        <v>17976</v>
      </c>
      <c r="C99" s="2">
        <v>41012400020</v>
      </c>
      <c r="D99" s="11">
        <v>29268.87</v>
      </c>
      <c r="E99" s="11">
        <v>29268.87</v>
      </c>
      <c r="F99" s="243">
        <v>40500</v>
      </c>
      <c r="G99" s="11" t="s">
        <v>11205</v>
      </c>
      <c r="H99" s="242" t="s">
        <v>23505</v>
      </c>
      <c r="I99" s="242" t="s">
        <v>23507</v>
      </c>
      <c r="J99" s="2" t="s">
        <v>13904</v>
      </c>
      <c r="K99" s="2" t="s">
        <v>19762</v>
      </c>
      <c r="L99" s="82" t="s">
        <v>18696</v>
      </c>
    </row>
    <row r="100" spans="1:15" ht="84" customHeight="1" x14ac:dyDescent="0.3">
      <c r="A100" s="2">
        <v>96</v>
      </c>
      <c r="B100" s="2" t="s">
        <v>12159</v>
      </c>
      <c r="C100" s="2">
        <v>12027</v>
      </c>
      <c r="D100" s="11">
        <v>0.01</v>
      </c>
      <c r="E100" s="11">
        <v>0.01</v>
      </c>
      <c r="F100" s="243">
        <v>40500</v>
      </c>
      <c r="G100" s="11" t="s">
        <v>11205</v>
      </c>
      <c r="H100" s="3">
        <v>42109</v>
      </c>
      <c r="I100" s="2" t="s">
        <v>11796</v>
      </c>
      <c r="J100" s="2" t="s">
        <v>13904</v>
      </c>
      <c r="K100" s="2"/>
      <c r="L100" s="82"/>
    </row>
    <row r="101" spans="1:15" ht="84" customHeight="1" x14ac:dyDescent="0.3">
      <c r="A101" s="2">
        <v>97</v>
      </c>
      <c r="B101" s="2" t="s">
        <v>11206</v>
      </c>
      <c r="C101" s="2">
        <v>1101350001</v>
      </c>
      <c r="D101" s="11">
        <v>1029395</v>
      </c>
      <c r="E101" s="11">
        <v>1029395</v>
      </c>
      <c r="F101" s="3">
        <v>42321</v>
      </c>
      <c r="G101" s="11" t="s">
        <v>11550</v>
      </c>
      <c r="H101" s="11"/>
      <c r="I101" s="2"/>
      <c r="J101" s="2" t="s">
        <v>13904</v>
      </c>
      <c r="K101" s="2" t="s">
        <v>21342</v>
      </c>
      <c r="L101" s="82"/>
    </row>
    <row r="102" spans="1:15" ht="84" customHeight="1" x14ac:dyDescent="0.3">
      <c r="A102" s="2">
        <v>98</v>
      </c>
      <c r="B102" s="2" t="s">
        <v>11207</v>
      </c>
      <c r="C102" s="2">
        <v>1101350002</v>
      </c>
      <c r="D102" s="11">
        <v>485000</v>
      </c>
      <c r="E102" s="11">
        <v>485000</v>
      </c>
      <c r="F102" s="3">
        <v>42322</v>
      </c>
      <c r="G102" s="11" t="s">
        <v>11550</v>
      </c>
      <c r="H102" s="11"/>
      <c r="I102" s="2"/>
      <c r="J102" s="2" t="s">
        <v>13904</v>
      </c>
      <c r="K102" s="2" t="s">
        <v>21490</v>
      </c>
      <c r="L102" s="82" t="s">
        <v>21491</v>
      </c>
    </row>
    <row r="103" spans="1:15" ht="84" customHeight="1" x14ac:dyDescent="0.3">
      <c r="A103" s="2">
        <v>99</v>
      </c>
      <c r="B103" s="2" t="s">
        <v>11208</v>
      </c>
      <c r="C103" s="2">
        <v>1101350003</v>
      </c>
      <c r="D103" s="11">
        <v>467346</v>
      </c>
      <c r="E103" s="11">
        <v>249251.20000000001</v>
      </c>
      <c r="F103" s="3">
        <v>42323</v>
      </c>
      <c r="G103" s="11" t="s">
        <v>11550</v>
      </c>
      <c r="H103" s="11"/>
      <c r="I103" s="2"/>
      <c r="J103" s="2" t="s">
        <v>13904</v>
      </c>
      <c r="K103" s="2" t="s">
        <v>21342</v>
      </c>
      <c r="L103" s="82"/>
    </row>
    <row r="104" spans="1:15" ht="84" customHeight="1" x14ac:dyDescent="0.3">
      <c r="A104" s="2">
        <v>100</v>
      </c>
      <c r="B104" s="2" t="s">
        <v>19316</v>
      </c>
      <c r="C104" s="2">
        <v>1101350004</v>
      </c>
      <c r="D104" s="11">
        <v>770766.07</v>
      </c>
      <c r="E104" s="11">
        <v>562634.84</v>
      </c>
      <c r="F104" s="3">
        <v>42324</v>
      </c>
      <c r="G104" s="11" t="s">
        <v>11550</v>
      </c>
      <c r="H104" s="11"/>
      <c r="I104" s="2"/>
      <c r="J104" s="2" t="s">
        <v>13904</v>
      </c>
      <c r="K104" s="2" t="s">
        <v>21342</v>
      </c>
      <c r="L104" s="82"/>
    </row>
    <row r="105" spans="1:15" ht="84" customHeight="1" x14ac:dyDescent="0.3">
      <c r="A105" s="2">
        <v>101</v>
      </c>
      <c r="B105" s="2" t="s">
        <v>11209</v>
      </c>
      <c r="C105" s="2">
        <v>1101350005</v>
      </c>
      <c r="D105" s="11">
        <v>463700</v>
      </c>
      <c r="E105" s="11">
        <v>463700</v>
      </c>
      <c r="F105" s="3">
        <v>42325</v>
      </c>
      <c r="G105" s="11" t="s">
        <v>11550</v>
      </c>
      <c r="H105" s="11"/>
      <c r="I105" s="2"/>
      <c r="J105" s="2" t="s">
        <v>13904</v>
      </c>
      <c r="K105" s="2" t="s">
        <v>21342</v>
      </c>
      <c r="L105" s="82"/>
    </row>
    <row r="106" spans="1:15" ht="84" customHeight="1" x14ac:dyDescent="0.3">
      <c r="A106" s="2">
        <v>102</v>
      </c>
      <c r="B106" s="2" t="s">
        <v>19758</v>
      </c>
      <c r="C106" s="2">
        <v>1101350006</v>
      </c>
      <c r="D106" s="11">
        <v>234000</v>
      </c>
      <c r="E106" s="11">
        <v>234000</v>
      </c>
      <c r="F106" s="3">
        <v>42326</v>
      </c>
      <c r="G106" s="11" t="s">
        <v>11550</v>
      </c>
      <c r="H106" s="11"/>
      <c r="I106" s="2"/>
      <c r="J106" s="2" t="s">
        <v>13904</v>
      </c>
      <c r="K106" s="2" t="s">
        <v>19853</v>
      </c>
      <c r="L106" s="82" t="s">
        <v>19781</v>
      </c>
    </row>
    <row r="107" spans="1:15" ht="84" customHeight="1" x14ac:dyDescent="0.3">
      <c r="A107" s="2">
        <v>103</v>
      </c>
      <c r="B107" s="2" t="s">
        <v>11210</v>
      </c>
      <c r="C107" s="2">
        <v>1101350007</v>
      </c>
      <c r="D107" s="11">
        <v>400000</v>
      </c>
      <c r="E107" s="11">
        <v>400000</v>
      </c>
      <c r="F107" s="3">
        <v>42327</v>
      </c>
      <c r="G107" s="11" t="s">
        <v>11550</v>
      </c>
      <c r="H107" s="11"/>
      <c r="I107" s="2"/>
      <c r="J107" s="2" t="s">
        <v>13904</v>
      </c>
      <c r="K107" s="2" t="s">
        <v>21342</v>
      </c>
      <c r="L107" s="82"/>
    </row>
    <row r="108" spans="1:15" ht="84" customHeight="1" x14ac:dyDescent="0.3">
      <c r="A108" s="2">
        <v>104</v>
      </c>
      <c r="B108" s="2" t="s">
        <v>19315</v>
      </c>
      <c r="C108" s="2">
        <v>110135008</v>
      </c>
      <c r="D108" s="11">
        <v>850000</v>
      </c>
      <c r="E108" s="11">
        <v>850000</v>
      </c>
      <c r="F108" s="3">
        <v>42328</v>
      </c>
      <c r="G108" s="11" t="s">
        <v>11550</v>
      </c>
      <c r="H108" s="11"/>
      <c r="I108" s="2"/>
      <c r="J108" s="2" t="s">
        <v>13904</v>
      </c>
      <c r="K108" s="2" t="s">
        <v>21342</v>
      </c>
      <c r="L108" s="82"/>
      <c r="M108" s="18"/>
      <c r="N108" s="18"/>
      <c r="O108" s="18"/>
    </row>
    <row r="109" spans="1:15" s="19" customFormat="1" ht="72" customHeight="1" x14ac:dyDescent="0.3">
      <c r="A109" s="2">
        <v>105</v>
      </c>
      <c r="B109" s="2" t="s">
        <v>19997</v>
      </c>
      <c r="C109" s="2" t="s">
        <v>20000</v>
      </c>
      <c r="D109" s="11">
        <v>87400</v>
      </c>
      <c r="E109" s="11">
        <v>1456.66</v>
      </c>
      <c r="F109" s="3">
        <v>43049</v>
      </c>
      <c r="G109" s="11" t="s">
        <v>19999</v>
      </c>
      <c r="H109" s="26"/>
      <c r="I109" s="66"/>
      <c r="J109" s="2" t="s">
        <v>15048</v>
      </c>
      <c r="K109" s="2"/>
      <c r="L109" s="82"/>
      <c r="M109" s="16"/>
      <c r="N109" s="16"/>
      <c r="O109" s="16"/>
    </row>
    <row r="110" spans="1:15" ht="96" customHeight="1" x14ac:dyDescent="0.3">
      <c r="A110" s="2">
        <v>106</v>
      </c>
      <c r="B110" s="2" t="s">
        <v>20004</v>
      </c>
      <c r="C110" s="2" t="s">
        <v>20001</v>
      </c>
      <c r="D110" s="11">
        <v>297000</v>
      </c>
      <c r="E110" s="11">
        <v>41250</v>
      </c>
      <c r="F110" s="3" t="s">
        <v>20002</v>
      </c>
      <c r="G110" s="11" t="s">
        <v>20003</v>
      </c>
      <c r="H110" s="26"/>
      <c r="I110" s="66"/>
      <c r="J110" s="2" t="s">
        <v>15048</v>
      </c>
      <c r="K110" s="2"/>
      <c r="L110" s="82"/>
    </row>
    <row r="111" spans="1:15" ht="84" customHeight="1" x14ac:dyDescent="0.3">
      <c r="A111" s="2">
        <v>107</v>
      </c>
      <c r="B111" s="2" t="s">
        <v>20005</v>
      </c>
      <c r="C111" s="2" t="s">
        <v>20006</v>
      </c>
      <c r="D111" s="11">
        <v>294119.09999999998</v>
      </c>
      <c r="E111" s="11">
        <v>40849.9</v>
      </c>
      <c r="F111" s="3" t="s">
        <v>20002</v>
      </c>
      <c r="G111" s="11" t="s">
        <v>20007</v>
      </c>
      <c r="H111" s="26"/>
      <c r="I111" s="66"/>
      <c r="J111" s="2" t="s">
        <v>15048</v>
      </c>
      <c r="K111" s="2"/>
      <c r="L111" s="82"/>
    </row>
    <row r="112" spans="1:15" ht="96" customHeight="1" x14ac:dyDescent="0.3">
      <c r="A112" s="2">
        <v>108</v>
      </c>
      <c r="B112" s="2" t="s">
        <v>21345</v>
      </c>
      <c r="C112" s="2">
        <v>47</v>
      </c>
      <c r="D112" s="11">
        <v>1105084.75</v>
      </c>
      <c r="E112" s="11">
        <v>386779.68</v>
      </c>
      <c r="F112" s="3" t="s">
        <v>21343</v>
      </c>
      <c r="G112" s="11" t="s">
        <v>21344</v>
      </c>
      <c r="H112" s="26"/>
      <c r="I112" s="66"/>
      <c r="J112" s="2" t="s">
        <v>14091</v>
      </c>
      <c r="K112" s="2" t="s">
        <v>21492</v>
      </c>
      <c r="L112" s="82"/>
    </row>
    <row r="113" spans="1:12" ht="74.400000000000006" customHeight="1" x14ac:dyDescent="0.3">
      <c r="A113" s="2">
        <v>109</v>
      </c>
      <c r="B113" s="2" t="s">
        <v>21379</v>
      </c>
      <c r="C113" s="2"/>
      <c r="D113" s="11">
        <v>0.01</v>
      </c>
      <c r="E113" s="11">
        <v>0.01</v>
      </c>
      <c r="F113" s="3" t="s">
        <v>15077</v>
      </c>
      <c r="G113" s="11" t="s">
        <v>21380</v>
      </c>
      <c r="H113" s="26"/>
      <c r="I113" s="66"/>
      <c r="J113" s="2" t="s">
        <v>15048</v>
      </c>
      <c r="K113" s="2" t="s">
        <v>22954</v>
      </c>
      <c r="L113" s="82" t="s">
        <v>22955</v>
      </c>
    </row>
    <row r="114" spans="1:12" ht="120" customHeight="1" x14ac:dyDescent="0.3">
      <c r="A114" s="2">
        <v>110</v>
      </c>
      <c r="B114" s="2" t="s">
        <v>21381</v>
      </c>
      <c r="C114" s="2" t="s">
        <v>21382</v>
      </c>
      <c r="D114" s="11">
        <v>98277</v>
      </c>
      <c r="E114" s="11">
        <v>98277</v>
      </c>
      <c r="F114" s="3">
        <v>43269</v>
      </c>
      <c r="G114" s="11" t="s">
        <v>21383</v>
      </c>
      <c r="H114" s="26"/>
      <c r="I114" s="66"/>
      <c r="J114" s="2" t="s">
        <v>15048</v>
      </c>
      <c r="K114" s="2" t="s">
        <v>22510</v>
      </c>
      <c r="L114" s="82"/>
    </row>
    <row r="115" spans="1:12" ht="84" customHeight="1" x14ac:dyDescent="0.3">
      <c r="A115" s="2">
        <v>111</v>
      </c>
      <c r="B115" s="2" t="s">
        <v>21384</v>
      </c>
      <c r="C115" s="2" t="s">
        <v>21385</v>
      </c>
      <c r="D115" s="11">
        <v>101673.2</v>
      </c>
      <c r="E115" s="11">
        <v>6052</v>
      </c>
      <c r="F115" s="3">
        <v>43326</v>
      </c>
      <c r="G115" s="11" t="s">
        <v>21386</v>
      </c>
      <c r="H115" s="26"/>
      <c r="I115" s="66"/>
      <c r="J115" s="2" t="s">
        <v>15048</v>
      </c>
      <c r="K115" s="2"/>
      <c r="L115" s="82"/>
    </row>
    <row r="116" spans="1:12" ht="84" customHeight="1" x14ac:dyDescent="0.3">
      <c r="A116" s="2">
        <v>112</v>
      </c>
      <c r="B116" s="2" t="s">
        <v>21387</v>
      </c>
      <c r="C116" s="2" t="s">
        <v>21388</v>
      </c>
      <c r="D116" s="11">
        <v>51142.745000000003</v>
      </c>
      <c r="E116" s="11">
        <v>51142.45</v>
      </c>
      <c r="F116" s="3" t="s">
        <v>21126</v>
      </c>
      <c r="G116" s="11" t="s">
        <v>21389</v>
      </c>
      <c r="H116" s="26"/>
      <c r="I116" s="66"/>
      <c r="J116" s="2" t="s">
        <v>15048</v>
      </c>
      <c r="K116" s="2"/>
      <c r="L116" s="82"/>
    </row>
    <row r="117" spans="1:12" ht="72" customHeight="1" x14ac:dyDescent="0.3">
      <c r="A117" s="2">
        <v>113</v>
      </c>
      <c r="B117" s="2" t="s">
        <v>21390</v>
      </c>
      <c r="C117" s="2" t="s">
        <v>21391</v>
      </c>
      <c r="D117" s="11">
        <v>62966.67</v>
      </c>
      <c r="E117" s="11">
        <v>62966.67</v>
      </c>
      <c r="F117" s="3">
        <v>43319</v>
      </c>
      <c r="G117" s="11" t="s">
        <v>21392</v>
      </c>
      <c r="H117" s="26"/>
      <c r="I117" s="66"/>
      <c r="J117" s="2" t="s">
        <v>15048</v>
      </c>
      <c r="K117" s="2"/>
      <c r="L117" s="82"/>
    </row>
    <row r="118" spans="1:12" ht="72.599999999999994" customHeight="1" x14ac:dyDescent="0.3">
      <c r="A118" s="2">
        <v>114</v>
      </c>
      <c r="B118" s="2" t="s">
        <v>21390</v>
      </c>
      <c r="C118" s="2" t="s">
        <v>21836</v>
      </c>
      <c r="D118" s="11">
        <v>12700</v>
      </c>
      <c r="E118" s="11">
        <v>12700</v>
      </c>
      <c r="F118" s="3" t="s">
        <v>21837</v>
      </c>
      <c r="G118" s="11" t="s">
        <v>21838</v>
      </c>
      <c r="H118" s="26"/>
      <c r="I118" s="66"/>
      <c r="J118" s="2" t="s">
        <v>15048</v>
      </c>
      <c r="K118" s="2" t="s">
        <v>21839</v>
      </c>
      <c r="L118" s="82"/>
    </row>
    <row r="119" spans="1:12" ht="96" customHeight="1" x14ac:dyDescent="0.3">
      <c r="A119" s="2">
        <v>115</v>
      </c>
      <c r="B119" s="2" t="s">
        <v>21842</v>
      </c>
      <c r="C119" s="2" t="s">
        <v>21840</v>
      </c>
      <c r="D119" s="11">
        <v>930000</v>
      </c>
      <c r="E119" s="11">
        <v>155000.01999999999</v>
      </c>
      <c r="F119" s="3">
        <v>42974</v>
      </c>
      <c r="G119" s="11" t="s">
        <v>21841</v>
      </c>
      <c r="H119" s="26"/>
      <c r="I119" s="66"/>
      <c r="J119" s="2" t="s">
        <v>13904</v>
      </c>
      <c r="K119" s="2" t="s">
        <v>21843</v>
      </c>
      <c r="L119" s="82" t="s">
        <v>22980</v>
      </c>
    </row>
    <row r="120" spans="1:12" ht="96" customHeight="1" x14ac:dyDescent="0.3">
      <c r="A120" s="2">
        <v>116</v>
      </c>
      <c r="B120" s="2" t="s">
        <v>21844</v>
      </c>
      <c r="C120" s="2" t="s">
        <v>21845</v>
      </c>
      <c r="D120" s="11">
        <v>71729.36</v>
      </c>
      <c r="E120" s="11">
        <v>71729.36</v>
      </c>
      <c r="F120" s="3" t="s">
        <v>20766</v>
      </c>
      <c r="G120" s="11" t="s">
        <v>21846</v>
      </c>
      <c r="H120" s="26"/>
      <c r="I120" s="66"/>
      <c r="J120" s="2" t="s">
        <v>13904</v>
      </c>
      <c r="K120" s="2" t="s">
        <v>21843</v>
      </c>
      <c r="L120" s="82" t="s">
        <v>22981</v>
      </c>
    </row>
    <row r="121" spans="1:12" ht="96" customHeight="1" x14ac:dyDescent="0.3">
      <c r="A121" s="2">
        <v>117</v>
      </c>
      <c r="B121" s="2" t="s">
        <v>21847</v>
      </c>
      <c r="C121" s="2" t="s">
        <v>21848</v>
      </c>
      <c r="D121" s="11">
        <v>57952.46</v>
      </c>
      <c r="E121" s="11">
        <v>57952.46</v>
      </c>
      <c r="F121" s="3" t="s">
        <v>20766</v>
      </c>
      <c r="G121" s="11" t="s">
        <v>21846</v>
      </c>
      <c r="H121" s="26"/>
      <c r="I121" s="66"/>
      <c r="J121" s="2" t="s">
        <v>13904</v>
      </c>
      <c r="K121" s="2" t="s">
        <v>21843</v>
      </c>
      <c r="L121" s="82" t="s">
        <v>22980</v>
      </c>
    </row>
    <row r="122" spans="1:12" ht="96" customHeight="1" x14ac:dyDescent="0.3">
      <c r="A122" s="2">
        <v>118</v>
      </c>
      <c r="B122" s="2" t="s">
        <v>21849</v>
      </c>
      <c r="C122" s="2" t="s">
        <v>21850</v>
      </c>
      <c r="D122" s="11">
        <v>57345.120000000003</v>
      </c>
      <c r="E122" s="11">
        <v>57345.120000000003</v>
      </c>
      <c r="F122" s="3" t="s">
        <v>20766</v>
      </c>
      <c r="G122" s="11" t="s">
        <v>21846</v>
      </c>
      <c r="H122" s="26"/>
      <c r="I122" s="66"/>
      <c r="J122" s="2" t="s">
        <v>13904</v>
      </c>
      <c r="K122" s="2" t="s">
        <v>21843</v>
      </c>
      <c r="L122" s="82" t="s">
        <v>22981</v>
      </c>
    </row>
    <row r="123" spans="1:12" ht="96" customHeight="1" x14ac:dyDescent="0.3">
      <c r="A123" s="2">
        <v>119</v>
      </c>
      <c r="B123" s="2" t="s">
        <v>21851</v>
      </c>
      <c r="C123" s="2" t="s">
        <v>21852</v>
      </c>
      <c r="D123" s="11">
        <v>51847.15</v>
      </c>
      <c r="E123" s="11">
        <v>51847.15</v>
      </c>
      <c r="F123" s="3" t="s">
        <v>20766</v>
      </c>
      <c r="G123" s="11" t="s">
        <v>21846</v>
      </c>
      <c r="H123" s="26"/>
      <c r="I123" s="66"/>
      <c r="J123" s="2" t="s">
        <v>13904</v>
      </c>
      <c r="K123" s="2" t="s">
        <v>21843</v>
      </c>
      <c r="L123" s="82" t="s">
        <v>22981</v>
      </c>
    </row>
    <row r="124" spans="1:12" ht="72" customHeight="1" x14ac:dyDescent="0.3">
      <c r="A124" s="2">
        <v>120</v>
      </c>
      <c r="B124" s="2" t="s">
        <v>214</v>
      </c>
      <c r="C124" s="2" t="s">
        <v>20163</v>
      </c>
      <c r="D124" s="11">
        <v>52000</v>
      </c>
      <c r="E124" s="11">
        <v>52000</v>
      </c>
      <c r="F124" s="3" t="s">
        <v>20164</v>
      </c>
      <c r="G124" s="11" t="s">
        <v>20165</v>
      </c>
      <c r="H124" s="11"/>
      <c r="I124" s="2"/>
      <c r="J124" s="2" t="s">
        <v>15048</v>
      </c>
      <c r="K124" s="2"/>
      <c r="L124" s="82"/>
    </row>
    <row r="125" spans="1:12" ht="96" customHeight="1" x14ac:dyDescent="0.3">
      <c r="A125" s="2">
        <v>121</v>
      </c>
      <c r="B125" s="2" t="s">
        <v>21853</v>
      </c>
      <c r="C125" s="2" t="s">
        <v>21854</v>
      </c>
      <c r="D125" s="11">
        <v>51315.79</v>
      </c>
      <c r="E125" s="11">
        <v>51315.79</v>
      </c>
      <c r="F125" s="3" t="s">
        <v>21855</v>
      </c>
      <c r="G125" s="11" t="s">
        <v>21856</v>
      </c>
      <c r="H125" s="26"/>
      <c r="I125" s="66"/>
      <c r="J125" s="2" t="s">
        <v>13904</v>
      </c>
      <c r="K125" s="2" t="s">
        <v>21843</v>
      </c>
      <c r="L125" s="82" t="s">
        <v>22981</v>
      </c>
    </row>
    <row r="126" spans="1:12" ht="96" customHeight="1" x14ac:dyDescent="0.3">
      <c r="A126" s="2">
        <v>122</v>
      </c>
      <c r="B126" s="2" t="s">
        <v>22310</v>
      </c>
      <c r="C126" s="2" t="s">
        <v>22311</v>
      </c>
      <c r="D126" s="11">
        <v>111397.2</v>
      </c>
      <c r="E126" s="11">
        <v>52604.13</v>
      </c>
      <c r="F126" s="3">
        <v>42933</v>
      </c>
      <c r="G126" s="11" t="s">
        <v>22313</v>
      </c>
      <c r="H126" s="26"/>
      <c r="I126" s="66"/>
      <c r="J126" s="2" t="s">
        <v>13904</v>
      </c>
      <c r="K126" s="2" t="s">
        <v>22309</v>
      </c>
      <c r="L126" s="82" t="s">
        <v>22982</v>
      </c>
    </row>
    <row r="127" spans="1:12" ht="96" customHeight="1" x14ac:dyDescent="0.3">
      <c r="A127" s="2">
        <v>123</v>
      </c>
      <c r="B127" s="2" t="s">
        <v>22310</v>
      </c>
      <c r="C127" s="2" t="s">
        <v>22312</v>
      </c>
      <c r="D127" s="11">
        <v>111397.2</v>
      </c>
      <c r="E127" s="11">
        <v>52604.13</v>
      </c>
      <c r="F127" s="3">
        <v>42934</v>
      </c>
      <c r="G127" s="11" t="s">
        <v>22313</v>
      </c>
      <c r="H127" s="26"/>
      <c r="I127" s="66"/>
      <c r="J127" s="2" t="s">
        <v>13904</v>
      </c>
      <c r="K127" s="2" t="s">
        <v>22309</v>
      </c>
      <c r="L127" s="82" t="s">
        <v>22983</v>
      </c>
    </row>
    <row r="128" spans="1:12" ht="96" customHeight="1" x14ac:dyDescent="0.3">
      <c r="A128" s="2">
        <v>124</v>
      </c>
      <c r="B128" s="2" t="s">
        <v>22314</v>
      </c>
      <c r="C128" s="2" t="s">
        <v>22315</v>
      </c>
      <c r="D128" s="11">
        <v>57749.98</v>
      </c>
      <c r="E128" s="11">
        <v>57749.98</v>
      </c>
      <c r="F128" s="3">
        <v>42934</v>
      </c>
      <c r="G128" s="11" t="s">
        <v>22313</v>
      </c>
      <c r="H128" s="26"/>
      <c r="I128" s="66"/>
      <c r="J128" s="2" t="s">
        <v>13904</v>
      </c>
      <c r="K128" s="2" t="s">
        <v>22309</v>
      </c>
      <c r="L128" s="82" t="s">
        <v>22983</v>
      </c>
    </row>
    <row r="129" spans="1:12" ht="96" customHeight="1" x14ac:dyDescent="0.3">
      <c r="A129" s="2">
        <v>125</v>
      </c>
      <c r="B129" s="2" t="s">
        <v>22316</v>
      </c>
      <c r="C129" s="2" t="s">
        <v>22317</v>
      </c>
      <c r="D129" s="11">
        <v>173208.01</v>
      </c>
      <c r="E129" s="11">
        <v>81792.67</v>
      </c>
      <c r="F129" s="3">
        <v>42934</v>
      </c>
      <c r="G129" s="11" t="s">
        <v>22313</v>
      </c>
      <c r="H129" s="26"/>
      <c r="I129" s="66"/>
      <c r="J129" s="2" t="s">
        <v>13904</v>
      </c>
      <c r="K129" s="2" t="s">
        <v>22309</v>
      </c>
      <c r="L129" s="82" t="s">
        <v>22983</v>
      </c>
    </row>
    <row r="130" spans="1:12" ht="96" customHeight="1" x14ac:dyDescent="0.3">
      <c r="A130" s="2">
        <v>126</v>
      </c>
      <c r="B130" s="2" t="s">
        <v>22318</v>
      </c>
      <c r="C130" s="2" t="s">
        <v>22319</v>
      </c>
      <c r="D130" s="11">
        <v>96518.78</v>
      </c>
      <c r="E130" s="11">
        <v>96518.78</v>
      </c>
      <c r="F130" s="3">
        <v>42934</v>
      </c>
      <c r="G130" s="11" t="s">
        <v>22313</v>
      </c>
      <c r="H130" s="26"/>
      <c r="I130" s="66"/>
      <c r="J130" s="2" t="s">
        <v>13904</v>
      </c>
      <c r="K130" s="2" t="s">
        <v>22309</v>
      </c>
      <c r="L130" s="82" t="s">
        <v>22983</v>
      </c>
    </row>
    <row r="131" spans="1:12" ht="96" customHeight="1" x14ac:dyDescent="0.3">
      <c r="A131" s="2">
        <v>127</v>
      </c>
      <c r="B131" s="2" t="s">
        <v>22320</v>
      </c>
      <c r="C131" s="2" t="s">
        <v>22321</v>
      </c>
      <c r="D131" s="11">
        <v>73999.990000000005</v>
      </c>
      <c r="E131" s="11">
        <v>73999.990000000005</v>
      </c>
      <c r="F131" s="3">
        <v>42934</v>
      </c>
      <c r="G131" s="11" t="s">
        <v>22313</v>
      </c>
      <c r="H131" s="26"/>
      <c r="I131" s="66"/>
      <c r="J131" s="2" t="s">
        <v>13904</v>
      </c>
      <c r="K131" s="2" t="s">
        <v>22309</v>
      </c>
      <c r="L131" s="82" t="s">
        <v>22983</v>
      </c>
    </row>
    <row r="132" spans="1:12" ht="96" customHeight="1" x14ac:dyDescent="0.3">
      <c r="A132" s="2">
        <v>128</v>
      </c>
      <c r="B132" s="2" t="s">
        <v>22320</v>
      </c>
      <c r="C132" s="2" t="s">
        <v>22322</v>
      </c>
      <c r="D132" s="11">
        <v>74000</v>
      </c>
      <c r="E132" s="11">
        <v>74000</v>
      </c>
      <c r="F132" s="3">
        <v>42934</v>
      </c>
      <c r="G132" s="11" t="s">
        <v>22313</v>
      </c>
      <c r="H132" s="26"/>
      <c r="I132" s="66"/>
      <c r="J132" s="2" t="s">
        <v>13904</v>
      </c>
      <c r="K132" s="2" t="s">
        <v>22309</v>
      </c>
      <c r="L132" s="82" t="s">
        <v>22982</v>
      </c>
    </row>
    <row r="133" spans="1:12" ht="96" customHeight="1" x14ac:dyDescent="0.3">
      <c r="A133" s="2">
        <v>129</v>
      </c>
      <c r="B133" s="2" t="s">
        <v>22323</v>
      </c>
      <c r="C133" s="2" t="s">
        <v>22324</v>
      </c>
      <c r="D133" s="11">
        <v>617895.12</v>
      </c>
      <c r="E133" s="11">
        <v>291783.8</v>
      </c>
      <c r="F133" s="3">
        <v>42934</v>
      </c>
      <c r="G133" s="11" t="s">
        <v>22313</v>
      </c>
      <c r="H133" s="26"/>
      <c r="I133" s="66"/>
      <c r="J133" s="2" t="s">
        <v>13904</v>
      </c>
      <c r="K133" s="2" t="s">
        <v>22309</v>
      </c>
      <c r="L133" s="82" t="s">
        <v>22982</v>
      </c>
    </row>
    <row r="134" spans="1:12" ht="96" customHeight="1" x14ac:dyDescent="0.3">
      <c r="A134" s="2">
        <v>130</v>
      </c>
      <c r="B134" s="2" t="s">
        <v>22325</v>
      </c>
      <c r="C134" s="2" t="s">
        <v>22326</v>
      </c>
      <c r="D134" s="11">
        <v>2868946.23</v>
      </c>
      <c r="E134" s="11">
        <v>1354780.16</v>
      </c>
      <c r="F134" s="3">
        <v>42937</v>
      </c>
      <c r="G134" s="11" t="s">
        <v>22327</v>
      </c>
      <c r="H134" s="26"/>
      <c r="I134" s="66"/>
      <c r="J134" s="2" t="s">
        <v>13904</v>
      </c>
      <c r="K134" s="2" t="s">
        <v>22309</v>
      </c>
      <c r="L134" s="82" t="s">
        <v>22982</v>
      </c>
    </row>
    <row r="135" spans="1:12" ht="96" customHeight="1" x14ac:dyDescent="0.3">
      <c r="A135" s="2">
        <v>131</v>
      </c>
      <c r="B135" s="2" t="s">
        <v>22328</v>
      </c>
      <c r="C135" s="2" t="s">
        <v>22329</v>
      </c>
      <c r="D135" s="11">
        <v>2664900.0099999998</v>
      </c>
      <c r="E135" s="11">
        <v>1258425</v>
      </c>
      <c r="F135" s="3">
        <v>42937</v>
      </c>
      <c r="G135" s="11" t="s">
        <v>22327</v>
      </c>
      <c r="H135" s="26"/>
      <c r="I135" s="66"/>
      <c r="J135" s="2" t="s">
        <v>13904</v>
      </c>
      <c r="K135" s="2" t="s">
        <v>22309</v>
      </c>
      <c r="L135" s="82" t="s">
        <v>22982</v>
      </c>
    </row>
    <row r="136" spans="1:12" ht="96" customHeight="1" x14ac:dyDescent="0.3">
      <c r="A136" s="2">
        <v>132</v>
      </c>
      <c r="B136" s="2" t="s">
        <v>22330</v>
      </c>
      <c r="C136" s="2" t="s">
        <v>22331</v>
      </c>
      <c r="D136" s="11">
        <v>463319.97</v>
      </c>
      <c r="E136" s="11">
        <v>46332</v>
      </c>
      <c r="F136" s="3" t="s">
        <v>22332</v>
      </c>
      <c r="G136" s="11" t="s">
        <v>22333</v>
      </c>
      <c r="H136" s="26"/>
      <c r="I136" s="66"/>
      <c r="J136" s="2" t="s">
        <v>13904</v>
      </c>
      <c r="K136" s="2" t="s">
        <v>22309</v>
      </c>
      <c r="L136" s="82" t="s">
        <v>22982</v>
      </c>
    </row>
    <row r="137" spans="1:12" ht="96" customHeight="1" x14ac:dyDescent="0.3">
      <c r="A137" s="2">
        <v>133</v>
      </c>
      <c r="B137" s="2" t="s">
        <v>22334</v>
      </c>
      <c r="C137" s="2" t="s">
        <v>22335</v>
      </c>
      <c r="D137" s="11">
        <v>73259.990000000005</v>
      </c>
      <c r="E137" s="11">
        <v>73259.990000000005</v>
      </c>
      <c r="F137" s="3" t="s">
        <v>22332</v>
      </c>
      <c r="G137" s="11" t="s">
        <v>22333</v>
      </c>
      <c r="H137" s="26"/>
      <c r="I137" s="66"/>
      <c r="J137" s="2" t="s">
        <v>13904</v>
      </c>
      <c r="K137" s="2" t="s">
        <v>22309</v>
      </c>
      <c r="L137" s="82" t="s">
        <v>22982</v>
      </c>
    </row>
    <row r="138" spans="1:12" ht="96" customHeight="1" x14ac:dyDescent="0.3">
      <c r="A138" s="2">
        <v>134</v>
      </c>
      <c r="B138" s="2" t="s">
        <v>22334</v>
      </c>
      <c r="C138" s="2" t="s">
        <v>22337</v>
      </c>
      <c r="D138" s="11">
        <v>73259.990000000005</v>
      </c>
      <c r="E138" s="11">
        <v>73259.990000000005</v>
      </c>
      <c r="F138" s="3" t="s">
        <v>22332</v>
      </c>
      <c r="G138" s="11" t="s">
        <v>22333</v>
      </c>
      <c r="H138" s="26"/>
      <c r="I138" s="66"/>
      <c r="J138" s="2" t="s">
        <v>13904</v>
      </c>
      <c r="K138" s="2" t="s">
        <v>22309</v>
      </c>
      <c r="L138" s="82" t="s">
        <v>22982</v>
      </c>
    </row>
    <row r="139" spans="1:12" ht="96" customHeight="1" x14ac:dyDescent="0.3">
      <c r="A139" s="2">
        <v>135</v>
      </c>
      <c r="B139" s="2" t="s">
        <v>22336</v>
      </c>
      <c r="C139" s="2" t="s">
        <v>22338</v>
      </c>
      <c r="D139" s="11">
        <v>258721.54</v>
      </c>
      <c r="E139" s="11">
        <v>52360.31</v>
      </c>
      <c r="F139" s="3">
        <v>42919</v>
      </c>
      <c r="G139" s="11" t="s">
        <v>22339</v>
      </c>
      <c r="H139" s="26"/>
      <c r="I139" s="66"/>
      <c r="J139" s="2" t="s">
        <v>13904</v>
      </c>
      <c r="K139" s="2" t="s">
        <v>22309</v>
      </c>
      <c r="L139" s="82" t="s">
        <v>22982</v>
      </c>
    </row>
    <row r="140" spans="1:12" ht="96" customHeight="1" x14ac:dyDescent="0.3">
      <c r="A140" s="2">
        <v>136</v>
      </c>
      <c r="B140" s="2" t="s">
        <v>22340</v>
      </c>
      <c r="C140" s="2" t="s">
        <v>22341</v>
      </c>
      <c r="D140" s="11">
        <v>261185.6</v>
      </c>
      <c r="E140" s="11">
        <v>10882.75</v>
      </c>
      <c r="F140" s="3">
        <v>43291</v>
      </c>
      <c r="G140" s="11" t="s">
        <v>22342</v>
      </c>
      <c r="H140" s="79"/>
      <c r="I140" s="79"/>
      <c r="J140" s="2" t="s">
        <v>13904</v>
      </c>
      <c r="K140" s="2" t="s">
        <v>22309</v>
      </c>
      <c r="L140" s="82" t="s">
        <v>22982</v>
      </c>
    </row>
    <row r="141" spans="1:12" ht="96" customHeight="1" x14ac:dyDescent="0.3">
      <c r="A141" s="2">
        <v>137</v>
      </c>
      <c r="B141" s="2" t="s">
        <v>22343</v>
      </c>
      <c r="C141" s="2" t="s">
        <v>22344</v>
      </c>
      <c r="D141" s="11">
        <v>7954515.1399999997</v>
      </c>
      <c r="E141" s="11">
        <v>574492.75</v>
      </c>
      <c r="F141" s="3" t="s">
        <v>22345</v>
      </c>
      <c r="G141" s="11" t="s">
        <v>22346</v>
      </c>
      <c r="H141" s="79"/>
      <c r="I141" s="79"/>
      <c r="J141" s="2" t="s">
        <v>13904</v>
      </c>
      <c r="K141" s="2" t="s">
        <v>22309</v>
      </c>
      <c r="L141" s="82" t="s">
        <v>22983</v>
      </c>
    </row>
    <row r="142" spans="1:12" ht="108" customHeight="1" x14ac:dyDescent="0.3">
      <c r="A142" s="2">
        <v>138</v>
      </c>
      <c r="B142" s="2" t="s">
        <v>22567</v>
      </c>
      <c r="C142" s="2">
        <v>1101340009</v>
      </c>
      <c r="D142" s="11">
        <v>53640</v>
      </c>
      <c r="E142" s="11">
        <v>2554.2800000000002</v>
      </c>
      <c r="F142" s="3" t="s">
        <v>22569</v>
      </c>
      <c r="G142" s="11" t="s">
        <v>22568</v>
      </c>
      <c r="H142" s="26"/>
      <c r="I142" s="66"/>
      <c r="J142" s="2" t="s">
        <v>14091</v>
      </c>
      <c r="K142" s="2" t="s">
        <v>20917</v>
      </c>
      <c r="L142" s="82"/>
    </row>
    <row r="143" spans="1:12" ht="108" customHeight="1" x14ac:dyDescent="0.3">
      <c r="A143" s="2">
        <v>139</v>
      </c>
      <c r="B143" s="2" t="s">
        <v>257</v>
      </c>
      <c r="C143" s="2">
        <v>1101360032</v>
      </c>
      <c r="D143" s="11">
        <v>50020</v>
      </c>
      <c r="E143" s="11"/>
      <c r="F143" s="3" t="s">
        <v>22569</v>
      </c>
      <c r="G143" s="11" t="s">
        <v>22568</v>
      </c>
      <c r="H143" s="26"/>
      <c r="I143" s="66"/>
      <c r="J143" s="2" t="s">
        <v>14091</v>
      </c>
      <c r="K143" s="2" t="s">
        <v>20917</v>
      </c>
      <c r="L143" s="82"/>
    </row>
    <row r="144" spans="1:12" ht="108" customHeight="1" x14ac:dyDescent="0.3">
      <c r="A144" s="2">
        <v>140</v>
      </c>
      <c r="B144" s="2" t="s">
        <v>22570</v>
      </c>
      <c r="C144" s="2">
        <v>1101340016</v>
      </c>
      <c r="D144" s="11">
        <v>68191</v>
      </c>
      <c r="E144" s="11">
        <v>3247.2</v>
      </c>
      <c r="F144" s="3" t="s">
        <v>22569</v>
      </c>
      <c r="G144" s="11" t="s">
        <v>22568</v>
      </c>
      <c r="H144" s="26"/>
      <c r="I144" s="66"/>
      <c r="J144" s="2" t="s">
        <v>14091</v>
      </c>
      <c r="K144" s="2" t="s">
        <v>20917</v>
      </c>
      <c r="L144" s="82"/>
    </row>
    <row r="145" spans="1:12" ht="69" customHeight="1" x14ac:dyDescent="0.3">
      <c r="A145" s="2">
        <v>141</v>
      </c>
      <c r="B145" s="2" t="s">
        <v>22607</v>
      </c>
      <c r="C145" s="2">
        <v>41013600257</v>
      </c>
      <c r="D145" s="244">
        <v>10869.48</v>
      </c>
      <c r="E145" s="244">
        <v>10869.48</v>
      </c>
      <c r="F145" s="243" t="s">
        <v>20444</v>
      </c>
      <c r="G145" s="244" t="s">
        <v>22642</v>
      </c>
      <c r="H145" s="26"/>
      <c r="I145" s="66"/>
      <c r="J145" s="242" t="s">
        <v>13904</v>
      </c>
      <c r="K145" s="242" t="s">
        <v>22641</v>
      </c>
      <c r="L145" s="246" t="s">
        <v>22979</v>
      </c>
    </row>
    <row r="146" spans="1:12" ht="84" customHeight="1" x14ac:dyDescent="0.3">
      <c r="A146" s="2">
        <v>142</v>
      </c>
      <c r="B146" s="2" t="s">
        <v>22608</v>
      </c>
      <c r="C146" s="2">
        <v>41013600256</v>
      </c>
      <c r="D146" s="244">
        <v>10869.48</v>
      </c>
      <c r="E146" s="244">
        <v>10869.48</v>
      </c>
      <c r="F146" s="243" t="s">
        <v>20444</v>
      </c>
      <c r="G146" s="244" t="s">
        <v>22642</v>
      </c>
      <c r="H146" s="26"/>
      <c r="I146" s="66"/>
      <c r="J146" s="242" t="s">
        <v>13904</v>
      </c>
      <c r="K146" s="242" t="s">
        <v>22641</v>
      </c>
      <c r="L146" s="246" t="s">
        <v>22984</v>
      </c>
    </row>
    <row r="147" spans="1:12" ht="76.2" customHeight="1" x14ac:dyDescent="0.3">
      <c r="A147" s="2">
        <v>143</v>
      </c>
      <c r="B147" s="2" t="s">
        <v>22609</v>
      </c>
      <c r="C147" s="2"/>
      <c r="D147" s="11">
        <v>79940.800000000003</v>
      </c>
      <c r="E147" s="11">
        <v>79940.800000000003</v>
      </c>
      <c r="F147" s="243" t="s">
        <v>20444</v>
      </c>
      <c r="G147" s="244" t="s">
        <v>22642</v>
      </c>
      <c r="H147" s="26"/>
      <c r="I147" s="66"/>
      <c r="J147" s="242" t="s">
        <v>13904</v>
      </c>
      <c r="K147" s="242" t="s">
        <v>22641</v>
      </c>
      <c r="L147" s="246" t="s">
        <v>22984</v>
      </c>
    </row>
    <row r="148" spans="1:12" ht="71.400000000000006" customHeight="1" x14ac:dyDescent="0.3">
      <c r="A148" s="2">
        <v>144</v>
      </c>
      <c r="B148" s="2" t="s">
        <v>22620</v>
      </c>
      <c r="C148" s="2"/>
      <c r="D148" s="11">
        <v>47024</v>
      </c>
      <c r="E148" s="11">
        <v>47024</v>
      </c>
      <c r="F148" s="243" t="s">
        <v>20444</v>
      </c>
      <c r="G148" s="244" t="s">
        <v>22642</v>
      </c>
      <c r="H148" s="26"/>
      <c r="I148" s="66"/>
      <c r="J148" s="242" t="s">
        <v>13904</v>
      </c>
      <c r="K148" s="242" t="s">
        <v>22641</v>
      </c>
      <c r="L148" s="246" t="s">
        <v>22984</v>
      </c>
    </row>
    <row r="149" spans="1:12" ht="72" customHeight="1" x14ac:dyDescent="0.3">
      <c r="A149" s="2">
        <v>145</v>
      </c>
      <c r="B149" s="2" t="s">
        <v>215</v>
      </c>
      <c r="C149" s="2" t="s">
        <v>20166</v>
      </c>
      <c r="D149" s="11">
        <v>262500</v>
      </c>
      <c r="E149" s="11">
        <v>262500</v>
      </c>
      <c r="F149" s="3">
        <v>41973</v>
      </c>
      <c r="G149" s="11" t="s">
        <v>20168</v>
      </c>
      <c r="H149" s="11"/>
      <c r="I149" s="2"/>
      <c r="J149" s="2" t="s">
        <v>15048</v>
      </c>
      <c r="K149" s="2"/>
      <c r="L149" s="82"/>
    </row>
    <row r="150" spans="1:12" ht="84" customHeight="1" x14ac:dyDescent="0.3">
      <c r="A150" s="2">
        <v>146</v>
      </c>
      <c r="B150" s="2" t="s">
        <v>22623</v>
      </c>
      <c r="C150" s="2"/>
      <c r="D150" s="11">
        <v>70536</v>
      </c>
      <c r="E150" s="11">
        <v>70536</v>
      </c>
      <c r="F150" s="243" t="s">
        <v>20444</v>
      </c>
      <c r="G150" s="244" t="s">
        <v>22642</v>
      </c>
      <c r="H150" s="26"/>
      <c r="I150" s="66"/>
      <c r="J150" s="242" t="s">
        <v>13904</v>
      </c>
      <c r="K150" s="242" t="s">
        <v>22641</v>
      </c>
      <c r="L150" s="246" t="s">
        <v>22979</v>
      </c>
    </row>
    <row r="151" spans="1:12" ht="84" customHeight="1" x14ac:dyDescent="0.3">
      <c r="A151" s="2">
        <v>147</v>
      </c>
      <c r="B151" s="2" t="s">
        <v>22621</v>
      </c>
      <c r="C151" s="2"/>
      <c r="D151" s="11">
        <v>47024</v>
      </c>
      <c r="E151" s="11">
        <v>47024</v>
      </c>
      <c r="F151" s="243" t="s">
        <v>20444</v>
      </c>
      <c r="G151" s="244" t="s">
        <v>22642</v>
      </c>
      <c r="H151" s="26"/>
      <c r="I151" s="66"/>
      <c r="J151" s="242" t="s">
        <v>13904</v>
      </c>
      <c r="K151" s="242" t="s">
        <v>22641</v>
      </c>
      <c r="L151" s="246" t="s">
        <v>22979</v>
      </c>
    </row>
    <row r="152" spans="1:12" ht="84" customHeight="1" x14ac:dyDescent="0.3">
      <c r="A152" s="2">
        <v>148</v>
      </c>
      <c r="B152" s="2" t="s">
        <v>22622</v>
      </c>
      <c r="C152" s="2"/>
      <c r="D152" s="11">
        <v>108155.2</v>
      </c>
      <c r="E152" s="11">
        <v>108155.2</v>
      </c>
      <c r="F152" s="243" t="s">
        <v>20444</v>
      </c>
      <c r="G152" s="244" t="s">
        <v>22642</v>
      </c>
      <c r="H152" s="26"/>
      <c r="I152" s="66"/>
      <c r="J152" s="242" t="s">
        <v>13904</v>
      </c>
      <c r="K152" s="242" t="s">
        <v>22641</v>
      </c>
      <c r="L152" s="246" t="s">
        <v>22984</v>
      </c>
    </row>
    <row r="153" spans="1:12" ht="84" customHeight="1" x14ac:dyDescent="0.3">
      <c r="A153" s="2">
        <v>149</v>
      </c>
      <c r="B153" s="2" t="s">
        <v>22624</v>
      </c>
      <c r="C153" s="2"/>
      <c r="D153" s="11">
        <v>4097.6000000000004</v>
      </c>
      <c r="E153" s="11">
        <v>4097.6000000000004</v>
      </c>
      <c r="F153" s="243" t="s">
        <v>20444</v>
      </c>
      <c r="G153" s="244" t="s">
        <v>22642</v>
      </c>
      <c r="H153" s="26"/>
      <c r="I153" s="66"/>
      <c r="J153" s="242" t="s">
        <v>13904</v>
      </c>
      <c r="K153" s="242" t="s">
        <v>22641</v>
      </c>
      <c r="L153" s="246" t="s">
        <v>22979</v>
      </c>
    </row>
    <row r="154" spans="1:12" ht="84" customHeight="1" x14ac:dyDescent="0.3">
      <c r="A154" s="2">
        <v>150</v>
      </c>
      <c r="B154" s="2" t="s">
        <v>22610</v>
      </c>
      <c r="C154" s="2"/>
      <c r="D154" s="11">
        <v>7582.54</v>
      </c>
      <c r="E154" s="11">
        <v>7582.54</v>
      </c>
      <c r="F154" s="243" t="s">
        <v>20444</v>
      </c>
      <c r="G154" s="244" t="s">
        <v>22642</v>
      </c>
      <c r="H154" s="26"/>
      <c r="I154" s="66"/>
      <c r="J154" s="242" t="s">
        <v>13904</v>
      </c>
      <c r="K154" s="242" t="s">
        <v>22641</v>
      </c>
      <c r="L154" s="246" t="s">
        <v>22979</v>
      </c>
    </row>
    <row r="155" spans="1:12" ht="72" customHeight="1" x14ac:dyDescent="0.3">
      <c r="A155" s="2">
        <v>151</v>
      </c>
      <c r="B155" s="66" t="s">
        <v>215</v>
      </c>
      <c r="C155" s="66" t="s">
        <v>20167</v>
      </c>
      <c r="D155" s="11">
        <v>262500</v>
      </c>
      <c r="E155" s="11">
        <v>262500</v>
      </c>
      <c r="F155" s="3">
        <v>41973</v>
      </c>
      <c r="G155" s="2" t="s">
        <v>20169</v>
      </c>
      <c r="H155" s="2"/>
      <c r="I155" s="2"/>
      <c r="J155" s="2" t="s">
        <v>15048</v>
      </c>
      <c r="K155" s="2"/>
      <c r="L155" s="82"/>
    </row>
    <row r="156" spans="1:12" ht="84" customHeight="1" x14ac:dyDescent="0.3">
      <c r="A156" s="2">
        <v>152</v>
      </c>
      <c r="B156" s="2" t="s">
        <v>22611</v>
      </c>
      <c r="C156" s="66"/>
      <c r="D156" s="244">
        <v>7582.54</v>
      </c>
      <c r="E156" s="244">
        <v>7582.54</v>
      </c>
      <c r="F156" s="243" t="s">
        <v>20444</v>
      </c>
      <c r="G156" s="244" t="s">
        <v>22642</v>
      </c>
      <c r="H156" s="26"/>
      <c r="I156" s="66"/>
      <c r="J156" s="242" t="s">
        <v>13904</v>
      </c>
      <c r="K156" s="242" t="s">
        <v>22641</v>
      </c>
      <c r="L156" s="246" t="s">
        <v>22984</v>
      </c>
    </row>
    <row r="157" spans="1:12" ht="84" customHeight="1" x14ac:dyDescent="0.3">
      <c r="A157" s="2">
        <v>153</v>
      </c>
      <c r="B157" s="2" t="s">
        <v>22639</v>
      </c>
      <c r="C157" s="66"/>
      <c r="D157" s="244">
        <v>7582.54</v>
      </c>
      <c r="E157" s="244">
        <v>7582.54</v>
      </c>
      <c r="F157" s="243" t="s">
        <v>20444</v>
      </c>
      <c r="G157" s="244" t="s">
        <v>22642</v>
      </c>
      <c r="H157" s="26"/>
      <c r="I157" s="66"/>
      <c r="J157" s="242" t="s">
        <v>13904</v>
      </c>
      <c r="K157" s="242" t="s">
        <v>22641</v>
      </c>
      <c r="L157" s="246" t="s">
        <v>22979</v>
      </c>
    </row>
    <row r="158" spans="1:12" ht="84" customHeight="1" x14ac:dyDescent="0.3">
      <c r="A158" s="2">
        <v>154</v>
      </c>
      <c r="B158" s="2" t="s">
        <v>22612</v>
      </c>
      <c r="C158" s="66"/>
      <c r="D158" s="244">
        <v>7582.54</v>
      </c>
      <c r="E158" s="244">
        <v>7582.54</v>
      </c>
      <c r="F158" s="243" t="s">
        <v>20444</v>
      </c>
      <c r="G158" s="244" t="s">
        <v>22642</v>
      </c>
      <c r="H158" s="26"/>
      <c r="I158" s="66"/>
      <c r="J158" s="242" t="s">
        <v>13904</v>
      </c>
      <c r="K158" s="242" t="s">
        <v>22641</v>
      </c>
      <c r="L158" s="246" t="s">
        <v>22984</v>
      </c>
    </row>
    <row r="159" spans="1:12" ht="72" customHeight="1" x14ac:dyDescent="0.3">
      <c r="A159" s="2">
        <v>155</v>
      </c>
      <c r="B159" s="66" t="s">
        <v>215</v>
      </c>
      <c r="C159" s="66" t="s">
        <v>20170</v>
      </c>
      <c r="D159" s="11">
        <v>262500</v>
      </c>
      <c r="E159" s="11">
        <v>262500</v>
      </c>
      <c r="F159" s="3" t="s">
        <v>20171</v>
      </c>
      <c r="G159" s="2" t="s">
        <v>20172</v>
      </c>
      <c r="H159" s="2"/>
      <c r="I159" s="2"/>
      <c r="J159" s="2" t="s">
        <v>15048</v>
      </c>
      <c r="K159" s="2"/>
      <c r="L159" s="82"/>
    </row>
    <row r="160" spans="1:12" ht="84" customHeight="1" x14ac:dyDescent="0.3">
      <c r="A160" s="2">
        <v>156</v>
      </c>
      <c r="B160" s="2" t="s">
        <v>22613</v>
      </c>
      <c r="C160" s="66"/>
      <c r="D160" s="11">
        <v>3791.27</v>
      </c>
      <c r="E160" s="11">
        <v>3791.27</v>
      </c>
      <c r="F160" s="243" t="s">
        <v>20444</v>
      </c>
      <c r="G160" s="244" t="s">
        <v>22642</v>
      </c>
      <c r="H160" s="26"/>
      <c r="I160" s="66"/>
      <c r="J160" s="242" t="s">
        <v>13904</v>
      </c>
      <c r="K160" s="242" t="s">
        <v>22641</v>
      </c>
      <c r="L160" s="246" t="s">
        <v>22984</v>
      </c>
    </row>
    <row r="161" spans="1:12" ht="84" customHeight="1" x14ac:dyDescent="0.3">
      <c r="A161" s="2">
        <v>157</v>
      </c>
      <c r="B161" s="2" t="s">
        <v>22614</v>
      </c>
      <c r="C161" s="66"/>
      <c r="D161" s="244">
        <v>3791.27</v>
      </c>
      <c r="E161" s="244">
        <v>3791.27</v>
      </c>
      <c r="F161" s="243" t="s">
        <v>20444</v>
      </c>
      <c r="G161" s="244" t="s">
        <v>22642</v>
      </c>
      <c r="H161" s="26"/>
      <c r="I161" s="66"/>
      <c r="J161" s="242" t="s">
        <v>13904</v>
      </c>
      <c r="K161" s="242" t="s">
        <v>22641</v>
      </c>
      <c r="L161" s="246" t="s">
        <v>22984</v>
      </c>
    </row>
    <row r="162" spans="1:12" ht="84" customHeight="1" x14ac:dyDescent="0.3">
      <c r="A162" s="2">
        <v>158</v>
      </c>
      <c r="B162" s="66" t="s">
        <v>22615</v>
      </c>
      <c r="C162" s="66">
        <v>41013600284</v>
      </c>
      <c r="D162" s="244">
        <v>15472.38</v>
      </c>
      <c r="E162" s="244">
        <v>15472.38</v>
      </c>
      <c r="F162" s="243" t="s">
        <v>20444</v>
      </c>
      <c r="G162" s="244" t="s">
        <v>22642</v>
      </c>
      <c r="H162" s="26"/>
      <c r="I162" s="66"/>
      <c r="J162" s="242" t="s">
        <v>13904</v>
      </c>
      <c r="K162" s="242" t="s">
        <v>22641</v>
      </c>
      <c r="L162" s="246" t="s">
        <v>22979</v>
      </c>
    </row>
    <row r="163" spans="1:12" ht="84" customHeight="1" x14ac:dyDescent="0.3">
      <c r="A163" s="2">
        <v>159</v>
      </c>
      <c r="B163" s="66" t="s">
        <v>22616</v>
      </c>
      <c r="C163" s="66">
        <v>41013600283</v>
      </c>
      <c r="D163" s="244">
        <v>15472.38</v>
      </c>
      <c r="E163" s="244">
        <v>15472.38</v>
      </c>
      <c r="F163" s="243" t="s">
        <v>20444</v>
      </c>
      <c r="G163" s="244" t="s">
        <v>22642</v>
      </c>
      <c r="H163" s="26"/>
      <c r="I163" s="66"/>
      <c r="J163" s="242" t="s">
        <v>13904</v>
      </c>
      <c r="K163" s="242" t="s">
        <v>22641</v>
      </c>
      <c r="L163" s="246" t="s">
        <v>22979</v>
      </c>
    </row>
    <row r="164" spans="1:12" ht="84" customHeight="1" x14ac:dyDescent="0.3">
      <c r="A164" s="2">
        <v>160</v>
      </c>
      <c r="B164" s="66" t="s">
        <v>22617</v>
      </c>
      <c r="C164" s="66">
        <v>41013600255</v>
      </c>
      <c r="D164" s="244">
        <v>15472.38</v>
      </c>
      <c r="E164" s="244">
        <v>15472.38</v>
      </c>
      <c r="F164" s="243" t="s">
        <v>20444</v>
      </c>
      <c r="G164" s="244" t="s">
        <v>22642</v>
      </c>
      <c r="H164" s="26"/>
      <c r="I164" s="66"/>
      <c r="J164" s="242" t="s">
        <v>13904</v>
      </c>
      <c r="K164" s="242" t="s">
        <v>22641</v>
      </c>
      <c r="L164" s="246" t="s">
        <v>22984</v>
      </c>
    </row>
    <row r="165" spans="1:12" ht="120" x14ac:dyDescent="0.3">
      <c r="A165" s="2">
        <v>161</v>
      </c>
      <c r="B165" s="66" t="s">
        <v>23442</v>
      </c>
      <c r="C165" s="66" t="s">
        <v>23686</v>
      </c>
      <c r="D165" s="11">
        <v>88000</v>
      </c>
      <c r="E165" s="11">
        <v>0</v>
      </c>
      <c r="F165" s="3" t="s">
        <v>23443</v>
      </c>
      <c r="G165" s="2" t="s">
        <v>23444</v>
      </c>
      <c r="H165" s="3"/>
      <c r="I165" s="2"/>
      <c r="J165" s="242" t="s">
        <v>12550</v>
      </c>
      <c r="K165" s="2"/>
      <c r="L165" s="82" t="s">
        <v>17869</v>
      </c>
    </row>
    <row r="166" spans="1:12" ht="84" customHeight="1" x14ac:dyDescent="0.3">
      <c r="A166" s="2">
        <v>162</v>
      </c>
      <c r="B166" s="66" t="s">
        <v>22618</v>
      </c>
      <c r="C166" s="66">
        <v>41013600282</v>
      </c>
      <c r="D166" s="244">
        <v>15472.38</v>
      </c>
      <c r="E166" s="244">
        <v>15472.38</v>
      </c>
      <c r="F166" s="243" t="s">
        <v>20444</v>
      </c>
      <c r="G166" s="244" t="s">
        <v>22642</v>
      </c>
      <c r="H166" s="26"/>
      <c r="I166" s="66"/>
      <c r="J166" s="242" t="s">
        <v>13904</v>
      </c>
      <c r="K166" s="242" t="s">
        <v>22641</v>
      </c>
      <c r="L166" s="246" t="s">
        <v>22984</v>
      </c>
    </row>
    <row r="167" spans="1:12" ht="72" customHeight="1" x14ac:dyDescent="0.3">
      <c r="A167" s="2">
        <v>163</v>
      </c>
      <c r="B167" s="66" t="s">
        <v>20078</v>
      </c>
      <c r="C167" s="66" t="s">
        <v>20083</v>
      </c>
      <c r="D167" s="11">
        <v>189000</v>
      </c>
      <c r="E167" s="11">
        <v>0</v>
      </c>
      <c r="F167" s="3">
        <v>43074</v>
      </c>
      <c r="G167" s="2" t="s">
        <v>20079</v>
      </c>
      <c r="H167" s="3"/>
      <c r="I167" s="2"/>
      <c r="J167" s="2" t="s">
        <v>15048</v>
      </c>
      <c r="K167" s="2"/>
      <c r="L167" s="82" t="s">
        <v>20479</v>
      </c>
    </row>
    <row r="168" spans="1:12" ht="120" customHeight="1" x14ac:dyDescent="0.3">
      <c r="A168" s="2">
        <v>164</v>
      </c>
      <c r="B168" s="66" t="s">
        <v>20081</v>
      </c>
      <c r="C168" s="66" t="s">
        <v>20082</v>
      </c>
      <c r="D168" s="11">
        <v>106000</v>
      </c>
      <c r="E168" s="11">
        <v>0</v>
      </c>
      <c r="F168" s="3">
        <v>43074</v>
      </c>
      <c r="G168" s="2" t="s">
        <v>20079</v>
      </c>
      <c r="H168" s="3"/>
      <c r="I168" s="2"/>
      <c r="J168" s="2" t="s">
        <v>14091</v>
      </c>
      <c r="K168" s="2" t="s">
        <v>20080</v>
      </c>
      <c r="L168" s="82" t="s">
        <v>20480</v>
      </c>
    </row>
    <row r="169" spans="1:12" ht="132" customHeight="1" x14ac:dyDescent="0.3">
      <c r="A169" s="2">
        <v>165</v>
      </c>
      <c r="B169" s="66" t="s">
        <v>20084</v>
      </c>
      <c r="C169" s="66" t="s">
        <v>20085</v>
      </c>
      <c r="D169" s="11">
        <v>1662888.33</v>
      </c>
      <c r="E169" s="11">
        <v>0</v>
      </c>
      <c r="F169" s="3">
        <v>43052</v>
      </c>
      <c r="G169" s="2" t="s">
        <v>20087</v>
      </c>
      <c r="H169" s="3"/>
      <c r="I169" s="2"/>
      <c r="J169" s="2" t="s">
        <v>14091</v>
      </c>
      <c r="K169" s="2" t="s">
        <v>20086</v>
      </c>
      <c r="L169" s="82" t="s">
        <v>20481</v>
      </c>
    </row>
    <row r="170" spans="1:12" ht="120" customHeight="1" x14ac:dyDescent="0.3">
      <c r="A170" s="2">
        <v>166</v>
      </c>
      <c r="B170" s="66" t="s">
        <v>20088</v>
      </c>
      <c r="C170" s="66">
        <v>4101240035</v>
      </c>
      <c r="D170" s="11">
        <v>52500</v>
      </c>
      <c r="E170" s="11">
        <v>0</v>
      </c>
      <c r="F170" s="3">
        <v>43026</v>
      </c>
      <c r="G170" s="2" t="s">
        <v>20094</v>
      </c>
      <c r="H170" s="3"/>
      <c r="I170" s="2"/>
      <c r="J170" s="2" t="s">
        <v>14091</v>
      </c>
      <c r="K170" s="2" t="s">
        <v>20091</v>
      </c>
      <c r="L170" s="82" t="s">
        <v>20482</v>
      </c>
    </row>
    <row r="171" spans="1:12" ht="120" customHeight="1" x14ac:dyDescent="0.3">
      <c r="A171" s="2">
        <v>167</v>
      </c>
      <c r="B171" s="66" t="s">
        <v>20089</v>
      </c>
      <c r="C171" s="66">
        <v>410240036</v>
      </c>
      <c r="D171" s="11">
        <v>367647.98</v>
      </c>
      <c r="E171" s="11">
        <v>0</v>
      </c>
      <c r="F171" s="3">
        <v>43041</v>
      </c>
      <c r="G171" s="2" t="s">
        <v>20095</v>
      </c>
      <c r="H171" s="3"/>
      <c r="I171" s="2"/>
      <c r="J171" s="2" t="s">
        <v>14091</v>
      </c>
      <c r="K171" s="2" t="s">
        <v>20091</v>
      </c>
      <c r="L171" s="82" t="s">
        <v>20482</v>
      </c>
    </row>
    <row r="172" spans="1:12" ht="120" customHeight="1" x14ac:dyDescent="0.3">
      <c r="A172" s="2">
        <v>168</v>
      </c>
      <c r="B172" s="66" t="s">
        <v>20090</v>
      </c>
      <c r="C172" s="66">
        <v>4101240038</v>
      </c>
      <c r="D172" s="11">
        <v>61500</v>
      </c>
      <c r="E172" s="11">
        <v>0</v>
      </c>
      <c r="F172" s="3">
        <v>43075</v>
      </c>
      <c r="G172" s="2" t="s">
        <v>20096</v>
      </c>
      <c r="H172" s="3"/>
      <c r="I172" s="2"/>
      <c r="J172" s="2" t="s">
        <v>14091</v>
      </c>
      <c r="K172" s="2" t="s">
        <v>20091</v>
      </c>
      <c r="L172" s="82" t="s">
        <v>20483</v>
      </c>
    </row>
    <row r="173" spans="1:12" ht="120" customHeight="1" x14ac:dyDescent="0.3">
      <c r="A173" s="2">
        <v>169</v>
      </c>
      <c r="B173" s="66" t="s">
        <v>20092</v>
      </c>
      <c r="C173" s="66">
        <v>4101240039</v>
      </c>
      <c r="D173" s="11">
        <v>85000</v>
      </c>
      <c r="E173" s="11">
        <v>0</v>
      </c>
      <c r="F173" s="3">
        <v>43084</v>
      </c>
      <c r="G173" s="2" t="s">
        <v>20097</v>
      </c>
      <c r="H173" s="26"/>
      <c r="I173" s="66"/>
      <c r="J173" s="2" t="s">
        <v>14091</v>
      </c>
      <c r="K173" s="2" t="s">
        <v>20093</v>
      </c>
      <c r="L173" s="82" t="s">
        <v>20483</v>
      </c>
    </row>
    <row r="174" spans="1:12" ht="96" customHeight="1" x14ac:dyDescent="0.3">
      <c r="A174" s="2">
        <v>170</v>
      </c>
      <c r="B174" s="66" t="s">
        <v>20102</v>
      </c>
      <c r="C174" s="66">
        <v>4101340021</v>
      </c>
      <c r="D174" s="11">
        <v>50210</v>
      </c>
      <c r="E174" s="11">
        <v>0</v>
      </c>
      <c r="F174" s="3">
        <v>43091</v>
      </c>
      <c r="G174" s="2" t="s">
        <v>20099</v>
      </c>
      <c r="H174" s="3"/>
      <c r="I174" s="2"/>
      <c r="J174" s="2" t="s">
        <v>14091</v>
      </c>
      <c r="K174" s="2" t="s">
        <v>20098</v>
      </c>
      <c r="L174" s="82" t="s">
        <v>20484</v>
      </c>
    </row>
    <row r="175" spans="1:12" ht="96" customHeight="1" x14ac:dyDescent="0.3">
      <c r="A175" s="2">
        <v>171</v>
      </c>
      <c r="B175" s="66" t="s">
        <v>20102</v>
      </c>
      <c r="C175" s="66">
        <v>4101340011</v>
      </c>
      <c r="D175" s="11">
        <v>50210</v>
      </c>
      <c r="E175" s="11">
        <v>0</v>
      </c>
      <c r="F175" s="3">
        <v>43091</v>
      </c>
      <c r="G175" s="2" t="s">
        <v>20101</v>
      </c>
      <c r="H175" s="3"/>
      <c r="I175" s="2"/>
      <c r="J175" s="2" t="s">
        <v>14091</v>
      </c>
      <c r="K175" s="2" t="s">
        <v>20100</v>
      </c>
      <c r="L175" s="82" t="s">
        <v>20485</v>
      </c>
    </row>
    <row r="176" spans="1:12" ht="84" customHeight="1" x14ac:dyDescent="0.3">
      <c r="A176" s="2">
        <v>172</v>
      </c>
      <c r="B176" s="66" t="s">
        <v>20103</v>
      </c>
      <c r="C176" s="66">
        <v>410240010</v>
      </c>
      <c r="D176" s="11">
        <v>75600</v>
      </c>
      <c r="E176" s="11">
        <v>0</v>
      </c>
      <c r="F176" s="3">
        <v>43005</v>
      </c>
      <c r="G176" s="2" t="s">
        <v>20105</v>
      </c>
      <c r="H176" s="3"/>
      <c r="I176" s="2"/>
      <c r="J176" s="2" t="s">
        <v>14091</v>
      </c>
      <c r="K176" s="2" t="s">
        <v>20104</v>
      </c>
      <c r="L176" s="82" t="s">
        <v>20486</v>
      </c>
    </row>
    <row r="177" spans="1:12" ht="84" customHeight="1" x14ac:dyDescent="0.3">
      <c r="A177" s="2">
        <v>173</v>
      </c>
      <c r="B177" s="66" t="s">
        <v>20109</v>
      </c>
      <c r="C177" s="66">
        <v>410124280</v>
      </c>
      <c r="D177" s="11">
        <v>51359.4</v>
      </c>
      <c r="E177" s="11">
        <v>9986.5499999999993</v>
      </c>
      <c r="F177" s="3">
        <v>42879</v>
      </c>
      <c r="G177" s="2" t="s">
        <v>20108</v>
      </c>
      <c r="H177" s="3"/>
      <c r="I177" s="2"/>
      <c r="J177" s="2" t="s">
        <v>14091</v>
      </c>
      <c r="K177" s="2" t="s">
        <v>20112</v>
      </c>
      <c r="L177" s="82" t="s">
        <v>20487</v>
      </c>
    </row>
    <row r="178" spans="1:12" ht="96" customHeight="1" x14ac:dyDescent="0.3">
      <c r="A178" s="2">
        <v>174</v>
      </c>
      <c r="B178" s="66" t="s">
        <v>20102</v>
      </c>
      <c r="C178" s="66">
        <v>4101240702</v>
      </c>
      <c r="D178" s="11">
        <v>50210</v>
      </c>
      <c r="E178" s="11">
        <v>0</v>
      </c>
      <c r="F178" s="3" t="s">
        <v>20110</v>
      </c>
      <c r="G178" s="2" t="s">
        <v>20111</v>
      </c>
      <c r="H178" s="26"/>
      <c r="I178" s="66"/>
      <c r="J178" s="2" t="s">
        <v>14091</v>
      </c>
      <c r="K178" s="2" t="s">
        <v>20113</v>
      </c>
      <c r="L178" s="82" t="s">
        <v>20488</v>
      </c>
    </row>
    <row r="179" spans="1:12" ht="96" customHeight="1" x14ac:dyDescent="0.3">
      <c r="A179" s="2">
        <v>175</v>
      </c>
      <c r="B179" s="66" t="s">
        <v>20109</v>
      </c>
      <c r="C179" s="66">
        <v>410124220</v>
      </c>
      <c r="D179" s="11">
        <v>51359.4</v>
      </c>
      <c r="E179" s="11">
        <v>9986.5499999999993</v>
      </c>
      <c r="F179" s="3">
        <v>42880</v>
      </c>
      <c r="G179" s="2" t="s">
        <v>20114</v>
      </c>
      <c r="H179" s="26"/>
      <c r="I179" s="66"/>
      <c r="J179" s="2" t="s">
        <v>14091</v>
      </c>
      <c r="K179" s="2" t="s">
        <v>20115</v>
      </c>
      <c r="L179" s="82" t="s">
        <v>20489</v>
      </c>
    </row>
    <row r="180" spans="1:12" ht="96" customHeight="1" x14ac:dyDescent="0.3">
      <c r="A180" s="2">
        <v>176</v>
      </c>
      <c r="B180" s="66" t="s">
        <v>20102</v>
      </c>
      <c r="C180" s="66">
        <v>4101240293</v>
      </c>
      <c r="D180" s="11">
        <v>50210</v>
      </c>
      <c r="E180" s="11">
        <v>0</v>
      </c>
      <c r="F180" s="3">
        <v>43091</v>
      </c>
      <c r="G180" s="2" t="s">
        <v>20117</v>
      </c>
      <c r="H180" s="2"/>
      <c r="I180" s="2"/>
      <c r="J180" s="2" t="s">
        <v>14091</v>
      </c>
      <c r="K180" s="2" t="s">
        <v>20118</v>
      </c>
      <c r="L180" s="82" t="s">
        <v>20490</v>
      </c>
    </row>
    <row r="181" spans="1:12" ht="96" customHeight="1" x14ac:dyDescent="0.3">
      <c r="A181" s="2">
        <v>177</v>
      </c>
      <c r="B181" s="66" t="s">
        <v>20109</v>
      </c>
      <c r="C181" s="66">
        <v>410124274</v>
      </c>
      <c r="D181" s="11">
        <v>51359.4</v>
      </c>
      <c r="E181" s="11">
        <v>9986.5499999999993</v>
      </c>
      <c r="F181" s="3">
        <v>42880</v>
      </c>
      <c r="G181" s="2" t="s">
        <v>20120</v>
      </c>
      <c r="H181" s="3"/>
      <c r="I181" s="2"/>
      <c r="J181" s="2" t="s">
        <v>14091</v>
      </c>
      <c r="K181" s="2" t="s">
        <v>20121</v>
      </c>
      <c r="L181" s="82" t="s">
        <v>20491</v>
      </c>
    </row>
    <row r="182" spans="1:12" ht="88.5" customHeight="1" x14ac:dyDescent="0.3">
      <c r="A182" s="242">
        <v>10247</v>
      </c>
      <c r="B182" s="245" t="s">
        <v>23827</v>
      </c>
      <c r="C182" s="245" t="s">
        <v>23828</v>
      </c>
      <c r="D182" s="244">
        <v>3499556.55</v>
      </c>
      <c r="E182" s="244"/>
      <c r="F182" s="243" t="s">
        <v>23492</v>
      </c>
      <c r="G182" s="242"/>
      <c r="H182" s="242"/>
      <c r="I182" s="242"/>
      <c r="J182" s="242" t="s">
        <v>13904</v>
      </c>
      <c r="K182" s="242" t="s">
        <v>23818</v>
      </c>
      <c r="L182" s="242" t="s">
        <v>23820</v>
      </c>
    </row>
    <row r="183" spans="1:12" ht="84" customHeight="1" x14ac:dyDescent="0.3">
      <c r="A183" s="2">
        <v>179</v>
      </c>
      <c r="B183" s="66" t="s">
        <v>22619</v>
      </c>
      <c r="C183" s="66">
        <v>41013600253</v>
      </c>
      <c r="D183" s="244">
        <v>15472.38</v>
      </c>
      <c r="E183" s="244">
        <v>15472.38</v>
      </c>
      <c r="F183" s="243" t="s">
        <v>20444</v>
      </c>
      <c r="G183" s="244" t="s">
        <v>22642</v>
      </c>
      <c r="H183" s="26"/>
      <c r="I183" s="66"/>
      <c r="J183" s="242" t="s">
        <v>13904</v>
      </c>
      <c r="K183" s="242" t="s">
        <v>22641</v>
      </c>
      <c r="L183" s="246" t="s">
        <v>22979</v>
      </c>
    </row>
    <row r="184" spans="1:12" ht="72" customHeight="1" x14ac:dyDescent="0.3">
      <c r="A184" s="2">
        <v>180</v>
      </c>
      <c r="B184" s="66" t="s">
        <v>219</v>
      </c>
      <c r="C184" s="66" t="s">
        <v>12043</v>
      </c>
      <c r="D184" s="11">
        <v>5295.84</v>
      </c>
      <c r="E184" s="11">
        <v>5295.84</v>
      </c>
      <c r="F184" s="3"/>
      <c r="G184" s="2"/>
      <c r="H184" s="3">
        <v>42324</v>
      </c>
      <c r="I184" s="2" t="s">
        <v>12042</v>
      </c>
      <c r="J184" s="2" t="s">
        <v>15048</v>
      </c>
      <c r="K184" s="2"/>
      <c r="L184" s="82"/>
    </row>
    <row r="185" spans="1:12" ht="72" customHeight="1" x14ac:dyDescent="0.3">
      <c r="A185" s="2">
        <v>181</v>
      </c>
      <c r="B185" s="66" t="s">
        <v>222</v>
      </c>
      <c r="C185" s="66" t="s">
        <v>18553</v>
      </c>
      <c r="D185" s="11">
        <v>9072.01</v>
      </c>
      <c r="E185" s="11">
        <v>9072.01</v>
      </c>
      <c r="F185" s="3"/>
      <c r="G185" s="2"/>
      <c r="H185" s="3">
        <v>42559</v>
      </c>
      <c r="I185" s="2" t="s">
        <v>18552</v>
      </c>
      <c r="J185" s="2" t="s">
        <v>15048</v>
      </c>
      <c r="K185" s="2"/>
      <c r="L185" s="82"/>
    </row>
    <row r="186" spans="1:12" ht="84" customHeight="1" x14ac:dyDescent="0.3">
      <c r="A186" s="2">
        <v>182</v>
      </c>
      <c r="B186" s="66" t="s">
        <v>22625</v>
      </c>
      <c r="C186" s="66">
        <v>41013600281</v>
      </c>
      <c r="D186" s="244">
        <v>15472.38</v>
      </c>
      <c r="E186" s="244">
        <v>15472.38</v>
      </c>
      <c r="F186" s="243" t="s">
        <v>20444</v>
      </c>
      <c r="G186" s="244" t="s">
        <v>22642</v>
      </c>
      <c r="H186" s="26"/>
      <c r="I186" s="66"/>
      <c r="J186" s="242" t="s">
        <v>13904</v>
      </c>
      <c r="K186" s="242" t="s">
        <v>22641</v>
      </c>
      <c r="L186" s="246" t="s">
        <v>22979</v>
      </c>
    </row>
    <row r="187" spans="1:12" ht="84" customHeight="1" x14ac:dyDescent="0.3">
      <c r="A187" s="2">
        <v>183</v>
      </c>
      <c r="B187" s="66" t="s">
        <v>22626</v>
      </c>
      <c r="C187" s="66">
        <v>41013600280</v>
      </c>
      <c r="D187" s="244">
        <v>15472.38</v>
      </c>
      <c r="E187" s="244">
        <v>15472.38</v>
      </c>
      <c r="F187" s="243" t="s">
        <v>20444</v>
      </c>
      <c r="G187" s="244" t="s">
        <v>22642</v>
      </c>
      <c r="H187" s="26"/>
      <c r="I187" s="66"/>
      <c r="J187" s="242" t="s">
        <v>13904</v>
      </c>
      <c r="K187" s="242" t="s">
        <v>22641</v>
      </c>
      <c r="L187" s="246" t="s">
        <v>22979</v>
      </c>
    </row>
    <row r="188" spans="1:12" ht="84" customHeight="1" x14ac:dyDescent="0.3">
      <c r="A188" s="2">
        <v>184</v>
      </c>
      <c r="B188" s="66" t="s">
        <v>22627</v>
      </c>
      <c r="C188" s="66">
        <v>41013600252</v>
      </c>
      <c r="D188" s="244">
        <v>15472.38</v>
      </c>
      <c r="E188" s="244">
        <v>15472.38</v>
      </c>
      <c r="F188" s="243" t="s">
        <v>20444</v>
      </c>
      <c r="G188" s="244" t="s">
        <v>22642</v>
      </c>
      <c r="H188" s="26"/>
      <c r="I188" s="66"/>
      <c r="J188" s="242" t="s">
        <v>13904</v>
      </c>
      <c r="K188" s="242" t="s">
        <v>22641</v>
      </c>
      <c r="L188" s="246" t="s">
        <v>22984</v>
      </c>
    </row>
    <row r="189" spans="1:12" ht="84" x14ac:dyDescent="0.3">
      <c r="A189" s="2">
        <v>185</v>
      </c>
      <c r="B189" s="66" t="s">
        <v>23161</v>
      </c>
      <c r="C189" s="66" t="s">
        <v>23160</v>
      </c>
      <c r="D189" s="11">
        <v>4396.79</v>
      </c>
      <c r="E189" s="11">
        <v>4396.79</v>
      </c>
      <c r="F189" s="3" t="s">
        <v>23162</v>
      </c>
      <c r="G189" s="2" t="s">
        <v>14104</v>
      </c>
      <c r="H189" s="3"/>
      <c r="I189" s="2"/>
      <c r="J189" s="2" t="s">
        <v>12550</v>
      </c>
      <c r="K189" s="2" t="s">
        <v>23241</v>
      </c>
      <c r="L189" s="82" t="s">
        <v>23240</v>
      </c>
    </row>
    <row r="190" spans="1:12" ht="84" customHeight="1" x14ac:dyDescent="0.3">
      <c r="A190" s="2">
        <v>186</v>
      </c>
      <c r="B190" s="245" t="s">
        <v>23163</v>
      </c>
      <c r="C190" s="66" t="s">
        <v>23164</v>
      </c>
      <c r="D190" s="11">
        <v>3481.06</v>
      </c>
      <c r="E190" s="11">
        <v>3481.06</v>
      </c>
      <c r="F190" s="3" t="s">
        <v>23165</v>
      </c>
      <c r="G190" s="242" t="s">
        <v>14104</v>
      </c>
      <c r="H190" s="3"/>
      <c r="I190" s="2"/>
      <c r="J190" s="242" t="s">
        <v>12550</v>
      </c>
      <c r="K190" s="242" t="s">
        <v>23241</v>
      </c>
      <c r="L190" s="246" t="s">
        <v>23172</v>
      </c>
    </row>
    <row r="191" spans="1:12" ht="84" customHeight="1" x14ac:dyDescent="0.3">
      <c r="A191" s="2">
        <v>187</v>
      </c>
      <c r="B191" s="66" t="s">
        <v>23166</v>
      </c>
      <c r="C191" s="66" t="s">
        <v>23167</v>
      </c>
      <c r="D191" s="11">
        <v>7228</v>
      </c>
      <c r="E191" s="11">
        <v>2778</v>
      </c>
      <c r="F191" s="3" t="s">
        <v>23171</v>
      </c>
      <c r="G191" s="242" t="s">
        <v>14104</v>
      </c>
      <c r="H191" s="3"/>
      <c r="I191" s="2"/>
      <c r="J191" s="242" t="s">
        <v>12550</v>
      </c>
      <c r="K191" s="242" t="s">
        <v>23241</v>
      </c>
      <c r="L191" s="246" t="s">
        <v>23172</v>
      </c>
    </row>
    <row r="192" spans="1:12" ht="84" customHeight="1" x14ac:dyDescent="0.3">
      <c r="A192" s="2">
        <v>188</v>
      </c>
      <c r="B192" s="66" t="s">
        <v>22627</v>
      </c>
      <c r="C192" s="66">
        <v>41013600251</v>
      </c>
      <c r="D192" s="244">
        <v>15472.38</v>
      </c>
      <c r="E192" s="244">
        <v>15472.38</v>
      </c>
      <c r="F192" s="243" t="s">
        <v>20444</v>
      </c>
      <c r="G192" s="244" t="s">
        <v>22642</v>
      </c>
      <c r="H192" s="3"/>
      <c r="I192" s="2"/>
      <c r="J192" s="242" t="s">
        <v>13904</v>
      </c>
      <c r="K192" s="242" t="s">
        <v>22641</v>
      </c>
      <c r="L192" s="246" t="s">
        <v>22979</v>
      </c>
    </row>
    <row r="193" spans="1:12" ht="84" customHeight="1" x14ac:dyDescent="0.3">
      <c r="A193" s="2">
        <v>189</v>
      </c>
      <c r="B193" s="66" t="s">
        <v>23168</v>
      </c>
      <c r="C193" s="66" t="s">
        <v>23169</v>
      </c>
      <c r="D193" s="11">
        <v>3292</v>
      </c>
      <c r="E193" s="11">
        <v>3292</v>
      </c>
      <c r="F193" s="3" t="s">
        <v>23170</v>
      </c>
      <c r="G193" s="242" t="s">
        <v>14104</v>
      </c>
      <c r="H193" s="3"/>
      <c r="I193" s="2"/>
      <c r="J193" s="242" t="s">
        <v>12550</v>
      </c>
      <c r="K193" s="242" t="s">
        <v>23241</v>
      </c>
      <c r="L193" s="246" t="s">
        <v>23172</v>
      </c>
    </row>
    <row r="194" spans="1:12" ht="84" customHeight="1" x14ac:dyDescent="0.3">
      <c r="A194" s="2">
        <v>190</v>
      </c>
      <c r="B194" s="66" t="s">
        <v>22627</v>
      </c>
      <c r="C194" s="66">
        <v>41013600247</v>
      </c>
      <c r="D194" s="244">
        <v>15472.38</v>
      </c>
      <c r="E194" s="244">
        <v>15472.38</v>
      </c>
      <c r="F194" s="243" t="s">
        <v>20444</v>
      </c>
      <c r="G194" s="244" t="s">
        <v>22642</v>
      </c>
      <c r="H194" s="3"/>
      <c r="I194" s="2"/>
      <c r="J194" s="242" t="s">
        <v>13904</v>
      </c>
      <c r="K194" s="242" t="s">
        <v>22641</v>
      </c>
      <c r="L194" s="246" t="s">
        <v>22979</v>
      </c>
    </row>
    <row r="195" spans="1:12" ht="72" customHeight="1" x14ac:dyDescent="0.3">
      <c r="A195" s="2">
        <v>191</v>
      </c>
      <c r="B195" s="66" t="s">
        <v>222</v>
      </c>
      <c r="C195" s="66" t="s">
        <v>18554</v>
      </c>
      <c r="D195" s="11">
        <v>6409.57</v>
      </c>
      <c r="E195" s="11">
        <v>6409.57</v>
      </c>
      <c r="F195" s="3"/>
      <c r="G195" s="2"/>
      <c r="H195" s="3">
        <v>42559</v>
      </c>
      <c r="I195" s="2" t="s">
        <v>18552</v>
      </c>
      <c r="J195" s="2" t="s">
        <v>15048</v>
      </c>
      <c r="K195" s="2"/>
      <c r="L195" s="82"/>
    </row>
    <row r="196" spans="1:12" ht="84" customHeight="1" x14ac:dyDescent="0.3">
      <c r="A196" s="2">
        <v>192</v>
      </c>
      <c r="B196" s="66" t="s">
        <v>22627</v>
      </c>
      <c r="C196" s="66">
        <v>41013600250</v>
      </c>
      <c r="D196" s="244">
        <v>15472.38</v>
      </c>
      <c r="E196" s="244">
        <v>15472.38</v>
      </c>
      <c r="F196" s="243" t="s">
        <v>20444</v>
      </c>
      <c r="G196" s="244" t="s">
        <v>22642</v>
      </c>
      <c r="H196" s="3"/>
      <c r="I196" s="2"/>
      <c r="J196" s="242" t="s">
        <v>13904</v>
      </c>
      <c r="K196" s="242" t="s">
        <v>22641</v>
      </c>
      <c r="L196" s="246" t="s">
        <v>22984</v>
      </c>
    </row>
    <row r="197" spans="1:12" ht="84" customHeight="1" x14ac:dyDescent="0.3">
      <c r="A197" s="2">
        <v>193</v>
      </c>
      <c r="B197" s="66" t="s">
        <v>22627</v>
      </c>
      <c r="C197" s="66">
        <v>41013600249</v>
      </c>
      <c r="D197" s="244">
        <v>15472.38</v>
      </c>
      <c r="E197" s="244">
        <v>15472.38</v>
      </c>
      <c r="F197" s="243" t="s">
        <v>20444</v>
      </c>
      <c r="G197" s="244" t="s">
        <v>22642</v>
      </c>
      <c r="H197" s="3"/>
      <c r="I197" s="2"/>
      <c r="J197" s="242" t="s">
        <v>13904</v>
      </c>
      <c r="K197" s="242" t="s">
        <v>22641</v>
      </c>
      <c r="L197" s="246" t="s">
        <v>22979</v>
      </c>
    </row>
    <row r="198" spans="1:12" ht="84" customHeight="1" x14ac:dyDescent="0.3">
      <c r="A198" s="2">
        <v>194</v>
      </c>
      <c r="B198" s="66" t="s">
        <v>22627</v>
      </c>
      <c r="C198" s="66">
        <v>41013600248</v>
      </c>
      <c r="D198" s="11">
        <v>15472.38</v>
      </c>
      <c r="E198" s="11">
        <v>15472.38</v>
      </c>
      <c r="F198" s="243" t="s">
        <v>20444</v>
      </c>
      <c r="G198" s="244" t="s">
        <v>22642</v>
      </c>
      <c r="H198" s="3"/>
      <c r="I198" s="2"/>
      <c r="J198" s="242" t="s">
        <v>13904</v>
      </c>
      <c r="K198" s="242" t="s">
        <v>22641</v>
      </c>
      <c r="L198" s="246" t="s">
        <v>22984</v>
      </c>
    </row>
    <row r="199" spans="1:12" ht="84" customHeight="1" x14ac:dyDescent="0.3">
      <c r="A199" s="2">
        <v>195</v>
      </c>
      <c r="B199" s="66" t="s">
        <v>22627</v>
      </c>
      <c r="C199" s="66">
        <v>41013600254</v>
      </c>
      <c r="D199" s="244">
        <v>15472.38</v>
      </c>
      <c r="E199" s="244">
        <v>15472.38</v>
      </c>
      <c r="F199" s="243" t="s">
        <v>20444</v>
      </c>
      <c r="G199" s="244" t="s">
        <v>22642</v>
      </c>
      <c r="H199" s="3"/>
      <c r="I199" s="2"/>
      <c r="J199" s="242" t="s">
        <v>13904</v>
      </c>
      <c r="K199" s="242" t="s">
        <v>22641</v>
      </c>
      <c r="L199" s="246" t="s">
        <v>22984</v>
      </c>
    </row>
    <row r="200" spans="1:12" ht="84" customHeight="1" x14ac:dyDescent="0.3">
      <c r="A200" s="2">
        <v>196</v>
      </c>
      <c r="B200" s="66" t="s">
        <v>22627</v>
      </c>
      <c r="C200" s="66">
        <v>41013600263</v>
      </c>
      <c r="D200" s="244">
        <v>15472.38</v>
      </c>
      <c r="E200" s="244">
        <v>15472.38</v>
      </c>
      <c r="F200" s="243" t="s">
        <v>20444</v>
      </c>
      <c r="G200" s="244" t="s">
        <v>22642</v>
      </c>
      <c r="H200" s="3"/>
      <c r="I200" s="2"/>
      <c r="J200" s="242" t="s">
        <v>13904</v>
      </c>
      <c r="K200" s="242" t="s">
        <v>22641</v>
      </c>
      <c r="L200" s="246" t="s">
        <v>22979</v>
      </c>
    </row>
    <row r="201" spans="1:12" ht="84" customHeight="1" x14ac:dyDescent="0.3">
      <c r="A201" s="2">
        <v>197</v>
      </c>
      <c r="B201" s="66" t="s">
        <v>22628</v>
      </c>
      <c r="C201" s="66">
        <v>41013600246</v>
      </c>
      <c r="D201" s="11">
        <v>41827.040000000001</v>
      </c>
      <c r="E201" s="11">
        <v>41827.040000000001</v>
      </c>
      <c r="F201" s="243" t="s">
        <v>20444</v>
      </c>
      <c r="G201" s="244" t="s">
        <v>22642</v>
      </c>
      <c r="H201" s="3"/>
      <c r="I201" s="2"/>
      <c r="J201" s="242" t="s">
        <v>13904</v>
      </c>
      <c r="K201" s="242" t="s">
        <v>22641</v>
      </c>
      <c r="L201" s="246" t="s">
        <v>22984</v>
      </c>
    </row>
    <row r="202" spans="1:12" ht="84" customHeight="1" x14ac:dyDescent="0.3">
      <c r="A202" s="2">
        <v>198</v>
      </c>
      <c r="B202" s="66" t="s">
        <v>22629</v>
      </c>
      <c r="C202" s="66">
        <v>41013600245</v>
      </c>
      <c r="D202" s="11">
        <v>41827.040000000001</v>
      </c>
      <c r="E202" s="11">
        <v>41827.040000000001</v>
      </c>
      <c r="F202" s="243" t="s">
        <v>20444</v>
      </c>
      <c r="G202" s="244" t="s">
        <v>22642</v>
      </c>
      <c r="H202" s="3"/>
      <c r="I202" s="2"/>
      <c r="J202" s="242" t="s">
        <v>13904</v>
      </c>
      <c r="K202" s="242" t="s">
        <v>22641</v>
      </c>
      <c r="L202" s="246" t="s">
        <v>22984</v>
      </c>
    </row>
    <row r="203" spans="1:12" ht="72" customHeight="1" x14ac:dyDescent="0.3">
      <c r="A203" s="2">
        <v>199</v>
      </c>
      <c r="B203" s="66" t="s">
        <v>218</v>
      </c>
      <c r="C203" s="66" t="s">
        <v>12074</v>
      </c>
      <c r="D203" s="11">
        <v>25520</v>
      </c>
      <c r="E203" s="11">
        <v>25520</v>
      </c>
      <c r="F203" s="3"/>
      <c r="G203" s="2"/>
      <c r="H203" s="3">
        <v>42267</v>
      </c>
      <c r="I203" s="2" t="s">
        <v>12072</v>
      </c>
      <c r="J203" s="2" t="s">
        <v>15048</v>
      </c>
      <c r="K203" s="2"/>
      <c r="L203" s="82"/>
    </row>
    <row r="204" spans="1:12" ht="72" customHeight="1" x14ac:dyDescent="0.3">
      <c r="A204" s="2">
        <v>200</v>
      </c>
      <c r="B204" s="66" t="s">
        <v>226</v>
      </c>
      <c r="C204" s="66" t="s">
        <v>12075</v>
      </c>
      <c r="D204" s="11">
        <v>6586</v>
      </c>
      <c r="E204" s="11">
        <v>6586</v>
      </c>
      <c r="F204" s="3"/>
      <c r="G204" s="2"/>
      <c r="H204" s="3">
        <v>42267</v>
      </c>
      <c r="I204" s="2" t="s">
        <v>12072</v>
      </c>
      <c r="J204" s="2" t="s">
        <v>15048</v>
      </c>
      <c r="K204" s="2"/>
      <c r="L204" s="82"/>
    </row>
    <row r="205" spans="1:12" ht="72" customHeight="1" x14ac:dyDescent="0.3">
      <c r="A205" s="2">
        <v>201</v>
      </c>
      <c r="B205" s="66" t="s">
        <v>226</v>
      </c>
      <c r="C205" s="66" t="s">
        <v>12076</v>
      </c>
      <c r="D205" s="11">
        <v>6586</v>
      </c>
      <c r="E205" s="11">
        <v>6586</v>
      </c>
      <c r="F205" s="3"/>
      <c r="G205" s="2"/>
      <c r="H205" s="3">
        <v>42267</v>
      </c>
      <c r="I205" s="2" t="s">
        <v>12072</v>
      </c>
      <c r="J205" s="2" t="s">
        <v>15048</v>
      </c>
      <c r="K205" s="2"/>
      <c r="L205" s="82"/>
    </row>
    <row r="206" spans="1:12" ht="84" customHeight="1" x14ac:dyDescent="0.3">
      <c r="A206" s="2">
        <v>202</v>
      </c>
      <c r="B206" s="66" t="s">
        <v>22630</v>
      </c>
      <c r="C206" s="66">
        <v>41013600244</v>
      </c>
      <c r="D206" s="11">
        <v>46753.03</v>
      </c>
      <c r="E206" s="11">
        <v>46753.03</v>
      </c>
      <c r="F206" s="243" t="s">
        <v>20444</v>
      </c>
      <c r="G206" s="244" t="s">
        <v>22642</v>
      </c>
      <c r="H206" s="3"/>
      <c r="I206" s="2"/>
      <c r="J206" s="242" t="s">
        <v>13904</v>
      </c>
      <c r="K206" s="242" t="s">
        <v>22641</v>
      </c>
      <c r="L206" s="246" t="s">
        <v>22984</v>
      </c>
    </row>
    <row r="207" spans="1:12" ht="72" customHeight="1" x14ac:dyDescent="0.3">
      <c r="A207" s="2">
        <v>203</v>
      </c>
      <c r="B207" s="66" t="s">
        <v>221</v>
      </c>
      <c r="C207" s="66" t="s">
        <v>20173</v>
      </c>
      <c r="D207" s="11">
        <v>59035.68</v>
      </c>
      <c r="E207" s="11">
        <v>59035.68</v>
      </c>
      <c r="F207" s="3" t="s">
        <v>20185</v>
      </c>
      <c r="G207" s="2" t="s">
        <v>20174</v>
      </c>
      <c r="H207" s="2"/>
      <c r="I207" s="2"/>
      <c r="J207" s="2" t="s">
        <v>15048</v>
      </c>
      <c r="K207" s="2"/>
      <c r="L207" s="82"/>
    </row>
    <row r="208" spans="1:12" ht="84" customHeight="1" x14ac:dyDescent="0.3">
      <c r="A208" s="2">
        <v>204</v>
      </c>
      <c r="B208" s="66" t="s">
        <v>22631</v>
      </c>
      <c r="C208" s="66">
        <v>41013600243</v>
      </c>
      <c r="D208" s="11">
        <v>46753.03</v>
      </c>
      <c r="E208" s="11">
        <v>46753.03</v>
      </c>
      <c r="F208" s="243" t="s">
        <v>20444</v>
      </c>
      <c r="G208" s="244" t="s">
        <v>22642</v>
      </c>
      <c r="H208" s="3"/>
      <c r="I208" s="2"/>
      <c r="J208" s="242" t="s">
        <v>13904</v>
      </c>
      <c r="K208" s="242" t="s">
        <v>22641</v>
      </c>
      <c r="L208" s="246" t="s">
        <v>22984</v>
      </c>
    </row>
    <row r="209" spans="1:12" ht="72" customHeight="1" x14ac:dyDescent="0.3">
      <c r="A209" s="2">
        <v>205</v>
      </c>
      <c r="B209" s="66" t="s">
        <v>222</v>
      </c>
      <c r="C209" s="66" t="s">
        <v>18556</v>
      </c>
      <c r="D209" s="11">
        <v>9323.6</v>
      </c>
      <c r="E209" s="11">
        <v>9323.6</v>
      </c>
      <c r="F209" s="3"/>
      <c r="G209" s="2"/>
      <c r="H209" s="3">
        <v>42559</v>
      </c>
      <c r="I209" s="2" t="s">
        <v>18552</v>
      </c>
      <c r="J209" s="2" t="s">
        <v>15048</v>
      </c>
      <c r="K209" s="2"/>
      <c r="L209" s="82"/>
    </row>
    <row r="210" spans="1:12" ht="72" customHeight="1" x14ac:dyDescent="0.3">
      <c r="A210" s="2">
        <v>206</v>
      </c>
      <c r="B210" s="66" t="s">
        <v>222</v>
      </c>
      <c r="C210" s="66" t="s">
        <v>18555</v>
      </c>
      <c r="D210" s="11">
        <v>9323.6</v>
      </c>
      <c r="E210" s="11">
        <v>9323.6</v>
      </c>
      <c r="F210" s="3"/>
      <c r="G210" s="2"/>
      <c r="H210" s="3">
        <v>42559</v>
      </c>
      <c r="I210" s="2" t="s">
        <v>18552</v>
      </c>
      <c r="J210" s="2" t="s">
        <v>15048</v>
      </c>
      <c r="K210" s="2"/>
      <c r="L210" s="82"/>
    </row>
    <row r="211" spans="1:12" ht="72" customHeight="1" x14ac:dyDescent="0.3">
      <c r="A211" s="2">
        <v>207</v>
      </c>
      <c r="B211" s="66" t="s">
        <v>23601</v>
      </c>
      <c r="C211" s="66" t="s">
        <v>23604</v>
      </c>
      <c r="D211" s="11">
        <v>170000</v>
      </c>
      <c r="E211" s="11"/>
      <c r="F211" s="243" t="s">
        <v>23417</v>
      </c>
      <c r="G211" s="242" t="s">
        <v>23612</v>
      </c>
      <c r="H211" s="3"/>
      <c r="I211" s="2"/>
      <c r="J211" s="2" t="s">
        <v>15048</v>
      </c>
      <c r="K211" s="2"/>
      <c r="L211" s="82" t="s">
        <v>23611</v>
      </c>
    </row>
    <row r="212" spans="1:12" ht="72" customHeight="1" x14ac:dyDescent="0.3">
      <c r="A212" s="2">
        <v>208</v>
      </c>
      <c r="B212" s="245" t="s">
        <v>23598</v>
      </c>
      <c r="C212" s="66" t="s">
        <v>23605</v>
      </c>
      <c r="D212" s="11">
        <v>175000</v>
      </c>
      <c r="E212" s="11"/>
      <c r="F212" s="3" t="s">
        <v>23417</v>
      </c>
      <c r="G212" s="2" t="s">
        <v>23610</v>
      </c>
      <c r="H212" s="3"/>
      <c r="I212" s="2"/>
      <c r="J212" s="2" t="s">
        <v>15048</v>
      </c>
      <c r="K212" s="2"/>
      <c r="L212" s="246" t="s">
        <v>23611</v>
      </c>
    </row>
    <row r="213" spans="1:12" ht="84" customHeight="1" x14ac:dyDescent="0.3">
      <c r="A213" s="2">
        <v>209</v>
      </c>
      <c r="B213" s="66" t="s">
        <v>22632</v>
      </c>
      <c r="C213" s="66">
        <v>41013600242</v>
      </c>
      <c r="D213" s="11">
        <v>35870.75</v>
      </c>
      <c r="E213" s="11">
        <v>35870.75</v>
      </c>
      <c r="F213" s="243" t="s">
        <v>20444</v>
      </c>
      <c r="G213" s="244" t="s">
        <v>22642</v>
      </c>
      <c r="H213" s="3"/>
      <c r="I213" s="2"/>
      <c r="J213" s="242" t="s">
        <v>13904</v>
      </c>
      <c r="K213" s="242" t="s">
        <v>22641</v>
      </c>
      <c r="L213" s="246" t="s">
        <v>22979</v>
      </c>
    </row>
    <row r="214" spans="1:12" ht="72" customHeight="1" x14ac:dyDescent="0.3">
      <c r="A214" s="2">
        <v>210</v>
      </c>
      <c r="B214" s="245" t="s">
        <v>23600</v>
      </c>
      <c r="C214" s="66" t="s">
        <v>23606</v>
      </c>
      <c r="D214" s="11">
        <v>175000</v>
      </c>
      <c r="E214" s="11"/>
      <c r="F214" s="243" t="s">
        <v>23417</v>
      </c>
      <c r="G214" s="242" t="s">
        <v>23613</v>
      </c>
      <c r="H214" s="3"/>
      <c r="I214" s="2"/>
      <c r="J214" s="2" t="s">
        <v>15048</v>
      </c>
      <c r="K214" s="2"/>
      <c r="L214" s="246" t="s">
        <v>23611</v>
      </c>
    </row>
    <row r="215" spans="1:12" ht="84" customHeight="1" x14ac:dyDescent="0.3">
      <c r="A215" s="2">
        <v>211</v>
      </c>
      <c r="B215" s="66" t="s">
        <v>22633</v>
      </c>
      <c r="C215" s="66">
        <v>41013600241</v>
      </c>
      <c r="D215" s="11">
        <v>35870.75</v>
      </c>
      <c r="E215" s="11">
        <v>35870.75</v>
      </c>
      <c r="F215" s="243" t="s">
        <v>20444</v>
      </c>
      <c r="G215" s="244" t="s">
        <v>22642</v>
      </c>
      <c r="H215" s="3"/>
      <c r="I215" s="2"/>
      <c r="J215" s="242" t="s">
        <v>13904</v>
      </c>
      <c r="K215" s="242" t="s">
        <v>22641</v>
      </c>
      <c r="L215" s="246" t="s">
        <v>22984</v>
      </c>
    </row>
    <row r="216" spans="1:12" ht="84" customHeight="1" x14ac:dyDescent="0.3">
      <c r="A216" s="2">
        <v>212</v>
      </c>
      <c r="B216" s="66" t="s">
        <v>22634</v>
      </c>
      <c r="C216" s="66">
        <v>41013600240</v>
      </c>
      <c r="D216" s="11">
        <v>28289.200000000001</v>
      </c>
      <c r="E216" s="11">
        <v>28289.200000000001</v>
      </c>
      <c r="F216" s="243" t="s">
        <v>20444</v>
      </c>
      <c r="G216" s="244" t="s">
        <v>22642</v>
      </c>
      <c r="H216" s="3"/>
      <c r="I216" s="2"/>
      <c r="J216" s="242" t="s">
        <v>13904</v>
      </c>
      <c r="K216" s="242" t="s">
        <v>22641</v>
      </c>
      <c r="L216" s="246" t="s">
        <v>22984</v>
      </c>
    </row>
    <row r="217" spans="1:12" ht="84" customHeight="1" x14ac:dyDescent="0.3">
      <c r="A217" s="2">
        <v>213</v>
      </c>
      <c r="B217" s="66" t="s">
        <v>22635</v>
      </c>
      <c r="C217" s="66">
        <v>41013600239</v>
      </c>
      <c r="D217" s="11">
        <v>28289.200000000001</v>
      </c>
      <c r="E217" s="11">
        <v>28289.200000000001</v>
      </c>
      <c r="F217" s="243" t="s">
        <v>20444</v>
      </c>
      <c r="G217" s="244" t="s">
        <v>22642</v>
      </c>
      <c r="H217" s="3"/>
      <c r="I217" s="2"/>
      <c r="J217" s="242" t="s">
        <v>13904</v>
      </c>
      <c r="K217" s="242" t="s">
        <v>22641</v>
      </c>
      <c r="L217" s="246" t="s">
        <v>22979</v>
      </c>
    </row>
    <row r="218" spans="1:12" ht="84" customHeight="1" x14ac:dyDescent="0.3">
      <c r="A218" s="2">
        <v>214</v>
      </c>
      <c r="B218" s="66" t="s">
        <v>22636</v>
      </c>
      <c r="C218" s="66">
        <v>41012600019</v>
      </c>
      <c r="D218" s="244">
        <v>140747.64000000001</v>
      </c>
      <c r="E218" s="244">
        <v>140747.64000000001</v>
      </c>
      <c r="F218" s="243" t="s">
        <v>20444</v>
      </c>
      <c r="G218" s="244" t="s">
        <v>22642</v>
      </c>
      <c r="H218" s="3"/>
      <c r="I218" s="2"/>
      <c r="J218" s="242" t="s">
        <v>13904</v>
      </c>
      <c r="K218" s="242" t="s">
        <v>22641</v>
      </c>
      <c r="L218" s="246" t="s">
        <v>22979</v>
      </c>
    </row>
    <row r="219" spans="1:12" ht="84" customHeight="1" x14ac:dyDescent="0.3">
      <c r="A219" s="2">
        <v>215</v>
      </c>
      <c r="B219" s="66" t="s">
        <v>22637</v>
      </c>
      <c r="C219" s="66">
        <v>41012600018</v>
      </c>
      <c r="D219" s="11">
        <v>140747.64000000001</v>
      </c>
      <c r="E219" s="11">
        <v>140747.64000000001</v>
      </c>
      <c r="F219" s="243" t="s">
        <v>20444</v>
      </c>
      <c r="G219" s="244" t="s">
        <v>22642</v>
      </c>
      <c r="H219" s="3"/>
      <c r="I219" s="2"/>
      <c r="J219" s="242" t="s">
        <v>13904</v>
      </c>
      <c r="K219" s="242" t="s">
        <v>22641</v>
      </c>
      <c r="L219" s="246" t="s">
        <v>22979</v>
      </c>
    </row>
    <row r="220" spans="1:12" ht="84" customHeight="1" x14ac:dyDescent="0.3">
      <c r="A220" s="2">
        <v>216</v>
      </c>
      <c r="B220" s="66" t="s">
        <v>22643</v>
      </c>
      <c r="C220" s="66">
        <v>41012600017</v>
      </c>
      <c r="D220" s="11">
        <v>83563.48</v>
      </c>
      <c r="E220" s="11">
        <v>83563.48</v>
      </c>
      <c r="F220" s="243" t="s">
        <v>20444</v>
      </c>
      <c r="G220" s="244" t="s">
        <v>22642</v>
      </c>
      <c r="H220" s="3"/>
      <c r="I220" s="2"/>
      <c r="J220" s="242" t="s">
        <v>13904</v>
      </c>
      <c r="K220" s="242" t="s">
        <v>22641</v>
      </c>
      <c r="L220" s="246" t="s">
        <v>22984</v>
      </c>
    </row>
    <row r="221" spans="1:12" ht="84" customHeight="1" x14ac:dyDescent="0.3">
      <c r="A221" s="2">
        <v>217</v>
      </c>
      <c r="B221" s="66" t="s">
        <v>22638</v>
      </c>
      <c r="C221" s="66">
        <v>41012600016</v>
      </c>
      <c r="D221" s="11">
        <v>344750</v>
      </c>
      <c r="E221" s="11"/>
      <c r="F221" s="243" t="s">
        <v>20444</v>
      </c>
      <c r="G221" s="244" t="s">
        <v>22642</v>
      </c>
      <c r="H221" s="3"/>
      <c r="I221" s="2"/>
      <c r="J221" s="242" t="s">
        <v>13904</v>
      </c>
      <c r="K221" s="242" t="s">
        <v>22641</v>
      </c>
      <c r="L221" s="246" t="s">
        <v>22984</v>
      </c>
    </row>
    <row r="222" spans="1:12" ht="84" customHeight="1" x14ac:dyDescent="0.3">
      <c r="A222" s="2">
        <v>218</v>
      </c>
      <c r="B222" s="245" t="s">
        <v>22640</v>
      </c>
      <c r="C222" s="245"/>
      <c r="D222" s="244">
        <v>75825.399999999994</v>
      </c>
      <c r="E222" s="244">
        <v>75825.399999999994</v>
      </c>
      <c r="F222" s="243" t="s">
        <v>20444</v>
      </c>
      <c r="G222" s="244" t="s">
        <v>22642</v>
      </c>
      <c r="H222" s="243"/>
      <c r="I222" s="242"/>
      <c r="J222" s="242" t="s">
        <v>13904</v>
      </c>
      <c r="K222" s="242" t="s">
        <v>22641</v>
      </c>
      <c r="L222" s="246" t="s">
        <v>22979</v>
      </c>
    </row>
    <row r="223" spans="1:12" ht="120" customHeight="1" x14ac:dyDescent="0.3">
      <c r="A223" s="2">
        <v>219</v>
      </c>
      <c r="B223" s="66" t="s">
        <v>22931</v>
      </c>
      <c r="C223" s="66"/>
      <c r="D223" s="11"/>
      <c r="E223" s="11"/>
      <c r="F223" s="3">
        <v>43574</v>
      </c>
      <c r="G223" s="2" t="s">
        <v>22933</v>
      </c>
      <c r="H223" s="3"/>
      <c r="I223" s="2"/>
      <c r="J223" s="242" t="s">
        <v>14091</v>
      </c>
      <c r="K223" s="2" t="s">
        <v>22952</v>
      </c>
      <c r="L223" s="246" t="s">
        <v>22955</v>
      </c>
    </row>
    <row r="224" spans="1:12" ht="120" customHeight="1" x14ac:dyDescent="0.3">
      <c r="A224" s="2">
        <v>220</v>
      </c>
      <c r="B224" s="66" t="s">
        <v>22644</v>
      </c>
      <c r="C224" s="66">
        <v>21012600002</v>
      </c>
      <c r="D224" s="11">
        <v>295099.2</v>
      </c>
      <c r="E224" s="11"/>
      <c r="F224" s="243">
        <v>43574</v>
      </c>
      <c r="G224" s="242" t="s">
        <v>22933</v>
      </c>
      <c r="H224" s="3"/>
      <c r="I224" s="2"/>
      <c r="J224" s="242" t="s">
        <v>14091</v>
      </c>
      <c r="K224" s="242" t="s">
        <v>23026</v>
      </c>
      <c r="L224" s="246" t="s">
        <v>23027</v>
      </c>
    </row>
    <row r="225" spans="1:12" ht="72" customHeight="1" x14ac:dyDescent="0.3">
      <c r="A225" s="2">
        <v>221</v>
      </c>
      <c r="B225" s="66" t="s">
        <v>20178</v>
      </c>
      <c r="C225" s="66"/>
      <c r="D225" s="11">
        <v>329000</v>
      </c>
      <c r="E225" s="11">
        <v>329000</v>
      </c>
      <c r="F225" s="3" t="s">
        <v>20184</v>
      </c>
      <c r="G225" s="2" t="s">
        <v>20175</v>
      </c>
      <c r="H225" s="2"/>
      <c r="I225" s="2"/>
      <c r="J225" s="2" t="s">
        <v>15048</v>
      </c>
      <c r="K225" s="2"/>
      <c r="L225" s="82"/>
    </row>
    <row r="226" spans="1:12" ht="72" customHeight="1" x14ac:dyDescent="0.3">
      <c r="A226" s="2">
        <v>222</v>
      </c>
      <c r="B226" s="66" t="s">
        <v>20179</v>
      </c>
      <c r="C226" s="66"/>
      <c r="D226" s="11">
        <v>129500</v>
      </c>
      <c r="E226" s="11">
        <v>129500</v>
      </c>
      <c r="F226" s="3" t="s">
        <v>20176</v>
      </c>
      <c r="G226" s="2" t="s">
        <v>20177</v>
      </c>
      <c r="H226" s="2"/>
      <c r="I226" s="2"/>
      <c r="J226" s="2" t="s">
        <v>15048</v>
      </c>
      <c r="K226" s="2"/>
      <c r="L226" s="82"/>
    </row>
    <row r="227" spans="1:12" ht="72" customHeight="1" x14ac:dyDescent="0.3">
      <c r="A227" s="2">
        <v>223</v>
      </c>
      <c r="B227" s="66" t="s">
        <v>20181</v>
      </c>
      <c r="C227" s="66"/>
      <c r="D227" s="11">
        <v>493500</v>
      </c>
      <c r="E227" s="11">
        <v>493500</v>
      </c>
      <c r="F227" s="3" t="s">
        <v>20183</v>
      </c>
      <c r="G227" s="2" t="s">
        <v>20180</v>
      </c>
      <c r="H227" s="2"/>
      <c r="I227" s="2"/>
      <c r="J227" s="2" t="s">
        <v>15048</v>
      </c>
      <c r="K227" s="2"/>
      <c r="L227" s="82"/>
    </row>
    <row r="228" spans="1:12" ht="72" customHeight="1" x14ac:dyDescent="0.3">
      <c r="A228" s="2">
        <v>224</v>
      </c>
      <c r="B228" s="66" t="s">
        <v>20181</v>
      </c>
      <c r="C228" s="66"/>
      <c r="D228" s="11">
        <v>493500</v>
      </c>
      <c r="E228" s="11">
        <v>493500</v>
      </c>
      <c r="F228" s="3" t="s">
        <v>20182</v>
      </c>
      <c r="G228" s="2" t="s">
        <v>20186</v>
      </c>
      <c r="H228" s="2"/>
      <c r="I228" s="2"/>
      <c r="J228" s="2" t="s">
        <v>15048</v>
      </c>
      <c r="K228" s="2"/>
      <c r="L228" s="82"/>
    </row>
    <row r="229" spans="1:12" ht="72" customHeight="1" x14ac:dyDescent="0.3">
      <c r="A229" s="2">
        <v>225</v>
      </c>
      <c r="B229" s="66" t="s">
        <v>229</v>
      </c>
      <c r="C229" s="66" t="s">
        <v>20197</v>
      </c>
      <c r="D229" s="11">
        <v>120041.9</v>
      </c>
      <c r="E229" s="11">
        <v>120041.9</v>
      </c>
      <c r="F229" s="3">
        <v>40225</v>
      </c>
      <c r="G229" s="2" t="s">
        <v>20187</v>
      </c>
      <c r="H229" s="2"/>
      <c r="I229" s="2"/>
      <c r="J229" s="2" t="s">
        <v>15048</v>
      </c>
      <c r="K229" s="2"/>
      <c r="L229" s="82"/>
    </row>
    <row r="230" spans="1:12" ht="120" customHeight="1" x14ac:dyDescent="0.3">
      <c r="A230" s="2">
        <v>226</v>
      </c>
      <c r="B230" s="245" t="s">
        <v>22645</v>
      </c>
      <c r="C230" s="66">
        <v>21012600003</v>
      </c>
      <c r="D230" s="11">
        <v>295099.2</v>
      </c>
      <c r="E230" s="11"/>
      <c r="F230" s="243">
        <v>43574</v>
      </c>
      <c r="G230" s="242" t="s">
        <v>22933</v>
      </c>
      <c r="H230" s="3"/>
      <c r="I230" s="2"/>
      <c r="J230" s="242" t="s">
        <v>14091</v>
      </c>
      <c r="K230" s="242" t="s">
        <v>23026</v>
      </c>
      <c r="L230" s="246" t="s">
        <v>23027</v>
      </c>
    </row>
    <row r="231" spans="1:12" ht="120" customHeight="1" x14ac:dyDescent="0.3">
      <c r="A231" s="2">
        <v>227</v>
      </c>
      <c r="B231" s="245" t="s">
        <v>22646</v>
      </c>
      <c r="C231" s="66">
        <v>21012600004</v>
      </c>
      <c r="D231" s="11">
        <v>295099.2</v>
      </c>
      <c r="E231" s="11"/>
      <c r="F231" s="243">
        <v>43574</v>
      </c>
      <c r="G231" s="242" t="s">
        <v>22933</v>
      </c>
      <c r="H231" s="3"/>
      <c r="I231" s="2"/>
      <c r="J231" s="242" t="s">
        <v>14091</v>
      </c>
      <c r="K231" s="242" t="s">
        <v>23026</v>
      </c>
      <c r="L231" s="246" t="s">
        <v>23027</v>
      </c>
    </row>
    <row r="232" spans="1:12" ht="120" customHeight="1" x14ac:dyDescent="0.3">
      <c r="A232" s="2">
        <v>228</v>
      </c>
      <c r="B232" s="245" t="s">
        <v>22647</v>
      </c>
      <c r="C232" s="66">
        <v>21012600005</v>
      </c>
      <c r="D232" s="11">
        <v>295099.2</v>
      </c>
      <c r="E232" s="11"/>
      <c r="F232" s="243">
        <v>43574</v>
      </c>
      <c r="G232" s="242" t="s">
        <v>22933</v>
      </c>
      <c r="H232" s="3"/>
      <c r="I232" s="2"/>
      <c r="J232" s="242" t="s">
        <v>14091</v>
      </c>
      <c r="K232" s="242" t="s">
        <v>23026</v>
      </c>
      <c r="L232" s="246" t="s">
        <v>23027</v>
      </c>
    </row>
    <row r="233" spans="1:12" ht="120" customHeight="1" x14ac:dyDescent="0.3">
      <c r="A233" s="2">
        <v>229</v>
      </c>
      <c r="B233" s="245" t="s">
        <v>22648</v>
      </c>
      <c r="C233" s="66">
        <v>21012600006</v>
      </c>
      <c r="D233" s="11">
        <v>295099.2</v>
      </c>
      <c r="E233" s="11"/>
      <c r="F233" s="243">
        <v>43574</v>
      </c>
      <c r="G233" s="242" t="s">
        <v>22933</v>
      </c>
      <c r="H233" s="3"/>
      <c r="I233" s="2"/>
      <c r="J233" s="242" t="s">
        <v>14091</v>
      </c>
      <c r="K233" s="242" t="s">
        <v>23026</v>
      </c>
      <c r="L233" s="246" t="s">
        <v>23027</v>
      </c>
    </row>
    <row r="234" spans="1:12" ht="120" customHeight="1" x14ac:dyDescent="0.3">
      <c r="A234" s="2">
        <v>230</v>
      </c>
      <c r="B234" s="245" t="s">
        <v>22649</v>
      </c>
      <c r="C234" s="66">
        <v>21012600001</v>
      </c>
      <c r="D234" s="11">
        <v>295099.2</v>
      </c>
      <c r="E234" s="11"/>
      <c r="F234" s="243">
        <v>43574</v>
      </c>
      <c r="G234" s="242" t="s">
        <v>22933</v>
      </c>
      <c r="H234" s="3"/>
      <c r="I234" s="2"/>
      <c r="J234" s="242" t="s">
        <v>14091</v>
      </c>
      <c r="K234" s="242" t="s">
        <v>23026</v>
      </c>
      <c r="L234" s="246" t="s">
        <v>23027</v>
      </c>
    </row>
    <row r="235" spans="1:12" ht="72" customHeight="1" x14ac:dyDescent="0.3">
      <c r="A235" s="2">
        <v>231</v>
      </c>
      <c r="B235" s="66" t="s">
        <v>230</v>
      </c>
      <c r="C235" s="66" t="s">
        <v>20198</v>
      </c>
      <c r="D235" s="11">
        <v>59900.160000000003</v>
      </c>
      <c r="E235" s="11">
        <v>59900.160000000003</v>
      </c>
      <c r="F235" s="3" t="s">
        <v>20188</v>
      </c>
      <c r="G235" s="2" t="s">
        <v>20189</v>
      </c>
      <c r="H235" s="2"/>
      <c r="I235" s="2"/>
      <c r="J235" s="2" t="s">
        <v>15048</v>
      </c>
      <c r="K235" s="2"/>
      <c r="L235" s="82"/>
    </row>
    <row r="236" spans="1:12" ht="120" customHeight="1" x14ac:dyDescent="0.3">
      <c r="A236" s="2">
        <v>232</v>
      </c>
      <c r="B236" s="66" t="s">
        <v>22650</v>
      </c>
      <c r="C236" s="66">
        <v>21013600038</v>
      </c>
      <c r="D236" s="11">
        <v>43970.85</v>
      </c>
      <c r="E236" s="11">
        <v>43970.85</v>
      </c>
      <c r="F236" s="243">
        <v>43574</v>
      </c>
      <c r="G236" s="242" t="s">
        <v>22933</v>
      </c>
      <c r="H236" s="3"/>
      <c r="I236" s="2"/>
      <c r="J236" s="242" t="s">
        <v>14091</v>
      </c>
      <c r="K236" s="242" t="s">
        <v>23026</v>
      </c>
      <c r="L236" s="246" t="s">
        <v>23027</v>
      </c>
    </row>
    <row r="237" spans="1:12" ht="120" customHeight="1" x14ac:dyDescent="0.3">
      <c r="A237" s="2">
        <v>233</v>
      </c>
      <c r="B237" s="245" t="s">
        <v>22651</v>
      </c>
      <c r="C237" s="66">
        <v>21013600037</v>
      </c>
      <c r="D237" s="11">
        <v>43970.85</v>
      </c>
      <c r="E237" s="244">
        <v>43970.85</v>
      </c>
      <c r="F237" s="243">
        <v>43574</v>
      </c>
      <c r="G237" s="242" t="s">
        <v>22933</v>
      </c>
      <c r="H237" s="3"/>
      <c r="I237" s="2"/>
      <c r="J237" s="242" t="s">
        <v>14091</v>
      </c>
      <c r="K237" s="242" t="s">
        <v>23026</v>
      </c>
      <c r="L237" s="246" t="s">
        <v>23027</v>
      </c>
    </row>
    <row r="238" spans="1:12" ht="120" customHeight="1" x14ac:dyDescent="0.3">
      <c r="A238" s="2">
        <v>234</v>
      </c>
      <c r="B238" s="245" t="s">
        <v>22652</v>
      </c>
      <c r="C238" s="66">
        <v>21013600036</v>
      </c>
      <c r="D238" s="11">
        <v>43970.85</v>
      </c>
      <c r="E238" s="244">
        <v>43970.85</v>
      </c>
      <c r="F238" s="243">
        <v>43574</v>
      </c>
      <c r="G238" s="242" t="s">
        <v>22933</v>
      </c>
      <c r="H238" s="3"/>
      <c r="I238" s="2"/>
      <c r="J238" s="242" t="s">
        <v>14091</v>
      </c>
      <c r="K238" s="242" t="s">
        <v>23026</v>
      </c>
      <c r="L238" s="246" t="s">
        <v>23027</v>
      </c>
    </row>
    <row r="239" spans="1:12" ht="120" customHeight="1" x14ac:dyDescent="0.3">
      <c r="A239" s="2">
        <v>235</v>
      </c>
      <c r="B239" s="245" t="s">
        <v>22653</v>
      </c>
      <c r="C239" s="66">
        <v>21013600035</v>
      </c>
      <c r="D239" s="11">
        <v>43970.85</v>
      </c>
      <c r="E239" s="11">
        <v>43970.85</v>
      </c>
      <c r="F239" s="243">
        <v>43574</v>
      </c>
      <c r="G239" s="242" t="s">
        <v>22933</v>
      </c>
      <c r="H239" s="3"/>
      <c r="I239" s="2"/>
      <c r="J239" s="242" t="s">
        <v>14091</v>
      </c>
      <c r="K239" s="242" t="s">
        <v>23026</v>
      </c>
      <c r="L239" s="246" t="s">
        <v>23027</v>
      </c>
    </row>
    <row r="240" spans="1:12" ht="120" customHeight="1" x14ac:dyDescent="0.3">
      <c r="A240" s="2">
        <v>236</v>
      </c>
      <c r="B240" s="245" t="s">
        <v>22654</v>
      </c>
      <c r="C240" s="66">
        <v>21013600034</v>
      </c>
      <c r="D240" s="11">
        <v>43970.85</v>
      </c>
      <c r="E240" s="11">
        <v>43970.85</v>
      </c>
      <c r="F240" s="243">
        <v>43574</v>
      </c>
      <c r="G240" s="242" t="s">
        <v>22933</v>
      </c>
      <c r="H240" s="3"/>
      <c r="I240" s="2"/>
      <c r="J240" s="242" t="s">
        <v>14091</v>
      </c>
      <c r="K240" s="242" t="s">
        <v>23026</v>
      </c>
      <c r="L240" s="246" t="s">
        <v>23027</v>
      </c>
    </row>
    <row r="241" spans="1:12" ht="120" customHeight="1" x14ac:dyDescent="0.3">
      <c r="A241" s="2">
        <v>237</v>
      </c>
      <c r="B241" s="245" t="s">
        <v>22655</v>
      </c>
      <c r="C241" s="66">
        <v>21013600040</v>
      </c>
      <c r="D241" s="11">
        <v>11353.32</v>
      </c>
      <c r="E241" s="11">
        <v>11353.32</v>
      </c>
      <c r="F241" s="243">
        <v>43574</v>
      </c>
      <c r="G241" s="242" t="s">
        <v>22933</v>
      </c>
      <c r="H241" s="3"/>
      <c r="I241" s="2"/>
      <c r="J241" s="242" t="s">
        <v>14091</v>
      </c>
      <c r="K241" s="242" t="s">
        <v>23026</v>
      </c>
      <c r="L241" s="246" t="s">
        <v>23027</v>
      </c>
    </row>
    <row r="242" spans="1:12" ht="72" customHeight="1" x14ac:dyDescent="0.3">
      <c r="A242" s="2">
        <v>238</v>
      </c>
      <c r="B242" s="245" t="s">
        <v>23599</v>
      </c>
      <c r="C242" s="66" t="s">
        <v>23607</v>
      </c>
      <c r="D242" s="11">
        <v>150000</v>
      </c>
      <c r="E242" s="11"/>
      <c r="F242" s="243" t="s">
        <v>23615</v>
      </c>
      <c r="G242" s="242" t="s">
        <v>23616</v>
      </c>
      <c r="H242" s="242"/>
      <c r="I242" s="242"/>
      <c r="J242" s="2" t="s">
        <v>15048</v>
      </c>
      <c r="K242" s="2"/>
      <c r="L242" s="246" t="s">
        <v>23611</v>
      </c>
    </row>
    <row r="243" spans="1:12" ht="120" customHeight="1" x14ac:dyDescent="0.3">
      <c r="A243" s="2">
        <v>239</v>
      </c>
      <c r="B243" s="245" t="s">
        <v>22656</v>
      </c>
      <c r="C243" s="66">
        <v>21013600033</v>
      </c>
      <c r="D243" s="11">
        <v>11353.32</v>
      </c>
      <c r="E243" s="11">
        <v>11353.32</v>
      </c>
      <c r="F243" s="243">
        <v>43574</v>
      </c>
      <c r="G243" s="242" t="s">
        <v>22933</v>
      </c>
      <c r="H243" s="3"/>
      <c r="I243" s="2"/>
      <c r="J243" s="242" t="s">
        <v>14091</v>
      </c>
      <c r="K243" s="242" t="s">
        <v>23026</v>
      </c>
      <c r="L243" s="246" t="s">
        <v>23027</v>
      </c>
    </row>
    <row r="244" spans="1:12" ht="120" customHeight="1" x14ac:dyDescent="0.3">
      <c r="A244" s="2">
        <v>240</v>
      </c>
      <c r="B244" s="66" t="s">
        <v>22657</v>
      </c>
      <c r="C244" s="66">
        <v>21013600032</v>
      </c>
      <c r="D244" s="11">
        <v>44735.13</v>
      </c>
      <c r="E244" s="11">
        <v>44735.13</v>
      </c>
      <c r="F244" s="243">
        <v>43574</v>
      </c>
      <c r="G244" s="242" t="s">
        <v>22933</v>
      </c>
      <c r="H244" s="3"/>
      <c r="I244" s="2"/>
      <c r="J244" s="242" t="s">
        <v>14091</v>
      </c>
      <c r="K244" s="242" t="s">
        <v>23026</v>
      </c>
      <c r="L244" s="246" t="s">
        <v>23027</v>
      </c>
    </row>
    <row r="245" spans="1:12" ht="72" customHeight="1" x14ac:dyDescent="0.3">
      <c r="A245" s="2">
        <v>241</v>
      </c>
      <c r="B245" s="245" t="s">
        <v>23602</v>
      </c>
      <c r="C245" s="66" t="s">
        <v>23608</v>
      </c>
      <c r="D245" s="11">
        <v>100000</v>
      </c>
      <c r="E245" s="11"/>
      <c r="F245" s="243" t="s">
        <v>23417</v>
      </c>
      <c r="G245" s="242" t="s">
        <v>23617</v>
      </c>
      <c r="H245" s="3"/>
      <c r="I245" s="2"/>
      <c r="J245" s="2" t="s">
        <v>15048</v>
      </c>
      <c r="K245" s="2"/>
      <c r="L245" s="246" t="s">
        <v>23611</v>
      </c>
    </row>
    <row r="246" spans="1:12" ht="72" customHeight="1" x14ac:dyDescent="0.3">
      <c r="A246" s="2">
        <v>242</v>
      </c>
      <c r="B246" s="245" t="s">
        <v>23603</v>
      </c>
      <c r="C246" s="66" t="s">
        <v>23609</v>
      </c>
      <c r="D246" s="11">
        <v>165000</v>
      </c>
      <c r="E246" s="11"/>
      <c r="F246" s="243" t="s">
        <v>23417</v>
      </c>
      <c r="G246" s="242" t="s">
        <v>23614</v>
      </c>
      <c r="H246" s="3"/>
      <c r="I246" s="2"/>
      <c r="J246" s="2" t="s">
        <v>15048</v>
      </c>
      <c r="K246" s="2"/>
      <c r="L246" s="246" t="s">
        <v>23611</v>
      </c>
    </row>
    <row r="247" spans="1:12" ht="120" customHeight="1" x14ac:dyDescent="0.3">
      <c r="A247" s="2">
        <v>243</v>
      </c>
      <c r="B247" s="245" t="s">
        <v>22658</v>
      </c>
      <c r="C247" s="66">
        <v>21013600031</v>
      </c>
      <c r="D247" s="11">
        <v>44735.13</v>
      </c>
      <c r="E247" s="11">
        <v>44735.13</v>
      </c>
      <c r="F247" s="243">
        <v>43574</v>
      </c>
      <c r="G247" s="242" t="s">
        <v>22933</v>
      </c>
      <c r="H247" s="3"/>
      <c r="I247" s="2"/>
      <c r="J247" s="242" t="s">
        <v>14091</v>
      </c>
      <c r="K247" s="242" t="s">
        <v>23026</v>
      </c>
      <c r="L247" s="246" t="s">
        <v>23027</v>
      </c>
    </row>
    <row r="248" spans="1:12" ht="120" customHeight="1" x14ac:dyDescent="0.3">
      <c r="A248" s="2">
        <v>244</v>
      </c>
      <c r="B248" s="66" t="s">
        <v>22659</v>
      </c>
      <c r="C248" s="66">
        <v>21013600030</v>
      </c>
      <c r="D248" s="11">
        <v>17274.509999999998</v>
      </c>
      <c r="E248" s="11">
        <v>17274.509999999998</v>
      </c>
      <c r="F248" s="243">
        <v>43574</v>
      </c>
      <c r="G248" s="242" t="s">
        <v>22933</v>
      </c>
      <c r="H248" s="3"/>
      <c r="I248" s="2"/>
      <c r="J248" s="242" t="s">
        <v>14091</v>
      </c>
      <c r="K248" s="242" t="s">
        <v>23026</v>
      </c>
      <c r="L248" s="246" t="s">
        <v>23027</v>
      </c>
    </row>
    <row r="249" spans="1:12" ht="120" customHeight="1" x14ac:dyDescent="0.3">
      <c r="A249" s="2">
        <v>245</v>
      </c>
      <c r="B249" s="245" t="s">
        <v>22660</v>
      </c>
      <c r="C249" s="66">
        <v>21013600029</v>
      </c>
      <c r="D249" s="11">
        <v>17274.509999999998</v>
      </c>
      <c r="E249" s="11">
        <v>17274.509999999998</v>
      </c>
      <c r="F249" s="243">
        <v>43574</v>
      </c>
      <c r="G249" s="242" t="s">
        <v>22933</v>
      </c>
      <c r="H249" s="3"/>
      <c r="I249" s="2"/>
      <c r="J249" s="242" t="s">
        <v>14091</v>
      </c>
      <c r="K249" s="242" t="s">
        <v>23026</v>
      </c>
      <c r="L249" s="246" t="s">
        <v>23027</v>
      </c>
    </row>
    <row r="250" spans="1:12" ht="120" customHeight="1" x14ac:dyDescent="0.3">
      <c r="A250" s="2">
        <v>246</v>
      </c>
      <c r="B250" s="245" t="s">
        <v>22661</v>
      </c>
      <c r="C250" s="66">
        <v>21013600028</v>
      </c>
      <c r="D250" s="11">
        <v>17274.509999999998</v>
      </c>
      <c r="E250" s="11">
        <v>17274.509999999998</v>
      </c>
      <c r="F250" s="243">
        <v>43574</v>
      </c>
      <c r="G250" s="242" t="s">
        <v>22933</v>
      </c>
      <c r="H250" s="3"/>
      <c r="I250" s="2"/>
      <c r="J250" s="242" t="s">
        <v>14091</v>
      </c>
      <c r="K250" s="242" t="s">
        <v>23026</v>
      </c>
      <c r="L250" s="246" t="s">
        <v>23027</v>
      </c>
    </row>
    <row r="251" spans="1:12" ht="120" customHeight="1" x14ac:dyDescent="0.3">
      <c r="A251" s="2">
        <v>247</v>
      </c>
      <c r="B251" s="245" t="s">
        <v>22662</v>
      </c>
      <c r="C251" s="66">
        <v>21013600027</v>
      </c>
      <c r="D251" s="11">
        <v>17274.509999999998</v>
      </c>
      <c r="E251" s="11">
        <v>17274.509999999998</v>
      </c>
      <c r="F251" s="243">
        <v>43574</v>
      </c>
      <c r="G251" s="242" t="s">
        <v>22933</v>
      </c>
      <c r="H251" s="3"/>
      <c r="I251" s="2"/>
      <c r="J251" s="242" t="s">
        <v>14091</v>
      </c>
      <c r="K251" s="242" t="s">
        <v>23026</v>
      </c>
      <c r="L251" s="246" t="s">
        <v>23027</v>
      </c>
    </row>
    <row r="252" spans="1:12" ht="120" customHeight="1" x14ac:dyDescent="0.3">
      <c r="A252" s="2">
        <v>248</v>
      </c>
      <c r="B252" s="245" t="s">
        <v>22663</v>
      </c>
      <c r="C252" s="66">
        <v>21013600026</v>
      </c>
      <c r="D252" s="11">
        <v>17274.509999999998</v>
      </c>
      <c r="E252" s="11">
        <v>17274.509999999998</v>
      </c>
      <c r="F252" s="243">
        <v>43574</v>
      </c>
      <c r="G252" s="242" t="s">
        <v>22933</v>
      </c>
      <c r="H252" s="3"/>
      <c r="I252" s="2"/>
      <c r="J252" s="242" t="s">
        <v>14091</v>
      </c>
      <c r="K252" s="242" t="s">
        <v>23026</v>
      </c>
      <c r="L252" s="246" t="s">
        <v>23027</v>
      </c>
    </row>
    <row r="253" spans="1:12" ht="72" customHeight="1" x14ac:dyDescent="0.3">
      <c r="A253" s="2">
        <v>249</v>
      </c>
      <c r="B253" s="66" t="s">
        <v>22712</v>
      </c>
      <c r="C253" s="66" t="s">
        <v>22713</v>
      </c>
      <c r="D253" s="11">
        <v>79500</v>
      </c>
      <c r="E253" s="11">
        <v>79500</v>
      </c>
      <c r="F253" s="3" t="s">
        <v>22714</v>
      </c>
      <c r="G253" s="2" t="s">
        <v>22715</v>
      </c>
      <c r="H253" s="3"/>
      <c r="I253" s="2"/>
      <c r="J253" s="2" t="s">
        <v>15048</v>
      </c>
      <c r="K253" s="2"/>
      <c r="L253" s="82" t="s">
        <v>22716</v>
      </c>
    </row>
    <row r="254" spans="1:12" ht="72" customHeight="1" x14ac:dyDescent="0.3">
      <c r="A254" s="2">
        <v>250</v>
      </c>
      <c r="B254" s="66" t="s">
        <v>22717</v>
      </c>
      <c r="C254" s="66" t="s">
        <v>22718</v>
      </c>
      <c r="D254" s="11">
        <v>53550</v>
      </c>
      <c r="E254" s="11">
        <v>53550</v>
      </c>
      <c r="F254" s="3" t="s">
        <v>22719</v>
      </c>
      <c r="G254" s="2" t="s">
        <v>22721</v>
      </c>
      <c r="H254" s="3"/>
      <c r="I254" s="2"/>
      <c r="J254" s="2" t="s">
        <v>15048</v>
      </c>
      <c r="K254" s="2"/>
      <c r="L254" s="246" t="s">
        <v>22720</v>
      </c>
    </row>
    <row r="255" spans="1:12" ht="72" customHeight="1" x14ac:dyDescent="0.3">
      <c r="A255" s="2">
        <v>251</v>
      </c>
      <c r="B255" s="66" t="s">
        <v>22722</v>
      </c>
      <c r="C255" s="66" t="s">
        <v>22723</v>
      </c>
      <c r="D255" s="11">
        <v>58540</v>
      </c>
      <c r="E255" s="11">
        <v>58540</v>
      </c>
      <c r="F255" s="3" t="s">
        <v>22725</v>
      </c>
      <c r="G255" s="2" t="s">
        <v>22726</v>
      </c>
      <c r="H255" s="3"/>
      <c r="I255" s="2"/>
      <c r="J255" s="2" t="s">
        <v>15048</v>
      </c>
      <c r="K255" s="2"/>
      <c r="L255" s="246" t="s">
        <v>22724</v>
      </c>
    </row>
    <row r="256" spans="1:12" ht="168" customHeight="1" x14ac:dyDescent="0.3">
      <c r="A256" s="2">
        <v>252</v>
      </c>
      <c r="B256" s="66" t="s">
        <v>22727</v>
      </c>
      <c r="C256" s="66" t="s">
        <v>22728</v>
      </c>
      <c r="D256" s="11">
        <v>349953.08</v>
      </c>
      <c r="E256" s="11">
        <v>12498.33</v>
      </c>
      <c r="F256" s="3" t="s">
        <v>22729</v>
      </c>
      <c r="G256" s="2" t="s">
        <v>22730</v>
      </c>
      <c r="H256" s="3"/>
      <c r="I256" s="2"/>
      <c r="J256" s="2" t="s">
        <v>15048</v>
      </c>
      <c r="K256" s="2"/>
      <c r="L256" s="246" t="s">
        <v>22731</v>
      </c>
    </row>
    <row r="257" spans="1:12" ht="72" customHeight="1" x14ac:dyDescent="0.3">
      <c r="A257" s="2">
        <v>253</v>
      </c>
      <c r="B257" s="66" t="s">
        <v>22732</v>
      </c>
      <c r="C257" s="66" t="s">
        <v>22733</v>
      </c>
      <c r="D257" s="11">
        <v>244224.77</v>
      </c>
      <c r="E257" s="11">
        <v>4070.4</v>
      </c>
      <c r="F257" s="3" t="s">
        <v>22735</v>
      </c>
      <c r="G257" s="2" t="s">
        <v>22736</v>
      </c>
      <c r="H257" s="3"/>
      <c r="I257" s="2"/>
      <c r="J257" s="2" t="s">
        <v>15048</v>
      </c>
      <c r="K257" s="2"/>
      <c r="L257" s="82" t="s">
        <v>22734</v>
      </c>
    </row>
    <row r="258" spans="1:12" ht="72" customHeight="1" x14ac:dyDescent="0.3">
      <c r="A258" s="2">
        <v>254</v>
      </c>
      <c r="B258" s="245" t="s">
        <v>22737</v>
      </c>
      <c r="C258" s="66" t="s">
        <v>22738</v>
      </c>
      <c r="D258" s="11">
        <v>594385.6</v>
      </c>
      <c r="E258" s="11">
        <v>9906.42</v>
      </c>
      <c r="F258" s="243" t="s">
        <v>22735</v>
      </c>
      <c r="G258" s="242" t="s">
        <v>22739</v>
      </c>
      <c r="H258" s="3"/>
      <c r="I258" s="2"/>
      <c r="J258" s="2" t="s">
        <v>15048</v>
      </c>
      <c r="K258" s="2"/>
      <c r="L258" s="246" t="s">
        <v>22734</v>
      </c>
    </row>
    <row r="259" spans="1:12" ht="72" customHeight="1" x14ac:dyDescent="0.3">
      <c r="A259" s="2">
        <v>255</v>
      </c>
      <c r="B259" s="66" t="s">
        <v>22804</v>
      </c>
      <c r="C259" s="66" t="s">
        <v>22742</v>
      </c>
      <c r="D259" s="11">
        <v>174897.1</v>
      </c>
      <c r="E259" s="11">
        <v>4858.25</v>
      </c>
      <c r="F259" s="3" t="s">
        <v>21329</v>
      </c>
      <c r="G259" s="2" t="s">
        <v>22740</v>
      </c>
      <c r="H259" s="3"/>
      <c r="I259" s="2"/>
      <c r="J259" s="2" t="s">
        <v>15048</v>
      </c>
      <c r="K259" s="2"/>
      <c r="L259" s="246" t="s">
        <v>22734</v>
      </c>
    </row>
    <row r="260" spans="1:12" ht="72" customHeight="1" x14ac:dyDescent="0.3">
      <c r="A260" s="2">
        <v>256</v>
      </c>
      <c r="B260" s="245" t="s">
        <v>22805</v>
      </c>
      <c r="C260" s="245" t="s">
        <v>22743</v>
      </c>
      <c r="D260" s="244">
        <v>174897.1</v>
      </c>
      <c r="E260" s="244">
        <v>4858.25</v>
      </c>
      <c r="F260" s="243" t="s">
        <v>21329</v>
      </c>
      <c r="G260" s="242" t="s">
        <v>22740</v>
      </c>
      <c r="H260" s="3"/>
      <c r="I260" s="2"/>
      <c r="J260" s="2" t="s">
        <v>15048</v>
      </c>
      <c r="K260" s="2"/>
      <c r="L260" s="246" t="s">
        <v>22734</v>
      </c>
    </row>
    <row r="261" spans="1:12" ht="72" customHeight="1" x14ac:dyDescent="0.3">
      <c r="A261" s="2">
        <v>257</v>
      </c>
      <c r="B261" s="245" t="s">
        <v>22806</v>
      </c>
      <c r="C261" s="245" t="s">
        <v>22744</v>
      </c>
      <c r="D261" s="244">
        <v>174897.1</v>
      </c>
      <c r="E261" s="244">
        <v>4858.25</v>
      </c>
      <c r="F261" s="243" t="s">
        <v>21329</v>
      </c>
      <c r="G261" s="242" t="s">
        <v>22740</v>
      </c>
      <c r="H261" s="3"/>
      <c r="I261" s="2"/>
      <c r="J261" s="2" t="s">
        <v>15048</v>
      </c>
      <c r="K261" s="2"/>
      <c r="L261" s="246" t="s">
        <v>22734</v>
      </c>
    </row>
    <row r="262" spans="1:12" ht="72" customHeight="1" x14ac:dyDescent="0.3">
      <c r="A262" s="2">
        <v>258</v>
      </c>
      <c r="B262" s="245" t="s">
        <v>22807</v>
      </c>
      <c r="C262" s="66" t="s">
        <v>22745</v>
      </c>
      <c r="D262" s="244">
        <v>174897.1</v>
      </c>
      <c r="E262" s="244">
        <v>4858.25</v>
      </c>
      <c r="F262" s="243" t="s">
        <v>21329</v>
      </c>
      <c r="G262" s="242" t="s">
        <v>22740</v>
      </c>
      <c r="H262" s="3"/>
      <c r="I262" s="2"/>
      <c r="J262" s="2" t="s">
        <v>15048</v>
      </c>
      <c r="K262" s="2"/>
      <c r="L262" s="246" t="s">
        <v>22734</v>
      </c>
    </row>
    <row r="263" spans="1:12" ht="72" customHeight="1" x14ac:dyDescent="0.3">
      <c r="A263" s="2">
        <v>259</v>
      </c>
      <c r="B263" s="245" t="s">
        <v>22808</v>
      </c>
      <c r="C263" s="245" t="s">
        <v>22746</v>
      </c>
      <c r="D263" s="244">
        <v>174897.1</v>
      </c>
      <c r="E263" s="244">
        <v>4858.25</v>
      </c>
      <c r="F263" s="243" t="s">
        <v>21329</v>
      </c>
      <c r="G263" s="242" t="s">
        <v>22740</v>
      </c>
      <c r="H263" s="3"/>
      <c r="I263" s="2"/>
      <c r="J263" s="2" t="s">
        <v>15048</v>
      </c>
      <c r="K263" s="2"/>
      <c r="L263" s="246" t="s">
        <v>22734</v>
      </c>
    </row>
    <row r="264" spans="1:12" ht="72" customHeight="1" x14ac:dyDescent="0.3">
      <c r="A264" s="2">
        <v>260</v>
      </c>
      <c r="B264" s="245" t="s">
        <v>22809</v>
      </c>
      <c r="C264" s="66" t="s">
        <v>22747</v>
      </c>
      <c r="D264" s="244">
        <v>174897.1</v>
      </c>
      <c r="E264" s="244">
        <v>4858.25</v>
      </c>
      <c r="F264" s="243" t="s">
        <v>21329</v>
      </c>
      <c r="G264" s="242" t="s">
        <v>22740</v>
      </c>
      <c r="H264" s="3"/>
      <c r="I264" s="2"/>
      <c r="J264" s="2" t="s">
        <v>15048</v>
      </c>
      <c r="K264" s="2"/>
      <c r="L264" s="246" t="s">
        <v>22734</v>
      </c>
    </row>
    <row r="265" spans="1:12" ht="72" customHeight="1" x14ac:dyDescent="0.3">
      <c r="A265" s="2">
        <v>261</v>
      </c>
      <c r="B265" s="66" t="s">
        <v>232</v>
      </c>
      <c r="C265" s="66" t="s">
        <v>20199</v>
      </c>
      <c r="D265" s="11">
        <v>64500</v>
      </c>
      <c r="E265" s="11">
        <v>64500</v>
      </c>
      <c r="F265" s="3" t="s">
        <v>20190</v>
      </c>
      <c r="G265" s="2" t="s">
        <v>20191</v>
      </c>
      <c r="H265" s="2"/>
      <c r="I265" s="2"/>
      <c r="J265" s="2" t="s">
        <v>15048</v>
      </c>
      <c r="K265" s="2"/>
      <c r="L265" s="82"/>
    </row>
    <row r="266" spans="1:12" ht="72" customHeight="1" x14ac:dyDescent="0.3">
      <c r="A266" s="2">
        <v>262</v>
      </c>
      <c r="B266" s="66" t="s">
        <v>232</v>
      </c>
      <c r="C266" s="66" t="s">
        <v>20200</v>
      </c>
      <c r="D266" s="11">
        <v>64500</v>
      </c>
      <c r="E266" s="11">
        <v>64500</v>
      </c>
      <c r="F266" s="3" t="s">
        <v>20190</v>
      </c>
      <c r="G266" s="2" t="s">
        <v>20192</v>
      </c>
      <c r="H266" s="2"/>
      <c r="I266" s="2"/>
      <c r="J266" s="2" t="s">
        <v>15048</v>
      </c>
      <c r="K266" s="2"/>
      <c r="L266" s="82"/>
    </row>
    <row r="267" spans="1:12" ht="72" customHeight="1" x14ac:dyDescent="0.3">
      <c r="A267" s="2">
        <v>263</v>
      </c>
      <c r="B267" s="245" t="s">
        <v>22810</v>
      </c>
      <c r="C267" s="66" t="s">
        <v>22748</v>
      </c>
      <c r="D267" s="244">
        <v>174897.1</v>
      </c>
      <c r="E267" s="244">
        <v>4858.25</v>
      </c>
      <c r="F267" s="243" t="s">
        <v>21329</v>
      </c>
      <c r="G267" s="242" t="s">
        <v>22740</v>
      </c>
      <c r="H267" s="3"/>
      <c r="I267" s="2"/>
      <c r="J267" s="2" t="s">
        <v>15048</v>
      </c>
      <c r="K267" s="2"/>
      <c r="L267" s="246" t="s">
        <v>22734</v>
      </c>
    </row>
    <row r="268" spans="1:12" ht="72" customHeight="1" x14ac:dyDescent="0.3">
      <c r="A268" s="2">
        <v>264</v>
      </c>
      <c r="B268" s="245" t="s">
        <v>22811</v>
      </c>
      <c r="C268" s="66" t="s">
        <v>22749</v>
      </c>
      <c r="D268" s="244">
        <v>174897.1</v>
      </c>
      <c r="E268" s="244">
        <v>4858.25</v>
      </c>
      <c r="F268" s="243" t="s">
        <v>21329</v>
      </c>
      <c r="G268" s="242" t="s">
        <v>22740</v>
      </c>
      <c r="H268" s="3"/>
      <c r="I268" s="2"/>
      <c r="J268" s="2" t="s">
        <v>15048</v>
      </c>
      <c r="K268" s="2"/>
      <c r="L268" s="246" t="s">
        <v>22734</v>
      </c>
    </row>
    <row r="269" spans="1:12" ht="72" customHeight="1" x14ac:dyDescent="0.3">
      <c r="A269" s="2">
        <v>265</v>
      </c>
      <c r="B269" s="245" t="s">
        <v>22812</v>
      </c>
      <c r="C269" s="66" t="s">
        <v>22750</v>
      </c>
      <c r="D269" s="244">
        <v>174897.1</v>
      </c>
      <c r="E269" s="244">
        <v>4858.25</v>
      </c>
      <c r="F269" s="243" t="s">
        <v>21329</v>
      </c>
      <c r="G269" s="242" t="s">
        <v>22740</v>
      </c>
      <c r="H269" s="3"/>
      <c r="I269" s="2"/>
      <c r="J269" s="2" t="s">
        <v>15048</v>
      </c>
      <c r="K269" s="2"/>
      <c r="L269" s="246" t="s">
        <v>22734</v>
      </c>
    </row>
    <row r="270" spans="1:12" ht="72" customHeight="1" x14ac:dyDescent="0.3">
      <c r="A270" s="2">
        <v>266</v>
      </c>
      <c r="B270" s="245" t="s">
        <v>22812</v>
      </c>
      <c r="C270" s="66" t="s">
        <v>22751</v>
      </c>
      <c r="D270" s="244">
        <v>174897.1</v>
      </c>
      <c r="E270" s="244">
        <v>4858.25</v>
      </c>
      <c r="F270" s="243" t="s">
        <v>21329</v>
      </c>
      <c r="G270" s="242" t="s">
        <v>22740</v>
      </c>
      <c r="H270" s="3"/>
      <c r="I270" s="2"/>
      <c r="J270" s="2" t="s">
        <v>15048</v>
      </c>
      <c r="K270" s="2"/>
      <c r="L270" s="246" t="s">
        <v>22734</v>
      </c>
    </row>
    <row r="271" spans="1:12" ht="72" customHeight="1" x14ac:dyDescent="0.3">
      <c r="A271" s="2">
        <v>267</v>
      </c>
      <c r="B271" s="245" t="s">
        <v>22813</v>
      </c>
      <c r="C271" s="66" t="s">
        <v>22752</v>
      </c>
      <c r="D271" s="244">
        <v>174897.1</v>
      </c>
      <c r="E271" s="244">
        <v>4858.25</v>
      </c>
      <c r="F271" s="243" t="s">
        <v>21329</v>
      </c>
      <c r="G271" s="242" t="s">
        <v>22740</v>
      </c>
      <c r="H271" s="3"/>
      <c r="I271" s="2"/>
      <c r="J271" s="2" t="s">
        <v>15048</v>
      </c>
      <c r="K271" s="2"/>
      <c r="L271" s="246" t="s">
        <v>22734</v>
      </c>
    </row>
    <row r="272" spans="1:12" ht="72" customHeight="1" x14ac:dyDescent="0.3">
      <c r="A272" s="2">
        <v>268</v>
      </c>
      <c r="B272" s="245" t="s">
        <v>22814</v>
      </c>
      <c r="C272" s="66" t="s">
        <v>22753</v>
      </c>
      <c r="D272" s="244">
        <v>174897.1</v>
      </c>
      <c r="E272" s="244">
        <v>4858.25</v>
      </c>
      <c r="F272" s="243" t="s">
        <v>21329</v>
      </c>
      <c r="G272" s="242" t="s">
        <v>22740</v>
      </c>
      <c r="H272" s="3"/>
      <c r="I272" s="2"/>
      <c r="J272" s="2" t="s">
        <v>15048</v>
      </c>
      <c r="K272" s="2"/>
      <c r="L272" s="246" t="s">
        <v>22734</v>
      </c>
    </row>
    <row r="273" spans="1:12" ht="72" customHeight="1" x14ac:dyDescent="0.3">
      <c r="A273" s="2">
        <v>269</v>
      </c>
      <c r="B273" s="245" t="s">
        <v>22815</v>
      </c>
      <c r="C273" s="66" t="s">
        <v>22754</v>
      </c>
      <c r="D273" s="244">
        <v>174897.1</v>
      </c>
      <c r="E273" s="244">
        <v>4858.25</v>
      </c>
      <c r="F273" s="243" t="s">
        <v>21329</v>
      </c>
      <c r="G273" s="242" t="s">
        <v>22740</v>
      </c>
      <c r="H273" s="3"/>
      <c r="I273" s="2"/>
      <c r="J273" s="2" t="s">
        <v>15048</v>
      </c>
      <c r="K273" s="2"/>
      <c r="L273" s="246" t="s">
        <v>22734</v>
      </c>
    </row>
    <row r="274" spans="1:12" ht="72" customHeight="1" x14ac:dyDescent="0.3">
      <c r="A274" s="2">
        <v>270</v>
      </c>
      <c r="B274" s="245" t="s">
        <v>22816</v>
      </c>
      <c r="C274" s="66" t="s">
        <v>22755</v>
      </c>
      <c r="D274" s="244">
        <v>174897.1</v>
      </c>
      <c r="E274" s="244">
        <v>4858.25</v>
      </c>
      <c r="F274" s="243" t="s">
        <v>21329</v>
      </c>
      <c r="G274" s="242" t="s">
        <v>22740</v>
      </c>
      <c r="H274" s="3"/>
      <c r="I274" s="2"/>
      <c r="J274" s="2" t="s">
        <v>15048</v>
      </c>
      <c r="K274" s="2"/>
      <c r="L274" s="246" t="s">
        <v>22734</v>
      </c>
    </row>
    <row r="275" spans="1:12" ht="72" customHeight="1" x14ac:dyDescent="0.3">
      <c r="A275" s="2">
        <v>271</v>
      </c>
      <c r="B275" s="245" t="s">
        <v>22817</v>
      </c>
      <c r="C275" s="66" t="s">
        <v>22756</v>
      </c>
      <c r="D275" s="244">
        <v>174897.1</v>
      </c>
      <c r="E275" s="244">
        <v>4858.25</v>
      </c>
      <c r="F275" s="243" t="s">
        <v>21329</v>
      </c>
      <c r="G275" s="242" t="s">
        <v>22740</v>
      </c>
      <c r="H275" s="3"/>
      <c r="I275" s="2"/>
      <c r="J275" s="2" t="s">
        <v>15048</v>
      </c>
      <c r="K275" s="2"/>
      <c r="L275" s="246" t="s">
        <v>22734</v>
      </c>
    </row>
    <row r="276" spans="1:12" ht="72" customHeight="1" x14ac:dyDescent="0.3">
      <c r="A276" s="2">
        <v>272</v>
      </c>
      <c r="B276" s="245" t="s">
        <v>22818</v>
      </c>
      <c r="C276" s="66" t="s">
        <v>22757</v>
      </c>
      <c r="D276" s="244">
        <v>174897.1</v>
      </c>
      <c r="E276" s="244">
        <v>4858.25</v>
      </c>
      <c r="F276" s="243" t="s">
        <v>21329</v>
      </c>
      <c r="G276" s="242" t="s">
        <v>22740</v>
      </c>
      <c r="H276" s="3"/>
      <c r="I276" s="2"/>
      <c r="J276" s="2" t="s">
        <v>15048</v>
      </c>
      <c r="K276" s="2"/>
      <c r="L276" s="246" t="s">
        <v>22734</v>
      </c>
    </row>
    <row r="277" spans="1:12" ht="72" customHeight="1" x14ac:dyDescent="0.3">
      <c r="A277" s="2">
        <v>273</v>
      </c>
      <c r="B277" s="245" t="s">
        <v>22819</v>
      </c>
      <c r="C277" s="66" t="s">
        <v>22758</v>
      </c>
      <c r="D277" s="244">
        <v>174897.1</v>
      </c>
      <c r="E277" s="244">
        <v>4858.25</v>
      </c>
      <c r="F277" s="243" t="s">
        <v>21329</v>
      </c>
      <c r="G277" s="242" t="s">
        <v>22740</v>
      </c>
      <c r="H277" s="3"/>
      <c r="I277" s="2"/>
      <c r="J277" s="2" t="s">
        <v>15048</v>
      </c>
      <c r="K277" s="2"/>
      <c r="L277" s="246" t="s">
        <v>22734</v>
      </c>
    </row>
    <row r="278" spans="1:12" ht="72" customHeight="1" x14ac:dyDescent="0.3">
      <c r="A278" s="2">
        <v>274</v>
      </c>
      <c r="B278" s="245" t="s">
        <v>22820</v>
      </c>
      <c r="C278" s="66" t="s">
        <v>22759</v>
      </c>
      <c r="D278" s="244">
        <v>174897.1</v>
      </c>
      <c r="E278" s="244">
        <v>4858.25</v>
      </c>
      <c r="F278" s="243" t="s">
        <v>21329</v>
      </c>
      <c r="G278" s="242" t="s">
        <v>22740</v>
      </c>
      <c r="H278" s="3"/>
      <c r="I278" s="2"/>
      <c r="J278" s="2" t="s">
        <v>15048</v>
      </c>
      <c r="K278" s="2"/>
      <c r="L278" s="246" t="s">
        <v>22734</v>
      </c>
    </row>
    <row r="279" spans="1:12" ht="72" customHeight="1" x14ac:dyDescent="0.3">
      <c r="A279" s="2">
        <v>275</v>
      </c>
      <c r="B279" s="66" t="s">
        <v>233</v>
      </c>
      <c r="C279" s="66" t="s">
        <v>20201</v>
      </c>
      <c r="D279" s="11">
        <v>56000</v>
      </c>
      <c r="E279" s="11">
        <v>49466.49</v>
      </c>
      <c r="F279" s="3">
        <v>41485</v>
      </c>
      <c r="G279" s="2" t="s">
        <v>20193</v>
      </c>
      <c r="H279" s="2"/>
      <c r="I279" s="2"/>
      <c r="J279" s="2" t="s">
        <v>15048</v>
      </c>
      <c r="K279" s="2"/>
      <c r="L279" s="82"/>
    </row>
    <row r="280" spans="1:12" ht="72" customHeight="1" x14ac:dyDescent="0.3">
      <c r="A280" s="2">
        <v>276</v>
      </c>
      <c r="B280" s="245" t="s">
        <v>22821</v>
      </c>
      <c r="C280" s="66" t="s">
        <v>22760</v>
      </c>
      <c r="D280" s="244">
        <v>174897.1</v>
      </c>
      <c r="E280" s="244">
        <v>4858.25</v>
      </c>
      <c r="F280" s="243" t="s">
        <v>21329</v>
      </c>
      <c r="G280" s="242" t="s">
        <v>22740</v>
      </c>
      <c r="H280" s="3"/>
      <c r="I280" s="2"/>
      <c r="J280" s="2" t="s">
        <v>15048</v>
      </c>
      <c r="K280" s="2"/>
      <c r="L280" s="246" t="s">
        <v>22734</v>
      </c>
    </row>
    <row r="281" spans="1:12" ht="72" customHeight="1" x14ac:dyDescent="0.3">
      <c r="A281" s="2">
        <v>277</v>
      </c>
      <c r="B281" s="66" t="s">
        <v>234</v>
      </c>
      <c r="C281" s="66" t="s">
        <v>20202</v>
      </c>
      <c r="D281" s="11">
        <v>56587.4</v>
      </c>
      <c r="E281" s="11">
        <v>31122.959999999999</v>
      </c>
      <c r="F281" s="3">
        <v>42077</v>
      </c>
      <c r="G281" s="2" t="s">
        <v>20194</v>
      </c>
      <c r="H281" s="2"/>
      <c r="I281" s="2"/>
      <c r="J281" s="2" t="s">
        <v>15048</v>
      </c>
      <c r="K281" s="2"/>
      <c r="L281" s="82"/>
    </row>
    <row r="282" spans="1:12" ht="72" customHeight="1" x14ac:dyDescent="0.3">
      <c r="A282" s="2">
        <v>278</v>
      </c>
      <c r="B282" s="66" t="s">
        <v>235</v>
      </c>
      <c r="C282" s="66" t="s">
        <v>20203</v>
      </c>
      <c r="D282" s="11">
        <v>73376</v>
      </c>
      <c r="E282" s="11">
        <v>67261.259999999995</v>
      </c>
      <c r="F282" s="3" t="s">
        <v>20195</v>
      </c>
      <c r="G282" s="2" t="s">
        <v>20196</v>
      </c>
      <c r="H282" s="2"/>
      <c r="I282" s="2"/>
      <c r="J282" s="2" t="s">
        <v>15048</v>
      </c>
      <c r="K282" s="2"/>
      <c r="L282" s="82"/>
    </row>
    <row r="283" spans="1:12" ht="72" customHeight="1" x14ac:dyDescent="0.3">
      <c r="A283" s="2">
        <v>279</v>
      </c>
      <c r="B283" s="66" t="s">
        <v>235</v>
      </c>
      <c r="C283" s="66" t="s">
        <v>20204</v>
      </c>
      <c r="D283" s="11">
        <v>73376</v>
      </c>
      <c r="E283" s="11">
        <v>67261.259999999995</v>
      </c>
      <c r="F283" s="3">
        <v>42076</v>
      </c>
      <c r="G283" s="2" t="s">
        <v>20205</v>
      </c>
      <c r="H283" s="2"/>
      <c r="I283" s="2"/>
      <c r="J283" s="2" t="s">
        <v>15048</v>
      </c>
      <c r="K283" s="2"/>
      <c r="L283" s="82"/>
    </row>
    <row r="284" spans="1:12" ht="72" customHeight="1" x14ac:dyDescent="0.3">
      <c r="A284" s="2">
        <v>280</v>
      </c>
      <c r="B284" s="66" t="s">
        <v>235</v>
      </c>
      <c r="C284" s="66" t="s">
        <v>20206</v>
      </c>
      <c r="D284" s="11">
        <v>73376</v>
      </c>
      <c r="E284" s="11">
        <v>67261.259999999995</v>
      </c>
      <c r="F284" s="3">
        <v>42076</v>
      </c>
      <c r="G284" s="2" t="s">
        <v>20207</v>
      </c>
      <c r="H284" s="2"/>
      <c r="I284" s="2"/>
      <c r="J284" s="2" t="s">
        <v>15048</v>
      </c>
      <c r="K284" s="2"/>
      <c r="L284" s="82"/>
    </row>
    <row r="285" spans="1:12" ht="72" customHeight="1" x14ac:dyDescent="0.3">
      <c r="A285" s="2">
        <v>281</v>
      </c>
      <c r="B285" s="66" t="s">
        <v>235</v>
      </c>
      <c r="C285" s="66" t="s">
        <v>20208</v>
      </c>
      <c r="D285" s="11">
        <v>73376</v>
      </c>
      <c r="E285" s="11">
        <v>67261.259999999995</v>
      </c>
      <c r="F285" s="3">
        <v>42076</v>
      </c>
      <c r="G285" s="2" t="s">
        <v>20209</v>
      </c>
      <c r="H285" s="2"/>
      <c r="I285" s="2"/>
      <c r="J285" s="2" t="s">
        <v>15048</v>
      </c>
      <c r="K285" s="2"/>
      <c r="L285" s="82"/>
    </row>
    <row r="286" spans="1:12" ht="72" customHeight="1" x14ac:dyDescent="0.3">
      <c r="A286" s="2">
        <v>282</v>
      </c>
      <c r="B286" s="245" t="s">
        <v>22822</v>
      </c>
      <c r="C286" s="66" t="s">
        <v>22761</v>
      </c>
      <c r="D286" s="244">
        <v>174897.1</v>
      </c>
      <c r="E286" s="244">
        <v>4858.25</v>
      </c>
      <c r="F286" s="243" t="s">
        <v>21329</v>
      </c>
      <c r="G286" s="242" t="s">
        <v>22740</v>
      </c>
      <c r="H286" s="3"/>
      <c r="I286" s="2"/>
      <c r="J286" s="2" t="s">
        <v>15048</v>
      </c>
      <c r="K286" s="2"/>
      <c r="L286" s="246" t="s">
        <v>22734</v>
      </c>
    </row>
    <row r="287" spans="1:12" ht="72" customHeight="1" x14ac:dyDescent="0.3">
      <c r="A287" s="2">
        <v>283</v>
      </c>
      <c r="B287" s="245" t="s">
        <v>22823</v>
      </c>
      <c r="C287" s="66" t="s">
        <v>22762</v>
      </c>
      <c r="D287" s="244">
        <v>174897.1</v>
      </c>
      <c r="E287" s="244">
        <v>4858.25</v>
      </c>
      <c r="F287" s="243" t="s">
        <v>21329</v>
      </c>
      <c r="G287" s="242" t="s">
        <v>22740</v>
      </c>
      <c r="H287" s="3"/>
      <c r="I287" s="2"/>
      <c r="J287" s="2" t="s">
        <v>15048</v>
      </c>
      <c r="K287" s="2"/>
      <c r="L287" s="246" t="s">
        <v>22734</v>
      </c>
    </row>
    <row r="288" spans="1:12" ht="72" customHeight="1" x14ac:dyDescent="0.3">
      <c r="A288" s="2">
        <v>284</v>
      </c>
      <c r="B288" s="66" t="s">
        <v>236</v>
      </c>
      <c r="C288" s="66" t="s">
        <v>20210</v>
      </c>
      <c r="D288" s="11">
        <v>157586</v>
      </c>
      <c r="E288" s="11">
        <v>86672.19</v>
      </c>
      <c r="F288" s="3">
        <v>42076</v>
      </c>
      <c r="G288" s="2" t="s">
        <v>20211</v>
      </c>
      <c r="H288" s="2"/>
      <c r="I288" s="2"/>
      <c r="J288" s="2" t="s">
        <v>15048</v>
      </c>
      <c r="K288" s="2"/>
      <c r="L288" s="82"/>
    </row>
    <row r="289" spans="1:12" ht="72" customHeight="1" x14ac:dyDescent="0.3">
      <c r="A289" s="2">
        <v>285</v>
      </c>
      <c r="B289" s="245" t="s">
        <v>22824</v>
      </c>
      <c r="C289" s="66" t="s">
        <v>22763</v>
      </c>
      <c r="D289" s="244">
        <v>174897.1</v>
      </c>
      <c r="E289" s="244">
        <v>4858.25</v>
      </c>
      <c r="F289" s="243" t="s">
        <v>21329</v>
      </c>
      <c r="G289" s="242" t="s">
        <v>22740</v>
      </c>
      <c r="H289" s="3"/>
      <c r="I289" s="2"/>
      <c r="J289" s="2" t="s">
        <v>15048</v>
      </c>
      <c r="K289" s="2"/>
      <c r="L289" s="246" t="s">
        <v>22734</v>
      </c>
    </row>
    <row r="290" spans="1:12" ht="72" customHeight="1" x14ac:dyDescent="0.3">
      <c r="A290" s="2">
        <v>286</v>
      </c>
      <c r="B290" s="245" t="s">
        <v>22825</v>
      </c>
      <c r="C290" s="66" t="s">
        <v>22764</v>
      </c>
      <c r="D290" s="244">
        <v>174897.1</v>
      </c>
      <c r="E290" s="244">
        <v>4858.25</v>
      </c>
      <c r="F290" s="243" t="s">
        <v>21329</v>
      </c>
      <c r="G290" s="242" t="s">
        <v>22740</v>
      </c>
      <c r="H290" s="3"/>
      <c r="I290" s="2"/>
      <c r="J290" s="2" t="s">
        <v>15048</v>
      </c>
      <c r="K290" s="2"/>
      <c r="L290" s="246" t="s">
        <v>22734</v>
      </c>
    </row>
    <row r="291" spans="1:12" ht="72" customHeight="1" x14ac:dyDescent="0.3">
      <c r="A291" s="2">
        <v>287</v>
      </c>
      <c r="B291" s="245" t="s">
        <v>22826</v>
      </c>
      <c r="C291" s="66" t="s">
        <v>22765</v>
      </c>
      <c r="D291" s="244">
        <v>174897.1</v>
      </c>
      <c r="E291" s="244">
        <v>4858.25</v>
      </c>
      <c r="F291" s="243" t="s">
        <v>21329</v>
      </c>
      <c r="G291" s="242" t="s">
        <v>22740</v>
      </c>
      <c r="H291" s="3"/>
      <c r="I291" s="2"/>
      <c r="J291" s="2" t="s">
        <v>15048</v>
      </c>
      <c r="K291" s="2"/>
      <c r="L291" s="246" t="s">
        <v>22734</v>
      </c>
    </row>
    <row r="292" spans="1:12" ht="72" customHeight="1" x14ac:dyDescent="0.3">
      <c r="A292" s="2">
        <v>288</v>
      </c>
      <c r="B292" s="245" t="s">
        <v>22827</v>
      </c>
      <c r="C292" s="66" t="s">
        <v>22766</v>
      </c>
      <c r="D292" s="244">
        <v>174897.1</v>
      </c>
      <c r="E292" s="244">
        <v>4858.25</v>
      </c>
      <c r="F292" s="243" t="s">
        <v>21329</v>
      </c>
      <c r="G292" s="242" t="s">
        <v>22740</v>
      </c>
      <c r="H292" s="3"/>
      <c r="I292" s="2"/>
      <c r="J292" s="2" t="s">
        <v>15048</v>
      </c>
      <c r="K292" s="2"/>
      <c r="L292" s="246" t="s">
        <v>22734</v>
      </c>
    </row>
    <row r="293" spans="1:12" ht="72" customHeight="1" x14ac:dyDescent="0.3">
      <c r="A293" s="2">
        <v>289</v>
      </c>
      <c r="B293" s="245" t="s">
        <v>22828</v>
      </c>
      <c r="C293" s="66" t="s">
        <v>22767</v>
      </c>
      <c r="D293" s="244">
        <v>174897.1</v>
      </c>
      <c r="E293" s="244">
        <v>4858.25</v>
      </c>
      <c r="F293" s="243" t="s">
        <v>21329</v>
      </c>
      <c r="G293" s="242" t="s">
        <v>22740</v>
      </c>
      <c r="H293" s="3"/>
      <c r="I293" s="2"/>
      <c r="J293" s="2" t="s">
        <v>15048</v>
      </c>
      <c r="K293" s="2"/>
      <c r="L293" s="246" t="s">
        <v>22734</v>
      </c>
    </row>
    <row r="294" spans="1:12" ht="72" customHeight="1" x14ac:dyDescent="0.3">
      <c r="A294" s="2">
        <v>290</v>
      </c>
      <c r="B294" s="245" t="s">
        <v>22829</v>
      </c>
      <c r="C294" s="66" t="s">
        <v>22768</v>
      </c>
      <c r="D294" s="244">
        <v>174897.1</v>
      </c>
      <c r="E294" s="244">
        <v>4858.25</v>
      </c>
      <c r="F294" s="243" t="s">
        <v>21329</v>
      </c>
      <c r="G294" s="242" t="s">
        <v>22740</v>
      </c>
      <c r="H294" s="3"/>
      <c r="I294" s="2"/>
      <c r="J294" s="2" t="s">
        <v>15048</v>
      </c>
      <c r="K294" s="2"/>
      <c r="L294" s="246" t="s">
        <v>22734</v>
      </c>
    </row>
    <row r="295" spans="1:12" ht="72" customHeight="1" x14ac:dyDescent="0.3">
      <c r="A295" s="2">
        <v>291</v>
      </c>
      <c r="B295" s="245" t="s">
        <v>22830</v>
      </c>
      <c r="C295" s="66" t="s">
        <v>22769</v>
      </c>
      <c r="D295" s="244">
        <v>174897.1</v>
      </c>
      <c r="E295" s="244">
        <v>4858.25</v>
      </c>
      <c r="F295" s="243" t="s">
        <v>21329</v>
      </c>
      <c r="G295" s="242" t="s">
        <v>22740</v>
      </c>
      <c r="H295" s="3"/>
      <c r="I295" s="2"/>
      <c r="J295" s="2" t="s">
        <v>15048</v>
      </c>
      <c r="K295" s="2"/>
      <c r="L295" s="246" t="s">
        <v>22734</v>
      </c>
    </row>
    <row r="296" spans="1:12" ht="72" customHeight="1" x14ac:dyDescent="0.3">
      <c r="A296" s="2">
        <v>292</v>
      </c>
      <c r="B296" s="245" t="s">
        <v>22831</v>
      </c>
      <c r="C296" s="66" t="s">
        <v>22770</v>
      </c>
      <c r="D296" s="244">
        <v>174897.1</v>
      </c>
      <c r="E296" s="244">
        <v>4858.25</v>
      </c>
      <c r="F296" s="243" t="s">
        <v>21329</v>
      </c>
      <c r="G296" s="242" t="s">
        <v>22740</v>
      </c>
      <c r="H296" s="3"/>
      <c r="I296" s="2"/>
      <c r="J296" s="2" t="s">
        <v>15048</v>
      </c>
      <c r="K296" s="2"/>
      <c r="L296" s="246" t="s">
        <v>22734</v>
      </c>
    </row>
    <row r="297" spans="1:12" ht="72" customHeight="1" x14ac:dyDescent="0.3">
      <c r="A297" s="2">
        <v>293</v>
      </c>
      <c r="B297" s="245" t="s">
        <v>22832</v>
      </c>
      <c r="C297" s="66" t="s">
        <v>22771</v>
      </c>
      <c r="D297" s="244">
        <v>174897.1</v>
      </c>
      <c r="E297" s="244">
        <v>4858.25</v>
      </c>
      <c r="F297" s="243" t="s">
        <v>21329</v>
      </c>
      <c r="G297" s="242" t="s">
        <v>22740</v>
      </c>
      <c r="H297" s="3"/>
      <c r="I297" s="2"/>
      <c r="J297" s="2" t="s">
        <v>15048</v>
      </c>
      <c r="K297" s="2"/>
      <c r="L297" s="246" t="s">
        <v>22734</v>
      </c>
    </row>
    <row r="298" spans="1:12" ht="72" customHeight="1" x14ac:dyDescent="0.3">
      <c r="A298" s="2">
        <v>294</v>
      </c>
      <c r="B298" s="245" t="s">
        <v>22833</v>
      </c>
      <c r="C298" s="66" t="s">
        <v>22772</v>
      </c>
      <c r="D298" s="244">
        <v>174897.17</v>
      </c>
      <c r="E298" s="244">
        <v>4858.25</v>
      </c>
      <c r="F298" s="243" t="s">
        <v>21329</v>
      </c>
      <c r="G298" s="242" t="s">
        <v>22740</v>
      </c>
      <c r="H298" s="3"/>
      <c r="I298" s="2"/>
      <c r="J298" s="2" t="s">
        <v>15048</v>
      </c>
      <c r="K298" s="2"/>
      <c r="L298" s="246" t="s">
        <v>22734</v>
      </c>
    </row>
    <row r="299" spans="1:12" ht="72" customHeight="1" x14ac:dyDescent="0.3">
      <c r="A299" s="2">
        <v>295</v>
      </c>
      <c r="B299" s="245" t="s">
        <v>22834</v>
      </c>
      <c r="C299" s="66" t="s">
        <v>22775</v>
      </c>
      <c r="D299" s="11">
        <v>120247.27</v>
      </c>
      <c r="E299" s="11">
        <v>3340.2</v>
      </c>
      <c r="F299" s="243" t="s">
        <v>22773</v>
      </c>
      <c r="G299" s="242" t="s">
        <v>22774</v>
      </c>
      <c r="H299" s="3"/>
      <c r="I299" s="2"/>
      <c r="J299" s="2" t="s">
        <v>15048</v>
      </c>
      <c r="K299" s="2"/>
      <c r="L299" s="246" t="s">
        <v>22734</v>
      </c>
    </row>
    <row r="300" spans="1:12" ht="72" customHeight="1" x14ac:dyDescent="0.3">
      <c r="A300" s="2">
        <v>296</v>
      </c>
      <c r="B300" s="245" t="s">
        <v>22835</v>
      </c>
      <c r="C300" s="66" t="s">
        <v>22776</v>
      </c>
      <c r="D300" s="244">
        <v>120247.27</v>
      </c>
      <c r="E300" s="244">
        <v>3340.2</v>
      </c>
      <c r="F300" s="243" t="s">
        <v>22773</v>
      </c>
      <c r="G300" s="242" t="s">
        <v>22774</v>
      </c>
      <c r="H300" s="3"/>
      <c r="I300" s="2"/>
      <c r="J300" s="2" t="s">
        <v>15048</v>
      </c>
      <c r="K300" s="2"/>
      <c r="L300" s="246" t="s">
        <v>22734</v>
      </c>
    </row>
    <row r="301" spans="1:12" ht="72" customHeight="1" x14ac:dyDescent="0.3">
      <c r="A301" s="2">
        <v>297</v>
      </c>
      <c r="B301" s="245" t="s">
        <v>22836</v>
      </c>
      <c r="C301" s="66" t="s">
        <v>22777</v>
      </c>
      <c r="D301" s="244">
        <v>120247.27</v>
      </c>
      <c r="E301" s="244">
        <v>3340.2</v>
      </c>
      <c r="F301" s="243" t="s">
        <v>22773</v>
      </c>
      <c r="G301" s="242" t="s">
        <v>22774</v>
      </c>
      <c r="H301" s="3"/>
      <c r="I301" s="2"/>
      <c r="J301" s="2" t="s">
        <v>15048</v>
      </c>
      <c r="K301" s="2"/>
      <c r="L301" s="246" t="s">
        <v>22734</v>
      </c>
    </row>
    <row r="302" spans="1:12" ht="72" customHeight="1" x14ac:dyDescent="0.3">
      <c r="A302" s="2">
        <v>298</v>
      </c>
      <c r="B302" s="245" t="s">
        <v>22837</v>
      </c>
      <c r="C302" s="66" t="s">
        <v>22778</v>
      </c>
      <c r="D302" s="244">
        <v>120247.27</v>
      </c>
      <c r="E302" s="244">
        <v>3340.2</v>
      </c>
      <c r="F302" s="243" t="s">
        <v>22773</v>
      </c>
      <c r="G302" s="242" t="s">
        <v>22774</v>
      </c>
      <c r="H302" s="3"/>
      <c r="I302" s="2"/>
      <c r="J302" s="2" t="s">
        <v>15048</v>
      </c>
      <c r="K302" s="2"/>
      <c r="L302" s="246" t="s">
        <v>22734</v>
      </c>
    </row>
    <row r="303" spans="1:12" ht="72" customHeight="1" x14ac:dyDescent="0.3">
      <c r="A303" s="2">
        <v>299</v>
      </c>
      <c r="B303" s="245" t="s">
        <v>22838</v>
      </c>
      <c r="C303" s="66" t="s">
        <v>22779</v>
      </c>
      <c r="D303" s="244">
        <v>120247.27</v>
      </c>
      <c r="E303" s="244">
        <v>3340.2</v>
      </c>
      <c r="F303" s="243" t="s">
        <v>22773</v>
      </c>
      <c r="G303" s="242" t="s">
        <v>22774</v>
      </c>
      <c r="H303" s="3"/>
      <c r="I303" s="2"/>
      <c r="J303" s="2" t="s">
        <v>15048</v>
      </c>
      <c r="K303" s="2"/>
      <c r="L303" s="246" t="s">
        <v>22734</v>
      </c>
    </row>
    <row r="304" spans="1:12" ht="72" customHeight="1" x14ac:dyDescent="0.3">
      <c r="A304" s="2">
        <v>300</v>
      </c>
      <c r="B304" s="245" t="s">
        <v>22839</v>
      </c>
      <c r="C304" s="66" t="s">
        <v>22780</v>
      </c>
      <c r="D304" s="244">
        <v>120247.27</v>
      </c>
      <c r="E304" s="244">
        <v>3340.2</v>
      </c>
      <c r="F304" s="243" t="s">
        <v>22773</v>
      </c>
      <c r="G304" s="242" t="s">
        <v>22774</v>
      </c>
      <c r="H304" s="3"/>
      <c r="I304" s="2"/>
      <c r="J304" s="2" t="s">
        <v>15048</v>
      </c>
      <c r="K304" s="2"/>
      <c r="L304" s="246" t="s">
        <v>22734</v>
      </c>
    </row>
    <row r="305" spans="1:12" ht="72" customHeight="1" x14ac:dyDescent="0.3">
      <c r="A305" s="2">
        <v>301</v>
      </c>
      <c r="B305" s="245" t="s">
        <v>22840</v>
      </c>
      <c r="C305" s="66" t="s">
        <v>22781</v>
      </c>
      <c r="D305" s="244">
        <v>120247.27</v>
      </c>
      <c r="E305" s="244">
        <v>3340.2</v>
      </c>
      <c r="F305" s="243" t="s">
        <v>22773</v>
      </c>
      <c r="G305" s="242" t="s">
        <v>22774</v>
      </c>
      <c r="H305" s="3"/>
      <c r="I305" s="2"/>
      <c r="J305" s="2" t="s">
        <v>15048</v>
      </c>
      <c r="K305" s="2"/>
      <c r="L305" s="246" t="s">
        <v>22734</v>
      </c>
    </row>
    <row r="306" spans="1:12" ht="72" customHeight="1" x14ac:dyDescent="0.3">
      <c r="A306" s="2">
        <v>302</v>
      </c>
      <c r="B306" s="245" t="s">
        <v>22841</v>
      </c>
      <c r="C306" s="66" t="s">
        <v>22782</v>
      </c>
      <c r="D306" s="244">
        <v>120247.27</v>
      </c>
      <c r="E306" s="244">
        <v>3340.2</v>
      </c>
      <c r="F306" s="243" t="s">
        <v>22773</v>
      </c>
      <c r="G306" s="242" t="s">
        <v>22774</v>
      </c>
      <c r="H306" s="3"/>
      <c r="I306" s="2"/>
      <c r="J306" s="2" t="s">
        <v>15048</v>
      </c>
      <c r="K306" s="2"/>
      <c r="L306" s="246" t="s">
        <v>22734</v>
      </c>
    </row>
    <row r="307" spans="1:12" ht="72" customHeight="1" x14ac:dyDescent="0.3">
      <c r="A307" s="2">
        <v>303</v>
      </c>
      <c r="B307" s="245" t="s">
        <v>22842</v>
      </c>
      <c r="C307" s="66" t="s">
        <v>22783</v>
      </c>
      <c r="D307" s="244">
        <v>120247.27</v>
      </c>
      <c r="E307" s="244">
        <v>3340.2</v>
      </c>
      <c r="F307" s="243" t="s">
        <v>22773</v>
      </c>
      <c r="G307" s="242" t="s">
        <v>22774</v>
      </c>
      <c r="H307" s="3"/>
      <c r="I307" s="2"/>
      <c r="J307" s="2" t="s">
        <v>15048</v>
      </c>
      <c r="K307" s="2"/>
      <c r="L307" s="246" t="s">
        <v>22734</v>
      </c>
    </row>
    <row r="308" spans="1:12" ht="72" customHeight="1" x14ac:dyDescent="0.3">
      <c r="A308" s="2">
        <v>304</v>
      </c>
      <c r="B308" s="245" t="s">
        <v>22843</v>
      </c>
      <c r="C308" s="66" t="s">
        <v>22784</v>
      </c>
      <c r="D308" s="244">
        <v>120247.27</v>
      </c>
      <c r="E308" s="244">
        <v>3340.2</v>
      </c>
      <c r="F308" s="243" t="s">
        <v>22773</v>
      </c>
      <c r="G308" s="242" t="s">
        <v>22774</v>
      </c>
      <c r="H308" s="3"/>
      <c r="I308" s="2"/>
      <c r="J308" s="2" t="s">
        <v>15048</v>
      </c>
      <c r="K308" s="2"/>
      <c r="L308" s="246" t="s">
        <v>22734</v>
      </c>
    </row>
    <row r="309" spans="1:12" ht="72" customHeight="1" x14ac:dyDescent="0.3">
      <c r="A309" s="2">
        <v>305</v>
      </c>
      <c r="B309" s="245" t="s">
        <v>22844</v>
      </c>
      <c r="C309" s="66" t="s">
        <v>22785</v>
      </c>
      <c r="D309" s="244">
        <v>120247.27</v>
      </c>
      <c r="E309" s="244">
        <v>3340.2</v>
      </c>
      <c r="F309" s="243" t="s">
        <v>22773</v>
      </c>
      <c r="G309" s="242" t="s">
        <v>22774</v>
      </c>
      <c r="H309" s="3"/>
      <c r="I309" s="2"/>
      <c r="J309" s="2" t="s">
        <v>15048</v>
      </c>
      <c r="K309" s="2"/>
      <c r="L309" s="246" t="s">
        <v>22734</v>
      </c>
    </row>
    <row r="310" spans="1:12" ht="72" customHeight="1" x14ac:dyDescent="0.3">
      <c r="A310" s="2">
        <v>306</v>
      </c>
      <c r="B310" s="245" t="s">
        <v>22845</v>
      </c>
      <c r="C310" s="66" t="s">
        <v>22786</v>
      </c>
      <c r="D310" s="244">
        <v>120247.27</v>
      </c>
      <c r="E310" s="244">
        <v>3340.2</v>
      </c>
      <c r="F310" s="243" t="s">
        <v>22773</v>
      </c>
      <c r="G310" s="242" t="s">
        <v>22774</v>
      </c>
      <c r="H310" s="3"/>
      <c r="I310" s="2"/>
      <c r="J310" s="2" t="s">
        <v>15048</v>
      </c>
      <c r="K310" s="2"/>
      <c r="L310" s="246" t="s">
        <v>22734</v>
      </c>
    </row>
    <row r="311" spans="1:12" ht="72" customHeight="1" x14ac:dyDescent="0.3">
      <c r="A311" s="2">
        <v>307</v>
      </c>
      <c r="B311" s="245" t="s">
        <v>22846</v>
      </c>
      <c r="C311" s="66" t="s">
        <v>22787</v>
      </c>
      <c r="D311" s="244">
        <v>120247.27</v>
      </c>
      <c r="E311" s="244">
        <v>3340.2</v>
      </c>
      <c r="F311" s="243" t="s">
        <v>22773</v>
      </c>
      <c r="G311" s="242" t="s">
        <v>22774</v>
      </c>
      <c r="H311" s="3"/>
      <c r="I311" s="2"/>
      <c r="J311" s="2" t="s">
        <v>15048</v>
      </c>
      <c r="K311" s="2"/>
      <c r="L311" s="246" t="s">
        <v>22734</v>
      </c>
    </row>
    <row r="312" spans="1:12" ht="72" customHeight="1" x14ac:dyDescent="0.3">
      <c r="A312" s="2">
        <v>308</v>
      </c>
      <c r="B312" s="245" t="s">
        <v>22847</v>
      </c>
      <c r="C312" s="66" t="s">
        <v>22788</v>
      </c>
      <c r="D312" s="244">
        <v>120247.27</v>
      </c>
      <c r="E312" s="244">
        <v>3340.2</v>
      </c>
      <c r="F312" s="243" t="s">
        <v>22773</v>
      </c>
      <c r="G312" s="242" t="s">
        <v>22774</v>
      </c>
      <c r="H312" s="3"/>
      <c r="I312" s="2"/>
      <c r="J312" s="2" t="s">
        <v>15048</v>
      </c>
      <c r="K312" s="2"/>
      <c r="L312" s="246" t="s">
        <v>22734</v>
      </c>
    </row>
    <row r="313" spans="1:12" ht="72" customHeight="1" x14ac:dyDescent="0.3">
      <c r="A313" s="2">
        <v>309</v>
      </c>
      <c r="B313" s="245" t="s">
        <v>22848</v>
      </c>
      <c r="C313" s="66" t="s">
        <v>22789</v>
      </c>
      <c r="D313" s="244">
        <v>120247.27</v>
      </c>
      <c r="E313" s="244">
        <v>3340.2</v>
      </c>
      <c r="F313" s="243" t="s">
        <v>22773</v>
      </c>
      <c r="G313" s="242" t="s">
        <v>22774</v>
      </c>
      <c r="H313" s="3"/>
      <c r="I313" s="2"/>
      <c r="J313" s="2" t="s">
        <v>15048</v>
      </c>
      <c r="K313" s="2"/>
      <c r="L313" s="246" t="s">
        <v>22734</v>
      </c>
    </row>
    <row r="314" spans="1:12" ht="72" customHeight="1" x14ac:dyDescent="0.3">
      <c r="A314" s="2">
        <v>310</v>
      </c>
      <c r="B314" s="245" t="s">
        <v>22849</v>
      </c>
      <c r="C314" s="66" t="s">
        <v>22790</v>
      </c>
      <c r="D314" s="244">
        <v>120247.27</v>
      </c>
      <c r="E314" s="244">
        <v>3340.2</v>
      </c>
      <c r="F314" s="243" t="s">
        <v>22773</v>
      </c>
      <c r="G314" s="242" t="s">
        <v>22774</v>
      </c>
      <c r="H314" s="3"/>
      <c r="I314" s="2"/>
      <c r="J314" s="2" t="s">
        <v>15048</v>
      </c>
      <c r="K314" s="2"/>
      <c r="L314" s="246" t="s">
        <v>22734</v>
      </c>
    </row>
    <row r="315" spans="1:12" ht="72" customHeight="1" x14ac:dyDescent="0.3">
      <c r="A315" s="2">
        <v>311</v>
      </c>
      <c r="B315" s="245" t="s">
        <v>22850</v>
      </c>
      <c r="C315" s="66" t="s">
        <v>22791</v>
      </c>
      <c r="D315" s="244">
        <v>120247.27</v>
      </c>
      <c r="E315" s="244">
        <v>3340.2</v>
      </c>
      <c r="F315" s="243" t="s">
        <v>22773</v>
      </c>
      <c r="G315" s="242" t="s">
        <v>22774</v>
      </c>
      <c r="H315" s="3"/>
      <c r="I315" s="2"/>
      <c r="J315" s="2" t="s">
        <v>15048</v>
      </c>
      <c r="K315" s="2"/>
      <c r="L315" s="246" t="s">
        <v>22734</v>
      </c>
    </row>
    <row r="316" spans="1:12" ht="72" customHeight="1" x14ac:dyDescent="0.3">
      <c r="A316" s="2">
        <v>312</v>
      </c>
      <c r="B316" s="245" t="s">
        <v>22851</v>
      </c>
      <c r="C316" s="66" t="s">
        <v>22792</v>
      </c>
      <c r="D316" s="244">
        <v>120247.27</v>
      </c>
      <c r="E316" s="244">
        <v>3340.2</v>
      </c>
      <c r="F316" s="243" t="s">
        <v>22773</v>
      </c>
      <c r="G316" s="242" t="s">
        <v>22774</v>
      </c>
      <c r="H316" s="3"/>
      <c r="I316" s="2"/>
      <c r="J316" s="2" t="s">
        <v>15048</v>
      </c>
      <c r="K316" s="2"/>
      <c r="L316" s="246" t="s">
        <v>22734</v>
      </c>
    </row>
    <row r="317" spans="1:12" ht="72" customHeight="1" x14ac:dyDescent="0.3">
      <c r="A317" s="2">
        <v>313</v>
      </c>
      <c r="B317" s="245" t="s">
        <v>22852</v>
      </c>
      <c r="C317" s="66" t="s">
        <v>22793</v>
      </c>
      <c r="D317" s="244">
        <v>120247.27</v>
      </c>
      <c r="E317" s="244">
        <v>3340.2</v>
      </c>
      <c r="F317" s="243" t="s">
        <v>22773</v>
      </c>
      <c r="G317" s="242" t="s">
        <v>22774</v>
      </c>
      <c r="H317" s="3"/>
      <c r="I317" s="2"/>
      <c r="J317" s="2" t="s">
        <v>15048</v>
      </c>
      <c r="K317" s="2"/>
      <c r="L317" s="246" t="s">
        <v>22734</v>
      </c>
    </row>
    <row r="318" spans="1:12" ht="72" customHeight="1" x14ac:dyDescent="0.3">
      <c r="A318" s="2">
        <v>314</v>
      </c>
      <c r="B318" s="245" t="s">
        <v>22853</v>
      </c>
      <c r="C318" s="66" t="s">
        <v>22794</v>
      </c>
      <c r="D318" s="244">
        <v>120247.27</v>
      </c>
      <c r="E318" s="244">
        <v>3340.2</v>
      </c>
      <c r="F318" s="243" t="s">
        <v>22773</v>
      </c>
      <c r="G318" s="242" t="s">
        <v>22774</v>
      </c>
      <c r="H318" s="3"/>
      <c r="I318" s="2"/>
      <c r="J318" s="2" t="s">
        <v>15048</v>
      </c>
      <c r="K318" s="2"/>
      <c r="L318" s="246" t="s">
        <v>22734</v>
      </c>
    </row>
    <row r="319" spans="1:12" ht="72" customHeight="1" x14ac:dyDescent="0.3">
      <c r="A319" s="2">
        <v>315</v>
      </c>
      <c r="B319" s="245" t="s">
        <v>22854</v>
      </c>
      <c r="C319" s="66" t="s">
        <v>22795</v>
      </c>
      <c r="D319" s="244">
        <v>120247.27</v>
      </c>
      <c r="E319" s="244">
        <v>3340.2</v>
      </c>
      <c r="F319" s="243" t="s">
        <v>22773</v>
      </c>
      <c r="G319" s="242" t="s">
        <v>22774</v>
      </c>
      <c r="H319" s="3"/>
      <c r="I319" s="2"/>
      <c r="J319" s="2" t="s">
        <v>15048</v>
      </c>
      <c r="K319" s="2"/>
      <c r="L319" s="246" t="s">
        <v>22734</v>
      </c>
    </row>
    <row r="320" spans="1:12" ht="72" customHeight="1" x14ac:dyDescent="0.3">
      <c r="A320" s="2">
        <v>316</v>
      </c>
      <c r="B320" s="245" t="s">
        <v>22855</v>
      </c>
      <c r="C320" s="66" t="s">
        <v>22796</v>
      </c>
      <c r="D320" s="244">
        <v>120247.27</v>
      </c>
      <c r="E320" s="244">
        <v>3340.2</v>
      </c>
      <c r="F320" s="243" t="s">
        <v>22773</v>
      </c>
      <c r="G320" s="242" t="s">
        <v>22774</v>
      </c>
      <c r="H320" s="3"/>
      <c r="I320" s="2"/>
      <c r="J320" s="2" t="s">
        <v>15048</v>
      </c>
      <c r="K320" s="2"/>
      <c r="L320" s="246" t="s">
        <v>22734</v>
      </c>
    </row>
    <row r="321" spans="1:12" ht="72" customHeight="1" x14ac:dyDescent="0.3">
      <c r="A321" s="2">
        <v>317</v>
      </c>
      <c r="B321" s="245" t="s">
        <v>22856</v>
      </c>
      <c r="C321" s="66" t="s">
        <v>22797</v>
      </c>
      <c r="D321" s="244">
        <v>120247.27</v>
      </c>
      <c r="E321" s="244">
        <v>3340.2</v>
      </c>
      <c r="F321" s="243" t="s">
        <v>22773</v>
      </c>
      <c r="G321" s="242" t="s">
        <v>22774</v>
      </c>
      <c r="H321" s="3"/>
      <c r="I321" s="2"/>
      <c r="J321" s="2" t="s">
        <v>15048</v>
      </c>
      <c r="K321" s="2"/>
      <c r="L321" s="246" t="s">
        <v>22734</v>
      </c>
    </row>
    <row r="322" spans="1:12" ht="72" customHeight="1" x14ac:dyDescent="0.3">
      <c r="A322" s="2">
        <v>318</v>
      </c>
      <c r="B322" s="245" t="s">
        <v>22857</v>
      </c>
      <c r="C322" s="66" t="s">
        <v>22798</v>
      </c>
      <c r="D322" s="244">
        <v>120247.27</v>
      </c>
      <c r="E322" s="244">
        <v>3340.2</v>
      </c>
      <c r="F322" s="243" t="s">
        <v>22773</v>
      </c>
      <c r="G322" s="242" t="s">
        <v>22774</v>
      </c>
      <c r="H322" s="3"/>
      <c r="I322" s="2"/>
      <c r="J322" s="2" t="s">
        <v>15048</v>
      </c>
      <c r="K322" s="2"/>
      <c r="L322" s="246" t="s">
        <v>22734</v>
      </c>
    </row>
    <row r="323" spans="1:12" ht="72" customHeight="1" x14ac:dyDescent="0.3">
      <c r="A323" s="2">
        <v>319</v>
      </c>
      <c r="B323" s="245" t="s">
        <v>22858</v>
      </c>
      <c r="C323" s="66" t="s">
        <v>22799</v>
      </c>
      <c r="D323" s="244">
        <v>120247.27</v>
      </c>
      <c r="E323" s="244">
        <v>3340.2</v>
      </c>
      <c r="F323" s="243" t="s">
        <v>22773</v>
      </c>
      <c r="G323" s="242" t="s">
        <v>22774</v>
      </c>
      <c r="H323" s="3"/>
      <c r="I323" s="2"/>
      <c r="J323" s="2" t="s">
        <v>15048</v>
      </c>
      <c r="K323" s="2"/>
      <c r="L323" s="246" t="s">
        <v>22734</v>
      </c>
    </row>
    <row r="324" spans="1:12" ht="72" customHeight="1" x14ac:dyDescent="0.3">
      <c r="A324" s="2">
        <v>320</v>
      </c>
      <c r="B324" s="245" t="s">
        <v>22859</v>
      </c>
      <c r="C324" s="66" t="s">
        <v>22800</v>
      </c>
      <c r="D324" s="244">
        <v>120247.27</v>
      </c>
      <c r="E324" s="244">
        <v>3340.2</v>
      </c>
      <c r="F324" s="243" t="s">
        <v>22773</v>
      </c>
      <c r="G324" s="242" t="s">
        <v>22774</v>
      </c>
      <c r="H324" s="3"/>
      <c r="I324" s="2"/>
      <c r="J324" s="2" t="s">
        <v>15048</v>
      </c>
      <c r="K324" s="2"/>
      <c r="L324" s="246" t="s">
        <v>22734</v>
      </c>
    </row>
    <row r="325" spans="1:12" ht="72" customHeight="1" x14ac:dyDescent="0.3">
      <c r="A325" s="2">
        <v>321</v>
      </c>
      <c r="B325" s="245" t="s">
        <v>22860</v>
      </c>
      <c r="C325" s="66" t="s">
        <v>22801</v>
      </c>
      <c r="D325" s="244">
        <v>120247.27</v>
      </c>
      <c r="E325" s="244">
        <v>3340.2</v>
      </c>
      <c r="F325" s="243" t="s">
        <v>22773</v>
      </c>
      <c r="G325" s="242" t="s">
        <v>22774</v>
      </c>
      <c r="H325" s="3"/>
      <c r="I325" s="2"/>
      <c r="J325" s="2" t="s">
        <v>15048</v>
      </c>
      <c r="K325" s="2"/>
      <c r="L325" s="246" t="s">
        <v>22734</v>
      </c>
    </row>
    <row r="326" spans="1:12" ht="72" customHeight="1" x14ac:dyDescent="0.3">
      <c r="A326" s="2">
        <v>322</v>
      </c>
      <c r="B326" s="245" t="s">
        <v>22861</v>
      </c>
      <c r="C326" s="66" t="s">
        <v>22802</v>
      </c>
      <c r="D326" s="244">
        <v>120247.27</v>
      </c>
      <c r="E326" s="244">
        <v>3340.2</v>
      </c>
      <c r="F326" s="243" t="s">
        <v>22773</v>
      </c>
      <c r="G326" s="242" t="s">
        <v>22774</v>
      </c>
      <c r="H326" s="3"/>
      <c r="I326" s="2"/>
      <c r="J326" s="2" t="s">
        <v>15048</v>
      </c>
      <c r="K326" s="2"/>
      <c r="L326" s="246" t="s">
        <v>22734</v>
      </c>
    </row>
    <row r="327" spans="1:12" ht="72" customHeight="1" x14ac:dyDescent="0.3">
      <c r="A327" s="2">
        <v>323</v>
      </c>
      <c r="B327" s="245" t="s">
        <v>22862</v>
      </c>
      <c r="C327" s="66" t="s">
        <v>22803</v>
      </c>
      <c r="D327" s="244">
        <v>120247.27</v>
      </c>
      <c r="E327" s="244">
        <v>3340.2</v>
      </c>
      <c r="F327" s="243" t="s">
        <v>22773</v>
      </c>
      <c r="G327" s="242" t="s">
        <v>22774</v>
      </c>
      <c r="H327" s="3"/>
      <c r="I327" s="2"/>
      <c r="J327" s="2" t="s">
        <v>15048</v>
      </c>
      <c r="K327" s="2"/>
      <c r="L327" s="246" t="s">
        <v>22734</v>
      </c>
    </row>
    <row r="328" spans="1:12" ht="72" customHeight="1" x14ac:dyDescent="0.3">
      <c r="A328" s="2">
        <v>324</v>
      </c>
      <c r="B328" s="245" t="s">
        <v>22889</v>
      </c>
      <c r="C328" s="66" t="s">
        <v>22864</v>
      </c>
      <c r="D328" s="11">
        <v>118191</v>
      </c>
      <c r="E328" s="11">
        <v>1969.86</v>
      </c>
      <c r="F328" s="3">
        <v>43452</v>
      </c>
      <c r="G328" s="242" t="s">
        <v>22863</v>
      </c>
      <c r="H328" s="3"/>
      <c r="I328" s="2"/>
      <c r="J328" s="2" t="s">
        <v>15048</v>
      </c>
      <c r="K328" s="2"/>
      <c r="L328" s="246" t="s">
        <v>22734</v>
      </c>
    </row>
    <row r="329" spans="1:12" ht="72" customHeight="1" x14ac:dyDescent="0.3">
      <c r="A329" s="2">
        <v>325</v>
      </c>
      <c r="B329" s="245" t="s">
        <v>22890</v>
      </c>
      <c r="C329" s="66" t="s">
        <v>22865</v>
      </c>
      <c r="D329" s="244">
        <v>118191</v>
      </c>
      <c r="E329" s="244">
        <v>1969.86</v>
      </c>
      <c r="F329" s="243">
        <v>43452</v>
      </c>
      <c r="G329" s="242" t="s">
        <v>22863</v>
      </c>
      <c r="H329" s="3"/>
      <c r="I329" s="2"/>
      <c r="J329" s="2" t="s">
        <v>15048</v>
      </c>
      <c r="K329" s="2"/>
      <c r="L329" s="246" t="s">
        <v>22734</v>
      </c>
    </row>
    <row r="330" spans="1:12" ht="72" customHeight="1" x14ac:dyDescent="0.3">
      <c r="A330" s="2">
        <v>326</v>
      </c>
      <c r="B330" s="245" t="s">
        <v>22891</v>
      </c>
      <c r="C330" s="66" t="s">
        <v>22867</v>
      </c>
      <c r="D330" s="244">
        <v>118191</v>
      </c>
      <c r="E330" s="244">
        <v>1969.86</v>
      </c>
      <c r="F330" s="243">
        <v>43452</v>
      </c>
      <c r="G330" s="242" t="s">
        <v>22863</v>
      </c>
      <c r="H330" s="3"/>
      <c r="I330" s="2"/>
      <c r="J330" s="2" t="s">
        <v>15048</v>
      </c>
      <c r="K330" s="2"/>
      <c r="L330" s="246" t="s">
        <v>22734</v>
      </c>
    </row>
    <row r="331" spans="1:12" ht="72" customHeight="1" x14ac:dyDescent="0.3">
      <c r="A331" s="2">
        <v>327</v>
      </c>
      <c r="B331" s="245" t="s">
        <v>22892</v>
      </c>
      <c r="C331" s="66" t="s">
        <v>22866</v>
      </c>
      <c r="D331" s="244">
        <v>118191</v>
      </c>
      <c r="E331" s="244">
        <v>1969.86</v>
      </c>
      <c r="F331" s="243">
        <v>43452</v>
      </c>
      <c r="G331" s="242" t="s">
        <v>22863</v>
      </c>
      <c r="H331" s="3"/>
      <c r="I331" s="2"/>
      <c r="J331" s="2" t="s">
        <v>15048</v>
      </c>
      <c r="K331" s="2"/>
      <c r="L331" s="246" t="s">
        <v>22734</v>
      </c>
    </row>
    <row r="332" spans="1:12" ht="72" customHeight="1" x14ac:dyDescent="0.3">
      <c r="A332" s="2">
        <v>328</v>
      </c>
      <c r="B332" s="245" t="s">
        <v>22893</v>
      </c>
      <c r="C332" s="66" t="s">
        <v>22868</v>
      </c>
      <c r="D332" s="244">
        <v>118191</v>
      </c>
      <c r="E332" s="244">
        <v>1969.86</v>
      </c>
      <c r="F332" s="243">
        <v>43452</v>
      </c>
      <c r="G332" s="242" t="s">
        <v>22863</v>
      </c>
      <c r="H332" s="3"/>
      <c r="I332" s="2"/>
      <c r="J332" s="2" t="s">
        <v>15048</v>
      </c>
      <c r="K332" s="2"/>
      <c r="L332" s="246" t="s">
        <v>22734</v>
      </c>
    </row>
    <row r="333" spans="1:12" ht="72" customHeight="1" x14ac:dyDescent="0.3">
      <c r="A333" s="2">
        <v>329</v>
      </c>
      <c r="B333" s="245" t="s">
        <v>22894</v>
      </c>
      <c r="C333" s="66" t="s">
        <v>22869</v>
      </c>
      <c r="D333" s="244">
        <v>118191</v>
      </c>
      <c r="E333" s="244">
        <v>1969.86</v>
      </c>
      <c r="F333" s="243">
        <v>43452</v>
      </c>
      <c r="G333" s="242" t="s">
        <v>22863</v>
      </c>
      <c r="H333" s="3"/>
      <c r="I333" s="2"/>
      <c r="J333" s="2" t="s">
        <v>15048</v>
      </c>
      <c r="K333" s="2"/>
      <c r="L333" s="246" t="s">
        <v>22734</v>
      </c>
    </row>
    <row r="334" spans="1:12" ht="72" customHeight="1" x14ac:dyDescent="0.3">
      <c r="A334" s="2">
        <v>330</v>
      </c>
      <c r="B334" s="245" t="s">
        <v>22895</v>
      </c>
      <c r="C334" s="66" t="s">
        <v>22870</v>
      </c>
      <c r="D334" s="244">
        <v>118191</v>
      </c>
      <c r="E334" s="244">
        <v>1969.86</v>
      </c>
      <c r="F334" s="243">
        <v>43452</v>
      </c>
      <c r="G334" s="242" t="s">
        <v>22863</v>
      </c>
      <c r="H334" s="3"/>
      <c r="I334" s="2"/>
      <c r="J334" s="2" t="s">
        <v>15048</v>
      </c>
      <c r="K334" s="2"/>
      <c r="L334" s="246" t="s">
        <v>22734</v>
      </c>
    </row>
    <row r="335" spans="1:12" ht="72" customHeight="1" x14ac:dyDescent="0.3">
      <c r="A335" s="2">
        <v>331</v>
      </c>
      <c r="B335" s="245" t="s">
        <v>22896</v>
      </c>
      <c r="C335" s="66" t="s">
        <v>22871</v>
      </c>
      <c r="D335" s="244">
        <v>118191</v>
      </c>
      <c r="E335" s="244">
        <v>1969.86</v>
      </c>
      <c r="F335" s="243">
        <v>43452</v>
      </c>
      <c r="G335" s="242" t="s">
        <v>22863</v>
      </c>
      <c r="H335" s="3"/>
      <c r="I335" s="2"/>
      <c r="J335" s="2" t="s">
        <v>15048</v>
      </c>
      <c r="K335" s="2"/>
      <c r="L335" s="246" t="s">
        <v>22734</v>
      </c>
    </row>
    <row r="336" spans="1:12" ht="72" customHeight="1" x14ac:dyDescent="0.3">
      <c r="A336" s="2">
        <v>332</v>
      </c>
      <c r="B336" s="245" t="s">
        <v>22897</v>
      </c>
      <c r="C336" s="66" t="s">
        <v>22872</v>
      </c>
      <c r="D336" s="244">
        <v>118191</v>
      </c>
      <c r="E336" s="244">
        <v>1969.86</v>
      </c>
      <c r="F336" s="243">
        <v>43452</v>
      </c>
      <c r="G336" s="242" t="s">
        <v>22863</v>
      </c>
      <c r="H336" s="3"/>
      <c r="I336" s="2"/>
      <c r="J336" s="2" t="s">
        <v>15048</v>
      </c>
      <c r="K336" s="2"/>
      <c r="L336" s="246" t="s">
        <v>22734</v>
      </c>
    </row>
    <row r="337" spans="1:12" ht="72" customHeight="1" x14ac:dyDescent="0.3">
      <c r="A337" s="2">
        <v>333</v>
      </c>
      <c r="B337" s="245" t="s">
        <v>22898</v>
      </c>
      <c r="C337" s="66" t="s">
        <v>22873</v>
      </c>
      <c r="D337" s="244">
        <v>118191</v>
      </c>
      <c r="E337" s="244">
        <v>1969.86</v>
      </c>
      <c r="F337" s="243">
        <v>43452</v>
      </c>
      <c r="G337" s="242" t="s">
        <v>22863</v>
      </c>
      <c r="H337" s="3"/>
      <c r="I337" s="2"/>
      <c r="J337" s="2" t="s">
        <v>15048</v>
      </c>
      <c r="K337" s="2"/>
      <c r="L337" s="246" t="s">
        <v>22734</v>
      </c>
    </row>
    <row r="338" spans="1:12" ht="72" customHeight="1" x14ac:dyDescent="0.3">
      <c r="A338" s="2">
        <v>334</v>
      </c>
      <c r="B338" s="245" t="s">
        <v>22899</v>
      </c>
      <c r="C338" s="66" t="s">
        <v>22874</v>
      </c>
      <c r="D338" s="244">
        <v>118191</v>
      </c>
      <c r="E338" s="244">
        <v>1969.86</v>
      </c>
      <c r="F338" s="243">
        <v>43452</v>
      </c>
      <c r="G338" s="242" t="s">
        <v>22863</v>
      </c>
      <c r="H338" s="3"/>
      <c r="I338" s="2"/>
      <c r="J338" s="2" t="s">
        <v>15048</v>
      </c>
      <c r="K338" s="2"/>
      <c r="L338" s="246" t="s">
        <v>22734</v>
      </c>
    </row>
    <row r="339" spans="1:12" ht="72" customHeight="1" x14ac:dyDescent="0.3">
      <c r="A339" s="2">
        <v>335</v>
      </c>
      <c r="B339" s="245" t="s">
        <v>22900</v>
      </c>
      <c r="C339" s="66" t="s">
        <v>22875</v>
      </c>
      <c r="D339" s="244">
        <v>118191</v>
      </c>
      <c r="E339" s="244">
        <v>1969.86</v>
      </c>
      <c r="F339" s="243">
        <v>43452</v>
      </c>
      <c r="G339" s="242" t="s">
        <v>22863</v>
      </c>
      <c r="H339" s="3"/>
      <c r="I339" s="2"/>
      <c r="J339" s="2" t="s">
        <v>15048</v>
      </c>
      <c r="K339" s="2"/>
      <c r="L339" s="246" t="s">
        <v>22734</v>
      </c>
    </row>
    <row r="340" spans="1:12" ht="72" customHeight="1" x14ac:dyDescent="0.3">
      <c r="A340" s="2">
        <v>336</v>
      </c>
      <c r="B340" s="245" t="s">
        <v>22901</v>
      </c>
      <c r="C340" s="66" t="s">
        <v>22876</v>
      </c>
      <c r="D340" s="244">
        <v>118191</v>
      </c>
      <c r="E340" s="244">
        <v>1969.86</v>
      </c>
      <c r="F340" s="243">
        <v>43452</v>
      </c>
      <c r="G340" s="242" t="s">
        <v>22863</v>
      </c>
      <c r="H340" s="3"/>
      <c r="I340" s="2"/>
      <c r="J340" s="2" t="s">
        <v>15048</v>
      </c>
      <c r="K340" s="2"/>
      <c r="L340" s="246" t="s">
        <v>22734</v>
      </c>
    </row>
    <row r="341" spans="1:12" ht="72" customHeight="1" x14ac:dyDescent="0.3">
      <c r="A341" s="2">
        <v>337</v>
      </c>
      <c r="B341" s="245" t="s">
        <v>22902</v>
      </c>
      <c r="C341" s="66" t="s">
        <v>22877</v>
      </c>
      <c r="D341" s="244">
        <v>118191</v>
      </c>
      <c r="E341" s="244">
        <v>1969.86</v>
      </c>
      <c r="F341" s="243">
        <v>43452</v>
      </c>
      <c r="G341" s="242" t="s">
        <v>22863</v>
      </c>
      <c r="H341" s="3"/>
      <c r="I341" s="2"/>
      <c r="J341" s="2" t="s">
        <v>15048</v>
      </c>
      <c r="K341" s="2"/>
      <c r="L341" s="246" t="s">
        <v>22734</v>
      </c>
    </row>
    <row r="342" spans="1:12" ht="72" customHeight="1" x14ac:dyDescent="0.3">
      <c r="A342" s="2">
        <v>338</v>
      </c>
      <c r="B342" s="245" t="s">
        <v>22903</v>
      </c>
      <c r="C342" s="66" t="s">
        <v>22878</v>
      </c>
      <c r="D342" s="244">
        <v>118191</v>
      </c>
      <c r="E342" s="244">
        <v>1969.86</v>
      </c>
      <c r="F342" s="243">
        <v>43452</v>
      </c>
      <c r="G342" s="242" t="s">
        <v>22863</v>
      </c>
      <c r="H342" s="3"/>
      <c r="I342" s="2"/>
      <c r="J342" s="2" t="s">
        <v>15048</v>
      </c>
      <c r="K342" s="2"/>
      <c r="L342" s="246" t="s">
        <v>22734</v>
      </c>
    </row>
    <row r="343" spans="1:12" ht="72" customHeight="1" x14ac:dyDescent="0.3">
      <c r="A343" s="2">
        <v>339</v>
      </c>
      <c r="B343" s="245" t="s">
        <v>22903</v>
      </c>
      <c r="C343" s="66" t="s">
        <v>22880</v>
      </c>
      <c r="D343" s="244">
        <v>118191.08</v>
      </c>
      <c r="E343" s="244">
        <v>1969.86</v>
      </c>
      <c r="F343" s="243">
        <v>43452</v>
      </c>
      <c r="G343" s="242" t="s">
        <v>22863</v>
      </c>
      <c r="H343" s="3"/>
      <c r="I343" s="2"/>
      <c r="J343" s="2" t="s">
        <v>15048</v>
      </c>
      <c r="K343" s="2"/>
      <c r="L343" s="246" t="s">
        <v>22734</v>
      </c>
    </row>
    <row r="344" spans="1:12" ht="72" customHeight="1" x14ac:dyDescent="0.3">
      <c r="A344" s="2">
        <v>340</v>
      </c>
      <c r="B344" s="245" t="s">
        <v>22904</v>
      </c>
      <c r="C344" s="66" t="s">
        <v>22879</v>
      </c>
      <c r="D344" s="244">
        <v>118191.09</v>
      </c>
      <c r="E344" s="244">
        <v>1969.86</v>
      </c>
      <c r="F344" s="243">
        <v>43452</v>
      </c>
      <c r="G344" s="242" t="s">
        <v>22863</v>
      </c>
      <c r="H344" s="3"/>
      <c r="I344" s="2"/>
      <c r="J344" s="2" t="s">
        <v>15048</v>
      </c>
      <c r="K344" s="2"/>
      <c r="L344" s="246" t="s">
        <v>22734</v>
      </c>
    </row>
    <row r="345" spans="1:12" ht="72" customHeight="1" x14ac:dyDescent="0.3">
      <c r="A345" s="2">
        <v>341</v>
      </c>
      <c r="B345" s="245" t="s">
        <v>22905</v>
      </c>
      <c r="C345" s="66" t="s">
        <v>22881</v>
      </c>
      <c r="D345" s="244">
        <v>118191</v>
      </c>
      <c r="E345" s="244">
        <v>1969.86</v>
      </c>
      <c r="F345" s="243">
        <v>43452</v>
      </c>
      <c r="G345" s="242" t="s">
        <v>22863</v>
      </c>
      <c r="H345" s="3"/>
      <c r="I345" s="2"/>
      <c r="J345" s="2" t="s">
        <v>15048</v>
      </c>
      <c r="K345" s="2"/>
      <c r="L345" s="246" t="s">
        <v>22734</v>
      </c>
    </row>
    <row r="346" spans="1:12" ht="72" customHeight="1" x14ac:dyDescent="0.3">
      <c r="A346" s="2">
        <v>342</v>
      </c>
      <c r="B346" s="245" t="s">
        <v>22906</v>
      </c>
      <c r="C346" s="66" t="s">
        <v>22882</v>
      </c>
      <c r="D346" s="244">
        <v>118191</v>
      </c>
      <c r="E346" s="244">
        <v>1969.86</v>
      </c>
      <c r="F346" s="243">
        <v>43452</v>
      </c>
      <c r="G346" s="242" t="s">
        <v>22863</v>
      </c>
      <c r="H346" s="3"/>
      <c r="I346" s="2"/>
      <c r="J346" s="2" t="s">
        <v>15048</v>
      </c>
      <c r="K346" s="2"/>
      <c r="L346" s="246" t="s">
        <v>22734</v>
      </c>
    </row>
    <row r="347" spans="1:12" ht="72" customHeight="1" x14ac:dyDescent="0.3">
      <c r="A347" s="2">
        <v>343</v>
      </c>
      <c r="B347" s="245" t="s">
        <v>22907</v>
      </c>
      <c r="C347" s="66" t="s">
        <v>22883</v>
      </c>
      <c r="D347" s="244">
        <v>118191</v>
      </c>
      <c r="E347" s="244">
        <v>1969.86</v>
      </c>
      <c r="F347" s="243">
        <v>43452</v>
      </c>
      <c r="G347" s="242" t="s">
        <v>22863</v>
      </c>
      <c r="H347" s="3"/>
      <c r="I347" s="2"/>
      <c r="J347" s="2" t="s">
        <v>15048</v>
      </c>
      <c r="K347" s="2"/>
      <c r="L347" s="246" t="s">
        <v>22734</v>
      </c>
    </row>
    <row r="348" spans="1:12" ht="72" customHeight="1" x14ac:dyDescent="0.3">
      <c r="A348" s="2">
        <v>344</v>
      </c>
      <c r="B348" s="245" t="s">
        <v>22908</v>
      </c>
      <c r="C348" s="66" t="s">
        <v>22884</v>
      </c>
      <c r="D348" s="244">
        <v>118191</v>
      </c>
      <c r="E348" s="244">
        <v>1969.86</v>
      </c>
      <c r="F348" s="243">
        <v>43452</v>
      </c>
      <c r="G348" s="242" t="s">
        <v>22863</v>
      </c>
      <c r="H348" s="3"/>
      <c r="I348" s="2"/>
      <c r="J348" s="2" t="s">
        <v>15048</v>
      </c>
      <c r="K348" s="2"/>
      <c r="L348" s="246" t="s">
        <v>22734</v>
      </c>
    </row>
    <row r="349" spans="1:12" ht="72" customHeight="1" x14ac:dyDescent="0.3">
      <c r="A349" s="2">
        <v>345</v>
      </c>
      <c r="B349" s="245" t="s">
        <v>22909</v>
      </c>
      <c r="C349" s="66" t="s">
        <v>22885</v>
      </c>
      <c r="D349" s="244">
        <v>118191</v>
      </c>
      <c r="E349" s="244">
        <v>1969.86</v>
      </c>
      <c r="F349" s="243">
        <v>43452</v>
      </c>
      <c r="G349" s="242" t="s">
        <v>22863</v>
      </c>
      <c r="H349" s="3"/>
      <c r="I349" s="2"/>
      <c r="J349" s="2" t="s">
        <v>15048</v>
      </c>
      <c r="K349" s="2"/>
      <c r="L349" s="246" t="s">
        <v>22734</v>
      </c>
    </row>
    <row r="350" spans="1:12" ht="72" customHeight="1" x14ac:dyDescent="0.3">
      <c r="A350" s="2">
        <v>346</v>
      </c>
      <c r="B350" s="245" t="s">
        <v>22910</v>
      </c>
      <c r="C350" s="66" t="s">
        <v>22886</v>
      </c>
      <c r="D350" s="244">
        <v>118191</v>
      </c>
      <c r="E350" s="244">
        <v>1969.86</v>
      </c>
      <c r="F350" s="243">
        <v>43452</v>
      </c>
      <c r="G350" s="242" t="s">
        <v>22863</v>
      </c>
      <c r="H350" s="3"/>
      <c r="I350" s="2"/>
      <c r="J350" s="2" t="s">
        <v>15048</v>
      </c>
      <c r="K350" s="2"/>
      <c r="L350" s="246" t="s">
        <v>22734</v>
      </c>
    </row>
    <row r="351" spans="1:12" ht="72" customHeight="1" x14ac:dyDescent="0.3">
      <c r="A351" s="2">
        <v>347</v>
      </c>
      <c r="B351" s="245" t="s">
        <v>22911</v>
      </c>
      <c r="C351" s="66" t="s">
        <v>22887</v>
      </c>
      <c r="D351" s="244">
        <v>118191</v>
      </c>
      <c r="E351" s="244">
        <v>1969.86</v>
      </c>
      <c r="F351" s="243">
        <v>43452</v>
      </c>
      <c r="G351" s="242" t="s">
        <v>22863</v>
      </c>
      <c r="H351" s="3"/>
      <c r="I351" s="2"/>
      <c r="J351" s="2" t="s">
        <v>15048</v>
      </c>
      <c r="K351" s="2"/>
      <c r="L351" s="246" t="s">
        <v>22734</v>
      </c>
    </row>
    <row r="352" spans="1:12" ht="72" customHeight="1" x14ac:dyDescent="0.3">
      <c r="A352" s="2">
        <v>348</v>
      </c>
      <c r="B352" s="245" t="s">
        <v>22912</v>
      </c>
      <c r="C352" s="66" t="s">
        <v>22888</v>
      </c>
      <c r="D352" s="244">
        <v>118191</v>
      </c>
      <c r="E352" s="244">
        <v>1969.86</v>
      </c>
      <c r="F352" s="243">
        <v>43452</v>
      </c>
      <c r="G352" s="242" t="s">
        <v>22863</v>
      </c>
      <c r="H352" s="3"/>
      <c r="I352" s="2"/>
      <c r="J352" s="2" t="s">
        <v>15048</v>
      </c>
      <c r="K352" s="2"/>
      <c r="L352" s="246" t="s">
        <v>22734</v>
      </c>
    </row>
    <row r="353" spans="1:12" ht="72" customHeight="1" x14ac:dyDescent="0.3">
      <c r="A353" s="2">
        <v>349</v>
      </c>
      <c r="B353" s="245" t="s">
        <v>22913</v>
      </c>
      <c r="C353" s="66"/>
      <c r="D353" s="11">
        <v>171828.08</v>
      </c>
      <c r="E353" s="11">
        <v>2863.8</v>
      </c>
      <c r="F353" s="243">
        <v>43452</v>
      </c>
      <c r="G353" s="242" t="s">
        <v>22923</v>
      </c>
      <c r="H353" s="3"/>
      <c r="I353" s="2"/>
      <c r="J353" s="2" t="s">
        <v>15048</v>
      </c>
      <c r="K353" s="2"/>
      <c r="L353" s="246" t="s">
        <v>22734</v>
      </c>
    </row>
    <row r="354" spans="1:12" ht="72" customHeight="1" x14ac:dyDescent="0.3">
      <c r="A354" s="2">
        <v>350</v>
      </c>
      <c r="B354" s="66" t="s">
        <v>22914</v>
      </c>
      <c r="C354" s="66"/>
      <c r="D354" s="244">
        <v>171828.08</v>
      </c>
      <c r="E354" s="244">
        <v>2863.8</v>
      </c>
      <c r="F354" s="243">
        <v>43452</v>
      </c>
      <c r="G354" s="242" t="s">
        <v>22923</v>
      </c>
      <c r="H354" s="3"/>
      <c r="I354" s="2"/>
      <c r="J354" s="2" t="s">
        <v>15048</v>
      </c>
      <c r="K354" s="2"/>
      <c r="L354" s="246" t="s">
        <v>22734</v>
      </c>
    </row>
    <row r="355" spans="1:12" ht="72" customHeight="1" x14ac:dyDescent="0.3">
      <c r="A355" s="2">
        <v>351</v>
      </c>
      <c r="B355" s="245" t="s">
        <v>22915</v>
      </c>
      <c r="C355" s="66"/>
      <c r="D355" s="244">
        <v>171828.08</v>
      </c>
      <c r="E355" s="244">
        <v>2863.8</v>
      </c>
      <c r="F355" s="243">
        <v>43452</v>
      </c>
      <c r="G355" s="242" t="s">
        <v>22923</v>
      </c>
      <c r="H355" s="3"/>
      <c r="I355" s="2"/>
      <c r="J355" s="2" t="s">
        <v>15048</v>
      </c>
      <c r="K355" s="2"/>
      <c r="L355" s="246" t="s">
        <v>22734</v>
      </c>
    </row>
    <row r="356" spans="1:12" ht="72" customHeight="1" x14ac:dyDescent="0.3">
      <c r="A356" s="2">
        <v>352</v>
      </c>
      <c r="B356" s="66" t="s">
        <v>22922</v>
      </c>
      <c r="C356" s="66"/>
      <c r="D356" s="244">
        <v>171828.08</v>
      </c>
      <c r="E356" s="244">
        <v>2863.8</v>
      </c>
      <c r="F356" s="243">
        <v>43452</v>
      </c>
      <c r="G356" s="242" t="s">
        <v>22923</v>
      </c>
      <c r="H356" s="3"/>
      <c r="I356" s="2"/>
      <c r="J356" s="2" t="s">
        <v>15048</v>
      </c>
      <c r="K356" s="2"/>
      <c r="L356" s="246" t="s">
        <v>22734</v>
      </c>
    </row>
    <row r="357" spans="1:12" ht="72" customHeight="1" x14ac:dyDescent="0.3">
      <c r="A357" s="2">
        <v>353</v>
      </c>
      <c r="B357" s="66" t="s">
        <v>22916</v>
      </c>
      <c r="C357" s="66"/>
      <c r="D357" s="244">
        <v>171828.08</v>
      </c>
      <c r="E357" s="244">
        <v>2863.8</v>
      </c>
      <c r="F357" s="243">
        <v>43452</v>
      </c>
      <c r="G357" s="242" t="s">
        <v>22923</v>
      </c>
      <c r="H357" s="3"/>
      <c r="I357" s="2"/>
      <c r="J357" s="2" t="s">
        <v>15048</v>
      </c>
      <c r="K357" s="2"/>
      <c r="L357" s="246" t="s">
        <v>22734</v>
      </c>
    </row>
    <row r="358" spans="1:12" ht="72" customHeight="1" x14ac:dyDescent="0.3">
      <c r="A358" s="2">
        <v>354</v>
      </c>
      <c r="B358" s="245" t="s">
        <v>22917</v>
      </c>
      <c r="C358" s="66"/>
      <c r="D358" s="244">
        <v>171828.08</v>
      </c>
      <c r="E358" s="244">
        <v>2863.8</v>
      </c>
      <c r="F358" s="243">
        <v>43452</v>
      </c>
      <c r="G358" s="242" t="s">
        <v>22923</v>
      </c>
      <c r="H358" s="3"/>
      <c r="I358" s="2"/>
      <c r="J358" s="2" t="s">
        <v>15048</v>
      </c>
      <c r="K358" s="2"/>
      <c r="L358" s="246" t="s">
        <v>22734</v>
      </c>
    </row>
    <row r="359" spans="1:12" ht="72" customHeight="1" x14ac:dyDescent="0.3">
      <c r="A359" s="2">
        <v>355</v>
      </c>
      <c r="B359" s="245" t="s">
        <v>22918</v>
      </c>
      <c r="C359" s="66"/>
      <c r="D359" s="244">
        <v>171828.08</v>
      </c>
      <c r="E359" s="244">
        <v>2863.8</v>
      </c>
      <c r="F359" s="243">
        <v>43452</v>
      </c>
      <c r="G359" s="242" t="s">
        <v>22923</v>
      </c>
      <c r="H359" s="3"/>
      <c r="I359" s="2"/>
      <c r="J359" s="2" t="s">
        <v>15048</v>
      </c>
      <c r="K359" s="2"/>
      <c r="L359" s="246" t="s">
        <v>22734</v>
      </c>
    </row>
    <row r="360" spans="1:12" ht="72" customHeight="1" x14ac:dyDescent="0.3">
      <c r="A360" s="2">
        <v>356</v>
      </c>
      <c r="B360" s="245" t="s">
        <v>22919</v>
      </c>
      <c r="C360" s="66"/>
      <c r="D360" s="244">
        <v>171828.08</v>
      </c>
      <c r="E360" s="244">
        <v>2863.8</v>
      </c>
      <c r="F360" s="243">
        <v>43452</v>
      </c>
      <c r="G360" s="242" t="s">
        <v>22923</v>
      </c>
      <c r="H360" s="3"/>
      <c r="I360" s="2"/>
      <c r="J360" s="2" t="s">
        <v>15048</v>
      </c>
      <c r="K360" s="2"/>
      <c r="L360" s="246" t="s">
        <v>22734</v>
      </c>
    </row>
    <row r="361" spans="1:12" ht="72" customHeight="1" x14ac:dyDescent="0.3">
      <c r="A361" s="2">
        <v>357</v>
      </c>
      <c r="B361" s="245" t="s">
        <v>22920</v>
      </c>
      <c r="C361" s="66"/>
      <c r="D361" s="244">
        <v>171828.08</v>
      </c>
      <c r="E361" s="244">
        <v>2863.8</v>
      </c>
      <c r="F361" s="243">
        <v>43452</v>
      </c>
      <c r="G361" s="242" t="s">
        <v>22923</v>
      </c>
      <c r="H361" s="3"/>
      <c r="I361" s="2"/>
      <c r="J361" s="2" t="s">
        <v>15048</v>
      </c>
      <c r="K361" s="2"/>
      <c r="L361" s="246" t="s">
        <v>22734</v>
      </c>
    </row>
    <row r="362" spans="1:12" ht="72" customHeight="1" x14ac:dyDescent="0.3">
      <c r="A362" s="2">
        <v>358</v>
      </c>
      <c r="B362" s="245" t="s">
        <v>22921</v>
      </c>
      <c r="C362" s="66"/>
      <c r="D362" s="244">
        <v>171828.08</v>
      </c>
      <c r="E362" s="244">
        <v>2863.8</v>
      </c>
      <c r="F362" s="243">
        <v>43452</v>
      </c>
      <c r="G362" s="242" t="s">
        <v>22923</v>
      </c>
      <c r="H362" s="3"/>
      <c r="I362" s="2"/>
      <c r="J362" s="2" t="s">
        <v>15048</v>
      </c>
      <c r="K362" s="2"/>
      <c r="L362" s="246" t="s">
        <v>22734</v>
      </c>
    </row>
    <row r="363" spans="1:12" ht="72" customHeight="1" x14ac:dyDescent="0.3">
      <c r="A363" s="2">
        <v>359</v>
      </c>
      <c r="B363" s="66" t="s">
        <v>23118</v>
      </c>
      <c r="C363" s="66" t="s">
        <v>23119</v>
      </c>
      <c r="D363" s="11">
        <v>59591.69</v>
      </c>
      <c r="E363" s="11">
        <v>59591.69</v>
      </c>
      <c r="F363" s="3" t="s">
        <v>23120</v>
      </c>
      <c r="G363" s="2" t="s">
        <v>23121</v>
      </c>
      <c r="H363" s="3"/>
      <c r="I363" s="2"/>
      <c r="J363" s="2" t="s">
        <v>15048</v>
      </c>
      <c r="K363" s="2"/>
      <c r="L363" s="82" t="s">
        <v>23124</v>
      </c>
    </row>
    <row r="364" spans="1:12" ht="72" customHeight="1" x14ac:dyDescent="0.3">
      <c r="A364" s="2">
        <v>360</v>
      </c>
      <c r="B364" s="66" t="s">
        <v>23122</v>
      </c>
      <c r="C364" s="245" t="s">
        <v>23123</v>
      </c>
      <c r="D364" s="11">
        <v>60000</v>
      </c>
      <c r="E364" s="11">
        <v>60000</v>
      </c>
      <c r="F364" s="243" t="s">
        <v>23120</v>
      </c>
      <c r="G364" s="242" t="s">
        <v>23121</v>
      </c>
      <c r="H364" s="3"/>
      <c r="I364" s="2"/>
      <c r="J364" s="2" t="s">
        <v>15048</v>
      </c>
      <c r="K364" s="2"/>
      <c r="L364" s="246" t="s">
        <v>23124</v>
      </c>
    </row>
    <row r="365" spans="1:12" ht="72" customHeight="1" x14ac:dyDescent="0.3">
      <c r="A365" s="2">
        <v>361</v>
      </c>
      <c r="B365" s="66" t="s">
        <v>23126</v>
      </c>
      <c r="C365" s="66" t="s">
        <v>23125</v>
      </c>
      <c r="D365" s="11">
        <v>285398.46000000002</v>
      </c>
      <c r="E365" s="11">
        <v>2378.3200000000002</v>
      </c>
      <c r="F365" s="3" t="s">
        <v>23004</v>
      </c>
      <c r="G365" s="2" t="s">
        <v>23127</v>
      </c>
      <c r="H365" s="3"/>
      <c r="I365" s="2"/>
      <c r="J365" s="2" t="s">
        <v>15048</v>
      </c>
      <c r="K365" s="2"/>
      <c r="L365" s="246" t="s">
        <v>23128</v>
      </c>
    </row>
    <row r="366" spans="1:12" ht="72" customHeight="1" x14ac:dyDescent="0.3">
      <c r="A366" s="2">
        <v>362</v>
      </c>
      <c r="B366" s="66" t="s">
        <v>23130</v>
      </c>
      <c r="C366" s="66" t="s">
        <v>23129</v>
      </c>
      <c r="D366" s="11">
        <v>191310.36</v>
      </c>
      <c r="E366" s="11">
        <v>1594.25</v>
      </c>
      <c r="F366" s="243" t="s">
        <v>23004</v>
      </c>
      <c r="G366" s="242" t="s">
        <v>23127</v>
      </c>
      <c r="H366" s="3"/>
      <c r="I366" s="2"/>
      <c r="J366" s="2" t="s">
        <v>15048</v>
      </c>
      <c r="K366" s="2"/>
      <c r="L366" s="246" t="s">
        <v>23128</v>
      </c>
    </row>
    <row r="367" spans="1:12" ht="84" x14ac:dyDescent="0.3">
      <c r="A367" s="2">
        <v>363</v>
      </c>
      <c r="B367" s="66" t="s">
        <v>23177</v>
      </c>
      <c r="C367" s="66">
        <v>21012600007</v>
      </c>
      <c r="D367" s="11">
        <v>215915</v>
      </c>
      <c r="E367" s="11"/>
      <c r="F367" s="3">
        <v>43344</v>
      </c>
      <c r="G367" s="2" t="s">
        <v>23178</v>
      </c>
      <c r="H367" s="3"/>
      <c r="I367" s="2"/>
      <c r="J367" s="2" t="s">
        <v>14091</v>
      </c>
      <c r="K367" s="2" t="s">
        <v>23179</v>
      </c>
      <c r="L367" s="82" t="s">
        <v>23223</v>
      </c>
    </row>
    <row r="368" spans="1:12" ht="84" x14ac:dyDescent="0.3">
      <c r="A368" s="2">
        <v>364</v>
      </c>
      <c r="B368" s="66" t="s">
        <v>23180</v>
      </c>
      <c r="C368" s="66">
        <v>41012800007</v>
      </c>
      <c r="D368" s="11">
        <v>467967.5</v>
      </c>
      <c r="E368" s="11"/>
      <c r="F368" s="3">
        <v>43418</v>
      </c>
      <c r="G368" s="242" t="s">
        <v>23181</v>
      </c>
      <c r="H368" s="3"/>
      <c r="I368" s="2"/>
      <c r="J368" s="242" t="s">
        <v>14091</v>
      </c>
      <c r="K368" s="242" t="s">
        <v>23179</v>
      </c>
      <c r="L368" s="246" t="s">
        <v>23223</v>
      </c>
    </row>
    <row r="369" spans="1:12" ht="84" x14ac:dyDescent="0.3">
      <c r="A369" s="2">
        <v>365</v>
      </c>
      <c r="B369" s="66" t="s">
        <v>23182</v>
      </c>
      <c r="C369" s="245">
        <v>41012800006</v>
      </c>
      <c r="D369" s="11">
        <v>76212.490000000005</v>
      </c>
      <c r="E369" s="11"/>
      <c r="F369" s="3">
        <v>43418</v>
      </c>
      <c r="G369" s="242" t="s">
        <v>23183</v>
      </c>
      <c r="H369" s="3"/>
      <c r="I369" s="2"/>
      <c r="J369" s="242" t="s">
        <v>14091</v>
      </c>
      <c r="K369" s="242" t="s">
        <v>23179</v>
      </c>
      <c r="L369" s="246" t="s">
        <v>23223</v>
      </c>
    </row>
    <row r="370" spans="1:12" ht="84" x14ac:dyDescent="0.3">
      <c r="A370" s="2">
        <v>366</v>
      </c>
      <c r="B370" s="66" t="s">
        <v>23184</v>
      </c>
      <c r="C370" s="66">
        <v>41013600208</v>
      </c>
      <c r="D370" s="11">
        <v>46567.13</v>
      </c>
      <c r="E370" s="11"/>
      <c r="F370" s="3">
        <v>42921</v>
      </c>
      <c r="G370" s="242" t="s">
        <v>23185</v>
      </c>
      <c r="H370" s="3"/>
      <c r="I370" s="2"/>
      <c r="J370" s="242" t="s">
        <v>14091</v>
      </c>
      <c r="K370" s="242" t="s">
        <v>23179</v>
      </c>
      <c r="L370" s="246" t="s">
        <v>23223</v>
      </c>
    </row>
    <row r="371" spans="1:12" ht="84" x14ac:dyDescent="0.3">
      <c r="A371" s="2">
        <v>367</v>
      </c>
      <c r="B371" s="245" t="s">
        <v>23186</v>
      </c>
      <c r="C371" s="245">
        <v>41013600207</v>
      </c>
      <c r="D371" s="244">
        <v>46567.13</v>
      </c>
      <c r="E371" s="11"/>
      <c r="F371" s="243">
        <v>42921</v>
      </c>
      <c r="G371" s="242" t="s">
        <v>23185</v>
      </c>
      <c r="H371" s="3"/>
      <c r="I371" s="2"/>
      <c r="J371" s="242" t="s">
        <v>14091</v>
      </c>
      <c r="K371" s="242" t="s">
        <v>23179</v>
      </c>
      <c r="L371" s="246" t="s">
        <v>23223</v>
      </c>
    </row>
    <row r="372" spans="1:12" ht="84" x14ac:dyDescent="0.3">
      <c r="A372" s="2">
        <v>368</v>
      </c>
      <c r="B372" s="245" t="s">
        <v>23187</v>
      </c>
      <c r="C372" s="66">
        <v>41013600206</v>
      </c>
      <c r="D372" s="244">
        <v>46567.13</v>
      </c>
      <c r="E372" s="11"/>
      <c r="F372" s="243">
        <v>42921</v>
      </c>
      <c r="G372" s="242" t="s">
        <v>23185</v>
      </c>
      <c r="H372" s="3"/>
      <c r="I372" s="2"/>
      <c r="J372" s="242" t="s">
        <v>14091</v>
      </c>
      <c r="K372" s="242" t="s">
        <v>23179</v>
      </c>
      <c r="L372" s="246" t="s">
        <v>23223</v>
      </c>
    </row>
    <row r="373" spans="1:12" ht="84" x14ac:dyDescent="0.3">
      <c r="A373" s="2">
        <v>369</v>
      </c>
      <c r="B373" s="245" t="s">
        <v>23187</v>
      </c>
      <c r="C373" s="245">
        <v>41013600205</v>
      </c>
      <c r="D373" s="244">
        <v>46567.13</v>
      </c>
      <c r="E373" s="11"/>
      <c r="F373" s="243">
        <v>42921</v>
      </c>
      <c r="G373" s="242" t="s">
        <v>23185</v>
      </c>
      <c r="H373" s="3"/>
      <c r="I373" s="2"/>
      <c r="J373" s="242" t="s">
        <v>14091</v>
      </c>
      <c r="K373" s="242" t="s">
        <v>23179</v>
      </c>
      <c r="L373" s="246" t="s">
        <v>23223</v>
      </c>
    </row>
    <row r="374" spans="1:12" ht="84" x14ac:dyDescent="0.3">
      <c r="A374" s="2">
        <v>370</v>
      </c>
      <c r="B374" s="66" t="s">
        <v>23188</v>
      </c>
      <c r="C374" s="66">
        <v>41013600161</v>
      </c>
      <c r="D374" s="11">
        <v>17188.88</v>
      </c>
      <c r="E374" s="11"/>
      <c r="F374" s="243">
        <v>42921</v>
      </c>
      <c r="G374" s="242" t="s">
        <v>23185</v>
      </c>
      <c r="H374" s="3"/>
      <c r="I374" s="2"/>
      <c r="J374" s="242" t="s">
        <v>14091</v>
      </c>
      <c r="K374" s="242" t="s">
        <v>23179</v>
      </c>
      <c r="L374" s="246" t="s">
        <v>23223</v>
      </c>
    </row>
    <row r="375" spans="1:12" ht="84" x14ac:dyDescent="0.3">
      <c r="A375" s="2">
        <v>371</v>
      </c>
      <c r="B375" s="245" t="s">
        <v>23189</v>
      </c>
      <c r="C375" s="245">
        <v>41013600160</v>
      </c>
      <c r="D375" s="244">
        <v>17188.88</v>
      </c>
      <c r="E375" s="11"/>
      <c r="F375" s="243">
        <v>42921</v>
      </c>
      <c r="G375" s="242" t="s">
        <v>23185</v>
      </c>
      <c r="H375" s="3"/>
      <c r="I375" s="2"/>
      <c r="J375" s="242" t="s">
        <v>14091</v>
      </c>
      <c r="K375" s="242" t="s">
        <v>23179</v>
      </c>
      <c r="L375" s="246" t="s">
        <v>23223</v>
      </c>
    </row>
    <row r="376" spans="1:12" ht="84" x14ac:dyDescent="0.3">
      <c r="A376" s="2">
        <v>372</v>
      </c>
      <c r="B376" s="245" t="s">
        <v>23190</v>
      </c>
      <c r="C376" s="66">
        <v>41013600193</v>
      </c>
      <c r="D376" s="244">
        <v>17188.88</v>
      </c>
      <c r="E376" s="11"/>
      <c r="F376" s="243">
        <v>42921</v>
      </c>
      <c r="G376" s="242" t="s">
        <v>23185</v>
      </c>
      <c r="H376" s="3"/>
      <c r="I376" s="2"/>
      <c r="J376" s="242" t="s">
        <v>14091</v>
      </c>
      <c r="K376" s="242" t="s">
        <v>23179</v>
      </c>
      <c r="L376" s="246" t="s">
        <v>23223</v>
      </c>
    </row>
    <row r="377" spans="1:12" ht="84" x14ac:dyDescent="0.3">
      <c r="A377" s="2">
        <v>373</v>
      </c>
      <c r="B377" s="245" t="s">
        <v>23191</v>
      </c>
      <c r="C377" s="66">
        <v>41013600192</v>
      </c>
      <c r="D377" s="244">
        <v>17188.88</v>
      </c>
      <c r="E377" s="11"/>
      <c r="F377" s="243">
        <v>42921</v>
      </c>
      <c r="G377" s="242" t="s">
        <v>23185</v>
      </c>
      <c r="H377" s="3"/>
      <c r="I377" s="2"/>
      <c r="J377" s="242" t="s">
        <v>14091</v>
      </c>
      <c r="K377" s="242" t="s">
        <v>23179</v>
      </c>
      <c r="L377" s="246" t="s">
        <v>23223</v>
      </c>
    </row>
    <row r="378" spans="1:12" ht="84" x14ac:dyDescent="0.3">
      <c r="A378" s="2">
        <v>374</v>
      </c>
      <c r="B378" s="245" t="s">
        <v>23192</v>
      </c>
      <c r="C378" s="66">
        <v>41013600191</v>
      </c>
      <c r="D378" s="244">
        <v>17188.88</v>
      </c>
      <c r="E378" s="11"/>
      <c r="F378" s="243">
        <v>42921</v>
      </c>
      <c r="G378" s="242" t="s">
        <v>23185</v>
      </c>
      <c r="H378" s="3"/>
      <c r="I378" s="2"/>
      <c r="J378" s="242" t="s">
        <v>14091</v>
      </c>
      <c r="K378" s="242" t="s">
        <v>23179</v>
      </c>
      <c r="L378" s="246" t="s">
        <v>23223</v>
      </c>
    </row>
    <row r="379" spans="1:12" ht="84" x14ac:dyDescent="0.3">
      <c r="A379" s="2">
        <v>375</v>
      </c>
      <c r="B379" s="66" t="s">
        <v>23193</v>
      </c>
      <c r="C379" s="66">
        <v>41013600184</v>
      </c>
      <c r="D379" s="11">
        <v>11434.5</v>
      </c>
      <c r="E379" s="11"/>
      <c r="F379" s="243">
        <v>42921</v>
      </c>
      <c r="G379" s="242" t="s">
        <v>23185</v>
      </c>
      <c r="H379" s="3"/>
      <c r="I379" s="2"/>
      <c r="J379" s="242" t="s">
        <v>14091</v>
      </c>
      <c r="K379" s="242" t="s">
        <v>23179</v>
      </c>
      <c r="L379" s="246" t="s">
        <v>23223</v>
      </c>
    </row>
    <row r="380" spans="1:12" ht="84" x14ac:dyDescent="0.3">
      <c r="A380" s="2">
        <v>376</v>
      </c>
      <c r="B380" s="245" t="s">
        <v>23194</v>
      </c>
      <c r="C380" s="245">
        <v>41013600183</v>
      </c>
      <c r="D380" s="244">
        <v>11434.5</v>
      </c>
      <c r="E380" s="11"/>
      <c r="F380" s="243">
        <v>42921</v>
      </c>
      <c r="G380" s="242" t="s">
        <v>23185</v>
      </c>
      <c r="H380" s="3"/>
      <c r="I380" s="2"/>
      <c r="J380" s="242" t="s">
        <v>14091</v>
      </c>
      <c r="K380" s="242" t="s">
        <v>23179</v>
      </c>
      <c r="L380" s="246" t="s">
        <v>23223</v>
      </c>
    </row>
    <row r="381" spans="1:12" ht="84" x14ac:dyDescent="0.3">
      <c r="A381" s="2">
        <v>377</v>
      </c>
      <c r="B381" s="66" t="s">
        <v>23195</v>
      </c>
      <c r="C381" s="66">
        <v>41013600159</v>
      </c>
      <c r="D381" s="11">
        <v>38597.629999999997</v>
      </c>
      <c r="E381" s="11"/>
      <c r="F381" s="243">
        <v>42921</v>
      </c>
      <c r="G381" s="242" t="s">
        <v>23185</v>
      </c>
      <c r="H381" s="3"/>
      <c r="I381" s="2"/>
      <c r="J381" s="242" t="s">
        <v>14091</v>
      </c>
      <c r="K381" s="242" t="s">
        <v>23179</v>
      </c>
      <c r="L381" s="246" t="s">
        <v>23223</v>
      </c>
    </row>
    <row r="382" spans="1:12" ht="84" x14ac:dyDescent="0.3">
      <c r="A382" s="2">
        <v>378</v>
      </c>
      <c r="B382" s="245" t="s">
        <v>23196</v>
      </c>
      <c r="C382" s="66">
        <v>41013600182</v>
      </c>
      <c r="D382" s="244">
        <v>38597.629999999997</v>
      </c>
      <c r="E382" s="11"/>
      <c r="F382" s="243">
        <v>42921</v>
      </c>
      <c r="G382" s="242" t="s">
        <v>23185</v>
      </c>
      <c r="H382" s="3"/>
      <c r="I382" s="2"/>
      <c r="J382" s="242" t="s">
        <v>14091</v>
      </c>
      <c r="K382" s="242" t="s">
        <v>23179</v>
      </c>
      <c r="L382" s="246" t="s">
        <v>23223</v>
      </c>
    </row>
    <row r="383" spans="1:12" ht="84" x14ac:dyDescent="0.3">
      <c r="A383" s="2">
        <v>379</v>
      </c>
      <c r="B383" s="245" t="s">
        <v>23197</v>
      </c>
      <c r="C383" s="245">
        <v>41013600181</v>
      </c>
      <c r="D383" s="244">
        <v>38597.629999999997</v>
      </c>
      <c r="E383" s="11"/>
      <c r="F383" s="243">
        <v>42921</v>
      </c>
      <c r="G383" s="242" t="s">
        <v>23185</v>
      </c>
      <c r="H383" s="3"/>
      <c r="I383" s="2"/>
      <c r="J383" s="242" t="s">
        <v>14091</v>
      </c>
      <c r="K383" s="242" t="s">
        <v>23179</v>
      </c>
      <c r="L383" s="246" t="s">
        <v>23223</v>
      </c>
    </row>
    <row r="384" spans="1:12" ht="84" x14ac:dyDescent="0.3">
      <c r="A384" s="2">
        <v>380</v>
      </c>
      <c r="B384" s="66" t="s">
        <v>23198</v>
      </c>
      <c r="C384" s="245">
        <v>41013600178</v>
      </c>
      <c r="D384" s="11">
        <v>26544.38</v>
      </c>
      <c r="E384" s="11"/>
      <c r="F384" s="243">
        <v>42921</v>
      </c>
      <c r="G384" s="242" t="s">
        <v>23185</v>
      </c>
      <c r="H384" s="3"/>
      <c r="I384" s="2"/>
      <c r="J384" s="242" t="s">
        <v>14091</v>
      </c>
      <c r="K384" s="242" t="s">
        <v>23179</v>
      </c>
      <c r="L384" s="246" t="s">
        <v>23223</v>
      </c>
    </row>
    <row r="385" spans="1:12" ht="84" x14ac:dyDescent="0.3">
      <c r="A385" s="2">
        <v>381</v>
      </c>
      <c r="B385" s="66" t="s">
        <v>23208</v>
      </c>
      <c r="C385" s="66">
        <v>41013600218</v>
      </c>
      <c r="D385" s="11">
        <v>38350.129999999997</v>
      </c>
      <c r="E385" s="11"/>
      <c r="F385" s="243">
        <v>42921</v>
      </c>
      <c r="G385" s="242" t="s">
        <v>23185</v>
      </c>
      <c r="H385" s="3"/>
      <c r="I385" s="2"/>
      <c r="J385" s="242" t="s">
        <v>14091</v>
      </c>
      <c r="K385" s="242" t="s">
        <v>23179</v>
      </c>
      <c r="L385" s="246" t="s">
        <v>23223</v>
      </c>
    </row>
    <row r="386" spans="1:12" ht="84" x14ac:dyDescent="0.3">
      <c r="A386" s="2">
        <v>382</v>
      </c>
      <c r="B386" s="245" t="s">
        <v>23206</v>
      </c>
      <c r="C386" s="245">
        <v>41013600217</v>
      </c>
      <c r="D386" s="244">
        <v>38350.129999999997</v>
      </c>
      <c r="E386" s="11"/>
      <c r="F386" s="243">
        <v>42921</v>
      </c>
      <c r="G386" s="242" t="s">
        <v>23185</v>
      </c>
      <c r="H386" s="3"/>
      <c r="I386" s="2"/>
      <c r="J386" s="242" t="s">
        <v>14091</v>
      </c>
      <c r="K386" s="242" t="s">
        <v>23179</v>
      </c>
      <c r="L386" s="246" t="s">
        <v>23223</v>
      </c>
    </row>
    <row r="387" spans="1:12" ht="84" x14ac:dyDescent="0.3">
      <c r="A387" s="2">
        <v>383</v>
      </c>
      <c r="B387" s="245" t="s">
        <v>23207</v>
      </c>
      <c r="C387" s="245">
        <v>41013600216</v>
      </c>
      <c r="D387" s="244">
        <v>38350.129999999997</v>
      </c>
      <c r="E387" s="11"/>
      <c r="F387" s="243">
        <v>42921</v>
      </c>
      <c r="G387" s="242" t="s">
        <v>23185</v>
      </c>
      <c r="H387" s="3"/>
      <c r="I387" s="2"/>
      <c r="J387" s="242" t="s">
        <v>14091</v>
      </c>
      <c r="K387" s="242" t="s">
        <v>23179</v>
      </c>
      <c r="L387" s="246" t="s">
        <v>23223</v>
      </c>
    </row>
    <row r="388" spans="1:12" ht="84" x14ac:dyDescent="0.3">
      <c r="A388" s="2">
        <v>384</v>
      </c>
      <c r="B388" s="245" t="s">
        <v>23199</v>
      </c>
      <c r="C388" s="66">
        <v>41013600214</v>
      </c>
      <c r="D388" s="244">
        <v>38350.129999999997</v>
      </c>
      <c r="E388" s="11"/>
      <c r="F388" s="243">
        <v>42921</v>
      </c>
      <c r="G388" s="242" t="s">
        <v>23185</v>
      </c>
      <c r="H388" s="3"/>
      <c r="I388" s="2"/>
      <c r="J388" s="242" t="s">
        <v>14091</v>
      </c>
      <c r="K388" s="242" t="s">
        <v>23179</v>
      </c>
      <c r="L388" s="246" t="s">
        <v>23223</v>
      </c>
    </row>
    <row r="389" spans="1:12" ht="84" x14ac:dyDescent="0.3">
      <c r="A389" s="2">
        <v>385</v>
      </c>
      <c r="B389" s="245" t="s">
        <v>23200</v>
      </c>
      <c r="C389" s="245">
        <v>41013600213</v>
      </c>
      <c r="D389" s="244">
        <v>38350.129999999997</v>
      </c>
      <c r="E389" s="11"/>
      <c r="F389" s="243">
        <v>42921</v>
      </c>
      <c r="G389" s="242" t="s">
        <v>23185</v>
      </c>
      <c r="H389" s="3"/>
      <c r="I389" s="2"/>
      <c r="J389" s="242" t="s">
        <v>14091</v>
      </c>
      <c r="K389" s="242" t="s">
        <v>23179</v>
      </c>
      <c r="L389" s="246" t="s">
        <v>23223</v>
      </c>
    </row>
    <row r="390" spans="1:12" ht="72" customHeight="1" x14ac:dyDescent="0.3">
      <c r="A390" s="2">
        <v>386</v>
      </c>
      <c r="B390" s="66" t="s">
        <v>255</v>
      </c>
      <c r="C390" s="66" t="s">
        <v>347</v>
      </c>
      <c r="D390" s="11">
        <v>78950</v>
      </c>
      <c r="E390" s="11">
        <v>78950</v>
      </c>
      <c r="F390" s="3">
        <v>41180</v>
      </c>
      <c r="G390" s="2" t="s">
        <v>20212</v>
      </c>
      <c r="H390" s="2"/>
      <c r="I390" s="2"/>
      <c r="J390" s="2" t="s">
        <v>15048</v>
      </c>
      <c r="K390" s="2"/>
      <c r="L390" s="82"/>
    </row>
    <row r="391" spans="1:12" ht="84" x14ac:dyDescent="0.3">
      <c r="A391" s="2">
        <v>387</v>
      </c>
      <c r="B391" s="245" t="s">
        <v>23201</v>
      </c>
      <c r="C391" s="245">
        <v>41013600212</v>
      </c>
      <c r="D391" s="244">
        <v>38350.129999999997</v>
      </c>
      <c r="E391" s="11"/>
      <c r="F391" s="243">
        <v>42921</v>
      </c>
      <c r="G391" s="242" t="s">
        <v>23185</v>
      </c>
      <c r="H391" s="3"/>
      <c r="I391" s="2"/>
      <c r="J391" s="242" t="s">
        <v>14091</v>
      </c>
      <c r="K391" s="242" t="s">
        <v>23179</v>
      </c>
      <c r="L391" s="246" t="s">
        <v>23223</v>
      </c>
    </row>
    <row r="392" spans="1:12" ht="84" x14ac:dyDescent="0.3">
      <c r="A392" s="2">
        <v>388</v>
      </c>
      <c r="B392" s="66" t="s">
        <v>23202</v>
      </c>
      <c r="C392" s="245">
        <v>41013600210</v>
      </c>
      <c r="D392" s="11">
        <v>30368.25</v>
      </c>
      <c r="E392" s="11"/>
      <c r="F392" s="243">
        <v>42921</v>
      </c>
      <c r="G392" s="242" t="s">
        <v>23185</v>
      </c>
      <c r="H392" s="3"/>
      <c r="I392" s="2"/>
      <c r="J392" s="242" t="s">
        <v>14091</v>
      </c>
      <c r="K392" s="242" t="s">
        <v>23179</v>
      </c>
      <c r="L392" s="246" t="s">
        <v>23223</v>
      </c>
    </row>
    <row r="393" spans="1:12" ht="84" x14ac:dyDescent="0.3">
      <c r="A393" s="2">
        <v>389</v>
      </c>
      <c r="B393" s="66" t="s">
        <v>23203</v>
      </c>
      <c r="C393" s="66">
        <v>41013600204</v>
      </c>
      <c r="D393" s="11">
        <v>7709.63</v>
      </c>
      <c r="E393" s="11"/>
      <c r="F393" s="243">
        <v>42921</v>
      </c>
      <c r="G393" s="242" t="s">
        <v>23185</v>
      </c>
      <c r="H393" s="3"/>
      <c r="I393" s="2"/>
      <c r="J393" s="242" t="s">
        <v>14091</v>
      </c>
      <c r="K393" s="242" t="s">
        <v>23179</v>
      </c>
      <c r="L393" s="246" t="s">
        <v>23223</v>
      </c>
    </row>
    <row r="394" spans="1:12" ht="84" x14ac:dyDescent="0.3">
      <c r="A394" s="2">
        <v>390</v>
      </c>
      <c r="B394" s="245" t="s">
        <v>23204</v>
      </c>
      <c r="C394" s="66">
        <v>41013600203</v>
      </c>
      <c r="D394" s="244">
        <v>7709.63</v>
      </c>
      <c r="E394" s="11"/>
      <c r="F394" s="243">
        <v>42921</v>
      </c>
      <c r="G394" s="242" t="s">
        <v>23185</v>
      </c>
      <c r="H394" s="3"/>
      <c r="I394" s="2"/>
      <c r="J394" s="242" t="s">
        <v>14091</v>
      </c>
      <c r="K394" s="242" t="s">
        <v>23179</v>
      </c>
      <c r="L394" s="246" t="s">
        <v>23223</v>
      </c>
    </row>
    <row r="395" spans="1:12" ht="84" x14ac:dyDescent="0.3">
      <c r="A395" s="2">
        <v>391</v>
      </c>
      <c r="B395" s="245" t="s">
        <v>23205</v>
      </c>
      <c r="C395" s="245">
        <v>41013600202</v>
      </c>
      <c r="D395" s="244">
        <v>7709.63</v>
      </c>
      <c r="E395" s="11"/>
      <c r="F395" s="243">
        <v>42921</v>
      </c>
      <c r="G395" s="242" t="s">
        <v>23185</v>
      </c>
      <c r="H395" s="3"/>
      <c r="I395" s="2"/>
      <c r="J395" s="242" t="s">
        <v>14091</v>
      </c>
      <c r="K395" s="242" t="s">
        <v>23179</v>
      </c>
      <c r="L395" s="246" t="s">
        <v>23223</v>
      </c>
    </row>
    <row r="396" spans="1:12" ht="72" customHeight="1" x14ac:dyDescent="0.3">
      <c r="A396" s="2">
        <v>392</v>
      </c>
      <c r="B396" s="66" t="s">
        <v>257</v>
      </c>
      <c r="C396" s="66" t="s">
        <v>348</v>
      </c>
      <c r="D396" s="11">
        <v>92870.65</v>
      </c>
      <c r="E396" s="11">
        <v>92870.65</v>
      </c>
      <c r="F396" s="3"/>
      <c r="G396" s="2"/>
      <c r="H396" s="3">
        <v>42267</v>
      </c>
      <c r="I396" s="2" t="s">
        <v>12072</v>
      </c>
      <c r="J396" s="2" t="s">
        <v>15048</v>
      </c>
      <c r="K396" s="2"/>
      <c r="L396" s="82"/>
    </row>
    <row r="397" spans="1:12" ht="84" x14ac:dyDescent="0.3">
      <c r="A397" s="2">
        <v>393</v>
      </c>
      <c r="B397" s="245" t="s">
        <v>23209</v>
      </c>
      <c r="C397" s="66">
        <v>41013600201</v>
      </c>
      <c r="D397" s="244">
        <v>7709.63</v>
      </c>
      <c r="E397" s="11"/>
      <c r="F397" s="243">
        <v>42921</v>
      </c>
      <c r="G397" s="242" t="s">
        <v>23185</v>
      </c>
      <c r="H397" s="3"/>
      <c r="I397" s="2"/>
      <c r="J397" s="242" t="s">
        <v>14091</v>
      </c>
      <c r="K397" s="242" t="s">
        <v>23179</v>
      </c>
      <c r="L397" s="246" t="s">
        <v>23223</v>
      </c>
    </row>
    <row r="398" spans="1:12" ht="84" x14ac:dyDescent="0.3">
      <c r="A398" s="2">
        <v>394</v>
      </c>
      <c r="B398" s="245" t="s">
        <v>23210</v>
      </c>
      <c r="C398" s="245">
        <v>41013600200</v>
      </c>
      <c r="D398" s="244">
        <v>7709.63</v>
      </c>
      <c r="E398" s="11"/>
      <c r="F398" s="243">
        <v>42921</v>
      </c>
      <c r="G398" s="242" t="s">
        <v>23185</v>
      </c>
      <c r="H398" s="3"/>
      <c r="I398" s="2"/>
      <c r="J398" s="242" t="s">
        <v>14091</v>
      </c>
      <c r="K398" s="242" t="s">
        <v>23179</v>
      </c>
      <c r="L398" s="246" t="s">
        <v>23223</v>
      </c>
    </row>
    <row r="399" spans="1:12" ht="84" x14ac:dyDescent="0.3">
      <c r="A399" s="2">
        <v>395</v>
      </c>
      <c r="B399" s="66" t="s">
        <v>23211</v>
      </c>
      <c r="C399" s="66">
        <v>41013600194</v>
      </c>
      <c r="D399" s="11">
        <v>17188.88</v>
      </c>
      <c r="E399" s="11"/>
      <c r="F399" s="243">
        <v>42921</v>
      </c>
      <c r="G399" s="242" t="s">
        <v>23185</v>
      </c>
      <c r="H399" s="3"/>
      <c r="I399" s="2"/>
      <c r="J399" s="242" t="s">
        <v>14091</v>
      </c>
      <c r="K399" s="242" t="s">
        <v>23179</v>
      </c>
      <c r="L399" s="246" t="s">
        <v>23223</v>
      </c>
    </row>
    <row r="400" spans="1:12" ht="72" customHeight="1" x14ac:dyDescent="0.3">
      <c r="A400" s="2">
        <v>396</v>
      </c>
      <c r="B400" s="66" t="s">
        <v>260</v>
      </c>
      <c r="C400" s="66" t="s">
        <v>349</v>
      </c>
      <c r="D400" s="11">
        <v>6887.21</v>
      </c>
      <c r="E400" s="11">
        <v>6887.21</v>
      </c>
      <c r="F400" s="3"/>
      <c r="G400" s="2"/>
      <c r="H400" s="3">
        <v>42267</v>
      </c>
      <c r="I400" s="2" t="s">
        <v>12072</v>
      </c>
      <c r="J400" s="2" t="s">
        <v>15048</v>
      </c>
      <c r="K400" s="2"/>
      <c r="L400" s="82"/>
    </row>
    <row r="401" spans="1:12" ht="72" customHeight="1" x14ac:dyDescent="0.3">
      <c r="A401" s="2">
        <v>397</v>
      </c>
      <c r="B401" s="66" t="s">
        <v>260</v>
      </c>
      <c r="C401" s="66" t="s">
        <v>350</v>
      </c>
      <c r="D401" s="11">
        <v>9462.77</v>
      </c>
      <c r="E401" s="11">
        <v>9462.77</v>
      </c>
      <c r="F401" s="3"/>
      <c r="G401" s="2"/>
      <c r="H401" s="3">
        <v>42267</v>
      </c>
      <c r="I401" s="2" t="s">
        <v>12072</v>
      </c>
      <c r="J401" s="2" t="s">
        <v>15048</v>
      </c>
      <c r="K401" s="2"/>
      <c r="L401" s="82"/>
    </row>
    <row r="402" spans="1:12" ht="84" x14ac:dyDescent="0.3">
      <c r="A402" s="2">
        <v>398</v>
      </c>
      <c r="B402" s="66" t="s">
        <v>23212</v>
      </c>
      <c r="C402" s="66">
        <v>41013600185</v>
      </c>
      <c r="D402" s="11">
        <v>27225</v>
      </c>
      <c r="E402" s="11"/>
      <c r="F402" s="243">
        <v>42921</v>
      </c>
      <c r="G402" s="242" t="s">
        <v>23185</v>
      </c>
      <c r="H402" s="3"/>
      <c r="I402" s="2"/>
      <c r="J402" s="242" t="s">
        <v>14091</v>
      </c>
      <c r="K402" s="242" t="s">
        <v>23179</v>
      </c>
      <c r="L402" s="246" t="s">
        <v>23223</v>
      </c>
    </row>
    <row r="403" spans="1:12" ht="84" x14ac:dyDescent="0.3">
      <c r="A403" s="2">
        <v>399</v>
      </c>
      <c r="B403" s="66" t="s">
        <v>23213</v>
      </c>
      <c r="C403" s="66">
        <v>41013600215</v>
      </c>
      <c r="D403" s="11">
        <v>38350.129999999997</v>
      </c>
      <c r="E403" s="11"/>
      <c r="F403" s="243">
        <v>42921</v>
      </c>
      <c r="G403" s="242" t="s">
        <v>23185</v>
      </c>
      <c r="H403" s="3"/>
      <c r="I403" s="2"/>
      <c r="J403" s="242" t="s">
        <v>14091</v>
      </c>
      <c r="K403" s="242" t="s">
        <v>23179</v>
      </c>
      <c r="L403" s="246" t="s">
        <v>23223</v>
      </c>
    </row>
    <row r="404" spans="1:12" ht="84" x14ac:dyDescent="0.3">
      <c r="A404" s="2">
        <v>400</v>
      </c>
      <c r="B404" s="245" t="s">
        <v>23214</v>
      </c>
      <c r="C404" s="66">
        <v>41013600211</v>
      </c>
      <c r="D404" s="244">
        <v>38350.129999999997</v>
      </c>
      <c r="E404" s="11"/>
      <c r="F404" s="243">
        <v>42921</v>
      </c>
      <c r="G404" s="242" t="s">
        <v>23185</v>
      </c>
      <c r="H404" s="3"/>
      <c r="I404" s="2"/>
      <c r="J404" s="242" t="s">
        <v>14091</v>
      </c>
      <c r="K404" s="242" t="s">
        <v>23179</v>
      </c>
      <c r="L404" s="246" t="s">
        <v>23223</v>
      </c>
    </row>
    <row r="405" spans="1:12" ht="84" x14ac:dyDescent="0.3">
      <c r="A405" s="2">
        <v>401</v>
      </c>
      <c r="B405" s="245" t="s">
        <v>23215</v>
      </c>
      <c r="C405" s="66">
        <v>41013600199</v>
      </c>
      <c r="D405" s="11">
        <v>7709.63</v>
      </c>
      <c r="E405" s="11"/>
      <c r="F405" s="243">
        <v>42921</v>
      </c>
      <c r="G405" s="242" t="s">
        <v>23185</v>
      </c>
      <c r="H405" s="3"/>
      <c r="I405" s="2"/>
      <c r="J405" s="242" t="s">
        <v>14091</v>
      </c>
      <c r="K405" s="242" t="s">
        <v>23179</v>
      </c>
      <c r="L405" s="246" t="s">
        <v>23223</v>
      </c>
    </row>
    <row r="406" spans="1:12" ht="84" x14ac:dyDescent="0.3">
      <c r="A406" s="2">
        <v>402</v>
      </c>
      <c r="B406" s="66" t="s">
        <v>23216</v>
      </c>
      <c r="C406" s="66">
        <v>41013600167</v>
      </c>
      <c r="D406" s="11">
        <v>37644.75</v>
      </c>
      <c r="E406" s="11"/>
      <c r="F406" s="243">
        <v>42921</v>
      </c>
      <c r="G406" s="242" t="s">
        <v>23185</v>
      </c>
      <c r="H406" s="3"/>
      <c r="I406" s="2"/>
      <c r="J406" s="242" t="s">
        <v>14091</v>
      </c>
      <c r="K406" s="242" t="s">
        <v>23179</v>
      </c>
      <c r="L406" s="246" t="s">
        <v>23223</v>
      </c>
    </row>
    <row r="407" spans="1:12" ht="84" x14ac:dyDescent="0.3">
      <c r="A407" s="2">
        <v>403</v>
      </c>
      <c r="B407" s="245" t="s">
        <v>23217</v>
      </c>
      <c r="C407" s="245">
        <v>41013600168</v>
      </c>
      <c r="D407" s="11">
        <v>20567.25</v>
      </c>
      <c r="E407" s="11"/>
      <c r="F407" s="243">
        <v>42921</v>
      </c>
      <c r="G407" s="242" t="s">
        <v>23185</v>
      </c>
      <c r="H407" s="3"/>
      <c r="I407" s="2"/>
      <c r="J407" s="242" t="s">
        <v>14091</v>
      </c>
      <c r="K407" s="242" t="s">
        <v>23179</v>
      </c>
      <c r="L407" s="246" t="s">
        <v>23223</v>
      </c>
    </row>
    <row r="408" spans="1:12" ht="84" x14ac:dyDescent="0.3">
      <c r="A408" s="2">
        <v>404</v>
      </c>
      <c r="B408" s="245" t="s">
        <v>23218</v>
      </c>
      <c r="C408" s="245">
        <v>41013600166</v>
      </c>
      <c r="D408" s="11">
        <v>31766.63</v>
      </c>
      <c r="E408" s="11"/>
      <c r="F408" s="243">
        <v>42921</v>
      </c>
      <c r="G408" s="242" t="s">
        <v>23185</v>
      </c>
      <c r="H408" s="3"/>
      <c r="I408" s="2"/>
      <c r="J408" s="242" t="s">
        <v>14091</v>
      </c>
      <c r="K408" s="242" t="s">
        <v>23179</v>
      </c>
      <c r="L408" s="246" t="s">
        <v>23223</v>
      </c>
    </row>
    <row r="409" spans="1:12" ht="84" x14ac:dyDescent="0.3">
      <c r="A409" s="2">
        <v>405</v>
      </c>
      <c r="B409" s="245" t="s">
        <v>23219</v>
      </c>
      <c r="C409" s="66">
        <v>41013600164</v>
      </c>
      <c r="D409" s="11">
        <v>26544.38</v>
      </c>
      <c r="E409" s="11"/>
      <c r="F409" s="243">
        <v>42921</v>
      </c>
      <c r="G409" s="242" t="s">
        <v>23185</v>
      </c>
      <c r="H409" s="3"/>
      <c r="I409" s="2"/>
      <c r="J409" s="242" t="s">
        <v>14091</v>
      </c>
      <c r="K409" s="242" t="s">
        <v>23179</v>
      </c>
      <c r="L409" s="246" t="s">
        <v>23223</v>
      </c>
    </row>
    <row r="410" spans="1:12" ht="84" x14ac:dyDescent="0.3">
      <c r="A410" s="2">
        <v>406</v>
      </c>
      <c r="B410" s="245" t="s">
        <v>23220</v>
      </c>
      <c r="C410" s="245">
        <v>41013600163</v>
      </c>
      <c r="D410" s="244">
        <v>26544.38</v>
      </c>
      <c r="E410" s="11"/>
      <c r="F410" s="243">
        <v>42921</v>
      </c>
      <c r="G410" s="242" t="s">
        <v>23185</v>
      </c>
      <c r="H410" s="3"/>
      <c r="I410" s="2"/>
      <c r="J410" s="242" t="s">
        <v>14091</v>
      </c>
      <c r="K410" s="242" t="s">
        <v>23179</v>
      </c>
      <c r="L410" s="246" t="s">
        <v>23223</v>
      </c>
    </row>
    <row r="411" spans="1:12" ht="72" x14ac:dyDescent="0.3">
      <c r="A411" s="2">
        <v>407</v>
      </c>
      <c r="B411" s="245" t="s">
        <v>264</v>
      </c>
      <c r="C411" s="245" t="s">
        <v>23261</v>
      </c>
      <c r="D411" s="244">
        <v>11944.35</v>
      </c>
      <c r="E411" s="244">
        <v>11944.35</v>
      </c>
      <c r="F411" s="243"/>
      <c r="G411" s="242"/>
      <c r="H411" s="243">
        <v>43053</v>
      </c>
      <c r="I411" s="242" t="s">
        <v>19506</v>
      </c>
      <c r="J411" s="242" t="s">
        <v>15048</v>
      </c>
      <c r="K411" s="242"/>
      <c r="L411" s="246" t="s">
        <v>19512</v>
      </c>
    </row>
    <row r="412" spans="1:12" ht="72" x14ac:dyDescent="0.3">
      <c r="A412" s="2">
        <v>408</v>
      </c>
      <c r="B412" s="245" t="s">
        <v>23262</v>
      </c>
      <c r="C412" s="245" t="s">
        <v>23263</v>
      </c>
      <c r="D412" s="244">
        <v>8926.83</v>
      </c>
      <c r="E412" s="244">
        <v>8926.83</v>
      </c>
      <c r="F412" s="243"/>
      <c r="G412" s="242"/>
      <c r="H412" s="243">
        <v>43053</v>
      </c>
      <c r="I412" s="242" t="s">
        <v>19506</v>
      </c>
      <c r="J412" s="242" t="s">
        <v>15048</v>
      </c>
      <c r="K412" s="242"/>
      <c r="L412" s="246" t="s">
        <v>19512</v>
      </c>
    </row>
    <row r="413" spans="1:12" ht="84" x14ac:dyDescent="0.3">
      <c r="A413" s="2">
        <v>409</v>
      </c>
      <c r="B413" s="66" t="s">
        <v>23222</v>
      </c>
      <c r="C413" s="66">
        <v>21012400001</v>
      </c>
      <c r="D413" s="11">
        <v>452466.67</v>
      </c>
      <c r="E413" s="11"/>
      <c r="F413" s="3">
        <v>43390</v>
      </c>
      <c r="G413" s="242" t="s">
        <v>23221</v>
      </c>
      <c r="H413" s="3"/>
      <c r="I413" s="2"/>
      <c r="J413" s="242" t="s">
        <v>14091</v>
      </c>
      <c r="K413" s="242" t="s">
        <v>23179</v>
      </c>
      <c r="L413" s="246" t="s">
        <v>23223</v>
      </c>
    </row>
    <row r="414" spans="1:12" ht="120" customHeight="1" x14ac:dyDescent="0.3">
      <c r="A414" s="2">
        <v>410</v>
      </c>
      <c r="B414" s="66" t="s">
        <v>265</v>
      </c>
      <c r="C414" s="66" t="s">
        <v>351</v>
      </c>
      <c r="D414" s="11">
        <v>4232.91</v>
      </c>
      <c r="E414" s="11">
        <v>4232.91</v>
      </c>
      <c r="F414" s="3"/>
      <c r="G414" s="2"/>
      <c r="H414" s="3">
        <v>43053</v>
      </c>
      <c r="I414" s="2" t="s">
        <v>19506</v>
      </c>
      <c r="J414" s="2" t="s">
        <v>15048</v>
      </c>
      <c r="K414" s="2"/>
      <c r="L414" s="82" t="s">
        <v>19512</v>
      </c>
    </row>
    <row r="415" spans="1:12" ht="120" customHeight="1" x14ac:dyDescent="0.3">
      <c r="A415" s="2">
        <v>411</v>
      </c>
      <c r="B415" s="66" t="s">
        <v>263</v>
      </c>
      <c r="C415" s="66" t="s">
        <v>352</v>
      </c>
      <c r="D415" s="11">
        <v>12108.18</v>
      </c>
      <c r="E415" s="11">
        <v>12108.18</v>
      </c>
      <c r="F415" s="3"/>
      <c r="G415" s="2"/>
      <c r="H415" s="3">
        <v>43053</v>
      </c>
      <c r="I415" s="2" t="s">
        <v>19506</v>
      </c>
      <c r="J415" s="2" t="s">
        <v>15048</v>
      </c>
      <c r="K415" s="2"/>
      <c r="L415" s="82" t="s">
        <v>19512</v>
      </c>
    </row>
    <row r="416" spans="1:12" ht="72" customHeight="1" x14ac:dyDescent="0.3">
      <c r="A416" s="2">
        <v>412</v>
      </c>
      <c r="B416" s="66" t="s">
        <v>266</v>
      </c>
      <c r="C416" s="66" t="s">
        <v>353</v>
      </c>
      <c r="D416" s="11">
        <v>3569.97</v>
      </c>
      <c r="E416" s="11">
        <v>3569.97</v>
      </c>
      <c r="F416" s="3"/>
      <c r="G416" s="2"/>
      <c r="H416" s="3">
        <v>42324</v>
      </c>
      <c r="I416" s="2" t="s">
        <v>12042</v>
      </c>
      <c r="J416" s="2" t="s">
        <v>15048</v>
      </c>
      <c r="K416" s="2"/>
      <c r="L416" s="82"/>
    </row>
    <row r="417" spans="1:12" ht="120" customHeight="1" x14ac:dyDescent="0.3">
      <c r="A417" s="2">
        <v>413</v>
      </c>
      <c r="B417" s="66" t="s">
        <v>262</v>
      </c>
      <c r="C417" s="66" t="s">
        <v>354</v>
      </c>
      <c r="D417" s="11">
        <v>10398.76</v>
      </c>
      <c r="E417" s="11">
        <v>10398.76</v>
      </c>
      <c r="F417" s="3"/>
      <c r="G417" s="2"/>
      <c r="H417" s="3">
        <v>43053</v>
      </c>
      <c r="I417" s="2" t="s">
        <v>19506</v>
      </c>
      <c r="J417" s="2" t="s">
        <v>15048</v>
      </c>
      <c r="K417" s="2"/>
      <c r="L417" s="82" t="s">
        <v>19512</v>
      </c>
    </row>
    <row r="418" spans="1:12" ht="120" customHeight="1" x14ac:dyDescent="0.3">
      <c r="A418" s="2">
        <v>414</v>
      </c>
      <c r="B418" s="66" t="s">
        <v>267</v>
      </c>
      <c r="C418" s="66" t="s">
        <v>355</v>
      </c>
      <c r="D418" s="11">
        <v>12792.71</v>
      </c>
      <c r="E418" s="11">
        <v>12792.71</v>
      </c>
      <c r="F418" s="3"/>
      <c r="G418" s="2"/>
      <c r="H418" s="3">
        <v>43053</v>
      </c>
      <c r="I418" s="2" t="s">
        <v>19506</v>
      </c>
      <c r="J418" s="2" t="s">
        <v>15048</v>
      </c>
      <c r="K418" s="2"/>
      <c r="L418" s="82" t="s">
        <v>19512</v>
      </c>
    </row>
    <row r="419" spans="1:12" ht="120" customHeight="1" x14ac:dyDescent="0.3">
      <c r="A419" s="2">
        <v>415</v>
      </c>
      <c r="B419" s="66" t="s">
        <v>267</v>
      </c>
      <c r="C419" s="66" t="s">
        <v>356</v>
      </c>
      <c r="D419" s="11">
        <v>6634.36</v>
      </c>
      <c r="E419" s="11">
        <v>6634.36</v>
      </c>
      <c r="F419" s="3"/>
      <c r="G419" s="2"/>
      <c r="H419" s="3">
        <v>43053</v>
      </c>
      <c r="I419" s="2" t="s">
        <v>19506</v>
      </c>
      <c r="J419" s="2" t="s">
        <v>15048</v>
      </c>
      <c r="K419" s="2"/>
      <c r="L419" s="82" t="s">
        <v>19512</v>
      </c>
    </row>
    <row r="420" spans="1:12" ht="120" customHeight="1" x14ac:dyDescent="0.3">
      <c r="A420" s="2">
        <v>416</v>
      </c>
      <c r="B420" s="66" t="s">
        <v>268</v>
      </c>
      <c r="C420" s="66" t="s">
        <v>357</v>
      </c>
      <c r="D420" s="11">
        <v>3129.3</v>
      </c>
      <c r="E420" s="11">
        <v>3129.3</v>
      </c>
      <c r="F420" s="3"/>
      <c r="G420" s="2"/>
      <c r="H420" s="3">
        <v>43053</v>
      </c>
      <c r="I420" s="2" t="s">
        <v>19506</v>
      </c>
      <c r="J420" s="2" t="s">
        <v>15048</v>
      </c>
      <c r="K420" s="2"/>
      <c r="L420" s="82" t="s">
        <v>19512</v>
      </c>
    </row>
    <row r="421" spans="1:12" ht="120" customHeight="1" x14ac:dyDescent="0.3">
      <c r="A421" s="2">
        <v>417</v>
      </c>
      <c r="B421" s="66" t="s">
        <v>269</v>
      </c>
      <c r="C421" s="66" t="s">
        <v>358</v>
      </c>
      <c r="D421" s="11">
        <v>13872.62</v>
      </c>
      <c r="E421" s="11">
        <v>13872.62</v>
      </c>
      <c r="F421" s="3"/>
      <c r="G421" s="2"/>
      <c r="H421" s="3">
        <v>43053</v>
      </c>
      <c r="I421" s="2" t="s">
        <v>19506</v>
      </c>
      <c r="J421" s="2" t="s">
        <v>15048</v>
      </c>
      <c r="K421" s="2"/>
      <c r="L421" s="82" t="s">
        <v>19512</v>
      </c>
    </row>
    <row r="422" spans="1:12" ht="120" customHeight="1" x14ac:dyDescent="0.3">
      <c r="A422" s="2">
        <v>418</v>
      </c>
      <c r="B422" s="66" t="s">
        <v>268</v>
      </c>
      <c r="C422" s="66" t="s">
        <v>359</v>
      </c>
      <c r="D422" s="11">
        <v>4332</v>
      </c>
      <c r="E422" s="11">
        <v>4332</v>
      </c>
      <c r="F422" s="3"/>
      <c r="G422" s="2"/>
      <c r="H422" s="3">
        <v>43053</v>
      </c>
      <c r="I422" s="2" t="s">
        <v>19506</v>
      </c>
      <c r="J422" s="2" t="s">
        <v>15048</v>
      </c>
      <c r="K422" s="2"/>
      <c r="L422" s="82" t="s">
        <v>19512</v>
      </c>
    </row>
    <row r="423" spans="1:12" ht="120" customHeight="1" x14ac:dyDescent="0.3">
      <c r="A423" s="2">
        <v>419</v>
      </c>
      <c r="B423" s="66" t="s">
        <v>261</v>
      </c>
      <c r="C423" s="66" t="s">
        <v>360</v>
      </c>
      <c r="D423" s="11">
        <v>3021</v>
      </c>
      <c r="E423" s="11">
        <v>3021</v>
      </c>
      <c r="F423" s="3"/>
      <c r="G423" s="2"/>
      <c r="H423" s="3">
        <v>43053</v>
      </c>
      <c r="I423" s="2" t="s">
        <v>19506</v>
      </c>
      <c r="J423" s="2" t="s">
        <v>15048</v>
      </c>
      <c r="K423" s="2"/>
      <c r="L423" s="82" t="s">
        <v>19512</v>
      </c>
    </row>
    <row r="424" spans="1:12" ht="120" customHeight="1" x14ac:dyDescent="0.3">
      <c r="A424" s="2">
        <v>420</v>
      </c>
      <c r="B424" s="66" t="s">
        <v>261</v>
      </c>
      <c r="C424" s="66" t="s">
        <v>361</v>
      </c>
      <c r="D424" s="11">
        <v>3990</v>
      </c>
      <c r="E424" s="11">
        <v>3990</v>
      </c>
      <c r="F424" s="3"/>
      <c r="G424" s="2"/>
      <c r="H424" s="3">
        <v>43053</v>
      </c>
      <c r="I424" s="2" t="s">
        <v>19506</v>
      </c>
      <c r="J424" s="2" t="s">
        <v>15048</v>
      </c>
      <c r="K424" s="2"/>
      <c r="L424" s="82" t="s">
        <v>19512</v>
      </c>
    </row>
    <row r="425" spans="1:12" ht="120" customHeight="1" x14ac:dyDescent="0.3">
      <c r="A425" s="2">
        <v>421</v>
      </c>
      <c r="B425" s="66" t="s">
        <v>261</v>
      </c>
      <c r="C425" s="66" t="s">
        <v>362</v>
      </c>
      <c r="D425" s="11">
        <v>3420</v>
      </c>
      <c r="E425" s="11">
        <v>3420</v>
      </c>
      <c r="F425" s="3"/>
      <c r="G425" s="2"/>
      <c r="H425" s="3">
        <v>43053</v>
      </c>
      <c r="I425" s="2" t="s">
        <v>19506</v>
      </c>
      <c r="J425" s="2" t="s">
        <v>15048</v>
      </c>
      <c r="K425" s="2"/>
      <c r="L425" s="82" t="s">
        <v>19512</v>
      </c>
    </row>
    <row r="426" spans="1:12" ht="120" customHeight="1" x14ac:dyDescent="0.3">
      <c r="A426" s="2">
        <v>422</v>
      </c>
      <c r="B426" s="66" t="s">
        <v>263</v>
      </c>
      <c r="C426" s="66" t="s">
        <v>363</v>
      </c>
      <c r="D426" s="11">
        <v>5997.6</v>
      </c>
      <c r="E426" s="11">
        <v>5997.6</v>
      </c>
      <c r="F426" s="3"/>
      <c r="G426" s="2"/>
      <c r="H426" s="3">
        <v>43053</v>
      </c>
      <c r="I426" s="2" t="s">
        <v>19506</v>
      </c>
      <c r="J426" s="2" t="s">
        <v>15048</v>
      </c>
      <c r="K426" s="2"/>
      <c r="L426" s="82" t="s">
        <v>19512</v>
      </c>
    </row>
    <row r="427" spans="1:12" ht="120" customHeight="1" x14ac:dyDescent="0.3">
      <c r="A427" s="2">
        <v>423</v>
      </c>
      <c r="B427" s="66" t="s">
        <v>270</v>
      </c>
      <c r="C427" s="66" t="s">
        <v>364</v>
      </c>
      <c r="D427" s="11">
        <v>11827.92</v>
      </c>
      <c r="E427" s="11">
        <v>11827.92</v>
      </c>
      <c r="F427" s="3"/>
      <c r="G427" s="2"/>
      <c r="H427" s="3">
        <v>43053</v>
      </c>
      <c r="I427" s="2" t="s">
        <v>19506</v>
      </c>
      <c r="J427" s="2" t="s">
        <v>15048</v>
      </c>
      <c r="K427" s="2"/>
      <c r="L427" s="82" t="s">
        <v>19512</v>
      </c>
    </row>
    <row r="428" spans="1:12" ht="72" customHeight="1" x14ac:dyDescent="0.3">
      <c r="A428" s="2">
        <v>424</v>
      </c>
      <c r="B428" s="66" t="s">
        <v>263</v>
      </c>
      <c r="C428" s="66" t="s">
        <v>365</v>
      </c>
      <c r="D428" s="11">
        <v>4889.88</v>
      </c>
      <c r="E428" s="11">
        <v>4889.88</v>
      </c>
      <c r="F428" s="3"/>
      <c r="G428" s="2"/>
      <c r="H428" s="3">
        <v>43252</v>
      </c>
      <c r="I428" s="2" t="s">
        <v>20478</v>
      </c>
      <c r="J428" s="2" t="s">
        <v>15048</v>
      </c>
      <c r="K428" s="2"/>
      <c r="L428" s="82" t="s">
        <v>19512</v>
      </c>
    </row>
    <row r="429" spans="1:12" ht="72" customHeight="1" x14ac:dyDescent="0.3">
      <c r="A429" s="2">
        <v>425</v>
      </c>
      <c r="B429" s="66" t="s">
        <v>271</v>
      </c>
      <c r="C429" s="66" t="s">
        <v>366</v>
      </c>
      <c r="D429" s="11">
        <v>7576.56</v>
      </c>
      <c r="E429" s="11">
        <v>7576.56</v>
      </c>
      <c r="F429" s="3"/>
      <c r="G429" s="2"/>
      <c r="H429" s="3">
        <v>43252</v>
      </c>
      <c r="I429" s="2" t="s">
        <v>20478</v>
      </c>
      <c r="J429" s="2" t="s">
        <v>15048</v>
      </c>
      <c r="K429" s="2"/>
      <c r="L429" s="82" t="s">
        <v>19512</v>
      </c>
    </row>
    <row r="430" spans="1:12" ht="72" customHeight="1" x14ac:dyDescent="0.3">
      <c r="A430" s="2">
        <v>426</v>
      </c>
      <c r="B430" s="66" t="s">
        <v>265</v>
      </c>
      <c r="C430" s="66" t="s">
        <v>367</v>
      </c>
      <c r="D430" s="11">
        <v>7129.8</v>
      </c>
      <c r="E430" s="11">
        <v>7129.8</v>
      </c>
      <c r="F430" s="3"/>
      <c r="G430" s="2"/>
      <c r="H430" s="3">
        <v>43252</v>
      </c>
      <c r="I430" s="2" t="s">
        <v>20478</v>
      </c>
      <c r="J430" s="2" t="s">
        <v>15048</v>
      </c>
      <c r="K430" s="2"/>
      <c r="L430" s="82" t="s">
        <v>19512</v>
      </c>
    </row>
    <row r="431" spans="1:12" ht="84" customHeight="1" x14ac:dyDescent="0.3">
      <c r="A431" s="2">
        <v>427</v>
      </c>
      <c r="B431" s="66" t="s">
        <v>23135</v>
      </c>
      <c r="C431" s="66">
        <v>57049</v>
      </c>
      <c r="D431" s="11"/>
      <c r="E431" s="11"/>
      <c r="F431" s="3" t="s">
        <v>23133</v>
      </c>
      <c r="G431" s="2" t="s">
        <v>23134</v>
      </c>
      <c r="H431" s="3"/>
      <c r="I431" s="2"/>
      <c r="J431" s="2" t="s">
        <v>12550</v>
      </c>
      <c r="K431" s="2"/>
      <c r="L431" s="82" t="s">
        <v>17869</v>
      </c>
    </row>
    <row r="432" spans="1:12" ht="84" customHeight="1" x14ac:dyDescent="0.3">
      <c r="A432" s="2">
        <v>428</v>
      </c>
      <c r="B432" s="245" t="s">
        <v>23136</v>
      </c>
      <c r="C432" s="66">
        <v>57099</v>
      </c>
      <c r="D432" s="11"/>
      <c r="E432" s="11"/>
      <c r="F432" s="243" t="s">
        <v>23133</v>
      </c>
      <c r="G432" s="242" t="s">
        <v>23134</v>
      </c>
      <c r="H432" s="3"/>
      <c r="I432" s="2"/>
      <c r="J432" s="242" t="s">
        <v>12550</v>
      </c>
      <c r="K432" s="2"/>
      <c r="L432" s="246" t="s">
        <v>17869</v>
      </c>
    </row>
    <row r="433" spans="1:12" ht="84" customHeight="1" x14ac:dyDescent="0.3">
      <c r="A433" s="2">
        <v>429</v>
      </c>
      <c r="B433" s="245" t="s">
        <v>23137</v>
      </c>
      <c r="C433" s="66">
        <v>57169</v>
      </c>
      <c r="D433" s="11"/>
      <c r="E433" s="11"/>
      <c r="F433" s="243" t="s">
        <v>23133</v>
      </c>
      <c r="G433" s="242" t="s">
        <v>23134</v>
      </c>
      <c r="H433" s="3"/>
      <c r="I433" s="2"/>
      <c r="J433" s="242" t="s">
        <v>12550</v>
      </c>
      <c r="K433" s="2"/>
      <c r="L433" s="246" t="s">
        <v>17869</v>
      </c>
    </row>
    <row r="434" spans="1:12" ht="120" customHeight="1" x14ac:dyDescent="0.3">
      <c r="A434" s="2">
        <v>430</v>
      </c>
      <c r="B434" s="66" t="s">
        <v>263</v>
      </c>
      <c r="C434" s="66" t="s">
        <v>368</v>
      </c>
      <c r="D434" s="11">
        <v>5712</v>
      </c>
      <c r="E434" s="11">
        <v>5712</v>
      </c>
      <c r="F434" s="3"/>
      <c r="G434" s="2"/>
      <c r="H434" s="3">
        <v>43053</v>
      </c>
      <c r="I434" s="2" t="s">
        <v>19506</v>
      </c>
      <c r="J434" s="2" t="s">
        <v>15048</v>
      </c>
      <c r="K434" s="2"/>
      <c r="L434" s="82" t="s">
        <v>19512</v>
      </c>
    </row>
    <row r="435" spans="1:12" ht="120" customHeight="1" x14ac:dyDescent="0.3">
      <c r="A435" s="2">
        <v>431</v>
      </c>
      <c r="B435" s="66" t="s">
        <v>265</v>
      </c>
      <c r="C435" s="66" t="s">
        <v>369</v>
      </c>
      <c r="D435" s="11">
        <v>3774</v>
      </c>
      <c r="E435" s="11">
        <v>3774</v>
      </c>
      <c r="F435" s="3"/>
      <c r="G435" s="2"/>
      <c r="H435" s="3">
        <v>43053</v>
      </c>
      <c r="I435" s="2" t="s">
        <v>19506</v>
      </c>
      <c r="J435" s="2" t="s">
        <v>15048</v>
      </c>
      <c r="K435" s="2"/>
      <c r="L435" s="82" t="s">
        <v>19512</v>
      </c>
    </row>
    <row r="436" spans="1:12" ht="120" customHeight="1" x14ac:dyDescent="0.3">
      <c r="A436" s="2">
        <v>432</v>
      </c>
      <c r="B436" s="66" t="s">
        <v>259</v>
      </c>
      <c r="C436" s="66" t="s">
        <v>370</v>
      </c>
      <c r="D436" s="11">
        <v>10710</v>
      </c>
      <c r="E436" s="11">
        <v>10710</v>
      </c>
      <c r="F436" s="3"/>
      <c r="G436" s="2"/>
      <c r="H436" s="3">
        <v>43053</v>
      </c>
      <c r="I436" s="2" t="s">
        <v>19506</v>
      </c>
      <c r="J436" s="2" t="s">
        <v>15048</v>
      </c>
      <c r="K436" s="2"/>
      <c r="L436" s="82" t="s">
        <v>19512</v>
      </c>
    </row>
    <row r="437" spans="1:12" ht="120" customHeight="1" x14ac:dyDescent="0.3">
      <c r="A437" s="2">
        <v>433</v>
      </c>
      <c r="B437" s="66" t="s">
        <v>266</v>
      </c>
      <c r="C437" s="66" t="s">
        <v>371</v>
      </c>
      <c r="D437" s="11">
        <v>3060</v>
      </c>
      <c r="E437" s="11">
        <v>3060</v>
      </c>
      <c r="F437" s="3"/>
      <c r="G437" s="2"/>
      <c r="H437" s="3">
        <v>43053</v>
      </c>
      <c r="I437" s="2" t="s">
        <v>19506</v>
      </c>
      <c r="J437" s="2" t="s">
        <v>15048</v>
      </c>
      <c r="K437" s="2"/>
      <c r="L437" s="82" t="s">
        <v>19512</v>
      </c>
    </row>
    <row r="438" spans="1:12" ht="120" customHeight="1" x14ac:dyDescent="0.3">
      <c r="A438" s="2">
        <v>434</v>
      </c>
      <c r="B438" s="66" t="s">
        <v>266</v>
      </c>
      <c r="C438" s="66" t="s">
        <v>372</v>
      </c>
      <c r="D438" s="11">
        <v>4080</v>
      </c>
      <c r="E438" s="11">
        <v>4080</v>
      </c>
      <c r="F438" s="3"/>
      <c r="G438" s="2"/>
      <c r="H438" s="3">
        <v>43053</v>
      </c>
      <c r="I438" s="2" t="s">
        <v>19506</v>
      </c>
      <c r="J438" s="2" t="s">
        <v>15048</v>
      </c>
      <c r="K438" s="2"/>
      <c r="L438" s="82" t="s">
        <v>19512</v>
      </c>
    </row>
    <row r="439" spans="1:12" ht="120" customHeight="1" x14ac:dyDescent="0.3">
      <c r="A439" s="2">
        <v>435</v>
      </c>
      <c r="B439" s="66" t="s">
        <v>259</v>
      </c>
      <c r="C439" s="66" t="s">
        <v>373</v>
      </c>
      <c r="D439" s="11">
        <v>9761.4</v>
      </c>
      <c r="E439" s="11">
        <v>9761.4</v>
      </c>
      <c r="F439" s="3"/>
      <c r="G439" s="2"/>
      <c r="H439" s="3">
        <v>43053</v>
      </c>
      <c r="I439" s="2" t="s">
        <v>19506</v>
      </c>
      <c r="J439" s="2" t="s">
        <v>15048</v>
      </c>
      <c r="K439" s="2"/>
      <c r="L439" s="82" t="s">
        <v>19512</v>
      </c>
    </row>
    <row r="440" spans="1:12" ht="120" customHeight="1" x14ac:dyDescent="0.3">
      <c r="A440" s="2">
        <v>436</v>
      </c>
      <c r="B440" s="66" t="s">
        <v>259</v>
      </c>
      <c r="C440" s="66" t="s">
        <v>374</v>
      </c>
      <c r="D440" s="11">
        <v>9771.6</v>
      </c>
      <c r="E440" s="11">
        <v>9771.6</v>
      </c>
      <c r="F440" s="3"/>
      <c r="G440" s="2"/>
      <c r="H440" s="3">
        <v>43053</v>
      </c>
      <c r="I440" s="2" t="s">
        <v>19506</v>
      </c>
      <c r="J440" s="2" t="s">
        <v>15048</v>
      </c>
      <c r="K440" s="2"/>
      <c r="L440" s="82" t="s">
        <v>19512</v>
      </c>
    </row>
    <row r="441" spans="1:12" ht="120" customHeight="1" x14ac:dyDescent="0.3">
      <c r="A441" s="2">
        <v>437</v>
      </c>
      <c r="B441" s="66" t="s">
        <v>272</v>
      </c>
      <c r="C441" s="66" t="s">
        <v>375</v>
      </c>
      <c r="D441" s="11">
        <v>17000</v>
      </c>
      <c r="E441" s="11">
        <v>17000</v>
      </c>
      <c r="F441" s="3"/>
      <c r="G441" s="2"/>
      <c r="H441" s="3">
        <v>43053</v>
      </c>
      <c r="I441" s="2" t="s">
        <v>19506</v>
      </c>
      <c r="J441" s="2" t="s">
        <v>15048</v>
      </c>
      <c r="K441" s="2"/>
      <c r="L441" s="82" t="s">
        <v>19512</v>
      </c>
    </row>
    <row r="442" spans="1:12" ht="120" customHeight="1" x14ac:dyDescent="0.3">
      <c r="A442" s="2">
        <v>438</v>
      </c>
      <c r="B442" s="66" t="s">
        <v>259</v>
      </c>
      <c r="C442" s="66" t="s">
        <v>376</v>
      </c>
      <c r="D442" s="11">
        <v>3500</v>
      </c>
      <c r="E442" s="11">
        <v>3500</v>
      </c>
      <c r="F442" s="3"/>
      <c r="G442" s="2"/>
      <c r="H442" s="3">
        <v>43053</v>
      </c>
      <c r="I442" s="2" t="s">
        <v>19506</v>
      </c>
      <c r="J442" s="2" t="s">
        <v>15048</v>
      </c>
      <c r="K442" s="2"/>
      <c r="L442" s="82" t="s">
        <v>19512</v>
      </c>
    </row>
    <row r="443" spans="1:12" ht="120" customHeight="1" x14ac:dyDescent="0.3">
      <c r="A443" s="2">
        <v>439</v>
      </c>
      <c r="B443" s="66" t="s">
        <v>259</v>
      </c>
      <c r="C443" s="66" t="s">
        <v>377</v>
      </c>
      <c r="D443" s="11">
        <v>3100</v>
      </c>
      <c r="E443" s="11">
        <v>3100</v>
      </c>
      <c r="F443" s="3"/>
      <c r="G443" s="2"/>
      <c r="H443" s="3">
        <v>43053</v>
      </c>
      <c r="I443" s="2" t="s">
        <v>19506</v>
      </c>
      <c r="J443" s="2" t="s">
        <v>15048</v>
      </c>
      <c r="K443" s="2"/>
      <c r="L443" s="82" t="s">
        <v>19512</v>
      </c>
    </row>
    <row r="444" spans="1:12" ht="120" customHeight="1" x14ac:dyDescent="0.3">
      <c r="A444" s="2">
        <v>440</v>
      </c>
      <c r="B444" s="66" t="s">
        <v>263</v>
      </c>
      <c r="C444" s="66" t="s">
        <v>378</v>
      </c>
      <c r="D444" s="11">
        <v>8200</v>
      </c>
      <c r="E444" s="11">
        <v>8200</v>
      </c>
      <c r="F444" s="3"/>
      <c r="G444" s="2"/>
      <c r="H444" s="3">
        <v>43053</v>
      </c>
      <c r="I444" s="2" t="s">
        <v>19506</v>
      </c>
      <c r="J444" s="2" t="s">
        <v>15048</v>
      </c>
      <c r="K444" s="2"/>
      <c r="L444" s="82" t="s">
        <v>19512</v>
      </c>
    </row>
    <row r="445" spans="1:12" ht="120" customHeight="1" x14ac:dyDescent="0.3">
      <c r="A445" s="2">
        <v>441</v>
      </c>
      <c r="B445" s="66" t="s">
        <v>267</v>
      </c>
      <c r="C445" s="66" t="s">
        <v>379</v>
      </c>
      <c r="D445" s="11">
        <v>9500</v>
      </c>
      <c r="E445" s="11">
        <v>9500</v>
      </c>
      <c r="F445" s="3"/>
      <c r="G445" s="2"/>
      <c r="H445" s="3">
        <v>43053</v>
      </c>
      <c r="I445" s="2" t="s">
        <v>19506</v>
      </c>
      <c r="J445" s="2" t="s">
        <v>15048</v>
      </c>
      <c r="K445" s="2"/>
      <c r="L445" s="82" t="s">
        <v>19512</v>
      </c>
    </row>
    <row r="446" spans="1:12" ht="120" customHeight="1" x14ac:dyDescent="0.3">
      <c r="A446" s="2">
        <v>442</v>
      </c>
      <c r="B446" s="66" t="s">
        <v>273</v>
      </c>
      <c r="C446" s="66" t="s">
        <v>380</v>
      </c>
      <c r="D446" s="11">
        <v>41860</v>
      </c>
      <c r="E446" s="11">
        <v>41860</v>
      </c>
      <c r="F446" s="3"/>
      <c r="G446" s="2"/>
      <c r="H446" s="3">
        <v>43053</v>
      </c>
      <c r="I446" s="2" t="s">
        <v>19506</v>
      </c>
      <c r="J446" s="2" t="s">
        <v>15048</v>
      </c>
      <c r="K446" s="2"/>
      <c r="L446" s="82" t="s">
        <v>19512</v>
      </c>
    </row>
    <row r="447" spans="1:12" ht="120" customHeight="1" x14ac:dyDescent="0.3">
      <c r="A447" s="2">
        <v>443</v>
      </c>
      <c r="B447" s="66" t="s">
        <v>273</v>
      </c>
      <c r="C447" s="66" t="s">
        <v>381</v>
      </c>
      <c r="D447" s="11">
        <v>33150</v>
      </c>
      <c r="E447" s="11">
        <v>33150</v>
      </c>
      <c r="F447" s="3"/>
      <c r="G447" s="2"/>
      <c r="H447" s="3">
        <v>43053</v>
      </c>
      <c r="I447" s="2" t="s">
        <v>19506</v>
      </c>
      <c r="J447" s="2" t="s">
        <v>15048</v>
      </c>
      <c r="K447" s="2"/>
      <c r="L447" s="82" t="s">
        <v>19512</v>
      </c>
    </row>
    <row r="448" spans="1:12" ht="120" customHeight="1" x14ac:dyDescent="0.3">
      <c r="A448" s="2">
        <v>444</v>
      </c>
      <c r="B448" s="66" t="s">
        <v>267</v>
      </c>
      <c r="C448" s="66" t="s">
        <v>382</v>
      </c>
      <c r="D448" s="11">
        <v>10700</v>
      </c>
      <c r="E448" s="11">
        <v>10700</v>
      </c>
      <c r="F448" s="3"/>
      <c r="G448" s="2"/>
      <c r="H448" s="3">
        <v>43053</v>
      </c>
      <c r="I448" s="2" t="s">
        <v>19506</v>
      </c>
      <c r="J448" s="2" t="s">
        <v>15048</v>
      </c>
      <c r="K448" s="2"/>
      <c r="L448" s="82" t="s">
        <v>19512</v>
      </c>
    </row>
    <row r="449" spans="1:12" ht="120" customHeight="1" x14ac:dyDescent="0.3">
      <c r="A449" s="2">
        <v>445</v>
      </c>
      <c r="B449" s="66" t="s">
        <v>272</v>
      </c>
      <c r="C449" s="66" t="s">
        <v>383</v>
      </c>
      <c r="D449" s="11">
        <v>16711.07</v>
      </c>
      <c r="E449" s="11">
        <v>16711.07</v>
      </c>
      <c r="F449" s="3"/>
      <c r="G449" s="2"/>
      <c r="H449" s="3">
        <v>43053</v>
      </c>
      <c r="I449" s="2" t="s">
        <v>19506</v>
      </c>
      <c r="J449" s="2" t="s">
        <v>15048</v>
      </c>
      <c r="K449" s="2"/>
      <c r="L449" s="82" t="s">
        <v>19512</v>
      </c>
    </row>
    <row r="450" spans="1:12" ht="72" customHeight="1" x14ac:dyDescent="0.3">
      <c r="A450" s="2">
        <v>446</v>
      </c>
      <c r="B450" s="66" t="s">
        <v>274</v>
      </c>
      <c r="C450" s="66" t="s">
        <v>384</v>
      </c>
      <c r="D450" s="11">
        <v>489152.86</v>
      </c>
      <c r="E450" s="11">
        <v>489152.86</v>
      </c>
      <c r="F450" s="3" t="s">
        <v>20213</v>
      </c>
      <c r="G450" s="2" t="s">
        <v>20214</v>
      </c>
      <c r="H450" s="2"/>
      <c r="I450" s="2"/>
      <c r="J450" s="2" t="s">
        <v>15048</v>
      </c>
      <c r="K450" s="2"/>
      <c r="L450" s="82"/>
    </row>
    <row r="451" spans="1:12" ht="120" customHeight="1" x14ac:dyDescent="0.3">
      <c r="A451" s="2">
        <v>447</v>
      </c>
      <c r="B451" s="66" t="s">
        <v>263</v>
      </c>
      <c r="C451" s="66" t="s">
        <v>385</v>
      </c>
      <c r="D451" s="11">
        <v>9360</v>
      </c>
      <c r="E451" s="11">
        <v>9360</v>
      </c>
      <c r="F451" s="3"/>
      <c r="G451" s="2"/>
      <c r="H451" s="3">
        <v>43053</v>
      </c>
      <c r="I451" s="2" t="s">
        <v>19506</v>
      </c>
      <c r="J451" s="2" t="s">
        <v>15048</v>
      </c>
      <c r="K451" s="2"/>
      <c r="L451" s="82" t="s">
        <v>19512</v>
      </c>
    </row>
    <row r="452" spans="1:12" ht="120" customHeight="1" x14ac:dyDescent="0.3">
      <c r="A452" s="2">
        <v>448</v>
      </c>
      <c r="B452" s="66" t="s">
        <v>259</v>
      </c>
      <c r="C452" s="66" t="s">
        <v>386</v>
      </c>
      <c r="D452" s="11">
        <v>6435</v>
      </c>
      <c r="E452" s="11">
        <v>6435</v>
      </c>
      <c r="F452" s="3"/>
      <c r="G452" s="2"/>
      <c r="H452" s="3">
        <v>43053</v>
      </c>
      <c r="I452" s="2" t="s">
        <v>19506</v>
      </c>
      <c r="J452" s="2" t="s">
        <v>15048</v>
      </c>
      <c r="K452" s="2"/>
      <c r="L452" s="82" t="s">
        <v>19512</v>
      </c>
    </row>
    <row r="453" spans="1:12" ht="120" customHeight="1" x14ac:dyDescent="0.3">
      <c r="A453" s="2">
        <v>449</v>
      </c>
      <c r="B453" s="66" t="s">
        <v>259</v>
      </c>
      <c r="C453" s="66" t="s">
        <v>387</v>
      </c>
      <c r="D453" s="11">
        <v>4000</v>
      </c>
      <c r="E453" s="11">
        <v>4000</v>
      </c>
      <c r="F453" s="3"/>
      <c r="G453" s="2"/>
      <c r="H453" s="3">
        <v>43053</v>
      </c>
      <c r="I453" s="2" t="s">
        <v>19506</v>
      </c>
      <c r="J453" s="2" t="s">
        <v>15048</v>
      </c>
      <c r="K453" s="2"/>
      <c r="L453" s="82" t="s">
        <v>19512</v>
      </c>
    </row>
    <row r="454" spans="1:12" ht="120" customHeight="1" x14ac:dyDescent="0.3">
      <c r="A454" s="2">
        <v>450</v>
      </c>
      <c r="B454" s="66" t="s">
        <v>275</v>
      </c>
      <c r="C454" s="66" t="s">
        <v>388</v>
      </c>
      <c r="D454" s="11">
        <v>5000</v>
      </c>
      <c r="E454" s="11">
        <v>5000</v>
      </c>
      <c r="F454" s="3"/>
      <c r="G454" s="2"/>
      <c r="H454" s="3">
        <v>43053</v>
      </c>
      <c r="I454" s="2" t="s">
        <v>19506</v>
      </c>
      <c r="J454" s="2" t="s">
        <v>15048</v>
      </c>
      <c r="K454" s="2"/>
      <c r="L454" s="82" t="s">
        <v>19512</v>
      </c>
    </row>
    <row r="455" spans="1:12" ht="120" customHeight="1" x14ac:dyDescent="0.3">
      <c r="A455" s="2">
        <v>451</v>
      </c>
      <c r="B455" s="66" t="s">
        <v>275</v>
      </c>
      <c r="C455" s="66" t="s">
        <v>389</v>
      </c>
      <c r="D455" s="11">
        <v>5000</v>
      </c>
      <c r="E455" s="11">
        <v>5000</v>
      </c>
      <c r="F455" s="3"/>
      <c r="G455" s="2"/>
      <c r="H455" s="3">
        <v>43053</v>
      </c>
      <c r="I455" s="2" t="s">
        <v>19506</v>
      </c>
      <c r="J455" s="2" t="s">
        <v>15048</v>
      </c>
      <c r="K455" s="2"/>
      <c r="L455" s="82" t="s">
        <v>19512</v>
      </c>
    </row>
    <row r="456" spans="1:12" ht="120" customHeight="1" x14ac:dyDescent="0.3">
      <c r="A456" s="2">
        <v>452</v>
      </c>
      <c r="B456" s="66" t="s">
        <v>275</v>
      </c>
      <c r="C456" s="66" t="s">
        <v>390</v>
      </c>
      <c r="D456" s="11">
        <v>5000</v>
      </c>
      <c r="E456" s="11">
        <v>5000</v>
      </c>
      <c r="F456" s="3"/>
      <c r="G456" s="2"/>
      <c r="H456" s="3">
        <v>43053</v>
      </c>
      <c r="I456" s="2" t="s">
        <v>19506</v>
      </c>
      <c r="J456" s="2" t="s">
        <v>15048</v>
      </c>
      <c r="K456" s="2"/>
      <c r="L456" s="82" t="s">
        <v>19512</v>
      </c>
    </row>
    <row r="457" spans="1:12" ht="120" customHeight="1" x14ac:dyDescent="0.3">
      <c r="A457" s="2">
        <v>453</v>
      </c>
      <c r="B457" s="66" t="s">
        <v>265</v>
      </c>
      <c r="C457" s="66" t="s">
        <v>391</v>
      </c>
      <c r="D457" s="11">
        <v>14788</v>
      </c>
      <c r="E457" s="11">
        <v>14788</v>
      </c>
      <c r="F457" s="3"/>
      <c r="G457" s="2"/>
      <c r="H457" s="3">
        <v>43053</v>
      </c>
      <c r="I457" s="2" t="s">
        <v>19506</v>
      </c>
      <c r="J457" s="2" t="s">
        <v>15048</v>
      </c>
      <c r="K457" s="2"/>
      <c r="L457" s="82" t="s">
        <v>19512</v>
      </c>
    </row>
    <row r="458" spans="1:12" ht="120" customHeight="1" x14ac:dyDescent="0.3">
      <c r="A458" s="2">
        <v>454</v>
      </c>
      <c r="B458" s="66" t="s">
        <v>265</v>
      </c>
      <c r="C458" s="66" t="s">
        <v>392</v>
      </c>
      <c r="D458" s="11">
        <v>13270</v>
      </c>
      <c r="E458" s="11">
        <v>13270</v>
      </c>
      <c r="F458" s="3"/>
      <c r="G458" s="2"/>
      <c r="H458" s="3">
        <v>43053</v>
      </c>
      <c r="I458" s="2" t="s">
        <v>19506</v>
      </c>
      <c r="J458" s="2" t="s">
        <v>15048</v>
      </c>
      <c r="K458" s="2"/>
      <c r="L458" s="82" t="s">
        <v>19512</v>
      </c>
    </row>
    <row r="459" spans="1:12" ht="120" customHeight="1" x14ac:dyDescent="0.3">
      <c r="A459" s="2">
        <v>455</v>
      </c>
      <c r="B459" s="66" t="s">
        <v>259</v>
      </c>
      <c r="C459" s="66" t="s">
        <v>393</v>
      </c>
      <c r="D459" s="11">
        <v>7018.85</v>
      </c>
      <c r="E459" s="11">
        <v>7018.85</v>
      </c>
      <c r="F459" s="3"/>
      <c r="G459" s="2"/>
      <c r="H459" s="3">
        <v>43053</v>
      </c>
      <c r="I459" s="2" t="s">
        <v>19506</v>
      </c>
      <c r="J459" s="2" t="s">
        <v>15048</v>
      </c>
      <c r="K459" s="2"/>
      <c r="L459" s="82" t="s">
        <v>19512</v>
      </c>
    </row>
    <row r="460" spans="1:12" ht="120" customHeight="1" x14ac:dyDescent="0.3">
      <c r="A460" s="2">
        <v>456</v>
      </c>
      <c r="B460" s="66" t="s">
        <v>259</v>
      </c>
      <c r="C460" s="66" t="s">
        <v>394</v>
      </c>
      <c r="D460" s="11">
        <v>7018.85</v>
      </c>
      <c r="E460" s="11">
        <v>7018.85</v>
      </c>
      <c r="F460" s="3"/>
      <c r="G460" s="2"/>
      <c r="H460" s="3">
        <v>43053</v>
      </c>
      <c r="I460" s="2" t="s">
        <v>19506</v>
      </c>
      <c r="J460" s="2" t="s">
        <v>15048</v>
      </c>
      <c r="K460" s="2"/>
      <c r="L460" s="82" t="s">
        <v>19512</v>
      </c>
    </row>
    <row r="461" spans="1:12" ht="120" customHeight="1" x14ac:dyDescent="0.3">
      <c r="A461" s="2">
        <v>457</v>
      </c>
      <c r="B461" s="66" t="s">
        <v>259</v>
      </c>
      <c r="C461" s="66" t="s">
        <v>395</v>
      </c>
      <c r="D461" s="11">
        <v>7018.85</v>
      </c>
      <c r="E461" s="11">
        <v>7018.85</v>
      </c>
      <c r="F461" s="3"/>
      <c r="G461" s="2"/>
      <c r="H461" s="3">
        <v>43053</v>
      </c>
      <c r="I461" s="2" t="s">
        <v>19506</v>
      </c>
      <c r="J461" s="2" t="s">
        <v>15048</v>
      </c>
      <c r="K461" s="2"/>
      <c r="L461" s="82" t="s">
        <v>19512</v>
      </c>
    </row>
    <row r="462" spans="1:12" ht="120" customHeight="1" x14ac:dyDescent="0.3">
      <c r="A462" s="2">
        <v>458</v>
      </c>
      <c r="B462" s="66" t="s">
        <v>259</v>
      </c>
      <c r="C462" s="66" t="s">
        <v>396</v>
      </c>
      <c r="D462" s="11">
        <v>7018.85</v>
      </c>
      <c r="E462" s="11">
        <v>7018.85</v>
      </c>
      <c r="F462" s="3"/>
      <c r="G462" s="2"/>
      <c r="H462" s="3">
        <v>43053</v>
      </c>
      <c r="I462" s="2" t="s">
        <v>19506</v>
      </c>
      <c r="J462" s="2" t="s">
        <v>15048</v>
      </c>
      <c r="K462" s="2"/>
      <c r="L462" s="82" t="s">
        <v>19512</v>
      </c>
    </row>
    <row r="463" spans="1:12" ht="120" customHeight="1" x14ac:dyDescent="0.3">
      <c r="A463" s="2">
        <v>459</v>
      </c>
      <c r="B463" s="66" t="s">
        <v>259</v>
      </c>
      <c r="C463" s="66" t="s">
        <v>397</v>
      </c>
      <c r="D463" s="11">
        <v>7018.85</v>
      </c>
      <c r="E463" s="11">
        <v>7018.85</v>
      </c>
      <c r="F463" s="3"/>
      <c r="G463" s="2"/>
      <c r="H463" s="3">
        <v>43053</v>
      </c>
      <c r="I463" s="2" t="s">
        <v>19506</v>
      </c>
      <c r="J463" s="2" t="s">
        <v>15048</v>
      </c>
      <c r="K463" s="2"/>
      <c r="L463" s="82" t="s">
        <v>19512</v>
      </c>
    </row>
    <row r="464" spans="1:12" ht="120" customHeight="1" x14ac:dyDescent="0.3">
      <c r="A464" s="2">
        <v>460</v>
      </c>
      <c r="B464" s="66" t="s">
        <v>259</v>
      </c>
      <c r="C464" s="66" t="s">
        <v>398</v>
      </c>
      <c r="D464" s="11">
        <v>14740.1</v>
      </c>
      <c r="E464" s="11">
        <v>14740.1</v>
      </c>
      <c r="F464" s="3"/>
      <c r="G464" s="2"/>
      <c r="H464" s="3">
        <v>43053</v>
      </c>
      <c r="I464" s="2" t="s">
        <v>19506</v>
      </c>
      <c r="J464" s="2" t="s">
        <v>15048</v>
      </c>
      <c r="K464" s="2"/>
      <c r="L464" s="82" t="s">
        <v>19512</v>
      </c>
    </row>
    <row r="465" spans="1:12" ht="120" customHeight="1" x14ac:dyDescent="0.3">
      <c r="A465" s="2">
        <v>461</v>
      </c>
      <c r="B465" s="66" t="s">
        <v>259</v>
      </c>
      <c r="C465" s="66" t="s">
        <v>399</v>
      </c>
      <c r="D465" s="11">
        <v>8452.2900000000009</v>
      </c>
      <c r="E465" s="11">
        <v>8452.2900000000009</v>
      </c>
      <c r="F465" s="3"/>
      <c r="G465" s="2"/>
      <c r="H465" s="3">
        <v>43053</v>
      </c>
      <c r="I465" s="2" t="s">
        <v>19506</v>
      </c>
      <c r="J465" s="2" t="s">
        <v>15048</v>
      </c>
      <c r="K465" s="2"/>
      <c r="L465" s="82" t="s">
        <v>19512</v>
      </c>
    </row>
    <row r="466" spans="1:12" ht="120" customHeight="1" x14ac:dyDescent="0.3">
      <c r="A466" s="2">
        <v>462</v>
      </c>
      <c r="B466" s="66" t="s">
        <v>259</v>
      </c>
      <c r="C466" s="66" t="s">
        <v>400</v>
      </c>
      <c r="D466" s="11">
        <v>8452.2900000000009</v>
      </c>
      <c r="E466" s="11">
        <v>8452.2900000000009</v>
      </c>
      <c r="F466" s="3"/>
      <c r="G466" s="2"/>
      <c r="H466" s="3">
        <v>43053</v>
      </c>
      <c r="I466" s="2" t="s">
        <v>19506</v>
      </c>
      <c r="J466" s="2" t="s">
        <v>15048</v>
      </c>
      <c r="K466" s="2"/>
      <c r="L466" s="82" t="s">
        <v>19512</v>
      </c>
    </row>
    <row r="467" spans="1:12" ht="120" customHeight="1" x14ac:dyDescent="0.3">
      <c r="A467" s="2">
        <v>463</v>
      </c>
      <c r="B467" s="66" t="s">
        <v>259</v>
      </c>
      <c r="C467" s="66" t="s">
        <v>401</v>
      </c>
      <c r="D467" s="11">
        <v>8452.2900000000009</v>
      </c>
      <c r="E467" s="11">
        <v>8452.2900000000009</v>
      </c>
      <c r="F467" s="3"/>
      <c r="G467" s="2"/>
      <c r="H467" s="3">
        <v>43053</v>
      </c>
      <c r="I467" s="2" t="s">
        <v>19506</v>
      </c>
      <c r="J467" s="2" t="s">
        <v>15048</v>
      </c>
      <c r="K467" s="2"/>
      <c r="L467" s="82" t="s">
        <v>19512</v>
      </c>
    </row>
    <row r="468" spans="1:12" ht="120" customHeight="1" x14ac:dyDescent="0.3">
      <c r="A468" s="2">
        <v>464</v>
      </c>
      <c r="B468" s="66" t="s">
        <v>259</v>
      </c>
      <c r="C468" s="66" t="s">
        <v>402</v>
      </c>
      <c r="D468" s="11">
        <v>8452.2900000000009</v>
      </c>
      <c r="E468" s="11">
        <v>8452.2900000000009</v>
      </c>
      <c r="F468" s="3"/>
      <c r="G468" s="2"/>
      <c r="H468" s="3">
        <v>43053</v>
      </c>
      <c r="I468" s="2" t="s">
        <v>19506</v>
      </c>
      <c r="J468" s="2" t="s">
        <v>15048</v>
      </c>
      <c r="K468" s="2"/>
      <c r="L468" s="82" t="s">
        <v>19512</v>
      </c>
    </row>
    <row r="469" spans="1:12" ht="120" customHeight="1" x14ac:dyDescent="0.3">
      <c r="A469" s="2">
        <v>465</v>
      </c>
      <c r="B469" s="66" t="s">
        <v>259</v>
      </c>
      <c r="C469" s="66" t="s">
        <v>403</v>
      </c>
      <c r="D469" s="11">
        <v>7490.43</v>
      </c>
      <c r="E469" s="11">
        <v>7490.43</v>
      </c>
      <c r="F469" s="3"/>
      <c r="G469" s="2"/>
      <c r="H469" s="3">
        <v>43053</v>
      </c>
      <c r="I469" s="2" t="s">
        <v>19506</v>
      </c>
      <c r="J469" s="2" t="s">
        <v>15048</v>
      </c>
      <c r="K469" s="2"/>
      <c r="L469" s="82" t="s">
        <v>19512</v>
      </c>
    </row>
    <row r="470" spans="1:12" ht="120" customHeight="1" x14ac:dyDescent="0.3">
      <c r="A470" s="2">
        <v>466</v>
      </c>
      <c r="B470" s="66" t="s">
        <v>259</v>
      </c>
      <c r="C470" s="66" t="s">
        <v>404</v>
      </c>
      <c r="D470" s="11">
        <v>7490.43</v>
      </c>
      <c r="E470" s="11">
        <v>7490.43</v>
      </c>
      <c r="F470" s="3"/>
      <c r="G470" s="2"/>
      <c r="H470" s="3">
        <v>43053</v>
      </c>
      <c r="I470" s="2" t="s">
        <v>19506</v>
      </c>
      <c r="J470" s="2" t="s">
        <v>15048</v>
      </c>
      <c r="K470" s="2"/>
      <c r="L470" s="82" t="s">
        <v>19512</v>
      </c>
    </row>
    <row r="471" spans="1:12" ht="120" customHeight="1" x14ac:dyDescent="0.3">
      <c r="A471" s="2">
        <v>467</v>
      </c>
      <c r="B471" s="66" t="s">
        <v>259</v>
      </c>
      <c r="C471" s="66" t="s">
        <v>405</v>
      </c>
      <c r="D471" s="11">
        <v>4229.28</v>
      </c>
      <c r="E471" s="11">
        <v>4229.28</v>
      </c>
      <c r="F471" s="3"/>
      <c r="G471" s="2"/>
      <c r="H471" s="3">
        <v>43053</v>
      </c>
      <c r="I471" s="2" t="s">
        <v>19506</v>
      </c>
      <c r="J471" s="2" t="s">
        <v>15048</v>
      </c>
      <c r="K471" s="2"/>
      <c r="L471" s="82" t="s">
        <v>19512</v>
      </c>
    </row>
    <row r="472" spans="1:12" ht="120" customHeight="1" x14ac:dyDescent="0.3">
      <c r="A472" s="2">
        <v>468</v>
      </c>
      <c r="B472" s="66" t="s">
        <v>259</v>
      </c>
      <c r="C472" s="66" t="s">
        <v>406</v>
      </c>
      <c r="D472" s="11">
        <v>4229.28</v>
      </c>
      <c r="E472" s="11">
        <v>4229.28</v>
      </c>
      <c r="F472" s="3"/>
      <c r="G472" s="2"/>
      <c r="H472" s="3">
        <v>43053</v>
      </c>
      <c r="I472" s="2" t="s">
        <v>19506</v>
      </c>
      <c r="J472" s="2" t="s">
        <v>15048</v>
      </c>
      <c r="K472" s="2"/>
      <c r="L472" s="82" t="s">
        <v>19512</v>
      </c>
    </row>
    <row r="473" spans="1:12" ht="120" customHeight="1" x14ac:dyDescent="0.3">
      <c r="A473" s="2">
        <v>469</v>
      </c>
      <c r="B473" s="66" t="s">
        <v>259</v>
      </c>
      <c r="C473" s="66" t="s">
        <v>407</v>
      </c>
      <c r="D473" s="11">
        <v>4229.28</v>
      </c>
      <c r="E473" s="11">
        <v>4229.28</v>
      </c>
      <c r="F473" s="3"/>
      <c r="G473" s="2"/>
      <c r="H473" s="3">
        <v>43053</v>
      </c>
      <c r="I473" s="2" t="s">
        <v>19506</v>
      </c>
      <c r="J473" s="2" t="s">
        <v>15048</v>
      </c>
      <c r="K473" s="2"/>
      <c r="L473" s="82" t="s">
        <v>19512</v>
      </c>
    </row>
    <row r="474" spans="1:12" ht="120" customHeight="1" x14ac:dyDescent="0.3">
      <c r="A474" s="2">
        <v>470</v>
      </c>
      <c r="B474" s="66" t="s">
        <v>259</v>
      </c>
      <c r="C474" s="66" t="s">
        <v>408</v>
      </c>
      <c r="D474" s="11">
        <v>4229.28</v>
      </c>
      <c r="E474" s="11">
        <v>4229.28</v>
      </c>
      <c r="F474" s="3"/>
      <c r="G474" s="2"/>
      <c r="H474" s="3">
        <v>43053</v>
      </c>
      <c r="I474" s="2" t="s">
        <v>19506</v>
      </c>
      <c r="J474" s="2" t="s">
        <v>15048</v>
      </c>
      <c r="K474" s="2"/>
      <c r="L474" s="82" t="s">
        <v>19512</v>
      </c>
    </row>
    <row r="475" spans="1:12" ht="120" customHeight="1" x14ac:dyDescent="0.3">
      <c r="A475" s="2">
        <v>471</v>
      </c>
      <c r="B475" s="66" t="s">
        <v>259</v>
      </c>
      <c r="C475" s="66" t="s">
        <v>409</v>
      </c>
      <c r="D475" s="11">
        <v>4229.28</v>
      </c>
      <c r="E475" s="11">
        <v>4229.28</v>
      </c>
      <c r="F475" s="3"/>
      <c r="G475" s="2"/>
      <c r="H475" s="3">
        <v>43053</v>
      </c>
      <c r="I475" s="2" t="s">
        <v>19506</v>
      </c>
      <c r="J475" s="2" t="s">
        <v>15048</v>
      </c>
      <c r="K475" s="2"/>
      <c r="L475" s="82" t="s">
        <v>19512</v>
      </c>
    </row>
    <row r="476" spans="1:12" ht="120" customHeight="1" x14ac:dyDescent="0.3">
      <c r="A476" s="2">
        <v>472</v>
      </c>
      <c r="B476" s="66" t="s">
        <v>259</v>
      </c>
      <c r="C476" s="66" t="s">
        <v>410</v>
      </c>
      <c r="D476" s="11">
        <v>4229.24</v>
      </c>
      <c r="E476" s="11">
        <v>4229.24</v>
      </c>
      <c r="F476" s="3"/>
      <c r="G476" s="2"/>
      <c r="H476" s="3">
        <v>43053</v>
      </c>
      <c r="I476" s="2" t="s">
        <v>19506</v>
      </c>
      <c r="J476" s="2" t="s">
        <v>15048</v>
      </c>
      <c r="K476" s="2"/>
      <c r="L476" s="82" t="s">
        <v>19512</v>
      </c>
    </row>
    <row r="477" spans="1:12" ht="72" customHeight="1" x14ac:dyDescent="0.3">
      <c r="A477" s="2">
        <v>473</v>
      </c>
      <c r="B477" s="66" t="s">
        <v>263</v>
      </c>
      <c r="C477" s="66" t="s">
        <v>411</v>
      </c>
      <c r="D477" s="11">
        <v>7050</v>
      </c>
      <c r="E477" s="11">
        <v>7050</v>
      </c>
      <c r="F477" s="3"/>
      <c r="G477" s="2"/>
      <c r="H477" s="3">
        <v>42267</v>
      </c>
      <c r="I477" s="2" t="s">
        <v>12072</v>
      </c>
      <c r="J477" s="2" t="s">
        <v>15048</v>
      </c>
      <c r="K477" s="2"/>
      <c r="L477" s="82"/>
    </row>
    <row r="478" spans="1:12" ht="120" customHeight="1" x14ac:dyDescent="0.3">
      <c r="A478" s="2">
        <v>474</v>
      </c>
      <c r="B478" s="66" t="s">
        <v>263</v>
      </c>
      <c r="C478" s="66" t="s">
        <v>412</v>
      </c>
      <c r="D478" s="11">
        <v>7050</v>
      </c>
      <c r="E478" s="11">
        <v>7050</v>
      </c>
      <c r="F478" s="3"/>
      <c r="G478" s="2"/>
      <c r="H478" s="3">
        <v>43053</v>
      </c>
      <c r="I478" s="2" t="s">
        <v>19506</v>
      </c>
      <c r="J478" s="2" t="s">
        <v>15048</v>
      </c>
      <c r="K478" s="2"/>
      <c r="L478" s="82" t="s">
        <v>19512</v>
      </c>
    </row>
    <row r="479" spans="1:12" ht="72" customHeight="1" x14ac:dyDescent="0.3">
      <c r="A479" s="2">
        <v>475</v>
      </c>
      <c r="B479" s="66" t="s">
        <v>263</v>
      </c>
      <c r="C479" s="66" t="s">
        <v>413</v>
      </c>
      <c r="D479" s="11">
        <v>7050</v>
      </c>
      <c r="E479" s="11">
        <v>7050</v>
      </c>
      <c r="F479" s="3"/>
      <c r="G479" s="2"/>
      <c r="H479" s="3">
        <v>42324</v>
      </c>
      <c r="I479" s="2" t="s">
        <v>12042</v>
      </c>
      <c r="J479" s="2" t="s">
        <v>15048</v>
      </c>
      <c r="K479" s="2"/>
      <c r="L479" s="82"/>
    </row>
    <row r="480" spans="1:12" ht="72" customHeight="1" x14ac:dyDescent="0.3">
      <c r="A480" s="2">
        <v>476</v>
      </c>
      <c r="B480" s="66" t="s">
        <v>263</v>
      </c>
      <c r="C480" s="66" t="s">
        <v>414</v>
      </c>
      <c r="D480" s="11">
        <v>7050</v>
      </c>
      <c r="E480" s="11">
        <v>7050</v>
      </c>
      <c r="F480" s="3"/>
      <c r="G480" s="2"/>
      <c r="H480" s="3">
        <v>42324</v>
      </c>
      <c r="I480" s="2" t="s">
        <v>12042</v>
      </c>
      <c r="J480" s="2" t="s">
        <v>15048</v>
      </c>
      <c r="K480" s="2"/>
      <c r="L480" s="82"/>
    </row>
    <row r="481" spans="1:12" ht="72" customHeight="1" x14ac:dyDescent="0.3">
      <c r="A481" s="2">
        <v>477</v>
      </c>
      <c r="B481" s="66" t="s">
        <v>263</v>
      </c>
      <c r="C481" s="66" t="s">
        <v>415</v>
      </c>
      <c r="D481" s="11">
        <v>7050</v>
      </c>
      <c r="E481" s="11">
        <v>7050</v>
      </c>
      <c r="F481" s="3"/>
      <c r="G481" s="2"/>
      <c r="H481" s="3">
        <v>42267</v>
      </c>
      <c r="I481" s="2" t="s">
        <v>12072</v>
      </c>
      <c r="J481" s="2" t="s">
        <v>15048</v>
      </c>
      <c r="K481" s="2"/>
      <c r="L481" s="82"/>
    </row>
    <row r="482" spans="1:12" ht="120" customHeight="1" x14ac:dyDescent="0.3">
      <c r="A482" s="2">
        <v>478</v>
      </c>
      <c r="B482" s="66" t="s">
        <v>263</v>
      </c>
      <c r="C482" s="66" t="s">
        <v>416</v>
      </c>
      <c r="D482" s="11">
        <v>7050</v>
      </c>
      <c r="E482" s="11">
        <v>7050</v>
      </c>
      <c r="F482" s="3"/>
      <c r="G482" s="2"/>
      <c r="H482" s="3">
        <v>43053</v>
      </c>
      <c r="I482" s="2" t="s">
        <v>19506</v>
      </c>
      <c r="J482" s="2" t="s">
        <v>15048</v>
      </c>
      <c r="K482" s="2"/>
      <c r="L482" s="82" t="s">
        <v>19512</v>
      </c>
    </row>
    <row r="483" spans="1:12" ht="120" customHeight="1" x14ac:dyDescent="0.3">
      <c r="A483" s="2">
        <v>479</v>
      </c>
      <c r="B483" s="66" t="s">
        <v>263</v>
      </c>
      <c r="C483" s="66" t="s">
        <v>417</v>
      </c>
      <c r="D483" s="11">
        <v>7050</v>
      </c>
      <c r="E483" s="11">
        <v>7050</v>
      </c>
      <c r="F483" s="3"/>
      <c r="G483" s="2"/>
      <c r="H483" s="3">
        <v>43053</v>
      </c>
      <c r="I483" s="2" t="s">
        <v>19506</v>
      </c>
      <c r="J483" s="2" t="s">
        <v>15048</v>
      </c>
      <c r="K483" s="2"/>
      <c r="L483" s="82" t="s">
        <v>19512</v>
      </c>
    </row>
    <row r="484" spans="1:12" ht="120" customHeight="1" x14ac:dyDescent="0.3">
      <c r="A484" s="2">
        <v>480</v>
      </c>
      <c r="B484" s="66" t="s">
        <v>263</v>
      </c>
      <c r="C484" s="66" t="s">
        <v>418</v>
      </c>
      <c r="D484" s="11">
        <v>7050</v>
      </c>
      <c r="E484" s="11">
        <v>7050</v>
      </c>
      <c r="F484" s="3"/>
      <c r="G484" s="2"/>
      <c r="H484" s="3">
        <v>43053</v>
      </c>
      <c r="I484" s="2" t="s">
        <v>19506</v>
      </c>
      <c r="J484" s="2" t="s">
        <v>15048</v>
      </c>
      <c r="K484" s="2"/>
      <c r="L484" s="82" t="s">
        <v>19512</v>
      </c>
    </row>
    <row r="485" spans="1:12" ht="72" customHeight="1" x14ac:dyDescent="0.3">
      <c r="A485" s="2">
        <v>481</v>
      </c>
      <c r="B485" s="66" t="s">
        <v>274</v>
      </c>
      <c r="C485" s="66" t="s">
        <v>419</v>
      </c>
      <c r="D485" s="11">
        <v>214990</v>
      </c>
      <c r="E485" s="11">
        <v>214990</v>
      </c>
      <c r="F485" s="3">
        <v>39155</v>
      </c>
      <c r="G485" s="2" t="s">
        <v>20215</v>
      </c>
      <c r="H485" s="2"/>
      <c r="I485" s="2"/>
      <c r="J485" s="2" t="s">
        <v>15048</v>
      </c>
      <c r="K485" s="2"/>
      <c r="L485" s="82"/>
    </row>
    <row r="486" spans="1:12" ht="120" customHeight="1" x14ac:dyDescent="0.3">
      <c r="A486" s="2">
        <v>482</v>
      </c>
      <c r="B486" s="66" t="s">
        <v>266</v>
      </c>
      <c r="C486" s="66" t="s">
        <v>420</v>
      </c>
      <c r="D486" s="11">
        <v>19128</v>
      </c>
      <c r="E486" s="11">
        <v>19128</v>
      </c>
      <c r="F486" s="3"/>
      <c r="G486" s="2"/>
      <c r="H486" s="3">
        <v>43053</v>
      </c>
      <c r="I486" s="2" t="s">
        <v>19506</v>
      </c>
      <c r="J486" s="2" t="s">
        <v>15048</v>
      </c>
      <c r="K486" s="2"/>
      <c r="L486" s="82" t="s">
        <v>19512</v>
      </c>
    </row>
    <row r="487" spans="1:12" ht="120" customHeight="1" x14ac:dyDescent="0.3">
      <c r="A487" s="2">
        <v>483</v>
      </c>
      <c r="B487" s="66" t="s">
        <v>272</v>
      </c>
      <c r="C487" s="66" t="s">
        <v>421</v>
      </c>
      <c r="D487" s="11">
        <v>3016</v>
      </c>
      <c r="E487" s="11">
        <v>3016</v>
      </c>
      <c r="F487" s="3"/>
      <c r="G487" s="2"/>
      <c r="H487" s="3">
        <v>43053</v>
      </c>
      <c r="I487" s="2" t="s">
        <v>19506</v>
      </c>
      <c r="J487" s="2" t="s">
        <v>15048</v>
      </c>
      <c r="K487" s="2"/>
      <c r="L487" s="82" t="s">
        <v>19512</v>
      </c>
    </row>
    <row r="488" spans="1:12" ht="120" customHeight="1" x14ac:dyDescent="0.3">
      <c r="A488" s="2">
        <v>484</v>
      </c>
      <c r="B488" s="66" t="s">
        <v>272</v>
      </c>
      <c r="C488" s="66" t="s">
        <v>422</v>
      </c>
      <c r="D488" s="11">
        <v>3016</v>
      </c>
      <c r="E488" s="11">
        <v>3016</v>
      </c>
      <c r="F488" s="3"/>
      <c r="G488" s="2"/>
      <c r="H488" s="3">
        <v>43053</v>
      </c>
      <c r="I488" s="2" t="s">
        <v>19506</v>
      </c>
      <c r="J488" s="2" t="s">
        <v>15048</v>
      </c>
      <c r="K488" s="2"/>
      <c r="L488" s="82" t="s">
        <v>19512</v>
      </c>
    </row>
    <row r="489" spans="1:12" ht="120" customHeight="1" x14ac:dyDescent="0.3">
      <c r="A489" s="2">
        <v>485</v>
      </c>
      <c r="B489" s="66" t="s">
        <v>276</v>
      </c>
      <c r="C489" s="66" t="s">
        <v>423</v>
      </c>
      <c r="D489" s="11">
        <v>3017</v>
      </c>
      <c r="E489" s="11">
        <v>3017</v>
      </c>
      <c r="F489" s="3"/>
      <c r="G489" s="2"/>
      <c r="H489" s="3">
        <v>43053</v>
      </c>
      <c r="I489" s="2" t="s">
        <v>19506</v>
      </c>
      <c r="J489" s="2" t="s">
        <v>15048</v>
      </c>
      <c r="K489" s="2"/>
      <c r="L489" s="82" t="s">
        <v>19512</v>
      </c>
    </row>
    <row r="490" spans="1:12" ht="120" customHeight="1" x14ac:dyDescent="0.3">
      <c r="A490" s="2">
        <v>486</v>
      </c>
      <c r="B490" s="66" t="s">
        <v>277</v>
      </c>
      <c r="C490" s="66" t="s">
        <v>424</v>
      </c>
      <c r="D490" s="11">
        <v>6800</v>
      </c>
      <c r="E490" s="11">
        <v>6800</v>
      </c>
      <c r="F490" s="3"/>
      <c r="G490" s="2"/>
      <c r="H490" s="3">
        <v>43053</v>
      </c>
      <c r="I490" s="2" t="s">
        <v>19506</v>
      </c>
      <c r="J490" s="2" t="s">
        <v>15048</v>
      </c>
      <c r="K490" s="2"/>
      <c r="L490" s="82" t="s">
        <v>19512</v>
      </c>
    </row>
    <row r="491" spans="1:12" ht="120" customHeight="1" x14ac:dyDescent="0.3">
      <c r="A491" s="2">
        <v>487</v>
      </c>
      <c r="B491" s="66" t="s">
        <v>278</v>
      </c>
      <c r="C491" s="66" t="s">
        <v>425</v>
      </c>
      <c r="D491" s="11">
        <v>20129</v>
      </c>
      <c r="E491" s="11">
        <v>20129</v>
      </c>
      <c r="F491" s="3"/>
      <c r="G491" s="2"/>
      <c r="H491" s="3">
        <v>43053</v>
      </c>
      <c r="I491" s="2" t="s">
        <v>19506</v>
      </c>
      <c r="J491" s="2" t="s">
        <v>15048</v>
      </c>
      <c r="K491" s="2"/>
      <c r="L491" s="82" t="s">
        <v>19512</v>
      </c>
    </row>
    <row r="492" spans="1:12" ht="120" customHeight="1" x14ac:dyDescent="0.3">
      <c r="A492" s="2">
        <v>488</v>
      </c>
      <c r="B492" s="66" t="s">
        <v>279</v>
      </c>
      <c r="C492" s="66" t="s">
        <v>426</v>
      </c>
      <c r="D492" s="11">
        <v>21092</v>
      </c>
      <c r="E492" s="11">
        <v>21092</v>
      </c>
      <c r="F492" s="3"/>
      <c r="G492" s="2"/>
      <c r="H492" s="3">
        <v>43053</v>
      </c>
      <c r="I492" s="2" t="s">
        <v>19506</v>
      </c>
      <c r="J492" s="2" t="s">
        <v>15048</v>
      </c>
      <c r="K492" s="2"/>
      <c r="L492" s="82" t="s">
        <v>19512</v>
      </c>
    </row>
    <row r="493" spans="1:12" ht="120" customHeight="1" x14ac:dyDescent="0.3">
      <c r="A493" s="2">
        <v>489</v>
      </c>
      <c r="B493" s="66" t="s">
        <v>279</v>
      </c>
      <c r="C493" s="66" t="s">
        <v>427</v>
      </c>
      <c r="D493" s="11">
        <v>21092</v>
      </c>
      <c r="E493" s="11">
        <v>21092</v>
      </c>
      <c r="F493" s="3"/>
      <c r="G493" s="2"/>
      <c r="H493" s="3">
        <v>43053</v>
      </c>
      <c r="I493" s="2" t="s">
        <v>19506</v>
      </c>
      <c r="J493" s="2" t="s">
        <v>15048</v>
      </c>
      <c r="K493" s="2"/>
      <c r="L493" s="82" t="s">
        <v>19512</v>
      </c>
    </row>
    <row r="494" spans="1:12" ht="120" customHeight="1" x14ac:dyDescent="0.3">
      <c r="A494" s="2">
        <v>490</v>
      </c>
      <c r="B494" s="66" t="s">
        <v>280</v>
      </c>
      <c r="C494" s="66" t="s">
        <v>428</v>
      </c>
      <c r="D494" s="11">
        <v>25717</v>
      </c>
      <c r="E494" s="11">
        <v>25717</v>
      </c>
      <c r="F494" s="3"/>
      <c r="G494" s="2"/>
      <c r="H494" s="3">
        <v>43053</v>
      </c>
      <c r="I494" s="2" t="s">
        <v>19506</v>
      </c>
      <c r="J494" s="2" t="s">
        <v>15048</v>
      </c>
      <c r="K494" s="2"/>
      <c r="L494" s="82" t="s">
        <v>19512</v>
      </c>
    </row>
    <row r="495" spans="1:12" ht="120" customHeight="1" x14ac:dyDescent="0.3">
      <c r="A495" s="2">
        <v>491</v>
      </c>
      <c r="B495" s="66" t="s">
        <v>281</v>
      </c>
      <c r="C495" s="66" t="s">
        <v>429</v>
      </c>
      <c r="D495" s="11">
        <v>36541</v>
      </c>
      <c r="E495" s="11">
        <v>36541</v>
      </c>
      <c r="F495" s="3"/>
      <c r="G495" s="2"/>
      <c r="H495" s="3">
        <v>43053</v>
      </c>
      <c r="I495" s="2" t="s">
        <v>19506</v>
      </c>
      <c r="J495" s="2" t="s">
        <v>15048</v>
      </c>
      <c r="K495" s="2"/>
      <c r="L495" s="82" t="s">
        <v>19512</v>
      </c>
    </row>
    <row r="496" spans="1:12" ht="120" customHeight="1" x14ac:dyDescent="0.3">
      <c r="A496" s="2">
        <v>492</v>
      </c>
      <c r="B496" s="66" t="s">
        <v>282</v>
      </c>
      <c r="C496" s="66" t="s">
        <v>430</v>
      </c>
      <c r="D496" s="11">
        <v>41896</v>
      </c>
      <c r="E496" s="11">
        <v>41896</v>
      </c>
      <c r="F496" s="3"/>
      <c r="G496" s="2"/>
      <c r="H496" s="3">
        <v>43053</v>
      </c>
      <c r="I496" s="2" t="s">
        <v>19506</v>
      </c>
      <c r="J496" s="2" t="s">
        <v>15048</v>
      </c>
      <c r="K496" s="2"/>
      <c r="L496" s="82" t="s">
        <v>19512</v>
      </c>
    </row>
    <row r="497" spans="1:12" ht="120" customHeight="1" x14ac:dyDescent="0.3">
      <c r="A497" s="2">
        <v>493</v>
      </c>
      <c r="B497" s="66" t="s">
        <v>283</v>
      </c>
      <c r="C497" s="66" t="s">
        <v>431</v>
      </c>
      <c r="D497" s="11">
        <v>4989.99</v>
      </c>
      <c r="E497" s="11">
        <v>4989.99</v>
      </c>
      <c r="F497" s="3"/>
      <c r="G497" s="2"/>
      <c r="H497" s="3">
        <v>43053</v>
      </c>
      <c r="I497" s="2" t="s">
        <v>19506</v>
      </c>
      <c r="J497" s="2" t="s">
        <v>15048</v>
      </c>
      <c r="K497" s="2"/>
      <c r="L497" s="82" t="s">
        <v>19512</v>
      </c>
    </row>
    <row r="498" spans="1:12" ht="120" customHeight="1" x14ac:dyDescent="0.3">
      <c r="A498" s="2">
        <v>494</v>
      </c>
      <c r="B498" s="66" t="s">
        <v>283</v>
      </c>
      <c r="C498" s="66" t="s">
        <v>432</v>
      </c>
      <c r="D498" s="11">
        <v>4990</v>
      </c>
      <c r="E498" s="11">
        <v>4990</v>
      </c>
      <c r="F498" s="3"/>
      <c r="G498" s="2"/>
      <c r="H498" s="3">
        <v>43053</v>
      </c>
      <c r="I498" s="2" t="s">
        <v>19506</v>
      </c>
      <c r="J498" s="2" t="s">
        <v>15048</v>
      </c>
      <c r="K498" s="2"/>
      <c r="L498" s="82" t="s">
        <v>19512</v>
      </c>
    </row>
    <row r="499" spans="1:12" ht="120" customHeight="1" x14ac:dyDescent="0.3">
      <c r="A499" s="2">
        <v>495</v>
      </c>
      <c r="B499" s="66" t="s">
        <v>284</v>
      </c>
      <c r="C499" s="66" t="s">
        <v>433</v>
      </c>
      <c r="D499" s="11">
        <v>3241.6</v>
      </c>
      <c r="E499" s="11">
        <v>3241.6</v>
      </c>
      <c r="F499" s="3"/>
      <c r="G499" s="2"/>
      <c r="H499" s="3">
        <v>43053</v>
      </c>
      <c r="I499" s="2" t="s">
        <v>19506</v>
      </c>
      <c r="J499" s="2" t="s">
        <v>15048</v>
      </c>
      <c r="K499" s="2"/>
      <c r="L499" s="82" t="s">
        <v>19512</v>
      </c>
    </row>
    <row r="500" spans="1:12" ht="120" customHeight="1" x14ac:dyDescent="0.3">
      <c r="A500" s="2">
        <v>496</v>
      </c>
      <c r="B500" s="66" t="s">
        <v>285</v>
      </c>
      <c r="C500" s="66" t="s">
        <v>434</v>
      </c>
      <c r="D500" s="11">
        <v>4243.25</v>
      </c>
      <c r="E500" s="11">
        <v>4243.25</v>
      </c>
      <c r="F500" s="3"/>
      <c r="G500" s="2"/>
      <c r="H500" s="3">
        <v>43053</v>
      </c>
      <c r="I500" s="2" t="s">
        <v>19506</v>
      </c>
      <c r="J500" s="2" t="s">
        <v>15048</v>
      </c>
      <c r="K500" s="2"/>
      <c r="L500" s="82" t="s">
        <v>19512</v>
      </c>
    </row>
    <row r="501" spans="1:12" ht="120" customHeight="1" x14ac:dyDescent="0.3">
      <c r="A501" s="2">
        <v>497</v>
      </c>
      <c r="B501" s="66" t="s">
        <v>286</v>
      </c>
      <c r="C501" s="66" t="s">
        <v>435</v>
      </c>
      <c r="D501" s="11">
        <v>4917.51</v>
      </c>
      <c r="E501" s="11">
        <v>4917.51</v>
      </c>
      <c r="F501" s="3"/>
      <c r="G501" s="2"/>
      <c r="H501" s="3">
        <v>43053</v>
      </c>
      <c r="I501" s="2" t="s">
        <v>19506</v>
      </c>
      <c r="J501" s="2" t="s">
        <v>15048</v>
      </c>
      <c r="K501" s="2"/>
      <c r="L501" s="82" t="s">
        <v>19512</v>
      </c>
    </row>
    <row r="502" spans="1:12" ht="120" customHeight="1" x14ac:dyDescent="0.3">
      <c r="A502" s="2">
        <v>498</v>
      </c>
      <c r="B502" s="66" t="s">
        <v>287</v>
      </c>
      <c r="C502" s="66" t="s">
        <v>436</v>
      </c>
      <c r="D502" s="11">
        <v>6926.22</v>
      </c>
      <c r="E502" s="11">
        <v>6926.22</v>
      </c>
      <c r="F502" s="3"/>
      <c r="G502" s="2"/>
      <c r="H502" s="3">
        <v>43053</v>
      </c>
      <c r="I502" s="2" t="s">
        <v>19506</v>
      </c>
      <c r="J502" s="2" t="s">
        <v>15048</v>
      </c>
      <c r="K502" s="2"/>
      <c r="L502" s="82" t="s">
        <v>19512</v>
      </c>
    </row>
    <row r="503" spans="1:12" ht="120" customHeight="1" x14ac:dyDescent="0.3">
      <c r="A503" s="2">
        <v>499</v>
      </c>
      <c r="B503" s="66" t="s">
        <v>259</v>
      </c>
      <c r="C503" s="66" t="s">
        <v>437</v>
      </c>
      <c r="D503" s="11">
        <v>4701.3999999999996</v>
      </c>
      <c r="E503" s="11">
        <v>4701.3999999999996</v>
      </c>
      <c r="F503" s="3"/>
      <c r="G503" s="2"/>
      <c r="H503" s="3">
        <v>43053</v>
      </c>
      <c r="I503" s="2" t="s">
        <v>19506</v>
      </c>
      <c r="J503" s="2" t="s">
        <v>15048</v>
      </c>
      <c r="K503" s="2"/>
      <c r="L503" s="82" t="s">
        <v>19512</v>
      </c>
    </row>
    <row r="504" spans="1:12" ht="120" customHeight="1" x14ac:dyDescent="0.3">
      <c r="A504" s="2">
        <v>500</v>
      </c>
      <c r="B504" s="66" t="s">
        <v>288</v>
      </c>
      <c r="C504" s="66" t="s">
        <v>438</v>
      </c>
      <c r="D504" s="11">
        <v>3784</v>
      </c>
      <c r="E504" s="11">
        <v>3784</v>
      </c>
      <c r="F504" s="3"/>
      <c r="G504" s="2"/>
      <c r="H504" s="3">
        <v>43053</v>
      </c>
      <c r="I504" s="2" t="s">
        <v>19506</v>
      </c>
      <c r="J504" s="2" t="s">
        <v>15048</v>
      </c>
      <c r="K504" s="2"/>
      <c r="L504" s="82" t="s">
        <v>19512</v>
      </c>
    </row>
    <row r="505" spans="1:12" ht="120" customHeight="1" x14ac:dyDescent="0.3">
      <c r="A505" s="2">
        <v>501</v>
      </c>
      <c r="B505" s="66" t="s">
        <v>288</v>
      </c>
      <c r="C505" s="66" t="s">
        <v>439</v>
      </c>
      <c r="D505" s="11">
        <v>3784</v>
      </c>
      <c r="E505" s="11">
        <v>3784</v>
      </c>
      <c r="F505" s="3"/>
      <c r="G505" s="2"/>
      <c r="H505" s="3">
        <v>43053</v>
      </c>
      <c r="I505" s="2" t="s">
        <v>19506</v>
      </c>
      <c r="J505" s="2" t="s">
        <v>15048</v>
      </c>
      <c r="K505" s="2"/>
      <c r="L505" s="82" t="s">
        <v>19512</v>
      </c>
    </row>
    <row r="506" spans="1:12" ht="120" customHeight="1" x14ac:dyDescent="0.3">
      <c r="A506" s="2">
        <v>502</v>
      </c>
      <c r="B506" s="66" t="s">
        <v>288</v>
      </c>
      <c r="C506" s="66" t="s">
        <v>440</v>
      </c>
      <c r="D506" s="11">
        <v>3784</v>
      </c>
      <c r="E506" s="11">
        <v>3784</v>
      </c>
      <c r="F506" s="3"/>
      <c r="G506" s="2"/>
      <c r="H506" s="3">
        <v>43053</v>
      </c>
      <c r="I506" s="2" t="s">
        <v>19506</v>
      </c>
      <c r="J506" s="2" t="s">
        <v>15048</v>
      </c>
      <c r="K506" s="2"/>
      <c r="L506" s="82" t="s">
        <v>19512</v>
      </c>
    </row>
    <row r="507" spans="1:12" ht="120" customHeight="1" x14ac:dyDescent="0.3">
      <c r="A507" s="2">
        <v>503</v>
      </c>
      <c r="B507" s="66" t="s">
        <v>288</v>
      </c>
      <c r="C507" s="66" t="s">
        <v>441</v>
      </c>
      <c r="D507" s="11">
        <v>4018</v>
      </c>
      <c r="E507" s="11">
        <v>4018</v>
      </c>
      <c r="F507" s="3"/>
      <c r="G507" s="2"/>
      <c r="H507" s="3">
        <v>43053</v>
      </c>
      <c r="I507" s="2" t="s">
        <v>19506</v>
      </c>
      <c r="J507" s="2" t="s">
        <v>15048</v>
      </c>
      <c r="K507" s="2"/>
      <c r="L507" s="82" t="s">
        <v>19512</v>
      </c>
    </row>
    <row r="508" spans="1:12" ht="120" customHeight="1" x14ac:dyDescent="0.3">
      <c r="A508" s="2">
        <v>504</v>
      </c>
      <c r="B508" s="66" t="s">
        <v>288</v>
      </c>
      <c r="C508" s="66" t="s">
        <v>442</v>
      </c>
      <c r="D508" s="11">
        <v>4018</v>
      </c>
      <c r="E508" s="11">
        <v>4018</v>
      </c>
      <c r="F508" s="3"/>
      <c r="G508" s="2"/>
      <c r="H508" s="3">
        <v>43053</v>
      </c>
      <c r="I508" s="2" t="s">
        <v>19506</v>
      </c>
      <c r="J508" s="2" t="s">
        <v>15048</v>
      </c>
      <c r="K508" s="2"/>
      <c r="L508" s="82" t="s">
        <v>19512</v>
      </c>
    </row>
    <row r="509" spans="1:12" ht="120" customHeight="1" x14ac:dyDescent="0.3">
      <c r="A509" s="2">
        <v>505</v>
      </c>
      <c r="B509" s="66" t="s">
        <v>288</v>
      </c>
      <c r="C509" s="66" t="s">
        <v>443</v>
      </c>
      <c r="D509" s="11">
        <v>4018</v>
      </c>
      <c r="E509" s="11">
        <v>4018</v>
      </c>
      <c r="F509" s="3"/>
      <c r="G509" s="2"/>
      <c r="H509" s="3">
        <v>43053</v>
      </c>
      <c r="I509" s="2" t="s">
        <v>19506</v>
      </c>
      <c r="J509" s="2" t="s">
        <v>15048</v>
      </c>
      <c r="K509" s="2"/>
      <c r="L509" s="82" t="s">
        <v>19512</v>
      </c>
    </row>
    <row r="510" spans="1:12" ht="120" customHeight="1" x14ac:dyDescent="0.3">
      <c r="A510" s="2">
        <v>506</v>
      </c>
      <c r="B510" s="66" t="s">
        <v>289</v>
      </c>
      <c r="C510" s="66" t="s">
        <v>444</v>
      </c>
      <c r="D510" s="11">
        <v>3450</v>
      </c>
      <c r="E510" s="11">
        <v>3450</v>
      </c>
      <c r="F510" s="3"/>
      <c r="G510" s="2"/>
      <c r="H510" s="3">
        <v>43053</v>
      </c>
      <c r="I510" s="2" t="s">
        <v>19506</v>
      </c>
      <c r="J510" s="2" t="s">
        <v>15048</v>
      </c>
      <c r="K510" s="2"/>
      <c r="L510" s="82" t="s">
        <v>19512</v>
      </c>
    </row>
    <row r="511" spans="1:12" ht="120" customHeight="1" x14ac:dyDescent="0.3">
      <c r="A511" s="2">
        <v>507</v>
      </c>
      <c r="B511" s="66" t="s">
        <v>289</v>
      </c>
      <c r="C511" s="66" t="s">
        <v>445</v>
      </c>
      <c r="D511" s="11">
        <v>3450</v>
      </c>
      <c r="E511" s="11">
        <v>3450</v>
      </c>
      <c r="F511" s="3"/>
      <c r="G511" s="2"/>
      <c r="H511" s="3">
        <v>43053</v>
      </c>
      <c r="I511" s="2" t="s">
        <v>19506</v>
      </c>
      <c r="J511" s="2" t="s">
        <v>15048</v>
      </c>
      <c r="K511" s="2"/>
      <c r="L511" s="82" t="s">
        <v>19512</v>
      </c>
    </row>
    <row r="512" spans="1:12" ht="120" customHeight="1" x14ac:dyDescent="0.3">
      <c r="A512" s="2">
        <v>508</v>
      </c>
      <c r="B512" s="66" t="s">
        <v>277</v>
      </c>
      <c r="C512" s="66" t="s">
        <v>446</v>
      </c>
      <c r="D512" s="11">
        <v>6800</v>
      </c>
      <c r="E512" s="11">
        <v>6800</v>
      </c>
      <c r="F512" s="3"/>
      <c r="G512" s="2"/>
      <c r="H512" s="3">
        <v>43053</v>
      </c>
      <c r="I512" s="2" t="s">
        <v>19506</v>
      </c>
      <c r="J512" s="2" t="s">
        <v>15048</v>
      </c>
      <c r="K512" s="2"/>
      <c r="L512" s="82" t="s">
        <v>19512</v>
      </c>
    </row>
    <row r="513" spans="1:12" ht="72" customHeight="1" x14ac:dyDescent="0.3">
      <c r="A513" s="2">
        <v>509</v>
      </c>
      <c r="B513" s="66" t="s">
        <v>290</v>
      </c>
      <c r="C513" s="66" t="s">
        <v>447</v>
      </c>
      <c r="D513" s="11">
        <v>4500</v>
      </c>
      <c r="E513" s="11">
        <v>4500</v>
      </c>
      <c r="F513" s="3"/>
      <c r="G513" s="2"/>
      <c r="H513" s="3">
        <v>42267</v>
      </c>
      <c r="I513" s="2" t="s">
        <v>12072</v>
      </c>
      <c r="J513" s="2" t="s">
        <v>15048</v>
      </c>
      <c r="K513" s="2"/>
      <c r="L513" s="82"/>
    </row>
    <row r="514" spans="1:12" ht="120" customHeight="1" x14ac:dyDescent="0.3">
      <c r="A514" s="2">
        <v>510</v>
      </c>
      <c r="B514" s="66" t="s">
        <v>291</v>
      </c>
      <c r="C514" s="66" t="s">
        <v>448</v>
      </c>
      <c r="D514" s="11">
        <v>9558.9</v>
      </c>
      <c r="E514" s="11">
        <v>9558.9</v>
      </c>
      <c r="F514" s="3"/>
      <c r="G514" s="2"/>
      <c r="H514" s="3">
        <v>43053</v>
      </c>
      <c r="I514" s="2" t="s">
        <v>19506</v>
      </c>
      <c r="J514" s="2" t="s">
        <v>15048</v>
      </c>
      <c r="K514" s="2"/>
      <c r="L514" s="82" t="s">
        <v>19512</v>
      </c>
    </row>
    <row r="515" spans="1:12" ht="120" customHeight="1" x14ac:dyDescent="0.3">
      <c r="A515" s="2">
        <v>511</v>
      </c>
      <c r="B515" s="66" t="s">
        <v>292</v>
      </c>
      <c r="C515" s="66" t="s">
        <v>449</v>
      </c>
      <c r="D515" s="11">
        <v>8398</v>
      </c>
      <c r="E515" s="11">
        <v>8398</v>
      </c>
      <c r="F515" s="3"/>
      <c r="G515" s="2"/>
      <c r="H515" s="3">
        <v>43053</v>
      </c>
      <c r="I515" s="2" t="s">
        <v>19506</v>
      </c>
      <c r="J515" s="2" t="s">
        <v>15048</v>
      </c>
      <c r="K515" s="2"/>
      <c r="L515" s="82" t="s">
        <v>19512</v>
      </c>
    </row>
    <row r="516" spans="1:12" ht="120" customHeight="1" x14ac:dyDescent="0.3">
      <c r="A516" s="2">
        <v>512</v>
      </c>
      <c r="B516" s="66" t="s">
        <v>272</v>
      </c>
      <c r="C516" s="66" t="s">
        <v>450</v>
      </c>
      <c r="D516" s="11">
        <v>5940</v>
      </c>
      <c r="E516" s="11">
        <v>5940</v>
      </c>
      <c r="F516" s="3"/>
      <c r="G516" s="2"/>
      <c r="H516" s="3">
        <v>43053</v>
      </c>
      <c r="I516" s="2" t="s">
        <v>19506</v>
      </c>
      <c r="J516" s="2" t="s">
        <v>15048</v>
      </c>
      <c r="K516" s="2"/>
      <c r="L516" s="82" t="s">
        <v>19512</v>
      </c>
    </row>
    <row r="517" spans="1:12" ht="120" customHeight="1" x14ac:dyDescent="0.3">
      <c r="A517" s="2">
        <v>513</v>
      </c>
      <c r="B517" s="66" t="s">
        <v>293</v>
      </c>
      <c r="C517" s="66" t="s">
        <v>451</v>
      </c>
      <c r="D517" s="11">
        <v>10199.200000000001</v>
      </c>
      <c r="E517" s="11">
        <v>10199.200000000001</v>
      </c>
      <c r="F517" s="3"/>
      <c r="G517" s="2"/>
      <c r="H517" s="3">
        <v>43053</v>
      </c>
      <c r="I517" s="2" t="s">
        <v>19506</v>
      </c>
      <c r="J517" s="2" t="s">
        <v>15048</v>
      </c>
      <c r="K517" s="2"/>
      <c r="L517" s="82" t="s">
        <v>19512</v>
      </c>
    </row>
    <row r="518" spans="1:12" ht="120" customHeight="1" x14ac:dyDescent="0.3">
      <c r="A518" s="2">
        <v>514</v>
      </c>
      <c r="B518" s="66" t="s">
        <v>294</v>
      </c>
      <c r="C518" s="66" t="s">
        <v>452</v>
      </c>
      <c r="D518" s="11">
        <v>3792</v>
      </c>
      <c r="E518" s="11">
        <v>3792</v>
      </c>
      <c r="F518" s="3"/>
      <c r="G518" s="2"/>
      <c r="H518" s="3">
        <v>43053</v>
      </c>
      <c r="I518" s="2" t="s">
        <v>19506</v>
      </c>
      <c r="J518" s="2" t="s">
        <v>15048</v>
      </c>
      <c r="K518" s="2"/>
      <c r="L518" s="82" t="s">
        <v>19512</v>
      </c>
    </row>
    <row r="519" spans="1:12" ht="120" customHeight="1" x14ac:dyDescent="0.3">
      <c r="A519" s="2">
        <v>515</v>
      </c>
      <c r="B519" s="66" t="s">
        <v>272</v>
      </c>
      <c r="C519" s="66" t="s">
        <v>453</v>
      </c>
      <c r="D519" s="11">
        <v>16704.310000000001</v>
      </c>
      <c r="E519" s="11">
        <v>16704.310000000001</v>
      </c>
      <c r="F519" s="3"/>
      <c r="G519" s="2"/>
      <c r="H519" s="3">
        <v>43053</v>
      </c>
      <c r="I519" s="2" t="s">
        <v>19506</v>
      </c>
      <c r="J519" s="2" t="s">
        <v>15048</v>
      </c>
      <c r="K519" s="2"/>
      <c r="L519" s="82" t="s">
        <v>19512</v>
      </c>
    </row>
    <row r="520" spans="1:12" ht="120" customHeight="1" x14ac:dyDescent="0.3">
      <c r="A520" s="2">
        <v>516</v>
      </c>
      <c r="B520" s="66" t="s">
        <v>272</v>
      </c>
      <c r="C520" s="66" t="s">
        <v>454</v>
      </c>
      <c r="D520" s="11">
        <v>4517.66</v>
      </c>
      <c r="E520" s="11">
        <v>4517.66</v>
      </c>
      <c r="F520" s="3"/>
      <c r="G520" s="2"/>
      <c r="H520" s="3">
        <v>43053</v>
      </c>
      <c r="I520" s="2" t="s">
        <v>19506</v>
      </c>
      <c r="J520" s="2" t="s">
        <v>15048</v>
      </c>
      <c r="K520" s="2"/>
      <c r="L520" s="82" t="s">
        <v>19512</v>
      </c>
    </row>
    <row r="521" spans="1:12" ht="120" customHeight="1" x14ac:dyDescent="0.3">
      <c r="A521" s="2">
        <v>517</v>
      </c>
      <c r="B521" s="66" t="s">
        <v>266</v>
      </c>
      <c r="C521" s="66" t="s">
        <v>455</v>
      </c>
      <c r="D521" s="11">
        <v>4122.42</v>
      </c>
      <c r="E521" s="11">
        <v>4122.42</v>
      </c>
      <c r="F521" s="3"/>
      <c r="G521" s="2"/>
      <c r="H521" s="3">
        <v>43053</v>
      </c>
      <c r="I521" s="2" t="s">
        <v>19506</v>
      </c>
      <c r="J521" s="2" t="s">
        <v>15048</v>
      </c>
      <c r="K521" s="2"/>
      <c r="L521" s="82" t="s">
        <v>19512</v>
      </c>
    </row>
    <row r="522" spans="1:12" ht="120" customHeight="1" x14ac:dyDescent="0.3">
      <c r="A522" s="2">
        <v>518</v>
      </c>
      <c r="B522" s="66" t="s">
        <v>266</v>
      </c>
      <c r="C522" s="66" t="s">
        <v>456</v>
      </c>
      <c r="D522" s="11">
        <v>4122.42</v>
      </c>
      <c r="E522" s="11">
        <v>4122.42</v>
      </c>
      <c r="F522" s="3"/>
      <c r="G522" s="2"/>
      <c r="H522" s="3">
        <v>43053</v>
      </c>
      <c r="I522" s="2" t="s">
        <v>19506</v>
      </c>
      <c r="J522" s="2" t="s">
        <v>15048</v>
      </c>
      <c r="K522" s="2"/>
      <c r="L522" s="82" t="s">
        <v>19512</v>
      </c>
    </row>
    <row r="523" spans="1:12" ht="120" customHeight="1" x14ac:dyDescent="0.3">
      <c r="A523" s="2">
        <v>519</v>
      </c>
      <c r="B523" s="66" t="s">
        <v>266</v>
      </c>
      <c r="C523" s="66" t="s">
        <v>457</v>
      </c>
      <c r="D523" s="11">
        <v>4122.42</v>
      </c>
      <c r="E523" s="11">
        <v>4122.42</v>
      </c>
      <c r="F523" s="3"/>
      <c r="G523" s="2"/>
      <c r="H523" s="3">
        <v>43053</v>
      </c>
      <c r="I523" s="2" t="s">
        <v>19506</v>
      </c>
      <c r="J523" s="2" t="s">
        <v>15048</v>
      </c>
      <c r="K523" s="2"/>
      <c r="L523" s="82" t="s">
        <v>19512</v>
      </c>
    </row>
    <row r="524" spans="1:12" ht="120" customHeight="1" x14ac:dyDescent="0.3">
      <c r="A524" s="2">
        <v>520</v>
      </c>
      <c r="B524" s="66" t="s">
        <v>266</v>
      </c>
      <c r="C524" s="66" t="s">
        <v>458</v>
      </c>
      <c r="D524" s="11">
        <v>4122.42</v>
      </c>
      <c r="E524" s="11">
        <v>4122.42</v>
      </c>
      <c r="F524" s="3"/>
      <c r="G524" s="2"/>
      <c r="H524" s="3">
        <v>43053</v>
      </c>
      <c r="I524" s="2" t="s">
        <v>19506</v>
      </c>
      <c r="J524" s="2" t="s">
        <v>15048</v>
      </c>
      <c r="K524" s="2"/>
      <c r="L524" s="82" t="s">
        <v>19512</v>
      </c>
    </row>
    <row r="525" spans="1:12" ht="120" customHeight="1" x14ac:dyDescent="0.3">
      <c r="A525" s="2">
        <v>521</v>
      </c>
      <c r="B525" s="66" t="s">
        <v>266</v>
      </c>
      <c r="C525" s="66" t="s">
        <v>459</v>
      </c>
      <c r="D525" s="11">
        <v>4122.42</v>
      </c>
      <c r="E525" s="11">
        <v>4122.42</v>
      </c>
      <c r="F525" s="3"/>
      <c r="G525" s="2"/>
      <c r="H525" s="3">
        <v>43053</v>
      </c>
      <c r="I525" s="2" t="s">
        <v>19506</v>
      </c>
      <c r="J525" s="2" t="s">
        <v>15048</v>
      </c>
      <c r="K525" s="2"/>
      <c r="L525" s="82" t="s">
        <v>19512</v>
      </c>
    </row>
    <row r="526" spans="1:12" ht="120" customHeight="1" x14ac:dyDescent="0.3">
      <c r="A526" s="2">
        <v>522</v>
      </c>
      <c r="B526" s="66" t="s">
        <v>266</v>
      </c>
      <c r="C526" s="66" t="s">
        <v>460</v>
      </c>
      <c r="D526" s="11">
        <v>4122.42</v>
      </c>
      <c r="E526" s="11">
        <v>4122.42</v>
      </c>
      <c r="F526" s="3"/>
      <c r="G526" s="2"/>
      <c r="H526" s="3">
        <v>43053</v>
      </c>
      <c r="I526" s="2" t="s">
        <v>19506</v>
      </c>
      <c r="J526" s="2" t="s">
        <v>15048</v>
      </c>
      <c r="K526" s="2"/>
      <c r="L526" s="82" t="s">
        <v>19512</v>
      </c>
    </row>
    <row r="527" spans="1:12" ht="120" customHeight="1" x14ac:dyDescent="0.3">
      <c r="A527" s="2">
        <v>523</v>
      </c>
      <c r="B527" s="66" t="s">
        <v>266</v>
      </c>
      <c r="C527" s="66" t="s">
        <v>461</v>
      </c>
      <c r="D527" s="11">
        <v>4122.42</v>
      </c>
      <c r="E527" s="11">
        <v>4122.42</v>
      </c>
      <c r="F527" s="3"/>
      <c r="G527" s="2"/>
      <c r="H527" s="3">
        <v>43053</v>
      </c>
      <c r="I527" s="2" t="s">
        <v>19506</v>
      </c>
      <c r="J527" s="2" t="s">
        <v>15048</v>
      </c>
      <c r="K527" s="2"/>
      <c r="L527" s="82" t="s">
        <v>19512</v>
      </c>
    </row>
    <row r="528" spans="1:12" ht="120" customHeight="1" x14ac:dyDescent="0.3">
      <c r="A528" s="2">
        <v>524</v>
      </c>
      <c r="B528" s="66" t="s">
        <v>266</v>
      </c>
      <c r="C528" s="66" t="s">
        <v>462</v>
      </c>
      <c r="D528" s="11">
        <v>4122.42</v>
      </c>
      <c r="E528" s="11">
        <v>4122.42</v>
      </c>
      <c r="F528" s="3"/>
      <c r="G528" s="2"/>
      <c r="H528" s="3">
        <v>43053</v>
      </c>
      <c r="I528" s="2" t="s">
        <v>19506</v>
      </c>
      <c r="J528" s="2" t="s">
        <v>15048</v>
      </c>
      <c r="K528" s="2"/>
      <c r="L528" s="82" t="s">
        <v>19512</v>
      </c>
    </row>
    <row r="529" spans="1:12" ht="120" customHeight="1" x14ac:dyDescent="0.3">
      <c r="A529" s="2">
        <v>525</v>
      </c>
      <c r="B529" s="66" t="s">
        <v>266</v>
      </c>
      <c r="C529" s="66" t="s">
        <v>463</v>
      </c>
      <c r="D529" s="11">
        <v>4122.42</v>
      </c>
      <c r="E529" s="11">
        <v>4122.42</v>
      </c>
      <c r="F529" s="3"/>
      <c r="G529" s="2"/>
      <c r="H529" s="3">
        <v>43053</v>
      </c>
      <c r="I529" s="2" t="s">
        <v>19506</v>
      </c>
      <c r="J529" s="2" t="s">
        <v>15048</v>
      </c>
      <c r="K529" s="2"/>
      <c r="L529" s="82" t="s">
        <v>19512</v>
      </c>
    </row>
    <row r="530" spans="1:12" ht="120" customHeight="1" x14ac:dyDescent="0.3">
      <c r="A530" s="2">
        <v>526</v>
      </c>
      <c r="B530" s="66" t="s">
        <v>266</v>
      </c>
      <c r="C530" s="66" t="s">
        <v>464</v>
      </c>
      <c r="D530" s="11">
        <v>4122.42</v>
      </c>
      <c r="E530" s="11">
        <v>4122.42</v>
      </c>
      <c r="F530" s="3"/>
      <c r="G530" s="2"/>
      <c r="H530" s="3">
        <v>43053</v>
      </c>
      <c r="I530" s="2" t="s">
        <v>19506</v>
      </c>
      <c r="J530" s="2" t="s">
        <v>15048</v>
      </c>
      <c r="K530" s="2"/>
      <c r="L530" s="82" t="s">
        <v>19512</v>
      </c>
    </row>
    <row r="531" spans="1:12" ht="120" customHeight="1" x14ac:dyDescent="0.3">
      <c r="A531" s="2">
        <v>527</v>
      </c>
      <c r="B531" s="66" t="s">
        <v>266</v>
      </c>
      <c r="C531" s="66" t="s">
        <v>465</v>
      </c>
      <c r="D531" s="11">
        <v>4122.42</v>
      </c>
      <c r="E531" s="11">
        <v>4122.42</v>
      </c>
      <c r="F531" s="3"/>
      <c r="G531" s="2"/>
      <c r="H531" s="3">
        <v>43053</v>
      </c>
      <c r="I531" s="2" t="s">
        <v>19506</v>
      </c>
      <c r="J531" s="2" t="s">
        <v>15048</v>
      </c>
      <c r="K531" s="2"/>
      <c r="L531" s="82" t="s">
        <v>19512</v>
      </c>
    </row>
    <row r="532" spans="1:12" ht="120" customHeight="1" x14ac:dyDescent="0.3">
      <c r="A532" s="2">
        <v>528</v>
      </c>
      <c r="B532" s="66" t="s">
        <v>266</v>
      </c>
      <c r="C532" s="66" t="s">
        <v>466</v>
      </c>
      <c r="D532" s="11">
        <v>4122.42</v>
      </c>
      <c r="E532" s="11">
        <v>4122.42</v>
      </c>
      <c r="F532" s="3"/>
      <c r="G532" s="2"/>
      <c r="H532" s="3">
        <v>43053</v>
      </c>
      <c r="I532" s="2" t="s">
        <v>19506</v>
      </c>
      <c r="J532" s="2" t="s">
        <v>15048</v>
      </c>
      <c r="K532" s="2"/>
      <c r="L532" s="82" t="s">
        <v>19512</v>
      </c>
    </row>
    <row r="533" spans="1:12" ht="120" customHeight="1" x14ac:dyDescent="0.3">
      <c r="A533" s="2">
        <v>529</v>
      </c>
      <c r="B533" s="66" t="s">
        <v>266</v>
      </c>
      <c r="C533" s="66" t="s">
        <v>467</v>
      </c>
      <c r="D533" s="11">
        <v>4122.42</v>
      </c>
      <c r="E533" s="11">
        <v>4122.42</v>
      </c>
      <c r="F533" s="3"/>
      <c r="G533" s="2"/>
      <c r="H533" s="3">
        <v>43053</v>
      </c>
      <c r="I533" s="2" t="s">
        <v>19506</v>
      </c>
      <c r="J533" s="2" t="s">
        <v>15048</v>
      </c>
      <c r="K533" s="2"/>
      <c r="L533" s="82" t="s">
        <v>19512</v>
      </c>
    </row>
    <row r="534" spans="1:12" ht="120" customHeight="1" x14ac:dyDescent="0.3">
      <c r="A534" s="2">
        <v>530</v>
      </c>
      <c r="B534" s="66" t="s">
        <v>266</v>
      </c>
      <c r="C534" s="66" t="s">
        <v>468</v>
      </c>
      <c r="D534" s="11">
        <v>4122.42</v>
      </c>
      <c r="E534" s="11">
        <v>4122.42</v>
      </c>
      <c r="F534" s="3"/>
      <c r="G534" s="2"/>
      <c r="H534" s="3">
        <v>43053</v>
      </c>
      <c r="I534" s="2" t="s">
        <v>19506</v>
      </c>
      <c r="J534" s="2" t="s">
        <v>15048</v>
      </c>
      <c r="K534" s="2"/>
      <c r="L534" s="82" t="s">
        <v>19512</v>
      </c>
    </row>
    <row r="535" spans="1:12" ht="120" customHeight="1" x14ac:dyDescent="0.3">
      <c r="A535" s="2">
        <v>531</v>
      </c>
      <c r="B535" s="66" t="s">
        <v>266</v>
      </c>
      <c r="C535" s="66" t="s">
        <v>469</v>
      </c>
      <c r="D535" s="11">
        <v>4122.42</v>
      </c>
      <c r="E535" s="11">
        <v>4122.42</v>
      </c>
      <c r="F535" s="3"/>
      <c r="G535" s="2"/>
      <c r="H535" s="3">
        <v>43053</v>
      </c>
      <c r="I535" s="2" t="s">
        <v>19506</v>
      </c>
      <c r="J535" s="2" t="s">
        <v>15048</v>
      </c>
      <c r="K535" s="2"/>
      <c r="L535" s="82" t="s">
        <v>19512</v>
      </c>
    </row>
    <row r="536" spans="1:12" ht="120" customHeight="1" x14ac:dyDescent="0.3">
      <c r="A536" s="2">
        <v>532</v>
      </c>
      <c r="B536" s="66" t="s">
        <v>266</v>
      </c>
      <c r="C536" s="66" t="s">
        <v>470</v>
      </c>
      <c r="D536" s="11">
        <v>4122.42</v>
      </c>
      <c r="E536" s="11">
        <v>4122.42</v>
      </c>
      <c r="F536" s="3"/>
      <c r="G536" s="2"/>
      <c r="H536" s="3">
        <v>43053</v>
      </c>
      <c r="I536" s="2" t="s">
        <v>19506</v>
      </c>
      <c r="J536" s="2" t="s">
        <v>15048</v>
      </c>
      <c r="K536" s="2"/>
      <c r="L536" s="82" t="s">
        <v>19512</v>
      </c>
    </row>
    <row r="537" spans="1:12" ht="120" customHeight="1" x14ac:dyDescent="0.3">
      <c r="A537" s="2">
        <v>533</v>
      </c>
      <c r="B537" s="66" t="s">
        <v>266</v>
      </c>
      <c r="C537" s="66" t="s">
        <v>471</v>
      </c>
      <c r="D537" s="11">
        <v>4122.42</v>
      </c>
      <c r="E537" s="11">
        <v>4122.42</v>
      </c>
      <c r="F537" s="3"/>
      <c r="G537" s="2"/>
      <c r="H537" s="3">
        <v>43053</v>
      </c>
      <c r="I537" s="2" t="s">
        <v>19506</v>
      </c>
      <c r="J537" s="2" t="s">
        <v>15048</v>
      </c>
      <c r="K537" s="2"/>
      <c r="L537" s="82" t="s">
        <v>19512</v>
      </c>
    </row>
    <row r="538" spans="1:12" ht="120" customHeight="1" x14ac:dyDescent="0.3">
      <c r="A538" s="2">
        <v>534</v>
      </c>
      <c r="B538" s="66" t="s">
        <v>266</v>
      </c>
      <c r="C538" s="66" t="s">
        <v>472</v>
      </c>
      <c r="D538" s="11">
        <v>4122.42</v>
      </c>
      <c r="E538" s="11">
        <v>4122.42</v>
      </c>
      <c r="F538" s="3"/>
      <c r="G538" s="2"/>
      <c r="H538" s="3">
        <v>43053</v>
      </c>
      <c r="I538" s="2" t="s">
        <v>19506</v>
      </c>
      <c r="J538" s="2" t="s">
        <v>15048</v>
      </c>
      <c r="K538" s="2"/>
      <c r="L538" s="82" t="s">
        <v>19512</v>
      </c>
    </row>
    <row r="539" spans="1:12" ht="120" customHeight="1" x14ac:dyDescent="0.3">
      <c r="A539" s="2">
        <v>535</v>
      </c>
      <c r="B539" s="66" t="s">
        <v>266</v>
      </c>
      <c r="C539" s="66" t="s">
        <v>473</v>
      </c>
      <c r="D539" s="11">
        <v>4122.42</v>
      </c>
      <c r="E539" s="11">
        <v>4122.42</v>
      </c>
      <c r="F539" s="3"/>
      <c r="G539" s="2"/>
      <c r="H539" s="3">
        <v>43053</v>
      </c>
      <c r="I539" s="2" t="s">
        <v>19506</v>
      </c>
      <c r="J539" s="2" t="s">
        <v>15048</v>
      </c>
      <c r="K539" s="2"/>
      <c r="L539" s="82" t="s">
        <v>19512</v>
      </c>
    </row>
    <row r="540" spans="1:12" ht="120" customHeight="1" x14ac:dyDescent="0.3">
      <c r="A540" s="2">
        <v>536</v>
      </c>
      <c r="B540" s="66" t="s">
        <v>266</v>
      </c>
      <c r="C540" s="66" t="s">
        <v>474</v>
      </c>
      <c r="D540" s="11">
        <v>4122.42</v>
      </c>
      <c r="E540" s="11">
        <v>4122.42</v>
      </c>
      <c r="F540" s="3"/>
      <c r="G540" s="2"/>
      <c r="H540" s="3">
        <v>43053</v>
      </c>
      <c r="I540" s="2" t="s">
        <v>19506</v>
      </c>
      <c r="J540" s="2" t="s">
        <v>15048</v>
      </c>
      <c r="K540" s="2"/>
      <c r="L540" s="82" t="s">
        <v>19512</v>
      </c>
    </row>
    <row r="541" spans="1:12" ht="120" customHeight="1" x14ac:dyDescent="0.3">
      <c r="A541" s="2">
        <v>537</v>
      </c>
      <c r="B541" s="66" t="s">
        <v>266</v>
      </c>
      <c r="C541" s="66" t="s">
        <v>475</v>
      </c>
      <c r="D541" s="11">
        <v>4122.42</v>
      </c>
      <c r="E541" s="11">
        <v>4122.42</v>
      </c>
      <c r="F541" s="3"/>
      <c r="G541" s="2"/>
      <c r="H541" s="3">
        <v>43053</v>
      </c>
      <c r="I541" s="2" t="s">
        <v>19506</v>
      </c>
      <c r="J541" s="2" t="s">
        <v>15048</v>
      </c>
      <c r="K541" s="2"/>
      <c r="L541" s="82" t="s">
        <v>19512</v>
      </c>
    </row>
    <row r="542" spans="1:12" ht="120" customHeight="1" x14ac:dyDescent="0.3">
      <c r="A542" s="2">
        <v>538</v>
      </c>
      <c r="B542" s="66" t="s">
        <v>266</v>
      </c>
      <c r="C542" s="66" t="s">
        <v>476</v>
      </c>
      <c r="D542" s="11">
        <v>4122.42</v>
      </c>
      <c r="E542" s="11">
        <v>4122.42</v>
      </c>
      <c r="F542" s="3"/>
      <c r="G542" s="2"/>
      <c r="H542" s="3">
        <v>43053</v>
      </c>
      <c r="I542" s="2" t="s">
        <v>19506</v>
      </c>
      <c r="J542" s="2" t="s">
        <v>15048</v>
      </c>
      <c r="K542" s="2"/>
      <c r="L542" s="82" t="s">
        <v>19512</v>
      </c>
    </row>
    <row r="543" spans="1:12" ht="120" customHeight="1" x14ac:dyDescent="0.3">
      <c r="A543" s="2">
        <v>539</v>
      </c>
      <c r="B543" s="66" t="s">
        <v>266</v>
      </c>
      <c r="C543" s="66" t="s">
        <v>477</v>
      </c>
      <c r="D543" s="11">
        <v>4122.42</v>
      </c>
      <c r="E543" s="11">
        <v>4122.42</v>
      </c>
      <c r="F543" s="3"/>
      <c r="G543" s="2"/>
      <c r="H543" s="3">
        <v>43053</v>
      </c>
      <c r="I543" s="2" t="s">
        <v>19506</v>
      </c>
      <c r="J543" s="2" t="s">
        <v>15048</v>
      </c>
      <c r="K543" s="2"/>
      <c r="L543" s="82" t="s">
        <v>19512</v>
      </c>
    </row>
    <row r="544" spans="1:12" ht="120" customHeight="1" x14ac:dyDescent="0.3">
      <c r="A544" s="2">
        <v>540</v>
      </c>
      <c r="B544" s="66" t="s">
        <v>266</v>
      </c>
      <c r="C544" s="66" t="s">
        <v>478</v>
      </c>
      <c r="D544" s="11">
        <v>4122.42</v>
      </c>
      <c r="E544" s="11">
        <v>4122.42</v>
      </c>
      <c r="F544" s="3"/>
      <c r="G544" s="2"/>
      <c r="H544" s="3">
        <v>43053</v>
      </c>
      <c r="I544" s="2" t="s">
        <v>19506</v>
      </c>
      <c r="J544" s="2" t="s">
        <v>15048</v>
      </c>
      <c r="K544" s="2"/>
      <c r="L544" s="82" t="s">
        <v>19512</v>
      </c>
    </row>
    <row r="545" spans="1:12" ht="120" customHeight="1" x14ac:dyDescent="0.3">
      <c r="A545" s="2">
        <v>541</v>
      </c>
      <c r="B545" s="66" t="s">
        <v>266</v>
      </c>
      <c r="C545" s="66" t="s">
        <v>479</v>
      </c>
      <c r="D545" s="11">
        <v>4122.42</v>
      </c>
      <c r="E545" s="11">
        <v>4122.42</v>
      </c>
      <c r="F545" s="3"/>
      <c r="G545" s="2"/>
      <c r="H545" s="3">
        <v>43053</v>
      </c>
      <c r="I545" s="2" t="s">
        <v>19506</v>
      </c>
      <c r="J545" s="2" t="s">
        <v>15048</v>
      </c>
      <c r="K545" s="2"/>
      <c r="L545" s="82" t="s">
        <v>19512</v>
      </c>
    </row>
    <row r="546" spans="1:12" ht="120" customHeight="1" x14ac:dyDescent="0.3">
      <c r="A546" s="2">
        <v>542</v>
      </c>
      <c r="B546" s="66" t="s">
        <v>266</v>
      </c>
      <c r="C546" s="66" t="s">
        <v>480</v>
      </c>
      <c r="D546" s="11">
        <v>4122.42</v>
      </c>
      <c r="E546" s="11">
        <v>4122.42</v>
      </c>
      <c r="F546" s="3"/>
      <c r="G546" s="2"/>
      <c r="H546" s="3">
        <v>43053</v>
      </c>
      <c r="I546" s="2" t="s">
        <v>19506</v>
      </c>
      <c r="J546" s="2" t="s">
        <v>15048</v>
      </c>
      <c r="K546" s="2"/>
      <c r="L546" s="82" t="s">
        <v>19512</v>
      </c>
    </row>
    <row r="547" spans="1:12" ht="120" customHeight="1" x14ac:dyDescent="0.3">
      <c r="A547" s="2">
        <v>543</v>
      </c>
      <c r="B547" s="66" t="s">
        <v>266</v>
      </c>
      <c r="C547" s="66" t="s">
        <v>481</v>
      </c>
      <c r="D547" s="11">
        <v>4122.42</v>
      </c>
      <c r="E547" s="11">
        <v>4122.42</v>
      </c>
      <c r="F547" s="3"/>
      <c r="G547" s="2"/>
      <c r="H547" s="3">
        <v>43053</v>
      </c>
      <c r="I547" s="2" t="s">
        <v>19506</v>
      </c>
      <c r="J547" s="2" t="s">
        <v>15048</v>
      </c>
      <c r="K547" s="2"/>
      <c r="L547" s="82" t="s">
        <v>19512</v>
      </c>
    </row>
    <row r="548" spans="1:12" ht="120" customHeight="1" x14ac:dyDescent="0.3">
      <c r="A548" s="2">
        <v>544</v>
      </c>
      <c r="B548" s="66" t="s">
        <v>266</v>
      </c>
      <c r="C548" s="66" t="s">
        <v>482</v>
      </c>
      <c r="D548" s="11">
        <v>4122.42</v>
      </c>
      <c r="E548" s="11">
        <v>4122.42</v>
      </c>
      <c r="F548" s="3"/>
      <c r="G548" s="2"/>
      <c r="H548" s="3">
        <v>43053</v>
      </c>
      <c r="I548" s="2" t="s">
        <v>19506</v>
      </c>
      <c r="J548" s="2" t="s">
        <v>15048</v>
      </c>
      <c r="K548" s="2"/>
      <c r="L548" s="82" t="s">
        <v>19512</v>
      </c>
    </row>
    <row r="549" spans="1:12" ht="120" customHeight="1" x14ac:dyDescent="0.3">
      <c r="A549" s="2">
        <v>545</v>
      </c>
      <c r="B549" s="66" t="s">
        <v>266</v>
      </c>
      <c r="C549" s="66" t="s">
        <v>483</v>
      </c>
      <c r="D549" s="11">
        <v>4122.42</v>
      </c>
      <c r="E549" s="11">
        <v>4122.42</v>
      </c>
      <c r="F549" s="3"/>
      <c r="G549" s="2"/>
      <c r="H549" s="3">
        <v>43053</v>
      </c>
      <c r="I549" s="2" t="s">
        <v>19506</v>
      </c>
      <c r="J549" s="2" t="s">
        <v>15048</v>
      </c>
      <c r="K549" s="2"/>
      <c r="L549" s="82" t="s">
        <v>19512</v>
      </c>
    </row>
    <row r="550" spans="1:12" ht="120" customHeight="1" x14ac:dyDescent="0.3">
      <c r="A550" s="2">
        <v>546</v>
      </c>
      <c r="B550" s="66" t="s">
        <v>266</v>
      </c>
      <c r="C550" s="66" t="s">
        <v>484</v>
      </c>
      <c r="D550" s="11">
        <v>4122.42</v>
      </c>
      <c r="E550" s="11">
        <v>4122.42</v>
      </c>
      <c r="F550" s="3"/>
      <c r="G550" s="2"/>
      <c r="H550" s="3">
        <v>43053</v>
      </c>
      <c r="I550" s="2" t="s">
        <v>19506</v>
      </c>
      <c r="J550" s="2" t="s">
        <v>15048</v>
      </c>
      <c r="K550" s="2"/>
      <c r="L550" s="82" t="s">
        <v>19512</v>
      </c>
    </row>
    <row r="551" spans="1:12" ht="120" customHeight="1" x14ac:dyDescent="0.3">
      <c r="A551" s="2">
        <v>547</v>
      </c>
      <c r="B551" s="66" t="s">
        <v>266</v>
      </c>
      <c r="C551" s="66" t="s">
        <v>485</v>
      </c>
      <c r="D551" s="11">
        <v>4122.42</v>
      </c>
      <c r="E551" s="11">
        <v>4122.42</v>
      </c>
      <c r="F551" s="3"/>
      <c r="G551" s="2"/>
      <c r="H551" s="3">
        <v>43053</v>
      </c>
      <c r="I551" s="2" t="s">
        <v>19506</v>
      </c>
      <c r="J551" s="2" t="s">
        <v>15048</v>
      </c>
      <c r="K551" s="2"/>
      <c r="L551" s="82" t="s">
        <v>19512</v>
      </c>
    </row>
    <row r="552" spans="1:12" ht="120" customHeight="1" x14ac:dyDescent="0.3">
      <c r="A552" s="2">
        <v>548</v>
      </c>
      <c r="B552" s="66" t="s">
        <v>266</v>
      </c>
      <c r="C552" s="66" t="s">
        <v>486</v>
      </c>
      <c r="D552" s="11">
        <v>4122.42</v>
      </c>
      <c r="E552" s="11">
        <v>4122.42</v>
      </c>
      <c r="F552" s="3"/>
      <c r="G552" s="2"/>
      <c r="H552" s="3">
        <v>43053</v>
      </c>
      <c r="I552" s="2" t="s">
        <v>19506</v>
      </c>
      <c r="J552" s="2" t="s">
        <v>15048</v>
      </c>
      <c r="K552" s="2"/>
      <c r="L552" s="82" t="s">
        <v>19512</v>
      </c>
    </row>
    <row r="553" spans="1:12" ht="120" customHeight="1" x14ac:dyDescent="0.3">
      <c r="A553" s="2">
        <v>549</v>
      </c>
      <c r="B553" s="66" t="s">
        <v>266</v>
      </c>
      <c r="C553" s="66" t="s">
        <v>487</v>
      </c>
      <c r="D553" s="11">
        <v>4122.42</v>
      </c>
      <c r="E553" s="11">
        <v>4122.42</v>
      </c>
      <c r="F553" s="3"/>
      <c r="G553" s="2"/>
      <c r="H553" s="3">
        <v>43053</v>
      </c>
      <c r="I553" s="2" t="s">
        <v>19506</v>
      </c>
      <c r="J553" s="2" t="s">
        <v>15048</v>
      </c>
      <c r="K553" s="2"/>
      <c r="L553" s="82" t="s">
        <v>19512</v>
      </c>
    </row>
    <row r="554" spans="1:12" ht="120" customHeight="1" x14ac:dyDescent="0.3">
      <c r="A554" s="2">
        <v>550</v>
      </c>
      <c r="B554" s="66" t="s">
        <v>266</v>
      </c>
      <c r="C554" s="66" t="s">
        <v>488</v>
      </c>
      <c r="D554" s="11">
        <v>4122.42</v>
      </c>
      <c r="E554" s="11">
        <v>4122.42</v>
      </c>
      <c r="F554" s="3"/>
      <c r="G554" s="2"/>
      <c r="H554" s="3">
        <v>43053</v>
      </c>
      <c r="I554" s="2" t="s">
        <v>19506</v>
      </c>
      <c r="J554" s="2" t="s">
        <v>15048</v>
      </c>
      <c r="K554" s="2"/>
      <c r="L554" s="82" t="s">
        <v>19512</v>
      </c>
    </row>
    <row r="555" spans="1:12" ht="120" customHeight="1" x14ac:dyDescent="0.3">
      <c r="A555" s="2">
        <v>551</v>
      </c>
      <c r="B555" s="66" t="s">
        <v>266</v>
      </c>
      <c r="C555" s="66" t="s">
        <v>489</v>
      </c>
      <c r="D555" s="11">
        <v>4122.42</v>
      </c>
      <c r="E555" s="11">
        <v>4122.42</v>
      </c>
      <c r="F555" s="3"/>
      <c r="G555" s="2"/>
      <c r="H555" s="3">
        <v>43053</v>
      </c>
      <c r="I555" s="2" t="s">
        <v>19506</v>
      </c>
      <c r="J555" s="2" t="s">
        <v>15048</v>
      </c>
      <c r="K555" s="2"/>
      <c r="L555" s="82" t="s">
        <v>19512</v>
      </c>
    </row>
    <row r="556" spans="1:12" ht="120" customHeight="1" x14ac:dyDescent="0.3">
      <c r="A556" s="2">
        <v>552</v>
      </c>
      <c r="B556" s="66" t="s">
        <v>266</v>
      </c>
      <c r="C556" s="66" t="s">
        <v>490</v>
      </c>
      <c r="D556" s="11">
        <v>4122.42</v>
      </c>
      <c r="E556" s="11">
        <v>4122.42</v>
      </c>
      <c r="F556" s="3"/>
      <c r="G556" s="2"/>
      <c r="H556" s="3">
        <v>43053</v>
      </c>
      <c r="I556" s="2" t="s">
        <v>19506</v>
      </c>
      <c r="J556" s="2" t="s">
        <v>15048</v>
      </c>
      <c r="K556" s="2"/>
      <c r="L556" s="82" t="s">
        <v>19512</v>
      </c>
    </row>
    <row r="557" spans="1:12" ht="120" customHeight="1" x14ac:dyDescent="0.3">
      <c r="A557" s="2">
        <v>553</v>
      </c>
      <c r="B557" s="66" t="s">
        <v>266</v>
      </c>
      <c r="C557" s="66" t="s">
        <v>491</v>
      </c>
      <c r="D557" s="11">
        <v>4122.42</v>
      </c>
      <c r="E557" s="11">
        <v>4122.42</v>
      </c>
      <c r="F557" s="3"/>
      <c r="G557" s="2"/>
      <c r="H557" s="3">
        <v>43053</v>
      </c>
      <c r="I557" s="2" t="s">
        <v>19506</v>
      </c>
      <c r="J557" s="2" t="s">
        <v>15048</v>
      </c>
      <c r="K557" s="2"/>
      <c r="L557" s="82" t="s">
        <v>19512</v>
      </c>
    </row>
    <row r="558" spans="1:12" ht="120" customHeight="1" x14ac:dyDescent="0.3">
      <c r="A558" s="2">
        <v>554</v>
      </c>
      <c r="B558" s="66" t="s">
        <v>266</v>
      </c>
      <c r="C558" s="66" t="s">
        <v>492</v>
      </c>
      <c r="D558" s="11">
        <v>4122.42</v>
      </c>
      <c r="E558" s="11">
        <v>4122.42</v>
      </c>
      <c r="F558" s="3"/>
      <c r="G558" s="2"/>
      <c r="H558" s="3">
        <v>43053</v>
      </c>
      <c r="I558" s="2" t="s">
        <v>19506</v>
      </c>
      <c r="J558" s="2" t="s">
        <v>15048</v>
      </c>
      <c r="K558" s="2"/>
      <c r="L558" s="82" t="s">
        <v>19512</v>
      </c>
    </row>
    <row r="559" spans="1:12" ht="120" customHeight="1" x14ac:dyDescent="0.3">
      <c r="A559" s="2">
        <v>555</v>
      </c>
      <c r="B559" s="66" t="s">
        <v>266</v>
      </c>
      <c r="C559" s="66" t="s">
        <v>493</v>
      </c>
      <c r="D559" s="11">
        <v>4122.42</v>
      </c>
      <c r="E559" s="11">
        <v>4122.42</v>
      </c>
      <c r="F559" s="3"/>
      <c r="G559" s="2"/>
      <c r="H559" s="3">
        <v>43053</v>
      </c>
      <c r="I559" s="2" t="s">
        <v>19506</v>
      </c>
      <c r="J559" s="2" t="s">
        <v>15048</v>
      </c>
      <c r="K559" s="2"/>
      <c r="L559" s="82" t="s">
        <v>19512</v>
      </c>
    </row>
    <row r="560" spans="1:12" ht="120" customHeight="1" x14ac:dyDescent="0.3">
      <c r="A560" s="2">
        <v>556</v>
      </c>
      <c r="B560" s="66" t="s">
        <v>266</v>
      </c>
      <c r="C560" s="66" t="s">
        <v>494</v>
      </c>
      <c r="D560" s="11">
        <v>4122.42</v>
      </c>
      <c r="E560" s="11">
        <v>4122.42</v>
      </c>
      <c r="F560" s="3"/>
      <c r="G560" s="2"/>
      <c r="H560" s="3">
        <v>43053</v>
      </c>
      <c r="I560" s="2" t="s">
        <v>19506</v>
      </c>
      <c r="J560" s="2" t="s">
        <v>15048</v>
      </c>
      <c r="K560" s="2"/>
      <c r="L560" s="82" t="s">
        <v>19512</v>
      </c>
    </row>
    <row r="561" spans="1:12" ht="120" customHeight="1" x14ac:dyDescent="0.3">
      <c r="A561" s="2">
        <v>557</v>
      </c>
      <c r="B561" s="66" t="s">
        <v>266</v>
      </c>
      <c r="C561" s="66" t="s">
        <v>495</v>
      </c>
      <c r="D561" s="11">
        <v>4122.42</v>
      </c>
      <c r="E561" s="11">
        <v>4122.42</v>
      </c>
      <c r="F561" s="3"/>
      <c r="G561" s="2"/>
      <c r="H561" s="3">
        <v>43053</v>
      </c>
      <c r="I561" s="2" t="s">
        <v>19506</v>
      </c>
      <c r="J561" s="2" t="s">
        <v>15048</v>
      </c>
      <c r="K561" s="2"/>
      <c r="L561" s="82" t="s">
        <v>19512</v>
      </c>
    </row>
    <row r="562" spans="1:12" ht="120" customHeight="1" x14ac:dyDescent="0.3">
      <c r="A562" s="2">
        <v>558</v>
      </c>
      <c r="B562" s="66" t="s">
        <v>266</v>
      </c>
      <c r="C562" s="66" t="s">
        <v>496</v>
      </c>
      <c r="D562" s="11">
        <v>4122.42</v>
      </c>
      <c r="E562" s="11">
        <v>4122.42</v>
      </c>
      <c r="F562" s="3"/>
      <c r="G562" s="2"/>
      <c r="H562" s="3">
        <v>43053</v>
      </c>
      <c r="I562" s="2" t="s">
        <v>19506</v>
      </c>
      <c r="J562" s="2" t="s">
        <v>15048</v>
      </c>
      <c r="K562" s="2"/>
      <c r="L562" s="82" t="s">
        <v>19512</v>
      </c>
    </row>
    <row r="563" spans="1:12" ht="120" customHeight="1" x14ac:dyDescent="0.3">
      <c r="A563" s="2">
        <v>559</v>
      </c>
      <c r="B563" s="66" t="s">
        <v>266</v>
      </c>
      <c r="C563" s="66" t="s">
        <v>497</v>
      </c>
      <c r="D563" s="11">
        <v>4122.42</v>
      </c>
      <c r="E563" s="11">
        <v>4122.42</v>
      </c>
      <c r="F563" s="3"/>
      <c r="G563" s="2"/>
      <c r="H563" s="3">
        <v>43053</v>
      </c>
      <c r="I563" s="2" t="s">
        <v>19506</v>
      </c>
      <c r="J563" s="2" t="s">
        <v>15048</v>
      </c>
      <c r="K563" s="2"/>
      <c r="L563" s="82" t="s">
        <v>19512</v>
      </c>
    </row>
    <row r="564" spans="1:12" ht="120" customHeight="1" x14ac:dyDescent="0.3">
      <c r="A564" s="2">
        <v>560</v>
      </c>
      <c r="B564" s="66" t="s">
        <v>266</v>
      </c>
      <c r="C564" s="66" t="s">
        <v>498</v>
      </c>
      <c r="D564" s="11">
        <v>4122.42</v>
      </c>
      <c r="E564" s="11">
        <v>4122.42</v>
      </c>
      <c r="F564" s="3"/>
      <c r="G564" s="2"/>
      <c r="H564" s="3">
        <v>43053</v>
      </c>
      <c r="I564" s="2" t="s">
        <v>19506</v>
      </c>
      <c r="J564" s="2" t="s">
        <v>15048</v>
      </c>
      <c r="K564" s="2"/>
      <c r="L564" s="82" t="s">
        <v>19512</v>
      </c>
    </row>
    <row r="565" spans="1:12" ht="120" customHeight="1" x14ac:dyDescent="0.3">
      <c r="A565" s="2">
        <v>561</v>
      </c>
      <c r="B565" s="66" t="s">
        <v>266</v>
      </c>
      <c r="C565" s="66" t="s">
        <v>499</v>
      </c>
      <c r="D565" s="11">
        <v>4122.42</v>
      </c>
      <c r="E565" s="11">
        <v>4122.42</v>
      </c>
      <c r="F565" s="3"/>
      <c r="G565" s="2"/>
      <c r="H565" s="3">
        <v>43053</v>
      </c>
      <c r="I565" s="2" t="s">
        <v>19506</v>
      </c>
      <c r="J565" s="2" t="s">
        <v>15048</v>
      </c>
      <c r="K565" s="2"/>
      <c r="L565" s="82" t="s">
        <v>19512</v>
      </c>
    </row>
    <row r="566" spans="1:12" ht="120" customHeight="1" x14ac:dyDescent="0.3">
      <c r="A566" s="2">
        <v>562</v>
      </c>
      <c r="B566" s="66" t="s">
        <v>266</v>
      </c>
      <c r="C566" s="66" t="s">
        <v>500</v>
      </c>
      <c r="D566" s="11">
        <v>4122.42</v>
      </c>
      <c r="E566" s="11">
        <v>4122.42</v>
      </c>
      <c r="F566" s="3"/>
      <c r="G566" s="2"/>
      <c r="H566" s="3">
        <v>43053</v>
      </c>
      <c r="I566" s="2" t="s">
        <v>19506</v>
      </c>
      <c r="J566" s="2" t="s">
        <v>15048</v>
      </c>
      <c r="K566" s="2"/>
      <c r="L566" s="82" t="s">
        <v>19512</v>
      </c>
    </row>
    <row r="567" spans="1:12" ht="120" customHeight="1" x14ac:dyDescent="0.3">
      <c r="A567" s="2">
        <v>563</v>
      </c>
      <c r="B567" s="66" t="s">
        <v>266</v>
      </c>
      <c r="C567" s="66" t="s">
        <v>501</v>
      </c>
      <c r="D567" s="11">
        <v>4122.42</v>
      </c>
      <c r="E567" s="11">
        <v>4122.42</v>
      </c>
      <c r="F567" s="3"/>
      <c r="G567" s="2"/>
      <c r="H567" s="3">
        <v>43053</v>
      </c>
      <c r="I567" s="2" t="s">
        <v>19506</v>
      </c>
      <c r="J567" s="2" t="s">
        <v>15048</v>
      </c>
      <c r="K567" s="2"/>
      <c r="L567" s="82" t="s">
        <v>19512</v>
      </c>
    </row>
    <row r="568" spans="1:12" ht="120" customHeight="1" x14ac:dyDescent="0.3">
      <c r="A568" s="2">
        <v>564</v>
      </c>
      <c r="B568" s="66" t="s">
        <v>266</v>
      </c>
      <c r="C568" s="66" t="s">
        <v>502</v>
      </c>
      <c r="D568" s="11">
        <v>4122.42</v>
      </c>
      <c r="E568" s="11">
        <v>4122.42</v>
      </c>
      <c r="F568" s="3"/>
      <c r="G568" s="2"/>
      <c r="H568" s="3">
        <v>43053</v>
      </c>
      <c r="I568" s="2" t="s">
        <v>19506</v>
      </c>
      <c r="J568" s="2" t="s">
        <v>15048</v>
      </c>
      <c r="K568" s="2"/>
      <c r="L568" s="82" t="s">
        <v>19512</v>
      </c>
    </row>
    <row r="569" spans="1:12" ht="120" customHeight="1" x14ac:dyDescent="0.3">
      <c r="A569" s="2">
        <v>565</v>
      </c>
      <c r="B569" s="66" t="s">
        <v>266</v>
      </c>
      <c r="C569" s="66" t="s">
        <v>503</v>
      </c>
      <c r="D569" s="11">
        <v>4122.42</v>
      </c>
      <c r="E569" s="11">
        <v>4122.42</v>
      </c>
      <c r="F569" s="3"/>
      <c r="G569" s="2"/>
      <c r="H569" s="3">
        <v>43053</v>
      </c>
      <c r="I569" s="2" t="s">
        <v>19506</v>
      </c>
      <c r="J569" s="2" t="s">
        <v>15048</v>
      </c>
      <c r="K569" s="2"/>
      <c r="L569" s="82" t="s">
        <v>19512</v>
      </c>
    </row>
    <row r="570" spans="1:12" ht="120" customHeight="1" x14ac:dyDescent="0.3">
      <c r="A570" s="2">
        <v>566</v>
      </c>
      <c r="B570" s="66" t="s">
        <v>266</v>
      </c>
      <c r="C570" s="66" t="s">
        <v>504</v>
      </c>
      <c r="D570" s="11">
        <v>4122.42</v>
      </c>
      <c r="E570" s="11">
        <v>4122.42</v>
      </c>
      <c r="F570" s="3"/>
      <c r="G570" s="2"/>
      <c r="H570" s="3">
        <v>43053</v>
      </c>
      <c r="I570" s="2" t="s">
        <v>19506</v>
      </c>
      <c r="J570" s="2" t="s">
        <v>15048</v>
      </c>
      <c r="K570" s="2"/>
      <c r="L570" s="82" t="s">
        <v>19512</v>
      </c>
    </row>
    <row r="571" spans="1:12" ht="120" customHeight="1" x14ac:dyDescent="0.3">
      <c r="A571" s="2">
        <v>567</v>
      </c>
      <c r="B571" s="66" t="s">
        <v>266</v>
      </c>
      <c r="C571" s="66" t="s">
        <v>505</v>
      </c>
      <c r="D571" s="11">
        <v>4122.42</v>
      </c>
      <c r="E571" s="11">
        <v>4122.42</v>
      </c>
      <c r="F571" s="3"/>
      <c r="G571" s="2"/>
      <c r="H571" s="3">
        <v>43053</v>
      </c>
      <c r="I571" s="2" t="s">
        <v>19506</v>
      </c>
      <c r="J571" s="2" t="s">
        <v>15048</v>
      </c>
      <c r="K571" s="2"/>
      <c r="L571" s="82" t="s">
        <v>19512</v>
      </c>
    </row>
    <row r="572" spans="1:12" ht="120" customHeight="1" x14ac:dyDescent="0.3">
      <c r="A572" s="2">
        <v>568</v>
      </c>
      <c r="B572" s="66" t="s">
        <v>266</v>
      </c>
      <c r="C572" s="66" t="s">
        <v>506</v>
      </c>
      <c r="D572" s="11">
        <v>4122.42</v>
      </c>
      <c r="E572" s="11">
        <v>4122.42</v>
      </c>
      <c r="F572" s="3"/>
      <c r="G572" s="2"/>
      <c r="H572" s="3">
        <v>43053</v>
      </c>
      <c r="I572" s="2" t="s">
        <v>19506</v>
      </c>
      <c r="J572" s="2" t="s">
        <v>15048</v>
      </c>
      <c r="K572" s="2"/>
      <c r="L572" s="82" t="s">
        <v>19512</v>
      </c>
    </row>
    <row r="573" spans="1:12" ht="120" customHeight="1" x14ac:dyDescent="0.3">
      <c r="A573" s="2">
        <v>569</v>
      </c>
      <c r="B573" s="66" t="s">
        <v>266</v>
      </c>
      <c r="C573" s="66" t="s">
        <v>507</v>
      </c>
      <c r="D573" s="11">
        <v>4122.42</v>
      </c>
      <c r="E573" s="11">
        <v>4122.42</v>
      </c>
      <c r="F573" s="3"/>
      <c r="G573" s="2"/>
      <c r="H573" s="3">
        <v>43053</v>
      </c>
      <c r="I573" s="2" t="s">
        <v>19506</v>
      </c>
      <c r="J573" s="2" t="s">
        <v>15048</v>
      </c>
      <c r="K573" s="2"/>
      <c r="L573" s="82" t="s">
        <v>19512</v>
      </c>
    </row>
    <row r="574" spans="1:12" ht="120" customHeight="1" x14ac:dyDescent="0.3">
      <c r="A574" s="2">
        <v>570</v>
      </c>
      <c r="B574" s="66" t="s">
        <v>266</v>
      </c>
      <c r="C574" s="66" t="s">
        <v>508</v>
      </c>
      <c r="D574" s="11">
        <v>4122.42</v>
      </c>
      <c r="E574" s="11">
        <v>4122.42</v>
      </c>
      <c r="F574" s="3"/>
      <c r="G574" s="2"/>
      <c r="H574" s="3">
        <v>43053</v>
      </c>
      <c r="I574" s="2" t="s">
        <v>19506</v>
      </c>
      <c r="J574" s="2" t="s">
        <v>15048</v>
      </c>
      <c r="K574" s="2"/>
      <c r="L574" s="82" t="s">
        <v>19512</v>
      </c>
    </row>
    <row r="575" spans="1:12" ht="120" customHeight="1" x14ac:dyDescent="0.3">
      <c r="A575" s="2">
        <v>571</v>
      </c>
      <c r="B575" s="66" t="s">
        <v>266</v>
      </c>
      <c r="C575" s="66" t="s">
        <v>509</v>
      </c>
      <c r="D575" s="11">
        <v>4122.42</v>
      </c>
      <c r="E575" s="11">
        <v>4122.42</v>
      </c>
      <c r="F575" s="3"/>
      <c r="G575" s="2"/>
      <c r="H575" s="3">
        <v>43053</v>
      </c>
      <c r="I575" s="2" t="s">
        <v>19506</v>
      </c>
      <c r="J575" s="2" t="s">
        <v>15048</v>
      </c>
      <c r="K575" s="2"/>
      <c r="L575" s="82" t="s">
        <v>19512</v>
      </c>
    </row>
    <row r="576" spans="1:12" ht="120" customHeight="1" x14ac:dyDescent="0.3">
      <c r="A576" s="2">
        <v>572</v>
      </c>
      <c r="B576" s="66" t="s">
        <v>266</v>
      </c>
      <c r="C576" s="66" t="s">
        <v>510</v>
      </c>
      <c r="D576" s="11">
        <v>4122.42</v>
      </c>
      <c r="E576" s="11">
        <v>4122.42</v>
      </c>
      <c r="F576" s="3"/>
      <c r="G576" s="2"/>
      <c r="H576" s="3">
        <v>43053</v>
      </c>
      <c r="I576" s="2" t="s">
        <v>19506</v>
      </c>
      <c r="J576" s="2" t="s">
        <v>15048</v>
      </c>
      <c r="K576" s="2"/>
      <c r="L576" s="82" t="s">
        <v>19512</v>
      </c>
    </row>
    <row r="577" spans="1:12" ht="120" customHeight="1" x14ac:dyDescent="0.3">
      <c r="A577" s="2">
        <v>573</v>
      </c>
      <c r="B577" s="66" t="s">
        <v>266</v>
      </c>
      <c r="C577" s="66" t="s">
        <v>511</v>
      </c>
      <c r="D577" s="11">
        <v>4122.42</v>
      </c>
      <c r="E577" s="11">
        <v>4122.42</v>
      </c>
      <c r="F577" s="3"/>
      <c r="G577" s="2"/>
      <c r="H577" s="3">
        <v>43053</v>
      </c>
      <c r="I577" s="2" t="s">
        <v>19506</v>
      </c>
      <c r="J577" s="2" t="s">
        <v>15048</v>
      </c>
      <c r="K577" s="2"/>
      <c r="L577" s="82" t="s">
        <v>19512</v>
      </c>
    </row>
    <row r="578" spans="1:12" ht="120" customHeight="1" x14ac:dyDescent="0.3">
      <c r="A578" s="2">
        <v>574</v>
      </c>
      <c r="B578" s="66" t="s">
        <v>266</v>
      </c>
      <c r="C578" s="66" t="s">
        <v>512</v>
      </c>
      <c r="D578" s="11">
        <v>4122.42</v>
      </c>
      <c r="E578" s="11">
        <v>4122.42</v>
      </c>
      <c r="F578" s="3"/>
      <c r="G578" s="2"/>
      <c r="H578" s="3">
        <v>43053</v>
      </c>
      <c r="I578" s="2" t="s">
        <v>19506</v>
      </c>
      <c r="J578" s="2" t="s">
        <v>15048</v>
      </c>
      <c r="K578" s="2"/>
      <c r="L578" s="82" t="s">
        <v>19512</v>
      </c>
    </row>
    <row r="579" spans="1:12" ht="120" customHeight="1" x14ac:dyDescent="0.3">
      <c r="A579" s="2">
        <v>575</v>
      </c>
      <c r="B579" s="66" t="s">
        <v>266</v>
      </c>
      <c r="C579" s="66" t="s">
        <v>513</v>
      </c>
      <c r="D579" s="11">
        <v>4122.42</v>
      </c>
      <c r="E579" s="11">
        <v>4122.42</v>
      </c>
      <c r="F579" s="3"/>
      <c r="G579" s="2"/>
      <c r="H579" s="3">
        <v>43053</v>
      </c>
      <c r="I579" s="2" t="s">
        <v>19506</v>
      </c>
      <c r="J579" s="2" t="s">
        <v>15048</v>
      </c>
      <c r="K579" s="2"/>
      <c r="L579" s="82" t="s">
        <v>19512</v>
      </c>
    </row>
    <row r="580" spans="1:12" ht="120" customHeight="1" x14ac:dyDescent="0.3">
      <c r="A580" s="2">
        <v>576</v>
      </c>
      <c r="B580" s="66" t="s">
        <v>266</v>
      </c>
      <c r="C580" s="66" t="s">
        <v>514</v>
      </c>
      <c r="D580" s="11">
        <v>4122.42</v>
      </c>
      <c r="E580" s="11">
        <v>4122.42</v>
      </c>
      <c r="F580" s="3"/>
      <c r="G580" s="2"/>
      <c r="H580" s="3">
        <v>43053</v>
      </c>
      <c r="I580" s="2" t="s">
        <v>19506</v>
      </c>
      <c r="J580" s="2" t="s">
        <v>15048</v>
      </c>
      <c r="K580" s="2"/>
      <c r="L580" s="82" t="s">
        <v>19512</v>
      </c>
    </row>
    <row r="581" spans="1:12" ht="120" customHeight="1" x14ac:dyDescent="0.3">
      <c r="A581" s="2">
        <v>577</v>
      </c>
      <c r="B581" s="66" t="s">
        <v>266</v>
      </c>
      <c r="C581" s="66" t="s">
        <v>515</v>
      </c>
      <c r="D581" s="11">
        <v>4122.42</v>
      </c>
      <c r="E581" s="11">
        <v>4122.42</v>
      </c>
      <c r="F581" s="3"/>
      <c r="G581" s="2"/>
      <c r="H581" s="3">
        <v>43053</v>
      </c>
      <c r="I581" s="2" t="s">
        <v>19506</v>
      </c>
      <c r="J581" s="2" t="s">
        <v>15048</v>
      </c>
      <c r="K581" s="2"/>
      <c r="L581" s="82" t="s">
        <v>19512</v>
      </c>
    </row>
    <row r="582" spans="1:12" ht="120" customHeight="1" x14ac:dyDescent="0.3">
      <c r="A582" s="2">
        <v>578</v>
      </c>
      <c r="B582" s="66" t="s">
        <v>266</v>
      </c>
      <c r="C582" s="66" t="s">
        <v>516</v>
      </c>
      <c r="D582" s="11">
        <v>4122.42</v>
      </c>
      <c r="E582" s="11">
        <v>4122.42</v>
      </c>
      <c r="F582" s="3"/>
      <c r="G582" s="2"/>
      <c r="H582" s="3">
        <v>43053</v>
      </c>
      <c r="I582" s="2" t="s">
        <v>19506</v>
      </c>
      <c r="J582" s="2" t="s">
        <v>15048</v>
      </c>
      <c r="K582" s="2"/>
      <c r="L582" s="82" t="s">
        <v>19512</v>
      </c>
    </row>
    <row r="583" spans="1:12" ht="120" customHeight="1" x14ac:dyDescent="0.3">
      <c r="A583" s="2">
        <v>579</v>
      </c>
      <c r="B583" s="66" t="s">
        <v>266</v>
      </c>
      <c r="C583" s="66" t="s">
        <v>517</v>
      </c>
      <c r="D583" s="11">
        <v>4122.42</v>
      </c>
      <c r="E583" s="11">
        <v>4122.42</v>
      </c>
      <c r="F583" s="3"/>
      <c r="G583" s="2"/>
      <c r="H583" s="3">
        <v>43053</v>
      </c>
      <c r="I583" s="2" t="s">
        <v>19506</v>
      </c>
      <c r="J583" s="2" t="s">
        <v>15048</v>
      </c>
      <c r="K583" s="2"/>
      <c r="L583" s="82" t="s">
        <v>19512</v>
      </c>
    </row>
    <row r="584" spans="1:12" ht="120" customHeight="1" x14ac:dyDescent="0.3">
      <c r="A584" s="2">
        <v>580</v>
      </c>
      <c r="B584" s="66" t="s">
        <v>266</v>
      </c>
      <c r="C584" s="66" t="s">
        <v>518</v>
      </c>
      <c r="D584" s="11">
        <v>4122.42</v>
      </c>
      <c r="E584" s="11">
        <v>4122.42</v>
      </c>
      <c r="F584" s="3"/>
      <c r="G584" s="2"/>
      <c r="H584" s="3">
        <v>43053</v>
      </c>
      <c r="I584" s="2" t="s">
        <v>19506</v>
      </c>
      <c r="J584" s="2" t="s">
        <v>15048</v>
      </c>
      <c r="K584" s="2"/>
      <c r="L584" s="82" t="s">
        <v>19512</v>
      </c>
    </row>
    <row r="585" spans="1:12" ht="120" customHeight="1" x14ac:dyDescent="0.3">
      <c r="A585" s="2">
        <v>581</v>
      </c>
      <c r="B585" s="66" t="s">
        <v>266</v>
      </c>
      <c r="C585" s="66" t="s">
        <v>519</v>
      </c>
      <c r="D585" s="11">
        <v>4122.42</v>
      </c>
      <c r="E585" s="11">
        <v>4122.42</v>
      </c>
      <c r="F585" s="3"/>
      <c r="G585" s="2"/>
      <c r="H585" s="3">
        <v>43053</v>
      </c>
      <c r="I585" s="2" t="s">
        <v>19506</v>
      </c>
      <c r="J585" s="2" t="s">
        <v>15048</v>
      </c>
      <c r="K585" s="2"/>
      <c r="L585" s="82" t="s">
        <v>19512</v>
      </c>
    </row>
    <row r="586" spans="1:12" ht="120" customHeight="1" x14ac:dyDescent="0.3">
      <c r="A586" s="2">
        <v>582</v>
      </c>
      <c r="B586" s="66" t="s">
        <v>266</v>
      </c>
      <c r="C586" s="66" t="s">
        <v>520</v>
      </c>
      <c r="D586" s="11">
        <v>4122.42</v>
      </c>
      <c r="E586" s="11">
        <v>4122.42</v>
      </c>
      <c r="F586" s="3"/>
      <c r="G586" s="2"/>
      <c r="H586" s="3">
        <v>43053</v>
      </c>
      <c r="I586" s="2" t="s">
        <v>19506</v>
      </c>
      <c r="J586" s="2" t="s">
        <v>15048</v>
      </c>
      <c r="K586" s="2"/>
      <c r="L586" s="82" t="s">
        <v>19512</v>
      </c>
    </row>
    <row r="587" spans="1:12" ht="120" customHeight="1" x14ac:dyDescent="0.3">
      <c r="A587" s="2">
        <v>583</v>
      </c>
      <c r="B587" s="66" t="s">
        <v>266</v>
      </c>
      <c r="C587" s="66" t="s">
        <v>521</v>
      </c>
      <c r="D587" s="11">
        <v>4122.42</v>
      </c>
      <c r="E587" s="11">
        <v>4122.42</v>
      </c>
      <c r="F587" s="3"/>
      <c r="G587" s="2"/>
      <c r="H587" s="3">
        <v>43053</v>
      </c>
      <c r="I587" s="2" t="s">
        <v>19506</v>
      </c>
      <c r="J587" s="2" t="s">
        <v>15048</v>
      </c>
      <c r="K587" s="2"/>
      <c r="L587" s="82" t="s">
        <v>19512</v>
      </c>
    </row>
    <row r="588" spans="1:12" ht="120" customHeight="1" x14ac:dyDescent="0.3">
      <c r="A588" s="2">
        <v>584</v>
      </c>
      <c r="B588" s="66" t="s">
        <v>266</v>
      </c>
      <c r="C588" s="66" t="s">
        <v>522</v>
      </c>
      <c r="D588" s="11">
        <v>4122.42</v>
      </c>
      <c r="E588" s="11">
        <v>4122.42</v>
      </c>
      <c r="F588" s="3"/>
      <c r="G588" s="2"/>
      <c r="H588" s="3">
        <v>43053</v>
      </c>
      <c r="I588" s="2" t="s">
        <v>19506</v>
      </c>
      <c r="J588" s="2" t="s">
        <v>15048</v>
      </c>
      <c r="K588" s="2"/>
      <c r="L588" s="82" t="s">
        <v>19512</v>
      </c>
    </row>
    <row r="589" spans="1:12" ht="120" customHeight="1" x14ac:dyDescent="0.3">
      <c r="A589" s="2">
        <v>585</v>
      </c>
      <c r="B589" s="66" t="s">
        <v>266</v>
      </c>
      <c r="C589" s="66" t="s">
        <v>523</v>
      </c>
      <c r="D589" s="11">
        <v>4122.42</v>
      </c>
      <c r="E589" s="11">
        <v>4122.42</v>
      </c>
      <c r="F589" s="3"/>
      <c r="G589" s="2"/>
      <c r="H589" s="3">
        <v>43053</v>
      </c>
      <c r="I589" s="2" t="s">
        <v>19506</v>
      </c>
      <c r="J589" s="2" t="s">
        <v>15048</v>
      </c>
      <c r="K589" s="2"/>
      <c r="L589" s="82" t="s">
        <v>19512</v>
      </c>
    </row>
    <row r="590" spans="1:12" ht="120" customHeight="1" x14ac:dyDescent="0.3">
      <c r="A590" s="2">
        <v>586</v>
      </c>
      <c r="B590" s="66" t="s">
        <v>266</v>
      </c>
      <c r="C590" s="66" t="s">
        <v>524</v>
      </c>
      <c r="D590" s="11">
        <v>4122.42</v>
      </c>
      <c r="E590" s="11">
        <v>4122.42</v>
      </c>
      <c r="F590" s="3"/>
      <c r="G590" s="2"/>
      <c r="H590" s="3">
        <v>43053</v>
      </c>
      <c r="I590" s="2" t="s">
        <v>19506</v>
      </c>
      <c r="J590" s="2" t="s">
        <v>15048</v>
      </c>
      <c r="K590" s="2"/>
      <c r="L590" s="82" t="s">
        <v>19512</v>
      </c>
    </row>
    <row r="591" spans="1:12" ht="120" customHeight="1" x14ac:dyDescent="0.3">
      <c r="A591" s="2">
        <v>587</v>
      </c>
      <c r="B591" s="66" t="s">
        <v>266</v>
      </c>
      <c r="C591" s="66" t="s">
        <v>525</v>
      </c>
      <c r="D591" s="11">
        <v>4122.42</v>
      </c>
      <c r="E591" s="11">
        <v>4122.42</v>
      </c>
      <c r="F591" s="3"/>
      <c r="G591" s="2"/>
      <c r="H591" s="3">
        <v>43053</v>
      </c>
      <c r="I591" s="2" t="s">
        <v>19506</v>
      </c>
      <c r="J591" s="2" t="s">
        <v>15048</v>
      </c>
      <c r="K591" s="2"/>
      <c r="L591" s="82" t="s">
        <v>19512</v>
      </c>
    </row>
    <row r="592" spans="1:12" ht="120" customHeight="1" x14ac:dyDescent="0.3">
      <c r="A592" s="2">
        <v>588</v>
      </c>
      <c r="B592" s="66" t="s">
        <v>266</v>
      </c>
      <c r="C592" s="66" t="s">
        <v>526</v>
      </c>
      <c r="D592" s="11">
        <v>4122.42</v>
      </c>
      <c r="E592" s="11">
        <v>4122.42</v>
      </c>
      <c r="F592" s="3"/>
      <c r="G592" s="2"/>
      <c r="H592" s="3">
        <v>43053</v>
      </c>
      <c r="I592" s="2" t="s">
        <v>19506</v>
      </c>
      <c r="J592" s="2" t="s">
        <v>15048</v>
      </c>
      <c r="K592" s="2"/>
      <c r="L592" s="82" t="s">
        <v>19512</v>
      </c>
    </row>
    <row r="593" spans="1:12" ht="120" customHeight="1" x14ac:dyDescent="0.3">
      <c r="A593" s="2">
        <v>589</v>
      </c>
      <c r="B593" s="66" t="s">
        <v>266</v>
      </c>
      <c r="C593" s="66" t="s">
        <v>527</v>
      </c>
      <c r="D593" s="11">
        <v>4122.42</v>
      </c>
      <c r="E593" s="11">
        <v>4122.42</v>
      </c>
      <c r="F593" s="3"/>
      <c r="G593" s="2"/>
      <c r="H593" s="3">
        <v>43053</v>
      </c>
      <c r="I593" s="2" t="s">
        <v>19506</v>
      </c>
      <c r="J593" s="2" t="s">
        <v>15048</v>
      </c>
      <c r="K593" s="2"/>
      <c r="L593" s="82" t="s">
        <v>19512</v>
      </c>
    </row>
    <row r="594" spans="1:12" ht="120" customHeight="1" x14ac:dyDescent="0.3">
      <c r="A594" s="2">
        <v>590</v>
      </c>
      <c r="B594" s="66" t="s">
        <v>266</v>
      </c>
      <c r="C594" s="66" t="s">
        <v>528</v>
      </c>
      <c r="D594" s="11">
        <v>4122.42</v>
      </c>
      <c r="E594" s="11">
        <v>4122.42</v>
      </c>
      <c r="F594" s="3"/>
      <c r="G594" s="2"/>
      <c r="H594" s="3">
        <v>43053</v>
      </c>
      <c r="I594" s="2" t="s">
        <v>19506</v>
      </c>
      <c r="J594" s="2" t="s">
        <v>15048</v>
      </c>
      <c r="K594" s="2"/>
      <c r="L594" s="82" t="s">
        <v>19512</v>
      </c>
    </row>
    <row r="595" spans="1:12" ht="120" customHeight="1" x14ac:dyDescent="0.3">
      <c r="A595" s="2">
        <v>591</v>
      </c>
      <c r="B595" s="66" t="s">
        <v>266</v>
      </c>
      <c r="C595" s="66" t="s">
        <v>529</v>
      </c>
      <c r="D595" s="11">
        <v>4122.42</v>
      </c>
      <c r="E595" s="11">
        <v>4122.42</v>
      </c>
      <c r="F595" s="3"/>
      <c r="G595" s="2"/>
      <c r="H595" s="3">
        <v>43053</v>
      </c>
      <c r="I595" s="2" t="s">
        <v>19506</v>
      </c>
      <c r="J595" s="2" t="s">
        <v>15048</v>
      </c>
      <c r="K595" s="2"/>
      <c r="L595" s="82" t="s">
        <v>19512</v>
      </c>
    </row>
    <row r="596" spans="1:12" ht="120" customHeight="1" x14ac:dyDescent="0.3">
      <c r="A596" s="2">
        <v>592</v>
      </c>
      <c r="B596" s="66" t="s">
        <v>266</v>
      </c>
      <c r="C596" s="66" t="s">
        <v>530</v>
      </c>
      <c r="D596" s="11">
        <v>4122.42</v>
      </c>
      <c r="E596" s="11">
        <v>4122.42</v>
      </c>
      <c r="F596" s="3"/>
      <c r="G596" s="2"/>
      <c r="H596" s="3">
        <v>43053</v>
      </c>
      <c r="I596" s="2" t="s">
        <v>19506</v>
      </c>
      <c r="J596" s="2" t="s">
        <v>15048</v>
      </c>
      <c r="K596" s="2"/>
      <c r="L596" s="82" t="s">
        <v>19512</v>
      </c>
    </row>
    <row r="597" spans="1:12" ht="120" customHeight="1" x14ac:dyDescent="0.3">
      <c r="A597" s="2">
        <v>593</v>
      </c>
      <c r="B597" s="66" t="s">
        <v>266</v>
      </c>
      <c r="C597" s="66" t="s">
        <v>531</v>
      </c>
      <c r="D597" s="11">
        <v>4122.42</v>
      </c>
      <c r="E597" s="11">
        <v>4122.42</v>
      </c>
      <c r="F597" s="3"/>
      <c r="G597" s="2"/>
      <c r="H597" s="3">
        <v>43053</v>
      </c>
      <c r="I597" s="2" t="s">
        <v>19506</v>
      </c>
      <c r="J597" s="2" t="s">
        <v>15048</v>
      </c>
      <c r="K597" s="2"/>
      <c r="L597" s="82" t="s">
        <v>19512</v>
      </c>
    </row>
    <row r="598" spans="1:12" ht="120" customHeight="1" x14ac:dyDescent="0.3">
      <c r="A598" s="2">
        <v>594</v>
      </c>
      <c r="B598" s="66" t="s">
        <v>266</v>
      </c>
      <c r="C598" s="66" t="s">
        <v>532</v>
      </c>
      <c r="D598" s="11">
        <v>4122.42</v>
      </c>
      <c r="E598" s="11">
        <v>4122.42</v>
      </c>
      <c r="F598" s="3"/>
      <c r="G598" s="2"/>
      <c r="H598" s="3">
        <v>43053</v>
      </c>
      <c r="I598" s="2" t="s">
        <v>19506</v>
      </c>
      <c r="J598" s="2" t="s">
        <v>15048</v>
      </c>
      <c r="K598" s="2"/>
      <c r="L598" s="82" t="s">
        <v>19512</v>
      </c>
    </row>
    <row r="599" spans="1:12" ht="120" customHeight="1" x14ac:dyDescent="0.3">
      <c r="A599" s="2">
        <v>595</v>
      </c>
      <c r="B599" s="66" t="s">
        <v>266</v>
      </c>
      <c r="C599" s="66" t="s">
        <v>533</v>
      </c>
      <c r="D599" s="11">
        <v>4122.42</v>
      </c>
      <c r="E599" s="11">
        <v>4122.42</v>
      </c>
      <c r="F599" s="3"/>
      <c r="G599" s="2"/>
      <c r="H599" s="3">
        <v>43053</v>
      </c>
      <c r="I599" s="2" t="s">
        <v>19506</v>
      </c>
      <c r="J599" s="2" t="s">
        <v>15048</v>
      </c>
      <c r="K599" s="2"/>
      <c r="L599" s="82" t="s">
        <v>19512</v>
      </c>
    </row>
    <row r="600" spans="1:12" ht="120" customHeight="1" x14ac:dyDescent="0.3">
      <c r="A600" s="2">
        <v>596</v>
      </c>
      <c r="B600" s="66" t="s">
        <v>266</v>
      </c>
      <c r="C600" s="66" t="s">
        <v>534</v>
      </c>
      <c r="D600" s="11">
        <v>4122.42</v>
      </c>
      <c r="E600" s="11">
        <v>4122.42</v>
      </c>
      <c r="F600" s="3"/>
      <c r="G600" s="2"/>
      <c r="H600" s="3">
        <v>43053</v>
      </c>
      <c r="I600" s="2" t="s">
        <v>19506</v>
      </c>
      <c r="J600" s="2" t="s">
        <v>15048</v>
      </c>
      <c r="K600" s="2"/>
      <c r="L600" s="82" t="s">
        <v>19512</v>
      </c>
    </row>
    <row r="601" spans="1:12" ht="120" customHeight="1" x14ac:dyDescent="0.3">
      <c r="A601" s="2">
        <v>597</v>
      </c>
      <c r="B601" s="66" t="s">
        <v>266</v>
      </c>
      <c r="C601" s="66" t="s">
        <v>535</v>
      </c>
      <c r="D601" s="11">
        <v>4122.42</v>
      </c>
      <c r="E601" s="11">
        <v>4122.42</v>
      </c>
      <c r="F601" s="3"/>
      <c r="G601" s="2"/>
      <c r="H601" s="3">
        <v>43053</v>
      </c>
      <c r="I601" s="2" t="s">
        <v>19506</v>
      </c>
      <c r="J601" s="2" t="s">
        <v>15048</v>
      </c>
      <c r="K601" s="2"/>
      <c r="L601" s="82" t="s">
        <v>19512</v>
      </c>
    </row>
    <row r="602" spans="1:12" ht="120" customHeight="1" x14ac:dyDescent="0.3">
      <c r="A602" s="2">
        <v>598</v>
      </c>
      <c r="B602" s="66" t="s">
        <v>266</v>
      </c>
      <c r="C602" s="66" t="s">
        <v>536</v>
      </c>
      <c r="D602" s="11">
        <v>4122.42</v>
      </c>
      <c r="E602" s="11">
        <v>4122.42</v>
      </c>
      <c r="F602" s="3"/>
      <c r="G602" s="2"/>
      <c r="H602" s="3">
        <v>43053</v>
      </c>
      <c r="I602" s="2" t="s">
        <v>19506</v>
      </c>
      <c r="J602" s="2" t="s">
        <v>15048</v>
      </c>
      <c r="K602" s="2"/>
      <c r="L602" s="82" t="s">
        <v>19512</v>
      </c>
    </row>
    <row r="603" spans="1:12" ht="120" customHeight="1" x14ac:dyDescent="0.3">
      <c r="A603" s="2">
        <v>599</v>
      </c>
      <c r="B603" s="66" t="s">
        <v>266</v>
      </c>
      <c r="C603" s="66" t="s">
        <v>537</v>
      </c>
      <c r="D603" s="11">
        <v>4122.42</v>
      </c>
      <c r="E603" s="11">
        <v>4122.42</v>
      </c>
      <c r="F603" s="3"/>
      <c r="G603" s="2"/>
      <c r="H603" s="3">
        <v>43053</v>
      </c>
      <c r="I603" s="2" t="s">
        <v>19506</v>
      </c>
      <c r="J603" s="2" t="s">
        <v>15048</v>
      </c>
      <c r="K603" s="2"/>
      <c r="L603" s="82" t="s">
        <v>19512</v>
      </c>
    </row>
    <row r="604" spans="1:12" ht="120" customHeight="1" x14ac:dyDescent="0.3">
      <c r="A604" s="2">
        <v>600</v>
      </c>
      <c r="B604" s="66" t="s">
        <v>266</v>
      </c>
      <c r="C604" s="66" t="s">
        <v>538</v>
      </c>
      <c r="D604" s="11">
        <v>4122.42</v>
      </c>
      <c r="E604" s="11">
        <v>4122.42</v>
      </c>
      <c r="F604" s="3"/>
      <c r="G604" s="2"/>
      <c r="H604" s="3">
        <v>43053</v>
      </c>
      <c r="I604" s="2" t="s">
        <v>19506</v>
      </c>
      <c r="J604" s="2" t="s">
        <v>15048</v>
      </c>
      <c r="K604" s="2"/>
      <c r="L604" s="82" t="s">
        <v>19512</v>
      </c>
    </row>
    <row r="605" spans="1:12" ht="120" customHeight="1" x14ac:dyDescent="0.3">
      <c r="A605" s="2">
        <v>601</v>
      </c>
      <c r="B605" s="66" t="s">
        <v>266</v>
      </c>
      <c r="C605" s="66" t="s">
        <v>539</v>
      </c>
      <c r="D605" s="11">
        <v>4122.42</v>
      </c>
      <c r="E605" s="11">
        <v>4122.42</v>
      </c>
      <c r="F605" s="3"/>
      <c r="G605" s="2"/>
      <c r="H605" s="3">
        <v>43053</v>
      </c>
      <c r="I605" s="2" t="s">
        <v>19506</v>
      </c>
      <c r="J605" s="2" t="s">
        <v>15048</v>
      </c>
      <c r="K605" s="2"/>
      <c r="L605" s="82" t="s">
        <v>19512</v>
      </c>
    </row>
    <row r="606" spans="1:12" ht="120" customHeight="1" x14ac:dyDescent="0.3">
      <c r="A606" s="2">
        <v>602</v>
      </c>
      <c r="B606" s="66" t="s">
        <v>266</v>
      </c>
      <c r="C606" s="66" t="s">
        <v>540</v>
      </c>
      <c r="D606" s="11">
        <v>4122.42</v>
      </c>
      <c r="E606" s="11">
        <v>4122.42</v>
      </c>
      <c r="F606" s="3"/>
      <c r="G606" s="2"/>
      <c r="H606" s="3">
        <v>43053</v>
      </c>
      <c r="I606" s="2" t="s">
        <v>19506</v>
      </c>
      <c r="J606" s="2" t="s">
        <v>15048</v>
      </c>
      <c r="K606" s="2"/>
      <c r="L606" s="82" t="s">
        <v>19512</v>
      </c>
    </row>
    <row r="607" spans="1:12" ht="120" customHeight="1" x14ac:dyDescent="0.3">
      <c r="A607" s="2">
        <v>603</v>
      </c>
      <c r="B607" s="66" t="s">
        <v>266</v>
      </c>
      <c r="C607" s="66" t="s">
        <v>541</v>
      </c>
      <c r="D607" s="11">
        <v>4122.42</v>
      </c>
      <c r="E607" s="11">
        <v>4122.42</v>
      </c>
      <c r="F607" s="3"/>
      <c r="G607" s="2"/>
      <c r="H607" s="3">
        <v>43053</v>
      </c>
      <c r="I607" s="2" t="s">
        <v>19506</v>
      </c>
      <c r="J607" s="2" t="s">
        <v>15048</v>
      </c>
      <c r="K607" s="2"/>
      <c r="L607" s="82" t="s">
        <v>19512</v>
      </c>
    </row>
    <row r="608" spans="1:12" ht="120" customHeight="1" x14ac:dyDescent="0.3">
      <c r="A608" s="2">
        <v>604</v>
      </c>
      <c r="B608" s="66" t="s">
        <v>266</v>
      </c>
      <c r="C608" s="66" t="s">
        <v>542</v>
      </c>
      <c r="D608" s="11">
        <v>4122.42</v>
      </c>
      <c r="E608" s="11">
        <v>4122.42</v>
      </c>
      <c r="F608" s="3"/>
      <c r="G608" s="2"/>
      <c r="H608" s="3">
        <v>43053</v>
      </c>
      <c r="I608" s="2" t="s">
        <v>19506</v>
      </c>
      <c r="J608" s="2" t="s">
        <v>15048</v>
      </c>
      <c r="K608" s="2"/>
      <c r="L608" s="82" t="s">
        <v>19512</v>
      </c>
    </row>
    <row r="609" spans="1:12" ht="120" customHeight="1" x14ac:dyDescent="0.3">
      <c r="A609" s="2">
        <v>605</v>
      </c>
      <c r="B609" s="66" t="s">
        <v>266</v>
      </c>
      <c r="C609" s="66" t="s">
        <v>543</v>
      </c>
      <c r="D609" s="11">
        <v>4122.42</v>
      </c>
      <c r="E609" s="11">
        <v>4122.42</v>
      </c>
      <c r="F609" s="3"/>
      <c r="G609" s="2"/>
      <c r="H609" s="3">
        <v>43053</v>
      </c>
      <c r="I609" s="2" t="s">
        <v>19506</v>
      </c>
      <c r="J609" s="2" t="s">
        <v>15048</v>
      </c>
      <c r="K609" s="2"/>
      <c r="L609" s="82" t="s">
        <v>19512</v>
      </c>
    </row>
    <row r="610" spans="1:12" ht="120" customHeight="1" x14ac:dyDescent="0.3">
      <c r="A610" s="2">
        <v>606</v>
      </c>
      <c r="B610" s="66" t="s">
        <v>266</v>
      </c>
      <c r="C610" s="66" t="s">
        <v>544</v>
      </c>
      <c r="D610" s="11">
        <v>4122.42</v>
      </c>
      <c r="E610" s="11">
        <v>4122.42</v>
      </c>
      <c r="F610" s="3"/>
      <c r="G610" s="2"/>
      <c r="H610" s="3">
        <v>43053</v>
      </c>
      <c r="I610" s="2" t="s">
        <v>19506</v>
      </c>
      <c r="J610" s="2" t="s">
        <v>15048</v>
      </c>
      <c r="K610" s="2"/>
      <c r="L610" s="82" t="s">
        <v>19512</v>
      </c>
    </row>
    <row r="611" spans="1:12" ht="120" customHeight="1" x14ac:dyDescent="0.3">
      <c r="A611" s="2">
        <v>607</v>
      </c>
      <c r="B611" s="66" t="s">
        <v>266</v>
      </c>
      <c r="C611" s="66" t="s">
        <v>545</v>
      </c>
      <c r="D611" s="11">
        <v>4122.42</v>
      </c>
      <c r="E611" s="11">
        <v>4122.42</v>
      </c>
      <c r="F611" s="3"/>
      <c r="G611" s="2"/>
      <c r="H611" s="3">
        <v>43053</v>
      </c>
      <c r="I611" s="2" t="s">
        <v>19506</v>
      </c>
      <c r="J611" s="2" t="s">
        <v>15048</v>
      </c>
      <c r="K611" s="2"/>
      <c r="L611" s="82" t="s">
        <v>19512</v>
      </c>
    </row>
    <row r="612" spans="1:12" ht="120" customHeight="1" x14ac:dyDescent="0.3">
      <c r="A612" s="2">
        <v>608</v>
      </c>
      <c r="B612" s="66" t="s">
        <v>266</v>
      </c>
      <c r="C612" s="66" t="s">
        <v>546</v>
      </c>
      <c r="D612" s="11">
        <v>4122.42</v>
      </c>
      <c r="E612" s="11">
        <v>4122.42</v>
      </c>
      <c r="F612" s="3"/>
      <c r="G612" s="2"/>
      <c r="H612" s="3">
        <v>43053</v>
      </c>
      <c r="I612" s="2" t="s">
        <v>19506</v>
      </c>
      <c r="J612" s="2" t="s">
        <v>15048</v>
      </c>
      <c r="K612" s="2"/>
      <c r="L612" s="82" t="s">
        <v>19512</v>
      </c>
    </row>
    <row r="613" spans="1:12" ht="120" customHeight="1" x14ac:dyDescent="0.3">
      <c r="A613" s="2">
        <v>609</v>
      </c>
      <c r="B613" s="66" t="s">
        <v>266</v>
      </c>
      <c r="C613" s="66" t="s">
        <v>547</v>
      </c>
      <c r="D613" s="11">
        <v>4122.42</v>
      </c>
      <c r="E613" s="11">
        <v>4122.42</v>
      </c>
      <c r="F613" s="3"/>
      <c r="G613" s="2"/>
      <c r="H613" s="3">
        <v>43053</v>
      </c>
      <c r="I613" s="2" t="s">
        <v>19506</v>
      </c>
      <c r="J613" s="2" t="s">
        <v>15048</v>
      </c>
      <c r="K613" s="2"/>
      <c r="L613" s="82" t="s">
        <v>19512</v>
      </c>
    </row>
    <row r="614" spans="1:12" ht="120" customHeight="1" x14ac:dyDescent="0.3">
      <c r="A614" s="2">
        <v>610</v>
      </c>
      <c r="B614" s="66" t="s">
        <v>266</v>
      </c>
      <c r="C614" s="66" t="s">
        <v>548</v>
      </c>
      <c r="D614" s="11">
        <v>4122.42</v>
      </c>
      <c r="E614" s="11">
        <v>4122.42</v>
      </c>
      <c r="F614" s="3"/>
      <c r="G614" s="2"/>
      <c r="H614" s="3">
        <v>43053</v>
      </c>
      <c r="I614" s="2" t="s">
        <v>19506</v>
      </c>
      <c r="J614" s="2" t="s">
        <v>15048</v>
      </c>
      <c r="K614" s="2"/>
      <c r="L614" s="82" t="s">
        <v>19512</v>
      </c>
    </row>
    <row r="615" spans="1:12" ht="120" customHeight="1" x14ac:dyDescent="0.3">
      <c r="A615" s="2">
        <v>611</v>
      </c>
      <c r="B615" s="66" t="s">
        <v>266</v>
      </c>
      <c r="C615" s="66" t="s">
        <v>549</v>
      </c>
      <c r="D615" s="11">
        <v>4122.42</v>
      </c>
      <c r="E615" s="11">
        <v>4122.42</v>
      </c>
      <c r="F615" s="3"/>
      <c r="G615" s="2"/>
      <c r="H615" s="3">
        <v>43053</v>
      </c>
      <c r="I615" s="2" t="s">
        <v>19506</v>
      </c>
      <c r="J615" s="2" t="s">
        <v>15048</v>
      </c>
      <c r="K615" s="2"/>
      <c r="L615" s="82" t="s">
        <v>19512</v>
      </c>
    </row>
    <row r="616" spans="1:12" ht="120" customHeight="1" x14ac:dyDescent="0.3">
      <c r="A616" s="2">
        <v>612</v>
      </c>
      <c r="B616" s="66" t="s">
        <v>266</v>
      </c>
      <c r="C616" s="66" t="s">
        <v>550</v>
      </c>
      <c r="D616" s="11">
        <v>4122.42</v>
      </c>
      <c r="E616" s="11">
        <v>4122.42</v>
      </c>
      <c r="F616" s="3"/>
      <c r="G616" s="2"/>
      <c r="H616" s="3">
        <v>43053</v>
      </c>
      <c r="I616" s="2" t="s">
        <v>19506</v>
      </c>
      <c r="J616" s="2" t="s">
        <v>15048</v>
      </c>
      <c r="K616" s="2"/>
      <c r="L616" s="82" t="s">
        <v>19512</v>
      </c>
    </row>
    <row r="617" spans="1:12" ht="120" customHeight="1" x14ac:dyDescent="0.3">
      <c r="A617" s="2">
        <v>613</v>
      </c>
      <c r="B617" s="66" t="s">
        <v>266</v>
      </c>
      <c r="C617" s="66" t="s">
        <v>551</v>
      </c>
      <c r="D617" s="11">
        <v>4122.42</v>
      </c>
      <c r="E617" s="11">
        <v>4122.42</v>
      </c>
      <c r="F617" s="3"/>
      <c r="G617" s="2"/>
      <c r="H617" s="3">
        <v>43053</v>
      </c>
      <c r="I617" s="2" t="s">
        <v>19506</v>
      </c>
      <c r="J617" s="2" t="s">
        <v>15048</v>
      </c>
      <c r="K617" s="2"/>
      <c r="L617" s="82" t="s">
        <v>19512</v>
      </c>
    </row>
    <row r="618" spans="1:12" ht="120" customHeight="1" x14ac:dyDescent="0.3">
      <c r="A618" s="2">
        <v>614</v>
      </c>
      <c r="B618" s="66" t="s">
        <v>266</v>
      </c>
      <c r="C618" s="66" t="s">
        <v>552</v>
      </c>
      <c r="D618" s="11">
        <v>4122.42</v>
      </c>
      <c r="E618" s="11">
        <v>4122.42</v>
      </c>
      <c r="F618" s="3"/>
      <c r="G618" s="2"/>
      <c r="H618" s="3">
        <v>43053</v>
      </c>
      <c r="I618" s="2" t="s">
        <v>19506</v>
      </c>
      <c r="J618" s="2" t="s">
        <v>15048</v>
      </c>
      <c r="K618" s="2"/>
      <c r="L618" s="82" t="s">
        <v>19512</v>
      </c>
    </row>
    <row r="619" spans="1:12" ht="120" customHeight="1" x14ac:dyDescent="0.3">
      <c r="A619" s="2">
        <v>615</v>
      </c>
      <c r="B619" s="66" t="s">
        <v>266</v>
      </c>
      <c r="C619" s="66" t="s">
        <v>553</v>
      </c>
      <c r="D619" s="11">
        <v>4122.42</v>
      </c>
      <c r="E619" s="11">
        <v>4122.42</v>
      </c>
      <c r="F619" s="3"/>
      <c r="G619" s="2"/>
      <c r="H619" s="3">
        <v>43053</v>
      </c>
      <c r="I619" s="2" t="s">
        <v>19506</v>
      </c>
      <c r="J619" s="2" t="s">
        <v>15048</v>
      </c>
      <c r="K619" s="2"/>
      <c r="L619" s="82" t="s">
        <v>19512</v>
      </c>
    </row>
    <row r="620" spans="1:12" ht="120" customHeight="1" x14ac:dyDescent="0.3">
      <c r="A620" s="2">
        <v>616</v>
      </c>
      <c r="B620" s="66" t="s">
        <v>295</v>
      </c>
      <c r="C620" s="66" t="s">
        <v>554</v>
      </c>
      <c r="D620" s="11">
        <v>3300</v>
      </c>
      <c r="E620" s="11">
        <v>3300</v>
      </c>
      <c r="F620" s="3"/>
      <c r="G620" s="2"/>
      <c r="H620" s="3">
        <v>43053</v>
      </c>
      <c r="I620" s="2" t="s">
        <v>19506</v>
      </c>
      <c r="J620" s="2" t="s">
        <v>15048</v>
      </c>
      <c r="K620" s="2"/>
      <c r="L620" s="82" t="s">
        <v>19512</v>
      </c>
    </row>
    <row r="621" spans="1:12" ht="120" customHeight="1" x14ac:dyDescent="0.3">
      <c r="A621" s="2">
        <v>617</v>
      </c>
      <c r="B621" s="66" t="s">
        <v>295</v>
      </c>
      <c r="C621" s="66" t="s">
        <v>555</v>
      </c>
      <c r="D621" s="11">
        <v>3300</v>
      </c>
      <c r="E621" s="11">
        <v>3300</v>
      </c>
      <c r="F621" s="3"/>
      <c r="G621" s="2"/>
      <c r="H621" s="3">
        <v>43053</v>
      </c>
      <c r="I621" s="2" t="s">
        <v>19506</v>
      </c>
      <c r="J621" s="2" t="s">
        <v>15048</v>
      </c>
      <c r="K621" s="2"/>
      <c r="L621" s="82" t="s">
        <v>19512</v>
      </c>
    </row>
    <row r="622" spans="1:12" ht="120" customHeight="1" x14ac:dyDescent="0.3">
      <c r="A622" s="2">
        <v>618</v>
      </c>
      <c r="B622" s="66" t="s">
        <v>295</v>
      </c>
      <c r="C622" s="66" t="s">
        <v>556</v>
      </c>
      <c r="D622" s="11">
        <v>3300</v>
      </c>
      <c r="E622" s="11">
        <v>3300</v>
      </c>
      <c r="F622" s="3"/>
      <c r="G622" s="2"/>
      <c r="H622" s="3">
        <v>43053</v>
      </c>
      <c r="I622" s="2" t="s">
        <v>19506</v>
      </c>
      <c r="J622" s="2" t="s">
        <v>15048</v>
      </c>
      <c r="K622" s="2"/>
      <c r="L622" s="82" t="s">
        <v>19512</v>
      </c>
    </row>
    <row r="623" spans="1:12" ht="120" customHeight="1" x14ac:dyDescent="0.3">
      <c r="A623" s="2">
        <v>619</v>
      </c>
      <c r="B623" s="66" t="s">
        <v>295</v>
      </c>
      <c r="C623" s="66" t="s">
        <v>557</v>
      </c>
      <c r="D623" s="11">
        <v>3300</v>
      </c>
      <c r="E623" s="11">
        <v>3300</v>
      </c>
      <c r="F623" s="3"/>
      <c r="G623" s="2"/>
      <c r="H623" s="3">
        <v>43053</v>
      </c>
      <c r="I623" s="2" t="s">
        <v>19506</v>
      </c>
      <c r="J623" s="2" t="s">
        <v>15048</v>
      </c>
      <c r="K623" s="2"/>
      <c r="L623" s="82" t="s">
        <v>19512</v>
      </c>
    </row>
    <row r="624" spans="1:12" ht="120" customHeight="1" x14ac:dyDescent="0.3">
      <c r="A624" s="2">
        <v>620</v>
      </c>
      <c r="B624" s="66" t="s">
        <v>295</v>
      </c>
      <c r="C624" s="66" t="s">
        <v>558</v>
      </c>
      <c r="D624" s="11">
        <v>3300</v>
      </c>
      <c r="E624" s="11">
        <v>3300</v>
      </c>
      <c r="F624" s="3"/>
      <c r="G624" s="2"/>
      <c r="H624" s="3">
        <v>43053</v>
      </c>
      <c r="I624" s="2" t="s">
        <v>19506</v>
      </c>
      <c r="J624" s="2" t="s">
        <v>15048</v>
      </c>
      <c r="K624" s="2"/>
      <c r="L624" s="82" t="s">
        <v>19512</v>
      </c>
    </row>
    <row r="625" spans="1:12" ht="120" customHeight="1" x14ac:dyDescent="0.3">
      <c r="A625" s="2">
        <v>621</v>
      </c>
      <c r="B625" s="66" t="s">
        <v>295</v>
      </c>
      <c r="C625" s="66" t="s">
        <v>559</v>
      </c>
      <c r="D625" s="11">
        <v>3300</v>
      </c>
      <c r="E625" s="11">
        <v>3300</v>
      </c>
      <c r="F625" s="3"/>
      <c r="G625" s="2"/>
      <c r="H625" s="3">
        <v>43053</v>
      </c>
      <c r="I625" s="2" t="s">
        <v>19506</v>
      </c>
      <c r="J625" s="2" t="s">
        <v>15048</v>
      </c>
      <c r="K625" s="2"/>
      <c r="L625" s="82" t="s">
        <v>19512</v>
      </c>
    </row>
    <row r="626" spans="1:12" ht="120" customHeight="1" x14ac:dyDescent="0.3">
      <c r="A626" s="2">
        <v>622</v>
      </c>
      <c r="B626" s="66" t="s">
        <v>295</v>
      </c>
      <c r="C626" s="66" t="s">
        <v>560</v>
      </c>
      <c r="D626" s="11">
        <v>3300</v>
      </c>
      <c r="E626" s="11">
        <v>3300</v>
      </c>
      <c r="F626" s="3"/>
      <c r="G626" s="2"/>
      <c r="H626" s="3">
        <v>43053</v>
      </c>
      <c r="I626" s="2" t="s">
        <v>19506</v>
      </c>
      <c r="J626" s="2" t="s">
        <v>15048</v>
      </c>
      <c r="K626" s="2"/>
      <c r="L626" s="82" t="s">
        <v>19512</v>
      </c>
    </row>
    <row r="627" spans="1:12" ht="120" customHeight="1" x14ac:dyDescent="0.3">
      <c r="A627" s="2">
        <v>623</v>
      </c>
      <c r="B627" s="66" t="s">
        <v>295</v>
      </c>
      <c r="C627" s="66" t="s">
        <v>561</v>
      </c>
      <c r="D627" s="11">
        <v>3300</v>
      </c>
      <c r="E627" s="11">
        <v>3300</v>
      </c>
      <c r="F627" s="3"/>
      <c r="G627" s="2"/>
      <c r="H627" s="3">
        <v>43053</v>
      </c>
      <c r="I627" s="2" t="s">
        <v>19506</v>
      </c>
      <c r="J627" s="2" t="s">
        <v>15048</v>
      </c>
      <c r="K627" s="2"/>
      <c r="L627" s="82" t="s">
        <v>19512</v>
      </c>
    </row>
    <row r="628" spans="1:12" ht="120" customHeight="1" x14ac:dyDescent="0.3">
      <c r="A628" s="2">
        <v>624</v>
      </c>
      <c r="B628" s="66" t="s">
        <v>295</v>
      </c>
      <c r="C628" s="66" t="s">
        <v>562</v>
      </c>
      <c r="D628" s="11">
        <v>3300</v>
      </c>
      <c r="E628" s="11">
        <v>3300</v>
      </c>
      <c r="F628" s="3"/>
      <c r="G628" s="2"/>
      <c r="H628" s="3">
        <v>43053</v>
      </c>
      <c r="I628" s="2" t="s">
        <v>19506</v>
      </c>
      <c r="J628" s="2" t="s">
        <v>15048</v>
      </c>
      <c r="K628" s="2"/>
      <c r="L628" s="82" t="s">
        <v>19512</v>
      </c>
    </row>
    <row r="629" spans="1:12" ht="120" customHeight="1" x14ac:dyDescent="0.3">
      <c r="A629" s="2">
        <v>625</v>
      </c>
      <c r="B629" s="66" t="s">
        <v>295</v>
      </c>
      <c r="C629" s="66" t="s">
        <v>563</v>
      </c>
      <c r="D629" s="11">
        <v>3300</v>
      </c>
      <c r="E629" s="11">
        <v>3300</v>
      </c>
      <c r="F629" s="3"/>
      <c r="G629" s="2"/>
      <c r="H629" s="3">
        <v>43053</v>
      </c>
      <c r="I629" s="2" t="s">
        <v>19506</v>
      </c>
      <c r="J629" s="2" t="s">
        <v>15048</v>
      </c>
      <c r="K629" s="2"/>
      <c r="L629" s="82" t="s">
        <v>19512</v>
      </c>
    </row>
    <row r="630" spans="1:12" ht="120" customHeight="1" x14ac:dyDescent="0.3">
      <c r="A630" s="2">
        <v>626</v>
      </c>
      <c r="B630" s="66" t="s">
        <v>295</v>
      </c>
      <c r="C630" s="66" t="s">
        <v>564</v>
      </c>
      <c r="D630" s="11">
        <v>3300</v>
      </c>
      <c r="E630" s="11">
        <v>3300</v>
      </c>
      <c r="F630" s="3"/>
      <c r="G630" s="2"/>
      <c r="H630" s="3">
        <v>43053</v>
      </c>
      <c r="I630" s="2" t="s">
        <v>19506</v>
      </c>
      <c r="J630" s="2" t="s">
        <v>15048</v>
      </c>
      <c r="K630" s="2"/>
      <c r="L630" s="82" t="s">
        <v>19512</v>
      </c>
    </row>
    <row r="631" spans="1:12" ht="120" customHeight="1" x14ac:dyDescent="0.3">
      <c r="A631" s="2">
        <v>627</v>
      </c>
      <c r="B631" s="66" t="s">
        <v>295</v>
      </c>
      <c r="C631" s="66" t="s">
        <v>565</v>
      </c>
      <c r="D631" s="11">
        <v>3300</v>
      </c>
      <c r="E631" s="11">
        <v>3300</v>
      </c>
      <c r="F631" s="3"/>
      <c r="G631" s="2"/>
      <c r="H631" s="3">
        <v>43053</v>
      </c>
      <c r="I631" s="2" t="s">
        <v>19506</v>
      </c>
      <c r="J631" s="2" t="s">
        <v>15048</v>
      </c>
      <c r="K631" s="2"/>
      <c r="L631" s="82" t="s">
        <v>19512</v>
      </c>
    </row>
    <row r="632" spans="1:12" ht="120" customHeight="1" x14ac:dyDescent="0.3">
      <c r="A632" s="2">
        <v>628</v>
      </c>
      <c r="B632" s="66" t="s">
        <v>295</v>
      </c>
      <c r="C632" s="66" t="s">
        <v>566</v>
      </c>
      <c r="D632" s="11">
        <v>3300</v>
      </c>
      <c r="E632" s="11">
        <v>3300</v>
      </c>
      <c r="F632" s="3"/>
      <c r="G632" s="2"/>
      <c r="H632" s="3">
        <v>43053</v>
      </c>
      <c r="I632" s="2" t="s">
        <v>19506</v>
      </c>
      <c r="J632" s="2" t="s">
        <v>15048</v>
      </c>
      <c r="K632" s="2"/>
      <c r="L632" s="82" t="s">
        <v>19512</v>
      </c>
    </row>
    <row r="633" spans="1:12" ht="120" customHeight="1" x14ac:dyDescent="0.3">
      <c r="A633" s="2">
        <v>629</v>
      </c>
      <c r="B633" s="66" t="s">
        <v>295</v>
      </c>
      <c r="C633" s="66" t="s">
        <v>567</v>
      </c>
      <c r="D633" s="11">
        <v>3300</v>
      </c>
      <c r="E633" s="11">
        <v>3300</v>
      </c>
      <c r="F633" s="3"/>
      <c r="G633" s="2"/>
      <c r="H633" s="3">
        <v>43053</v>
      </c>
      <c r="I633" s="2" t="s">
        <v>19506</v>
      </c>
      <c r="J633" s="2" t="s">
        <v>15048</v>
      </c>
      <c r="K633" s="2"/>
      <c r="L633" s="82" t="s">
        <v>19512</v>
      </c>
    </row>
    <row r="634" spans="1:12" ht="120" customHeight="1" x14ac:dyDescent="0.3">
      <c r="A634" s="2">
        <v>630</v>
      </c>
      <c r="B634" s="66" t="s">
        <v>295</v>
      </c>
      <c r="C634" s="66" t="s">
        <v>568</v>
      </c>
      <c r="D634" s="11">
        <v>3300</v>
      </c>
      <c r="E634" s="11">
        <v>3300</v>
      </c>
      <c r="F634" s="3"/>
      <c r="G634" s="2"/>
      <c r="H634" s="3">
        <v>43053</v>
      </c>
      <c r="I634" s="2" t="s">
        <v>19506</v>
      </c>
      <c r="J634" s="2" t="s">
        <v>15048</v>
      </c>
      <c r="K634" s="2"/>
      <c r="L634" s="82" t="s">
        <v>19512</v>
      </c>
    </row>
    <row r="635" spans="1:12" ht="120" customHeight="1" x14ac:dyDescent="0.3">
      <c r="A635" s="2">
        <v>631</v>
      </c>
      <c r="B635" s="66" t="s">
        <v>295</v>
      </c>
      <c r="C635" s="66" t="s">
        <v>569</v>
      </c>
      <c r="D635" s="11">
        <v>3300</v>
      </c>
      <c r="E635" s="11">
        <v>3300</v>
      </c>
      <c r="F635" s="3"/>
      <c r="G635" s="2"/>
      <c r="H635" s="3">
        <v>43053</v>
      </c>
      <c r="I635" s="2" t="s">
        <v>19506</v>
      </c>
      <c r="J635" s="2" t="s">
        <v>15048</v>
      </c>
      <c r="K635" s="2"/>
      <c r="L635" s="82" t="s">
        <v>19512</v>
      </c>
    </row>
    <row r="636" spans="1:12" ht="120" customHeight="1" x14ac:dyDescent="0.3">
      <c r="A636" s="2">
        <v>632</v>
      </c>
      <c r="B636" s="66" t="s">
        <v>295</v>
      </c>
      <c r="C636" s="66" t="s">
        <v>570</v>
      </c>
      <c r="D636" s="11">
        <v>3300</v>
      </c>
      <c r="E636" s="11">
        <v>3300</v>
      </c>
      <c r="F636" s="3"/>
      <c r="G636" s="2"/>
      <c r="H636" s="3">
        <v>43053</v>
      </c>
      <c r="I636" s="2" t="s">
        <v>19506</v>
      </c>
      <c r="J636" s="2" t="s">
        <v>15048</v>
      </c>
      <c r="K636" s="2"/>
      <c r="L636" s="82" t="s">
        <v>19512</v>
      </c>
    </row>
    <row r="637" spans="1:12" ht="120" customHeight="1" x14ac:dyDescent="0.3">
      <c r="A637" s="2">
        <v>633</v>
      </c>
      <c r="B637" s="66" t="s">
        <v>295</v>
      </c>
      <c r="C637" s="66" t="s">
        <v>571</v>
      </c>
      <c r="D637" s="11">
        <v>3300</v>
      </c>
      <c r="E637" s="11">
        <v>3300</v>
      </c>
      <c r="F637" s="3"/>
      <c r="G637" s="2"/>
      <c r="H637" s="3">
        <v>43053</v>
      </c>
      <c r="I637" s="2" t="s">
        <v>19506</v>
      </c>
      <c r="J637" s="2" t="s">
        <v>15048</v>
      </c>
      <c r="K637" s="2"/>
      <c r="L637" s="82" t="s">
        <v>19512</v>
      </c>
    </row>
    <row r="638" spans="1:12" ht="120" customHeight="1" x14ac:dyDescent="0.3">
      <c r="A638" s="2">
        <v>634</v>
      </c>
      <c r="B638" s="66" t="s">
        <v>295</v>
      </c>
      <c r="C638" s="66" t="s">
        <v>572</v>
      </c>
      <c r="D638" s="11">
        <v>3300</v>
      </c>
      <c r="E638" s="11">
        <v>3300</v>
      </c>
      <c r="F638" s="3"/>
      <c r="G638" s="2"/>
      <c r="H638" s="3">
        <v>43053</v>
      </c>
      <c r="I638" s="2" t="s">
        <v>19506</v>
      </c>
      <c r="J638" s="2" t="s">
        <v>15048</v>
      </c>
      <c r="K638" s="2"/>
      <c r="L638" s="82" t="s">
        <v>19512</v>
      </c>
    </row>
    <row r="639" spans="1:12" ht="120" customHeight="1" x14ac:dyDescent="0.3">
      <c r="A639" s="2">
        <v>635</v>
      </c>
      <c r="B639" s="66" t="s">
        <v>295</v>
      </c>
      <c r="C639" s="66" t="s">
        <v>573</v>
      </c>
      <c r="D639" s="11">
        <v>3300</v>
      </c>
      <c r="E639" s="11">
        <v>3300</v>
      </c>
      <c r="F639" s="3"/>
      <c r="G639" s="2"/>
      <c r="H639" s="3">
        <v>43053</v>
      </c>
      <c r="I639" s="2" t="s">
        <v>19506</v>
      </c>
      <c r="J639" s="2" t="s">
        <v>15048</v>
      </c>
      <c r="K639" s="2"/>
      <c r="L639" s="82" t="s">
        <v>19512</v>
      </c>
    </row>
    <row r="640" spans="1:12" ht="120" customHeight="1" x14ac:dyDescent="0.3">
      <c r="A640" s="2">
        <v>636</v>
      </c>
      <c r="B640" s="66" t="s">
        <v>295</v>
      </c>
      <c r="C640" s="66" t="s">
        <v>574</v>
      </c>
      <c r="D640" s="11">
        <v>3300</v>
      </c>
      <c r="E640" s="11">
        <v>3300</v>
      </c>
      <c r="F640" s="3"/>
      <c r="G640" s="2"/>
      <c r="H640" s="3">
        <v>43053</v>
      </c>
      <c r="I640" s="2" t="s">
        <v>19506</v>
      </c>
      <c r="J640" s="2" t="s">
        <v>15048</v>
      </c>
      <c r="K640" s="2"/>
      <c r="L640" s="82" t="s">
        <v>19512</v>
      </c>
    </row>
    <row r="641" spans="1:12" ht="120" customHeight="1" x14ac:dyDescent="0.3">
      <c r="A641" s="2">
        <v>637</v>
      </c>
      <c r="B641" s="66" t="s">
        <v>295</v>
      </c>
      <c r="C641" s="66" t="s">
        <v>575</v>
      </c>
      <c r="D641" s="11">
        <v>3300</v>
      </c>
      <c r="E641" s="11">
        <v>3300</v>
      </c>
      <c r="F641" s="3"/>
      <c r="G641" s="2"/>
      <c r="H641" s="3">
        <v>43053</v>
      </c>
      <c r="I641" s="2" t="s">
        <v>19506</v>
      </c>
      <c r="J641" s="2" t="s">
        <v>15048</v>
      </c>
      <c r="K641" s="2"/>
      <c r="L641" s="82" t="s">
        <v>19512</v>
      </c>
    </row>
    <row r="642" spans="1:12" ht="120" customHeight="1" x14ac:dyDescent="0.3">
      <c r="A642" s="2">
        <v>638</v>
      </c>
      <c r="B642" s="66" t="s">
        <v>295</v>
      </c>
      <c r="C642" s="66" t="s">
        <v>576</v>
      </c>
      <c r="D642" s="11">
        <v>3300</v>
      </c>
      <c r="E642" s="11">
        <v>3300</v>
      </c>
      <c r="F642" s="3"/>
      <c r="G642" s="2"/>
      <c r="H642" s="3">
        <v>43053</v>
      </c>
      <c r="I642" s="2" t="s">
        <v>19506</v>
      </c>
      <c r="J642" s="2" t="s">
        <v>15048</v>
      </c>
      <c r="K642" s="2"/>
      <c r="L642" s="82" t="s">
        <v>19512</v>
      </c>
    </row>
    <row r="643" spans="1:12" ht="120" customHeight="1" x14ac:dyDescent="0.3">
      <c r="A643" s="2">
        <v>639</v>
      </c>
      <c r="B643" s="66" t="s">
        <v>295</v>
      </c>
      <c r="C643" s="66" t="s">
        <v>577</v>
      </c>
      <c r="D643" s="11">
        <v>3300</v>
      </c>
      <c r="E643" s="11">
        <v>3300</v>
      </c>
      <c r="F643" s="3"/>
      <c r="G643" s="2"/>
      <c r="H643" s="3">
        <v>43053</v>
      </c>
      <c r="I643" s="2" t="s">
        <v>19506</v>
      </c>
      <c r="J643" s="2" t="s">
        <v>15048</v>
      </c>
      <c r="K643" s="2"/>
      <c r="L643" s="82" t="s">
        <v>19512</v>
      </c>
    </row>
    <row r="644" spans="1:12" ht="120" customHeight="1" x14ac:dyDescent="0.3">
      <c r="A644" s="2">
        <v>640</v>
      </c>
      <c r="B644" s="66" t="s">
        <v>295</v>
      </c>
      <c r="C644" s="66" t="s">
        <v>578</v>
      </c>
      <c r="D644" s="11">
        <v>3300</v>
      </c>
      <c r="E644" s="11">
        <v>3300</v>
      </c>
      <c r="F644" s="3"/>
      <c r="G644" s="2"/>
      <c r="H644" s="3">
        <v>43053</v>
      </c>
      <c r="I644" s="2" t="s">
        <v>19506</v>
      </c>
      <c r="J644" s="2" t="s">
        <v>15048</v>
      </c>
      <c r="K644" s="2"/>
      <c r="L644" s="82" t="s">
        <v>19512</v>
      </c>
    </row>
    <row r="645" spans="1:12" ht="120" customHeight="1" x14ac:dyDescent="0.3">
      <c r="A645" s="2">
        <v>641</v>
      </c>
      <c r="B645" s="66" t="s">
        <v>295</v>
      </c>
      <c r="C645" s="66" t="s">
        <v>579</v>
      </c>
      <c r="D645" s="11">
        <v>3300</v>
      </c>
      <c r="E645" s="11">
        <v>3300</v>
      </c>
      <c r="F645" s="3"/>
      <c r="G645" s="2"/>
      <c r="H645" s="3">
        <v>43053</v>
      </c>
      <c r="I645" s="2" t="s">
        <v>19506</v>
      </c>
      <c r="J645" s="2" t="s">
        <v>15048</v>
      </c>
      <c r="K645" s="2"/>
      <c r="L645" s="82" t="s">
        <v>19512</v>
      </c>
    </row>
    <row r="646" spans="1:12" ht="120" customHeight="1" x14ac:dyDescent="0.3">
      <c r="A646" s="2">
        <v>642</v>
      </c>
      <c r="B646" s="66" t="s">
        <v>295</v>
      </c>
      <c r="C646" s="66" t="s">
        <v>580</v>
      </c>
      <c r="D646" s="11">
        <v>3300</v>
      </c>
      <c r="E646" s="11">
        <v>3300</v>
      </c>
      <c r="F646" s="3"/>
      <c r="G646" s="2"/>
      <c r="H646" s="3">
        <v>43053</v>
      </c>
      <c r="I646" s="2" t="s">
        <v>19506</v>
      </c>
      <c r="J646" s="2" t="s">
        <v>15048</v>
      </c>
      <c r="K646" s="2"/>
      <c r="L646" s="82" t="s">
        <v>19512</v>
      </c>
    </row>
    <row r="647" spans="1:12" ht="120" customHeight="1" x14ac:dyDescent="0.3">
      <c r="A647" s="2">
        <v>643</v>
      </c>
      <c r="B647" s="66" t="s">
        <v>295</v>
      </c>
      <c r="C647" s="66" t="s">
        <v>581</v>
      </c>
      <c r="D647" s="11">
        <v>3300</v>
      </c>
      <c r="E647" s="11">
        <v>3300</v>
      </c>
      <c r="F647" s="3"/>
      <c r="G647" s="2"/>
      <c r="H647" s="3">
        <v>43053</v>
      </c>
      <c r="I647" s="2" t="s">
        <v>19506</v>
      </c>
      <c r="J647" s="2" t="s">
        <v>15048</v>
      </c>
      <c r="K647" s="2"/>
      <c r="L647" s="82" t="s">
        <v>19512</v>
      </c>
    </row>
    <row r="648" spans="1:12" ht="120" customHeight="1" x14ac:dyDescent="0.3">
      <c r="A648" s="2">
        <v>644</v>
      </c>
      <c r="B648" s="66" t="s">
        <v>295</v>
      </c>
      <c r="C648" s="66" t="s">
        <v>582</v>
      </c>
      <c r="D648" s="11">
        <v>3300</v>
      </c>
      <c r="E648" s="11">
        <v>3300</v>
      </c>
      <c r="F648" s="3"/>
      <c r="G648" s="2"/>
      <c r="H648" s="3">
        <v>43053</v>
      </c>
      <c r="I648" s="2" t="s">
        <v>19506</v>
      </c>
      <c r="J648" s="2" t="s">
        <v>15048</v>
      </c>
      <c r="K648" s="2"/>
      <c r="L648" s="82" t="s">
        <v>19512</v>
      </c>
    </row>
    <row r="649" spans="1:12" ht="120" customHeight="1" x14ac:dyDescent="0.3">
      <c r="A649" s="2">
        <v>645</v>
      </c>
      <c r="B649" s="66" t="s">
        <v>295</v>
      </c>
      <c r="C649" s="66" t="s">
        <v>583</v>
      </c>
      <c r="D649" s="11">
        <v>3300</v>
      </c>
      <c r="E649" s="11">
        <v>3300</v>
      </c>
      <c r="F649" s="3"/>
      <c r="G649" s="2"/>
      <c r="H649" s="3">
        <v>43053</v>
      </c>
      <c r="I649" s="2" t="s">
        <v>19506</v>
      </c>
      <c r="J649" s="2" t="s">
        <v>15048</v>
      </c>
      <c r="K649" s="2"/>
      <c r="L649" s="82" t="s">
        <v>19512</v>
      </c>
    </row>
    <row r="650" spans="1:12" ht="120" customHeight="1" x14ac:dyDescent="0.3">
      <c r="A650" s="2">
        <v>646</v>
      </c>
      <c r="B650" s="66" t="s">
        <v>295</v>
      </c>
      <c r="C650" s="66" t="s">
        <v>584</v>
      </c>
      <c r="D650" s="11">
        <v>3300</v>
      </c>
      <c r="E650" s="11">
        <v>3300</v>
      </c>
      <c r="F650" s="3"/>
      <c r="G650" s="2"/>
      <c r="H650" s="3">
        <v>43053</v>
      </c>
      <c r="I650" s="2" t="s">
        <v>19506</v>
      </c>
      <c r="J650" s="2" t="s">
        <v>15048</v>
      </c>
      <c r="K650" s="2"/>
      <c r="L650" s="82" t="s">
        <v>19512</v>
      </c>
    </row>
    <row r="651" spans="1:12" ht="120" customHeight="1" x14ac:dyDescent="0.3">
      <c r="A651" s="2">
        <v>647</v>
      </c>
      <c r="B651" s="66" t="s">
        <v>295</v>
      </c>
      <c r="C651" s="66" t="s">
        <v>585</v>
      </c>
      <c r="D651" s="11">
        <v>3300</v>
      </c>
      <c r="E651" s="11">
        <v>3300</v>
      </c>
      <c r="F651" s="3"/>
      <c r="G651" s="2"/>
      <c r="H651" s="3">
        <v>43053</v>
      </c>
      <c r="I651" s="2" t="s">
        <v>19506</v>
      </c>
      <c r="J651" s="2" t="s">
        <v>15048</v>
      </c>
      <c r="K651" s="2"/>
      <c r="L651" s="82" t="s">
        <v>19512</v>
      </c>
    </row>
    <row r="652" spans="1:12" ht="120" customHeight="1" x14ac:dyDescent="0.3">
      <c r="A652" s="2">
        <v>648</v>
      </c>
      <c r="B652" s="66" t="s">
        <v>295</v>
      </c>
      <c r="C652" s="66" t="s">
        <v>586</v>
      </c>
      <c r="D652" s="11">
        <v>3300</v>
      </c>
      <c r="E652" s="11">
        <v>3300</v>
      </c>
      <c r="F652" s="3"/>
      <c r="G652" s="2"/>
      <c r="H652" s="3">
        <v>43053</v>
      </c>
      <c r="I652" s="2" t="s">
        <v>19506</v>
      </c>
      <c r="J652" s="2" t="s">
        <v>15048</v>
      </c>
      <c r="K652" s="2"/>
      <c r="L652" s="82" t="s">
        <v>19512</v>
      </c>
    </row>
    <row r="653" spans="1:12" ht="120" customHeight="1" x14ac:dyDescent="0.3">
      <c r="A653" s="2">
        <v>649</v>
      </c>
      <c r="B653" s="66" t="s">
        <v>295</v>
      </c>
      <c r="C653" s="66" t="s">
        <v>587</v>
      </c>
      <c r="D653" s="11">
        <v>3300</v>
      </c>
      <c r="E653" s="11">
        <v>3300</v>
      </c>
      <c r="F653" s="3"/>
      <c r="G653" s="2"/>
      <c r="H653" s="3">
        <v>43053</v>
      </c>
      <c r="I653" s="2" t="s">
        <v>19506</v>
      </c>
      <c r="J653" s="2" t="s">
        <v>15048</v>
      </c>
      <c r="K653" s="2"/>
      <c r="L653" s="82" t="s">
        <v>19512</v>
      </c>
    </row>
    <row r="654" spans="1:12" ht="120" customHeight="1" x14ac:dyDescent="0.3">
      <c r="A654" s="2">
        <v>650</v>
      </c>
      <c r="B654" s="66" t="s">
        <v>295</v>
      </c>
      <c r="C654" s="66" t="s">
        <v>588</v>
      </c>
      <c r="D654" s="11">
        <v>3300</v>
      </c>
      <c r="E654" s="11">
        <v>3300</v>
      </c>
      <c r="F654" s="3"/>
      <c r="G654" s="2"/>
      <c r="H654" s="3">
        <v>43053</v>
      </c>
      <c r="I654" s="2" t="s">
        <v>19506</v>
      </c>
      <c r="J654" s="2" t="s">
        <v>15048</v>
      </c>
      <c r="K654" s="2"/>
      <c r="L654" s="82" t="s">
        <v>19512</v>
      </c>
    </row>
    <row r="655" spans="1:12" ht="120" customHeight="1" x14ac:dyDescent="0.3">
      <c r="A655" s="2">
        <v>651</v>
      </c>
      <c r="B655" s="66" t="s">
        <v>295</v>
      </c>
      <c r="C655" s="66" t="s">
        <v>589</v>
      </c>
      <c r="D655" s="11">
        <v>3300</v>
      </c>
      <c r="E655" s="11">
        <v>3300</v>
      </c>
      <c r="F655" s="3"/>
      <c r="G655" s="2"/>
      <c r="H655" s="3">
        <v>43053</v>
      </c>
      <c r="I655" s="2" t="s">
        <v>19506</v>
      </c>
      <c r="J655" s="2" t="s">
        <v>15048</v>
      </c>
      <c r="K655" s="2"/>
      <c r="L655" s="82" t="s">
        <v>19512</v>
      </c>
    </row>
    <row r="656" spans="1:12" ht="120" customHeight="1" x14ac:dyDescent="0.3">
      <c r="A656" s="2">
        <v>652</v>
      </c>
      <c r="B656" s="66" t="s">
        <v>295</v>
      </c>
      <c r="C656" s="66" t="s">
        <v>590</v>
      </c>
      <c r="D656" s="11">
        <v>3300</v>
      </c>
      <c r="E656" s="11">
        <v>3300</v>
      </c>
      <c r="F656" s="3"/>
      <c r="G656" s="2"/>
      <c r="H656" s="3">
        <v>43053</v>
      </c>
      <c r="I656" s="2" t="s">
        <v>19506</v>
      </c>
      <c r="J656" s="2" t="s">
        <v>15048</v>
      </c>
      <c r="K656" s="2"/>
      <c r="L656" s="82" t="s">
        <v>19512</v>
      </c>
    </row>
    <row r="657" spans="1:12" ht="120" customHeight="1" x14ac:dyDescent="0.3">
      <c r="A657" s="2">
        <v>653</v>
      </c>
      <c r="B657" s="66" t="s">
        <v>295</v>
      </c>
      <c r="C657" s="66" t="s">
        <v>591</v>
      </c>
      <c r="D657" s="11">
        <v>3300</v>
      </c>
      <c r="E657" s="11">
        <v>3300</v>
      </c>
      <c r="F657" s="3"/>
      <c r="G657" s="2"/>
      <c r="H657" s="3">
        <v>43053</v>
      </c>
      <c r="I657" s="2" t="s">
        <v>19506</v>
      </c>
      <c r="J657" s="2" t="s">
        <v>15048</v>
      </c>
      <c r="K657" s="2"/>
      <c r="L657" s="82" t="s">
        <v>19512</v>
      </c>
    </row>
    <row r="658" spans="1:12" ht="120" customHeight="1" x14ac:dyDescent="0.3">
      <c r="A658" s="2">
        <v>654</v>
      </c>
      <c r="B658" s="66" t="s">
        <v>295</v>
      </c>
      <c r="C658" s="66" t="s">
        <v>592</v>
      </c>
      <c r="D658" s="11">
        <v>3300</v>
      </c>
      <c r="E658" s="11">
        <v>3300</v>
      </c>
      <c r="F658" s="3"/>
      <c r="G658" s="2"/>
      <c r="H658" s="3">
        <v>43053</v>
      </c>
      <c r="I658" s="2" t="s">
        <v>19506</v>
      </c>
      <c r="J658" s="2" t="s">
        <v>15048</v>
      </c>
      <c r="K658" s="2"/>
      <c r="L658" s="82" t="s">
        <v>19512</v>
      </c>
    </row>
    <row r="659" spans="1:12" ht="120" customHeight="1" x14ac:dyDescent="0.3">
      <c r="A659" s="2">
        <v>655</v>
      </c>
      <c r="B659" s="66" t="s">
        <v>295</v>
      </c>
      <c r="C659" s="66" t="s">
        <v>593</v>
      </c>
      <c r="D659" s="11">
        <v>3300</v>
      </c>
      <c r="E659" s="11">
        <v>3300</v>
      </c>
      <c r="F659" s="3"/>
      <c r="G659" s="2"/>
      <c r="H659" s="3">
        <v>43053</v>
      </c>
      <c r="I659" s="2" t="s">
        <v>19506</v>
      </c>
      <c r="J659" s="2" t="s">
        <v>15048</v>
      </c>
      <c r="K659" s="2"/>
      <c r="L659" s="82" t="s">
        <v>19512</v>
      </c>
    </row>
    <row r="660" spans="1:12" ht="120" customHeight="1" x14ac:dyDescent="0.3">
      <c r="A660" s="2">
        <v>656</v>
      </c>
      <c r="B660" s="66" t="s">
        <v>295</v>
      </c>
      <c r="C660" s="66" t="s">
        <v>594</v>
      </c>
      <c r="D660" s="11">
        <v>3300</v>
      </c>
      <c r="E660" s="11">
        <v>3300</v>
      </c>
      <c r="F660" s="3"/>
      <c r="G660" s="2"/>
      <c r="H660" s="3">
        <v>43053</v>
      </c>
      <c r="I660" s="2" t="s">
        <v>19506</v>
      </c>
      <c r="J660" s="2" t="s">
        <v>15048</v>
      </c>
      <c r="K660" s="2"/>
      <c r="L660" s="82" t="s">
        <v>19512</v>
      </c>
    </row>
    <row r="661" spans="1:12" ht="120" customHeight="1" x14ac:dyDescent="0.3">
      <c r="A661" s="2">
        <v>657</v>
      </c>
      <c r="B661" s="66" t="s">
        <v>295</v>
      </c>
      <c r="C661" s="66" t="s">
        <v>595</v>
      </c>
      <c r="D661" s="11">
        <v>3300</v>
      </c>
      <c r="E661" s="11">
        <v>3300</v>
      </c>
      <c r="F661" s="3"/>
      <c r="G661" s="2"/>
      <c r="H661" s="3">
        <v>43053</v>
      </c>
      <c r="I661" s="2" t="s">
        <v>19506</v>
      </c>
      <c r="J661" s="2" t="s">
        <v>15048</v>
      </c>
      <c r="K661" s="2"/>
      <c r="L661" s="82" t="s">
        <v>19512</v>
      </c>
    </row>
    <row r="662" spans="1:12" ht="120" customHeight="1" x14ac:dyDescent="0.3">
      <c r="A662" s="2">
        <v>658</v>
      </c>
      <c r="B662" s="66" t="s">
        <v>295</v>
      </c>
      <c r="C662" s="66" t="s">
        <v>596</v>
      </c>
      <c r="D662" s="11">
        <v>3300</v>
      </c>
      <c r="E662" s="11">
        <v>3300</v>
      </c>
      <c r="F662" s="3"/>
      <c r="G662" s="2"/>
      <c r="H662" s="3">
        <v>43053</v>
      </c>
      <c r="I662" s="2" t="s">
        <v>19506</v>
      </c>
      <c r="J662" s="2" t="s">
        <v>15048</v>
      </c>
      <c r="K662" s="2"/>
      <c r="L662" s="82" t="s">
        <v>19512</v>
      </c>
    </row>
    <row r="663" spans="1:12" ht="120" customHeight="1" x14ac:dyDescent="0.3">
      <c r="A663" s="2">
        <v>659</v>
      </c>
      <c r="B663" s="66" t="s">
        <v>295</v>
      </c>
      <c r="C663" s="66" t="s">
        <v>597</v>
      </c>
      <c r="D663" s="11">
        <v>3300</v>
      </c>
      <c r="E663" s="11">
        <v>3300</v>
      </c>
      <c r="F663" s="3"/>
      <c r="G663" s="2"/>
      <c r="H663" s="3">
        <v>43053</v>
      </c>
      <c r="I663" s="2" t="s">
        <v>19506</v>
      </c>
      <c r="J663" s="2" t="s">
        <v>15048</v>
      </c>
      <c r="K663" s="2"/>
      <c r="L663" s="82" t="s">
        <v>19512</v>
      </c>
    </row>
    <row r="664" spans="1:12" ht="120" customHeight="1" x14ac:dyDescent="0.3">
      <c r="A664" s="2">
        <v>660</v>
      </c>
      <c r="B664" s="66" t="s">
        <v>295</v>
      </c>
      <c r="C664" s="66" t="s">
        <v>598</v>
      </c>
      <c r="D664" s="11">
        <v>3300</v>
      </c>
      <c r="E664" s="11">
        <v>3300</v>
      </c>
      <c r="F664" s="3"/>
      <c r="G664" s="2"/>
      <c r="H664" s="3">
        <v>43053</v>
      </c>
      <c r="I664" s="2" t="s">
        <v>19506</v>
      </c>
      <c r="J664" s="2" t="s">
        <v>15048</v>
      </c>
      <c r="K664" s="2"/>
      <c r="L664" s="82" t="s">
        <v>19512</v>
      </c>
    </row>
    <row r="665" spans="1:12" ht="120" customHeight="1" x14ac:dyDescent="0.3">
      <c r="A665" s="2">
        <v>661</v>
      </c>
      <c r="B665" s="66" t="s">
        <v>295</v>
      </c>
      <c r="C665" s="66" t="s">
        <v>599</v>
      </c>
      <c r="D665" s="11">
        <v>3300</v>
      </c>
      <c r="E665" s="11">
        <v>3300</v>
      </c>
      <c r="F665" s="3"/>
      <c r="G665" s="2"/>
      <c r="H665" s="3">
        <v>43053</v>
      </c>
      <c r="I665" s="2" t="s">
        <v>19506</v>
      </c>
      <c r="J665" s="2" t="s">
        <v>15048</v>
      </c>
      <c r="K665" s="2"/>
      <c r="L665" s="82" t="s">
        <v>19512</v>
      </c>
    </row>
    <row r="666" spans="1:12" ht="120" customHeight="1" x14ac:dyDescent="0.3">
      <c r="A666" s="2">
        <v>662</v>
      </c>
      <c r="B666" s="66" t="s">
        <v>295</v>
      </c>
      <c r="C666" s="66" t="s">
        <v>600</v>
      </c>
      <c r="D666" s="11">
        <v>3300</v>
      </c>
      <c r="E666" s="11">
        <v>3300</v>
      </c>
      <c r="F666" s="3"/>
      <c r="G666" s="2"/>
      <c r="H666" s="3">
        <v>43053</v>
      </c>
      <c r="I666" s="2" t="s">
        <v>19506</v>
      </c>
      <c r="J666" s="2" t="s">
        <v>15048</v>
      </c>
      <c r="K666" s="2"/>
      <c r="L666" s="82" t="s">
        <v>19512</v>
      </c>
    </row>
    <row r="667" spans="1:12" ht="120" customHeight="1" x14ac:dyDescent="0.3">
      <c r="A667" s="2">
        <v>663</v>
      </c>
      <c r="B667" s="66" t="s">
        <v>295</v>
      </c>
      <c r="C667" s="66" t="s">
        <v>601</v>
      </c>
      <c r="D667" s="11">
        <v>3300</v>
      </c>
      <c r="E667" s="11">
        <v>3300</v>
      </c>
      <c r="F667" s="3"/>
      <c r="G667" s="2"/>
      <c r="H667" s="3">
        <v>43053</v>
      </c>
      <c r="I667" s="2" t="s">
        <v>19506</v>
      </c>
      <c r="J667" s="2" t="s">
        <v>15048</v>
      </c>
      <c r="K667" s="2"/>
      <c r="L667" s="82" t="s">
        <v>19512</v>
      </c>
    </row>
    <row r="668" spans="1:12" ht="120" customHeight="1" x14ac:dyDescent="0.3">
      <c r="A668" s="2">
        <v>664</v>
      </c>
      <c r="B668" s="66" t="s">
        <v>295</v>
      </c>
      <c r="C668" s="66" t="s">
        <v>602</v>
      </c>
      <c r="D668" s="11">
        <v>3300</v>
      </c>
      <c r="E668" s="11">
        <v>3300</v>
      </c>
      <c r="F668" s="3"/>
      <c r="G668" s="2"/>
      <c r="H668" s="3">
        <v>43053</v>
      </c>
      <c r="I668" s="2" t="s">
        <v>19506</v>
      </c>
      <c r="J668" s="2" t="s">
        <v>15048</v>
      </c>
      <c r="K668" s="2"/>
      <c r="L668" s="82" t="s">
        <v>19512</v>
      </c>
    </row>
    <row r="669" spans="1:12" ht="120" customHeight="1" x14ac:dyDescent="0.3">
      <c r="A669" s="2">
        <v>665</v>
      </c>
      <c r="B669" s="66" t="s">
        <v>295</v>
      </c>
      <c r="C669" s="66" t="s">
        <v>603</v>
      </c>
      <c r="D669" s="11">
        <v>3300</v>
      </c>
      <c r="E669" s="11">
        <v>3300</v>
      </c>
      <c r="F669" s="3"/>
      <c r="G669" s="2"/>
      <c r="H669" s="3">
        <v>43053</v>
      </c>
      <c r="I669" s="2" t="s">
        <v>19506</v>
      </c>
      <c r="J669" s="2" t="s">
        <v>15048</v>
      </c>
      <c r="K669" s="2"/>
      <c r="L669" s="82" t="s">
        <v>19512</v>
      </c>
    </row>
    <row r="670" spans="1:12" ht="120" customHeight="1" x14ac:dyDescent="0.3">
      <c r="A670" s="2">
        <v>666</v>
      </c>
      <c r="B670" s="66" t="s">
        <v>295</v>
      </c>
      <c r="C670" s="66" t="s">
        <v>604</v>
      </c>
      <c r="D670" s="11">
        <v>3300</v>
      </c>
      <c r="E670" s="11">
        <v>3300</v>
      </c>
      <c r="F670" s="3"/>
      <c r="G670" s="2"/>
      <c r="H670" s="3">
        <v>43053</v>
      </c>
      <c r="I670" s="2" t="s">
        <v>19506</v>
      </c>
      <c r="J670" s="2" t="s">
        <v>15048</v>
      </c>
      <c r="K670" s="2"/>
      <c r="L670" s="82" t="s">
        <v>19512</v>
      </c>
    </row>
    <row r="671" spans="1:12" ht="120" customHeight="1" x14ac:dyDescent="0.3">
      <c r="A671" s="2">
        <v>667</v>
      </c>
      <c r="B671" s="66" t="s">
        <v>295</v>
      </c>
      <c r="C671" s="66" t="s">
        <v>605</v>
      </c>
      <c r="D671" s="11">
        <v>3300</v>
      </c>
      <c r="E671" s="11">
        <v>3300</v>
      </c>
      <c r="F671" s="3"/>
      <c r="G671" s="2"/>
      <c r="H671" s="3">
        <v>43053</v>
      </c>
      <c r="I671" s="2" t="s">
        <v>19506</v>
      </c>
      <c r="J671" s="2" t="s">
        <v>15048</v>
      </c>
      <c r="K671" s="2"/>
      <c r="L671" s="82" t="s">
        <v>19512</v>
      </c>
    </row>
    <row r="672" spans="1:12" ht="120" customHeight="1" x14ac:dyDescent="0.3">
      <c r="A672" s="2">
        <v>668</v>
      </c>
      <c r="B672" s="66" t="s">
        <v>295</v>
      </c>
      <c r="C672" s="66" t="s">
        <v>606</v>
      </c>
      <c r="D672" s="11">
        <v>3300</v>
      </c>
      <c r="E672" s="11">
        <v>3300</v>
      </c>
      <c r="F672" s="3"/>
      <c r="G672" s="2"/>
      <c r="H672" s="3">
        <v>43053</v>
      </c>
      <c r="I672" s="2" t="s">
        <v>19506</v>
      </c>
      <c r="J672" s="2" t="s">
        <v>15048</v>
      </c>
      <c r="K672" s="2"/>
      <c r="L672" s="82" t="s">
        <v>19512</v>
      </c>
    </row>
    <row r="673" spans="1:12" ht="120" customHeight="1" x14ac:dyDescent="0.3">
      <c r="A673" s="2">
        <v>669</v>
      </c>
      <c r="B673" s="66" t="s">
        <v>295</v>
      </c>
      <c r="C673" s="66" t="s">
        <v>607</v>
      </c>
      <c r="D673" s="11">
        <v>3300</v>
      </c>
      <c r="E673" s="11">
        <v>3300</v>
      </c>
      <c r="F673" s="3"/>
      <c r="G673" s="2"/>
      <c r="H673" s="3">
        <v>43053</v>
      </c>
      <c r="I673" s="2" t="s">
        <v>19506</v>
      </c>
      <c r="J673" s="2" t="s">
        <v>15048</v>
      </c>
      <c r="K673" s="2"/>
      <c r="L673" s="82" t="s">
        <v>19512</v>
      </c>
    </row>
    <row r="674" spans="1:12" ht="120" customHeight="1" x14ac:dyDescent="0.3">
      <c r="A674" s="2">
        <v>670</v>
      </c>
      <c r="B674" s="66" t="s">
        <v>295</v>
      </c>
      <c r="C674" s="66" t="s">
        <v>608</v>
      </c>
      <c r="D674" s="11">
        <v>3300</v>
      </c>
      <c r="E674" s="11">
        <v>3300</v>
      </c>
      <c r="F674" s="3"/>
      <c r="G674" s="2"/>
      <c r="H674" s="3">
        <v>43053</v>
      </c>
      <c r="I674" s="2" t="s">
        <v>19506</v>
      </c>
      <c r="J674" s="2" t="s">
        <v>15048</v>
      </c>
      <c r="K674" s="2"/>
      <c r="L674" s="82" t="s">
        <v>19512</v>
      </c>
    </row>
    <row r="675" spans="1:12" ht="120" customHeight="1" x14ac:dyDescent="0.3">
      <c r="A675" s="2">
        <v>671</v>
      </c>
      <c r="B675" s="66" t="s">
        <v>295</v>
      </c>
      <c r="C675" s="66" t="s">
        <v>609</v>
      </c>
      <c r="D675" s="11">
        <v>3300</v>
      </c>
      <c r="E675" s="11">
        <v>3300</v>
      </c>
      <c r="F675" s="3"/>
      <c r="G675" s="2"/>
      <c r="H675" s="3">
        <v>43053</v>
      </c>
      <c r="I675" s="2" t="s">
        <v>19506</v>
      </c>
      <c r="J675" s="2" t="s">
        <v>15048</v>
      </c>
      <c r="K675" s="2"/>
      <c r="L675" s="82" t="s">
        <v>19512</v>
      </c>
    </row>
    <row r="676" spans="1:12" ht="120" customHeight="1" x14ac:dyDescent="0.3">
      <c r="A676" s="2">
        <v>672</v>
      </c>
      <c r="B676" s="66" t="s">
        <v>295</v>
      </c>
      <c r="C676" s="66" t="s">
        <v>610</v>
      </c>
      <c r="D676" s="11">
        <v>3300</v>
      </c>
      <c r="E676" s="11">
        <v>3300</v>
      </c>
      <c r="F676" s="3"/>
      <c r="G676" s="2"/>
      <c r="H676" s="3">
        <v>43053</v>
      </c>
      <c r="I676" s="2" t="s">
        <v>19506</v>
      </c>
      <c r="J676" s="2" t="s">
        <v>15048</v>
      </c>
      <c r="K676" s="2"/>
      <c r="L676" s="82" t="s">
        <v>19512</v>
      </c>
    </row>
    <row r="677" spans="1:12" ht="120" customHeight="1" x14ac:dyDescent="0.3">
      <c r="A677" s="2">
        <v>673</v>
      </c>
      <c r="B677" s="66" t="s">
        <v>295</v>
      </c>
      <c r="C677" s="66" t="s">
        <v>611</v>
      </c>
      <c r="D677" s="11">
        <v>3300</v>
      </c>
      <c r="E677" s="11">
        <v>3300</v>
      </c>
      <c r="F677" s="3"/>
      <c r="G677" s="2"/>
      <c r="H677" s="3">
        <v>43053</v>
      </c>
      <c r="I677" s="2" t="s">
        <v>19506</v>
      </c>
      <c r="J677" s="2" t="s">
        <v>15048</v>
      </c>
      <c r="K677" s="2"/>
      <c r="L677" s="82" t="s">
        <v>19512</v>
      </c>
    </row>
    <row r="678" spans="1:12" ht="120" customHeight="1" x14ac:dyDescent="0.3">
      <c r="A678" s="2">
        <v>674</v>
      </c>
      <c r="B678" s="66" t="s">
        <v>295</v>
      </c>
      <c r="C678" s="66" t="s">
        <v>612</v>
      </c>
      <c r="D678" s="11">
        <v>3300</v>
      </c>
      <c r="E678" s="11">
        <v>3300</v>
      </c>
      <c r="F678" s="3"/>
      <c r="G678" s="2"/>
      <c r="H678" s="3">
        <v>43053</v>
      </c>
      <c r="I678" s="2" t="s">
        <v>19506</v>
      </c>
      <c r="J678" s="2" t="s">
        <v>15048</v>
      </c>
      <c r="K678" s="2"/>
      <c r="L678" s="82" t="s">
        <v>19512</v>
      </c>
    </row>
    <row r="679" spans="1:12" ht="120" customHeight="1" x14ac:dyDescent="0.3">
      <c r="A679" s="2">
        <v>675</v>
      </c>
      <c r="B679" s="66" t="s">
        <v>295</v>
      </c>
      <c r="C679" s="66" t="s">
        <v>613</v>
      </c>
      <c r="D679" s="11">
        <v>3300</v>
      </c>
      <c r="E679" s="11">
        <v>3300</v>
      </c>
      <c r="F679" s="3"/>
      <c r="G679" s="2"/>
      <c r="H679" s="3">
        <v>43053</v>
      </c>
      <c r="I679" s="2" t="s">
        <v>19506</v>
      </c>
      <c r="J679" s="2" t="s">
        <v>15048</v>
      </c>
      <c r="K679" s="2"/>
      <c r="L679" s="82" t="s">
        <v>19512</v>
      </c>
    </row>
    <row r="680" spans="1:12" ht="120" customHeight="1" x14ac:dyDescent="0.3">
      <c r="A680" s="2">
        <v>676</v>
      </c>
      <c r="B680" s="66" t="s">
        <v>295</v>
      </c>
      <c r="C680" s="66" t="s">
        <v>614</v>
      </c>
      <c r="D680" s="11">
        <v>3300</v>
      </c>
      <c r="E680" s="11">
        <v>3300</v>
      </c>
      <c r="F680" s="3"/>
      <c r="G680" s="2"/>
      <c r="H680" s="3">
        <v>43053</v>
      </c>
      <c r="I680" s="2" t="s">
        <v>19506</v>
      </c>
      <c r="J680" s="2" t="s">
        <v>15048</v>
      </c>
      <c r="K680" s="2"/>
      <c r="L680" s="82" t="s">
        <v>19512</v>
      </c>
    </row>
    <row r="681" spans="1:12" ht="120" customHeight="1" x14ac:dyDescent="0.3">
      <c r="A681" s="2">
        <v>677</v>
      </c>
      <c r="B681" s="66" t="s">
        <v>295</v>
      </c>
      <c r="C681" s="66" t="s">
        <v>615</v>
      </c>
      <c r="D681" s="11">
        <v>3300</v>
      </c>
      <c r="E681" s="11">
        <v>3300</v>
      </c>
      <c r="F681" s="3"/>
      <c r="G681" s="2"/>
      <c r="H681" s="3">
        <v>43053</v>
      </c>
      <c r="I681" s="2" t="s">
        <v>19506</v>
      </c>
      <c r="J681" s="2" t="s">
        <v>15048</v>
      </c>
      <c r="K681" s="2"/>
      <c r="L681" s="82" t="s">
        <v>19512</v>
      </c>
    </row>
    <row r="682" spans="1:12" ht="120" customHeight="1" x14ac:dyDescent="0.3">
      <c r="A682" s="2">
        <v>678</v>
      </c>
      <c r="B682" s="66" t="s">
        <v>295</v>
      </c>
      <c r="C682" s="66" t="s">
        <v>616</v>
      </c>
      <c r="D682" s="11">
        <v>3300</v>
      </c>
      <c r="E682" s="11">
        <v>3300</v>
      </c>
      <c r="F682" s="3"/>
      <c r="G682" s="2"/>
      <c r="H682" s="3">
        <v>43053</v>
      </c>
      <c r="I682" s="2" t="s">
        <v>19506</v>
      </c>
      <c r="J682" s="2" t="s">
        <v>15048</v>
      </c>
      <c r="K682" s="2"/>
      <c r="L682" s="82" t="s">
        <v>19512</v>
      </c>
    </row>
    <row r="683" spans="1:12" ht="108" customHeight="1" x14ac:dyDescent="0.3">
      <c r="A683" s="2">
        <v>679</v>
      </c>
      <c r="B683" s="66" t="s">
        <v>18557</v>
      </c>
      <c r="C683" s="66" t="s">
        <v>617</v>
      </c>
      <c r="D683" s="11">
        <v>4827.84</v>
      </c>
      <c r="E683" s="11">
        <v>4827.84</v>
      </c>
      <c r="F683" s="3"/>
      <c r="G683" s="2"/>
      <c r="H683" s="3">
        <v>43053</v>
      </c>
      <c r="I683" s="2" t="s">
        <v>19506</v>
      </c>
      <c r="J683" s="2" t="s">
        <v>13904</v>
      </c>
      <c r="K683" s="2" t="s">
        <v>22282</v>
      </c>
      <c r="L683" s="82" t="s">
        <v>19512</v>
      </c>
    </row>
    <row r="684" spans="1:12" ht="120" customHeight="1" x14ac:dyDescent="0.3">
      <c r="A684" s="2">
        <v>680</v>
      </c>
      <c r="B684" s="66" t="s">
        <v>295</v>
      </c>
      <c r="C684" s="66" t="s">
        <v>618</v>
      </c>
      <c r="D684" s="11">
        <v>3300</v>
      </c>
      <c r="E684" s="11">
        <v>3300</v>
      </c>
      <c r="F684" s="3"/>
      <c r="G684" s="2"/>
      <c r="H684" s="3">
        <v>43053</v>
      </c>
      <c r="I684" s="2" t="s">
        <v>19506</v>
      </c>
      <c r="J684" s="2" t="s">
        <v>15048</v>
      </c>
      <c r="K684" s="2"/>
      <c r="L684" s="82" t="s">
        <v>19512</v>
      </c>
    </row>
    <row r="685" spans="1:12" ht="120" customHeight="1" x14ac:dyDescent="0.3">
      <c r="A685" s="2">
        <v>681</v>
      </c>
      <c r="B685" s="66" t="s">
        <v>295</v>
      </c>
      <c r="C685" s="66" t="s">
        <v>619</v>
      </c>
      <c r="D685" s="11">
        <v>3300</v>
      </c>
      <c r="E685" s="11">
        <v>3300</v>
      </c>
      <c r="F685" s="3"/>
      <c r="G685" s="2"/>
      <c r="H685" s="3">
        <v>43053</v>
      </c>
      <c r="I685" s="2" t="s">
        <v>19506</v>
      </c>
      <c r="J685" s="2" t="s">
        <v>15048</v>
      </c>
      <c r="K685" s="2"/>
      <c r="L685" s="82" t="s">
        <v>19512</v>
      </c>
    </row>
    <row r="686" spans="1:12" ht="120" customHeight="1" x14ac:dyDescent="0.3">
      <c r="A686" s="2">
        <v>682</v>
      </c>
      <c r="B686" s="66" t="s">
        <v>295</v>
      </c>
      <c r="C686" s="66" t="s">
        <v>620</v>
      </c>
      <c r="D686" s="11">
        <v>3300</v>
      </c>
      <c r="E686" s="11">
        <v>3300</v>
      </c>
      <c r="F686" s="3"/>
      <c r="G686" s="2"/>
      <c r="H686" s="3">
        <v>43053</v>
      </c>
      <c r="I686" s="2" t="s">
        <v>19506</v>
      </c>
      <c r="J686" s="2" t="s">
        <v>15048</v>
      </c>
      <c r="K686" s="2"/>
      <c r="L686" s="82" t="s">
        <v>19512</v>
      </c>
    </row>
    <row r="687" spans="1:12" ht="120" customHeight="1" x14ac:dyDescent="0.3">
      <c r="A687" s="2">
        <v>683</v>
      </c>
      <c r="B687" s="66" t="s">
        <v>295</v>
      </c>
      <c r="C687" s="66" t="s">
        <v>621</v>
      </c>
      <c r="D687" s="11">
        <v>3300</v>
      </c>
      <c r="E687" s="11">
        <v>3300</v>
      </c>
      <c r="F687" s="3"/>
      <c r="G687" s="2"/>
      <c r="H687" s="3">
        <v>43053</v>
      </c>
      <c r="I687" s="2" t="s">
        <v>19506</v>
      </c>
      <c r="J687" s="2" t="s">
        <v>15048</v>
      </c>
      <c r="K687" s="2"/>
      <c r="L687" s="82" t="s">
        <v>19512</v>
      </c>
    </row>
    <row r="688" spans="1:12" ht="120" customHeight="1" x14ac:dyDescent="0.3">
      <c r="A688" s="2">
        <v>684</v>
      </c>
      <c r="B688" s="66" t="s">
        <v>295</v>
      </c>
      <c r="C688" s="66" t="s">
        <v>622</v>
      </c>
      <c r="D688" s="11">
        <v>3300</v>
      </c>
      <c r="E688" s="11">
        <v>3300</v>
      </c>
      <c r="F688" s="3"/>
      <c r="G688" s="2"/>
      <c r="H688" s="3">
        <v>43053</v>
      </c>
      <c r="I688" s="2" t="s">
        <v>19506</v>
      </c>
      <c r="J688" s="2" t="s">
        <v>15048</v>
      </c>
      <c r="K688" s="2"/>
      <c r="L688" s="82" t="s">
        <v>19512</v>
      </c>
    </row>
    <row r="689" spans="1:12" ht="120" customHeight="1" x14ac:dyDescent="0.3">
      <c r="A689" s="2">
        <v>685</v>
      </c>
      <c r="B689" s="66" t="s">
        <v>295</v>
      </c>
      <c r="C689" s="66" t="s">
        <v>623</v>
      </c>
      <c r="D689" s="11">
        <v>3300</v>
      </c>
      <c r="E689" s="11">
        <v>3300</v>
      </c>
      <c r="F689" s="3"/>
      <c r="G689" s="2"/>
      <c r="H689" s="3">
        <v>43053</v>
      </c>
      <c r="I689" s="2" t="s">
        <v>19506</v>
      </c>
      <c r="J689" s="2" t="s">
        <v>15048</v>
      </c>
      <c r="K689" s="2"/>
      <c r="L689" s="82" t="s">
        <v>19512</v>
      </c>
    </row>
    <row r="690" spans="1:12" ht="120" customHeight="1" x14ac:dyDescent="0.3">
      <c r="A690" s="2">
        <v>686</v>
      </c>
      <c r="B690" s="66" t="s">
        <v>295</v>
      </c>
      <c r="C690" s="66" t="s">
        <v>624</v>
      </c>
      <c r="D690" s="11">
        <v>3300</v>
      </c>
      <c r="E690" s="11">
        <v>3300</v>
      </c>
      <c r="F690" s="3"/>
      <c r="G690" s="2"/>
      <c r="H690" s="3">
        <v>43053</v>
      </c>
      <c r="I690" s="2" t="s">
        <v>19506</v>
      </c>
      <c r="J690" s="2" t="s">
        <v>15048</v>
      </c>
      <c r="K690" s="2"/>
      <c r="L690" s="82" t="s">
        <v>19512</v>
      </c>
    </row>
    <row r="691" spans="1:12" ht="120" customHeight="1" x14ac:dyDescent="0.3">
      <c r="A691" s="2">
        <v>687</v>
      </c>
      <c r="B691" s="66" t="s">
        <v>295</v>
      </c>
      <c r="C691" s="66" t="s">
        <v>625</v>
      </c>
      <c r="D691" s="11">
        <v>3300</v>
      </c>
      <c r="E691" s="11">
        <v>3300</v>
      </c>
      <c r="F691" s="3"/>
      <c r="G691" s="2"/>
      <c r="H691" s="3">
        <v>43053</v>
      </c>
      <c r="I691" s="2" t="s">
        <v>19506</v>
      </c>
      <c r="J691" s="2" t="s">
        <v>15048</v>
      </c>
      <c r="K691" s="2"/>
      <c r="L691" s="82" t="s">
        <v>19512</v>
      </c>
    </row>
    <row r="692" spans="1:12" ht="120" customHeight="1" x14ac:dyDescent="0.3">
      <c r="A692" s="2">
        <v>688</v>
      </c>
      <c r="B692" s="66" t="s">
        <v>295</v>
      </c>
      <c r="C692" s="66" t="s">
        <v>626</v>
      </c>
      <c r="D692" s="11">
        <v>3300</v>
      </c>
      <c r="E692" s="11">
        <v>3300</v>
      </c>
      <c r="F692" s="3"/>
      <c r="G692" s="2"/>
      <c r="H692" s="3">
        <v>43053</v>
      </c>
      <c r="I692" s="2" t="s">
        <v>19506</v>
      </c>
      <c r="J692" s="2" t="s">
        <v>15048</v>
      </c>
      <c r="K692" s="2"/>
      <c r="L692" s="82" t="s">
        <v>19512</v>
      </c>
    </row>
    <row r="693" spans="1:12" ht="120" customHeight="1" x14ac:dyDescent="0.3">
      <c r="A693" s="2">
        <v>689</v>
      </c>
      <c r="B693" s="66" t="s">
        <v>295</v>
      </c>
      <c r="C693" s="66" t="s">
        <v>627</v>
      </c>
      <c r="D693" s="11">
        <v>3300</v>
      </c>
      <c r="E693" s="11">
        <v>3300</v>
      </c>
      <c r="F693" s="3"/>
      <c r="G693" s="2"/>
      <c r="H693" s="3">
        <v>43053</v>
      </c>
      <c r="I693" s="2" t="s">
        <v>19506</v>
      </c>
      <c r="J693" s="2" t="s">
        <v>15048</v>
      </c>
      <c r="K693" s="2"/>
      <c r="L693" s="82" t="s">
        <v>19512</v>
      </c>
    </row>
    <row r="694" spans="1:12" ht="120" customHeight="1" x14ac:dyDescent="0.3">
      <c r="A694" s="2">
        <v>690</v>
      </c>
      <c r="B694" s="66" t="s">
        <v>295</v>
      </c>
      <c r="C694" s="66" t="s">
        <v>628</v>
      </c>
      <c r="D694" s="11">
        <v>3300</v>
      </c>
      <c r="E694" s="11">
        <v>3300</v>
      </c>
      <c r="F694" s="3"/>
      <c r="G694" s="2"/>
      <c r="H694" s="3">
        <v>43053</v>
      </c>
      <c r="I694" s="2" t="s">
        <v>19506</v>
      </c>
      <c r="J694" s="2" t="s">
        <v>15048</v>
      </c>
      <c r="K694" s="2"/>
      <c r="L694" s="82" t="s">
        <v>19512</v>
      </c>
    </row>
    <row r="695" spans="1:12" ht="120" customHeight="1" x14ac:dyDescent="0.3">
      <c r="A695" s="2">
        <v>691</v>
      </c>
      <c r="B695" s="66" t="s">
        <v>295</v>
      </c>
      <c r="C695" s="66" t="s">
        <v>629</v>
      </c>
      <c r="D695" s="11">
        <v>3300</v>
      </c>
      <c r="E695" s="11">
        <v>3300</v>
      </c>
      <c r="F695" s="3"/>
      <c r="G695" s="2"/>
      <c r="H695" s="3">
        <v>43053</v>
      </c>
      <c r="I695" s="2" t="s">
        <v>19506</v>
      </c>
      <c r="J695" s="2" t="s">
        <v>15048</v>
      </c>
      <c r="K695" s="2"/>
      <c r="L695" s="82" t="s">
        <v>19512</v>
      </c>
    </row>
    <row r="696" spans="1:12" ht="120" customHeight="1" x14ac:dyDescent="0.3">
      <c r="A696" s="2">
        <v>692</v>
      </c>
      <c r="B696" s="66" t="s">
        <v>295</v>
      </c>
      <c r="C696" s="66" t="s">
        <v>630</v>
      </c>
      <c r="D696" s="11">
        <v>3300</v>
      </c>
      <c r="E696" s="11">
        <v>3300</v>
      </c>
      <c r="F696" s="3"/>
      <c r="G696" s="2"/>
      <c r="H696" s="3">
        <v>43053</v>
      </c>
      <c r="I696" s="2" t="s">
        <v>19506</v>
      </c>
      <c r="J696" s="2" t="s">
        <v>15048</v>
      </c>
      <c r="K696" s="2"/>
      <c r="L696" s="82" t="s">
        <v>19512</v>
      </c>
    </row>
    <row r="697" spans="1:12" ht="120" customHeight="1" x14ac:dyDescent="0.3">
      <c r="A697" s="2">
        <v>693</v>
      </c>
      <c r="B697" s="66" t="s">
        <v>295</v>
      </c>
      <c r="C697" s="66" t="s">
        <v>631</v>
      </c>
      <c r="D697" s="11">
        <v>3300</v>
      </c>
      <c r="E697" s="11">
        <v>3300</v>
      </c>
      <c r="F697" s="3"/>
      <c r="G697" s="2"/>
      <c r="H697" s="3">
        <v>43053</v>
      </c>
      <c r="I697" s="2" t="s">
        <v>19506</v>
      </c>
      <c r="J697" s="2" t="s">
        <v>15048</v>
      </c>
      <c r="K697" s="2"/>
      <c r="L697" s="82" t="s">
        <v>19512</v>
      </c>
    </row>
    <row r="698" spans="1:12" ht="120" customHeight="1" x14ac:dyDescent="0.3">
      <c r="A698" s="2">
        <v>694</v>
      </c>
      <c r="B698" s="66" t="s">
        <v>295</v>
      </c>
      <c r="C698" s="66" t="s">
        <v>632</v>
      </c>
      <c r="D698" s="11">
        <v>3300</v>
      </c>
      <c r="E698" s="11">
        <v>3300</v>
      </c>
      <c r="F698" s="3"/>
      <c r="G698" s="2"/>
      <c r="H698" s="3">
        <v>43053</v>
      </c>
      <c r="I698" s="2" t="s">
        <v>19506</v>
      </c>
      <c r="J698" s="2" t="s">
        <v>15048</v>
      </c>
      <c r="K698" s="2"/>
      <c r="L698" s="82" t="s">
        <v>19512</v>
      </c>
    </row>
    <row r="699" spans="1:12" ht="120" customHeight="1" x14ac:dyDescent="0.3">
      <c r="A699" s="2">
        <v>695</v>
      </c>
      <c r="B699" s="66" t="s">
        <v>295</v>
      </c>
      <c r="C699" s="66" t="s">
        <v>633</v>
      </c>
      <c r="D699" s="11">
        <v>3300</v>
      </c>
      <c r="E699" s="11">
        <v>3300</v>
      </c>
      <c r="F699" s="3"/>
      <c r="G699" s="2"/>
      <c r="H699" s="3">
        <v>43053</v>
      </c>
      <c r="I699" s="2" t="s">
        <v>19506</v>
      </c>
      <c r="J699" s="2" t="s">
        <v>15048</v>
      </c>
      <c r="K699" s="2"/>
      <c r="L699" s="82" t="s">
        <v>19512</v>
      </c>
    </row>
    <row r="700" spans="1:12" ht="120" customHeight="1" x14ac:dyDescent="0.3">
      <c r="A700" s="2">
        <v>696</v>
      </c>
      <c r="B700" s="66" t="s">
        <v>295</v>
      </c>
      <c r="C700" s="66" t="s">
        <v>634</v>
      </c>
      <c r="D700" s="11">
        <v>3300</v>
      </c>
      <c r="E700" s="11">
        <v>3300</v>
      </c>
      <c r="F700" s="3"/>
      <c r="G700" s="2"/>
      <c r="H700" s="3">
        <v>43053</v>
      </c>
      <c r="I700" s="2" t="s">
        <v>19506</v>
      </c>
      <c r="J700" s="2" t="s">
        <v>15048</v>
      </c>
      <c r="K700" s="2"/>
      <c r="L700" s="82" t="s">
        <v>19512</v>
      </c>
    </row>
    <row r="701" spans="1:12" ht="120" customHeight="1" x14ac:dyDescent="0.3">
      <c r="A701" s="2">
        <v>697</v>
      </c>
      <c r="B701" s="66" t="s">
        <v>295</v>
      </c>
      <c r="C701" s="66" t="s">
        <v>635</v>
      </c>
      <c r="D701" s="11">
        <v>3300</v>
      </c>
      <c r="E701" s="11">
        <v>3300</v>
      </c>
      <c r="F701" s="3"/>
      <c r="G701" s="2"/>
      <c r="H701" s="3">
        <v>43053</v>
      </c>
      <c r="I701" s="2" t="s">
        <v>19506</v>
      </c>
      <c r="J701" s="2" t="s">
        <v>15048</v>
      </c>
      <c r="K701" s="2"/>
      <c r="L701" s="82" t="s">
        <v>19512</v>
      </c>
    </row>
    <row r="702" spans="1:12" ht="120" customHeight="1" x14ac:dyDescent="0.3">
      <c r="A702" s="2">
        <v>698</v>
      </c>
      <c r="B702" s="66" t="s">
        <v>295</v>
      </c>
      <c r="C702" s="66" t="s">
        <v>636</v>
      </c>
      <c r="D702" s="11">
        <v>3300</v>
      </c>
      <c r="E702" s="11">
        <v>3300</v>
      </c>
      <c r="F702" s="3"/>
      <c r="G702" s="2"/>
      <c r="H702" s="3">
        <v>43053</v>
      </c>
      <c r="I702" s="2" t="s">
        <v>19506</v>
      </c>
      <c r="J702" s="2" t="s">
        <v>15048</v>
      </c>
      <c r="K702" s="2"/>
      <c r="L702" s="82" t="s">
        <v>19512</v>
      </c>
    </row>
    <row r="703" spans="1:12" ht="120" customHeight="1" x14ac:dyDescent="0.3">
      <c r="A703" s="2">
        <v>699</v>
      </c>
      <c r="B703" s="66" t="s">
        <v>295</v>
      </c>
      <c r="C703" s="66" t="s">
        <v>637</v>
      </c>
      <c r="D703" s="11">
        <v>3300</v>
      </c>
      <c r="E703" s="11">
        <v>3300</v>
      </c>
      <c r="F703" s="3"/>
      <c r="G703" s="2"/>
      <c r="H703" s="3">
        <v>43053</v>
      </c>
      <c r="I703" s="2" t="s">
        <v>19506</v>
      </c>
      <c r="J703" s="2" t="s">
        <v>15048</v>
      </c>
      <c r="K703" s="2"/>
      <c r="L703" s="82" t="s">
        <v>19512</v>
      </c>
    </row>
    <row r="704" spans="1:12" ht="120" customHeight="1" x14ac:dyDescent="0.3">
      <c r="A704" s="2">
        <v>700</v>
      </c>
      <c r="B704" s="66" t="s">
        <v>295</v>
      </c>
      <c r="C704" s="66" t="s">
        <v>638</v>
      </c>
      <c r="D704" s="11">
        <v>3300</v>
      </c>
      <c r="E704" s="11">
        <v>3300</v>
      </c>
      <c r="F704" s="3"/>
      <c r="G704" s="2"/>
      <c r="H704" s="3">
        <v>43053</v>
      </c>
      <c r="I704" s="2" t="s">
        <v>19506</v>
      </c>
      <c r="J704" s="2" t="s">
        <v>15048</v>
      </c>
      <c r="K704" s="2"/>
      <c r="L704" s="82" t="s">
        <v>19512</v>
      </c>
    </row>
    <row r="705" spans="1:12" ht="120" customHeight="1" x14ac:dyDescent="0.3">
      <c r="A705" s="2">
        <v>701</v>
      </c>
      <c r="B705" s="66" t="s">
        <v>295</v>
      </c>
      <c r="C705" s="66" t="s">
        <v>639</v>
      </c>
      <c r="D705" s="11">
        <v>3300</v>
      </c>
      <c r="E705" s="11">
        <v>3300</v>
      </c>
      <c r="F705" s="3"/>
      <c r="G705" s="2"/>
      <c r="H705" s="3">
        <v>43053</v>
      </c>
      <c r="I705" s="2" t="s">
        <v>19506</v>
      </c>
      <c r="J705" s="2" t="s">
        <v>15048</v>
      </c>
      <c r="K705" s="2"/>
      <c r="L705" s="82" t="s">
        <v>19512</v>
      </c>
    </row>
    <row r="706" spans="1:12" ht="120" customHeight="1" x14ac:dyDescent="0.3">
      <c r="A706" s="2">
        <v>702</v>
      </c>
      <c r="B706" s="66" t="s">
        <v>295</v>
      </c>
      <c r="C706" s="66" t="s">
        <v>640</v>
      </c>
      <c r="D706" s="11">
        <v>3300</v>
      </c>
      <c r="E706" s="11">
        <v>3300</v>
      </c>
      <c r="F706" s="3"/>
      <c r="G706" s="2"/>
      <c r="H706" s="3">
        <v>43053</v>
      </c>
      <c r="I706" s="2" t="s">
        <v>19506</v>
      </c>
      <c r="J706" s="2" t="s">
        <v>15048</v>
      </c>
      <c r="K706" s="2"/>
      <c r="L706" s="82" t="s">
        <v>19512</v>
      </c>
    </row>
    <row r="707" spans="1:12" ht="120" customHeight="1" x14ac:dyDescent="0.3">
      <c r="A707" s="2">
        <v>703</v>
      </c>
      <c r="B707" s="66" t="s">
        <v>295</v>
      </c>
      <c r="C707" s="66" t="s">
        <v>641</v>
      </c>
      <c r="D707" s="11">
        <v>3300</v>
      </c>
      <c r="E707" s="11">
        <v>3300</v>
      </c>
      <c r="F707" s="3"/>
      <c r="G707" s="2"/>
      <c r="H707" s="3">
        <v>43053</v>
      </c>
      <c r="I707" s="2" t="s">
        <v>19506</v>
      </c>
      <c r="J707" s="2" t="s">
        <v>15048</v>
      </c>
      <c r="K707" s="2"/>
      <c r="L707" s="82" t="s">
        <v>19512</v>
      </c>
    </row>
    <row r="708" spans="1:12" ht="120" customHeight="1" x14ac:dyDescent="0.3">
      <c r="A708" s="2">
        <v>704</v>
      </c>
      <c r="B708" s="66" t="s">
        <v>295</v>
      </c>
      <c r="C708" s="66" t="s">
        <v>642</v>
      </c>
      <c r="D708" s="11">
        <v>3300</v>
      </c>
      <c r="E708" s="11">
        <v>3300</v>
      </c>
      <c r="F708" s="3"/>
      <c r="G708" s="2"/>
      <c r="H708" s="3">
        <v>43053</v>
      </c>
      <c r="I708" s="2" t="s">
        <v>19506</v>
      </c>
      <c r="J708" s="2" t="s">
        <v>15048</v>
      </c>
      <c r="K708" s="2"/>
      <c r="L708" s="82" t="s">
        <v>19512</v>
      </c>
    </row>
    <row r="709" spans="1:12" ht="120" customHeight="1" x14ac:dyDescent="0.3">
      <c r="A709" s="2">
        <v>705</v>
      </c>
      <c r="B709" s="66" t="s">
        <v>295</v>
      </c>
      <c r="C709" s="66" t="s">
        <v>643</v>
      </c>
      <c r="D709" s="11">
        <v>3300</v>
      </c>
      <c r="E709" s="11">
        <v>3300</v>
      </c>
      <c r="F709" s="3"/>
      <c r="G709" s="2"/>
      <c r="H709" s="3">
        <v>43053</v>
      </c>
      <c r="I709" s="2" t="s">
        <v>19506</v>
      </c>
      <c r="J709" s="2" t="s">
        <v>15048</v>
      </c>
      <c r="K709" s="2"/>
      <c r="L709" s="82" t="s">
        <v>19512</v>
      </c>
    </row>
    <row r="710" spans="1:12" ht="120" customHeight="1" x14ac:dyDescent="0.3">
      <c r="A710" s="2">
        <v>706</v>
      </c>
      <c r="B710" s="66" t="s">
        <v>295</v>
      </c>
      <c r="C710" s="66" t="s">
        <v>644</v>
      </c>
      <c r="D710" s="11">
        <v>3300</v>
      </c>
      <c r="E710" s="11">
        <v>3300</v>
      </c>
      <c r="F710" s="3"/>
      <c r="G710" s="2"/>
      <c r="H710" s="3">
        <v>43053</v>
      </c>
      <c r="I710" s="2" t="s">
        <v>19506</v>
      </c>
      <c r="J710" s="2" t="s">
        <v>15048</v>
      </c>
      <c r="K710" s="2"/>
      <c r="L710" s="82" t="s">
        <v>19512</v>
      </c>
    </row>
    <row r="711" spans="1:12" ht="120" customHeight="1" x14ac:dyDescent="0.3">
      <c r="A711" s="2">
        <v>707</v>
      </c>
      <c r="B711" s="66" t="s">
        <v>295</v>
      </c>
      <c r="C711" s="66" t="s">
        <v>645</v>
      </c>
      <c r="D711" s="11">
        <v>3300</v>
      </c>
      <c r="E711" s="11">
        <v>3300</v>
      </c>
      <c r="F711" s="3"/>
      <c r="G711" s="2"/>
      <c r="H711" s="3">
        <v>43053</v>
      </c>
      <c r="I711" s="2" t="s">
        <v>19506</v>
      </c>
      <c r="J711" s="2" t="s">
        <v>15048</v>
      </c>
      <c r="K711" s="2"/>
      <c r="L711" s="82" t="s">
        <v>19512</v>
      </c>
    </row>
    <row r="712" spans="1:12" ht="120" customHeight="1" x14ac:dyDescent="0.3">
      <c r="A712" s="2">
        <v>708</v>
      </c>
      <c r="B712" s="66" t="s">
        <v>295</v>
      </c>
      <c r="C712" s="66" t="s">
        <v>646</v>
      </c>
      <c r="D712" s="11">
        <v>3300</v>
      </c>
      <c r="E712" s="11">
        <v>3300</v>
      </c>
      <c r="F712" s="3"/>
      <c r="G712" s="2"/>
      <c r="H712" s="3">
        <v>43053</v>
      </c>
      <c r="I712" s="2" t="s">
        <v>19506</v>
      </c>
      <c r="J712" s="2" t="s">
        <v>15048</v>
      </c>
      <c r="K712" s="2"/>
      <c r="L712" s="82" t="s">
        <v>19512</v>
      </c>
    </row>
    <row r="713" spans="1:12" ht="120" customHeight="1" x14ac:dyDescent="0.3">
      <c r="A713" s="2">
        <v>709</v>
      </c>
      <c r="B713" s="66" t="s">
        <v>295</v>
      </c>
      <c r="C713" s="66" t="s">
        <v>647</v>
      </c>
      <c r="D713" s="11">
        <v>3300</v>
      </c>
      <c r="E713" s="11">
        <v>3300</v>
      </c>
      <c r="F713" s="3"/>
      <c r="G713" s="2"/>
      <c r="H713" s="3">
        <v>43053</v>
      </c>
      <c r="I713" s="2" t="s">
        <v>19506</v>
      </c>
      <c r="J713" s="2" t="s">
        <v>15048</v>
      </c>
      <c r="K713" s="2"/>
      <c r="L713" s="82" t="s">
        <v>19512</v>
      </c>
    </row>
    <row r="714" spans="1:12" ht="120" customHeight="1" x14ac:dyDescent="0.3">
      <c r="A714" s="2">
        <v>710</v>
      </c>
      <c r="B714" s="66" t="s">
        <v>295</v>
      </c>
      <c r="C714" s="66" t="s">
        <v>648</v>
      </c>
      <c r="D714" s="11">
        <v>3300</v>
      </c>
      <c r="E714" s="11">
        <v>3300</v>
      </c>
      <c r="F714" s="3"/>
      <c r="G714" s="2"/>
      <c r="H714" s="3">
        <v>43053</v>
      </c>
      <c r="I714" s="2" t="s">
        <v>19506</v>
      </c>
      <c r="J714" s="2" t="s">
        <v>15048</v>
      </c>
      <c r="K714" s="2"/>
      <c r="L714" s="82" t="s">
        <v>19512</v>
      </c>
    </row>
    <row r="715" spans="1:12" ht="120" customHeight="1" x14ac:dyDescent="0.3">
      <c r="A715" s="2">
        <v>711</v>
      </c>
      <c r="B715" s="66" t="s">
        <v>295</v>
      </c>
      <c r="C715" s="66" t="s">
        <v>649</v>
      </c>
      <c r="D715" s="11">
        <v>3300</v>
      </c>
      <c r="E715" s="11">
        <v>3300</v>
      </c>
      <c r="F715" s="3"/>
      <c r="G715" s="2"/>
      <c r="H715" s="3">
        <v>43053</v>
      </c>
      <c r="I715" s="2" t="s">
        <v>19506</v>
      </c>
      <c r="J715" s="2" t="s">
        <v>15048</v>
      </c>
      <c r="K715" s="2"/>
      <c r="L715" s="82" t="s">
        <v>19512</v>
      </c>
    </row>
    <row r="716" spans="1:12" ht="120" customHeight="1" x14ac:dyDescent="0.3">
      <c r="A716" s="2">
        <v>712</v>
      </c>
      <c r="B716" s="66" t="s">
        <v>295</v>
      </c>
      <c r="C716" s="66" t="s">
        <v>650</v>
      </c>
      <c r="D716" s="11">
        <v>3300</v>
      </c>
      <c r="E716" s="11">
        <v>3300</v>
      </c>
      <c r="F716" s="3"/>
      <c r="G716" s="2"/>
      <c r="H716" s="3">
        <v>43053</v>
      </c>
      <c r="I716" s="2" t="s">
        <v>19506</v>
      </c>
      <c r="J716" s="2" t="s">
        <v>15048</v>
      </c>
      <c r="K716" s="2"/>
      <c r="L716" s="82" t="s">
        <v>19512</v>
      </c>
    </row>
    <row r="717" spans="1:12" ht="120" customHeight="1" x14ac:dyDescent="0.3">
      <c r="A717" s="2">
        <v>713</v>
      </c>
      <c r="B717" s="66" t="s">
        <v>295</v>
      </c>
      <c r="C717" s="66" t="s">
        <v>651</v>
      </c>
      <c r="D717" s="11">
        <v>3300</v>
      </c>
      <c r="E717" s="11">
        <v>3300</v>
      </c>
      <c r="F717" s="3"/>
      <c r="G717" s="2"/>
      <c r="H717" s="3">
        <v>43053</v>
      </c>
      <c r="I717" s="2" t="s">
        <v>19506</v>
      </c>
      <c r="J717" s="2" t="s">
        <v>15048</v>
      </c>
      <c r="K717" s="2"/>
      <c r="L717" s="82" t="s">
        <v>19512</v>
      </c>
    </row>
    <row r="718" spans="1:12" ht="120" customHeight="1" x14ac:dyDescent="0.3">
      <c r="A718" s="2">
        <v>714</v>
      </c>
      <c r="B718" s="66" t="s">
        <v>295</v>
      </c>
      <c r="C718" s="66" t="s">
        <v>652</v>
      </c>
      <c r="D718" s="11">
        <v>3300</v>
      </c>
      <c r="E718" s="11">
        <v>3300</v>
      </c>
      <c r="F718" s="3"/>
      <c r="G718" s="2"/>
      <c r="H718" s="3">
        <v>43053</v>
      </c>
      <c r="I718" s="2" t="s">
        <v>19506</v>
      </c>
      <c r="J718" s="2" t="s">
        <v>15048</v>
      </c>
      <c r="K718" s="2"/>
      <c r="L718" s="82" t="s">
        <v>19512</v>
      </c>
    </row>
    <row r="719" spans="1:12" ht="120" customHeight="1" x14ac:dyDescent="0.3">
      <c r="A719" s="2">
        <v>715</v>
      </c>
      <c r="B719" s="66" t="s">
        <v>295</v>
      </c>
      <c r="C719" s="66" t="s">
        <v>653</v>
      </c>
      <c r="D719" s="11">
        <v>3300</v>
      </c>
      <c r="E719" s="11">
        <v>3300</v>
      </c>
      <c r="F719" s="3"/>
      <c r="G719" s="2"/>
      <c r="H719" s="3">
        <v>43053</v>
      </c>
      <c r="I719" s="2" t="s">
        <v>19506</v>
      </c>
      <c r="J719" s="2" t="s">
        <v>15048</v>
      </c>
      <c r="K719" s="2"/>
      <c r="L719" s="82" t="s">
        <v>19512</v>
      </c>
    </row>
    <row r="720" spans="1:12" ht="120" customHeight="1" x14ac:dyDescent="0.3">
      <c r="A720" s="2">
        <v>716</v>
      </c>
      <c r="B720" s="66" t="s">
        <v>295</v>
      </c>
      <c r="C720" s="66" t="s">
        <v>654</v>
      </c>
      <c r="D720" s="11">
        <v>3300</v>
      </c>
      <c r="E720" s="11">
        <v>3300</v>
      </c>
      <c r="F720" s="3"/>
      <c r="G720" s="2"/>
      <c r="H720" s="3">
        <v>43053</v>
      </c>
      <c r="I720" s="2" t="s">
        <v>19506</v>
      </c>
      <c r="J720" s="2" t="s">
        <v>15048</v>
      </c>
      <c r="K720" s="2"/>
      <c r="L720" s="82" t="s">
        <v>19512</v>
      </c>
    </row>
    <row r="721" spans="1:12" ht="120" customHeight="1" x14ac:dyDescent="0.3">
      <c r="A721" s="2">
        <v>717</v>
      </c>
      <c r="B721" s="66" t="s">
        <v>295</v>
      </c>
      <c r="C721" s="66" t="s">
        <v>655</v>
      </c>
      <c r="D721" s="11">
        <v>3300</v>
      </c>
      <c r="E721" s="11">
        <v>3300</v>
      </c>
      <c r="F721" s="3"/>
      <c r="G721" s="2"/>
      <c r="H721" s="3">
        <v>43053</v>
      </c>
      <c r="I721" s="2" t="s">
        <v>19506</v>
      </c>
      <c r="J721" s="2" t="s">
        <v>15048</v>
      </c>
      <c r="K721" s="2"/>
      <c r="L721" s="82" t="s">
        <v>19512</v>
      </c>
    </row>
    <row r="722" spans="1:12" ht="120" customHeight="1" x14ac:dyDescent="0.3">
      <c r="A722" s="2">
        <v>718</v>
      </c>
      <c r="B722" s="66" t="s">
        <v>295</v>
      </c>
      <c r="C722" s="66" t="s">
        <v>656</v>
      </c>
      <c r="D722" s="11">
        <v>3300</v>
      </c>
      <c r="E722" s="11">
        <v>3300</v>
      </c>
      <c r="F722" s="3"/>
      <c r="G722" s="2"/>
      <c r="H722" s="3">
        <v>43053</v>
      </c>
      <c r="I722" s="2" t="s">
        <v>19506</v>
      </c>
      <c r="J722" s="2" t="s">
        <v>15048</v>
      </c>
      <c r="K722" s="2"/>
      <c r="L722" s="82" t="s">
        <v>19512</v>
      </c>
    </row>
    <row r="723" spans="1:12" ht="120" customHeight="1" x14ac:dyDescent="0.3">
      <c r="A723" s="2">
        <v>719</v>
      </c>
      <c r="B723" s="66" t="s">
        <v>295</v>
      </c>
      <c r="C723" s="66" t="s">
        <v>657</v>
      </c>
      <c r="D723" s="11">
        <v>3300</v>
      </c>
      <c r="E723" s="11">
        <v>3300</v>
      </c>
      <c r="F723" s="3"/>
      <c r="G723" s="2"/>
      <c r="H723" s="3">
        <v>43053</v>
      </c>
      <c r="I723" s="2" t="s">
        <v>19506</v>
      </c>
      <c r="J723" s="2" t="s">
        <v>15048</v>
      </c>
      <c r="K723" s="2"/>
      <c r="L723" s="82" t="s">
        <v>19512</v>
      </c>
    </row>
    <row r="724" spans="1:12" ht="120" customHeight="1" x14ac:dyDescent="0.3">
      <c r="A724" s="2">
        <v>720</v>
      </c>
      <c r="B724" s="66" t="s">
        <v>295</v>
      </c>
      <c r="C724" s="66" t="s">
        <v>658</v>
      </c>
      <c r="D724" s="11">
        <v>3300</v>
      </c>
      <c r="E724" s="11">
        <v>3300</v>
      </c>
      <c r="F724" s="3"/>
      <c r="G724" s="2"/>
      <c r="H724" s="3">
        <v>43053</v>
      </c>
      <c r="I724" s="2" t="s">
        <v>19506</v>
      </c>
      <c r="J724" s="2" t="s">
        <v>15048</v>
      </c>
      <c r="K724" s="2"/>
      <c r="L724" s="82" t="s">
        <v>19512</v>
      </c>
    </row>
    <row r="725" spans="1:12" ht="120" customHeight="1" x14ac:dyDescent="0.3">
      <c r="A725" s="2">
        <v>721</v>
      </c>
      <c r="B725" s="66" t="s">
        <v>295</v>
      </c>
      <c r="C725" s="66" t="s">
        <v>659</v>
      </c>
      <c r="D725" s="11">
        <v>3300</v>
      </c>
      <c r="E725" s="11">
        <v>3300</v>
      </c>
      <c r="F725" s="3"/>
      <c r="G725" s="2"/>
      <c r="H725" s="3">
        <v>43053</v>
      </c>
      <c r="I725" s="2" t="s">
        <v>19506</v>
      </c>
      <c r="J725" s="2" t="s">
        <v>15048</v>
      </c>
      <c r="K725" s="2"/>
      <c r="L725" s="82" t="s">
        <v>19512</v>
      </c>
    </row>
    <row r="726" spans="1:12" ht="120" customHeight="1" x14ac:dyDescent="0.3">
      <c r="A726" s="2">
        <v>722</v>
      </c>
      <c r="B726" s="66" t="s">
        <v>295</v>
      </c>
      <c r="C726" s="66" t="s">
        <v>660</v>
      </c>
      <c r="D726" s="11">
        <v>3300</v>
      </c>
      <c r="E726" s="11">
        <v>3300</v>
      </c>
      <c r="F726" s="3"/>
      <c r="G726" s="2"/>
      <c r="H726" s="3">
        <v>43053</v>
      </c>
      <c r="I726" s="2" t="s">
        <v>19506</v>
      </c>
      <c r="J726" s="2" t="s">
        <v>15048</v>
      </c>
      <c r="K726" s="2"/>
      <c r="L726" s="82" t="s">
        <v>19512</v>
      </c>
    </row>
    <row r="727" spans="1:12" ht="120" customHeight="1" x14ac:dyDescent="0.3">
      <c r="A727" s="2">
        <v>723</v>
      </c>
      <c r="B727" s="66" t="s">
        <v>295</v>
      </c>
      <c r="C727" s="66" t="s">
        <v>661</v>
      </c>
      <c r="D727" s="11">
        <v>3300</v>
      </c>
      <c r="E727" s="11">
        <v>3300</v>
      </c>
      <c r="F727" s="3"/>
      <c r="G727" s="2"/>
      <c r="H727" s="3">
        <v>43053</v>
      </c>
      <c r="I727" s="2" t="s">
        <v>19506</v>
      </c>
      <c r="J727" s="2" t="s">
        <v>15048</v>
      </c>
      <c r="K727" s="2"/>
      <c r="L727" s="82" t="s">
        <v>19512</v>
      </c>
    </row>
    <row r="728" spans="1:12" ht="120" customHeight="1" x14ac:dyDescent="0.3">
      <c r="A728" s="2">
        <v>724</v>
      </c>
      <c r="B728" s="66" t="s">
        <v>295</v>
      </c>
      <c r="C728" s="66" t="s">
        <v>662</v>
      </c>
      <c r="D728" s="11">
        <v>3300</v>
      </c>
      <c r="E728" s="11">
        <v>3300</v>
      </c>
      <c r="F728" s="3"/>
      <c r="G728" s="2"/>
      <c r="H728" s="3">
        <v>43053</v>
      </c>
      <c r="I728" s="2" t="s">
        <v>19506</v>
      </c>
      <c r="J728" s="2" t="s">
        <v>15048</v>
      </c>
      <c r="K728" s="2"/>
      <c r="L728" s="82" t="s">
        <v>19512</v>
      </c>
    </row>
    <row r="729" spans="1:12" ht="120" customHeight="1" x14ac:dyDescent="0.3">
      <c r="A729" s="2">
        <v>725</v>
      </c>
      <c r="B729" s="66" t="s">
        <v>295</v>
      </c>
      <c r="C729" s="66" t="s">
        <v>663</v>
      </c>
      <c r="D729" s="11">
        <v>3300</v>
      </c>
      <c r="E729" s="11">
        <v>3300</v>
      </c>
      <c r="F729" s="3"/>
      <c r="G729" s="2"/>
      <c r="H729" s="3">
        <v>43053</v>
      </c>
      <c r="I729" s="2" t="s">
        <v>19506</v>
      </c>
      <c r="J729" s="2" t="s">
        <v>15048</v>
      </c>
      <c r="K729" s="2"/>
      <c r="L729" s="82" t="s">
        <v>19512</v>
      </c>
    </row>
    <row r="730" spans="1:12" ht="120" customHeight="1" x14ac:dyDescent="0.3">
      <c r="A730" s="2">
        <v>726</v>
      </c>
      <c r="B730" s="66" t="s">
        <v>295</v>
      </c>
      <c r="C730" s="66" t="s">
        <v>664</v>
      </c>
      <c r="D730" s="11">
        <v>3300</v>
      </c>
      <c r="E730" s="11">
        <v>3300</v>
      </c>
      <c r="F730" s="3"/>
      <c r="G730" s="2"/>
      <c r="H730" s="3">
        <v>43053</v>
      </c>
      <c r="I730" s="2" t="s">
        <v>19506</v>
      </c>
      <c r="J730" s="2" t="s">
        <v>15048</v>
      </c>
      <c r="K730" s="2"/>
      <c r="L730" s="82" t="s">
        <v>19512</v>
      </c>
    </row>
    <row r="731" spans="1:12" ht="120" customHeight="1" x14ac:dyDescent="0.3">
      <c r="A731" s="2">
        <v>727</v>
      </c>
      <c r="B731" s="66" t="s">
        <v>295</v>
      </c>
      <c r="C731" s="66" t="s">
        <v>665</v>
      </c>
      <c r="D731" s="11">
        <v>3300</v>
      </c>
      <c r="E731" s="11">
        <v>3300</v>
      </c>
      <c r="F731" s="3"/>
      <c r="G731" s="2"/>
      <c r="H731" s="3">
        <v>43053</v>
      </c>
      <c r="I731" s="2" t="s">
        <v>19506</v>
      </c>
      <c r="J731" s="2" t="s">
        <v>15048</v>
      </c>
      <c r="K731" s="2"/>
      <c r="L731" s="82" t="s">
        <v>19512</v>
      </c>
    </row>
    <row r="732" spans="1:12" ht="120" customHeight="1" x14ac:dyDescent="0.3">
      <c r="A732" s="2">
        <v>728</v>
      </c>
      <c r="B732" s="66" t="s">
        <v>295</v>
      </c>
      <c r="C732" s="66" t="s">
        <v>666</v>
      </c>
      <c r="D732" s="11">
        <v>3300</v>
      </c>
      <c r="E732" s="11">
        <v>3300</v>
      </c>
      <c r="F732" s="3"/>
      <c r="G732" s="2"/>
      <c r="H732" s="3">
        <v>43053</v>
      </c>
      <c r="I732" s="2" t="s">
        <v>19506</v>
      </c>
      <c r="J732" s="2" t="s">
        <v>15048</v>
      </c>
      <c r="K732" s="2"/>
      <c r="L732" s="82" t="s">
        <v>19512</v>
      </c>
    </row>
    <row r="733" spans="1:12" ht="120" customHeight="1" x14ac:dyDescent="0.3">
      <c r="A733" s="2">
        <v>729</v>
      </c>
      <c r="B733" s="66" t="s">
        <v>295</v>
      </c>
      <c r="C733" s="66" t="s">
        <v>667</v>
      </c>
      <c r="D733" s="11">
        <v>3300</v>
      </c>
      <c r="E733" s="11">
        <v>3300</v>
      </c>
      <c r="F733" s="3"/>
      <c r="G733" s="2"/>
      <c r="H733" s="3">
        <v>43053</v>
      </c>
      <c r="I733" s="2" t="s">
        <v>19506</v>
      </c>
      <c r="J733" s="2" t="s">
        <v>15048</v>
      </c>
      <c r="K733" s="2"/>
      <c r="L733" s="82" t="s">
        <v>19512</v>
      </c>
    </row>
    <row r="734" spans="1:12" ht="120" customHeight="1" x14ac:dyDescent="0.3">
      <c r="A734" s="2">
        <v>730</v>
      </c>
      <c r="B734" s="66" t="s">
        <v>295</v>
      </c>
      <c r="C734" s="66" t="s">
        <v>668</v>
      </c>
      <c r="D734" s="11">
        <v>3300</v>
      </c>
      <c r="E734" s="11">
        <v>3300</v>
      </c>
      <c r="F734" s="3"/>
      <c r="G734" s="2"/>
      <c r="H734" s="3">
        <v>43053</v>
      </c>
      <c r="I734" s="2" t="s">
        <v>19506</v>
      </c>
      <c r="J734" s="2" t="s">
        <v>15048</v>
      </c>
      <c r="K734" s="2"/>
      <c r="L734" s="82" t="s">
        <v>19512</v>
      </c>
    </row>
    <row r="735" spans="1:12" ht="120" customHeight="1" x14ac:dyDescent="0.3">
      <c r="A735" s="2">
        <v>731</v>
      </c>
      <c r="B735" s="66" t="s">
        <v>295</v>
      </c>
      <c r="C735" s="66" t="s">
        <v>669</v>
      </c>
      <c r="D735" s="11">
        <v>3300</v>
      </c>
      <c r="E735" s="11">
        <v>3300</v>
      </c>
      <c r="F735" s="3"/>
      <c r="G735" s="2"/>
      <c r="H735" s="3">
        <v>43053</v>
      </c>
      <c r="I735" s="2" t="s">
        <v>19506</v>
      </c>
      <c r="J735" s="2" t="s">
        <v>15048</v>
      </c>
      <c r="K735" s="2"/>
      <c r="L735" s="82" t="s">
        <v>19512</v>
      </c>
    </row>
    <row r="736" spans="1:12" ht="120" customHeight="1" x14ac:dyDescent="0.3">
      <c r="A736" s="2">
        <v>732</v>
      </c>
      <c r="B736" s="66" t="s">
        <v>295</v>
      </c>
      <c r="C736" s="66" t="s">
        <v>670</v>
      </c>
      <c r="D736" s="11">
        <v>3300</v>
      </c>
      <c r="E736" s="11">
        <v>3300</v>
      </c>
      <c r="F736" s="3"/>
      <c r="G736" s="2"/>
      <c r="H736" s="3">
        <v>43053</v>
      </c>
      <c r="I736" s="2" t="s">
        <v>19506</v>
      </c>
      <c r="J736" s="2" t="s">
        <v>15048</v>
      </c>
      <c r="K736" s="2"/>
      <c r="L736" s="82" t="s">
        <v>19512</v>
      </c>
    </row>
    <row r="737" spans="1:12" ht="120" customHeight="1" x14ac:dyDescent="0.3">
      <c r="A737" s="2">
        <v>733</v>
      </c>
      <c r="B737" s="66" t="s">
        <v>295</v>
      </c>
      <c r="C737" s="66" t="s">
        <v>671</v>
      </c>
      <c r="D737" s="11">
        <v>3300</v>
      </c>
      <c r="E737" s="11">
        <v>3300</v>
      </c>
      <c r="F737" s="3"/>
      <c r="G737" s="2"/>
      <c r="H737" s="3">
        <v>43053</v>
      </c>
      <c r="I737" s="2" t="s">
        <v>19506</v>
      </c>
      <c r="J737" s="2" t="s">
        <v>15048</v>
      </c>
      <c r="K737" s="2"/>
      <c r="L737" s="82" t="s">
        <v>19512</v>
      </c>
    </row>
    <row r="738" spans="1:12" ht="120" customHeight="1" x14ac:dyDescent="0.3">
      <c r="A738" s="2">
        <v>734</v>
      </c>
      <c r="B738" s="66" t="s">
        <v>295</v>
      </c>
      <c r="C738" s="66" t="s">
        <v>672</v>
      </c>
      <c r="D738" s="11">
        <v>3300</v>
      </c>
      <c r="E738" s="11">
        <v>3300</v>
      </c>
      <c r="F738" s="3"/>
      <c r="G738" s="2"/>
      <c r="H738" s="3">
        <v>43053</v>
      </c>
      <c r="I738" s="2" t="s">
        <v>19506</v>
      </c>
      <c r="J738" s="2" t="s">
        <v>15048</v>
      </c>
      <c r="K738" s="2"/>
      <c r="L738" s="82" t="s">
        <v>19512</v>
      </c>
    </row>
    <row r="739" spans="1:12" ht="120" customHeight="1" x14ac:dyDescent="0.3">
      <c r="A739" s="2">
        <v>735</v>
      </c>
      <c r="B739" s="66" t="s">
        <v>295</v>
      </c>
      <c r="C739" s="66" t="s">
        <v>673</v>
      </c>
      <c r="D739" s="11">
        <v>3300</v>
      </c>
      <c r="E739" s="11">
        <v>3300</v>
      </c>
      <c r="F739" s="3"/>
      <c r="G739" s="2"/>
      <c r="H739" s="3">
        <v>43053</v>
      </c>
      <c r="I739" s="2" t="s">
        <v>19506</v>
      </c>
      <c r="J739" s="2" t="s">
        <v>15048</v>
      </c>
      <c r="K739" s="2"/>
      <c r="L739" s="82" t="s">
        <v>19512</v>
      </c>
    </row>
    <row r="740" spans="1:12" ht="120" customHeight="1" x14ac:dyDescent="0.3">
      <c r="A740" s="2">
        <v>736</v>
      </c>
      <c r="B740" s="66" t="s">
        <v>295</v>
      </c>
      <c r="C740" s="66" t="s">
        <v>674</v>
      </c>
      <c r="D740" s="11">
        <v>3300</v>
      </c>
      <c r="E740" s="11">
        <v>3300</v>
      </c>
      <c r="F740" s="3"/>
      <c r="G740" s="2"/>
      <c r="H740" s="3">
        <v>43053</v>
      </c>
      <c r="I740" s="2" t="s">
        <v>19506</v>
      </c>
      <c r="J740" s="2" t="s">
        <v>15048</v>
      </c>
      <c r="K740" s="2"/>
      <c r="L740" s="82" t="s">
        <v>19512</v>
      </c>
    </row>
    <row r="741" spans="1:12" ht="120" customHeight="1" x14ac:dyDescent="0.3">
      <c r="A741" s="2">
        <v>737</v>
      </c>
      <c r="B741" s="66" t="s">
        <v>295</v>
      </c>
      <c r="C741" s="66" t="s">
        <v>675</v>
      </c>
      <c r="D741" s="11">
        <v>3300</v>
      </c>
      <c r="E741" s="11">
        <v>3300</v>
      </c>
      <c r="F741" s="3"/>
      <c r="G741" s="2"/>
      <c r="H741" s="3">
        <v>43053</v>
      </c>
      <c r="I741" s="2" t="s">
        <v>19506</v>
      </c>
      <c r="J741" s="2" t="s">
        <v>15048</v>
      </c>
      <c r="K741" s="2"/>
      <c r="L741" s="82" t="s">
        <v>19512</v>
      </c>
    </row>
    <row r="742" spans="1:12" ht="120" customHeight="1" x14ac:dyDescent="0.3">
      <c r="A742" s="2">
        <v>738</v>
      </c>
      <c r="B742" s="66" t="s">
        <v>295</v>
      </c>
      <c r="C742" s="66" t="s">
        <v>676</v>
      </c>
      <c r="D742" s="11">
        <v>3300</v>
      </c>
      <c r="E742" s="11">
        <v>3300</v>
      </c>
      <c r="F742" s="3"/>
      <c r="G742" s="2"/>
      <c r="H742" s="3">
        <v>43053</v>
      </c>
      <c r="I742" s="2" t="s">
        <v>19506</v>
      </c>
      <c r="J742" s="2" t="s">
        <v>15048</v>
      </c>
      <c r="K742" s="2"/>
      <c r="L742" s="82" t="s">
        <v>19512</v>
      </c>
    </row>
    <row r="743" spans="1:12" ht="120" customHeight="1" x14ac:dyDescent="0.3">
      <c r="A743" s="2">
        <v>739</v>
      </c>
      <c r="B743" s="66" t="s">
        <v>295</v>
      </c>
      <c r="C743" s="66" t="s">
        <v>677</v>
      </c>
      <c r="D743" s="11">
        <v>3300</v>
      </c>
      <c r="E743" s="11">
        <v>3300</v>
      </c>
      <c r="F743" s="3"/>
      <c r="G743" s="2"/>
      <c r="H743" s="3">
        <v>43053</v>
      </c>
      <c r="I743" s="2" t="s">
        <v>19506</v>
      </c>
      <c r="J743" s="2" t="s">
        <v>15048</v>
      </c>
      <c r="K743" s="2"/>
      <c r="L743" s="82" t="s">
        <v>19512</v>
      </c>
    </row>
    <row r="744" spans="1:12" ht="120" customHeight="1" x14ac:dyDescent="0.3">
      <c r="A744" s="2">
        <v>740</v>
      </c>
      <c r="B744" s="66" t="s">
        <v>295</v>
      </c>
      <c r="C744" s="66" t="s">
        <v>678</v>
      </c>
      <c r="D744" s="11">
        <v>3300</v>
      </c>
      <c r="E744" s="11">
        <v>3300</v>
      </c>
      <c r="F744" s="3"/>
      <c r="G744" s="2"/>
      <c r="H744" s="3">
        <v>43053</v>
      </c>
      <c r="I744" s="2" t="s">
        <v>19506</v>
      </c>
      <c r="J744" s="2" t="s">
        <v>15048</v>
      </c>
      <c r="K744" s="2"/>
      <c r="L744" s="82" t="s">
        <v>19512</v>
      </c>
    </row>
    <row r="745" spans="1:12" ht="120" customHeight="1" x14ac:dyDescent="0.3">
      <c r="A745" s="2">
        <v>741</v>
      </c>
      <c r="B745" s="66" t="s">
        <v>295</v>
      </c>
      <c r="C745" s="66" t="s">
        <v>679</v>
      </c>
      <c r="D745" s="11">
        <v>3300</v>
      </c>
      <c r="E745" s="11">
        <v>3300</v>
      </c>
      <c r="F745" s="3"/>
      <c r="G745" s="2"/>
      <c r="H745" s="3">
        <v>43053</v>
      </c>
      <c r="I745" s="2" t="s">
        <v>19506</v>
      </c>
      <c r="J745" s="2" t="s">
        <v>15048</v>
      </c>
      <c r="K745" s="2"/>
      <c r="L745" s="82" t="s">
        <v>19512</v>
      </c>
    </row>
    <row r="746" spans="1:12" ht="120" customHeight="1" x14ac:dyDescent="0.3">
      <c r="A746" s="2">
        <v>742</v>
      </c>
      <c r="B746" s="66" t="s">
        <v>295</v>
      </c>
      <c r="C746" s="66" t="s">
        <v>680</v>
      </c>
      <c r="D746" s="11">
        <v>3300</v>
      </c>
      <c r="E746" s="11">
        <v>3300</v>
      </c>
      <c r="F746" s="3"/>
      <c r="G746" s="2"/>
      <c r="H746" s="3">
        <v>43053</v>
      </c>
      <c r="I746" s="2" t="s">
        <v>19506</v>
      </c>
      <c r="J746" s="2" t="s">
        <v>15048</v>
      </c>
      <c r="K746" s="2"/>
      <c r="L746" s="82" t="s">
        <v>19512</v>
      </c>
    </row>
    <row r="747" spans="1:12" ht="120" customHeight="1" x14ac:dyDescent="0.3">
      <c r="A747" s="2">
        <v>743</v>
      </c>
      <c r="B747" s="66" t="s">
        <v>295</v>
      </c>
      <c r="C747" s="66" t="s">
        <v>681</v>
      </c>
      <c r="D747" s="11">
        <v>3300</v>
      </c>
      <c r="E747" s="11">
        <v>3300</v>
      </c>
      <c r="F747" s="3"/>
      <c r="G747" s="2"/>
      <c r="H747" s="3">
        <v>43053</v>
      </c>
      <c r="I747" s="2" t="s">
        <v>19506</v>
      </c>
      <c r="J747" s="2" t="s">
        <v>15048</v>
      </c>
      <c r="K747" s="2"/>
      <c r="L747" s="82" t="s">
        <v>19512</v>
      </c>
    </row>
    <row r="748" spans="1:12" ht="120" customHeight="1" x14ac:dyDescent="0.3">
      <c r="A748" s="2">
        <v>744</v>
      </c>
      <c r="B748" s="66" t="s">
        <v>295</v>
      </c>
      <c r="C748" s="66" t="s">
        <v>682</v>
      </c>
      <c r="D748" s="11">
        <v>3300</v>
      </c>
      <c r="E748" s="11">
        <v>3300</v>
      </c>
      <c r="F748" s="3"/>
      <c r="G748" s="2"/>
      <c r="H748" s="3">
        <v>43053</v>
      </c>
      <c r="I748" s="2" t="s">
        <v>19506</v>
      </c>
      <c r="J748" s="2" t="s">
        <v>15048</v>
      </c>
      <c r="K748" s="2"/>
      <c r="L748" s="82" t="s">
        <v>19512</v>
      </c>
    </row>
    <row r="749" spans="1:12" ht="120" customHeight="1" x14ac:dyDescent="0.3">
      <c r="A749" s="2">
        <v>745</v>
      </c>
      <c r="B749" s="66" t="s">
        <v>295</v>
      </c>
      <c r="C749" s="66" t="s">
        <v>683</v>
      </c>
      <c r="D749" s="11">
        <v>3300</v>
      </c>
      <c r="E749" s="11">
        <v>3300</v>
      </c>
      <c r="F749" s="3"/>
      <c r="G749" s="2"/>
      <c r="H749" s="3">
        <v>43053</v>
      </c>
      <c r="I749" s="2" t="s">
        <v>19506</v>
      </c>
      <c r="J749" s="2" t="s">
        <v>15048</v>
      </c>
      <c r="K749" s="2"/>
      <c r="L749" s="82" t="s">
        <v>19512</v>
      </c>
    </row>
    <row r="750" spans="1:12" ht="120" customHeight="1" x14ac:dyDescent="0.3">
      <c r="A750" s="2">
        <v>746</v>
      </c>
      <c r="B750" s="66" t="s">
        <v>295</v>
      </c>
      <c r="C750" s="66" t="s">
        <v>684</v>
      </c>
      <c r="D750" s="11">
        <v>3300</v>
      </c>
      <c r="E750" s="11">
        <v>3300</v>
      </c>
      <c r="F750" s="3"/>
      <c r="G750" s="2"/>
      <c r="H750" s="3">
        <v>43053</v>
      </c>
      <c r="I750" s="2" t="s">
        <v>19506</v>
      </c>
      <c r="J750" s="2" t="s">
        <v>15048</v>
      </c>
      <c r="K750" s="2"/>
      <c r="L750" s="82" t="s">
        <v>19512</v>
      </c>
    </row>
    <row r="751" spans="1:12" ht="120" customHeight="1" x14ac:dyDescent="0.3">
      <c r="A751" s="2">
        <v>747</v>
      </c>
      <c r="B751" s="66" t="s">
        <v>295</v>
      </c>
      <c r="C751" s="66" t="s">
        <v>685</v>
      </c>
      <c r="D751" s="11">
        <v>3300</v>
      </c>
      <c r="E751" s="11">
        <v>3300</v>
      </c>
      <c r="F751" s="3"/>
      <c r="G751" s="2"/>
      <c r="H751" s="3">
        <v>43053</v>
      </c>
      <c r="I751" s="2" t="s">
        <v>19506</v>
      </c>
      <c r="J751" s="2" t="s">
        <v>15048</v>
      </c>
      <c r="K751" s="2"/>
      <c r="L751" s="82" t="s">
        <v>19512</v>
      </c>
    </row>
    <row r="752" spans="1:12" ht="120" customHeight="1" x14ac:dyDescent="0.3">
      <c r="A752" s="2">
        <v>748</v>
      </c>
      <c r="B752" s="66" t="s">
        <v>295</v>
      </c>
      <c r="C752" s="66" t="s">
        <v>686</v>
      </c>
      <c r="D752" s="11">
        <v>3300</v>
      </c>
      <c r="E752" s="11">
        <v>3300</v>
      </c>
      <c r="F752" s="3"/>
      <c r="G752" s="2"/>
      <c r="H752" s="3">
        <v>43053</v>
      </c>
      <c r="I752" s="2" t="s">
        <v>19506</v>
      </c>
      <c r="J752" s="2" t="s">
        <v>15048</v>
      </c>
      <c r="K752" s="2"/>
      <c r="L752" s="82" t="s">
        <v>19512</v>
      </c>
    </row>
    <row r="753" spans="1:12" ht="120" customHeight="1" x14ac:dyDescent="0.3">
      <c r="A753" s="2">
        <v>749</v>
      </c>
      <c r="B753" s="66" t="s">
        <v>295</v>
      </c>
      <c r="C753" s="66" t="s">
        <v>687</v>
      </c>
      <c r="D753" s="11">
        <v>3300</v>
      </c>
      <c r="E753" s="11">
        <v>3300</v>
      </c>
      <c r="F753" s="3"/>
      <c r="G753" s="2"/>
      <c r="H753" s="3">
        <v>43053</v>
      </c>
      <c r="I753" s="2" t="s">
        <v>19506</v>
      </c>
      <c r="J753" s="2" t="s">
        <v>15048</v>
      </c>
      <c r="K753" s="2"/>
      <c r="L753" s="82" t="s">
        <v>19512</v>
      </c>
    </row>
    <row r="754" spans="1:12" ht="120" customHeight="1" x14ac:dyDescent="0.3">
      <c r="A754" s="2">
        <v>750</v>
      </c>
      <c r="B754" s="66" t="s">
        <v>295</v>
      </c>
      <c r="C754" s="66" t="s">
        <v>688</v>
      </c>
      <c r="D754" s="11">
        <v>3300</v>
      </c>
      <c r="E754" s="11">
        <v>3300</v>
      </c>
      <c r="F754" s="3"/>
      <c r="G754" s="2"/>
      <c r="H754" s="3">
        <v>43053</v>
      </c>
      <c r="I754" s="2" t="s">
        <v>19506</v>
      </c>
      <c r="J754" s="2" t="s">
        <v>15048</v>
      </c>
      <c r="K754" s="2"/>
      <c r="L754" s="82" t="s">
        <v>19512</v>
      </c>
    </row>
    <row r="755" spans="1:12" ht="120" customHeight="1" x14ac:dyDescent="0.3">
      <c r="A755" s="2">
        <v>751</v>
      </c>
      <c r="B755" s="66" t="s">
        <v>295</v>
      </c>
      <c r="C755" s="66" t="s">
        <v>689</v>
      </c>
      <c r="D755" s="11">
        <v>3300</v>
      </c>
      <c r="E755" s="11">
        <v>3300</v>
      </c>
      <c r="F755" s="3"/>
      <c r="G755" s="2"/>
      <c r="H755" s="3">
        <v>43053</v>
      </c>
      <c r="I755" s="2" t="s">
        <v>19506</v>
      </c>
      <c r="J755" s="2" t="s">
        <v>15048</v>
      </c>
      <c r="K755" s="2"/>
      <c r="L755" s="82" t="s">
        <v>19512</v>
      </c>
    </row>
    <row r="756" spans="1:12" ht="120" customHeight="1" x14ac:dyDescent="0.3">
      <c r="A756" s="2">
        <v>752</v>
      </c>
      <c r="B756" s="66" t="s">
        <v>295</v>
      </c>
      <c r="C756" s="66" t="s">
        <v>690</v>
      </c>
      <c r="D756" s="11">
        <v>3300</v>
      </c>
      <c r="E756" s="11">
        <v>3300</v>
      </c>
      <c r="F756" s="3"/>
      <c r="G756" s="2"/>
      <c r="H756" s="3">
        <v>43053</v>
      </c>
      <c r="I756" s="2" t="s">
        <v>19506</v>
      </c>
      <c r="J756" s="2" t="s">
        <v>15048</v>
      </c>
      <c r="K756" s="2"/>
      <c r="L756" s="82" t="s">
        <v>19512</v>
      </c>
    </row>
    <row r="757" spans="1:12" ht="120" customHeight="1" x14ac:dyDescent="0.3">
      <c r="A757" s="2">
        <v>753</v>
      </c>
      <c r="B757" s="66" t="s">
        <v>295</v>
      </c>
      <c r="C757" s="66" t="s">
        <v>691</v>
      </c>
      <c r="D757" s="11">
        <v>3300</v>
      </c>
      <c r="E757" s="11">
        <v>3300</v>
      </c>
      <c r="F757" s="3"/>
      <c r="G757" s="2"/>
      <c r="H757" s="3">
        <v>43053</v>
      </c>
      <c r="I757" s="2" t="s">
        <v>19506</v>
      </c>
      <c r="J757" s="2" t="s">
        <v>15048</v>
      </c>
      <c r="K757" s="2"/>
      <c r="L757" s="82" t="s">
        <v>19512</v>
      </c>
    </row>
    <row r="758" spans="1:12" ht="120" customHeight="1" x14ac:dyDescent="0.3">
      <c r="A758" s="2">
        <v>754</v>
      </c>
      <c r="B758" s="66" t="s">
        <v>295</v>
      </c>
      <c r="C758" s="66" t="s">
        <v>692</v>
      </c>
      <c r="D758" s="11">
        <v>3300</v>
      </c>
      <c r="E758" s="11">
        <v>3300</v>
      </c>
      <c r="F758" s="3"/>
      <c r="G758" s="2"/>
      <c r="H758" s="3">
        <v>43053</v>
      </c>
      <c r="I758" s="2" t="s">
        <v>19506</v>
      </c>
      <c r="J758" s="2" t="s">
        <v>15048</v>
      </c>
      <c r="K758" s="2"/>
      <c r="L758" s="82" t="s">
        <v>19512</v>
      </c>
    </row>
    <row r="759" spans="1:12" ht="120" customHeight="1" x14ac:dyDescent="0.3">
      <c r="A759" s="2">
        <v>755</v>
      </c>
      <c r="B759" s="66" t="s">
        <v>295</v>
      </c>
      <c r="C759" s="66" t="s">
        <v>693</v>
      </c>
      <c r="D759" s="11">
        <v>3300</v>
      </c>
      <c r="E759" s="11">
        <v>3300</v>
      </c>
      <c r="F759" s="3"/>
      <c r="G759" s="2"/>
      <c r="H759" s="3">
        <v>43053</v>
      </c>
      <c r="I759" s="2" t="s">
        <v>19506</v>
      </c>
      <c r="J759" s="2" t="s">
        <v>15048</v>
      </c>
      <c r="K759" s="2"/>
      <c r="L759" s="82" t="s">
        <v>19512</v>
      </c>
    </row>
    <row r="760" spans="1:12" ht="120" customHeight="1" x14ac:dyDescent="0.3">
      <c r="A760" s="2">
        <v>756</v>
      </c>
      <c r="B760" s="66" t="s">
        <v>295</v>
      </c>
      <c r="C760" s="66" t="s">
        <v>694</v>
      </c>
      <c r="D760" s="11">
        <v>3300</v>
      </c>
      <c r="E760" s="11">
        <v>3300</v>
      </c>
      <c r="F760" s="3"/>
      <c r="G760" s="2"/>
      <c r="H760" s="3">
        <v>43053</v>
      </c>
      <c r="I760" s="2" t="s">
        <v>19506</v>
      </c>
      <c r="J760" s="2" t="s">
        <v>15048</v>
      </c>
      <c r="K760" s="2"/>
      <c r="L760" s="82" t="s">
        <v>19512</v>
      </c>
    </row>
    <row r="761" spans="1:12" ht="120" customHeight="1" x14ac:dyDescent="0.3">
      <c r="A761" s="2">
        <v>757</v>
      </c>
      <c r="B761" s="66" t="s">
        <v>295</v>
      </c>
      <c r="C761" s="66" t="s">
        <v>695</v>
      </c>
      <c r="D761" s="11">
        <v>3300</v>
      </c>
      <c r="E761" s="11">
        <v>3300</v>
      </c>
      <c r="F761" s="3"/>
      <c r="G761" s="2"/>
      <c r="H761" s="3">
        <v>43053</v>
      </c>
      <c r="I761" s="2" t="s">
        <v>19506</v>
      </c>
      <c r="J761" s="2" t="s">
        <v>15048</v>
      </c>
      <c r="K761" s="2"/>
      <c r="L761" s="82" t="s">
        <v>19512</v>
      </c>
    </row>
    <row r="762" spans="1:12" ht="120" customHeight="1" x14ac:dyDescent="0.3">
      <c r="A762" s="2">
        <v>758</v>
      </c>
      <c r="B762" s="66" t="s">
        <v>295</v>
      </c>
      <c r="C762" s="66" t="s">
        <v>696</v>
      </c>
      <c r="D762" s="11">
        <v>3300</v>
      </c>
      <c r="E762" s="11">
        <v>3300</v>
      </c>
      <c r="F762" s="3"/>
      <c r="G762" s="2"/>
      <c r="H762" s="3">
        <v>43053</v>
      </c>
      <c r="I762" s="2" t="s">
        <v>19506</v>
      </c>
      <c r="J762" s="2" t="s">
        <v>15048</v>
      </c>
      <c r="K762" s="2"/>
      <c r="L762" s="82" t="s">
        <v>19512</v>
      </c>
    </row>
    <row r="763" spans="1:12" ht="120" customHeight="1" x14ac:dyDescent="0.3">
      <c r="A763" s="2">
        <v>759</v>
      </c>
      <c r="B763" s="66" t="s">
        <v>295</v>
      </c>
      <c r="C763" s="66" t="s">
        <v>697</v>
      </c>
      <c r="D763" s="11">
        <v>3300</v>
      </c>
      <c r="E763" s="11">
        <v>3300</v>
      </c>
      <c r="F763" s="3"/>
      <c r="G763" s="2"/>
      <c r="H763" s="3">
        <v>43053</v>
      </c>
      <c r="I763" s="2" t="s">
        <v>19506</v>
      </c>
      <c r="J763" s="2" t="s">
        <v>15048</v>
      </c>
      <c r="K763" s="2"/>
      <c r="L763" s="82" t="s">
        <v>19512</v>
      </c>
    </row>
    <row r="764" spans="1:12" ht="120" customHeight="1" x14ac:dyDescent="0.3">
      <c r="A764" s="2">
        <v>760</v>
      </c>
      <c r="B764" s="66" t="s">
        <v>295</v>
      </c>
      <c r="C764" s="66" t="s">
        <v>698</v>
      </c>
      <c r="D764" s="11">
        <v>3300</v>
      </c>
      <c r="E764" s="11">
        <v>3300</v>
      </c>
      <c r="F764" s="3"/>
      <c r="G764" s="2"/>
      <c r="H764" s="3">
        <v>43053</v>
      </c>
      <c r="I764" s="2" t="s">
        <v>19506</v>
      </c>
      <c r="J764" s="2" t="s">
        <v>15048</v>
      </c>
      <c r="K764" s="2"/>
      <c r="L764" s="82" t="s">
        <v>19512</v>
      </c>
    </row>
    <row r="765" spans="1:12" ht="120" customHeight="1" x14ac:dyDescent="0.3">
      <c r="A765" s="2">
        <v>761</v>
      </c>
      <c r="B765" s="66" t="s">
        <v>295</v>
      </c>
      <c r="C765" s="66" t="s">
        <v>699</v>
      </c>
      <c r="D765" s="11">
        <v>3300</v>
      </c>
      <c r="E765" s="11">
        <v>3300</v>
      </c>
      <c r="F765" s="3"/>
      <c r="G765" s="2"/>
      <c r="H765" s="3">
        <v>43053</v>
      </c>
      <c r="I765" s="2" t="s">
        <v>19506</v>
      </c>
      <c r="J765" s="2" t="s">
        <v>15048</v>
      </c>
      <c r="K765" s="2"/>
      <c r="L765" s="82" t="s">
        <v>19512</v>
      </c>
    </row>
    <row r="766" spans="1:12" ht="120" customHeight="1" x14ac:dyDescent="0.3">
      <c r="A766" s="2">
        <v>762</v>
      </c>
      <c r="B766" s="66" t="s">
        <v>295</v>
      </c>
      <c r="C766" s="66" t="s">
        <v>700</v>
      </c>
      <c r="D766" s="11">
        <v>3300</v>
      </c>
      <c r="E766" s="11">
        <v>3300</v>
      </c>
      <c r="F766" s="3"/>
      <c r="G766" s="2"/>
      <c r="H766" s="3">
        <v>43053</v>
      </c>
      <c r="I766" s="2" t="s">
        <v>19506</v>
      </c>
      <c r="J766" s="2" t="s">
        <v>15048</v>
      </c>
      <c r="K766" s="2"/>
      <c r="L766" s="82" t="s">
        <v>19512</v>
      </c>
    </row>
    <row r="767" spans="1:12" ht="120" customHeight="1" x14ac:dyDescent="0.3">
      <c r="A767" s="2">
        <v>763</v>
      </c>
      <c r="B767" s="66" t="s">
        <v>295</v>
      </c>
      <c r="C767" s="66" t="s">
        <v>701</v>
      </c>
      <c r="D767" s="11">
        <v>3300</v>
      </c>
      <c r="E767" s="11">
        <v>3300</v>
      </c>
      <c r="F767" s="3"/>
      <c r="G767" s="2"/>
      <c r="H767" s="3">
        <v>43053</v>
      </c>
      <c r="I767" s="2" t="s">
        <v>19506</v>
      </c>
      <c r="J767" s="2" t="s">
        <v>15048</v>
      </c>
      <c r="K767" s="2"/>
      <c r="L767" s="82" t="s">
        <v>19512</v>
      </c>
    </row>
    <row r="768" spans="1:12" ht="120" customHeight="1" x14ac:dyDescent="0.3">
      <c r="A768" s="2">
        <v>764</v>
      </c>
      <c r="B768" s="66" t="s">
        <v>295</v>
      </c>
      <c r="C768" s="66" t="s">
        <v>702</v>
      </c>
      <c r="D768" s="11">
        <v>3300</v>
      </c>
      <c r="E768" s="11">
        <v>3300</v>
      </c>
      <c r="F768" s="3"/>
      <c r="G768" s="2"/>
      <c r="H768" s="3">
        <v>43053</v>
      </c>
      <c r="I768" s="2" t="s">
        <v>19506</v>
      </c>
      <c r="J768" s="2" t="s">
        <v>15048</v>
      </c>
      <c r="K768" s="2"/>
      <c r="L768" s="82" t="s">
        <v>19512</v>
      </c>
    </row>
    <row r="769" spans="1:12" ht="120" customHeight="1" x14ac:dyDescent="0.3">
      <c r="A769" s="2">
        <v>765</v>
      </c>
      <c r="B769" s="66" t="s">
        <v>295</v>
      </c>
      <c r="C769" s="66" t="s">
        <v>703</v>
      </c>
      <c r="D769" s="11">
        <v>3300</v>
      </c>
      <c r="E769" s="11">
        <v>3300</v>
      </c>
      <c r="F769" s="3"/>
      <c r="G769" s="2"/>
      <c r="H769" s="3">
        <v>43053</v>
      </c>
      <c r="I769" s="2" t="s">
        <v>19506</v>
      </c>
      <c r="J769" s="2" t="s">
        <v>15048</v>
      </c>
      <c r="K769" s="2"/>
      <c r="L769" s="82" t="s">
        <v>19512</v>
      </c>
    </row>
    <row r="770" spans="1:12" ht="120" customHeight="1" x14ac:dyDescent="0.3">
      <c r="A770" s="2">
        <v>766</v>
      </c>
      <c r="B770" s="66" t="s">
        <v>295</v>
      </c>
      <c r="C770" s="66" t="s">
        <v>704</v>
      </c>
      <c r="D770" s="11">
        <v>3300</v>
      </c>
      <c r="E770" s="11">
        <v>3300</v>
      </c>
      <c r="F770" s="3"/>
      <c r="G770" s="2"/>
      <c r="H770" s="3">
        <v>43053</v>
      </c>
      <c r="I770" s="2" t="s">
        <v>19506</v>
      </c>
      <c r="J770" s="2" t="s">
        <v>15048</v>
      </c>
      <c r="K770" s="2"/>
      <c r="L770" s="82" t="s">
        <v>19512</v>
      </c>
    </row>
    <row r="771" spans="1:12" ht="120" customHeight="1" x14ac:dyDescent="0.3">
      <c r="A771" s="2">
        <v>767</v>
      </c>
      <c r="B771" s="66" t="s">
        <v>296</v>
      </c>
      <c r="C771" s="66" t="s">
        <v>705</v>
      </c>
      <c r="D771" s="11">
        <v>4329.5</v>
      </c>
      <c r="E771" s="11">
        <v>4329.5</v>
      </c>
      <c r="F771" s="3"/>
      <c r="G771" s="2"/>
      <c r="H771" s="3">
        <v>43053</v>
      </c>
      <c r="I771" s="2" t="s">
        <v>19506</v>
      </c>
      <c r="J771" s="2" t="s">
        <v>15048</v>
      </c>
      <c r="K771" s="2"/>
      <c r="L771" s="82" t="s">
        <v>19512</v>
      </c>
    </row>
    <row r="772" spans="1:12" ht="120" customHeight="1" x14ac:dyDescent="0.3">
      <c r="A772" s="2">
        <v>768</v>
      </c>
      <c r="B772" s="66" t="s">
        <v>296</v>
      </c>
      <c r="C772" s="66" t="s">
        <v>706</v>
      </c>
      <c r="D772" s="11">
        <v>4329.5</v>
      </c>
      <c r="E772" s="11">
        <v>4329.5</v>
      </c>
      <c r="F772" s="3"/>
      <c r="G772" s="2"/>
      <c r="H772" s="3">
        <v>43053</v>
      </c>
      <c r="I772" s="2" t="s">
        <v>19506</v>
      </c>
      <c r="J772" s="2" t="s">
        <v>15048</v>
      </c>
      <c r="K772" s="2"/>
      <c r="L772" s="82" t="s">
        <v>19512</v>
      </c>
    </row>
    <row r="773" spans="1:12" ht="120" customHeight="1" x14ac:dyDescent="0.3">
      <c r="A773" s="2">
        <v>769</v>
      </c>
      <c r="B773" s="66" t="s">
        <v>296</v>
      </c>
      <c r="C773" s="66" t="s">
        <v>707</v>
      </c>
      <c r="D773" s="11">
        <v>4329.5</v>
      </c>
      <c r="E773" s="11">
        <v>4329.5</v>
      </c>
      <c r="F773" s="3"/>
      <c r="G773" s="2"/>
      <c r="H773" s="3">
        <v>43053</v>
      </c>
      <c r="I773" s="2" t="s">
        <v>19506</v>
      </c>
      <c r="J773" s="2" t="s">
        <v>15048</v>
      </c>
      <c r="K773" s="2"/>
      <c r="L773" s="82" t="s">
        <v>19512</v>
      </c>
    </row>
    <row r="774" spans="1:12" ht="120" customHeight="1" x14ac:dyDescent="0.3">
      <c r="A774" s="2">
        <v>770</v>
      </c>
      <c r="B774" s="66" t="s">
        <v>296</v>
      </c>
      <c r="C774" s="66" t="s">
        <v>708</v>
      </c>
      <c r="D774" s="11">
        <v>4329.5</v>
      </c>
      <c r="E774" s="11">
        <v>4329.5</v>
      </c>
      <c r="F774" s="3"/>
      <c r="G774" s="2"/>
      <c r="H774" s="3">
        <v>43053</v>
      </c>
      <c r="I774" s="2" t="s">
        <v>19506</v>
      </c>
      <c r="J774" s="2" t="s">
        <v>15048</v>
      </c>
      <c r="K774" s="2"/>
      <c r="L774" s="82" t="s">
        <v>19512</v>
      </c>
    </row>
    <row r="775" spans="1:12" ht="120" customHeight="1" x14ac:dyDescent="0.3">
      <c r="A775" s="2">
        <v>771</v>
      </c>
      <c r="B775" s="66" t="s">
        <v>296</v>
      </c>
      <c r="C775" s="66" t="s">
        <v>709</v>
      </c>
      <c r="D775" s="11">
        <v>4329.5</v>
      </c>
      <c r="E775" s="11">
        <v>4329.5</v>
      </c>
      <c r="F775" s="3"/>
      <c r="G775" s="2"/>
      <c r="H775" s="3">
        <v>43053</v>
      </c>
      <c r="I775" s="2" t="s">
        <v>19506</v>
      </c>
      <c r="J775" s="2" t="s">
        <v>15048</v>
      </c>
      <c r="K775" s="2"/>
      <c r="L775" s="82" t="s">
        <v>19512</v>
      </c>
    </row>
    <row r="776" spans="1:12" ht="120" customHeight="1" x14ac:dyDescent="0.3">
      <c r="A776" s="2">
        <v>772</v>
      </c>
      <c r="B776" s="66" t="s">
        <v>296</v>
      </c>
      <c r="C776" s="66" t="s">
        <v>710</v>
      </c>
      <c r="D776" s="11">
        <v>4329.5</v>
      </c>
      <c r="E776" s="11">
        <v>4329.5</v>
      </c>
      <c r="F776" s="3"/>
      <c r="G776" s="2"/>
      <c r="H776" s="3">
        <v>43053</v>
      </c>
      <c r="I776" s="2" t="s">
        <v>19506</v>
      </c>
      <c r="J776" s="2" t="s">
        <v>15048</v>
      </c>
      <c r="K776" s="2"/>
      <c r="L776" s="82" t="s">
        <v>19512</v>
      </c>
    </row>
    <row r="777" spans="1:12" ht="120" customHeight="1" x14ac:dyDescent="0.3">
      <c r="A777" s="2">
        <v>773</v>
      </c>
      <c r="B777" s="66" t="s">
        <v>296</v>
      </c>
      <c r="C777" s="66" t="s">
        <v>711</v>
      </c>
      <c r="D777" s="11">
        <v>4329.5</v>
      </c>
      <c r="E777" s="11">
        <v>4329.5</v>
      </c>
      <c r="F777" s="3"/>
      <c r="G777" s="2"/>
      <c r="H777" s="3">
        <v>43053</v>
      </c>
      <c r="I777" s="2" t="s">
        <v>19506</v>
      </c>
      <c r="J777" s="2" t="s">
        <v>15048</v>
      </c>
      <c r="K777" s="2"/>
      <c r="L777" s="82" t="s">
        <v>19512</v>
      </c>
    </row>
    <row r="778" spans="1:12" ht="120" customHeight="1" x14ac:dyDescent="0.3">
      <c r="A778" s="2">
        <v>774</v>
      </c>
      <c r="B778" s="66" t="s">
        <v>296</v>
      </c>
      <c r="C778" s="66" t="s">
        <v>712</v>
      </c>
      <c r="D778" s="11">
        <v>4329.5</v>
      </c>
      <c r="E778" s="11">
        <v>4329.5</v>
      </c>
      <c r="F778" s="3"/>
      <c r="G778" s="2"/>
      <c r="H778" s="3">
        <v>43053</v>
      </c>
      <c r="I778" s="2" t="s">
        <v>19506</v>
      </c>
      <c r="J778" s="2" t="s">
        <v>15048</v>
      </c>
      <c r="K778" s="2"/>
      <c r="L778" s="82" t="s">
        <v>19512</v>
      </c>
    </row>
    <row r="779" spans="1:12" ht="120" customHeight="1" x14ac:dyDescent="0.3">
      <c r="A779" s="2">
        <v>775</v>
      </c>
      <c r="B779" s="66" t="s">
        <v>296</v>
      </c>
      <c r="C779" s="66" t="s">
        <v>713</v>
      </c>
      <c r="D779" s="11">
        <v>4329.5</v>
      </c>
      <c r="E779" s="11">
        <v>4329.5</v>
      </c>
      <c r="F779" s="3"/>
      <c r="G779" s="2"/>
      <c r="H779" s="3">
        <v>43053</v>
      </c>
      <c r="I779" s="2" t="s">
        <v>19506</v>
      </c>
      <c r="J779" s="2" t="s">
        <v>15048</v>
      </c>
      <c r="K779" s="2"/>
      <c r="L779" s="82" t="s">
        <v>19512</v>
      </c>
    </row>
    <row r="780" spans="1:12" ht="120" customHeight="1" x14ac:dyDescent="0.3">
      <c r="A780" s="2">
        <v>776</v>
      </c>
      <c r="B780" s="66" t="s">
        <v>296</v>
      </c>
      <c r="C780" s="66" t="s">
        <v>714</v>
      </c>
      <c r="D780" s="11">
        <v>4329.5</v>
      </c>
      <c r="E780" s="11">
        <v>4329.5</v>
      </c>
      <c r="F780" s="3"/>
      <c r="G780" s="2"/>
      <c r="H780" s="3">
        <v>43053</v>
      </c>
      <c r="I780" s="2" t="s">
        <v>19506</v>
      </c>
      <c r="J780" s="2" t="s">
        <v>15048</v>
      </c>
      <c r="K780" s="2"/>
      <c r="L780" s="82" t="s">
        <v>19512</v>
      </c>
    </row>
    <row r="781" spans="1:12" ht="120" customHeight="1" x14ac:dyDescent="0.3">
      <c r="A781" s="2">
        <v>777</v>
      </c>
      <c r="B781" s="66" t="s">
        <v>296</v>
      </c>
      <c r="C781" s="66" t="s">
        <v>715</v>
      </c>
      <c r="D781" s="11">
        <v>4329.5</v>
      </c>
      <c r="E781" s="11">
        <v>4329.5</v>
      </c>
      <c r="F781" s="3"/>
      <c r="G781" s="2"/>
      <c r="H781" s="3">
        <v>43053</v>
      </c>
      <c r="I781" s="2" t="s">
        <v>19506</v>
      </c>
      <c r="J781" s="2" t="s">
        <v>15048</v>
      </c>
      <c r="K781" s="2"/>
      <c r="L781" s="82" t="s">
        <v>19512</v>
      </c>
    </row>
    <row r="782" spans="1:12" ht="120" customHeight="1" x14ac:dyDescent="0.3">
      <c r="A782" s="2">
        <v>778</v>
      </c>
      <c r="B782" s="66" t="s">
        <v>296</v>
      </c>
      <c r="C782" s="66" t="s">
        <v>716</v>
      </c>
      <c r="D782" s="11">
        <v>4329.5</v>
      </c>
      <c r="E782" s="11">
        <v>4329.5</v>
      </c>
      <c r="F782" s="3"/>
      <c r="G782" s="2"/>
      <c r="H782" s="3">
        <v>43053</v>
      </c>
      <c r="I782" s="2" t="s">
        <v>19506</v>
      </c>
      <c r="J782" s="2" t="s">
        <v>15048</v>
      </c>
      <c r="K782" s="2"/>
      <c r="L782" s="82" t="s">
        <v>19512</v>
      </c>
    </row>
    <row r="783" spans="1:12" ht="120" customHeight="1" x14ac:dyDescent="0.3">
      <c r="A783" s="2">
        <v>779</v>
      </c>
      <c r="B783" s="66" t="s">
        <v>296</v>
      </c>
      <c r="C783" s="66" t="s">
        <v>717</v>
      </c>
      <c r="D783" s="11">
        <v>4329.5</v>
      </c>
      <c r="E783" s="11">
        <v>4329.5</v>
      </c>
      <c r="F783" s="3"/>
      <c r="G783" s="2"/>
      <c r="H783" s="3">
        <v>43053</v>
      </c>
      <c r="I783" s="2" t="s">
        <v>19506</v>
      </c>
      <c r="J783" s="2" t="s">
        <v>15048</v>
      </c>
      <c r="K783" s="2"/>
      <c r="L783" s="82" t="s">
        <v>19512</v>
      </c>
    </row>
    <row r="784" spans="1:12" ht="120" customHeight="1" x14ac:dyDescent="0.3">
      <c r="A784" s="2">
        <v>780</v>
      </c>
      <c r="B784" s="66" t="s">
        <v>296</v>
      </c>
      <c r="C784" s="66" t="s">
        <v>718</v>
      </c>
      <c r="D784" s="11">
        <v>4329.5</v>
      </c>
      <c r="E784" s="11">
        <v>4329.5</v>
      </c>
      <c r="F784" s="3"/>
      <c r="G784" s="2"/>
      <c r="H784" s="3">
        <v>43053</v>
      </c>
      <c r="I784" s="2" t="s">
        <v>19506</v>
      </c>
      <c r="J784" s="2" t="s">
        <v>15048</v>
      </c>
      <c r="K784" s="2"/>
      <c r="L784" s="82" t="s">
        <v>19512</v>
      </c>
    </row>
    <row r="785" spans="1:12" ht="120" customHeight="1" x14ac:dyDescent="0.3">
      <c r="A785" s="2">
        <v>781</v>
      </c>
      <c r="B785" s="66" t="s">
        <v>296</v>
      </c>
      <c r="C785" s="66" t="s">
        <v>719</v>
      </c>
      <c r="D785" s="11">
        <v>4329.5</v>
      </c>
      <c r="E785" s="11">
        <v>4329.5</v>
      </c>
      <c r="F785" s="3"/>
      <c r="G785" s="2"/>
      <c r="H785" s="3">
        <v>43053</v>
      </c>
      <c r="I785" s="2" t="s">
        <v>19506</v>
      </c>
      <c r="J785" s="2" t="s">
        <v>15048</v>
      </c>
      <c r="K785" s="2"/>
      <c r="L785" s="82" t="s">
        <v>19512</v>
      </c>
    </row>
    <row r="786" spans="1:12" ht="120" customHeight="1" x14ac:dyDescent="0.3">
      <c r="A786" s="2">
        <v>782</v>
      </c>
      <c r="B786" s="66" t="s">
        <v>296</v>
      </c>
      <c r="C786" s="66" t="s">
        <v>720</v>
      </c>
      <c r="D786" s="11">
        <v>4329.5</v>
      </c>
      <c r="E786" s="11">
        <v>4329.5</v>
      </c>
      <c r="F786" s="3"/>
      <c r="G786" s="2"/>
      <c r="H786" s="3">
        <v>43053</v>
      </c>
      <c r="I786" s="2" t="s">
        <v>19506</v>
      </c>
      <c r="J786" s="2" t="s">
        <v>15048</v>
      </c>
      <c r="K786" s="2"/>
      <c r="L786" s="82" t="s">
        <v>19512</v>
      </c>
    </row>
    <row r="787" spans="1:12" ht="120" customHeight="1" x14ac:dyDescent="0.3">
      <c r="A787" s="2">
        <v>783</v>
      </c>
      <c r="B787" s="66" t="s">
        <v>296</v>
      </c>
      <c r="C787" s="66" t="s">
        <v>721</v>
      </c>
      <c r="D787" s="11">
        <v>4329.5</v>
      </c>
      <c r="E787" s="11">
        <v>4329.5</v>
      </c>
      <c r="F787" s="3"/>
      <c r="G787" s="2"/>
      <c r="H787" s="3">
        <v>43053</v>
      </c>
      <c r="I787" s="2" t="s">
        <v>19506</v>
      </c>
      <c r="J787" s="2" t="s">
        <v>15048</v>
      </c>
      <c r="K787" s="2"/>
      <c r="L787" s="82" t="s">
        <v>19512</v>
      </c>
    </row>
    <row r="788" spans="1:12" ht="120" customHeight="1" x14ac:dyDescent="0.3">
      <c r="A788" s="2">
        <v>784</v>
      </c>
      <c r="B788" s="66" t="s">
        <v>296</v>
      </c>
      <c r="C788" s="66" t="s">
        <v>722</v>
      </c>
      <c r="D788" s="11">
        <v>4329.5</v>
      </c>
      <c r="E788" s="11">
        <v>4329.5</v>
      </c>
      <c r="F788" s="3"/>
      <c r="G788" s="2"/>
      <c r="H788" s="3">
        <v>43053</v>
      </c>
      <c r="I788" s="2" t="s">
        <v>19506</v>
      </c>
      <c r="J788" s="2" t="s">
        <v>15048</v>
      </c>
      <c r="K788" s="2"/>
      <c r="L788" s="82" t="s">
        <v>19512</v>
      </c>
    </row>
    <row r="789" spans="1:12" ht="120" customHeight="1" x14ac:dyDescent="0.3">
      <c r="A789" s="2">
        <v>785</v>
      </c>
      <c r="B789" s="66" t="s">
        <v>296</v>
      </c>
      <c r="C789" s="66" t="s">
        <v>723</v>
      </c>
      <c r="D789" s="11">
        <v>4329.5</v>
      </c>
      <c r="E789" s="11">
        <v>4329.5</v>
      </c>
      <c r="F789" s="3"/>
      <c r="G789" s="2"/>
      <c r="H789" s="3">
        <v>43053</v>
      </c>
      <c r="I789" s="2" t="s">
        <v>19506</v>
      </c>
      <c r="J789" s="2" t="s">
        <v>15048</v>
      </c>
      <c r="K789" s="2"/>
      <c r="L789" s="82" t="s">
        <v>19512</v>
      </c>
    </row>
    <row r="790" spans="1:12" ht="120" customHeight="1" x14ac:dyDescent="0.3">
      <c r="A790" s="2">
        <v>786</v>
      </c>
      <c r="B790" s="66" t="s">
        <v>296</v>
      </c>
      <c r="C790" s="66" t="s">
        <v>724</v>
      </c>
      <c r="D790" s="11">
        <v>4329.5</v>
      </c>
      <c r="E790" s="11">
        <v>4329.5</v>
      </c>
      <c r="F790" s="3"/>
      <c r="G790" s="2"/>
      <c r="H790" s="3">
        <v>43053</v>
      </c>
      <c r="I790" s="2" t="s">
        <v>19506</v>
      </c>
      <c r="J790" s="2" t="s">
        <v>15048</v>
      </c>
      <c r="K790" s="2"/>
      <c r="L790" s="82" t="s">
        <v>19512</v>
      </c>
    </row>
    <row r="791" spans="1:12" ht="120" customHeight="1" x14ac:dyDescent="0.3">
      <c r="A791" s="2">
        <v>787</v>
      </c>
      <c r="B791" s="66" t="s">
        <v>296</v>
      </c>
      <c r="C791" s="66" t="s">
        <v>725</v>
      </c>
      <c r="D791" s="11">
        <v>4329.5</v>
      </c>
      <c r="E791" s="11">
        <v>4329.5</v>
      </c>
      <c r="F791" s="3"/>
      <c r="G791" s="2"/>
      <c r="H791" s="3">
        <v>43053</v>
      </c>
      <c r="I791" s="2" t="s">
        <v>19506</v>
      </c>
      <c r="J791" s="2" t="s">
        <v>15048</v>
      </c>
      <c r="K791" s="2"/>
      <c r="L791" s="82" t="s">
        <v>19512</v>
      </c>
    </row>
    <row r="792" spans="1:12" ht="120" customHeight="1" x14ac:dyDescent="0.3">
      <c r="A792" s="2">
        <v>788</v>
      </c>
      <c r="B792" s="66" t="s">
        <v>296</v>
      </c>
      <c r="C792" s="66" t="s">
        <v>726</v>
      </c>
      <c r="D792" s="11">
        <v>4329.5</v>
      </c>
      <c r="E792" s="11">
        <v>4329.5</v>
      </c>
      <c r="F792" s="3"/>
      <c r="G792" s="2"/>
      <c r="H792" s="3">
        <v>43053</v>
      </c>
      <c r="I792" s="2" t="s">
        <v>19506</v>
      </c>
      <c r="J792" s="2" t="s">
        <v>15048</v>
      </c>
      <c r="K792" s="2"/>
      <c r="L792" s="82" t="s">
        <v>19512</v>
      </c>
    </row>
    <row r="793" spans="1:12" ht="120" customHeight="1" x14ac:dyDescent="0.3">
      <c r="A793" s="2">
        <v>789</v>
      </c>
      <c r="B793" s="66" t="s">
        <v>296</v>
      </c>
      <c r="C793" s="66" t="s">
        <v>727</v>
      </c>
      <c r="D793" s="11">
        <v>4329.5</v>
      </c>
      <c r="E793" s="11">
        <v>4329.5</v>
      </c>
      <c r="F793" s="3"/>
      <c r="G793" s="2"/>
      <c r="H793" s="3">
        <v>43053</v>
      </c>
      <c r="I793" s="2" t="s">
        <v>19506</v>
      </c>
      <c r="J793" s="2" t="s">
        <v>15048</v>
      </c>
      <c r="K793" s="2"/>
      <c r="L793" s="82" t="s">
        <v>19512</v>
      </c>
    </row>
    <row r="794" spans="1:12" ht="120" customHeight="1" x14ac:dyDescent="0.3">
      <c r="A794" s="2">
        <v>790</v>
      </c>
      <c r="B794" s="66" t="s">
        <v>296</v>
      </c>
      <c r="C794" s="66" t="s">
        <v>728</v>
      </c>
      <c r="D794" s="11">
        <v>4329.5</v>
      </c>
      <c r="E794" s="11">
        <v>4329.5</v>
      </c>
      <c r="F794" s="3"/>
      <c r="G794" s="2"/>
      <c r="H794" s="3">
        <v>43053</v>
      </c>
      <c r="I794" s="2" t="s">
        <v>19506</v>
      </c>
      <c r="J794" s="2" t="s">
        <v>15048</v>
      </c>
      <c r="K794" s="2"/>
      <c r="L794" s="82" t="s">
        <v>19512</v>
      </c>
    </row>
    <row r="795" spans="1:12" ht="120" customHeight="1" x14ac:dyDescent="0.3">
      <c r="A795" s="2">
        <v>791</v>
      </c>
      <c r="B795" s="66" t="s">
        <v>296</v>
      </c>
      <c r="C795" s="66" t="s">
        <v>729</v>
      </c>
      <c r="D795" s="11">
        <v>4329.5</v>
      </c>
      <c r="E795" s="11">
        <v>4329.5</v>
      </c>
      <c r="F795" s="3"/>
      <c r="G795" s="2"/>
      <c r="H795" s="3">
        <v>43053</v>
      </c>
      <c r="I795" s="2" t="s">
        <v>19506</v>
      </c>
      <c r="J795" s="2" t="s">
        <v>15048</v>
      </c>
      <c r="K795" s="2"/>
      <c r="L795" s="82" t="s">
        <v>19512</v>
      </c>
    </row>
    <row r="796" spans="1:12" ht="120" customHeight="1" x14ac:dyDescent="0.3">
      <c r="A796" s="2">
        <v>792</v>
      </c>
      <c r="B796" s="66" t="s">
        <v>296</v>
      </c>
      <c r="C796" s="66" t="s">
        <v>730</v>
      </c>
      <c r="D796" s="11">
        <v>4329.5</v>
      </c>
      <c r="E796" s="11">
        <v>4329.5</v>
      </c>
      <c r="F796" s="3"/>
      <c r="G796" s="2"/>
      <c r="H796" s="3">
        <v>43053</v>
      </c>
      <c r="I796" s="2" t="s">
        <v>19506</v>
      </c>
      <c r="J796" s="2" t="s">
        <v>15048</v>
      </c>
      <c r="K796" s="2"/>
      <c r="L796" s="82" t="s">
        <v>19512</v>
      </c>
    </row>
    <row r="797" spans="1:12" ht="120" customHeight="1" x14ac:dyDescent="0.3">
      <c r="A797" s="2">
        <v>793</v>
      </c>
      <c r="B797" s="66" t="s">
        <v>296</v>
      </c>
      <c r="C797" s="66" t="s">
        <v>731</v>
      </c>
      <c r="D797" s="11">
        <v>4329.5</v>
      </c>
      <c r="E797" s="11">
        <v>4329.5</v>
      </c>
      <c r="F797" s="3"/>
      <c r="G797" s="2"/>
      <c r="H797" s="3">
        <v>43053</v>
      </c>
      <c r="I797" s="2" t="s">
        <v>19506</v>
      </c>
      <c r="J797" s="2" t="s">
        <v>15048</v>
      </c>
      <c r="K797" s="2"/>
      <c r="L797" s="82" t="s">
        <v>19512</v>
      </c>
    </row>
    <row r="798" spans="1:12" ht="96" customHeight="1" x14ac:dyDescent="0.3">
      <c r="A798" s="2">
        <v>794</v>
      </c>
      <c r="B798" s="66" t="s">
        <v>18771</v>
      </c>
      <c r="C798" s="66">
        <v>410124411</v>
      </c>
      <c r="D798" s="11">
        <v>250000</v>
      </c>
      <c r="E798" s="11">
        <v>0</v>
      </c>
      <c r="F798" s="3">
        <v>42955</v>
      </c>
      <c r="G798" s="2" t="s">
        <v>14104</v>
      </c>
      <c r="H798" s="3"/>
      <c r="I798" s="2"/>
      <c r="J798" s="2" t="s">
        <v>13904</v>
      </c>
      <c r="K798" s="2" t="s">
        <v>19217</v>
      </c>
      <c r="L798" s="82" t="s">
        <v>20492</v>
      </c>
    </row>
    <row r="799" spans="1:12" ht="120" customHeight="1" x14ac:dyDescent="0.3">
      <c r="A799" s="2">
        <v>795</v>
      </c>
      <c r="B799" s="66" t="s">
        <v>296</v>
      </c>
      <c r="C799" s="66" t="s">
        <v>732</v>
      </c>
      <c r="D799" s="11">
        <v>4329.5</v>
      </c>
      <c r="E799" s="11">
        <v>4329.5</v>
      </c>
      <c r="F799" s="3"/>
      <c r="G799" s="2"/>
      <c r="H799" s="3">
        <v>43053</v>
      </c>
      <c r="I799" s="2" t="s">
        <v>19506</v>
      </c>
      <c r="J799" s="2" t="s">
        <v>15048</v>
      </c>
      <c r="K799" s="2"/>
      <c r="L799" s="82" t="s">
        <v>19512</v>
      </c>
    </row>
    <row r="800" spans="1:12" ht="120" customHeight="1" x14ac:dyDescent="0.3">
      <c r="A800" s="2">
        <v>796</v>
      </c>
      <c r="B800" s="66" t="s">
        <v>296</v>
      </c>
      <c r="C800" s="66" t="s">
        <v>733</v>
      </c>
      <c r="D800" s="11">
        <v>4329.5</v>
      </c>
      <c r="E800" s="11">
        <v>4329.5</v>
      </c>
      <c r="F800" s="3"/>
      <c r="G800" s="2"/>
      <c r="H800" s="3">
        <v>43053</v>
      </c>
      <c r="I800" s="2" t="s">
        <v>19506</v>
      </c>
      <c r="J800" s="2" t="s">
        <v>15048</v>
      </c>
      <c r="K800" s="2"/>
      <c r="L800" s="82" t="s">
        <v>19512</v>
      </c>
    </row>
    <row r="801" spans="1:12" ht="120" customHeight="1" x14ac:dyDescent="0.3">
      <c r="A801" s="2">
        <v>797</v>
      </c>
      <c r="B801" s="66" t="s">
        <v>296</v>
      </c>
      <c r="C801" s="66" t="s">
        <v>734</v>
      </c>
      <c r="D801" s="11">
        <v>4329.5</v>
      </c>
      <c r="E801" s="11">
        <v>4329.5</v>
      </c>
      <c r="F801" s="3"/>
      <c r="G801" s="2"/>
      <c r="H801" s="3">
        <v>43053</v>
      </c>
      <c r="I801" s="2" t="s">
        <v>19506</v>
      </c>
      <c r="J801" s="2" t="s">
        <v>15048</v>
      </c>
      <c r="K801" s="2"/>
      <c r="L801" s="82" t="s">
        <v>19512</v>
      </c>
    </row>
    <row r="802" spans="1:12" ht="120" customHeight="1" x14ac:dyDescent="0.3">
      <c r="A802" s="2">
        <v>798</v>
      </c>
      <c r="B802" s="66" t="s">
        <v>296</v>
      </c>
      <c r="C802" s="66" t="s">
        <v>735</v>
      </c>
      <c r="D802" s="11">
        <v>4329.5</v>
      </c>
      <c r="E802" s="11">
        <v>4329.5</v>
      </c>
      <c r="F802" s="3"/>
      <c r="G802" s="2"/>
      <c r="H802" s="3">
        <v>43053</v>
      </c>
      <c r="I802" s="2" t="s">
        <v>19506</v>
      </c>
      <c r="J802" s="2" t="s">
        <v>15048</v>
      </c>
      <c r="K802" s="2"/>
      <c r="L802" s="82" t="s">
        <v>19512</v>
      </c>
    </row>
    <row r="803" spans="1:12" ht="120" customHeight="1" x14ac:dyDescent="0.3">
      <c r="A803" s="2">
        <v>799</v>
      </c>
      <c r="B803" s="66" t="s">
        <v>296</v>
      </c>
      <c r="C803" s="66" t="s">
        <v>736</v>
      </c>
      <c r="D803" s="11">
        <v>4329.5</v>
      </c>
      <c r="E803" s="11">
        <v>4329.5</v>
      </c>
      <c r="F803" s="3"/>
      <c r="G803" s="2"/>
      <c r="H803" s="3">
        <v>43053</v>
      </c>
      <c r="I803" s="2" t="s">
        <v>19506</v>
      </c>
      <c r="J803" s="2" t="s">
        <v>15048</v>
      </c>
      <c r="K803" s="2"/>
      <c r="L803" s="82" t="s">
        <v>19512</v>
      </c>
    </row>
    <row r="804" spans="1:12" ht="120" customHeight="1" x14ac:dyDescent="0.3">
      <c r="A804" s="2">
        <v>800</v>
      </c>
      <c r="B804" s="66" t="s">
        <v>296</v>
      </c>
      <c r="C804" s="66" t="s">
        <v>737</v>
      </c>
      <c r="D804" s="11">
        <v>4329.5</v>
      </c>
      <c r="E804" s="11">
        <v>4329.5</v>
      </c>
      <c r="F804" s="3"/>
      <c r="G804" s="2"/>
      <c r="H804" s="3">
        <v>43053</v>
      </c>
      <c r="I804" s="2" t="s">
        <v>19506</v>
      </c>
      <c r="J804" s="2" t="s">
        <v>15048</v>
      </c>
      <c r="K804" s="2"/>
      <c r="L804" s="82" t="s">
        <v>19512</v>
      </c>
    </row>
    <row r="805" spans="1:12" ht="120" customHeight="1" x14ac:dyDescent="0.3">
      <c r="A805" s="2">
        <v>801</v>
      </c>
      <c r="B805" s="66" t="s">
        <v>296</v>
      </c>
      <c r="C805" s="66" t="s">
        <v>738</v>
      </c>
      <c r="D805" s="11">
        <v>4329.5</v>
      </c>
      <c r="E805" s="11">
        <v>4329.5</v>
      </c>
      <c r="F805" s="3"/>
      <c r="G805" s="2"/>
      <c r="H805" s="3">
        <v>43053</v>
      </c>
      <c r="I805" s="2" t="s">
        <v>19506</v>
      </c>
      <c r="J805" s="2" t="s">
        <v>15048</v>
      </c>
      <c r="K805" s="2"/>
      <c r="L805" s="82" t="s">
        <v>19512</v>
      </c>
    </row>
    <row r="806" spans="1:12" ht="120" customHeight="1" x14ac:dyDescent="0.3">
      <c r="A806" s="2">
        <v>802</v>
      </c>
      <c r="B806" s="66" t="s">
        <v>296</v>
      </c>
      <c r="C806" s="66" t="s">
        <v>739</v>
      </c>
      <c r="D806" s="11">
        <v>4329.5</v>
      </c>
      <c r="E806" s="11">
        <v>4329.5</v>
      </c>
      <c r="F806" s="3"/>
      <c r="G806" s="2"/>
      <c r="H806" s="3">
        <v>43053</v>
      </c>
      <c r="I806" s="2" t="s">
        <v>19506</v>
      </c>
      <c r="J806" s="2" t="s">
        <v>15048</v>
      </c>
      <c r="K806" s="2"/>
      <c r="L806" s="82" t="s">
        <v>19512</v>
      </c>
    </row>
    <row r="807" spans="1:12" ht="120" customHeight="1" x14ac:dyDescent="0.3">
      <c r="A807" s="2">
        <v>803</v>
      </c>
      <c r="B807" s="66" t="s">
        <v>296</v>
      </c>
      <c r="C807" s="66" t="s">
        <v>740</v>
      </c>
      <c r="D807" s="11">
        <v>4329.5</v>
      </c>
      <c r="E807" s="11">
        <v>4329.5</v>
      </c>
      <c r="F807" s="3"/>
      <c r="G807" s="2"/>
      <c r="H807" s="3">
        <v>43053</v>
      </c>
      <c r="I807" s="2" t="s">
        <v>19506</v>
      </c>
      <c r="J807" s="2" t="s">
        <v>15048</v>
      </c>
      <c r="K807" s="2"/>
      <c r="L807" s="82" t="s">
        <v>19512</v>
      </c>
    </row>
    <row r="808" spans="1:12" ht="120" customHeight="1" x14ac:dyDescent="0.3">
      <c r="A808" s="2">
        <v>804</v>
      </c>
      <c r="B808" s="66" t="s">
        <v>296</v>
      </c>
      <c r="C808" s="66" t="s">
        <v>741</v>
      </c>
      <c r="D808" s="11">
        <v>4329.5</v>
      </c>
      <c r="E808" s="11">
        <v>4329.5</v>
      </c>
      <c r="F808" s="3"/>
      <c r="G808" s="2"/>
      <c r="H808" s="3">
        <v>43053</v>
      </c>
      <c r="I808" s="2" t="s">
        <v>19506</v>
      </c>
      <c r="J808" s="2" t="s">
        <v>15048</v>
      </c>
      <c r="K808" s="2"/>
      <c r="L808" s="82" t="s">
        <v>19512</v>
      </c>
    </row>
    <row r="809" spans="1:12" ht="120" customHeight="1" x14ac:dyDescent="0.3">
      <c r="A809" s="2">
        <v>805</v>
      </c>
      <c r="B809" s="66" t="s">
        <v>296</v>
      </c>
      <c r="C809" s="66" t="s">
        <v>742</v>
      </c>
      <c r="D809" s="11">
        <v>4329.5</v>
      </c>
      <c r="E809" s="11">
        <v>4329.5</v>
      </c>
      <c r="F809" s="3"/>
      <c r="G809" s="2"/>
      <c r="H809" s="3">
        <v>43053</v>
      </c>
      <c r="I809" s="2" t="s">
        <v>19506</v>
      </c>
      <c r="J809" s="2" t="s">
        <v>15048</v>
      </c>
      <c r="K809" s="2"/>
      <c r="L809" s="82" t="s">
        <v>19512</v>
      </c>
    </row>
    <row r="810" spans="1:12" ht="120" customHeight="1" x14ac:dyDescent="0.3">
      <c r="A810" s="2">
        <v>806</v>
      </c>
      <c r="B810" s="66" t="s">
        <v>296</v>
      </c>
      <c r="C810" s="66" t="s">
        <v>743</v>
      </c>
      <c r="D810" s="11">
        <v>4329.5</v>
      </c>
      <c r="E810" s="11">
        <v>4329.5</v>
      </c>
      <c r="F810" s="3"/>
      <c r="G810" s="2"/>
      <c r="H810" s="3">
        <v>43053</v>
      </c>
      <c r="I810" s="2" t="s">
        <v>19506</v>
      </c>
      <c r="J810" s="2" t="s">
        <v>15048</v>
      </c>
      <c r="K810" s="2"/>
      <c r="L810" s="82" t="s">
        <v>19512</v>
      </c>
    </row>
    <row r="811" spans="1:12" ht="120" customHeight="1" x14ac:dyDescent="0.3">
      <c r="A811" s="2">
        <v>807</v>
      </c>
      <c r="B811" s="66" t="s">
        <v>296</v>
      </c>
      <c r="C811" s="66" t="s">
        <v>744</v>
      </c>
      <c r="D811" s="11">
        <v>4329.5</v>
      </c>
      <c r="E811" s="11">
        <v>4329.5</v>
      </c>
      <c r="F811" s="3"/>
      <c r="G811" s="2"/>
      <c r="H811" s="3">
        <v>43053</v>
      </c>
      <c r="I811" s="2" t="s">
        <v>19506</v>
      </c>
      <c r="J811" s="2" t="s">
        <v>15048</v>
      </c>
      <c r="K811" s="2"/>
      <c r="L811" s="82" t="s">
        <v>19512</v>
      </c>
    </row>
    <row r="812" spans="1:12" ht="120" customHeight="1" x14ac:dyDescent="0.3">
      <c r="A812" s="2">
        <v>808</v>
      </c>
      <c r="B812" s="66" t="s">
        <v>296</v>
      </c>
      <c r="C812" s="66" t="s">
        <v>745</v>
      </c>
      <c r="D812" s="11">
        <v>4329.5</v>
      </c>
      <c r="E812" s="11">
        <v>4329.5</v>
      </c>
      <c r="F812" s="3"/>
      <c r="G812" s="2"/>
      <c r="H812" s="3">
        <v>43053</v>
      </c>
      <c r="I812" s="2" t="s">
        <v>19506</v>
      </c>
      <c r="J812" s="2" t="s">
        <v>15048</v>
      </c>
      <c r="K812" s="2"/>
      <c r="L812" s="82" t="s">
        <v>19512</v>
      </c>
    </row>
    <row r="813" spans="1:12" ht="120" customHeight="1" x14ac:dyDescent="0.3">
      <c r="A813" s="2">
        <v>809</v>
      </c>
      <c r="B813" s="66" t="s">
        <v>296</v>
      </c>
      <c r="C813" s="66" t="s">
        <v>746</v>
      </c>
      <c r="D813" s="11">
        <v>4329.5</v>
      </c>
      <c r="E813" s="11">
        <v>4329.5</v>
      </c>
      <c r="F813" s="3"/>
      <c r="G813" s="2"/>
      <c r="H813" s="3">
        <v>43053</v>
      </c>
      <c r="I813" s="2" t="s">
        <v>19506</v>
      </c>
      <c r="J813" s="2" t="s">
        <v>15048</v>
      </c>
      <c r="K813" s="2"/>
      <c r="L813" s="82" t="s">
        <v>19512</v>
      </c>
    </row>
    <row r="814" spans="1:12" ht="120" customHeight="1" x14ac:dyDescent="0.3">
      <c r="A814" s="2">
        <v>810</v>
      </c>
      <c r="B814" s="66" t="s">
        <v>296</v>
      </c>
      <c r="C814" s="66" t="s">
        <v>747</v>
      </c>
      <c r="D814" s="11">
        <v>4329.5</v>
      </c>
      <c r="E814" s="11">
        <v>4329.5</v>
      </c>
      <c r="F814" s="3"/>
      <c r="G814" s="2"/>
      <c r="H814" s="3">
        <v>43053</v>
      </c>
      <c r="I814" s="2" t="s">
        <v>19506</v>
      </c>
      <c r="J814" s="2" t="s">
        <v>15048</v>
      </c>
      <c r="K814" s="2"/>
      <c r="L814" s="82" t="s">
        <v>19512</v>
      </c>
    </row>
    <row r="815" spans="1:12" ht="120" customHeight="1" x14ac:dyDescent="0.3">
      <c r="A815" s="2">
        <v>811</v>
      </c>
      <c r="B815" s="66" t="s">
        <v>296</v>
      </c>
      <c r="C815" s="66" t="s">
        <v>748</v>
      </c>
      <c r="D815" s="11">
        <v>4329.5</v>
      </c>
      <c r="E815" s="11">
        <v>4329.5</v>
      </c>
      <c r="F815" s="3"/>
      <c r="G815" s="2"/>
      <c r="H815" s="3">
        <v>43053</v>
      </c>
      <c r="I815" s="2" t="s">
        <v>19506</v>
      </c>
      <c r="J815" s="2" t="s">
        <v>15048</v>
      </c>
      <c r="K815" s="2"/>
      <c r="L815" s="82" t="s">
        <v>19512</v>
      </c>
    </row>
    <row r="816" spans="1:12" ht="120" customHeight="1" x14ac:dyDescent="0.3">
      <c r="A816" s="2">
        <v>812</v>
      </c>
      <c r="B816" s="66" t="s">
        <v>296</v>
      </c>
      <c r="C816" s="66" t="s">
        <v>749</v>
      </c>
      <c r="D816" s="11">
        <v>4329.5</v>
      </c>
      <c r="E816" s="11">
        <v>4329.5</v>
      </c>
      <c r="F816" s="3"/>
      <c r="G816" s="2"/>
      <c r="H816" s="3">
        <v>43053</v>
      </c>
      <c r="I816" s="2" t="s">
        <v>19506</v>
      </c>
      <c r="J816" s="2" t="s">
        <v>15048</v>
      </c>
      <c r="K816" s="2"/>
      <c r="L816" s="82" t="s">
        <v>19512</v>
      </c>
    </row>
    <row r="817" spans="1:12" ht="120" customHeight="1" x14ac:dyDescent="0.3">
      <c r="A817" s="2">
        <v>813</v>
      </c>
      <c r="B817" s="66" t="s">
        <v>296</v>
      </c>
      <c r="C817" s="66" t="s">
        <v>750</v>
      </c>
      <c r="D817" s="11">
        <v>4329.5</v>
      </c>
      <c r="E817" s="11">
        <v>4329.5</v>
      </c>
      <c r="F817" s="3"/>
      <c r="G817" s="2"/>
      <c r="H817" s="3">
        <v>43053</v>
      </c>
      <c r="I817" s="2" t="s">
        <v>19506</v>
      </c>
      <c r="J817" s="2" t="s">
        <v>15048</v>
      </c>
      <c r="K817" s="2"/>
      <c r="L817" s="82" t="s">
        <v>19512</v>
      </c>
    </row>
    <row r="818" spans="1:12" ht="120" customHeight="1" x14ac:dyDescent="0.3">
      <c r="A818" s="2">
        <v>814</v>
      </c>
      <c r="B818" s="66" t="s">
        <v>296</v>
      </c>
      <c r="C818" s="66" t="s">
        <v>751</v>
      </c>
      <c r="D818" s="11">
        <v>4329.5</v>
      </c>
      <c r="E818" s="11">
        <v>4329.5</v>
      </c>
      <c r="F818" s="3"/>
      <c r="G818" s="2"/>
      <c r="H818" s="3">
        <v>43053</v>
      </c>
      <c r="I818" s="2" t="s">
        <v>19506</v>
      </c>
      <c r="J818" s="2" t="s">
        <v>15048</v>
      </c>
      <c r="K818" s="2"/>
      <c r="L818" s="82" t="s">
        <v>19512</v>
      </c>
    </row>
    <row r="819" spans="1:12" ht="120" customHeight="1" x14ac:dyDescent="0.3">
      <c r="A819" s="2">
        <v>815</v>
      </c>
      <c r="B819" s="66" t="s">
        <v>296</v>
      </c>
      <c r="C819" s="66" t="s">
        <v>752</v>
      </c>
      <c r="D819" s="11">
        <v>4329.45</v>
      </c>
      <c r="E819" s="11">
        <v>4329.45</v>
      </c>
      <c r="F819" s="3"/>
      <c r="G819" s="2"/>
      <c r="H819" s="3">
        <v>43053</v>
      </c>
      <c r="I819" s="2" t="s">
        <v>19506</v>
      </c>
      <c r="J819" s="2" t="s">
        <v>15048</v>
      </c>
      <c r="K819" s="2"/>
      <c r="L819" s="82" t="s">
        <v>19512</v>
      </c>
    </row>
    <row r="820" spans="1:12" ht="120" customHeight="1" x14ac:dyDescent="0.3">
      <c r="A820" s="2">
        <v>816</v>
      </c>
      <c r="B820" s="66" t="s">
        <v>267</v>
      </c>
      <c r="C820" s="66" t="s">
        <v>753</v>
      </c>
      <c r="D820" s="11">
        <v>15435.58</v>
      </c>
      <c r="E820" s="11">
        <v>15435.58</v>
      </c>
      <c r="F820" s="3"/>
      <c r="G820" s="2"/>
      <c r="H820" s="3">
        <v>43053</v>
      </c>
      <c r="I820" s="2" t="s">
        <v>19506</v>
      </c>
      <c r="J820" s="2" t="s">
        <v>15048</v>
      </c>
      <c r="K820" s="2"/>
      <c r="L820" s="82" t="s">
        <v>19512</v>
      </c>
    </row>
    <row r="821" spans="1:12" ht="120" customHeight="1" x14ac:dyDescent="0.3">
      <c r="A821" s="2">
        <v>817</v>
      </c>
      <c r="B821" s="66" t="s">
        <v>273</v>
      </c>
      <c r="C821" s="66" t="s">
        <v>754</v>
      </c>
      <c r="D821" s="11">
        <v>30346.06</v>
      </c>
      <c r="E821" s="11">
        <v>30346.06</v>
      </c>
      <c r="F821" s="3"/>
      <c r="G821" s="2"/>
      <c r="H821" s="3">
        <v>43053</v>
      </c>
      <c r="I821" s="2" t="s">
        <v>19506</v>
      </c>
      <c r="J821" s="2" t="s">
        <v>15048</v>
      </c>
      <c r="K821" s="2"/>
      <c r="L821" s="82" t="s">
        <v>19512</v>
      </c>
    </row>
    <row r="822" spans="1:12" ht="120" customHeight="1" x14ac:dyDescent="0.3">
      <c r="A822" s="2">
        <v>818</v>
      </c>
      <c r="B822" s="66" t="s">
        <v>273</v>
      </c>
      <c r="C822" s="66" t="s">
        <v>755</v>
      </c>
      <c r="D822" s="11">
        <v>30346.06</v>
      </c>
      <c r="E822" s="11">
        <v>30346.06</v>
      </c>
      <c r="F822" s="3"/>
      <c r="G822" s="2"/>
      <c r="H822" s="3">
        <v>43053</v>
      </c>
      <c r="I822" s="2" t="s">
        <v>19506</v>
      </c>
      <c r="J822" s="2" t="s">
        <v>15048</v>
      </c>
      <c r="K822" s="2"/>
      <c r="L822" s="82" t="s">
        <v>19512</v>
      </c>
    </row>
    <row r="823" spans="1:12" ht="120" customHeight="1" x14ac:dyDescent="0.3">
      <c r="A823" s="2">
        <v>819</v>
      </c>
      <c r="B823" s="66" t="s">
        <v>297</v>
      </c>
      <c r="C823" s="66" t="s">
        <v>756</v>
      </c>
      <c r="D823" s="11">
        <v>4250</v>
      </c>
      <c r="E823" s="11">
        <v>4250</v>
      </c>
      <c r="F823" s="3"/>
      <c r="G823" s="2"/>
      <c r="H823" s="3">
        <v>43053</v>
      </c>
      <c r="I823" s="2" t="s">
        <v>19506</v>
      </c>
      <c r="J823" s="2" t="s">
        <v>15048</v>
      </c>
      <c r="K823" s="2"/>
      <c r="L823" s="82" t="s">
        <v>19512</v>
      </c>
    </row>
    <row r="824" spans="1:12" ht="120" customHeight="1" x14ac:dyDescent="0.3">
      <c r="A824" s="2">
        <v>820</v>
      </c>
      <c r="B824" s="66" t="s">
        <v>298</v>
      </c>
      <c r="C824" s="66" t="s">
        <v>757</v>
      </c>
      <c r="D824" s="11">
        <v>3800</v>
      </c>
      <c r="E824" s="11">
        <v>3800</v>
      </c>
      <c r="F824" s="3"/>
      <c r="G824" s="2"/>
      <c r="H824" s="3">
        <v>43053</v>
      </c>
      <c r="I824" s="2" t="s">
        <v>19506</v>
      </c>
      <c r="J824" s="2" t="s">
        <v>15048</v>
      </c>
      <c r="K824" s="2"/>
      <c r="L824" s="82" t="s">
        <v>19512</v>
      </c>
    </row>
    <row r="825" spans="1:12" ht="120" customHeight="1" x14ac:dyDescent="0.3">
      <c r="A825" s="2">
        <v>821</v>
      </c>
      <c r="B825" s="66" t="s">
        <v>299</v>
      </c>
      <c r="C825" s="66" t="s">
        <v>758</v>
      </c>
      <c r="D825" s="11">
        <v>11760</v>
      </c>
      <c r="E825" s="11">
        <v>8674.56</v>
      </c>
      <c r="F825" s="3"/>
      <c r="G825" s="2"/>
      <c r="H825" s="3">
        <v>43053</v>
      </c>
      <c r="I825" s="2" t="s">
        <v>19506</v>
      </c>
      <c r="J825" s="2" t="s">
        <v>15048</v>
      </c>
      <c r="K825" s="2"/>
      <c r="L825" s="82" t="s">
        <v>19512</v>
      </c>
    </row>
    <row r="826" spans="1:12" ht="120" customHeight="1" x14ac:dyDescent="0.3">
      <c r="A826" s="2">
        <v>822</v>
      </c>
      <c r="B826" s="66" t="s">
        <v>300</v>
      </c>
      <c r="C826" s="66" t="s">
        <v>759</v>
      </c>
      <c r="D826" s="11">
        <v>7395</v>
      </c>
      <c r="E826" s="11">
        <v>7395</v>
      </c>
      <c r="F826" s="3"/>
      <c r="G826" s="2"/>
      <c r="H826" s="3">
        <v>43053</v>
      </c>
      <c r="I826" s="2" t="s">
        <v>19506</v>
      </c>
      <c r="J826" s="2" t="s">
        <v>15048</v>
      </c>
      <c r="K826" s="2"/>
      <c r="L826" s="82" t="s">
        <v>19512</v>
      </c>
    </row>
    <row r="827" spans="1:12" ht="120" customHeight="1" x14ac:dyDescent="0.3">
      <c r="A827" s="2">
        <v>823</v>
      </c>
      <c r="B827" s="66" t="s">
        <v>263</v>
      </c>
      <c r="C827" s="66" t="s">
        <v>760</v>
      </c>
      <c r="D827" s="11">
        <v>4565.22</v>
      </c>
      <c r="E827" s="11">
        <v>4565.22</v>
      </c>
      <c r="F827" s="3"/>
      <c r="G827" s="2"/>
      <c r="H827" s="3">
        <v>43053</v>
      </c>
      <c r="I827" s="2" t="s">
        <v>19506</v>
      </c>
      <c r="J827" s="2" t="s">
        <v>15048</v>
      </c>
      <c r="K827" s="2"/>
      <c r="L827" s="82" t="s">
        <v>19512</v>
      </c>
    </row>
    <row r="828" spans="1:12" ht="96" customHeight="1" x14ac:dyDescent="0.3">
      <c r="A828" s="2">
        <v>824</v>
      </c>
      <c r="B828" s="66" t="s">
        <v>20102</v>
      </c>
      <c r="C828" s="66">
        <v>4101240010</v>
      </c>
      <c r="D828" s="11">
        <v>50210</v>
      </c>
      <c r="E828" s="11">
        <v>8368.2999999999993</v>
      </c>
      <c r="F828" s="3" t="s">
        <v>20110</v>
      </c>
      <c r="G828" s="2" t="s">
        <v>22243</v>
      </c>
      <c r="H828" s="3"/>
      <c r="I828" s="2"/>
      <c r="J828" s="2" t="s">
        <v>13904</v>
      </c>
      <c r="K828" s="2" t="s">
        <v>22242</v>
      </c>
      <c r="L828" s="82" t="s">
        <v>22985</v>
      </c>
    </row>
    <row r="829" spans="1:12" ht="120" customHeight="1" x14ac:dyDescent="0.3">
      <c r="A829" s="2">
        <v>825</v>
      </c>
      <c r="B829" s="66" t="s">
        <v>301</v>
      </c>
      <c r="C829" s="66" t="s">
        <v>761</v>
      </c>
      <c r="D829" s="11">
        <v>4819.8</v>
      </c>
      <c r="E829" s="11">
        <v>4819.8</v>
      </c>
      <c r="F829" s="3"/>
      <c r="G829" s="2"/>
      <c r="H829" s="3">
        <v>43053</v>
      </c>
      <c r="I829" s="2" t="s">
        <v>19506</v>
      </c>
      <c r="J829" s="2" t="s">
        <v>15048</v>
      </c>
      <c r="K829" s="2"/>
      <c r="L829" s="82" t="s">
        <v>19512</v>
      </c>
    </row>
    <row r="830" spans="1:12" ht="120" customHeight="1" x14ac:dyDescent="0.3">
      <c r="A830" s="2">
        <v>826</v>
      </c>
      <c r="B830" s="66" t="s">
        <v>302</v>
      </c>
      <c r="C830" s="66" t="s">
        <v>762</v>
      </c>
      <c r="D830" s="11">
        <v>16748.400000000001</v>
      </c>
      <c r="E830" s="11">
        <v>16748.400000000001</v>
      </c>
      <c r="F830" s="3"/>
      <c r="G830" s="2"/>
      <c r="H830" s="3">
        <v>43053</v>
      </c>
      <c r="I830" s="2" t="s">
        <v>19506</v>
      </c>
      <c r="J830" s="2" t="s">
        <v>15048</v>
      </c>
      <c r="K830" s="2"/>
      <c r="L830" s="82" t="s">
        <v>19512</v>
      </c>
    </row>
    <row r="831" spans="1:12" ht="168" customHeight="1" x14ac:dyDescent="0.3">
      <c r="A831" s="2">
        <v>827</v>
      </c>
      <c r="B831" s="66" t="s">
        <v>23226</v>
      </c>
      <c r="C831" s="66">
        <v>4101240454</v>
      </c>
      <c r="D831" s="11">
        <v>55637.58</v>
      </c>
      <c r="E831" s="11">
        <v>55637.58</v>
      </c>
      <c r="F831" s="3">
        <v>43635</v>
      </c>
      <c r="G831" s="2" t="s">
        <v>23227</v>
      </c>
      <c r="H831" s="3"/>
      <c r="I831" s="2"/>
      <c r="J831" s="2" t="s">
        <v>13904</v>
      </c>
      <c r="K831" s="2" t="s">
        <v>23228</v>
      </c>
      <c r="L831" s="246" t="s">
        <v>23229</v>
      </c>
    </row>
    <row r="832" spans="1:12" ht="168" customHeight="1" x14ac:dyDescent="0.3">
      <c r="A832" s="2">
        <v>828</v>
      </c>
      <c r="B832" s="245" t="s">
        <v>23226</v>
      </c>
      <c r="C832" s="245">
        <v>4101240455</v>
      </c>
      <c r="D832" s="244">
        <v>55637.58</v>
      </c>
      <c r="E832" s="244">
        <v>55637.58</v>
      </c>
      <c r="F832" s="243">
        <v>43635</v>
      </c>
      <c r="G832" s="242" t="s">
        <v>23227</v>
      </c>
      <c r="H832" s="3"/>
      <c r="I832" s="2"/>
      <c r="J832" s="242" t="s">
        <v>13904</v>
      </c>
      <c r="K832" s="242" t="s">
        <v>23228</v>
      </c>
      <c r="L832" s="246" t="s">
        <v>23229</v>
      </c>
    </row>
    <row r="833" spans="1:12" ht="168" customHeight="1" x14ac:dyDescent="0.3">
      <c r="A833" s="2">
        <v>829</v>
      </c>
      <c r="B833" s="66" t="s">
        <v>18755</v>
      </c>
      <c r="C833" s="66">
        <v>210124399</v>
      </c>
      <c r="D833" s="11">
        <v>59045</v>
      </c>
      <c r="E833" s="11">
        <v>3280.28</v>
      </c>
      <c r="F833" s="3">
        <v>42643</v>
      </c>
      <c r="G833" s="2" t="s">
        <v>14104</v>
      </c>
      <c r="H833" s="3">
        <v>43252</v>
      </c>
      <c r="I833" s="2" t="s">
        <v>20478</v>
      </c>
      <c r="J833" s="2" t="s">
        <v>13904</v>
      </c>
      <c r="K833" s="2" t="s">
        <v>19217</v>
      </c>
      <c r="L833" s="82" t="s">
        <v>20476</v>
      </c>
    </row>
    <row r="834" spans="1:12" ht="84" customHeight="1" x14ac:dyDescent="0.3">
      <c r="A834" s="2">
        <v>830</v>
      </c>
      <c r="B834" s="66" t="s">
        <v>18741</v>
      </c>
      <c r="C834" s="66">
        <v>4101360061</v>
      </c>
      <c r="D834" s="11">
        <v>63164.99</v>
      </c>
      <c r="E834" s="11">
        <v>1052.74</v>
      </c>
      <c r="F834" s="3">
        <v>42614</v>
      </c>
      <c r="G834" s="2" t="s">
        <v>14104</v>
      </c>
      <c r="H834" s="2"/>
      <c r="I834" s="2"/>
      <c r="J834" s="2" t="s">
        <v>13904</v>
      </c>
      <c r="K834" s="2" t="s">
        <v>19202</v>
      </c>
      <c r="L834" s="2" t="s">
        <v>18740</v>
      </c>
    </row>
    <row r="835" spans="1:12" ht="84" customHeight="1" x14ac:dyDescent="0.3">
      <c r="A835" s="2">
        <v>831</v>
      </c>
      <c r="B835" s="66" t="s">
        <v>18743</v>
      </c>
      <c r="C835" s="66">
        <v>4101260002</v>
      </c>
      <c r="D835" s="11">
        <v>51900</v>
      </c>
      <c r="E835" s="11">
        <v>865</v>
      </c>
      <c r="F835" s="3">
        <v>42657</v>
      </c>
      <c r="G835" s="2"/>
      <c r="H835" s="2"/>
      <c r="I835" s="2"/>
      <c r="J835" s="2" t="s">
        <v>13904</v>
      </c>
      <c r="K835" s="2" t="s">
        <v>19224</v>
      </c>
      <c r="L835" s="82" t="s">
        <v>18744</v>
      </c>
    </row>
    <row r="836" spans="1:12" ht="120" customHeight="1" x14ac:dyDescent="0.3">
      <c r="A836" s="2">
        <v>832</v>
      </c>
      <c r="B836" s="66" t="s">
        <v>303</v>
      </c>
      <c r="C836" s="66" t="s">
        <v>767</v>
      </c>
      <c r="D836" s="11">
        <v>3010.56</v>
      </c>
      <c r="E836" s="11"/>
      <c r="F836" s="3"/>
      <c r="G836" s="2"/>
      <c r="H836" s="3">
        <v>43053</v>
      </c>
      <c r="I836" s="2" t="s">
        <v>19506</v>
      </c>
      <c r="J836" s="2" t="s">
        <v>15048</v>
      </c>
      <c r="K836" s="2"/>
      <c r="L836" s="82" t="s">
        <v>19512</v>
      </c>
    </row>
    <row r="837" spans="1:12" ht="120" customHeight="1" x14ac:dyDescent="0.3">
      <c r="A837" s="2">
        <v>833</v>
      </c>
      <c r="B837" s="66" t="s">
        <v>304</v>
      </c>
      <c r="C837" s="66" t="s">
        <v>768</v>
      </c>
      <c r="D837" s="11">
        <v>4986.24</v>
      </c>
      <c r="E837" s="11"/>
      <c r="F837" s="3"/>
      <c r="G837" s="2"/>
      <c r="H837" s="3">
        <v>43053</v>
      </c>
      <c r="I837" s="2" t="s">
        <v>19506</v>
      </c>
      <c r="J837" s="2" t="s">
        <v>15048</v>
      </c>
      <c r="K837" s="2"/>
      <c r="L837" s="82" t="s">
        <v>19512</v>
      </c>
    </row>
    <row r="838" spans="1:12" ht="120" customHeight="1" x14ac:dyDescent="0.3">
      <c r="A838" s="2">
        <v>834</v>
      </c>
      <c r="B838" s="66" t="s">
        <v>305</v>
      </c>
      <c r="C838" s="66" t="s">
        <v>769</v>
      </c>
      <c r="D838" s="11">
        <v>4892.16</v>
      </c>
      <c r="E838" s="11">
        <v>4892.16</v>
      </c>
      <c r="F838" s="3"/>
      <c r="G838" s="2"/>
      <c r="H838" s="3">
        <v>43053</v>
      </c>
      <c r="I838" s="2" t="s">
        <v>19506</v>
      </c>
      <c r="J838" s="2" t="s">
        <v>15048</v>
      </c>
      <c r="K838" s="2"/>
      <c r="L838" s="82" t="s">
        <v>19512</v>
      </c>
    </row>
    <row r="839" spans="1:12" ht="120" customHeight="1" x14ac:dyDescent="0.3">
      <c r="A839" s="2">
        <v>835</v>
      </c>
      <c r="B839" s="66" t="s">
        <v>305</v>
      </c>
      <c r="C839" s="66" t="s">
        <v>770</v>
      </c>
      <c r="D839" s="11">
        <v>4892.16</v>
      </c>
      <c r="E839" s="11">
        <v>4892.16</v>
      </c>
      <c r="F839" s="3"/>
      <c r="G839" s="2"/>
      <c r="H839" s="3">
        <v>43053</v>
      </c>
      <c r="I839" s="2" t="s">
        <v>19506</v>
      </c>
      <c r="J839" s="2" t="s">
        <v>15048</v>
      </c>
      <c r="K839" s="2"/>
      <c r="L839" s="82" t="s">
        <v>19512</v>
      </c>
    </row>
    <row r="840" spans="1:12" ht="120" customHeight="1" x14ac:dyDescent="0.3">
      <c r="A840" s="2">
        <v>836</v>
      </c>
      <c r="B840" s="66" t="s">
        <v>306</v>
      </c>
      <c r="C840" s="66" t="s">
        <v>771</v>
      </c>
      <c r="D840" s="11">
        <v>3756.3</v>
      </c>
      <c r="E840" s="11">
        <v>3756.3</v>
      </c>
      <c r="F840" s="3"/>
      <c r="G840" s="2"/>
      <c r="H840" s="3">
        <v>43053</v>
      </c>
      <c r="I840" s="2" t="s">
        <v>19506</v>
      </c>
      <c r="J840" s="2" t="s">
        <v>15048</v>
      </c>
      <c r="K840" s="2"/>
      <c r="L840" s="82" t="s">
        <v>19512</v>
      </c>
    </row>
    <row r="841" spans="1:12" ht="120" customHeight="1" x14ac:dyDescent="0.3">
      <c r="A841" s="2">
        <v>837</v>
      </c>
      <c r="B841" s="66" t="s">
        <v>306</v>
      </c>
      <c r="C841" s="66" t="s">
        <v>772</v>
      </c>
      <c r="D841" s="11">
        <v>3756.3</v>
      </c>
      <c r="E841" s="11">
        <v>3756.3</v>
      </c>
      <c r="F841" s="3"/>
      <c r="G841" s="2"/>
      <c r="H841" s="3">
        <v>43053</v>
      </c>
      <c r="I841" s="2" t="s">
        <v>19506</v>
      </c>
      <c r="J841" s="2" t="s">
        <v>15048</v>
      </c>
      <c r="K841" s="2"/>
      <c r="L841" s="82" t="s">
        <v>19512</v>
      </c>
    </row>
    <row r="842" spans="1:12" ht="120" customHeight="1" x14ac:dyDescent="0.3">
      <c r="A842" s="2">
        <v>838</v>
      </c>
      <c r="B842" s="66" t="s">
        <v>307</v>
      </c>
      <c r="C842" s="66" t="s">
        <v>773</v>
      </c>
      <c r="D842" s="11">
        <v>4081.17</v>
      </c>
      <c r="E842" s="11">
        <v>4081.17</v>
      </c>
      <c r="F842" s="3"/>
      <c r="G842" s="2"/>
      <c r="H842" s="3">
        <v>43053</v>
      </c>
      <c r="I842" s="2" t="s">
        <v>19506</v>
      </c>
      <c r="J842" s="2" t="s">
        <v>15048</v>
      </c>
      <c r="K842" s="2"/>
      <c r="L842" s="82" t="s">
        <v>19512</v>
      </c>
    </row>
    <row r="843" spans="1:12" ht="168" customHeight="1" x14ac:dyDescent="0.3">
      <c r="A843" s="2">
        <v>839</v>
      </c>
      <c r="B843" s="66" t="s">
        <v>18754</v>
      </c>
      <c r="C843" s="66">
        <v>2100124402</v>
      </c>
      <c r="D843" s="11">
        <v>57991.5</v>
      </c>
      <c r="E843" s="11">
        <v>1380.76</v>
      </c>
      <c r="F843" s="3">
        <v>42643</v>
      </c>
      <c r="G843" s="2" t="s">
        <v>14104</v>
      </c>
      <c r="H843" s="3">
        <v>43252</v>
      </c>
      <c r="I843" s="2" t="s">
        <v>20478</v>
      </c>
      <c r="J843" s="2" t="s">
        <v>13904</v>
      </c>
      <c r="K843" s="2" t="s">
        <v>19217</v>
      </c>
      <c r="L843" s="82" t="s">
        <v>20476</v>
      </c>
    </row>
    <row r="844" spans="1:12" ht="120" customHeight="1" x14ac:dyDescent="0.3">
      <c r="A844" s="2">
        <v>840</v>
      </c>
      <c r="B844" s="66" t="s">
        <v>308</v>
      </c>
      <c r="C844" s="66" t="s">
        <v>774</v>
      </c>
      <c r="D844" s="11">
        <v>4032</v>
      </c>
      <c r="E844" s="11">
        <v>4032</v>
      </c>
      <c r="F844" s="3"/>
      <c r="G844" s="2"/>
      <c r="H844" s="3">
        <v>43053</v>
      </c>
      <c r="I844" s="2" t="s">
        <v>19506</v>
      </c>
      <c r="J844" s="2" t="s">
        <v>15048</v>
      </c>
      <c r="K844" s="2"/>
      <c r="L844" s="82" t="s">
        <v>19512</v>
      </c>
    </row>
    <row r="845" spans="1:12" ht="120" customHeight="1" x14ac:dyDescent="0.3">
      <c r="A845" s="2">
        <v>841</v>
      </c>
      <c r="B845" s="66" t="s">
        <v>309</v>
      </c>
      <c r="C845" s="66" t="s">
        <v>775</v>
      </c>
      <c r="D845" s="11">
        <v>3824.64</v>
      </c>
      <c r="E845" s="11">
        <v>3824.64</v>
      </c>
      <c r="F845" s="3"/>
      <c r="G845" s="2"/>
      <c r="H845" s="3">
        <v>43053</v>
      </c>
      <c r="I845" s="2" t="s">
        <v>19506</v>
      </c>
      <c r="J845" s="2" t="s">
        <v>15048</v>
      </c>
      <c r="K845" s="2"/>
      <c r="L845" s="82" t="s">
        <v>19512</v>
      </c>
    </row>
    <row r="846" spans="1:12" ht="120" customHeight="1" x14ac:dyDescent="0.3">
      <c r="A846" s="2">
        <v>842</v>
      </c>
      <c r="B846" s="66" t="s">
        <v>309</v>
      </c>
      <c r="C846" s="66" t="s">
        <v>776</v>
      </c>
      <c r="D846" s="11">
        <v>3824.64</v>
      </c>
      <c r="E846" s="11">
        <v>3824.64</v>
      </c>
      <c r="F846" s="3"/>
      <c r="G846" s="2"/>
      <c r="H846" s="3">
        <v>43053</v>
      </c>
      <c r="I846" s="2" t="s">
        <v>19506</v>
      </c>
      <c r="J846" s="2" t="s">
        <v>15048</v>
      </c>
      <c r="K846" s="2"/>
      <c r="L846" s="82" t="s">
        <v>19512</v>
      </c>
    </row>
    <row r="847" spans="1:12" ht="120" customHeight="1" x14ac:dyDescent="0.3">
      <c r="A847" s="2">
        <v>843</v>
      </c>
      <c r="B847" s="66" t="s">
        <v>310</v>
      </c>
      <c r="C847" s="66" t="s">
        <v>777</v>
      </c>
      <c r="D847" s="11">
        <v>7515.85</v>
      </c>
      <c r="E847" s="11">
        <v>7515.85</v>
      </c>
      <c r="F847" s="3"/>
      <c r="G847" s="2"/>
      <c r="H847" s="3">
        <v>43053</v>
      </c>
      <c r="I847" s="2" t="s">
        <v>19506</v>
      </c>
      <c r="J847" s="2" t="s">
        <v>15048</v>
      </c>
      <c r="K847" s="2"/>
      <c r="L847" s="82" t="s">
        <v>19512</v>
      </c>
    </row>
    <row r="848" spans="1:12" ht="120" customHeight="1" x14ac:dyDescent="0.3">
      <c r="A848" s="2">
        <v>844</v>
      </c>
      <c r="B848" s="66" t="s">
        <v>310</v>
      </c>
      <c r="C848" s="66" t="s">
        <v>778</v>
      </c>
      <c r="D848" s="11">
        <v>7515.85</v>
      </c>
      <c r="E848" s="11">
        <v>7515.85</v>
      </c>
      <c r="F848" s="3"/>
      <c r="G848" s="2"/>
      <c r="H848" s="3">
        <v>43053</v>
      </c>
      <c r="I848" s="2" t="s">
        <v>19506</v>
      </c>
      <c r="J848" s="2" t="s">
        <v>15048</v>
      </c>
      <c r="K848" s="2"/>
      <c r="L848" s="82" t="s">
        <v>19512</v>
      </c>
    </row>
    <row r="849" spans="1:12" ht="120" customHeight="1" x14ac:dyDescent="0.3">
      <c r="A849" s="2">
        <v>845</v>
      </c>
      <c r="B849" s="66" t="s">
        <v>310</v>
      </c>
      <c r="C849" s="66" t="s">
        <v>779</v>
      </c>
      <c r="D849" s="11">
        <v>7515.84</v>
      </c>
      <c r="E849" s="11">
        <v>7515.84</v>
      </c>
      <c r="F849" s="3"/>
      <c r="G849" s="2"/>
      <c r="H849" s="3">
        <v>43053</v>
      </c>
      <c r="I849" s="2" t="s">
        <v>19506</v>
      </c>
      <c r="J849" s="2" t="s">
        <v>15048</v>
      </c>
      <c r="K849" s="2"/>
      <c r="L849" s="82" t="s">
        <v>19512</v>
      </c>
    </row>
    <row r="850" spans="1:12" ht="120" customHeight="1" x14ac:dyDescent="0.3">
      <c r="A850" s="2">
        <v>846</v>
      </c>
      <c r="B850" s="66" t="s">
        <v>310</v>
      </c>
      <c r="C850" s="66" t="s">
        <v>780</v>
      </c>
      <c r="D850" s="11">
        <v>7515.84</v>
      </c>
      <c r="E850" s="11">
        <v>7515.84</v>
      </c>
      <c r="F850" s="3"/>
      <c r="G850" s="2"/>
      <c r="H850" s="3">
        <v>43053</v>
      </c>
      <c r="I850" s="2" t="s">
        <v>19506</v>
      </c>
      <c r="J850" s="2" t="s">
        <v>15048</v>
      </c>
      <c r="K850" s="2"/>
      <c r="L850" s="82" t="s">
        <v>19512</v>
      </c>
    </row>
    <row r="851" spans="1:12" ht="120" customHeight="1" x14ac:dyDescent="0.3">
      <c r="A851" s="2">
        <v>847</v>
      </c>
      <c r="B851" s="66" t="s">
        <v>310</v>
      </c>
      <c r="C851" s="66" t="s">
        <v>781</v>
      </c>
      <c r="D851" s="11">
        <v>10272.01</v>
      </c>
      <c r="E851" s="11">
        <v>10272.01</v>
      </c>
      <c r="F851" s="3"/>
      <c r="G851" s="2"/>
      <c r="H851" s="3">
        <v>43053</v>
      </c>
      <c r="I851" s="2" t="s">
        <v>19506</v>
      </c>
      <c r="J851" s="2" t="s">
        <v>15048</v>
      </c>
      <c r="K851" s="2"/>
      <c r="L851" s="82" t="s">
        <v>19512</v>
      </c>
    </row>
    <row r="852" spans="1:12" ht="120" customHeight="1" x14ac:dyDescent="0.3">
      <c r="A852" s="2">
        <v>848</v>
      </c>
      <c r="B852" s="66" t="s">
        <v>310</v>
      </c>
      <c r="C852" s="66" t="s">
        <v>782</v>
      </c>
      <c r="D852" s="11">
        <v>10271.99</v>
      </c>
      <c r="E852" s="11">
        <v>10271.99</v>
      </c>
      <c r="F852" s="3"/>
      <c r="G852" s="2"/>
      <c r="H852" s="3">
        <v>43053</v>
      </c>
      <c r="I852" s="2" t="s">
        <v>19506</v>
      </c>
      <c r="J852" s="2" t="s">
        <v>15048</v>
      </c>
      <c r="K852" s="2"/>
      <c r="L852" s="82" t="s">
        <v>19512</v>
      </c>
    </row>
    <row r="853" spans="1:12" ht="120" customHeight="1" x14ac:dyDescent="0.3">
      <c r="A853" s="2">
        <v>849</v>
      </c>
      <c r="B853" s="66" t="s">
        <v>310</v>
      </c>
      <c r="C853" s="66" t="s">
        <v>783</v>
      </c>
      <c r="D853" s="11">
        <v>10271.99</v>
      </c>
      <c r="E853" s="11">
        <v>10271.99</v>
      </c>
      <c r="F853" s="3"/>
      <c r="G853" s="2"/>
      <c r="H853" s="3">
        <v>43053</v>
      </c>
      <c r="I853" s="2" t="s">
        <v>19506</v>
      </c>
      <c r="J853" s="2" t="s">
        <v>15048</v>
      </c>
      <c r="K853" s="2"/>
      <c r="L853" s="82" t="s">
        <v>19512</v>
      </c>
    </row>
    <row r="854" spans="1:12" ht="120" customHeight="1" x14ac:dyDescent="0.3">
      <c r="A854" s="2">
        <v>850</v>
      </c>
      <c r="B854" s="66" t="s">
        <v>310</v>
      </c>
      <c r="C854" s="66" t="s">
        <v>784</v>
      </c>
      <c r="D854" s="11">
        <v>10271.99</v>
      </c>
      <c r="E854" s="11">
        <v>10271.99</v>
      </c>
      <c r="F854" s="3"/>
      <c r="G854" s="2"/>
      <c r="H854" s="3">
        <v>43053</v>
      </c>
      <c r="I854" s="2" t="s">
        <v>19506</v>
      </c>
      <c r="J854" s="2" t="s">
        <v>15048</v>
      </c>
      <c r="K854" s="2"/>
      <c r="L854" s="82" t="s">
        <v>19512</v>
      </c>
    </row>
    <row r="855" spans="1:12" ht="72" customHeight="1" x14ac:dyDescent="0.3">
      <c r="A855" s="2">
        <v>851</v>
      </c>
      <c r="B855" s="66" t="s">
        <v>311</v>
      </c>
      <c r="C855" s="66" t="s">
        <v>785</v>
      </c>
      <c r="D855" s="11">
        <v>9868.16</v>
      </c>
      <c r="E855" s="11">
        <v>9868.16</v>
      </c>
      <c r="F855" s="3"/>
      <c r="G855" s="2"/>
      <c r="H855" s="3">
        <v>42324</v>
      </c>
      <c r="I855" s="2" t="s">
        <v>12042</v>
      </c>
      <c r="J855" s="2" t="s">
        <v>15048</v>
      </c>
      <c r="K855" s="2"/>
      <c r="L855" s="82"/>
    </row>
    <row r="856" spans="1:12" ht="120" customHeight="1" x14ac:dyDescent="0.3">
      <c r="A856" s="2">
        <v>852</v>
      </c>
      <c r="B856" s="66" t="s">
        <v>312</v>
      </c>
      <c r="C856" s="66" t="s">
        <v>786</v>
      </c>
      <c r="D856" s="11">
        <v>9168.6</v>
      </c>
      <c r="E856" s="11">
        <v>9168.6</v>
      </c>
      <c r="F856" s="3"/>
      <c r="G856" s="2"/>
      <c r="H856" s="3">
        <v>43053</v>
      </c>
      <c r="I856" s="2" t="s">
        <v>19506</v>
      </c>
      <c r="J856" s="2" t="s">
        <v>15048</v>
      </c>
      <c r="K856" s="2"/>
      <c r="L856" s="82" t="s">
        <v>19512</v>
      </c>
    </row>
    <row r="857" spans="1:12" ht="120" customHeight="1" x14ac:dyDescent="0.3">
      <c r="A857" s="2">
        <v>853</v>
      </c>
      <c r="B857" s="66" t="s">
        <v>254</v>
      </c>
      <c r="C857" s="66" t="s">
        <v>787</v>
      </c>
      <c r="D857" s="11">
        <v>6598.03</v>
      </c>
      <c r="E857" s="11">
        <v>6598.03</v>
      </c>
      <c r="F857" s="3"/>
      <c r="G857" s="2"/>
      <c r="H857" s="3">
        <v>43053</v>
      </c>
      <c r="I857" s="2" t="s">
        <v>19506</v>
      </c>
      <c r="J857" s="2" t="s">
        <v>15048</v>
      </c>
      <c r="K857" s="2"/>
      <c r="L857" s="82" t="s">
        <v>19512</v>
      </c>
    </row>
    <row r="858" spans="1:12" ht="120" customHeight="1" x14ac:dyDescent="0.3">
      <c r="A858" s="2">
        <v>854</v>
      </c>
      <c r="B858" s="66" t="s">
        <v>254</v>
      </c>
      <c r="C858" s="66" t="s">
        <v>788</v>
      </c>
      <c r="D858" s="11">
        <v>6598</v>
      </c>
      <c r="E858" s="11">
        <v>6598</v>
      </c>
      <c r="F858" s="3"/>
      <c r="G858" s="2"/>
      <c r="H858" s="3">
        <v>43053</v>
      </c>
      <c r="I858" s="2" t="s">
        <v>19506</v>
      </c>
      <c r="J858" s="2" t="s">
        <v>15048</v>
      </c>
      <c r="K858" s="2"/>
      <c r="L858" s="82" t="s">
        <v>19512</v>
      </c>
    </row>
    <row r="859" spans="1:12" ht="120" customHeight="1" x14ac:dyDescent="0.3">
      <c r="A859" s="2">
        <v>855</v>
      </c>
      <c r="B859" s="66" t="s">
        <v>313</v>
      </c>
      <c r="C859" s="66" t="s">
        <v>789</v>
      </c>
      <c r="D859" s="11">
        <v>6598.01</v>
      </c>
      <c r="E859" s="11">
        <v>6598.01</v>
      </c>
      <c r="F859" s="3"/>
      <c r="G859" s="2"/>
      <c r="H859" s="3">
        <v>43053</v>
      </c>
      <c r="I859" s="2" t="s">
        <v>19506</v>
      </c>
      <c r="J859" s="2" t="s">
        <v>15048</v>
      </c>
      <c r="K859" s="2"/>
      <c r="L859" s="82" t="s">
        <v>19512</v>
      </c>
    </row>
    <row r="860" spans="1:12" ht="120" customHeight="1" x14ac:dyDescent="0.3">
      <c r="A860" s="2">
        <v>856</v>
      </c>
      <c r="B860" s="66" t="s">
        <v>313</v>
      </c>
      <c r="C860" s="66" t="s">
        <v>790</v>
      </c>
      <c r="D860" s="11">
        <v>6598.01</v>
      </c>
      <c r="E860" s="11">
        <v>6598.01</v>
      </c>
      <c r="F860" s="3"/>
      <c r="G860" s="2"/>
      <c r="H860" s="3">
        <v>43053</v>
      </c>
      <c r="I860" s="2" t="s">
        <v>19506</v>
      </c>
      <c r="J860" s="2" t="s">
        <v>15048</v>
      </c>
      <c r="K860" s="2"/>
      <c r="L860" s="82" t="s">
        <v>19512</v>
      </c>
    </row>
    <row r="861" spans="1:12" ht="120" customHeight="1" x14ac:dyDescent="0.3">
      <c r="A861" s="2">
        <v>857</v>
      </c>
      <c r="B861" s="66" t="s">
        <v>313</v>
      </c>
      <c r="C861" s="66" t="s">
        <v>791</v>
      </c>
      <c r="D861" s="11">
        <v>6598</v>
      </c>
      <c r="E861" s="11">
        <v>6598</v>
      </c>
      <c r="F861" s="3"/>
      <c r="G861" s="2"/>
      <c r="H861" s="3">
        <v>43053</v>
      </c>
      <c r="I861" s="2" t="s">
        <v>19506</v>
      </c>
      <c r="J861" s="2" t="s">
        <v>15048</v>
      </c>
      <c r="K861" s="2"/>
      <c r="L861" s="82" t="s">
        <v>19512</v>
      </c>
    </row>
    <row r="862" spans="1:12" ht="120" customHeight="1" x14ac:dyDescent="0.3">
      <c r="A862" s="2">
        <v>858</v>
      </c>
      <c r="B862" s="66" t="s">
        <v>313</v>
      </c>
      <c r="C862" s="66" t="s">
        <v>792</v>
      </c>
      <c r="D862" s="11">
        <v>6598</v>
      </c>
      <c r="E862" s="11">
        <v>6598</v>
      </c>
      <c r="F862" s="3"/>
      <c r="G862" s="2"/>
      <c r="H862" s="3">
        <v>43053</v>
      </c>
      <c r="I862" s="2" t="s">
        <v>19506</v>
      </c>
      <c r="J862" s="2" t="s">
        <v>15048</v>
      </c>
      <c r="K862" s="2"/>
      <c r="L862" s="82" t="s">
        <v>19512</v>
      </c>
    </row>
    <row r="863" spans="1:12" ht="120" customHeight="1" x14ac:dyDescent="0.3">
      <c r="A863" s="2">
        <v>859</v>
      </c>
      <c r="B863" s="66" t="s">
        <v>256</v>
      </c>
      <c r="C863" s="66" t="s">
        <v>793</v>
      </c>
      <c r="D863" s="11">
        <v>33000</v>
      </c>
      <c r="E863" s="11">
        <v>33000</v>
      </c>
      <c r="F863" s="3"/>
      <c r="G863" s="2"/>
      <c r="H863" s="3">
        <v>43053</v>
      </c>
      <c r="I863" s="2" t="s">
        <v>19506</v>
      </c>
      <c r="J863" s="2" t="s">
        <v>15048</v>
      </c>
      <c r="K863" s="2"/>
      <c r="L863" s="82" t="s">
        <v>19512</v>
      </c>
    </row>
    <row r="864" spans="1:12" ht="120" customHeight="1" x14ac:dyDescent="0.3">
      <c r="A864" s="2">
        <v>860</v>
      </c>
      <c r="B864" s="66" t="s">
        <v>314</v>
      </c>
      <c r="C864" s="66" t="s">
        <v>794</v>
      </c>
      <c r="D864" s="11">
        <v>35500</v>
      </c>
      <c r="E864" s="11">
        <v>35500</v>
      </c>
      <c r="F864" s="3"/>
      <c r="G864" s="2"/>
      <c r="H864" s="3">
        <v>43053</v>
      </c>
      <c r="I864" s="2" t="s">
        <v>19506</v>
      </c>
      <c r="J864" s="2" t="s">
        <v>15048</v>
      </c>
      <c r="K864" s="2"/>
      <c r="L864" s="82" t="s">
        <v>19512</v>
      </c>
    </row>
    <row r="865" spans="1:12" ht="120" customHeight="1" x14ac:dyDescent="0.3">
      <c r="A865" s="2">
        <v>861</v>
      </c>
      <c r="B865" s="66" t="s">
        <v>315</v>
      </c>
      <c r="C865" s="66" t="s">
        <v>795</v>
      </c>
      <c r="D865" s="11">
        <v>38500</v>
      </c>
      <c r="E865" s="11">
        <v>38500</v>
      </c>
      <c r="F865" s="3"/>
      <c r="G865" s="2"/>
      <c r="H865" s="3">
        <v>43053</v>
      </c>
      <c r="I865" s="2" t="s">
        <v>19506</v>
      </c>
      <c r="J865" s="2" t="s">
        <v>15048</v>
      </c>
      <c r="K865" s="2"/>
      <c r="L865" s="82" t="s">
        <v>19512</v>
      </c>
    </row>
    <row r="866" spans="1:12" ht="120" customHeight="1" x14ac:dyDescent="0.3">
      <c r="A866" s="2">
        <v>862</v>
      </c>
      <c r="B866" s="66" t="s">
        <v>316</v>
      </c>
      <c r="C866" s="66" t="s">
        <v>796</v>
      </c>
      <c r="D866" s="11">
        <v>20100</v>
      </c>
      <c r="E866" s="11">
        <v>20100</v>
      </c>
      <c r="F866" s="3"/>
      <c r="G866" s="2"/>
      <c r="H866" s="3">
        <v>43053</v>
      </c>
      <c r="I866" s="2" t="s">
        <v>19506</v>
      </c>
      <c r="J866" s="2" t="s">
        <v>15048</v>
      </c>
      <c r="K866" s="2"/>
      <c r="L866" s="82" t="s">
        <v>19512</v>
      </c>
    </row>
    <row r="867" spans="1:12" ht="120" customHeight="1" x14ac:dyDescent="0.3">
      <c r="A867" s="2">
        <v>863</v>
      </c>
      <c r="B867" s="66" t="s">
        <v>317</v>
      </c>
      <c r="C867" s="66" t="s">
        <v>797</v>
      </c>
      <c r="D867" s="11">
        <v>6485</v>
      </c>
      <c r="E867" s="11">
        <v>6485</v>
      </c>
      <c r="F867" s="3"/>
      <c r="G867" s="2"/>
      <c r="H867" s="3">
        <v>43053</v>
      </c>
      <c r="I867" s="2" t="s">
        <v>19506</v>
      </c>
      <c r="J867" s="2" t="s">
        <v>15048</v>
      </c>
      <c r="K867" s="2"/>
      <c r="L867" s="82" t="s">
        <v>19512</v>
      </c>
    </row>
    <row r="868" spans="1:12" ht="120" customHeight="1" x14ac:dyDescent="0.3">
      <c r="A868" s="2">
        <v>864</v>
      </c>
      <c r="B868" s="66" t="s">
        <v>252</v>
      </c>
      <c r="C868" s="66" t="s">
        <v>798</v>
      </c>
      <c r="D868" s="11">
        <v>3717</v>
      </c>
      <c r="E868" s="11">
        <v>3717</v>
      </c>
      <c r="F868" s="3"/>
      <c r="G868" s="2"/>
      <c r="H868" s="3">
        <v>43053</v>
      </c>
      <c r="I868" s="2" t="s">
        <v>19506</v>
      </c>
      <c r="J868" s="2" t="s">
        <v>15048</v>
      </c>
      <c r="K868" s="2"/>
      <c r="L868" s="82" t="s">
        <v>19512</v>
      </c>
    </row>
    <row r="869" spans="1:12" ht="120" customHeight="1" x14ac:dyDescent="0.3">
      <c r="A869" s="2">
        <v>865</v>
      </c>
      <c r="B869" s="66" t="s">
        <v>252</v>
      </c>
      <c r="C869" s="66" t="s">
        <v>799</v>
      </c>
      <c r="D869" s="11">
        <v>3717</v>
      </c>
      <c r="E869" s="11">
        <v>3717</v>
      </c>
      <c r="F869" s="3"/>
      <c r="G869" s="2"/>
      <c r="H869" s="3">
        <v>43053</v>
      </c>
      <c r="I869" s="2" t="s">
        <v>19506</v>
      </c>
      <c r="J869" s="2" t="s">
        <v>15048</v>
      </c>
      <c r="K869" s="2"/>
      <c r="L869" s="82" t="s">
        <v>19512</v>
      </c>
    </row>
    <row r="870" spans="1:12" ht="120" customHeight="1" x14ac:dyDescent="0.3">
      <c r="A870" s="2">
        <v>866</v>
      </c>
      <c r="B870" s="66" t="s">
        <v>256</v>
      </c>
      <c r="C870" s="66" t="s">
        <v>800</v>
      </c>
      <c r="D870" s="11">
        <v>32500</v>
      </c>
      <c r="E870" s="11">
        <v>32500</v>
      </c>
      <c r="F870" s="3"/>
      <c r="G870" s="2"/>
      <c r="H870" s="3">
        <v>43053</v>
      </c>
      <c r="I870" s="2" t="s">
        <v>19506</v>
      </c>
      <c r="J870" s="2" t="s">
        <v>15048</v>
      </c>
      <c r="K870" s="2"/>
      <c r="L870" s="82" t="s">
        <v>19512</v>
      </c>
    </row>
    <row r="871" spans="1:12" ht="120" customHeight="1" x14ac:dyDescent="0.3">
      <c r="A871" s="2">
        <v>867</v>
      </c>
      <c r="B871" s="66" t="s">
        <v>256</v>
      </c>
      <c r="C871" s="66" t="s">
        <v>801</v>
      </c>
      <c r="D871" s="11">
        <v>32500</v>
      </c>
      <c r="E871" s="11">
        <v>32500</v>
      </c>
      <c r="F871" s="3"/>
      <c r="G871" s="2"/>
      <c r="H871" s="3">
        <v>43053</v>
      </c>
      <c r="I871" s="2" t="s">
        <v>19506</v>
      </c>
      <c r="J871" s="2" t="s">
        <v>15048</v>
      </c>
      <c r="K871" s="2"/>
      <c r="L871" s="82" t="s">
        <v>19512</v>
      </c>
    </row>
    <row r="872" spans="1:12" ht="120" customHeight="1" x14ac:dyDescent="0.3">
      <c r="A872" s="2">
        <v>868</v>
      </c>
      <c r="B872" s="66" t="s">
        <v>314</v>
      </c>
      <c r="C872" s="66" t="s">
        <v>802</v>
      </c>
      <c r="D872" s="11">
        <v>38500</v>
      </c>
      <c r="E872" s="11">
        <v>38500</v>
      </c>
      <c r="F872" s="3"/>
      <c r="G872" s="2"/>
      <c r="H872" s="3">
        <v>43053</v>
      </c>
      <c r="I872" s="2" t="s">
        <v>19506</v>
      </c>
      <c r="J872" s="2" t="s">
        <v>15048</v>
      </c>
      <c r="K872" s="2"/>
      <c r="L872" s="82" t="s">
        <v>19512</v>
      </c>
    </row>
    <row r="873" spans="1:12" ht="120" customHeight="1" x14ac:dyDescent="0.3">
      <c r="A873" s="2">
        <v>869</v>
      </c>
      <c r="B873" s="66" t="s">
        <v>318</v>
      </c>
      <c r="C873" s="66" t="s">
        <v>803</v>
      </c>
      <c r="D873" s="11">
        <v>6598.56</v>
      </c>
      <c r="E873" s="11">
        <v>6598.56</v>
      </c>
      <c r="F873" s="3"/>
      <c r="G873" s="2"/>
      <c r="H873" s="3">
        <v>43053</v>
      </c>
      <c r="I873" s="2" t="s">
        <v>19506</v>
      </c>
      <c r="J873" s="2" t="s">
        <v>15048</v>
      </c>
      <c r="K873" s="2"/>
      <c r="L873" s="82" t="s">
        <v>19512</v>
      </c>
    </row>
    <row r="874" spans="1:12" ht="120" customHeight="1" x14ac:dyDescent="0.3">
      <c r="A874" s="2">
        <v>870</v>
      </c>
      <c r="B874" s="66" t="s">
        <v>319</v>
      </c>
      <c r="C874" s="66" t="s">
        <v>804</v>
      </c>
      <c r="D874" s="11">
        <v>6870.55</v>
      </c>
      <c r="E874" s="11">
        <v>6870.55</v>
      </c>
      <c r="F874" s="3"/>
      <c r="G874" s="2"/>
      <c r="H874" s="3">
        <v>43053</v>
      </c>
      <c r="I874" s="2" t="s">
        <v>19506</v>
      </c>
      <c r="J874" s="2" t="s">
        <v>15048</v>
      </c>
      <c r="K874" s="2"/>
      <c r="L874" s="82" t="s">
        <v>19512</v>
      </c>
    </row>
    <row r="875" spans="1:12" ht="120" customHeight="1" x14ac:dyDescent="0.3">
      <c r="A875" s="2">
        <v>871</v>
      </c>
      <c r="B875" s="66" t="s">
        <v>319</v>
      </c>
      <c r="C875" s="66" t="s">
        <v>805</v>
      </c>
      <c r="D875" s="11">
        <v>6870.55</v>
      </c>
      <c r="E875" s="11">
        <v>6870.55</v>
      </c>
      <c r="F875" s="3"/>
      <c r="G875" s="2"/>
      <c r="H875" s="3">
        <v>43053</v>
      </c>
      <c r="I875" s="2" t="s">
        <v>19506</v>
      </c>
      <c r="J875" s="2" t="s">
        <v>15048</v>
      </c>
      <c r="K875" s="2"/>
      <c r="L875" s="82" t="s">
        <v>19512</v>
      </c>
    </row>
    <row r="876" spans="1:12" ht="120" customHeight="1" x14ac:dyDescent="0.3">
      <c r="A876" s="2">
        <v>872</v>
      </c>
      <c r="B876" s="66" t="s">
        <v>320</v>
      </c>
      <c r="C876" s="66" t="s">
        <v>806</v>
      </c>
      <c r="D876" s="11">
        <v>3305.77</v>
      </c>
      <c r="E876" s="11">
        <v>3305.77</v>
      </c>
      <c r="F876" s="3"/>
      <c r="G876" s="2"/>
      <c r="H876" s="3">
        <v>43053</v>
      </c>
      <c r="I876" s="2" t="s">
        <v>19506</v>
      </c>
      <c r="J876" s="2" t="s">
        <v>15048</v>
      </c>
      <c r="K876" s="2"/>
      <c r="L876" s="82" t="s">
        <v>19512</v>
      </c>
    </row>
    <row r="877" spans="1:12" ht="120" customHeight="1" x14ac:dyDescent="0.3">
      <c r="A877" s="2">
        <v>873</v>
      </c>
      <c r="B877" s="66" t="s">
        <v>320</v>
      </c>
      <c r="C877" s="66" t="s">
        <v>807</v>
      </c>
      <c r="D877" s="11">
        <v>3305.77</v>
      </c>
      <c r="E877" s="11">
        <v>3305.77</v>
      </c>
      <c r="F877" s="3"/>
      <c r="G877" s="2"/>
      <c r="H877" s="3">
        <v>43053</v>
      </c>
      <c r="I877" s="2" t="s">
        <v>19506</v>
      </c>
      <c r="J877" s="2" t="s">
        <v>15048</v>
      </c>
      <c r="K877" s="2"/>
      <c r="L877" s="82" t="s">
        <v>19512</v>
      </c>
    </row>
    <row r="878" spans="1:12" ht="120" customHeight="1" x14ac:dyDescent="0.3">
      <c r="A878" s="2">
        <v>874</v>
      </c>
      <c r="B878" s="66" t="s">
        <v>320</v>
      </c>
      <c r="C878" s="66" t="s">
        <v>808</v>
      </c>
      <c r="D878" s="11">
        <v>3305.77</v>
      </c>
      <c r="E878" s="11">
        <v>3305.77</v>
      </c>
      <c r="F878" s="3"/>
      <c r="G878" s="2"/>
      <c r="H878" s="3">
        <v>43053</v>
      </c>
      <c r="I878" s="2" t="s">
        <v>19506</v>
      </c>
      <c r="J878" s="2" t="s">
        <v>15048</v>
      </c>
      <c r="K878" s="2"/>
      <c r="L878" s="82" t="s">
        <v>19512</v>
      </c>
    </row>
    <row r="879" spans="1:12" ht="120" customHeight="1" x14ac:dyDescent="0.3">
      <c r="A879" s="2">
        <v>875</v>
      </c>
      <c r="B879" s="66" t="s">
        <v>321</v>
      </c>
      <c r="C879" s="66" t="s">
        <v>809</v>
      </c>
      <c r="D879" s="11">
        <v>3838.54</v>
      </c>
      <c r="E879" s="11">
        <v>3838.54</v>
      </c>
      <c r="F879" s="3"/>
      <c r="G879" s="2"/>
      <c r="H879" s="3">
        <v>43053</v>
      </c>
      <c r="I879" s="2" t="s">
        <v>19506</v>
      </c>
      <c r="J879" s="2" t="s">
        <v>15048</v>
      </c>
      <c r="K879" s="2"/>
      <c r="L879" s="82" t="s">
        <v>19512</v>
      </c>
    </row>
    <row r="880" spans="1:12" ht="120" customHeight="1" x14ac:dyDescent="0.3">
      <c r="A880" s="2">
        <v>876</v>
      </c>
      <c r="B880" s="66" t="s">
        <v>321</v>
      </c>
      <c r="C880" s="66" t="s">
        <v>810</v>
      </c>
      <c r="D880" s="11">
        <v>3838.54</v>
      </c>
      <c r="E880" s="11">
        <v>3838.54</v>
      </c>
      <c r="F880" s="3"/>
      <c r="G880" s="2"/>
      <c r="H880" s="3">
        <v>43053</v>
      </c>
      <c r="I880" s="2" t="s">
        <v>19506</v>
      </c>
      <c r="J880" s="2" t="s">
        <v>15048</v>
      </c>
      <c r="K880" s="2"/>
      <c r="L880" s="82" t="s">
        <v>19512</v>
      </c>
    </row>
    <row r="881" spans="1:12" ht="120" customHeight="1" x14ac:dyDescent="0.3">
      <c r="A881" s="2">
        <v>877</v>
      </c>
      <c r="B881" s="66" t="s">
        <v>321</v>
      </c>
      <c r="C881" s="66" t="s">
        <v>811</v>
      </c>
      <c r="D881" s="11">
        <v>3838.54</v>
      </c>
      <c r="E881" s="11">
        <v>3838.54</v>
      </c>
      <c r="F881" s="3"/>
      <c r="G881" s="2"/>
      <c r="H881" s="3">
        <v>43053</v>
      </c>
      <c r="I881" s="2" t="s">
        <v>19506</v>
      </c>
      <c r="J881" s="2" t="s">
        <v>15048</v>
      </c>
      <c r="K881" s="2"/>
      <c r="L881" s="82" t="s">
        <v>19512</v>
      </c>
    </row>
    <row r="882" spans="1:12" ht="120" customHeight="1" x14ac:dyDescent="0.3">
      <c r="A882" s="2">
        <v>878</v>
      </c>
      <c r="B882" s="66" t="s">
        <v>322</v>
      </c>
      <c r="C882" s="66" t="s">
        <v>812</v>
      </c>
      <c r="D882" s="11">
        <v>4727.08</v>
      </c>
      <c r="E882" s="11">
        <v>4727.08</v>
      </c>
      <c r="F882" s="3"/>
      <c r="G882" s="2"/>
      <c r="H882" s="3">
        <v>43053</v>
      </c>
      <c r="I882" s="2" t="s">
        <v>19506</v>
      </c>
      <c r="J882" s="2" t="s">
        <v>15048</v>
      </c>
      <c r="K882" s="2"/>
      <c r="L882" s="82" t="s">
        <v>19512</v>
      </c>
    </row>
    <row r="883" spans="1:12" ht="120" customHeight="1" x14ac:dyDescent="0.3">
      <c r="A883" s="2">
        <v>879</v>
      </c>
      <c r="B883" s="66" t="s">
        <v>322</v>
      </c>
      <c r="C883" s="66" t="s">
        <v>813</v>
      </c>
      <c r="D883" s="11">
        <v>4727.08</v>
      </c>
      <c r="E883" s="11">
        <v>4727.08</v>
      </c>
      <c r="F883" s="3"/>
      <c r="G883" s="2"/>
      <c r="H883" s="3">
        <v>43053</v>
      </c>
      <c r="I883" s="2" t="s">
        <v>19506</v>
      </c>
      <c r="J883" s="2" t="s">
        <v>15048</v>
      </c>
      <c r="K883" s="2"/>
      <c r="L883" s="82" t="s">
        <v>19512</v>
      </c>
    </row>
    <row r="884" spans="1:12" ht="120" customHeight="1" x14ac:dyDescent="0.3">
      <c r="A884" s="2">
        <v>880</v>
      </c>
      <c r="B884" s="66" t="s">
        <v>322</v>
      </c>
      <c r="C884" s="66" t="s">
        <v>814</v>
      </c>
      <c r="D884" s="11">
        <v>4727.08</v>
      </c>
      <c r="E884" s="11">
        <v>4727.08</v>
      </c>
      <c r="F884" s="3"/>
      <c r="G884" s="2"/>
      <c r="H884" s="3">
        <v>43053</v>
      </c>
      <c r="I884" s="2" t="s">
        <v>19506</v>
      </c>
      <c r="J884" s="2" t="s">
        <v>15048</v>
      </c>
      <c r="K884" s="2"/>
      <c r="L884" s="82" t="s">
        <v>19512</v>
      </c>
    </row>
    <row r="885" spans="1:12" ht="120" customHeight="1" x14ac:dyDescent="0.3">
      <c r="A885" s="2">
        <v>881</v>
      </c>
      <c r="B885" s="66" t="s">
        <v>323</v>
      </c>
      <c r="C885" s="66" t="s">
        <v>815</v>
      </c>
      <c r="D885" s="11">
        <v>5215.01</v>
      </c>
      <c r="E885" s="11">
        <v>5215.01</v>
      </c>
      <c r="F885" s="3"/>
      <c r="G885" s="2"/>
      <c r="H885" s="3">
        <v>43053</v>
      </c>
      <c r="I885" s="2" t="s">
        <v>19506</v>
      </c>
      <c r="J885" s="2" t="s">
        <v>15048</v>
      </c>
      <c r="K885" s="2"/>
      <c r="L885" s="82" t="s">
        <v>19512</v>
      </c>
    </row>
    <row r="886" spans="1:12" ht="120" customHeight="1" x14ac:dyDescent="0.3">
      <c r="A886" s="2">
        <v>882</v>
      </c>
      <c r="B886" s="66" t="s">
        <v>324</v>
      </c>
      <c r="C886" s="66" t="s">
        <v>816</v>
      </c>
      <c r="D886" s="11">
        <v>5826.25</v>
      </c>
      <c r="E886" s="11">
        <v>5826.25</v>
      </c>
      <c r="F886" s="3"/>
      <c r="G886" s="2"/>
      <c r="H886" s="3">
        <v>43053</v>
      </c>
      <c r="I886" s="2" t="s">
        <v>19506</v>
      </c>
      <c r="J886" s="2" t="s">
        <v>15048</v>
      </c>
      <c r="K886" s="2"/>
      <c r="L886" s="82" t="s">
        <v>19512</v>
      </c>
    </row>
    <row r="887" spans="1:12" ht="72" customHeight="1" x14ac:dyDescent="0.3">
      <c r="A887" s="2">
        <v>883</v>
      </c>
      <c r="B887" s="66" t="s">
        <v>325</v>
      </c>
      <c r="C887" s="66" t="s">
        <v>817</v>
      </c>
      <c r="D887" s="11">
        <v>3698</v>
      </c>
      <c r="E887" s="11">
        <v>3698</v>
      </c>
      <c r="F887" s="3"/>
      <c r="G887" s="2"/>
      <c r="H887" s="3">
        <v>42324</v>
      </c>
      <c r="I887" s="2" t="s">
        <v>12042</v>
      </c>
      <c r="J887" s="2" t="s">
        <v>15048</v>
      </c>
      <c r="K887" s="2"/>
      <c r="L887" s="82"/>
    </row>
    <row r="888" spans="1:12" ht="120" customHeight="1" x14ac:dyDescent="0.3">
      <c r="A888" s="2">
        <v>884</v>
      </c>
      <c r="B888" s="66" t="s">
        <v>325</v>
      </c>
      <c r="C888" s="66" t="s">
        <v>818</v>
      </c>
      <c r="D888" s="11">
        <v>3698</v>
      </c>
      <c r="E888" s="11">
        <v>3698</v>
      </c>
      <c r="F888" s="3"/>
      <c r="G888" s="2"/>
      <c r="H888" s="3">
        <v>43053</v>
      </c>
      <c r="I888" s="2" t="s">
        <v>19506</v>
      </c>
      <c r="J888" s="2" t="s">
        <v>15048</v>
      </c>
      <c r="K888" s="2"/>
      <c r="L888" s="82" t="s">
        <v>19512</v>
      </c>
    </row>
    <row r="889" spans="1:12" ht="120" customHeight="1" x14ac:dyDescent="0.3">
      <c r="A889" s="2">
        <v>885</v>
      </c>
      <c r="B889" s="66" t="s">
        <v>325</v>
      </c>
      <c r="C889" s="66" t="s">
        <v>819</v>
      </c>
      <c r="D889" s="11">
        <v>3698</v>
      </c>
      <c r="E889" s="11">
        <v>3698</v>
      </c>
      <c r="F889" s="3"/>
      <c r="G889" s="2"/>
      <c r="H889" s="3">
        <v>43053</v>
      </c>
      <c r="I889" s="2" t="s">
        <v>19506</v>
      </c>
      <c r="J889" s="2" t="s">
        <v>15048</v>
      </c>
      <c r="K889" s="2"/>
      <c r="L889" s="82" t="s">
        <v>19512</v>
      </c>
    </row>
    <row r="890" spans="1:12" ht="120" customHeight="1" x14ac:dyDescent="0.3">
      <c r="A890" s="2">
        <v>886</v>
      </c>
      <c r="B890" s="66" t="s">
        <v>326</v>
      </c>
      <c r="C890" s="66" t="s">
        <v>820</v>
      </c>
      <c r="D890" s="11">
        <v>6485</v>
      </c>
      <c r="E890" s="11">
        <v>6485</v>
      </c>
      <c r="F890" s="3"/>
      <c r="G890" s="2"/>
      <c r="H890" s="3">
        <v>43053</v>
      </c>
      <c r="I890" s="2" t="s">
        <v>19506</v>
      </c>
      <c r="J890" s="2" t="s">
        <v>15048</v>
      </c>
      <c r="K890" s="2"/>
      <c r="L890" s="82" t="s">
        <v>19512</v>
      </c>
    </row>
    <row r="891" spans="1:12" ht="120" customHeight="1" x14ac:dyDescent="0.3">
      <c r="A891" s="2">
        <v>887</v>
      </c>
      <c r="B891" s="66" t="s">
        <v>327</v>
      </c>
      <c r="C891" s="66" t="s">
        <v>821</v>
      </c>
      <c r="D891" s="11">
        <v>6398</v>
      </c>
      <c r="E891" s="11">
        <v>6398</v>
      </c>
      <c r="F891" s="3"/>
      <c r="G891" s="2"/>
      <c r="H891" s="3">
        <v>43053</v>
      </c>
      <c r="I891" s="2" t="s">
        <v>19506</v>
      </c>
      <c r="J891" s="2" t="s">
        <v>15048</v>
      </c>
      <c r="K891" s="2"/>
      <c r="L891" s="82" t="s">
        <v>19512</v>
      </c>
    </row>
    <row r="892" spans="1:12" ht="120" customHeight="1" x14ac:dyDescent="0.3">
      <c r="A892" s="2">
        <v>888</v>
      </c>
      <c r="B892" s="66" t="s">
        <v>328</v>
      </c>
      <c r="C892" s="66" t="s">
        <v>822</v>
      </c>
      <c r="D892" s="11">
        <v>4359.87</v>
      </c>
      <c r="E892" s="11">
        <v>4359.87</v>
      </c>
      <c r="F892" s="3"/>
      <c r="G892" s="2"/>
      <c r="H892" s="3">
        <v>43053</v>
      </c>
      <c r="I892" s="2" t="s">
        <v>19506</v>
      </c>
      <c r="J892" s="2" t="s">
        <v>15048</v>
      </c>
      <c r="K892" s="2"/>
      <c r="L892" s="82" t="s">
        <v>19512</v>
      </c>
    </row>
    <row r="893" spans="1:12" ht="120" customHeight="1" x14ac:dyDescent="0.3">
      <c r="A893" s="2">
        <v>889</v>
      </c>
      <c r="B893" s="66" t="s">
        <v>329</v>
      </c>
      <c r="C893" s="66" t="s">
        <v>823</v>
      </c>
      <c r="D893" s="11">
        <v>10798.2</v>
      </c>
      <c r="E893" s="11">
        <v>10798.2</v>
      </c>
      <c r="F893" s="3"/>
      <c r="G893" s="2"/>
      <c r="H893" s="3">
        <v>43053</v>
      </c>
      <c r="I893" s="2" t="s">
        <v>19506</v>
      </c>
      <c r="J893" s="2" t="s">
        <v>15048</v>
      </c>
      <c r="K893" s="2"/>
      <c r="L893" s="82" t="s">
        <v>19512</v>
      </c>
    </row>
    <row r="894" spans="1:12" ht="120" customHeight="1" x14ac:dyDescent="0.3">
      <c r="A894" s="2">
        <v>890</v>
      </c>
      <c r="B894" s="66" t="s">
        <v>329</v>
      </c>
      <c r="C894" s="66" t="s">
        <v>824</v>
      </c>
      <c r="D894" s="11">
        <v>10798.2</v>
      </c>
      <c r="E894" s="11">
        <v>10798.2</v>
      </c>
      <c r="F894" s="3"/>
      <c r="G894" s="2"/>
      <c r="H894" s="3">
        <v>43053</v>
      </c>
      <c r="I894" s="2" t="s">
        <v>19506</v>
      </c>
      <c r="J894" s="2" t="s">
        <v>15048</v>
      </c>
      <c r="K894" s="2"/>
      <c r="L894" s="82" t="s">
        <v>19512</v>
      </c>
    </row>
    <row r="895" spans="1:12" ht="120" customHeight="1" x14ac:dyDescent="0.3">
      <c r="A895" s="2">
        <v>891</v>
      </c>
      <c r="B895" s="66" t="s">
        <v>330</v>
      </c>
      <c r="C895" s="66" t="s">
        <v>825</v>
      </c>
      <c r="D895" s="11">
        <v>5698</v>
      </c>
      <c r="E895" s="11">
        <v>5698</v>
      </c>
      <c r="F895" s="3"/>
      <c r="G895" s="2"/>
      <c r="H895" s="3">
        <v>43053</v>
      </c>
      <c r="I895" s="2" t="s">
        <v>19506</v>
      </c>
      <c r="J895" s="2" t="s">
        <v>15048</v>
      </c>
      <c r="K895" s="2"/>
      <c r="L895" s="82" t="s">
        <v>19512</v>
      </c>
    </row>
    <row r="896" spans="1:12" ht="120" customHeight="1" x14ac:dyDescent="0.3">
      <c r="A896" s="2">
        <v>892</v>
      </c>
      <c r="B896" s="66" t="s">
        <v>331</v>
      </c>
      <c r="C896" s="66" t="s">
        <v>826</v>
      </c>
      <c r="D896" s="11">
        <v>3819.47</v>
      </c>
      <c r="E896" s="11">
        <v>3819.47</v>
      </c>
      <c r="F896" s="3"/>
      <c r="G896" s="2"/>
      <c r="H896" s="3">
        <v>43053</v>
      </c>
      <c r="I896" s="2" t="s">
        <v>19506</v>
      </c>
      <c r="J896" s="2" t="s">
        <v>15048</v>
      </c>
      <c r="K896" s="2"/>
      <c r="L896" s="82" t="s">
        <v>19512</v>
      </c>
    </row>
    <row r="897" spans="1:12" ht="120" customHeight="1" x14ac:dyDescent="0.3">
      <c r="A897" s="2">
        <v>893</v>
      </c>
      <c r="B897" s="66" t="s">
        <v>332</v>
      </c>
      <c r="C897" s="66" t="s">
        <v>827</v>
      </c>
      <c r="D897" s="11">
        <v>13000</v>
      </c>
      <c r="E897" s="11">
        <v>13000</v>
      </c>
      <c r="F897" s="3"/>
      <c r="G897" s="2"/>
      <c r="H897" s="3">
        <v>43053</v>
      </c>
      <c r="I897" s="2" t="s">
        <v>19506</v>
      </c>
      <c r="J897" s="2" t="s">
        <v>15048</v>
      </c>
      <c r="K897" s="2"/>
      <c r="L897" s="82" t="s">
        <v>19512</v>
      </c>
    </row>
    <row r="898" spans="1:12" ht="120" customHeight="1" x14ac:dyDescent="0.3">
      <c r="A898" s="2">
        <v>894</v>
      </c>
      <c r="B898" s="66" t="s">
        <v>333</v>
      </c>
      <c r="C898" s="66" t="s">
        <v>828</v>
      </c>
      <c r="D898" s="11">
        <v>5402.43</v>
      </c>
      <c r="E898" s="11">
        <v>5402.43</v>
      </c>
      <c r="F898" s="3"/>
      <c r="G898" s="2"/>
      <c r="H898" s="3">
        <v>43053</v>
      </c>
      <c r="I898" s="2" t="s">
        <v>19506</v>
      </c>
      <c r="J898" s="2" t="s">
        <v>15048</v>
      </c>
      <c r="K898" s="2"/>
      <c r="L898" s="82" t="s">
        <v>19512</v>
      </c>
    </row>
    <row r="899" spans="1:12" ht="72" customHeight="1" x14ac:dyDescent="0.3">
      <c r="A899" s="2">
        <v>895</v>
      </c>
      <c r="B899" s="66" t="s">
        <v>334</v>
      </c>
      <c r="C899" s="66" t="s">
        <v>829</v>
      </c>
      <c r="D899" s="11">
        <v>68550</v>
      </c>
      <c r="E899" s="11">
        <v>47985</v>
      </c>
      <c r="F899" s="3">
        <v>41818</v>
      </c>
      <c r="G899" s="2" t="s">
        <v>20216</v>
      </c>
      <c r="H899" s="2"/>
      <c r="I899" s="2"/>
      <c r="J899" s="2" t="s">
        <v>15048</v>
      </c>
      <c r="K899" s="2"/>
      <c r="L899" s="82"/>
    </row>
    <row r="900" spans="1:12" ht="72" customHeight="1" x14ac:dyDescent="0.3">
      <c r="A900" s="2">
        <v>896</v>
      </c>
      <c r="B900" s="66" t="s">
        <v>334</v>
      </c>
      <c r="C900" s="66" t="s">
        <v>830</v>
      </c>
      <c r="D900" s="11">
        <v>68550</v>
      </c>
      <c r="E900" s="11">
        <v>47985</v>
      </c>
      <c r="F900" s="3">
        <v>41818</v>
      </c>
      <c r="G900" s="2" t="s">
        <v>20217</v>
      </c>
      <c r="H900" s="2"/>
      <c r="I900" s="2"/>
      <c r="J900" s="2" t="s">
        <v>15048</v>
      </c>
      <c r="K900" s="2"/>
      <c r="L900" s="82"/>
    </row>
    <row r="901" spans="1:12" ht="120" customHeight="1" x14ac:dyDescent="0.3">
      <c r="A901" s="2">
        <v>897</v>
      </c>
      <c r="B901" s="66" t="s">
        <v>319</v>
      </c>
      <c r="C901" s="66" t="s">
        <v>831</v>
      </c>
      <c r="D901" s="11">
        <v>6870.55</v>
      </c>
      <c r="E901" s="11">
        <v>6870.55</v>
      </c>
      <c r="F901" s="3"/>
      <c r="G901" s="2"/>
      <c r="H901" s="3">
        <v>43053</v>
      </c>
      <c r="I901" s="2" t="s">
        <v>19506</v>
      </c>
      <c r="J901" s="2" t="s">
        <v>15048</v>
      </c>
      <c r="K901" s="2"/>
      <c r="L901" s="82" t="s">
        <v>19512</v>
      </c>
    </row>
    <row r="902" spans="1:12" ht="120" customHeight="1" x14ac:dyDescent="0.3">
      <c r="A902" s="2">
        <v>898</v>
      </c>
      <c r="B902" s="66" t="s">
        <v>335</v>
      </c>
      <c r="C902" s="66" t="s">
        <v>832</v>
      </c>
      <c r="D902" s="11">
        <v>28500</v>
      </c>
      <c r="E902" s="11">
        <v>28500</v>
      </c>
      <c r="F902" s="3"/>
      <c r="G902" s="2"/>
      <c r="H902" s="3">
        <v>43053</v>
      </c>
      <c r="I902" s="2" t="s">
        <v>19506</v>
      </c>
      <c r="J902" s="2" t="s">
        <v>15048</v>
      </c>
      <c r="K902" s="2"/>
      <c r="L902" s="82" t="s">
        <v>19512</v>
      </c>
    </row>
    <row r="903" spans="1:12" ht="120" customHeight="1" x14ac:dyDescent="0.3">
      <c r="A903" s="2">
        <v>899</v>
      </c>
      <c r="B903" s="66" t="s">
        <v>336</v>
      </c>
      <c r="C903" s="66" t="s">
        <v>833</v>
      </c>
      <c r="D903" s="11">
        <v>4452</v>
      </c>
      <c r="E903" s="11">
        <v>4452</v>
      </c>
      <c r="F903" s="3"/>
      <c r="G903" s="2"/>
      <c r="H903" s="3">
        <v>43053</v>
      </c>
      <c r="I903" s="2" t="s">
        <v>19506</v>
      </c>
      <c r="J903" s="2" t="s">
        <v>15048</v>
      </c>
      <c r="K903" s="2"/>
      <c r="L903" s="82" t="s">
        <v>19512</v>
      </c>
    </row>
    <row r="904" spans="1:12" ht="72" customHeight="1" x14ac:dyDescent="0.3">
      <c r="A904" s="2">
        <v>900</v>
      </c>
      <c r="B904" s="66" t="s">
        <v>19318</v>
      </c>
      <c r="C904" s="66">
        <v>1101340139</v>
      </c>
      <c r="D904" s="11">
        <v>62300</v>
      </c>
      <c r="E904" s="11">
        <v>12459.96</v>
      </c>
      <c r="F904" s="3">
        <v>42613</v>
      </c>
      <c r="G904" s="2" t="s">
        <v>19319</v>
      </c>
      <c r="H904" s="2"/>
      <c r="I904" s="2"/>
      <c r="J904" s="2" t="s">
        <v>15048</v>
      </c>
      <c r="K904" s="2"/>
      <c r="L904" s="82"/>
    </row>
    <row r="905" spans="1:12" ht="72" customHeight="1" x14ac:dyDescent="0.3">
      <c r="A905" s="2">
        <v>901</v>
      </c>
      <c r="B905" s="66" t="s">
        <v>19320</v>
      </c>
      <c r="C905" s="66">
        <v>1101340138</v>
      </c>
      <c r="D905" s="11">
        <v>90205</v>
      </c>
      <c r="E905" s="11">
        <v>18041.04</v>
      </c>
      <c r="F905" s="3">
        <v>42613</v>
      </c>
      <c r="G905" s="2" t="s">
        <v>19319</v>
      </c>
      <c r="H905" s="2"/>
      <c r="I905" s="2"/>
      <c r="J905" s="2" t="s">
        <v>15048</v>
      </c>
      <c r="K905" s="2"/>
      <c r="L905" s="82"/>
    </row>
    <row r="906" spans="1:12" ht="108" customHeight="1" x14ac:dyDescent="0.3">
      <c r="A906" s="2">
        <v>902</v>
      </c>
      <c r="B906" s="66" t="s">
        <v>19321</v>
      </c>
      <c r="C906" s="66">
        <v>1101340005</v>
      </c>
      <c r="D906" s="11">
        <v>111612.67</v>
      </c>
      <c r="E906" s="11">
        <v>49162.64</v>
      </c>
      <c r="F906" s="3">
        <v>42328</v>
      </c>
      <c r="G906" s="2" t="s">
        <v>12045</v>
      </c>
      <c r="H906" s="2"/>
      <c r="I906" s="2"/>
      <c r="J906" s="2" t="s">
        <v>13904</v>
      </c>
      <c r="K906" s="2" t="s">
        <v>20917</v>
      </c>
      <c r="L906" s="82"/>
    </row>
    <row r="907" spans="1:12" ht="120" customHeight="1" x14ac:dyDescent="0.3">
      <c r="A907" s="2">
        <v>903</v>
      </c>
      <c r="B907" s="66" t="s">
        <v>337</v>
      </c>
      <c r="C907" s="66" t="s">
        <v>836</v>
      </c>
      <c r="D907" s="11">
        <v>39377.47</v>
      </c>
      <c r="E907" s="11">
        <v>39377.47</v>
      </c>
      <c r="F907" s="3"/>
      <c r="G907" s="2"/>
      <c r="H907" s="3">
        <v>43053</v>
      </c>
      <c r="I907" s="2" t="s">
        <v>19506</v>
      </c>
      <c r="J907" s="2" t="s">
        <v>15048</v>
      </c>
      <c r="K907" s="2"/>
      <c r="L907" s="82" t="s">
        <v>19512</v>
      </c>
    </row>
    <row r="908" spans="1:12" ht="72" customHeight="1" x14ac:dyDescent="0.3">
      <c r="A908" s="2">
        <v>904</v>
      </c>
      <c r="B908" s="66" t="s">
        <v>338</v>
      </c>
      <c r="C908" s="66" t="s">
        <v>837</v>
      </c>
      <c r="D908" s="11">
        <v>155000</v>
      </c>
      <c r="E908" s="11">
        <v>53388.82</v>
      </c>
      <c r="F908" s="3" t="s">
        <v>20218</v>
      </c>
      <c r="G908" s="2" t="s">
        <v>20219</v>
      </c>
      <c r="H908" s="2"/>
      <c r="I908" s="2"/>
      <c r="J908" s="2" t="s">
        <v>15048</v>
      </c>
      <c r="K908" s="2"/>
      <c r="L908" s="82"/>
    </row>
    <row r="909" spans="1:12" ht="72" customHeight="1" x14ac:dyDescent="0.3">
      <c r="A909" s="2">
        <v>905</v>
      </c>
      <c r="B909" s="66" t="s">
        <v>21340</v>
      </c>
      <c r="C909" s="66" t="s">
        <v>838</v>
      </c>
      <c r="D909" s="11">
        <v>548953.34</v>
      </c>
      <c r="E909" s="11">
        <v>54895.32</v>
      </c>
      <c r="F909" s="3">
        <v>41995</v>
      </c>
      <c r="G909" s="2" t="s">
        <v>20066</v>
      </c>
      <c r="H909" s="2"/>
      <c r="I909" s="2"/>
      <c r="J909" s="2" t="s">
        <v>15048</v>
      </c>
      <c r="K909" s="2"/>
      <c r="L909" s="82" t="s">
        <v>20068</v>
      </c>
    </row>
    <row r="910" spans="1:12" ht="132" customHeight="1" x14ac:dyDescent="0.3">
      <c r="A910" s="2">
        <v>906</v>
      </c>
      <c r="B910" s="66" t="s">
        <v>18346</v>
      </c>
      <c r="C910" s="66" t="s">
        <v>839</v>
      </c>
      <c r="D910" s="11">
        <v>416448</v>
      </c>
      <c r="E910" s="11">
        <v>416448</v>
      </c>
      <c r="F910" s="3" t="s">
        <v>18605</v>
      </c>
      <c r="G910" s="2" t="s">
        <v>18606</v>
      </c>
      <c r="H910" s="2"/>
      <c r="I910" s="2"/>
      <c r="J910" s="2" t="s">
        <v>13904</v>
      </c>
      <c r="K910" s="2" t="s">
        <v>18540</v>
      </c>
      <c r="L910" s="82" t="s">
        <v>20106</v>
      </c>
    </row>
    <row r="911" spans="1:12" ht="84" customHeight="1" x14ac:dyDescent="0.3">
      <c r="A911" s="2">
        <v>907</v>
      </c>
      <c r="B911" s="66" t="s">
        <v>12046</v>
      </c>
      <c r="C911" s="66">
        <v>1101350009</v>
      </c>
      <c r="D911" s="11">
        <v>498000</v>
      </c>
      <c r="E911" s="11">
        <v>498000</v>
      </c>
      <c r="F911" s="3">
        <v>42328</v>
      </c>
      <c r="G911" s="2" t="s">
        <v>12045</v>
      </c>
      <c r="H911" s="2"/>
      <c r="I911" s="2"/>
      <c r="J911" s="2" t="s">
        <v>13904</v>
      </c>
      <c r="K911" s="2" t="s">
        <v>21342</v>
      </c>
      <c r="L911" s="82"/>
    </row>
    <row r="912" spans="1:12" ht="84" customHeight="1" x14ac:dyDescent="0.3">
      <c r="A912" s="2">
        <v>908</v>
      </c>
      <c r="B912" s="66" t="s">
        <v>339</v>
      </c>
      <c r="C912" s="66">
        <v>1101350010</v>
      </c>
      <c r="D912" s="11">
        <v>896217.63</v>
      </c>
      <c r="E912" s="11">
        <v>440496.54</v>
      </c>
      <c r="F912" s="3">
        <v>42328</v>
      </c>
      <c r="G912" s="2" t="s">
        <v>12045</v>
      </c>
      <c r="H912" s="2"/>
      <c r="I912" s="2"/>
      <c r="J912" s="2" t="s">
        <v>13904</v>
      </c>
      <c r="K912" s="2" t="s">
        <v>21342</v>
      </c>
      <c r="L912" s="82"/>
    </row>
    <row r="913" spans="1:15" ht="72" customHeight="1" x14ac:dyDescent="0.3">
      <c r="A913" s="2">
        <v>909</v>
      </c>
      <c r="B913" s="66" t="s">
        <v>21341</v>
      </c>
      <c r="C913" s="66" t="s">
        <v>840</v>
      </c>
      <c r="D913" s="11">
        <v>451000</v>
      </c>
      <c r="E913" s="11">
        <v>82683.37</v>
      </c>
      <c r="F913" s="3">
        <v>41821</v>
      </c>
      <c r="G913" s="2" t="s">
        <v>20067</v>
      </c>
      <c r="H913" s="2"/>
      <c r="I913" s="2"/>
      <c r="J913" s="2" t="s">
        <v>15048</v>
      </c>
      <c r="K913" s="2"/>
      <c r="L913" s="82" t="s">
        <v>20069</v>
      </c>
    </row>
    <row r="914" spans="1:15" ht="84" customHeight="1" x14ac:dyDescent="0.3">
      <c r="A914" s="2">
        <v>910</v>
      </c>
      <c r="B914" s="66" t="s">
        <v>12049</v>
      </c>
      <c r="C914" s="66">
        <v>1101000002</v>
      </c>
      <c r="D914" s="11">
        <v>1000000</v>
      </c>
      <c r="E914" s="11">
        <v>1000000</v>
      </c>
      <c r="F914" s="3">
        <v>42328</v>
      </c>
      <c r="G914" s="2" t="s">
        <v>12045</v>
      </c>
      <c r="H914" s="2"/>
      <c r="I914" s="2"/>
      <c r="J914" s="2" t="s">
        <v>13904</v>
      </c>
      <c r="K914" s="2" t="s">
        <v>21342</v>
      </c>
      <c r="L914" s="82"/>
    </row>
    <row r="915" spans="1:15" ht="84" customHeight="1" x14ac:dyDescent="0.3">
      <c r="A915" s="2">
        <v>911</v>
      </c>
      <c r="B915" s="66" t="s">
        <v>16282</v>
      </c>
      <c r="C915" s="66">
        <v>1101350016</v>
      </c>
      <c r="D915" s="11">
        <v>601487.5</v>
      </c>
      <c r="E915" s="11">
        <v>380942.02</v>
      </c>
      <c r="F915" s="3">
        <v>41793</v>
      </c>
      <c r="G915" s="2" t="s">
        <v>20072</v>
      </c>
      <c r="H915" s="2"/>
      <c r="I915" s="2"/>
      <c r="J915" s="2" t="s">
        <v>13904</v>
      </c>
      <c r="K915" s="2" t="s">
        <v>21342</v>
      </c>
      <c r="L915" s="82"/>
    </row>
    <row r="916" spans="1:15" ht="132" customHeight="1" x14ac:dyDescent="0.3">
      <c r="A916" s="2">
        <v>912</v>
      </c>
      <c r="B916" s="66" t="s">
        <v>17955</v>
      </c>
      <c r="C916" s="66">
        <v>41012500016</v>
      </c>
      <c r="D916" s="11">
        <v>289830.51</v>
      </c>
      <c r="E916" s="11">
        <v>289830.51</v>
      </c>
      <c r="F916" s="3">
        <v>42403</v>
      </c>
      <c r="G916" s="2" t="s">
        <v>16271</v>
      </c>
      <c r="H916" s="2"/>
      <c r="I916" s="2"/>
      <c r="J916" s="2" t="s">
        <v>13904</v>
      </c>
      <c r="K916" s="2" t="s">
        <v>18539</v>
      </c>
      <c r="L916" s="82" t="s">
        <v>18696</v>
      </c>
    </row>
    <row r="917" spans="1:15" ht="84" customHeight="1" x14ac:dyDescent="0.3">
      <c r="A917" s="2">
        <v>913</v>
      </c>
      <c r="B917" s="66" t="s">
        <v>12047</v>
      </c>
      <c r="C917" s="66">
        <v>1101350011</v>
      </c>
      <c r="D917" s="11">
        <v>330000</v>
      </c>
      <c r="E917" s="11">
        <v>330000</v>
      </c>
      <c r="F917" s="3">
        <v>42328</v>
      </c>
      <c r="G917" s="2" t="s">
        <v>12045</v>
      </c>
      <c r="H917" s="2"/>
      <c r="I917" s="2"/>
      <c r="J917" s="2" t="s">
        <v>13904</v>
      </c>
      <c r="K917" s="2" t="s">
        <v>21342</v>
      </c>
      <c r="L917" s="82"/>
    </row>
    <row r="918" spans="1:15" ht="72" customHeight="1" x14ac:dyDescent="0.3">
      <c r="A918" s="2">
        <v>914</v>
      </c>
      <c r="B918" s="66" t="s">
        <v>340</v>
      </c>
      <c r="C918" s="66" t="s">
        <v>841</v>
      </c>
      <c r="D918" s="11">
        <v>189273.60000000001</v>
      </c>
      <c r="E918" s="11">
        <v>189273.60000000001</v>
      </c>
      <c r="F918" s="3">
        <v>36256</v>
      </c>
      <c r="G918" s="2" t="s">
        <v>19266</v>
      </c>
      <c r="H918" s="3">
        <v>42276</v>
      </c>
      <c r="I918" s="2" t="s">
        <v>19267</v>
      </c>
      <c r="J918" s="2" t="s">
        <v>15048</v>
      </c>
      <c r="K918" s="2"/>
      <c r="L918" s="82"/>
    </row>
    <row r="919" spans="1:15" ht="72" customHeight="1" x14ac:dyDescent="0.3">
      <c r="A919" s="2">
        <v>915</v>
      </c>
      <c r="B919" s="66" t="s">
        <v>341</v>
      </c>
      <c r="C919" s="66" t="s">
        <v>842</v>
      </c>
      <c r="D919" s="11">
        <v>178022.39999999999</v>
      </c>
      <c r="E919" s="11">
        <v>178022.39999999999</v>
      </c>
      <c r="F919" s="3">
        <v>39507</v>
      </c>
      <c r="G919" s="2" t="s">
        <v>19266</v>
      </c>
      <c r="H919" s="3">
        <v>42276</v>
      </c>
      <c r="I919" s="2" t="s">
        <v>19268</v>
      </c>
      <c r="J919" s="2" t="s">
        <v>15048</v>
      </c>
      <c r="K919" s="2"/>
      <c r="L919" s="82"/>
    </row>
    <row r="920" spans="1:15" ht="84" customHeight="1" x14ac:dyDescent="0.3">
      <c r="A920" s="2">
        <v>916</v>
      </c>
      <c r="B920" s="66" t="s">
        <v>12048</v>
      </c>
      <c r="C920" s="66">
        <v>1101350012</v>
      </c>
      <c r="D920" s="11">
        <v>1200000</v>
      </c>
      <c r="E920" s="11">
        <v>1120000</v>
      </c>
      <c r="F920" s="3">
        <v>42328</v>
      </c>
      <c r="G920" s="2" t="s">
        <v>12045</v>
      </c>
      <c r="H920" s="2"/>
      <c r="I920" s="2"/>
      <c r="J920" s="2" t="s">
        <v>13904</v>
      </c>
      <c r="K920" s="2" t="s">
        <v>21342</v>
      </c>
      <c r="L920" s="82"/>
    </row>
    <row r="921" spans="1:15" ht="84" customHeight="1" x14ac:dyDescent="0.3">
      <c r="A921" s="2">
        <v>917</v>
      </c>
      <c r="B921" s="66" t="s">
        <v>16281</v>
      </c>
      <c r="C921" s="66">
        <v>1101350015</v>
      </c>
      <c r="D921" s="11">
        <v>604500</v>
      </c>
      <c r="E921" s="11">
        <v>382850</v>
      </c>
      <c r="F921" s="3">
        <v>41793</v>
      </c>
      <c r="G921" s="2" t="s">
        <v>20073</v>
      </c>
      <c r="H921" s="2"/>
      <c r="I921" s="2"/>
      <c r="J921" s="2" t="s">
        <v>13904</v>
      </c>
      <c r="K921" s="2" t="s">
        <v>21342</v>
      </c>
      <c r="L921" s="82"/>
    </row>
    <row r="922" spans="1:15" s="19" customFormat="1" ht="84" customHeight="1" x14ac:dyDescent="0.3">
      <c r="A922" s="2">
        <v>918</v>
      </c>
      <c r="B922" s="66" t="s">
        <v>843</v>
      </c>
      <c r="C922" s="66"/>
      <c r="D922" s="11">
        <v>4417.38</v>
      </c>
      <c r="E922" s="11">
        <v>4417.38</v>
      </c>
      <c r="F922" s="3" t="s">
        <v>856</v>
      </c>
      <c r="G922" s="14" t="s">
        <v>875</v>
      </c>
      <c r="H922" s="3">
        <v>43053</v>
      </c>
      <c r="I922" s="2" t="s">
        <v>19506</v>
      </c>
      <c r="J922" s="2" t="s">
        <v>13904</v>
      </c>
      <c r="K922" s="14" t="s">
        <v>22283</v>
      </c>
      <c r="L922" s="2" t="s">
        <v>19512</v>
      </c>
      <c r="M922" s="18"/>
      <c r="N922" s="18"/>
      <c r="O922" s="18"/>
    </row>
    <row r="923" spans="1:15" ht="84" customHeight="1" x14ac:dyDescent="0.3">
      <c r="A923" s="2">
        <v>919</v>
      </c>
      <c r="B923" s="66" t="s">
        <v>218</v>
      </c>
      <c r="C923" s="66"/>
      <c r="D923" s="11">
        <v>40766</v>
      </c>
      <c r="E923" s="11" t="s">
        <v>857</v>
      </c>
      <c r="F923" s="3" t="s">
        <v>858</v>
      </c>
      <c r="G923" s="14" t="s">
        <v>875</v>
      </c>
      <c r="H923" s="3">
        <v>43053</v>
      </c>
      <c r="I923" s="2" t="s">
        <v>19506</v>
      </c>
      <c r="J923" s="2" t="s">
        <v>13904</v>
      </c>
      <c r="K923" s="14" t="s">
        <v>22283</v>
      </c>
      <c r="L923" s="2" t="s">
        <v>19512</v>
      </c>
    </row>
    <row r="924" spans="1:15" ht="84" customHeight="1" x14ac:dyDescent="0.3">
      <c r="A924" s="2">
        <v>920</v>
      </c>
      <c r="B924" s="66" t="s">
        <v>228</v>
      </c>
      <c r="C924" s="66"/>
      <c r="D924" s="11">
        <v>3645</v>
      </c>
      <c r="E924" s="11">
        <v>3645</v>
      </c>
      <c r="F924" s="3" t="s">
        <v>859</v>
      </c>
      <c r="G924" s="14" t="s">
        <v>875</v>
      </c>
      <c r="H924" s="3">
        <v>43053</v>
      </c>
      <c r="I924" s="2" t="s">
        <v>19506</v>
      </c>
      <c r="J924" s="2" t="s">
        <v>13904</v>
      </c>
      <c r="K924" s="14" t="s">
        <v>22283</v>
      </c>
      <c r="L924" s="2" t="s">
        <v>19512</v>
      </c>
    </row>
    <row r="925" spans="1:15" ht="84" customHeight="1" x14ac:dyDescent="0.3">
      <c r="A925" s="2">
        <v>921</v>
      </c>
      <c r="B925" s="66" t="s">
        <v>844</v>
      </c>
      <c r="C925" s="66"/>
      <c r="D925" s="11">
        <v>18390</v>
      </c>
      <c r="E925" s="11">
        <v>18390</v>
      </c>
      <c r="F925" s="3" t="s">
        <v>860</v>
      </c>
      <c r="G925" s="14" t="s">
        <v>875</v>
      </c>
      <c r="H925" s="3">
        <v>43053</v>
      </c>
      <c r="I925" s="2" t="s">
        <v>19506</v>
      </c>
      <c r="J925" s="2" t="s">
        <v>13904</v>
      </c>
      <c r="K925" s="14" t="s">
        <v>22283</v>
      </c>
      <c r="L925" s="2" t="s">
        <v>19512</v>
      </c>
    </row>
    <row r="926" spans="1:15" ht="84" customHeight="1" x14ac:dyDescent="0.3">
      <c r="A926" s="2">
        <v>922</v>
      </c>
      <c r="B926" s="66" t="s">
        <v>845</v>
      </c>
      <c r="C926" s="66"/>
      <c r="D926" s="11">
        <v>25000</v>
      </c>
      <c r="E926" s="11">
        <v>25000</v>
      </c>
      <c r="F926" s="3" t="s">
        <v>861</v>
      </c>
      <c r="G926" s="14" t="s">
        <v>875</v>
      </c>
      <c r="H926" s="3">
        <v>43053</v>
      </c>
      <c r="I926" s="2" t="s">
        <v>19506</v>
      </c>
      <c r="J926" s="2" t="s">
        <v>13904</v>
      </c>
      <c r="K926" s="14" t="s">
        <v>22283</v>
      </c>
      <c r="L926" s="2" t="s">
        <v>19512</v>
      </c>
    </row>
    <row r="927" spans="1:15" ht="84" customHeight="1" x14ac:dyDescent="0.3">
      <c r="A927" s="2">
        <v>923</v>
      </c>
      <c r="B927" s="66" t="s">
        <v>273</v>
      </c>
      <c r="C927" s="66"/>
      <c r="D927" s="11">
        <v>10000</v>
      </c>
      <c r="E927" s="11">
        <v>10000</v>
      </c>
      <c r="F927" s="3" t="s">
        <v>861</v>
      </c>
      <c r="G927" s="14" t="s">
        <v>875</v>
      </c>
      <c r="H927" s="3">
        <v>43053</v>
      </c>
      <c r="I927" s="2" t="s">
        <v>19506</v>
      </c>
      <c r="J927" s="2" t="s">
        <v>13904</v>
      </c>
      <c r="K927" s="14" t="s">
        <v>22283</v>
      </c>
      <c r="L927" s="2" t="s">
        <v>19512</v>
      </c>
    </row>
    <row r="928" spans="1:15" ht="84" customHeight="1" x14ac:dyDescent="0.3">
      <c r="A928" s="2">
        <v>924</v>
      </c>
      <c r="B928" s="66" t="s">
        <v>846</v>
      </c>
      <c r="C928" s="66"/>
      <c r="D928" s="11">
        <v>4700</v>
      </c>
      <c r="E928" s="11">
        <v>4700</v>
      </c>
      <c r="F928" s="3" t="s">
        <v>862</v>
      </c>
      <c r="G928" s="14" t="s">
        <v>875</v>
      </c>
      <c r="H928" s="3">
        <v>43053</v>
      </c>
      <c r="I928" s="2" t="s">
        <v>19506</v>
      </c>
      <c r="J928" s="2" t="s">
        <v>13904</v>
      </c>
      <c r="K928" s="14" t="s">
        <v>22283</v>
      </c>
      <c r="L928" s="2" t="s">
        <v>19512</v>
      </c>
    </row>
    <row r="929" spans="1:12" ht="108" customHeight="1" x14ac:dyDescent="0.3">
      <c r="A929" s="2">
        <v>925</v>
      </c>
      <c r="B929" s="66" t="s">
        <v>218</v>
      </c>
      <c r="C929" s="66" t="s">
        <v>22292</v>
      </c>
      <c r="D929" s="11">
        <v>59230.92</v>
      </c>
      <c r="E929" s="11">
        <v>59230.92</v>
      </c>
      <c r="F929" s="3" t="s">
        <v>863</v>
      </c>
      <c r="G929" s="14" t="s">
        <v>875</v>
      </c>
      <c r="H929" s="2"/>
      <c r="I929" s="2"/>
      <c r="J929" s="2" t="s">
        <v>13904</v>
      </c>
      <c r="K929" s="14" t="s">
        <v>22290</v>
      </c>
      <c r="L929" s="82"/>
    </row>
    <row r="930" spans="1:12" ht="108" customHeight="1" x14ac:dyDescent="0.3">
      <c r="A930" s="2">
        <v>926</v>
      </c>
      <c r="B930" s="66" t="s">
        <v>22294</v>
      </c>
      <c r="C930" s="66" t="s">
        <v>22295</v>
      </c>
      <c r="D930" s="11">
        <v>72100</v>
      </c>
      <c r="E930" s="11">
        <v>41657.85</v>
      </c>
      <c r="F930" s="3">
        <v>42606</v>
      </c>
      <c r="G930" s="14" t="s">
        <v>875</v>
      </c>
      <c r="H930" s="3"/>
      <c r="I930" s="2"/>
      <c r="J930" s="2" t="s">
        <v>13904</v>
      </c>
      <c r="K930" s="14" t="s">
        <v>22290</v>
      </c>
      <c r="L930" s="82"/>
    </row>
    <row r="931" spans="1:12" ht="108" customHeight="1" x14ac:dyDescent="0.3">
      <c r="A931" s="2">
        <v>927</v>
      </c>
      <c r="B931" s="66" t="s">
        <v>22296</v>
      </c>
      <c r="C931" s="66" t="s">
        <v>22297</v>
      </c>
      <c r="D931" s="11">
        <v>74310</v>
      </c>
      <c r="E931" s="11">
        <v>23531.5</v>
      </c>
      <c r="F931" s="3" t="s">
        <v>865</v>
      </c>
      <c r="G931" s="14" t="s">
        <v>875</v>
      </c>
      <c r="H931" s="3"/>
      <c r="I931" s="2"/>
      <c r="J931" s="2" t="s">
        <v>13904</v>
      </c>
      <c r="K931" s="14" t="s">
        <v>22290</v>
      </c>
      <c r="L931" s="82"/>
    </row>
    <row r="932" spans="1:12" ht="84" customHeight="1" x14ac:dyDescent="0.3">
      <c r="A932" s="2">
        <v>928</v>
      </c>
      <c r="B932" s="66" t="s">
        <v>21785</v>
      </c>
      <c r="C932" s="66" t="s">
        <v>21781</v>
      </c>
      <c r="D932" s="11">
        <v>3564649.24</v>
      </c>
      <c r="E932" s="11"/>
      <c r="F932" s="3" t="s">
        <v>21782</v>
      </c>
      <c r="G932" s="14" t="s">
        <v>22665</v>
      </c>
      <c r="H932" s="2"/>
      <c r="I932" s="2"/>
      <c r="J932" s="2" t="s">
        <v>13904</v>
      </c>
      <c r="K932" s="14" t="s">
        <v>22692</v>
      </c>
      <c r="L932" s="246" t="s">
        <v>22955</v>
      </c>
    </row>
    <row r="933" spans="1:12" ht="108" customHeight="1" x14ac:dyDescent="0.3">
      <c r="A933" s="2">
        <v>929</v>
      </c>
      <c r="B933" s="66" t="s">
        <v>21786</v>
      </c>
      <c r="C933" s="66" t="s">
        <v>21783</v>
      </c>
      <c r="D933" s="11">
        <v>1556466.64</v>
      </c>
      <c r="E933" s="11"/>
      <c r="F933" s="3" t="s">
        <v>21782</v>
      </c>
      <c r="G933" s="14" t="s">
        <v>22666</v>
      </c>
      <c r="H933" s="3"/>
      <c r="I933" s="2"/>
      <c r="J933" s="242" t="s">
        <v>13904</v>
      </c>
      <c r="K933" s="14" t="s">
        <v>22692</v>
      </c>
      <c r="L933" s="246" t="s">
        <v>22955</v>
      </c>
    </row>
    <row r="934" spans="1:12" ht="84" customHeight="1" x14ac:dyDescent="0.3">
      <c r="A934" s="2">
        <v>930</v>
      </c>
      <c r="B934" s="66" t="s">
        <v>21787</v>
      </c>
      <c r="C934" s="66" t="s">
        <v>21784</v>
      </c>
      <c r="D934" s="11">
        <v>4855376.62</v>
      </c>
      <c r="E934" s="11"/>
      <c r="F934" s="3">
        <v>43439</v>
      </c>
      <c r="G934" s="14" t="s">
        <v>22667</v>
      </c>
      <c r="H934" s="3"/>
      <c r="I934" s="2"/>
      <c r="J934" s="242" t="s">
        <v>13904</v>
      </c>
      <c r="K934" s="14" t="s">
        <v>22692</v>
      </c>
      <c r="L934" s="246" t="s">
        <v>22955</v>
      </c>
    </row>
    <row r="935" spans="1:12" ht="108" customHeight="1" x14ac:dyDescent="0.3">
      <c r="A935" s="2">
        <v>931</v>
      </c>
      <c r="B935" s="66" t="s">
        <v>22298</v>
      </c>
      <c r="C935" s="66" t="s">
        <v>22299</v>
      </c>
      <c r="D935" s="11">
        <v>59530</v>
      </c>
      <c r="E935" s="11">
        <v>59530</v>
      </c>
      <c r="F935" s="3">
        <v>42061</v>
      </c>
      <c r="G935" s="14" t="s">
        <v>875</v>
      </c>
      <c r="H935" s="3"/>
      <c r="I935" s="2"/>
      <c r="J935" s="2" t="s">
        <v>13904</v>
      </c>
      <c r="K935" s="14" t="s">
        <v>22290</v>
      </c>
      <c r="L935" s="82"/>
    </row>
    <row r="936" spans="1:12" ht="108" customHeight="1" x14ac:dyDescent="0.3">
      <c r="A936" s="2">
        <v>932</v>
      </c>
      <c r="B936" s="66" t="s">
        <v>19320</v>
      </c>
      <c r="C936" s="66">
        <v>1101340205</v>
      </c>
      <c r="D936" s="11">
        <v>90205</v>
      </c>
      <c r="E936" s="11">
        <v>24054.720000000001</v>
      </c>
      <c r="F936" s="3">
        <v>43068</v>
      </c>
      <c r="G936" s="14" t="s">
        <v>875</v>
      </c>
      <c r="H936" s="3"/>
      <c r="I936" s="2"/>
      <c r="J936" s="2" t="s">
        <v>13904</v>
      </c>
      <c r="K936" s="14" t="s">
        <v>22290</v>
      </c>
      <c r="L936" s="82"/>
    </row>
    <row r="937" spans="1:12" ht="108" customHeight="1" x14ac:dyDescent="0.3">
      <c r="A937" s="2">
        <v>933</v>
      </c>
      <c r="B937" s="66" t="s">
        <v>22300</v>
      </c>
      <c r="C937" s="66">
        <v>1101340012</v>
      </c>
      <c r="D937" s="11">
        <v>594578.84</v>
      </c>
      <c r="E937" s="11">
        <v>495482.4</v>
      </c>
      <c r="F937" s="3">
        <v>42513</v>
      </c>
      <c r="G937" s="14" t="s">
        <v>22301</v>
      </c>
      <c r="H937" s="3"/>
      <c r="I937" s="2"/>
      <c r="J937" s="2" t="s">
        <v>13904</v>
      </c>
      <c r="K937" s="14" t="s">
        <v>22290</v>
      </c>
      <c r="L937" s="82"/>
    </row>
    <row r="938" spans="1:12" ht="108" customHeight="1" x14ac:dyDescent="0.3">
      <c r="A938" s="2">
        <v>934</v>
      </c>
      <c r="B938" s="66" t="s">
        <v>22302</v>
      </c>
      <c r="C938" s="66">
        <v>1101340182</v>
      </c>
      <c r="D938" s="11">
        <v>64500</v>
      </c>
      <c r="E938" s="11">
        <v>12900</v>
      </c>
      <c r="F938" s="3">
        <v>43059</v>
      </c>
      <c r="G938" s="14" t="s">
        <v>22303</v>
      </c>
      <c r="H938" s="3"/>
      <c r="I938" s="2"/>
      <c r="J938" s="2" t="s">
        <v>13904</v>
      </c>
      <c r="K938" s="14" t="s">
        <v>22290</v>
      </c>
      <c r="L938" s="82"/>
    </row>
    <row r="939" spans="1:12" ht="108" customHeight="1" x14ac:dyDescent="0.3">
      <c r="A939" s="2">
        <v>935</v>
      </c>
      <c r="B939" s="66" t="s">
        <v>22304</v>
      </c>
      <c r="C939" s="66">
        <v>1101340183</v>
      </c>
      <c r="D939" s="11">
        <v>67000</v>
      </c>
      <c r="E939" s="11">
        <v>22333.32</v>
      </c>
      <c r="F939" s="3" t="s">
        <v>22305</v>
      </c>
      <c r="G939" s="14" t="s">
        <v>22306</v>
      </c>
      <c r="H939" s="3"/>
      <c r="I939" s="2"/>
      <c r="J939" s="2" t="s">
        <v>13904</v>
      </c>
      <c r="K939" s="14" t="s">
        <v>22290</v>
      </c>
      <c r="L939" s="82"/>
    </row>
    <row r="940" spans="1:12" ht="108" customHeight="1" x14ac:dyDescent="0.3">
      <c r="A940" s="2">
        <v>936</v>
      </c>
      <c r="B940" s="66" t="s">
        <v>5069</v>
      </c>
      <c r="C940" s="66">
        <v>1101340202</v>
      </c>
      <c r="D940" s="11">
        <v>58540</v>
      </c>
      <c r="E940" s="11">
        <v>58540</v>
      </c>
      <c r="F940" s="3" t="s">
        <v>22307</v>
      </c>
      <c r="G940" s="14" t="s">
        <v>22308</v>
      </c>
      <c r="H940" s="3"/>
      <c r="I940" s="2"/>
      <c r="J940" s="2" t="s">
        <v>13904</v>
      </c>
      <c r="K940" s="14" t="s">
        <v>22290</v>
      </c>
      <c r="L940" s="82"/>
    </row>
    <row r="941" spans="1:12" ht="84" customHeight="1" x14ac:dyDescent="0.3">
      <c r="A941" s="2">
        <v>937</v>
      </c>
      <c r="B941" s="66" t="s">
        <v>848</v>
      </c>
      <c r="C941" s="66"/>
      <c r="D941" s="11">
        <v>12900</v>
      </c>
      <c r="E941" s="11">
        <v>12900</v>
      </c>
      <c r="F941" s="3" t="s">
        <v>867</v>
      </c>
      <c r="G941" s="14" t="s">
        <v>875</v>
      </c>
      <c r="H941" s="3">
        <v>43053</v>
      </c>
      <c r="I941" s="2" t="s">
        <v>19506</v>
      </c>
      <c r="J941" s="2" t="s">
        <v>13904</v>
      </c>
      <c r="K941" s="14" t="s">
        <v>22283</v>
      </c>
      <c r="L941" s="82" t="s">
        <v>19512</v>
      </c>
    </row>
    <row r="942" spans="1:12" ht="84" customHeight="1" x14ac:dyDescent="0.3">
      <c r="A942" s="2">
        <v>938</v>
      </c>
      <c r="B942" s="66" t="s">
        <v>849</v>
      </c>
      <c r="C942" s="66"/>
      <c r="D942" s="11">
        <v>19833</v>
      </c>
      <c r="E942" s="11">
        <v>19833</v>
      </c>
      <c r="F942" s="3" t="s">
        <v>868</v>
      </c>
      <c r="G942" s="14" t="s">
        <v>875</v>
      </c>
      <c r="H942" s="3">
        <v>43053</v>
      </c>
      <c r="I942" s="2" t="s">
        <v>19506</v>
      </c>
      <c r="J942" s="2" t="s">
        <v>13904</v>
      </c>
      <c r="K942" s="14" t="s">
        <v>22283</v>
      </c>
      <c r="L942" s="82" t="s">
        <v>19512</v>
      </c>
    </row>
    <row r="943" spans="1:12" ht="84" customHeight="1" x14ac:dyDescent="0.3">
      <c r="A943" s="2">
        <v>939</v>
      </c>
      <c r="B943" s="66" t="s">
        <v>267</v>
      </c>
      <c r="C943" s="66"/>
      <c r="D943" s="11">
        <v>6195.3</v>
      </c>
      <c r="E943" s="11">
        <v>6195.3</v>
      </c>
      <c r="F943" s="3" t="s">
        <v>869</v>
      </c>
      <c r="G943" s="14" t="s">
        <v>875</v>
      </c>
      <c r="H943" s="3">
        <v>43053</v>
      </c>
      <c r="I943" s="2" t="s">
        <v>19506</v>
      </c>
      <c r="J943" s="2" t="s">
        <v>13904</v>
      </c>
      <c r="K943" s="14" t="s">
        <v>22283</v>
      </c>
      <c r="L943" s="82" t="s">
        <v>19512</v>
      </c>
    </row>
    <row r="944" spans="1:12" ht="84" customHeight="1" x14ac:dyDescent="0.3">
      <c r="A944" s="2">
        <v>940</v>
      </c>
      <c r="B944" s="66" t="s">
        <v>850</v>
      </c>
      <c r="C944" s="66"/>
      <c r="D944" s="11">
        <v>4360</v>
      </c>
      <c r="E944" s="11">
        <v>4360</v>
      </c>
      <c r="F944" s="3" t="s">
        <v>870</v>
      </c>
      <c r="G944" s="14" t="s">
        <v>875</v>
      </c>
      <c r="H944" s="3">
        <v>43053</v>
      </c>
      <c r="I944" s="2" t="s">
        <v>19506</v>
      </c>
      <c r="J944" s="2" t="s">
        <v>13904</v>
      </c>
      <c r="K944" s="14" t="s">
        <v>22283</v>
      </c>
      <c r="L944" s="82" t="s">
        <v>19512</v>
      </c>
    </row>
    <row r="945" spans="1:12" ht="84" customHeight="1" x14ac:dyDescent="0.3">
      <c r="A945" s="2">
        <v>941</v>
      </c>
      <c r="B945" s="66" t="s">
        <v>218</v>
      </c>
      <c r="C945" s="66"/>
      <c r="D945" s="11">
        <v>38934</v>
      </c>
      <c r="E945" s="11">
        <v>38934</v>
      </c>
      <c r="F945" s="3" t="s">
        <v>871</v>
      </c>
      <c r="G945" s="14" t="s">
        <v>875</v>
      </c>
      <c r="H945" s="3">
        <v>43053</v>
      </c>
      <c r="I945" s="2" t="s">
        <v>19506</v>
      </c>
      <c r="J945" s="2" t="s">
        <v>13904</v>
      </c>
      <c r="K945" s="14" t="s">
        <v>22283</v>
      </c>
      <c r="L945" s="82" t="s">
        <v>19512</v>
      </c>
    </row>
    <row r="946" spans="1:12" ht="84" customHeight="1" x14ac:dyDescent="0.3">
      <c r="A946" s="2">
        <v>942</v>
      </c>
      <c r="B946" s="66" t="s">
        <v>851</v>
      </c>
      <c r="C946" s="66"/>
      <c r="D946" s="11">
        <v>3895</v>
      </c>
      <c r="E946" s="11">
        <v>3895</v>
      </c>
      <c r="F946" s="3" t="s">
        <v>871</v>
      </c>
      <c r="G946" s="14" t="s">
        <v>875</v>
      </c>
      <c r="H946" s="3">
        <v>43053</v>
      </c>
      <c r="I946" s="2" t="s">
        <v>19506</v>
      </c>
      <c r="J946" s="2" t="s">
        <v>13904</v>
      </c>
      <c r="K946" s="14" t="s">
        <v>22283</v>
      </c>
      <c r="L946" s="82" t="s">
        <v>19512</v>
      </c>
    </row>
    <row r="947" spans="1:12" ht="84" customHeight="1" x14ac:dyDescent="0.3">
      <c r="A947" s="2">
        <v>943</v>
      </c>
      <c r="B947" s="66" t="s">
        <v>852</v>
      </c>
      <c r="C947" s="66"/>
      <c r="D947" s="11">
        <v>9504</v>
      </c>
      <c r="E947" s="11">
        <v>9504</v>
      </c>
      <c r="F947" s="3" t="s">
        <v>871</v>
      </c>
      <c r="G947" s="14" t="s">
        <v>875</v>
      </c>
      <c r="H947" s="3">
        <v>43053</v>
      </c>
      <c r="I947" s="2" t="s">
        <v>19506</v>
      </c>
      <c r="J947" s="2" t="s">
        <v>13904</v>
      </c>
      <c r="K947" s="14" t="s">
        <v>22283</v>
      </c>
      <c r="L947" s="82" t="s">
        <v>19512</v>
      </c>
    </row>
    <row r="948" spans="1:12" ht="84" customHeight="1" x14ac:dyDescent="0.3">
      <c r="A948" s="2">
        <v>944</v>
      </c>
      <c r="B948" s="66" t="s">
        <v>853</v>
      </c>
      <c r="C948" s="66"/>
      <c r="D948" s="11">
        <v>11750</v>
      </c>
      <c r="E948" s="11">
        <v>11750</v>
      </c>
      <c r="F948" s="3" t="s">
        <v>872</v>
      </c>
      <c r="G948" s="14" t="s">
        <v>875</v>
      </c>
      <c r="H948" s="3">
        <v>43053</v>
      </c>
      <c r="I948" s="2" t="s">
        <v>19506</v>
      </c>
      <c r="J948" s="2" t="s">
        <v>13904</v>
      </c>
      <c r="K948" s="14" t="s">
        <v>22283</v>
      </c>
      <c r="L948" s="82" t="s">
        <v>19512</v>
      </c>
    </row>
    <row r="949" spans="1:12" ht="84" customHeight="1" x14ac:dyDescent="0.3">
      <c r="A949" s="2">
        <v>945</v>
      </c>
      <c r="B949" s="66" t="s">
        <v>854</v>
      </c>
      <c r="C949" s="66"/>
      <c r="D949" s="11">
        <v>8276.0499999999993</v>
      </c>
      <c r="E949" s="11">
        <v>8276.0499999999993</v>
      </c>
      <c r="F949" s="3" t="s">
        <v>873</v>
      </c>
      <c r="G949" s="14" t="s">
        <v>875</v>
      </c>
      <c r="H949" s="3">
        <v>43053</v>
      </c>
      <c r="I949" s="2" t="s">
        <v>19506</v>
      </c>
      <c r="J949" s="2" t="s">
        <v>13904</v>
      </c>
      <c r="K949" s="14" t="s">
        <v>22283</v>
      </c>
      <c r="L949" s="82" t="s">
        <v>19512</v>
      </c>
    </row>
    <row r="950" spans="1:12" ht="108" customHeight="1" x14ac:dyDescent="0.3">
      <c r="A950" s="2">
        <v>946</v>
      </c>
      <c r="B950" s="66" t="s">
        <v>855</v>
      </c>
      <c r="C950" s="66" t="s">
        <v>22291</v>
      </c>
      <c r="D950" s="11">
        <v>60000</v>
      </c>
      <c r="E950" s="11">
        <v>60000</v>
      </c>
      <c r="F950" s="3" t="s">
        <v>874</v>
      </c>
      <c r="G950" s="14" t="s">
        <v>875</v>
      </c>
      <c r="H950" s="2"/>
      <c r="I950" s="2"/>
      <c r="J950" s="2" t="s">
        <v>13904</v>
      </c>
      <c r="K950" s="2" t="s">
        <v>22290</v>
      </c>
      <c r="L950" s="82"/>
    </row>
    <row r="951" spans="1:12" ht="84" customHeight="1" x14ac:dyDescent="0.3">
      <c r="A951" s="2">
        <v>947</v>
      </c>
      <c r="B951" s="196" t="s">
        <v>876</v>
      </c>
      <c r="C951" s="66"/>
      <c r="D951" s="11">
        <v>333925</v>
      </c>
      <c r="E951" s="11">
        <v>333925</v>
      </c>
      <c r="F951" s="3" t="s">
        <v>877</v>
      </c>
      <c r="G951" s="14" t="s">
        <v>875</v>
      </c>
      <c r="H951" s="2"/>
      <c r="I951" s="2"/>
      <c r="J951" s="2" t="s">
        <v>13904</v>
      </c>
      <c r="K951" s="14" t="s">
        <v>22283</v>
      </c>
      <c r="L951" s="82"/>
    </row>
    <row r="952" spans="1:12" ht="84" customHeight="1" x14ac:dyDescent="0.3">
      <c r="A952" s="2">
        <v>948</v>
      </c>
      <c r="B952" s="66" t="s">
        <v>878</v>
      </c>
      <c r="C952" s="66"/>
      <c r="D952" s="11">
        <v>3599.15</v>
      </c>
      <c r="E952" s="11">
        <v>3599.15</v>
      </c>
      <c r="F952" s="3" t="s">
        <v>887</v>
      </c>
      <c r="G952" s="14" t="s">
        <v>875</v>
      </c>
      <c r="H952" s="3">
        <v>43053</v>
      </c>
      <c r="I952" s="2" t="s">
        <v>19506</v>
      </c>
      <c r="J952" s="2" t="s">
        <v>13904</v>
      </c>
      <c r="K952" s="14" t="s">
        <v>22283</v>
      </c>
      <c r="L952" s="82" t="s">
        <v>19512</v>
      </c>
    </row>
    <row r="953" spans="1:12" ht="84" customHeight="1" x14ac:dyDescent="0.3">
      <c r="A953" s="2">
        <v>949</v>
      </c>
      <c r="B953" s="66" t="s">
        <v>879</v>
      </c>
      <c r="C953" s="66"/>
      <c r="D953" s="11">
        <v>3625.14</v>
      </c>
      <c r="E953" s="11">
        <v>3625.14</v>
      </c>
      <c r="F953" s="3" t="s">
        <v>887</v>
      </c>
      <c r="G953" s="14" t="s">
        <v>875</v>
      </c>
      <c r="H953" s="3">
        <v>43053</v>
      </c>
      <c r="I953" s="2" t="s">
        <v>19506</v>
      </c>
      <c r="J953" s="2" t="s">
        <v>13904</v>
      </c>
      <c r="K953" s="14" t="s">
        <v>22283</v>
      </c>
      <c r="L953" s="82" t="s">
        <v>19512</v>
      </c>
    </row>
    <row r="954" spans="1:12" ht="84" customHeight="1" x14ac:dyDescent="0.3">
      <c r="A954" s="2">
        <v>950</v>
      </c>
      <c r="B954" s="66" t="s">
        <v>880</v>
      </c>
      <c r="C954" s="66"/>
      <c r="D954" s="11">
        <v>3920</v>
      </c>
      <c r="E954" s="11">
        <v>3920</v>
      </c>
      <c r="F954" s="3" t="s">
        <v>887</v>
      </c>
      <c r="G954" s="14" t="s">
        <v>875</v>
      </c>
      <c r="H954" s="3">
        <v>43053</v>
      </c>
      <c r="I954" s="2" t="s">
        <v>19506</v>
      </c>
      <c r="J954" s="2" t="s">
        <v>13904</v>
      </c>
      <c r="K954" s="14" t="s">
        <v>22283</v>
      </c>
      <c r="L954" s="82" t="s">
        <v>19512</v>
      </c>
    </row>
    <row r="955" spans="1:12" ht="84" customHeight="1" x14ac:dyDescent="0.3">
      <c r="A955" s="2">
        <v>951</v>
      </c>
      <c r="B955" s="66" t="s">
        <v>881</v>
      </c>
      <c r="C955" s="66"/>
      <c r="D955" s="11">
        <v>3196.42</v>
      </c>
      <c r="E955" s="11">
        <v>3196.42</v>
      </c>
      <c r="F955" s="3" t="s">
        <v>888</v>
      </c>
      <c r="G955" s="14" t="s">
        <v>875</v>
      </c>
      <c r="H955" s="3">
        <v>43053</v>
      </c>
      <c r="I955" s="2" t="s">
        <v>19506</v>
      </c>
      <c r="J955" s="2" t="s">
        <v>13904</v>
      </c>
      <c r="K955" s="14" t="s">
        <v>22283</v>
      </c>
      <c r="L955" s="82" t="s">
        <v>19512</v>
      </c>
    </row>
    <row r="956" spans="1:12" ht="84" customHeight="1" x14ac:dyDescent="0.3">
      <c r="A956" s="2">
        <v>952</v>
      </c>
      <c r="B956" s="66" t="s">
        <v>879</v>
      </c>
      <c r="C956" s="66"/>
      <c r="D956" s="11">
        <v>3208</v>
      </c>
      <c r="E956" s="11">
        <v>3208</v>
      </c>
      <c r="F956" s="3" t="s">
        <v>889</v>
      </c>
      <c r="G956" s="14" t="s">
        <v>875</v>
      </c>
      <c r="H956" s="3">
        <v>43053</v>
      </c>
      <c r="I956" s="2" t="s">
        <v>19506</v>
      </c>
      <c r="J956" s="2" t="s">
        <v>13904</v>
      </c>
      <c r="K956" s="14" t="s">
        <v>22283</v>
      </c>
      <c r="L956" s="82" t="s">
        <v>19512</v>
      </c>
    </row>
    <row r="957" spans="1:12" ht="84" customHeight="1" x14ac:dyDescent="0.3">
      <c r="A957" s="2">
        <v>953</v>
      </c>
      <c r="B957" s="66" t="s">
        <v>273</v>
      </c>
      <c r="C957" s="66"/>
      <c r="D957" s="11">
        <v>22000</v>
      </c>
      <c r="E957" s="11">
        <v>22000</v>
      </c>
      <c r="F957" s="3" t="s">
        <v>890</v>
      </c>
      <c r="G957" s="14" t="s">
        <v>875</v>
      </c>
      <c r="H957" s="3">
        <v>43053</v>
      </c>
      <c r="I957" s="2" t="s">
        <v>19506</v>
      </c>
      <c r="J957" s="2" t="s">
        <v>13904</v>
      </c>
      <c r="K957" s="14" t="s">
        <v>22283</v>
      </c>
      <c r="L957" s="82" t="s">
        <v>19512</v>
      </c>
    </row>
    <row r="958" spans="1:12" ht="84" customHeight="1" x14ac:dyDescent="0.3">
      <c r="A958" s="2">
        <v>954</v>
      </c>
      <c r="B958" s="66" t="s">
        <v>882</v>
      </c>
      <c r="C958" s="66"/>
      <c r="D958" s="11">
        <v>4133.6400000000003</v>
      </c>
      <c r="E958" s="11">
        <v>4133.6400000000003</v>
      </c>
      <c r="F958" s="3" t="s">
        <v>891</v>
      </c>
      <c r="G958" s="14" t="s">
        <v>875</v>
      </c>
      <c r="H958" s="3">
        <v>43053</v>
      </c>
      <c r="I958" s="2" t="s">
        <v>19506</v>
      </c>
      <c r="J958" s="2" t="s">
        <v>13904</v>
      </c>
      <c r="K958" s="14" t="s">
        <v>22283</v>
      </c>
      <c r="L958" s="82" t="s">
        <v>19512</v>
      </c>
    </row>
    <row r="959" spans="1:12" ht="84" customHeight="1" x14ac:dyDescent="0.3">
      <c r="A959" s="2">
        <v>955</v>
      </c>
      <c r="B959" s="66" t="s">
        <v>883</v>
      </c>
      <c r="C959" s="66"/>
      <c r="D959" s="11">
        <v>3383.34</v>
      </c>
      <c r="E959" s="11">
        <v>3383.34</v>
      </c>
      <c r="F959" s="3" t="s">
        <v>892</v>
      </c>
      <c r="G959" s="14" t="s">
        <v>875</v>
      </c>
      <c r="H959" s="3">
        <v>43053</v>
      </c>
      <c r="I959" s="2" t="s">
        <v>19506</v>
      </c>
      <c r="J959" s="2" t="s">
        <v>13904</v>
      </c>
      <c r="K959" s="14" t="s">
        <v>22283</v>
      </c>
      <c r="L959" s="82" t="s">
        <v>19512</v>
      </c>
    </row>
    <row r="960" spans="1:12" ht="84" customHeight="1" x14ac:dyDescent="0.3">
      <c r="A960" s="2">
        <v>956</v>
      </c>
      <c r="B960" s="66" t="s">
        <v>884</v>
      </c>
      <c r="C960" s="66"/>
      <c r="D960" s="11">
        <v>3700</v>
      </c>
      <c r="E960" s="11">
        <v>3700</v>
      </c>
      <c r="F960" s="3" t="s">
        <v>893</v>
      </c>
      <c r="G960" s="14" t="s">
        <v>875</v>
      </c>
      <c r="H960" s="3">
        <v>43053</v>
      </c>
      <c r="I960" s="2" t="s">
        <v>19506</v>
      </c>
      <c r="J960" s="2" t="s">
        <v>13904</v>
      </c>
      <c r="K960" s="14" t="s">
        <v>22283</v>
      </c>
      <c r="L960" s="82" t="s">
        <v>19512</v>
      </c>
    </row>
    <row r="961" spans="1:15" ht="84" customHeight="1" x14ac:dyDescent="0.3">
      <c r="A961" s="2">
        <v>957</v>
      </c>
      <c r="B961" s="66" t="s">
        <v>885</v>
      </c>
      <c r="C961" s="66"/>
      <c r="D961" s="11">
        <v>5928.36</v>
      </c>
      <c r="E961" s="11">
        <v>5928.36</v>
      </c>
      <c r="F961" s="3" t="s">
        <v>894</v>
      </c>
      <c r="G961" s="14" t="s">
        <v>875</v>
      </c>
      <c r="H961" s="3">
        <v>43053</v>
      </c>
      <c r="I961" s="2" t="s">
        <v>19506</v>
      </c>
      <c r="J961" s="2" t="s">
        <v>13904</v>
      </c>
      <c r="K961" s="14" t="s">
        <v>22283</v>
      </c>
      <c r="L961" s="82" t="s">
        <v>19512</v>
      </c>
    </row>
    <row r="962" spans="1:15" ht="84" customHeight="1" x14ac:dyDescent="0.3">
      <c r="A962" s="2">
        <v>958</v>
      </c>
      <c r="B962" s="66" t="s">
        <v>885</v>
      </c>
      <c r="C962" s="66"/>
      <c r="D962" s="11">
        <v>4800</v>
      </c>
      <c r="E962" s="11">
        <v>4800</v>
      </c>
      <c r="F962" s="3" t="s">
        <v>895</v>
      </c>
      <c r="G962" s="14" t="s">
        <v>875</v>
      </c>
      <c r="H962" s="3">
        <v>43053</v>
      </c>
      <c r="I962" s="2" t="s">
        <v>19506</v>
      </c>
      <c r="J962" s="2" t="s">
        <v>13904</v>
      </c>
      <c r="K962" s="14" t="s">
        <v>22283</v>
      </c>
      <c r="L962" s="82" t="s">
        <v>19512</v>
      </c>
    </row>
    <row r="963" spans="1:15" ht="84" customHeight="1" x14ac:dyDescent="0.3">
      <c r="A963" s="2">
        <v>959</v>
      </c>
      <c r="B963" s="66" t="s">
        <v>886</v>
      </c>
      <c r="C963" s="66"/>
      <c r="D963" s="11">
        <v>11465.03</v>
      </c>
      <c r="E963" s="11">
        <v>11465.03</v>
      </c>
      <c r="F963" s="3" t="s">
        <v>896</v>
      </c>
      <c r="G963" s="14" t="s">
        <v>875</v>
      </c>
      <c r="H963" s="3">
        <v>43053</v>
      </c>
      <c r="I963" s="2" t="s">
        <v>19506</v>
      </c>
      <c r="J963" s="2" t="s">
        <v>13904</v>
      </c>
      <c r="K963" s="14" t="s">
        <v>22283</v>
      </c>
      <c r="L963" s="82" t="s">
        <v>19512</v>
      </c>
    </row>
    <row r="964" spans="1:15" ht="84" customHeight="1" x14ac:dyDescent="0.3">
      <c r="A964" s="2">
        <v>960</v>
      </c>
      <c r="B964" s="66" t="s">
        <v>885</v>
      </c>
      <c r="C964" s="66"/>
      <c r="D964" s="11">
        <v>6949.19</v>
      </c>
      <c r="E964" s="11">
        <v>6949.19</v>
      </c>
      <c r="F964" s="3" t="s">
        <v>896</v>
      </c>
      <c r="G964" s="14" t="s">
        <v>875</v>
      </c>
      <c r="H964" s="3">
        <v>43053</v>
      </c>
      <c r="I964" s="2" t="s">
        <v>19506</v>
      </c>
      <c r="J964" s="2" t="s">
        <v>13904</v>
      </c>
      <c r="K964" s="14" t="s">
        <v>22283</v>
      </c>
      <c r="L964" s="82" t="s">
        <v>19512</v>
      </c>
    </row>
    <row r="965" spans="1:15" ht="84" customHeight="1" x14ac:dyDescent="0.3">
      <c r="A965" s="2">
        <v>961</v>
      </c>
      <c r="B965" s="66" t="s">
        <v>844</v>
      </c>
      <c r="C965" s="66"/>
      <c r="D965" s="11">
        <v>13768.48</v>
      </c>
      <c r="E965" s="11">
        <v>13768.48</v>
      </c>
      <c r="F965" s="3" t="s">
        <v>897</v>
      </c>
      <c r="G965" s="14" t="s">
        <v>875</v>
      </c>
      <c r="H965" s="3">
        <v>43053</v>
      </c>
      <c r="I965" s="2" t="s">
        <v>19506</v>
      </c>
      <c r="J965" s="2" t="s">
        <v>13904</v>
      </c>
      <c r="K965" s="14" t="s">
        <v>22283</v>
      </c>
      <c r="L965" s="82" t="s">
        <v>19512</v>
      </c>
    </row>
    <row r="966" spans="1:15" s="19" customFormat="1" ht="96" customHeight="1" x14ac:dyDescent="0.3">
      <c r="A966" s="2">
        <v>962</v>
      </c>
      <c r="B966" s="66" t="s">
        <v>22690</v>
      </c>
      <c r="C966" s="66" t="s">
        <v>22689</v>
      </c>
      <c r="D966" s="11">
        <v>99105.88</v>
      </c>
      <c r="E966" s="11">
        <v>9910588</v>
      </c>
      <c r="F966" s="3" t="s">
        <v>22573</v>
      </c>
      <c r="G966" s="2" t="s">
        <v>22691</v>
      </c>
      <c r="H966" s="3"/>
      <c r="I966" s="2"/>
      <c r="J966" s="2" t="s">
        <v>13904</v>
      </c>
      <c r="K966" s="2" t="s">
        <v>22687</v>
      </c>
      <c r="L966" s="246" t="s">
        <v>22688</v>
      </c>
      <c r="M966" s="18"/>
      <c r="N966" s="18"/>
      <c r="O966" s="18"/>
    </row>
    <row r="967" spans="1:15" ht="84" customHeight="1" x14ac:dyDescent="0.3">
      <c r="A967" s="2">
        <v>963</v>
      </c>
      <c r="B967" s="66" t="s">
        <v>898</v>
      </c>
      <c r="C967" s="66" t="s">
        <v>18846</v>
      </c>
      <c r="D967" s="244" t="s">
        <v>899</v>
      </c>
      <c r="E967" s="11">
        <v>28500</v>
      </c>
      <c r="F967" s="3">
        <v>41499</v>
      </c>
      <c r="G967" s="2" t="s">
        <v>14104</v>
      </c>
      <c r="H967" s="2"/>
      <c r="I967" s="2"/>
      <c r="J967" s="2" t="s">
        <v>13904</v>
      </c>
      <c r="K967" s="2" t="s">
        <v>19240</v>
      </c>
      <c r="L967" s="82" t="s">
        <v>18847</v>
      </c>
    </row>
    <row r="968" spans="1:15" ht="84" customHeight="1" x14ac:dyDescent="0.3">
      <c r="A968" s="2">
        <v>964</v>
      </c>
      <c r="B968" s="66" t="s">
        <v>900</v>
      </c>
      <c r="C968" s="66"/>
      <c r="D968" s="11" t="s">
        <v>933</v>
      </c>
      <c r="E968" s="11" t="s">
        <v>933</v>
      </c>
      <c r="F968" s="3">
        <v>41949</v>
      </c>
      <c r="G968" s="2" t="s">
        <v>14104</v>
      </c>
      <c r="H968" s="3">
        <v>43053</v>
      </c>
      <c r="I968" s="2" t="s">
        <v>19506</v>
      </c>
      <c r="J968" s="2" t="s">
        <v>13904</v>
      </c>
      <c r="K968" s="2"/>
      <c r="L968" s="82" t="s">
        <v>19512</v>
      </c>
    </row>
    <row r="969" spans="1:15" ht="84" customHeight="1" x14ac:dyDescent="0.3">
      <c r="A969" s="2">
        <v>965</v>
      </c>
      <c r="B969" s="66" t="s">
        <v>901</v>
      </c>
      <c r="C969" s="66"/>
      <c r="D969" s="11" t="s">
        <v>934</v>
      </c>
      <c r="E969" s="11" t="s">
        <v>934</v>
      </c>
      <c r="F969" s="3">
        <v>41989</v>
      </c>
      <c r="G969" s="2" t="s">
        <v>14104</v>
      </c>
      <c r="H969" s="3">
        <v>43053</v>
      </c>
      <c r="I969" s="2" t="s">
        <v>19506</v>
      </c>
      <c r="J969" s="2" t="s">
        <v>13904</v>
      </c>
      <c r="K969" s="2"/>
      <c r="L969" s="82" t="s">
        <v>19512</v>
      </c>
    </row>
    <row r="970" spans="1:15" ht="84" customHeight="1" x14ac:dyDescent="0.3">
      <c r="A970" s="2">
        <v>966</v>
      </c>
      <c r="B970" s="66" t="s">
        <v>902</v>
      </c>
      <c r="C970" s="66"/>
      <c r="D970" s="11" t="s">
        <v>935</v>
      </c>
      <c r="E970" s="11" t="s">
        <v>935</v>
      </c>
      <c r="F970" s="3">
        <v>41351</v>
      </c>
      <c r="G970" s="2" t="s">
        <v>14104</v>
      </c>
      <c r="H970" s="3">
        <v>43053</v>
      </c>
      <c r="I970" s="2" t="s">
        <v>19506</v>
      </c>
      <c r="J970" s="2" t="s">
        <v>13904</v>
      </c>
      <c r="K970" s="2"/>
      <c r="L970" s="82" t="s">
        <v>19512</v>
      </c>
    </row>
    <row r="971" spans="1:15" ht="84" customHeight="1" x14ac:dyDescent="0.3">
      <c r="A971" s="2">
        <v>967</v>
      </c>
      <c r="B971" s="66" t="s">
        <v>903</v>
      </c>
      <c r="C971" s="66"/>
      <c r="D971" s="11" t="s">
        <v>936</v>
      </c>
      <c r="E971" s="11" t="s">
        <v>936</v>
      </c>
      <c r="F971" s="3">
        <v>38804</v>
      </c>
      <c r="G971" s="2" t="s">
        <v>14104</v>
      </c>
      <c r="H971" s="3">
        <v>43053</v>
      </c>
      <c r="I971" s="2" t="s">
        <v>19506</v>
      </c>
      <c r="J971" s="2" t="s">
        <v>13904</v>
      </c>
      <c r="K971" s="2"/>
      <c r="L971" s="82" t="s">
        <v>19512</v>
      </c>
    </row>
    <row r="972" spans="1:15" ht="84" customHeight="1" x14ac:dyDescent="0.3">
      <c r="A972" s="2">
        <v>968</v>
      </c>
      <c r="B972" s="66" t="s">
        <v>901</v>
      </c>
      <c r="C972" s="66"/>
      <c r="D972" s="11" t="s">
        <v>937</v>
      </c>
      <c r="E972" s="11" t="s">
        <v>937</v>
      </c>
      <c r="F972" s="3">
        <v>39800</v>
      </c>
      <c r="G972" s="2" t="s">
        <v>14104</v>
      </c>
      <c r="H972" s="3">
        <v>43053</v>
      </c>
      <c r="I972" s="2" t="s">
        <v>19506</v>
      </c>
      <c r="J972" s="2" t="s">
        <v>13904</v>
      </c>
      <c r="K972" s="2"/>
      <c r="L972" s="82" t="s">
        <v>19512</v>
      </c>
    </row>
    <row r="973" spans="1:15" ht="84" customHeight="1" x14ac:dyDescent="0.3">
      <c r="A973" s="2">
        <v>969</v>
      </c>
      <c r="B973" s="66" t="s">
        <v>904</v>
      </c>
      <c r="C973" s="66"/>
      <c r="D973" s="11" t="s">
        <v>938</v>
      </c>
      <c r="E973" s="11" t="s">
        <v>938</v>
      </c>
      <c r="F973" s="3">
        <v>39051</v>
      </c>
      <c r="G973" s="2" t="s">
        <v>14104</v>
      </c>
      <c r="H973" s="3">
        <v>43053</v>
      </c>
      <c r="I973" s="2" t="s">
        <v>19506</v>
      </c>
      <c r="J973" s="2" t="s">
        <v>13904</v>
      </c>
      <c r="K973" s="2"/>
      <c r="L973" s="82" t="s">
        <v>19512</v>
      </c>
    </row>
    <row r="974" spans="1:15" ht="84" customHeight="1" x14ac:dyDescent="0.3">
      <c r="A974" s="2">
        <v>970</v>
      </c>
      <c r="B974" s="66" t="s">
        <v>905</v>
      </c>
      <c r="C974" s="66"/>
      <c r="D974" s="11" t="s">
        <v>939</v>
      </c>
      <c r="E974" s="11" t="s">
        <v>939</v>
      </c>
      <c r="F974" s="3">
        <v>39721</v>
      </c>
      <c r="G974" s="2" t="s">
        <v>14104</v>
      </c>
      <c r="H974" s="3">
        <v>43053</v>
      </c>
      <c r="I974" s="2" t="s">
        <v>19506</v>
      </c>
      <c r="J974" s="2" t="s">
        <v>13904</v>
      </c>
      <c r="K974" s="2"/>
      <c r="L974" s="82" t="s">
        <v>19512</v>
      </c>
    </row>
    <row r="975" spans="1:15" ht="84" customHeight="1" x14ac:dyDescent="0.3">
      <c r="A975" s="2">
        <v>971</v>
      </c>
      <c r="B975" s="66" t="s">
        <v>906</v>
      </c>
      <c r="C975" s="66"/>
      <c r="D975" s="11" t="s">
        <v>940</v>
      </c>
      <c r="E975" s="11" t="s">
        <v>940</v>
      </c>
      <c r="F975" s="3">
        <v>40177</v>
      </c>
      <c r="G975" s="2" t="s">
        <v>14104</v>
      </c>
      <c r="H975" s="3">
        <v>43053</v>
      </c>
      <c r="I975" s="2" t="s">
        <v>19506</v>
      </c>
      <c r="J975" s="2" t="s">
        <v>13904</v>
      </c>
      <c r="K975" s="2"/>
      <c r="L975" s="82" t="s">
        <v>19512</v>
      </c>
    </row>
    <row r="976" spans="1:15" ht="84" customHeight="1" x14ac:dyDescent="0.3">
      <c r="A976" s="2">
        <v>972</v>
      </c>
      <c r="B976" s="66" t="s">
        <v>907</v>
      </c>
      <c r="C976" s="66"/>
      <c r="D976" s="11" t="s">
        <v>941</v>
      </c>
      <c r="E976" s="11" t="s">
        <v>941</v>
      </c>
      <c r="F976" s="3">
        <v>39445</v>
      </c>
      <c r="G976" s="2" t="s">
        <v>14104</v>
      </c>
      <c r="H976" s="3">
        <v>43053</v>
      </c>
      <c r="I976" s="2" t="s">
        <v>19506</v>
      </c>
      <c r="J976" s="2" t="s">
        <v>13904</v>
      </c>
      <c r="K976" s="2"/>
      <c r="L976" s="82" t="s">
        <v>19512</v>
      </c>
    </row>
    <row r="977" spans="1:12" ht="84" customHeight="1" x14ac:dyDescent="0.3">
      <c r="A977" s="2">
        <v>973</v>
      </c>
      <c r="B977" s="66" t="s">
        <v>908</v>
      </c>
      <c r="C977" s="66"/>
      <c r="D977" s="11" t="s">
        <v>942</v>
      </c>
      <c r="E977" s="11" t="s">
        <v>942</v>
      </c>
      <c r="F977" s="3">
        <v>39263</v>
      </c>
      <c r="G977" s="2" t="s">
        <v>14104</v>
      </c>
      <c r="H977" s="3">
        <v>43053</v>
      </c>
      <c r="I977" s="2" t="s">
        <v>19506</v>
      </c>
      <c r="J977" s="2" t="s">
        <v>13904</v>
      </c>
      <c r="K977" s="2"/>
      <c r="L977" s="82" t="s">
        <v>19512</v>
      </c>
    </row>
    <row r="978" spans="1:12" ht="84" customHeight="1" x14ac:dyDescent="0.3">
      <c r="A978" s="2">
        <v>974</v>
      </c>
      <c r="B978" s="66" t="s">
        <v>909</v>
      </c>
      <c r="C978" s="66"/>
      <c r="D978" s="11" t="s">
        <v>943</v>
      </c>
      <c r="E978" s="11" t="s">
        <v>943</v>
      </c>
      <c r="F978" s="3">
        <v>40529</v>
      </c>
      <c r="G978" s="2" t="s">
        <v>14104</v>
      </c>
      <c r="H978" s="3">
        <v>43053</v>
      </c>
      <c r="I978" s="2" t="s">
        <v>19506</v>
      </c>
      <c r="J978" s="2" t="s">
        <v>13904</v>
      </c>
      <c r="K978" s="2"/>
      <c r="L978" s="82" t="s">
        <v>19512</v>
      </c>
    </row>
    <row r="979" spans="1:12" ht="84" customHeight="1" x14ac:dyDescent="0.3">
      <c r="A979" s="2">
        <v>975</v>
      </c>
      <c r="B979" s="66" t="s">
        <v>910</v>
      </c>
      <c r="C979" s="66"/>
      <c r="D979" s="11" t="s">
        <v>944</v>
      </c>
      <c r="E979" s="11" t="s">
        <v>944</v>
      </c>
      <c r="F979" s="3">
        <v>39417</v>
      </c>
      <c r="G979" s="2" t="s">
        <v>14104</v>
      </c>
      <c r="H979" s="3">
        <v>43053</v>
      </c>
      <c r="I979" s="2" t="s">
        <v>19506</v>
      </c>
      <c r="J979" s="2" t="s">
        <v>13904</v>
      </c>
      <c r="K979" s="2"/>
      <c r="L979" s="82" t="s">
        <v>19512</v>
      </c>
    </row>
    <row r="980" spans="1:12" ht="84" customHeight="1" x14ac:dyDescent="0.3">
      <c r="A980" s="2">
        <v>976</v>
      </c>
      <c r="B980" s="66" t="s">
        <v>911</v>
      </c>
      <c r="C980" s="66"/>
      <c r="D980" s="11" t="s">
        <v>945</v>
      </c>
      <c r="E980" s="11" t="s">
        <v>945</v>
      </c>
      <c r="F980" s="3">
        <v>40536</v>
      </c>
      <c r="G980" s="2" t="s">
        <v>14104</v>
      </c>
      <c r="H980" s="3">
        <v>43053</v>
      </c>
      <c r="I980" s="2" t="s">
        <v>19506</v>
      </c>
      <c r="J980" s="2" t="s">
        <v>13904</v>
      </c>
      <c r="K980" s="2"/>
      <c r="L980" s="82" t="s">
        <v>19512</v>
      </c>
    </row>
    <row r="981" spans="1:12" ht="84" customHeight="1" x14ac:dyDescent="0.3">
      <c r="A981" s="2">
        <v>977</v>
      </c>
      <c r="B981" s="66" t="s">
        <v>912</v>
      </c>
      <c r="C981" s="66"/>
      <c r="D981" s="11" t="s">
        <v>946</v>
      </c>
      <c r="E981" s="11" t="s">
        <v>946</v>
      </c>
      <c r="F981" s="3">
        <v>39601</v>
      </c>
      <c r="G981" s="2" t="s">
        <v>14104</v>
      </c>
      <c r="H981" s="3">
        <v>43053</v>
      </c>
      <c r="I981" s="2" t="s">
        <v>19506</v>
      </c>
      <c r="J981" s="2" t="s">
        <v>13904</v>
      </c>
      <c r="K981" s="2"/>
      <c r="L981" s="82" t="s">
        <v>19512</v>
      </c>
    </row>
    <row r="982" spans="1:12" ht="84" customHeight="1" x14ac:dyDescent="0.3">
      <c r="A982" s="2">
        <v>978</v>
      </c>
      <c r="B982" s="66" t="s">
        <v>913</v>
      </c>
      <c r="C982" s="66"/>
      <c r="D982" s="11" t="s">
        <v>947</v>
      </c>
      <c r="E982" s="11" t="s">
        <v>947</v>
      </c>
      <c r="F982" s="3">
        <v>39813</v>
      </c>
      <c r="G982" s="2" t="s">
        <v>14104</v>
      </c>
      <c r="H982" s="3">
        <v>43053</v>
      </c>
      <c r="I982" s="2" t="s">
        <v>19506</v>
      </c>
      <c r="J982" s="2" t="s">
        <v>13904</v>
      </c>
      <c r="K982" s="2"/>
      <c r="L982" s="82" t="s">
        <v>19512</v>
      </c>
    </row>
    <row r="983" spans="1:12" ht="84" customHeight="1" x14ac:dyDescent="0.3">
      <c r="A983" s="2">
        <v>979</v>
      </c>
      <c r="B983" s="66" t="s">
        <v>914</v>
      </c>
      <c r="C983" s="66"/>
      <c r="D983" s="11" t="s">
        <v>948</v>
      </c>
      <c r="E983" s="11" t="s">
        <v>948</v>
      </c>
      <c r="F983" s="3">
        <v>40529</v>
      </c>
      <c r="G983" s="2" t="s">
        <v>14104</v>
      </c>
      <c r="H983" s="3">
        <v>43053</v>
      </c>
      <c r="I983" s="2" t="s">
        <v>19506</v>
      </c>
      <c r="J983" s="2" t="s">
        <v>13904</v>
      </c>
      <c r="K983" s="2"/>
      <c r="L983" s="82" t="s">
        <v>19512</v>
      </c>
    </row>
    <row r="984" spans="1:12" ht="84" customHeight="1" x14ac:dyDescent="0.3">
      <c r="A984" s="2">
        <v>980</v>
      </c>
      <c r="B984" s="66" t="s">
        <v>218</v>
      </c>
      <c r="C984" s="66"/>
      <c r="D984" s="11" t="s">
        <v>949</v>
      </c>
      <c r="E984" s="11" t="s">
        <v>949</v>
      </c>
      <c r="F984" s="3">
        <v>40596</v>
      </c>
      <c r="G984" s="2" t="s">
        <v>14104</v>
      </c>
      <c r="H984" s="3">
        <v>43053</v>
      </c>
      <c r="I984" s="2" t="s">
        <v>19506</v>
      </c>
      <c r="J984" s="2" t="s">
        <v>13904</v>
      </c>
      <c r="K984" s="2"/>
      <c r="L984" s="82" t="s">
        <v>19512</v>
      </c>
    </row>
    <row r="985" spans="1:12" ht="84" customHeight="1" x14ac:dyDescent="0.3">
      <c r="A985" s="2">
        <v>981</v>
      </c>
      <c r="B985" s="66" t="s">
        <v>915</v>
      </c>
      <c r="C985" s="66"/>
      <c r="D985" s="11" t="s">
        <v>950</v>
      </c>
      <c r="E985" s="11" t="s">
        <v>950</v>
      </c>
      <c r="F985" s="3">
        <v>40634</v>
      </c>
      <c r="G985" s="2" t="s">
        <v>14104</v>
      </c>
      <c r="H985" s="3">
        <v>43053</v>
      </c>
      <c r="I985" s="2" t="s">
        <v>19506</v>
      </c>
      <c r="J985" s="2" t="s">
        <v>13904</v>
      </c>
      <c r="K985" s="2"/>
      <c r="L985" s="82" t="s">
        <v>19512</v>
      </c>
    </row>
    <row r="986" spans="1:12" ht="84" customHeight="1" x14ac:dyDescent="0.3">
      <c r="A986" s="2">
        <v>982</v>
      </c>
      <c r="B986" s="66" t="s">
        <v>916</v>
      </c>
      <c r="C986" s="66"/>
      <c r="D986" s="11" t="s">
        <v>951</v>
      </c>
      <c r="E986" s="11" t="s">
        <v>951</v>
      </c>
      <c r="F986" s="3">
        <v>40743</v>
      </c>
      <c r="G986" s="2" t="s">
        <v>14104</v>
      </c>
      <c r="H986" s="3">
        <v>43053</v>
      </c>
      <c r="I986" s="2" t="s">
        <v>19506</v>
      </c>
      <c r="J986" s="2" t="s">
        <v>13904</v>
      </c>
      <c r="K986" s="2"/>
      <c r="L986" s="82" t="s">
        <v>19512</v>
      </c>
    </row>
    <row r="987" spans="1:12" ht="84" customHeight="1" x14ac:dyDescent="0.3">
      <c r="A987" s="2">
        <v>983</v>
      </c>
      <c r="B987" s="66" t="s">
        <v>917</v>
      </c>
      <c r="C987" s="66"/>
      <c r="D987" s="11" t="s">
        <v>952</v>
      </c>
      <c r="E987" s="11" t="s">
        <v>952</v>
      </c>
      <c r="F987" s="3">
        <v>40847</v>
      </c>
      <c r="G987" s="2" t="s">
        <v>14104</v>
      </c>
      <c r="H987" s="3">
        <v>43053</v>
      </c>
      <c r="I987" s="2" t="s">
        <v>19506</v>
      </c>
      <c r="J987" s="2" t="s">
        <v>13904</v>
      </c>
      <c r="K987" s="2"/>
      <c r="L987" s="82" t="s">
        <v>19512</v>
      </c>
    </row>
    <row r="988" spans="1:12" ht="84" customHeight="1" x14ac:dyDescent="0.3">
      <c r="A988" s="2">
        <v>984</v>
      </c>
      <c r="B988" s="66" t="s">
        <v>918</v>
      </c>
      <c r="C988" s="66"/>
      <c r="D988" s="11" t="s">
        <v>953</v>
      </c>
      <c r="E988" s="11" t="s">
        <v>953</v>
      </c>
      <c r="F988" s="3">
        <v>40871</v>
      </c>
      <c r="G988" s="2" t="s">
        <v>14104</v>
      </c>
      <c r="H988" s="3">
        <v>43053</v>
      </c>
      <c r="I988" s="2" t="s">
        <v>19506</v>
      </c>
      <c r="J988" s="2" t="s">
        <v>13904</v>
      </c>
      <c r="K988" s="2"/>
      <c r="L988" s="82" t="s">
        <v>19512</v>
      </c>
    </row>
    <row r="989" spans="1:12" ht="84" customHeight="1" x14ac:dyDescent="0.3">
      <c r="A989" s="2">
        <v>985</v>
      </c>
      <c r="B989" s="66" t="s">
        <v>919</v>
      </c>
      <c r="C989" s="66"/>
      <c r="D989" s="11" t="s">
        <v>954</v>
      </c>
      <c r="E989" s="11" t="s">
        <v>954</v>
      </c>
      <c r="F989" s="3">
        <v>40955</v>
      </c>
      <c r="G989" s="2" t="s">
        <v>14104</v>
      </c>
      <c r="H989" s="3">
        <v>43053</v>
      </c>
      <c r="I989" s="2" t="s">
        <v>19506</v>
      </c>
      <c r="J989" s="2" t="s">
        <v>13904</v>
      </c>
      <c r="K989" s="2"/>
      <c r="L989" s="82" t="s">
        <v>19512</v>
      </c>
    </row>
    <row r="990" spans="1:12" ht="84" customHeight="1" x14ac:dyDescent="0.3">
      <c r="A990" s="2">
        <v>986</v>
      </c>
      <c r="B990" s="66" t="s">
        <v>920</v>
      </c>
      <c r="C990" s="66"/>
      <c r="D990" s="11" t="s">
        <v>955</v>
      </c>
      <c r="E990" s="11" t="s">
        <v>955</v>
      </c>
      <c r="F990" s="3">
        <v>41213</v>
      </c>
      <c r="G990" s="2" t="s">
        <v>14104</v>
      </c>
      <c r="H990" s="3">
        <v>43053</v>
      </c>
      <c r="I990" s="2" t="s">
        <v>19506</v>
      </c>
      <c r="J990" s="2" t="s">
        <v>13904</v>
      </c>
      <c r="K990" s="2"/>
      <c r="L990" s="82" t="s">
        <v>19512</v>
      </c>
    </row>
    <row r="991" spans="1:12" ht="84" customHeight="1" x14ac:dyDescent="0.3">
      <c r="A991" s="2">
        <v>987</v>
      </c>
      <c r="B991" s="66" t="s">
        <v>921</v>
      </c>
      <c r="C991" s="66"/>
      <c r="D991" s="11" t="s">
        <v>956</v>
      </c>
      <c r="E991" s="11" t="s">
        <v>956</v>
      </c>
      <c r="F991" s="3">
        <v>41891</v>
      </c>
      <c r="G991" s="2" t="s">
        <v>14104</v>
      </c>
      <c r="H991" s="3">
        <v>43053</v>
      </c>
      <c r="I991" s="2" t="s">
        <v>19506</v>
      </c>
      <c r="J991" s="2" t="s">
        <v>13904</v>
      </c>
      <c r="K991" s="2"/>
      <c r="L991" s="82" t="s">
        <v>19512</v>
      </c>
    </row>
    <row r="992" spans="1:12" ht="84" customHeight="1" x14ac:dyDescent="0.3">
      <c r="A992" s="2">
        <v>988</v>
      </c>
      <c r="B992" s="66" t="s">
        <v>922</v>
      </c>
      <c r="C992" s="66"/>
      <c r="D992" s="11" t="s">
        <v>957</v>
      </c>
      <c r="E992" s="11" t="s">
        <v>957</v>
      </c>
      <c r="F992" s="3">
        <v>41919</v>
      </c>
      <c r="G992" s="2" t="s">
        <v>14104</v>
      </c>
      <c r="H992" s="3">
        <v>43053</v>
      </c>
      <c r="I992" s="2" t="s">
        <v>19506</v>
      </c>
      <c r="J992" s="2" t="s">
        <v>13904</v>
      </c>
      <c r="K992" s="2"/>
      <c r="L992" s="82" t="s">
        <v>19512</v>
      </c>
    </row>
    <row r="993" spans="1:12" ht="84" customHeight="1" x14ac:dyDescent="0.3">
      <c r="A993" s="2">
        <v>989</v>
      </c>
      <c r="B993" s="66" t="s">
        <v>903</v>
      </c>
      <c r="C993" s="66"/>
      <c r="D993" s="11" t="s">
        <v>958</v>
      </c>
      <c r="E993" s="11" t="s">
        <v>958</v>
      </c>
      <c r="F993" s="3">
        <v>41578</v>
      </c>
      <c r="G993" s="2" t="s">
        <v>14104</v>
      </c>
      <c r="H993" s="3">
        <v>43053</v>
      </c>
      <c r="I993" s="2" t="s">
        <v>19506</v>
      </c>
      <c r="J993" s="2" t="s">
        <v>13904</v>
      </c>
      <c r="K993" s="2"/>
      <c r="L993" s="82" t="s">
        <v>19512</v>
      </c>
    </row>
    <row r="994" spans="1:12" ht="84" customHeight="1" x14ac:dyDescent="0.3">
      <c r="A994" s="2">
        <v>990</v>
      </c>
      <c r="B994" s="66" t="s">
        <v>904</v>
      </c>
      <c r="C994" s="66" t="s">
        <v>23056</v>
      </c>
      <c r="D994" s="244" t="s">
        <v>959</v>
      </c>
      <c r="E994" s="11" t="s">
        <v>959</v>
      </c>
      <c r="F994" s="3">
        <v>41578</v>
      </c>
      <c r="G994" s="2" t="s">
        <v>14104</v>
      </c>
      <c r="H994" s="3">
        <v>43053</v>
      </c>
      <c r="I994" s="2" t="s">
        <v>19506</v>
      </c>
      <c r="J994" s="2" t="s">
        <v>13904</v>
      </c>
      <c r="K994" s="2" t="s">
        <v>19240</v>
      </c>
      <c r="L994" s="82" t="s">
        <v>19512</v>
      </c>
    </row>
    <row r="995" spans="1:12" ht="84" customHeight="1" x14ac:dyDescent="0.3">
      <c r="A995" s="2">
        <v>991</v>
      </c>
      <c r="B995" s="66" t="s">
        <v>923</v>
      </c>
      <c r="C995" s="66" t="s">
        <v>23055</v>
      </c>
      <c r="D995" s="244" t="s">
        <v>960</v>
      </c>
      <c r="E995" s="11" t="s">
        <v>960</v>
      </c>
      <c r="F995" s="3">
        <v>41578</v>
      </c>
      <c r="G995" s="2" t="s">
        <v>14104</v>
      </c>
      <c r="H995" s="3">
        <v>43053</v>
      </c>
      <c r="I995" s="2" t="s">
        <v>19506</v>
      </c>
      <c r="J995" s="2" t="s">
        <v>13904</v>
      </c>
      <c r="K995" s="2" t="s">
        <v>19240</v>
      </c>
      <c r="L995" s="82" t="s">
        <v>19512</v>
      </c>
    </row>
    <row r="996" spans="1:12" ht="84" customHeight="1" x14ac:dyDescent="0.3">
      <c r="A996" s="2">
        <v>992</v>
      </c>
      <c r="B996" s="66" t="s">
        <v>924</v>
      </c>
      <c r="C996" s="66"/>
      <c r="D996" s="11" t="s">
        <v>961</v>
      </c>
      <c r="E996" s="11" t="s">
        <v>961</v>
      </c>
      <c r="F996" s="3">
        <v>39490</v>
      </c>
      <c r="G996" s="2" t="s">
        <v>14104</v>
      </c>
      <c r="H996" s="3">
        <v>43053</v>
      </c>
      <c r="I996" s="2" t="s">
        <v>19506</v>
      </c>
      <c r="J996" s="2" t="s">
        <v>13904</v>
      </c>
      <c r="K996" s="2"/>
      <c r="L996" s="82" t="s">
        <v>19512</v>
      </c>
    </row>
    <row r="997" spans="1:12" ht="84" customHeight="1" x14ac:dyDescent="0.3">
      <c r="A997" s="2">
        <v>993</v>
      </c>
      <c r="B997" s="66" t="s">
        <v>925</v>
      </c>
      <c r="C997" s="66" t="s">
        <v>23058</v>
      </c>
      <c r="D997" s="11" t="s">
        <v>962</v>
      </c>
      <c r="E997" s="11" t="s">
        <v>962</v>
      </c>
      <c r="F997" s="3">
        <v>37608</v>
      </c>
      <c r="G997" s="2" t="s">
        <v>14104</v>
      </c>
      <c r="H997" s="3">
        <v>43053</v>
      </c>
      <c r="I997" s="2" t="s">
        <v>19506</v>
      </c>
      <c r="J997" s="2" t="s">
        <v>13904</v>
      </c>
      <c r="K997" s="2" t="s">
        <v>19240</v>
      </c>
      <c r="L997" s="82" t="s">
        <v>19512</v>
      </c>
    </row>
    <row r="998" spans="1:12" ht="84" customHeight="1" x14ac:dyDescent="0.3">
      <c r="A998" s="2">
        <v>994</v>
      </c>
      <c r="B998" s="66" t="s">
        <v>926</v>
      </c>
      <c r="C998" s="66" t="s">
        <v>18848</v>
      </c>
      <c r="D998" s="244" t="s">
        <v>963</v>
      </c>
      <c r="E998" s="11">
        <v>35572.129999999997</v>
      </c>
      <c r="F998" s="3">
        <v>39077</v>
      </c>
      <c r="G998" s="2" t="s">
        <v>14104</v>
      </c>
      <c r="H998" s="2"/>
      <c r="I998" s="2"/>
      <c r="J998" s="2" t="s">
        <v>13904</v>
      </c>
      <c r="K998" s="2" t="s">
        <v>19240</v>
      </c>
      <c r="L998" s="82" t="s">
        <v>18847</v>
      </c>
    </row>
    <row r="999" spans="1:12" ht="84" customHeight="1" x14ac:dyDescent="0.3">
      <c r="A999" s="2">
        <v>995</v>
      </c>
      <c r="B999" s="66" t="s">
        <v>218</v>
      </c>
      <c r="C999" s="66"/>
      <c r="D999" s="11" t="s">
        <v>964</v>
      </c>
      <c r="E999" s="11" t="s">
        <v>964</v>
      </c>
      <c r="F999" s="3">
        <v>39199</v>
      </c>
      <c r="G999" s="2" t="s">
        <v>14104</v>
      </c>
      <c r="H999" s="3">
        <v>43053</v>
      </c>
      <c r="I999" s="2" t="s">
        <v>19506</v>
      </c>
      <c r="J999" s="2" t="s">
        <v>13904</v>
      </c>
      <c r="K999" s="2"/>
      <c r="L999" s="82" t="s">
        <v>19512</v>
      </c>
    </row>
    <row r="1000" spans="1:12" ht="84" customHeight="1" x14ac:dyDescent="0.3">
      <c r="A1000" s="2">
        <v>996</v>
      </c>
      <c r="B1000" s="66" t="s">
        <v>927</v>
      </c>
      <c r="C1000" s="66"/>
      <c r="D1000" s="11" t="s">
        <v>965</v>
      </c>
      <c r="E1000" s="11" t="s">
        <v>965</v>
      </c>
      <c r="F1000" s="3">
        <v>39721</v>
      </c>
      <c r="G1000" s="2" t="s">
        <v>14104</v>
      </c>
      <c r="H1000" s="3">
        <v>43053</v>
      </c>
      <c r="I1000" s="2" t="s">
        <v>19506</v>
      </c>
      <c r="J1000" s="2" t="s">
        <v>13904</v>
      </c>
      <c r="K1000" s="2"/>
      <c r="L1000" s="82" t="s">
        <v>19512</v>
      </c>
    </row>
    <row r="1001" spans="1:12" ht="84" customHeight="1" x14ac:dyDescent="0.3">
      <c r="A1001" s="2">
        <v>997</v>
      </c>
      <c r="B1001" s="66" t="s">
        <v>928</v>
      </c>
      <c r="C1001" s="66" t="s">
        <v>18849</v>
      </c>
      <c r="D1001" s="244" t="s">
        <v>966</v>
      </c>
      <c r="E1001" s="11">
        <v>47199.96</v>
      </c>
      <c r="F1001" s="3">
        <v>39078</v>
      </c>
      <c r="G1001" s="2" t="s">
        <v>14104</v>
      </c>
      <c r="H1001" s="2"/>
      <c r="I1001" s="2"/>
      <c r="J1001" s="2" t="s">
        <v>13904</v>
      </c>
      <c r="K1001" s="2" t="s">
        <v>19240</v>
      </c>
      <c r="L1001" s="82" t="s">
        <v>18847</v>
      </c>
    </row>
    <row r="1002" spans="1:12" ht="84" customHeight="1" x14ac:dyDescent="0.3">
      <c r="A1002" s="2">
        <v>998</v>
      </c>
      <c r="B1002" s="66" t="s">
        <v>929</v>
      </c>
      <c r="C1002" s="66" t="s">
        <v>23059</v>
      </c>
      <c r="D1002" s="11" t="s">
        <v>967</v>
      </c>
      <c r="E1002" s="11" t="s">
        <v>967</v>
      </c>
      <c r="F1002" s="3">
        <v>38498</v>
      </c>
      <c r="G1002" s="2" t="s">
        <v>14104</v>
      </c>
      <c r="H1002" s="3">
        <v>43053</v>
      </c>
      <c r="I1002" s="2" t="s">
        <v>19506</v>
      </c>
      <c r="J1002" s="2" t="s">
        <v>13904</v>
      </c>
      <c r="K1002" s="2" t="s">
        <v>19240</v>
      </c>
      <c r="L1002" s="82" t="s">
        <v>19512</v>
      </c>
    </row>
    <row r="1003" spans="1:12" ht="84" customHeight="1" x14ac:dyDescent="0.3">
      <c r="A1003" s="2">
        <v>999</v>
      </c>
      <c r="B1003" s="66" t="s">
        <v>930</v>
      </c>
      <c r="C1003" s="66"/>
      <c r="D1003" s="11" t="s">
        <v>968</v>
      </c>
      <c r="E1003" s="11" t="s">
        <v>968</v>
      </c>
      <c r="F1003" s="3">
        <v>39079</v>
      </c>
      <c r="G1003" s="2" t="s">
        <v>14104</v>
      </c>
      <c r="H1003" s="3">
        <v>43053</v>
      </c>
      <c r="I1003" s="2" t="s">
        <v>19506</v>
      </c>
      <c r="J1003" s="2" t="s">
        <v>13904</v>
      </c>
      <c r="K1003" s="2"/>
      <c r="L1003" s="82" t="s">
        <v>19512</v>
      </c>
    </row>
    <row r="1004" spans="1:12" ht="84" customHeight="1" x14ac:dyDescent="0.3">
      <c r="A1004" s="2">
        <v>1000</v>
      </c>
      <c r="B1004" s="66" t="s">
        <v>931</v>
      </c>
      <c r="C1004" s="66" t="s">
        <v>23057</v>
      </c>
      <c r="D1004" s="11" t="s">
        <v>969</v>
      </c>
      <c r="E1004" s="11" t="s">
        <v>969</v>
      </c>
      <c r="F1004" s="3">
        <v>38498</v>
      </c>
      <c r="G1004" s="2" t="s">
        <v>14104</v>
      </c>
      <c r="H1004" s="3">
        <v>43053</v>
      </c>
      <c r="I1004" s="2" t="s">
        <v>19506</v>
      </c>
      <c r="J1004" s="2" t="s">
        <v>13904</v>
      </c>
      <c r="K1004" s="2" t="s">
        <v>19240</v>
      </c>
      <c r="L1004" s="82" t="s">
        <v>19512</v>
      </c>
    </row>
    <row r="1005" spans="1:12" ht="84" customHeight="1" x14ac:dyDescent="0.3">
      <c r="A1005" s="2">
        <v>1001</v>
      </c>
      <c r="B1005" s="66" t="s">
        <v>932</v>
      </c>
      <c r="C1005" s="66"/>
      <c r="D1005" s="11" t="s">
        <v>970</v>
      </c>
      <c r="E1005" s="11" t="s">
        <v>970</v>
      </c>
      <c r="F1005" s="3">
        <v>39490</v>
      </c>
      <c r="G1005" s="2" t="s">
        <v>14104</v>
      </c>
      <c r="H1005" s="3">
        <v>43053</v>
      </c>
      <c r="I1005" s="2" t="s">
        <v>19506</v>
      </c>
      <c r="J1005" s="2" t="s">
        <v>13904</v>
      </c>
      <c r="K1005" s="2"/>
      <c r="L1005" s="82" t="s">
        <v>19512</v>
      </c>
    </row>
    <row r="1006" spans="1:12" ht="84" customHeight="1" x14ac:dyDescent="0.3">
      <c r="A1006" s="2">
        <v>1002</v>
      </c>
      <c r="B1006" s="66" t="s">
        <v>971</v>
      </c>
      <c r="C1006" s="66"/>
      <c r="D1006" s="11" t="s">
        <v>996</v>
      </c>
      <c r="E1006" s="11" t="s">
        <v>996</v>
      </c>
      <c r="F1006" s="3">
        <v>41913</v>
      </c>
      <c r="G1006" s="2" t="s">
        <v>14104</v>
      </c>
      <c r="H1006" s="3">
        <v>43053</v>
      </c>
      <c r="I1006" s="2" t="s">
        <v>19506</v>
      </c>
      <c r="J1006" s="2" t="s">
        <v>13904</v>
      </c>
      <c r="K1006" s="2"/>
      <c r="L1006" s="82" t="s">
        <v>19512</v>
      </c>
    </row>
    <row r="1007" spans="1:12" ht="84" customHeight="1" x14ac:dyDescent="0.3">
      <c r="A1007" s="2">
        <v>1003</v>
      </c>
      <c r="B1007" s="66" t="s">
        <v>972</v>
      </c>
      <c r="C1007" s="66"/>
      <c r="D1007" s="11" t="s">
        <v>997</v>
      </c>
      <c r="E1007" s="11" t="s">
        <v>997</v>
      </c>
      <c r="F1007" s="3">
        <v>41579</v>
      </c>
      <c r="G1007" s="2" t="s">
        <v>14104</v>
      </c>
      <c r="H1007" s="3">
        <v>43053</v>
      </c>
      <c r="I1007" s="2" t="s">
        <v>19506</v>
      </c>
      <c r="J1007" s="2" t="s">
        <v>13904</v>
      </c>
      <c r="K1007" s="2"/>
      <c r="L1007" s="82" t="s">
        <v>19512</v>
      </c>
    </row>
    <row r="1008" spans="1:12" ht="84" customHeight="1" x14ac:dyDescent="0.3">
      <c r="A1008" s="2">
        <v>1004</v>
      </c>
      <c r="B1008" s="66" t="s">
        <v>973</v>
      </c>
      <c r="C1008" s="66"/>
      <c r="D1008" s="11" t="s">
        <v>998</v>
      </c>
      <c r="E1008" s="11" t="s">
        <v>998</v>
      </c>
      <c r="F1008" s="3">
        <v>40086</v>
      </c>
      <c r="G1008" s="2" t="s">
        <v>14104</v>
      </c>
      <c r="H1008" s="3">
        <v>43053</v>
      </c>
      <c r="I1008" s="2" t="s">
        <v>19506</v>
      </c>
      <c r="J1008" s="2" t="s">
        <v>13904</v>
      </c>
      <c r="K1008" s="2"/>
      <c r="L1008" s="82" t="s">
        <v>19512</v>
      </c>
    </row>
    <row r="1009" spans="1:12" ht="84" customHeight="1" x14ac:dyDescent="0.3">
      <c r="A1009" s="2">
        <v>1005</v>
      </c>
      <c r="B1009" s="66" t="s">
        <v>974</v>
      </c>
      <c r="C1009" s="66"/>
      <c r="D1009" s="11" t="s">
        <v>999</v>
      </c>
      <c r="E1009" s="11" t="s">
        <v>999</v>
      </c>
      <c r="F1009" s="3">
        <v>40086</v>
      </c>
      <c r="G1009" s="2" t="s">
        <v>14104</v>
      </c>
      <c r="H1009" s="3">
        <v>43053</v>
      </c>
      <c r="I1009" s="2" t="s">
        <v>19506</v>
      </c>
      <c r="J1009" s="2" t="s">
        <v>13904</v>
      </c>
      <c r="K1009" s="2"/>
      <c r="L1009" s="82" t="s">
        <v>19512</v>
      </c>
    </row>
    <row r="1010" spans="1:12" ht="84" customHeight="1" x14ac:dyDescent="0.3">
      <c r="A1010" s="2">
        <v>1006</v>
      </c>
      <c r="B1010" s="66" t="s">
        <v>975</v>
      </c>
      <c r="C1010" s="66"/>
      <c r="D1010" s="11" t="s">
        <v>1000</v>
      </c>
      <c r="E1010" s="11" t="s">
        <v>1000</v>
      </c>
      <c r="F1010" s="3">
        <v>40830</v>
      </c>
      <c r="G1010" s="2" t="s">
        <v>14104</v>
      </c>
      <c r="H1010" s="3">
        <v>43053</v>
      </c>
      <c r="I1010" s="2" t="s">
        <v>19506</v>
      </c>
      <c r="J1010" s="2" t="s">
        <v>13904</v>
      </c>
      <c r="K1010" s="2"/>
      <c r="L1010" s="82" t="s">
        <v>19512</v>
      </c>
    </row>
    <row r="1011" spans="1:12" ht="84" customHeight="1" x14ac:dyDescent="0.3">
      <c r="A1011" s="2">
        <v>1007</v>
      </c>
      <c r="B1011" s="66" t="s">
        <v>976</v>
      </c>
      <c r="C1011" s="66"/>
      <c r="D1011" s="11" t="s">
        <v>1001</v>
      </c>
      <c r="E1011" s="11" t="s">
        <v>1001</v>
      </c>
      <c r="F1011" s="3">
        <v>40898</v>
      </c>
      <c r="G1011" s="2" t="s">
        <v>14104</v>
      </c>
      <c r="H1011" s="3">
        <v>43053</v>
      </c>
      <c r="I1011" s="2" t="s">
        <v>19506</v>
      </c>
      <c r="J1011" s="2" t="s">
        <v>13904</v>
      </c>
      <c r="K1011" s="2"/>
      <c r="L1011" s="82" t="s">
        <v>19512</v>
      </c>
    </row>
    <row r="1012" spans="1:12" ht="84" customHeight="1" x14ac:dyDescent="0.3">
      <c r="A1012" s="2">
        <v>1008</v>
      </c>
      <c r="B1012" s="66" t="s">
        <v>976</v>
      </c>
      <c r="C1012" s="66"/>
      <c r="D1012" s="11" t="s">
        <v>1001</v>
      </c>
      <c r="E1012" s="11" t="s">
        <v>1001</v>
      </c>
      <c r="F1012" s="3">
        <v>40898</v>
      </c>
      <c r="G1012" s="2" t="s">
        <v>14104</v>
      </c>
      <c r="H1012" s="3">
        <v>43053</v>
      </c>
      <c r="I1012" s="2" t="s">
        <v>19506</v>
      </c>
      <c r="J1012" s="2" t="s">
        <v>13904</v>
      </c>
      <c r="K1012" s="2"/>
      <c r="L1012" s="82" t="s">
        <v>19512</v>
      </c>
    </row>
    <row r="1013" spans="1:12" ht="84" customHeight="1" x14ac:dyDescent="0.3">
      <c r="A1013" s="2">
        <v>1009</v>
      </c>
      <c r="B1013" s="66" t="s">
        <v>971</v>
      </c>
      <c r="C1013" s="66"/>
      <c r="D1013" s="11" t="s">
        <v>1002</v>
      </c>
      <c r="E1013" s="11" t="s">
        <v>1002</v>
      </c>
      <c r="F1013" s="3">
        <v>40981</v>
      </c>
      <c r="G1013" s="2" t="s">
        <v>14104</v>
      </c>
      <c r="H1013" s="3">
        <v>43053</v>
      </c>
      <c r="I1013" s="2" t="s">
        <v>19506</v>
      </c>
      <c r="J1013" s="2" t="s">
        <v>13904</v>
      </c>
      <c r="K1013" s="2"/>
      <c r="L1013" s="82" t="s">
        <v>19512</v>
      </c>
    </row>
    <row r="1014" spans="1:12" ht="84" customHeight="1" x14ac:dyDescent="0.3">
      <c r="A1014" s="2">
        <v>1010</v>
      </c>
      <c r="B1014" s="66" t="s">
        <v>971</v>
      </c>
      <c r="C1014" s="66"/>
      <c r="D1014" s="11" t="s">
        <v>1002</v>
      </c>
      <c r="E1014" s="11" t="s">
        <v>1002</v>
      </c>
      <c r="F1014" s="3">
        <v>40981</v>
      </c>
      <c r="G1014" s="2" t="s">
        <v>14104</v>
      </c>
      <c r="H1014" s="3">
        <v>43053</v>
      </c>
      <c r="I1014" s="2" t="s">
        <v>19506</v>
      </c>
      <c r="J1014" s="2" t="s">
        <v>13904</v>
      </c>
      <c r="K1014" s="2"/>
      <c r="L1014" s="82" t="s">
        <v>19512</v>
      </c>
    </row>
    <row r="1015" spans="1:12" ht="84" customHeight="1" x14ac:dyDescent="0.3">
      <c r="A1015" s="2">
        <v>1011</v>
      </c>
      <c r="B1015" s="66" t="s">
        <v>977</v>
      </c>
      <c r="C1015" s="66"/>
      <c r="D1015" s="11" t="s">
        <v>1002</v>
      </c>
      <c r="E1015" s="11" t="s">
        <v>1002</v>
      </c>
      <c r="F1015" s="3">
        <v>40989</v>
      </c>
      <c r="G1015" s="2" t="s">
        <v>14104</v>
      </c>
      <c r="H1015" s="3">
        <v>43053</v>
      </c>
      <c r="I1015" s="2" t="s">
        <v>19506</v>
      </c>
      <c r="J1015" s="2" t="s">
        <v>13904</v>
      </c>
      <c r="K1015" s="2"/>
      <c r="L1015" s="82" t="s">
        <v>19512</v>
      </c>
    </row>
    <row r="1016" spans="1:12" ht="84" customHeight="1" x14ac:dyDescent="0.3">
      <c r="A1016" s="2">
        <v>1012</v>
      </c>
      <c r="B1016" s="66" t="s">
        <v>977</v>
      </c>
      <c r="C1016" s="66"/>
      <c r="D1016" s="11" t="s">
        <v>1003</v>
      </c>
      <c r="E1016" s="11" t="s">
        <v>1003</v>
      </c>
      <c r="F1016" s="3">
        <v>41045</v>
      </c>
      <c r="G1016" s="2" t="s">
        <v>14104</v>
      </c>
      <c r="H1016" s="3">
        <v>43053</v>
      </c>
      <c r="I1016" s="2" t="s">
        <v>19506</v>
      </c>
      <c r="J1016" s="2" t="s">
        <v>13904</v>
      </c>
      <c r="K1016" s="2"/>
      <c r="L1016" s="82" t="s">
        <v>19512</v>
      </c>
    </row>
    <row r="1017" spans="1:12" ht="84" customHeight="1" x14ac:dyDescent="0.3">
      <c r="A1017" s="2">
        <v>1013</v>
      </c>
      <c r="B1017" s="66" t="s">
        <v>978</v>
      </c>
      <c r="C1017" s="66"/>
      <c r="D1017" s="11" t="s">
        <v>1004</v>
      </c>
      <c r="E1017" s="11" t="s">
        <v>1004</v>
      </c>
      <c r="F1017" s="3">
        <v>41079</v>
      </c>
      <c r="G1017" s="2" t="s">
        <v>14104</v>
      </c>
      <c r="H1017" s="3">
        <v>43053</v>
      </c>
      <c r="I1017" s="2" t="s">
        <v>19506</v>
      </c>
      <c r="J1017" s="2" t="s">
        <v>13904</v>
      </c>
      <c r="K1017" s="2"/>
      <c r="L1017" s="82" t="s">
        <v>19512</v>
      </c>
    </row>
    <row r="1018" spans="1:12" ht="84" customHeight="1" x14ac:dyDescent="0.3">
      <c r="A1018" s="2">
        <v>1014</v>
      </c>
      <c r="B1018" s="66" t="s">
        <v>979</v>
      </c>
      <c r="C1018" s="66" t="s">
        <v>23075</v>
      </c>
      <c r="D1018" s="11" t="s">
        <v>1005</v>
      </c>
      <c r="E1018" s="11" t="s">
        <v>1005</v>
      </c>
      <c r="F1018" s="3">
        <v>41479</v>
      </c>
      <c r="G1018" s="2" t="s">
        <v>14104</v>
      </c>
      <c r="H1018" s="3">
        <v>43053</v>
      </c>
      <c r="I1018" s="2" t="s">
        <v>19506</v>
      </c>
      <c r="J1018" s="2" t="s">
        <v>13904</v>
      </c>
      <c r="K1018" s="2" t="s">
        <v>19240</v>
      </c>
      <c r="L1018" s="82" t="s">
        <v>19512</v>
      </c>
    </row>
    <row r="1019" spans="1:12" ht="84" customHeight="1" x14ac:dyDescent="0.3">
      <c r="A1019" s="2">
        <v>1015</v>
      </c>
      <c r="B1019" s="66" t="s">
        <v>980</v>
      </c>
      <c r="C1019" s="66" t="s">
        <v>23079</v>
      </c>
      <c r="D1019" s="11" t="s">
        <v>1006</v>
      </c>
      <c r="E1019" s="11" t="s">
        <v>1006</v>
      </c>
      <c r="F1019" s="3">
        <v>41499</v>
      </c>
      <c r="G1019" s="2" t="s">
        <v>14104</v>
      </c>
      <c r="H1019" s="3">
        <v>43053</v>
      </c>
      <c r="I1019" s="2" t="s">
        <v>19506</v>
      </c>
      <c r="J1019" s="2" t="s">
        <v>13904</v>
      </c>
      <c r="K1019" s="2" t="s">
        <v>19240</v>
      </c>
      <c r="L1019" s="82" t="s">
        <v>19512</v>
      </c>
    </row>
    <row r="1020" spans="1:12" ht="84" customHeight="1" x14ac:dyDescent="0.3">
      <c r="A1020" s="2">
        <v>1016</v>
      </c>
      <c r="B1020" s="66" t="s">
        <v>981</v>
      </c>
      <c r="C1020" s="66" t="s">
        <v>23054</v>
      </c>
      <c r="D1020" s="11" t="s">
        <v>1007</v>
      </c>
      <c r="E1020" s="11" t="s">
        <v>1007</v>
      </c>
      <c r="F1020" s="3">
        <v>41452</v>
      </c>
      <c r="G1020" s="2" t="s">
        <v>14104</v>
      </c>
      <c r="H1020" s="3">
        <v>43053</v>
      </c>
      <c r="I1020" s="2" t="s">
        <v>19506</v>
      </c>
      <c r="J1020" s="2" t="s">
        <v>13904</v>
      </c>
      <c r="K1020" s="2" t="s">
        <v>19240</v>
      </c>
      <c r="L1020" s="82" t="s">
        <v>19512</v>
      </c>
    </row>
    <row r="1021" spans="1:12" ht="84" customHeight="1" x14ac:dyDescent="0.3">
      <c r="A1021" s="2">
        <v>1017</v>
      </c>
      <c r="B1021" s="66" t="s">
        <v>982</v>
      </c>
      <c r="C1021" s="66" t="s">
        <v>23085</v>
      </c>
      <c r="D1021" s="11" t="s">
        <v>1008</v>
      </c>
      <c r="E1021" s="11" t="s">
        <v>1009</v>
      </c>
      <c r="F1021" s="3">
        <v>41452</v>
      </c>
      <c r="G1021" s="2" t="s">
        <v>14104</v>
      </c>
      <c r="H1021" s="3">
        <v>43053</v>
      </c>
      <c r="I1021" s="2" t="s">
        <v>19506</v>
      </c>
      <c r="J1021" s="2" t="s">
        <v>13904</v>
      </c>
      <c r="K1021" s="2" t="s">
        <v>19240</v>
      </c>
      <c r="L1021" s="82" t="s">
        <v>19512</v>
      </c>
    </row>
    <row r="1022" spans="1:12" ht="84" customHeight="1" x14ac:dyDescent="0.3">
      <c r="A1022" s="2">
        <v>1018</v>
      </c>
      <c r="B1022" s="66" t="s">
        <v>983</v>
      </c>
      <c r="C1022" s="66" t="s">
        <v>23084</v>
      </c>
      <c r="D1022" s="11" t="s">
        <v>1010</v>
      </c>
      <c r="E1022" s="11" t="s">
        <v>1010</v>
      </c>
      <c r="F1022" s="3">
        <v>41452</v>
      </c>
      <c r="G1022" s="2" t="s">
        <v>14104</v>
      </c>
      <c r="H1022" s="3">
        <v>43053</v>
      </c>
      <c r="I1022" s="2" t="s">
        <v>19506</v>
      </c>
      <c r="J1022" s="2" t="s">
        <v>13904</v>
      </c>
      <c r="K1022" s="2" t="s">
        <v>19240</v>
      </c>
      <c r="L1022" s="82" t="s">
        <v>19512</v>
      </c>
    </row>
    <row r="1023" spans="1:12" ht="84" customHeight="1" x14ac:dyDescent="0.3">
      <c r="A1023" s="2">
        <v>1019</v>
      </c>
      <c r="B1023" s="66" t="s">
        <v>984</v>
      </c>
      <c r="C1023" s="66" t="s">
        <v>23087</v>
      </c>
      <c r="D1023" s="11" t="s">
        <v>1011</v>
      </c>
      <c r="E1023" s="11" t="s">
        <v>1011</v>
      </c>
      <c r="F1023" s="3">
        <v>41452</v>
      </c>
      <c r="G1023" s="2" t="s">
        <v>14104</v>
      </c>
      <c r="H1023" s="3">
        <v>43053</v>
      </c>
      <c r="I1023" s="2" t="s">
        <v>19506</v>
      </c>
      <c r="J1023" s="2" t="s">
        <v>13904</v>
      </c>
      <c r="K1023" s="2" t="s">
        <v>19240</v>
      </c>
      <c r="L1023" s="82" t="s">
        <v>19512</v>
      </c>
    </row>
    <row r="1024" spans="1:12" ht="84" customHeight="1" x14ac:dyDescent="0.3">
      <c r="A1024" s="2">
        <v>1020</v>
      </c>
      <c r="B1024" s="66" t="s">
        <v>985</v>
      </c>
      <c r="C1024" s="66" t="s">
        <v>23063</v>
      </c>
      <c r="D1024" s="11" t="s">
        <v>1012</v>
      </c>
      <c r="E1024" s="11" t="s">
        <v>1012</v>
      </c>
      <c r="F1024" s="3">
        <v>37662</v>
      </c>
      <c r="G1024" s="2" t="s">
        <v>14104</v>
      </c>
      <c r="H1024" s="3">
        <v>43053</v>
      </c>
      <c r="I1024" s="2" t="s">
        <v>19506</v>
      </c>
      <c r="J1024" s="2" t="s">
        <v>13904</v>
      </c>
      <c r="K1024" s="2" t="s">
        <v>19240</v>
      </c>
      <c r="L1024" s="82" t="s">
        <v>19512</v>
      </c>
    </row>
    <row r="1025" spans="1:12" ht="84" customHeight="1" x14ac:dyDescent="0.3">
      <c r="A1025" s="2">
        <v>1021</v>
      </c>
      <c r="B1025" s="66" t="s">
        <v>986</v>
      </c>
      <c r="C1025" s="66" t="s">
        <v>23067</v>
      </c>
      <c r="D1025" s="11" t="s">
        <v>1013</v>
      </c>
      <c r="E1025" s="11" t="s">
        <v>1013</v>
      </c>
      <c r="F1025" s="3">
        <v>37667</v>
      </c>
      <c r="G1025" s="2" t="s">
        <v>14104</v>
      </c>
      <c r="H1025" s="3">
        <v>43053</v>
      </c>
      <c r="I1025" s="2" t="s">
        <v>19506</v>
      </c>
      <c r="J1025" s="2" t="s">
        <v>13904</v>
      </c>
      <c r="K1025" s="2" t="s">
        <v>19240</v>
      </c>
      <c r="L1025" s="82" t="s">
        <v>19512</v>
      </c>
    </row>
    <row r="1026" spans="1:12" ht="84" customHeight="1" x14ac:dyDescent="0.3">
      <c r="A1026" s="2">
        <v>1022</v>
      </c>
      <c r="B1026" s="66" t="s">
        <v>987</v>
      </c>
      <c r="C1026" s="66" t="s">
        <v>23061</v>
      </c>
      <c r="D1026" s="11" t="s">
        <v>1014</v>
      </c>
      <c r="E1026" s="11" t="s">
        <v>1014</v>
      </c>
      <c r="F1026" s="3">
        <v>39447</v>
      </c>
      <c r="G1026" s="2" t="s">
        <v>14104</v>
      </c>
      <c r="H1026" s="3">
        <v>43053</v>
      </c>
      <c r="I1026" s="2" t="s">
        <v>19506</v>
      </c>
      <c r="J1026" s="2" t="s">
        <v>13904</v>
      </c>
      <c r="K1026" s="2" t="s">
        <v>19240</v>
      </c>
      <c r="L1026" s="82" t="s">
        <v>19512</v>
      </c>
    </row>
    <row r="1027" spans="1:12" ht="84" customHeight="1" x14ac:dyDescent="0.3">
      <c r="A1027" s="2">
        <v>1023</v>
      </c>
      <c r="B1027" s="66" t="s">
        <v>988</v>
      </c>
      <c r="C1027" s="66" t="s">
        <v>23076</v>
      </c>
      <c r="D1027" s="11" t="s">
        <v>1015</v>
      </c>
      <c r="E1027" s="11" t="s">
        <v>1015</v>
      </c>
      <c r="F1027" s="3">
        <v>37462</v>
      </c>
      <c r="G1027" s="2" t="s">
        <v>14104</v>
      </c>
      <c r="H1027" s="3">
        <v>43053</v>
      </c>
      <c r="I1027" s="2" t="s">
        <v>19506</v>
      </c>
      <c r="J1027" s="2" t="s">
        <v>13904</v>
      </c>
      <c r="K1027" s="2" t="s">
        <v>19240</v>
      </c>
      <c r="L1027" s="82" t="s">
        <v>19512</v>
      </c>
    </row>
    <row r="1028" spans="1:12" ht="84" customHeight="1" x14ac:dyDescent="0.3">
      <c r="A1028" s="2">
        <v>1024</v>
      </c>
      <c r="B1028" s="66" t="s">
        <v>989</v>
      </c>
      <c r="C1028" s="66" t="s">
        <v>23069</v>
      </c>
      <c r="D1028" s="11" t="s">
        <v>1016</v>
      </c>
      <c r="E1028" s="11" t="s">
        <v>1016</v>
      </c>
      <c r="F1028" s="3">
        <v>37403</v>
      </c>
      <c r="G1028" s="2" t="s">
        <v>14104</v>
      </c>
      <c r="H1028" s="3">
        <v>43053</v>
      </c>
      <c r="I1028" s="2" t="s">
        <v>19506</v>
      </c>
      <c r="J1028" s="2" t="s">
        <v>13904</v>
      </c>
      <c r="K1028" s="2" t="s">
        <v>19240</v>
      </c>
      <c r="L1028" s="82" t="s">
        <v>19512</v>
      </c>
    </row>
    <row r="1029" spans="1:12" ht="84" customHeight="1" x14ac:dyDescent="0.3">
      <c r="A1029" s="2">
        <v>1025</v>
      </c>
      <c r="B1029" s="66" t="s">
        <v>990</v>
      </c>
      <c r="C1029" s="66" t="s">
        <v>23071</v>
      </c>
      <c r="D1029" s="11" t="s">
        <v>1017</v>
      </c>
      <c r="E1029" s="11" t="s">
        <v>1017</v>
      </c>
      <c r="F1029" s="3">
        <v>37462</v>
      </c>
      <c r="G1029" s="2" t="s">
        <v>14104</v>
      </c>
      <c r="H1029" s="3">
        <v>43053</v>
      </c>
      <c r="I1029" s="2" t="s">
        <v>19506</v>
      </c>
      <c r="J1029" s="2" t="s">
        <v>13904</v>
      </c>
      <c r="K1029" s="2" t="s">
        <v>19240</v>
      </c>
      <c r="L1029" s="82" t="s">
        <v>19512</v>
      </c>
    </row>
    <row r="1030" spans="1:12" ht="84" customHeight="1" x14ac:dyDescent="0.3">
      <c r="A1030" s="2">
        <v>1026</v>
      </c>
      <c r="B1030" s="66" t="s">
        <v>991</v>
      </c>
      <c r="C1030" s="66" t="s">
        <v>23081</v>
      </c>
      <c r="D1030" s="11" t="s">
        <v>1018</v>
      </c>
      <c r="E1030" s="11" t="s">
        <v>1018</v>
      </c>
      <c r="F1030" s="3">
        <v>37667</v>
      </c>
      <c r="G1030" s="2" t="s">
        <v>14104</v>
      </c>
      <c r="H1030" s="3">
        <v>43053</v>
      </c>
      <c r="I1030" s="2" t="s">
        <v>19506</v>
      </c>
      <c r="J1030" s="2" t="s">
        <v>13904</v>
      </c>
      <c r="K1030" s="2" t="s">
        <v>19240</v>
      </c>
      <c r="L1030" s="82" t="s">
        <v>19512</v>
      </c>
    </row>
    <row r="1031" spans="1:12" ht="84" customHeight="1" x14ac:dyDescent="0.3">
      <c r="A1031" s="2">
        <v>1027</v>
      </c>
      <c r="B1031" s="66" t="s">
        <v>992</v>
      </c>
      <c r="C1031" s="66" t="s">
        <v>23065</v>
      </c>
      <c r="D1031" s="11" t="s">
        <v>1019</v>
      </c>
      <c r="E1031" s="11" t="s">
        <v>1019</v>
      </c>
      <c r="F1031" s="3">
        <v>36727</v>
      </c>
      <c r="G1031" s="2" t="s">
        <v>14104</v>
      </c>
      <c r="H1031" s="3">
        <v>43053</v>
      </c>
      <c r="I1031" s="2" t="s">
        <v>19506</v>
      </c>
      <c r="J1031" s="2" t="s">
        <v>13904</v>
      </c>
      <c r="K1031" s="2" t="s">
        <v>19240</v>
      </c>
      <c r="L1031" s="82" t="s">
        <v>19512</v>
      </c>
    </row>
    <row r="1032" spans="1:12" ht="84" customHeight="1" x14ac:dyDescent="0.3">
      <c r="A1032" s="2">
        <v>1028</v>
      </c>
      <c r="B1032" s="66" t="s">
        <v>993</v>
      </c>
      <c r="C1032" s="66" t="s">
        <v>23082</v>
      </c>
      <c r="D1032" s="11" t="s">
        <v>1020</v>
      </c>
      <c r="E1032" s="11" t="s">
        <v>1020</v>
      </c>
      <c r="F1032" s="3">
        <v>36727</v>
      </c>
      <c r="G1032" s="2" t="s">
        <v>14104</v>
      </c>
      <c r="H1032" s="3">
        <v>43053</v>
      </c>
      <c r="I1032" s="2" t="s">
        <v>19506</v>
      </c>
      <c r="J1032" s="2" t="s">
        <v>13904</v>
      </c>
      <c r="K1032" s="2" t="s">
        <v>19240</v>
      </c>
      <c r="L1032" s="82" t="s">
        <v>19512</v>
      </c>
    </row>
    <row r="1033" spans="1:12" ht="84" customHeight="1" x14ac:dyDescent="0.3">
      <c r="A1033" s="2">
        <v>1029</v>
      </c>
      <c r="B1033" s="66" t="s">
        <v>994</v>
      </c>
      <c r="C1033" s="66" t="s">
        <v>23080</v>
      </c>
      <c r="D1033" s="11" t="s">
        <v>1021</v>
      </c>
      <c r="E1033" s="11" t="s">
        <v>1021</v>
      </c>
      <c r="F1033" s="3">
        <v>36727</v>
      </c>
      <c r="G1033" s="2" t="s">
        <v>14104</v>
      </c>
      <c r="H1033" s="3">
        <v>43053</v>
      </c>
      <c r="I1033" s="2" t="s">
        <v>19506</v>
      </c>
      <c r="J1033" s="2" t="s">
        <v>13904</v>
      </c>
      <c r="K1033" s="2" t="s">
        <v>19240</v>
      </c>
      <c r="L1033" s="82" t="s">
        <v>19512</v>
      </c>
    </row>
    <row r="1034" spans="1:12" ht="84" customHeight="1" x14ac:dyDescent="0.3">
      <c r="A1034" s="2">
        <v>1030</v>
      </c>
      <c r="B1034" s="66" t="s">
        <v>971</v>
      </c>
      <c r="C1034" s="66"/>
      <c r="D1034" s="11" t="s">
        <v>1022</v>
      </c>
      <c r="E1034" s="11" t="s">
        <v>1022</v>
      </c>
      <c r="F1034" s="3">
        <v>39393</v>
      </c>
      <c r="G1034" s="2" t="s">
        <v>14104</v>
      </c>
      <c r="H1034" s="3">
        <v>43053</v>
      </c>
      <c r="I1034" s="2" t="s">
        <v>19506</v>
      </c>
      <c r="J1034" s="2" t="s">
        <v>13904</v>
      </c>
      <c r="K1034" s="2"/>
      <c r="L1034" s="82" t="s">
        <v>19512</v>
      </c>
    </row>
    <row r="1035" spans="1:12" ht="84" customHeight="1" x14ac:dyDescent="0.3">
      <c r="A1035" s="2">
        <v>1031</v>
      </c>
      <c r="B1035" s="66" t="s">
        <v>989</v>
      </c>
      <c r="C1035" s="245" t="s">
        <v>23077</v>
      </c>
      <c r="D1035" s="11" t="s">
        <v>1016</v>
      </c>
      <c r="E1035" s="11" t="s">
        <v>1016</v>
      </c>
      <c r="F1035" s="3">
        <v>37403</v>
      </c>
      <c r="G1035" s="2" t="s">
        <v>14104</v>
      </c>
      <c r="H1035" s="3">
        <v>43053</v>
      </c>
      <c r="I1035" s="2" t="s">
        <v>19506</v>
      </c>
      <c r="J1035" s="2" t="s">
        <v>13904</v>
      </c>
      <c r="K1035" s="2" t="s">
        <v>19240</v>
      </c>
      <c r="L1035" s="82" t="s">
        <v>19512</v>
      </c>
    </row>
    <row r="1036" spans="1:12" ht="84" customHeight="1" x14ac:dyDescent="0.3">
      <c r="A1036" s="2">
        <v>1032</v>
      </c>
      <c r="B1036" s="66" t="s">
        <v>989</v>
      </c>
      <c r="C1036" s="245" t="s">
        <v>23083</v>
      </c>
      <c r="D1036" s="11" t="s">
        <v>1016</v>
      </c>
      <c r="E1036" s="11" t="s">
        <v>1016</v>
      </c>
      <c r="F1036" s="3">
        <v>37403</v>
      </c>
      <c r="G1036" s="2" t="s">
        <v>14104</v>
      </c>
      <c r="H1036" s="3">
        <v>43053</v>
      </c>
      <c r="I1036" s="2" t="s">
        <v>19506</v>
      </c>
      <c r="J1036" s="2" t="s">
        <v>13904</v>
      </c>
      <c r="K1036" s="2" t="s">
        <v>19240</v>
      </c>
      <c r="L1036" s="82" t="s">
        <v>19512</v>
      </c>
    </row>
    <row r="1037" spans="1:12" ht="84" customHeight="1" x14ac:dyDescent="0.3">
      <c r="A1037" s="2">
        <v>1033</v>
      </c>
      <c r="B1037" s="66" t="s">
        <v>990</v>
      </c>
      <c r="C1037" s="66" t="s">
        <v>23064</v>
      </c>
      <c r="D1037" s="11" t="s">
        <v>1023</v>
      </c>
      <c r="E1037" s="11" t="s">
        <v>1023</v>
      </c>
      <c r="F1037" s="3">
        <v>37462</v>
      </c>
      <c r="G1037" s="2" t="s">
        <v>14104</v>
      </c>
      <c r="H1037" s="3">
        <v>43053</v>
      </c>
      <c r="I1037" s="2" t="s">
        <v>19506</v>
      </c>
      <c r="J1037" s="2" t="s">
        <v>13904</v>
      </c>
      <c r="K1037" s="2" t="s">
        <v>19240</v>
      </c>
      <c r="L1037" s="82" t="s">
        <v>19512</v>
      </c>
    </row>
    <row r="1038" spans="1:12" ht="84" customHeight="1" x14ac:dyDescent="0.3">
      <c r="A1038" s="2">
        <v>1034</v>
      </c>
      <c r="B1038" s="66" t="s">
        <v>990</v>
      </c>
      <c r="C1038" s="245" t="s">
        <v>23068</v>
      </c>
      <c r="D1038" s="11" t="s">
        <v>1023</v>
      </c>
      <c r="E1038" s="11" t="s">
        <v>1023</v>
      </c>
      <c r="F1038" s="3">
        <v>37462</v>
      </c>
      <c r="G1038" s="2" t="s">
        <v>14104</v>
      </c>
      <c r="H1038" s="3">
        <v>43053</v>
      </c>
      <c r="I1038" s="2" t="s">
        <v>19506</v>
      </c>
      <c r="J1038" s="2" t="s">
        <v>13904</v>
      </c>
      <c r="K1038" s="2" t="s">
        <v>19240</v>
      </c>
      <c r="L1038" s="82" t="s">
        <v>19512</v>
      </c>
    </row>
    <row r="1039" spans="1:12" ht="84" customHeight="1" x14ac:dyDescent="0.3">
      <c r="A1039" s="2">
        <v>1035</v>
      </c>
      <c r="B1039" s="66" t="s">
        <v>990</v>
      </c>
      <c r="C1039" s="245" t="s">
        <v>23074</v>
      </c>
      <c r="D1039" s="11" t="s">
        <v>1023</v>
      </c>
      <c r="E1039" s="11" t="s">
        <v>1023</v>
      </c>
      <c r="F1039" s="3">
        <v>37462</v>
      </c>
      <c r="G1039" s="2" t="s">
        <v>14104</v>
      </c>
      <c r="H1039" s="3">
        <v>43053</v>
      </c>
      <c r="I1039" s="2" t="s">
        <v>19506</v>
      </c>
      <c r="J1039" s="2" t="s">
        <v>13904</v>
      </c>
      <c r="K1039" s="2" t="s">
        <v>19240</v>
      </c>
      <c r="L1039" s="82" t="s">
        <v>19512</v>
      </c>
    </row>
    <row r="1040" spans="1:12" ht="84" customHeight="1" x14ac:dyDescent="0.3">
      <c r="A1040" s="2">
        <v>1036</v>
      </c>
      <c r="B1040" s="66" t="s">
        <v>990</v>
      </c>
      <c r="C1040" s="245" t="s">
        <v>23078</v>
      </c>
      <c r="D1040" s="11" t="s">
        <v>1023</v>
      </c>
      <c r="E1040" s="11" t="s">
        <v>1023</v>
      </c>
      <c r="F1040" s="3">
        <v>37462</v>
      </c>
      <c r="G1040" s="2" t="s">
        <v>14104</v>
      </c>
      <c r="H1040" s="3">
        <v>43053</v>
      </c>
      <c r="I1040" s="2" t="s">
        <v>19506</v>
      </c>
      <c r="J1040" s="2" t="s">
        <v>13904</v>
      </c>
      <c r="K1040" s="2" t="s">
        <v>19240</v>
      </c>
      <c r="L1040" s="82" t="s">
        <v>19512</v>
      </c>
    </row>
    <row r="1041" spans="1:12" ht="84" customHeight="1" x14ac:dyDescent="0.3">
      <c r="A1041" s="2">
        <v>1037</v>
      </c>
      <c r="B1041" s="66" t="s">
        <v>993</v>
      </c>
      <c r="C1041" s="66" t="s">
        <v>23060</v>
      </c>
      <c r="D1041" s="11" t="s">
        <v>1024</v>
      </c>
      <c r="E1041" s="11" t="s">
        <v>1024</v>
      </c>
      <c r="F1041" s="3">
        <v>36727</v>
      </c>
      <c r="G1041" s="2" t="s">
        <v>14104</v>
      </c>
      <c r="H1041" s="3">
        <v>43053</v>
      </c>
      <c r="I1041" s="2" t="s">
        <v>19506</v>
      </c>
      <c r="J1041" s="2" t="s">
        <v>13904</v>
      </c>
      <c r="K1041" s="2" t="s">
        <v>19240</v>
      </c>
      <c r="L1041" s="82" t="s">
        <v>19512</v>
      </c>
    </row>
    <row r="1042" spans="1:12" ht="84" customHeight="1" x14ac:dyDescent="0.3">
      <c r="A1042" s="2">
        <v>1038</v>
      </c>
      <c r="B1042" s="66" t="s">
        <v>993</v>
      </c>
      <c r="C1042" s="66" t="s">
        <v>23062</v>
      </c>
      <c r="D1042" s="11" t="s">
        <v>1024</v>
      </c>
      <c r="E1042" s="11" t="s">
        <v>1024</v>
      </c>
      <c r="F1042" s="3">
        <v>36727</v>
      </c>
      <c r="G1042" s="2" t="s">
        <v>14104</v>
      </c>
      <c r="H1042" s="3">
        <v>43053</v>
      </c>
      <c r="I1042" s="2" t="s">
        <v>19506</v>
      </c>
      <c r="J1042" s="2" t="s">
        <v>13904</v>
      </c>
      <c r="K1042" s="2" t="s">
        <v>19240</v>
      </c>
      <c r="L1042" s="82" t="s">
        <v>19512</v>
      </c>
    </row>
    <row r="1043" spans="1:12" ht="84" customHeight="1" x14ac:dyDescent="0.3">
      <c r="A1043" s="2">
        <v>1039</v>
      </c>
      <c r="B1043" s="66" t="s">
        <v>993</v>
      </c>
      <c r="C1043" s="245" t="s">
        <v>23066</v>
      </c>
      <c r="D1043" s="11" t="s">
        <v>1024</v>
      </c>
      <c r="E1043" s="11" t="s">
        <v>1024</v>
      </c>
      <c r="F1043" s="3">
        <v>36727</v>
      </c>
      <c r="G1043" s="2" t="s">
        <v>14104</v>
      </c>
      <c r="H1043" s="3">
        <v>43053</v>
      </c>
      <c r="I1043" s="2" t="s">
        <v>19506</v>
      </c>
      <c r="J1043" s="2" t="s">
        <v>13904</v>
      </c>
      <c r="K1043" s="2" t="s">
        <v>19240</v>
      </c>
      <c r="L1043" s="82" t="s">
        <v>19512</v>
      </c>
    </row>
    <row r="1044" spans="1:12" ht="84" customHeight="1" x14ac:dyDescent="0.3">
      <c r="A1044" s="2">
        <v>1040</v>
      </c>
      <c r="B1044" s="66" t="s">
        <v>993</v>
      </c>
      <c r="C1044" s="245" t="s">
        <v>23070</v>
      </c>
      <c r="D1044" s="11" t="s">
        <v>1024</v>
      </c>
      <c r="E1044" s="11" t="s">
        <v>1024</v>
      </c>
      <c r="F1044" s="3">
        <v>36727</v>
      </c>
      <c r="G1044" s="2" t="s">
        <v>14104</v>
      </c>
      <c r="H1044" s="3">
        <v>43053</v>
      </c>
      <c r="I1044" s="2" t="s">
        <v>19506</v>
      </c>
      <c r="J1044" s="2" t="s">
        <v>13904</v>
      </c>
      <c r="K1044" s="2" t="s">
        <v>19240</v>
      </c>
      <c r="L1044" s="82" t="s">
        <v>19512</v>
      </c>
    </row>
    <row r="1045" spans="1:12" ht="84" customHeight="1" x14ac:dyDescent="0.3">
      <c r="A1045" s="2">
        <v>1041</v>
      </c>
      <c r="B1045" s="66" t="s">
        <v>993</v>
      </c>
      <c r="C1045" s="245" t="s">
        <v>23072</v>
      </c>
      <c r="D1045" s="11" t="s">
        <v>1024</v>
      </c>
      <c r="E1045" s="11" t="s">
        <v>1024</v>
      </c>
      <c r="F1045" s="3">
        <v>36727</v>
      </c>
      <c r="G1045" s="2" t="s">
        <v>14104</v>
      </c>
      <c r="H1045" s="3">
        <v>43053</v>
      </c>
      <c r="I1045" s="2" t="s">
        <v>19506</v>
      </c>
      <c r="J1045" s="2" t="s">
        <v>13904</v>
      </c>
      <c r="K1045" s="2" t="s">
        <v>19240</v>
      </c>
      <c r="L1045" s="82" t="s">
        <v>19512</v>
      </c>
    </row>
    <row r="1046" spans="1:12" ht="84" customHeight="1" x14ac:dyDescent="0.3">
      <c r="A1046" s="2">
        <v>1042</v>
      </c>
      <c r="B1046" s="66" t="s">
        <v>993</v>
      </c>
      <c r="C1046" s="245" t="s">
        <v>23073</v>
      </c>
      <c r="D1046" s="11" t="s">
        <v>1024</v>
      </c>
      <c r="E1046" s="11" t="s">
        <v>1024</v>
      </c>
      <c r="F1046" s="3">
        <v>36727</v>
      </c>
      <c r="G1046" s="2" t="s">
        <v>14104</v>
      </c>
      <c r="H1046" s="3">
        <v>43053</v>
      </c>
      <c r="I1046" s="2" t="s">
        <v>19506</v>
      </c>
      <c r="J1046" s="2" t="s">
        <v>13904</v>
      </c>
      <c r="K1046" s="2" t="s">
        <v>19240</v>
      </c>
      <c r="L1046" s="82" t="s">
        <v>19512</v>
      </c>
    </row>
    <row r="1047" spans="1:12" ht="84" customHeight="1" x14ac:dyDescent="0.3">
      <c r="A1047" s="2">
        <v>1043</v>
      </c>
      <c r="B1047" s="66" t="s">
        <v>995</v>
      </c>
      <c r="C1047" s="66" t="s">
        <v>23086</v>
      </c>
      <c r="D1047" s="11" t="s">
        <v>1025</v>
      </c>
      <c r="E1047" s="11" t="s">
        <v>1025</v>
      </c>
      <c r="F1047" s="3">
        <v>41612</v>
      </c>
      <c r="G1047" s="2" t="s">
        <v>14104</v>
      </c>
      <c r="H1047" s="3">
        <v>43053</v>
      </c>
      <c r="I1047" s="2" t="s">
        <v>19506</v>
      </c>
      <c r="J1047" s="2" t="s">
        <v>13904</v>
      </c>
      <c r="K1047" s="2" t="s">
        <v>19240</v>
      </c>
      <c r="L1047" s="82" t="s">
        <v>19512</v>
      </c>
    </row>
    <row r="1048" spans="1:12" ht="84" customHeight="1" x14ac:dyDescent="0.3">
      <c r="A1048" s="2">
        <v>1044</v>
      </c>
      <c r="B1048" s="66" t="s">
        <v>1026</v>
      </c>
      <c r="C1048" s="66"/>
      <c r="D1048" s="11" t="s">
        <v>1028</v>
      </c>
      <c r="E1048" s="11" t="s">
        <v>1028</v>
      </c>
      <c r="F1048" s="3">
        <v>37610</v>
      </c>
      <c r="G1048" s="2" t="s">
        <v>14104</v>
      </c>
      <c r="H1048" s="3">
        <v>43053</v>
      </c>
      <c r="I1048" s="2" t="s">
        <v>19506</v>
      </c>
      <c r="J1048" s="2" t="s">
        <v>13904</v>
      </c>
      <c r="K1048" s="2"/>
      <c r="L1048" s="82" t="s">
        <v>19512</v>
      </c>
    </row>
    <row r="1049" spans="1:12" ht="84" customHeight="1" x14ac:dyDescent="0.3">
      <c r="A1049" s="2">
        <v>1045</v>
      </c>
      <c r="B1049" s="66" t="s">
        <v>1027</v>
      </c>
      <c r="C1049" s="66" t="s">
        <v>19260</v>
      </c>
      <c r="D1049" s="11" t="s">
        <v>1029</v>
      </c>
      <c r="E1049" s="11" t="s">
        <v>1029</v>
      </c>
      <c r="F1049" s="3">
        <v>36885</v>
      </c>
      <c r="G1049" s="2" t="s">
        <v>14104</v>
      </c>
      <c r="H1049" s="3">
        <v>43053</v>
      </c>
      <c r="I1049" s="2" t="s">
        <v>19506</v>
      </c>
      <c r="J1049" s="2" t="s">
        <v>13904</v>
      </c>
      <c r="K1049" s="2" t="s">
        <v>19240</v>
      </c>
      <c r="L1049" s="82" t="s">
        <v>19512</v>
      </c>
    </row>
    <row r="1050" spans="1:12" ht="84" customHeight="1" x14ac:dyDescent="0.3">
      <c r="A1050" s="2">
        <v>1046</v>
      </c>
      <c r="B1050" s="66" t="s">
        <v>1030</v>
      </c>
      <c r="C1050" s="66" t="s">
        <v>23090</v>
      </c>
      <c r="D1050" s="11" t="s">
        <v>1048</v>
      </c>
      <c r="E1050" s="11" t="s">
        <v>1048</v>
      </c>
      <c r="F1050" s="3">
        <v>41452</v>
      </c>
      <c r="G1050" s="2" t="s">
        <v>14104</v>
      </c>
      <c r="H1050" s="3">
        <v>43053</v>
      </c>
      <c r="I1050" s="2" t="s">
        <v>19506</v>
      </c>
      <c r="J1050" s="2" t="s">
        <v>13904</v>
      </c>
      <c r="K1050" s="2" t="s">
        <v>19240</v>
      </c>
      <c r="L1050" s="82" t="s">
        <v>19512</v>
      </c>
    </row>
    <row r="1051" spans="1:12" ht="84" customHeight="1" x14ac:dyDescent="0.3">
      <c r="A1051" s="2">
        <v>1047</v>
      </c>
      <c r="B1051" s="66" t="s">
        <v>1030</v>
      </c>
      <c r="C1051" s="66" t="s">
        <v>23096</v>
      </c>
      <c r="D1051" s="11" t="s">
        <v>1048</v>
      </c>
      <c r="E1051" s="11" t="s">
        <v>1048</v>
      </c>
      <c r="F1051" s="3">
        <v>41452</v>
      </c>
      <c r="G1051" s="2" t="s">
        <v>14104</v>
      </c>
      <c r="H1051" s="3">
        <v>43053</v>
      </c>
      <c r="I1051" s="2" t="s">
        <v>19506</v>
      </c>
      <c r="J1051" s="2" t="s">
        <v>13904</v>
      </c>
      <c r="K1051" s="2" t="s">
        <v>19240</v>
      </c>
      <c r="L1051" s="82" t="s">
        <v>19512</v>
      </c>
    </row>
    <row r="1052" spans="1:12" ht="84" customHeight="1" x14ac:dyDescent="0.3">
      <c r="A1052" s="2">
        <v>1048</v>
      </c>
      <c r="B1052" s="66" t="s">
        <v>1031</v>
      </c>
      <c r="C1052" s="66" t="s">
        <v>23103</v>
      </c>
      <c r="D1052" s="11" t="s">
        <v>1048</v>
      </c>
      <c r="E1052" s="11" t="s">
        <v>1048</v>
      </c>
      <c r="F1052" s="3">
        <v>41452</v>
      </c>
      <c r="G1052" s="2" t="s">
        <v>14104</v>
      </c>
      <c r="H1052" s="3">
        <v>43053</v>
      </c>
      <c r="I1052" s="2" t="s">
        <v>19506</v>
      </c>
      <c r="J1052" s="2" t="s">
        <v>13904</v>
      </c>
      <c r="K1052" s="2" t="s">
        <v>19240</v>
      </c>
      <c r="L1052" s="82" t="s">
        <v>19512</v>
      </c>
    </row>
    <row r="1053" spans="1:12" ht="84" customHeight="1" x14ac:dyDescent="0.3">
      <c r="A1053" s="2">
        <v>1049</v>
      </c>
      <c r="B1053" s="66" t="s">
        <v>1032</v>
      </c>
      <c r="C1053" s="66" t="s">
        <v>23089</v>
      </c>
      <c r="D1053" s="11" t="s">
        <v>1049</v>
      </c>
      <c r="E1053" s="11" t="s">
        <v>1049</v>
      </c>
      <c r="F1053" s="3">
        <v>41452</v>
      </c>
      <c r="G1053" s="2" t="s">
        <v>14104</v>
      </c>
      <c r="H1053" s="3">
        <v>43053</v>
      </c>
      <c r="I1053" s="2" t="s">
        <v>19506</v>
      </c>
      <c r="J1053" s="2" t="s">
        <v>13904</v>
      </c>
      <c r="K1053" s="2" t="s">
        <v>19240</v>
      </c>
      <c r="L1053" s="82" t="s">
        <v>19512</v>
      </c>
    </row>
    <row r="1054" spans="1:12" ht="84" customHeight="1" x14ac:dyDescent="0.3">
      <c r="A1054" s="2">
        <v>1050</v>
      </c>
      <c r="B1054" s="66" t="s">
        <v>1033</v>
      </c>
      <c r="C1054" s="66" t="s">
        <v>23091</v>
      </c>
      <c r="D1054" s="11" t="s">
        <v>1049</v>
      </c>
      <c r="E1054" s="11" t="s">
        <v>1049</v>
      </c>
      <c r="F1054" s="3">
        <v>41452</v>
      </c>
      <c r="G1054" s="2" t="s">
        <v>14104</v>
      </c>
      <c r="H1054" s="3">
        <v>43053</v>
      </c>
      <c r="I1054" s="2" t="s">
        <v>19506</v>
      </c>
      <c r="J1054" s="2" t="s">
        <v>13904</v>
      </c>
      <c r="K1054" s="2" t="s">
        <v>19240</v>
      </c>
      <c r="L1054" s="82" t="s">
        <v>19512</v>
      </c>
    </row>
    <row r="1055" spans="1:12" ht="84" customHeight="1" x14ac:dyDescent="0.3">
      <c r="A1055" s="2">
        <v>1051</v>
      </c>
      <c r="B1055" s="66" t="s">
        <v>1034</v>
      </c>
      <c r="C1055" s="66" t="s">
        <v>23095</v>
      </c>
      <c r="D1055" s="11" t="s">
        <v>1050</v>
      </c>
      <c r="E1055" s="11" t="s">
        <v>1050</v>
      </c>
      <c r="F1055" s="3">
        <v>41452</v>
      </c>
      <c r="G1055" s="2" t="s">
        <v>14104</v>
      </c>
      <c r="H1055" s="3">
        <v>43053</v>
      </c>
      <c r="I1055" s="2" t="s">
        <v>19506</v>
      </c>
      <c r="J1055" s="2" t="s">
        <v>13904</v>
      </c>
      <c r="K1055" s="2" t="s">
        <v>19240</v>
      </c>
      <c r="L1055" s="82" t="s">
        <v>19512</v>
      </c>
    </row>
    <row r="1056" spans="1:12" ht="84" customHeight="1" x14ac:dyDescent="0.3">
      <c r="A1056" s="2">
        <v>1052</v>
      </c>
      <c r="B1056" s="66" t="s">
        <v>1035</v>
      </c>
      <c r="C1056" s="66" t="s">
        <v>23101</v>
      </c>
      <c r="D1056" s="11" t="s">
        <v>1051</v>
      </c>
      <c r="E1056" s="11" t="s">
        <v>1051</v>
      </c>
      <c r="F1056" s="3">
        <v>41452</v>
      </c>
      <c r="G1056" s="2" t="s">
        <v>14104</v>
      </c>
      <c r="H1056" s="3">
        <v>43053</v>
      </c>
      <c r="I1056" s="2" t="s">
        <v>19506</v>
      </c>
      <c r="J1056" s="2" t="s">
        <v>13904</v>
      </c>
      <c r="K1056" s="2" t="s">
        <v>19240</v>
      </c>
      <c r="L1056" s="82" t="s">
        <v>19512</v>
      </c>
    </row>
    <row r="1057" spans="1:15" ht="84" customHeight="1" x14ac:dyDescent="0.3">
      <c r="A1057" s="2">
        <v>1053</v>
      </c>
      <c r="B1057" s="66" t="s">
        <v>1036</v>
      </c>
      <c r="C1057" s="66" t="s">
        <v>23100</v>
      </c>
      <c r="D1057" s="11" t="s">
        <v>1052</v>
      </c>
      <c r="E1057" s="11" t="s">
        <v>1052</v>
      </c>
      <c r="F1057" s="3">
        <v>41452</v>
      </c>
      <c r="G1057" s="2" t="s">
        <v>14104</v>
      </c>
      <c r="H1057" s="3">
        <v>43053</v>
      </c>
      <c r="I1057" s="2" t="s">
        <v>19506</v>
      </c>
      <c r="J1057" s="2" t="s">
        <v>13904</v>
      </c>
      <c r="K1057" s="2" t="s">
        <v>19240</v>
      </c>
      <c r="L1057" s="82" t="s">
        <v>19512</v>
      </c>
    </row>
    <row r="1058" spans="1:15" ht="84" customHeight="1" x14ac:dyDescent="0.3">
      <c r="A1058" s="2">
        <v>1054</v>
      </c>
      <c r="B1058" s="66" t="s">
        <v>1037</v>
      </c>
      <c r="C1058" s="66" t="s">
        <v>23093</v>
      </c>
      <c r="D1058" s="11" t="s">
        <v>1053</v>
      </c>
      <c r="E1058" s="11" t="s">
        <v>1053</v>
      </c>
      <c r="F1058" s="3">
        <v>41452</v>
      </c>
      <c r="G1058" s="2" t="s">
        <v>14104</v>
      </c>
      <c r="H1058" s="3">
        <v>43053</v>
      </c>
      <c r="I1058" s="2" t="s">
        <v>19506</v>
      </c>
      <c r="J1058" s="2" t="s">
        <v>13904</v>
      </c>
      <c r="K1058" s="2" t="s">
        <v>19240</v>
      </c>
      <c r="L1058" s="82" t="s">
        <v>19512</v>
      </c>
    </row>
    <row r="1059" spans="1:15" ht="84" customHeight="1" x14ac:dyDescent="0.3">
      <c r="A1059" s="2">
        <v>1055</v>
      </c>
      <c r="B1059" s="66" t="s">
        <v>1038</v>
      </c>
      <c r="C1059" s="66" t="s">
        <v>23106</v>
      </c>
      <c r="D1059" s="11" t="s">
        <v>1054</v>
      </c>
      <c r="E1059" s="11" t="s">
        <v>1054</v>
      </c>
      <c r="F1059" s="3">
        <v>41542</v>
      </c>
      <c r="G1059" s="2" t="s">
        <v>14104</v>
      </c>
      <c r="H1059" s="3">
        <v>43053</v>
      </c>
      <c r="I1059" s="2" t="s">
        <v>19506</v>
      </c>
      <c r="J1059" s="2" t="s">
        <v>13904</v>
      </c>
      <c r="K1059" s="2" t="s">
        <v>19240</v>
      </c>
      <c r="L1059" s="82" t="s">
        <v>19512</v>
      </c>
    </row>
    <row r="1060" spans="1:15" ht="84" customHeight="1" x14ac:dyDescent="0.3">
      <c r="A1060" s="2">
        <v>1056</v>
      </c>
      <c r="B1060" s="66" t="s">
        <v>1039</v>
      </c>
      <c r="C1060" s="66" t="s">
        <v>23097</v>
      </c>
      <c r="D1060" s="11" t="s">
        <v>1055</v>
      </c>
      <c r="E1060" s="11" t="s">
        <v>1055</v>
      </c>
      <c r="F1060" s="3">
        <v>41542</v>
      </c>
      <c r="G1060" s="2" t="s">
        <v>14104</v>
      </c>
      <c r="H1060" s="3">
        <v>43053</v>
      </c>
      <c r="I1060" s="2" t="s">
        <v>19506</v>
      </c>
      <c r="J1060" s="2" t="s">
        <v>13904</v>
      </c>
      <c r="K1060" s="2" t="s">
        <v>19240</v>
      </c>
      <c r="L1060" s="82" t="s">
        <v>19512</v>
      </c>
    </row>
    <row r="1061" spans="1:15" ht="84" customHeight="1" x14ac:dyDescent="0.3">
      <c r="A1061" s="2">
        <v>1057</v>
      </c>
      <c r="B1061" s="66" t="s">
        <v>1040</v>
      </c>
      <c r="C1061" s="66" t="s">
        <v>23088</v>
      </c>
      <c r="D1061" s="11" t="s">
        <v>1056</v>
      </c>
      <c r="E1061" s="11" t="s">
        <v>1056</v>
      </c>
      <c r="F1061" s="3">
        <v>41542</v>
      </c>
      <c r="G1061" s="2" t="s">
        <v>14104</v>
      </c>
      <c r="H1061" s="3">
        <v>43053</v>
      </c>
      <c r="I1061" s="2" t="s">
        <v>19506</v>
      </c>
      <c r="J1061" s="2" t="s">
        <v>13904</v>
      </c>
      <c r="K1061" s="2" t="s">
        <v>19240</v>
      </c>
      <c r="L1061" s="82" t="s">
        <v>19512</v>
      </c>
    </row>
    <row r="1062" spans="1:15" ht="84" customHeight="1" x14ac:dyDescent="0.3">
      <c r="A1062" s="2">
        <v>1058</v>
      </c>
      <c r="B1062" s="66" t="s">
        <v>1041</v>
      </c>
      <c r="C1062" s="66" t="s">
        <v>23092</v>
      </c>
      <c r="D1062" s="11" t="s">
        <v>1048</v>
      </c>
      <c r="E1062" s="11" t="s">
        <v>1048</v>
      </c>
      <c r="F1062" s="3">
        <v>41542</v>
      </c>
      <c r="G1062" s="2" t="s">
        <v>14104</v>
      </c>
      <c r="H1062" s="3">
        <v>43053</v>
      </c>
      <c r="I1062" s="2" t="s">
        <v>19506</v>
      </c>
      <c r="J1062" s="2" t="s">
        <v>13904</v>
      </c>
      <c r="K1062" s="2" t="s">
        <v>19240</v>
      </c>
      <c r="L1062" s="82" t="s">
        <v>19512</v>
      </c>
    </row>
    <row r="1063" spans="1:15" ht="84" customHeight="1" x14ac:dyDescent="0.3">
      <c r="A1063" s="2">
        <v>1059</v>
      </c>
      <c r="B1063" s="66" t="s">
        <v>1042</v>
      </c>
      <c r="C1063" s="66" t="s">
        <v>23104</v>
      </c>
      <c r="D1063" s="11" t="s">
        <v>1048</v>
      </c>
      <c r="E1063" s="11" t="s">
        <v>1048</v>
      </c>
      <c r="F1063" s="3">
        <v>41542</v>
      </c>
      <c r="G1063" s="2" t="s">
        <v>14104</v>
      </c>
      <c r="H1063" s="3">
        <v>43053</v>
      </c>
      <c r="I1063" s="2" t="s">
        <v>19506</v>
      </c>
      <c r="J1063" s="2" t="s">
        <v>13904</v>
      </c>
      <c r="K1063" s="2" t="s">
        <v>19240</v>
      </c>
      <c r="L1063" s="82" t="s">
        <v>19512</v>
      </c>
    </row>
    <row r="1064" spans="1:15" ht="84" customHeight="1" x14ac:dyDescent="0.3">
      <c r="A1064" s="2">
        <v>1060</v>
      </c>
      <c r="B1064" s="66" t="s">
        <v>1043</v>
      </c>
      <c r="C1064" s="66" t="s">
        <v>23102</v>
      </c>
      <c r="D1064" s="11" t="s">
        <v>1056</v>
      </c>
      <c r="E1064" s="11" t="s">
        <v>1056</v>
      </c>
      <c r="F1064" s="3">
        <v>41542</v>
      </c>
      <c r="G1064" s="2" t="s">
        <v>14104</v>
      </c>
      <c r="H1064" s="3">
        <v>43053</v>
      </c>
      <c r="I1064" s="2" t="s">
        <v>19506</v>
      </c>
      <c r="J1064" s="2" t="s">
        <v>13904</v>
      </c>
      <c r="K1064" s="2" t="s">
        <v>19240</v>
      </c>
      <c r="L1064" s="82" t="s">
        <v>19512</v>
      </c>
    </row>
    <row r="1065" spans="1:15" ht="84" customHeight="1" x14ac:dyDescent="0.3">
      <c r="A1065" s="2">
        <v>1061</v>
      </c>
      <c r="B1065" s="66" t="s">
        <v>1044</v>
      </c>
      <c r="C1065" s="66" t="s">
        <v>23099</v>
      </c>
      <c r="D1065" s="11" t="s">
        <v>1057</v>
      </c>
      <c r="E1065" s="11" t="s">
        <v>1057</v>
      </c>
      <c r="F1065" s="3">
        <v>41542</v>
      </c>
      <c r="G1065" s="2" t="s">
        <v>14104</v>
      </c>
      <c r="H1065" s="3">
        <v>43053</v>
      </c>
      <c r="I1065" s="2" t="s">
        <v>19506</v>
      </c>
      <c r="J1065" s="2" t="s">
        <v>13904</v>
      </c>
      <c r="K1065" s="2" t="s">
        <v>19240</v>
      </c>
      <c r="L1065" s="82" t="s">
        <v>19512</v>
      </c>
    </row>
    <row r="1066" spans="1:15" ht="84" customHeight="1" x14ac:dyDescent="0.3">
      <c r="A1066" s="2">
        <v>1062</v>
      </c>
      <c r="B1066" s="66" t="s">
        <v>1045</v>
      </c>
      <c r="C1066" s="66" t="s">
        <v>23094</v>
      </c>
      <c r="D1066" s="11" t="s">
        <v>1052</v>
      </c>
      <c r="E1066" s="11" t="s">
        <v>1052</v>
      </c>
      <c r="F1066" s="3">
        <v>41542</v>
      </c>
      <c r="G1066" s="2" t="s">
        <v>14104</v>
      </c>
      <c r="H1066" s="3">
        <v>43053</v>
      </c>
      <c r="I1066" s="2" t="s">
        <v>19506</v>
      </c>
      <c r="J1066" s="2" t="s">
        <v>13904</v>
      </c>
      <c r="K1066" s="2" t="s">
        <v>19240</v>
      </c>
      <c r="L1066" s="82" t="s">
        <v>19512</v>
      </c>
    </row>
    <row r="1067" spans="1:15" ht="84" customHeight="1" x14ac:dyDescent="0.3">
      <c r="A1067" s="2">
        <v>1063</v>
      </c>
      <c r="B1067" s="66" t="s">
        <v>1046</v>
      </c>
      <c r="C1067" s="66" t="s">
        <v>23098</v>
      </c>
      <c r="D1067" s="11" t="s">
        <v>940</v>
      </c>
      <c r="E1067" s="11" t="s">
        <v>940</v>
      </c>
      <c r="F1067" s="3">
        <v>41542</v>
      </c>
      <c r="G1067" s="2" t="s">
        <v>14104</v>
      </c>
      <c r="H1067" s="3">
        <v>43053</v>
      </c>
      <c r="I1067" s="2" t="s">
        <v>19506</v>
      </c>
      <c r="J1067" s="2" t="s">
        <v>13904</v>
      </c>
      <c r="K1067" s="2" t="s">
        <v>19240</v>
      </c>
      <c r="L1067" s="82" t="s">
        <v>19512</v>
      </c>
    </row>
    <row r="1068" spans="1:15" ht="84" customHeight="1" x14ac:dyDescent="0.3">
      <c r="A1068" s="2">
        <v>1064</v>
      </c>
      <c r="B1068" s="66" t="s">
        <v>1047</v>
      </c>
      <c r="C1068" s="66" t="s">
        <v>23105</v>
      </c>
      <c r="D1068" s="11" t="s">
        <v>1058</v>
      </c>
      <c r="E1068" s="11" t="s">
        <v>1058</v>
      </c>
      <c r="F1068" s="3">
        <v>41542</v>
      </c>
      <c r="G1068" s="2" t="s">
        <v>14104</v>
      </c>
      <c r="H1068" s="3">
        <v>43053</v>
      </c>
      <c r="I1068" s="2" t="s">
        <v>19506</v>
      </c>
      <c r="J1068" s="2" t="s">
        <v>13904</v>
      </c>
      <c r="K1068" s="2" t="s">
        <v>19240</v>
      </c>
      <c r="L1068" s="82" t="s">
        <v>19512</v>
      </c>
    </row>
    <row r="1069" spans="1:15" s="19" customFormat="1" ht="96" customHeight="1" x14ac:dyDescent="0.3">
      <c r="A1069" s="2">
        <v>1065</v>
      </c>
      <c r="B1069" s="66" t="s">
        <v>1059</v>
      </c>
      <c r="C1069" s="66" t="s">
        <v>18850</v>
      </c>
      <c r="D1069" s="11" t="s">
        <v>1060</v>
      </c>
      <c r="E1069" s="11">
        <v>83749.14</v>
      </c>
      <c r="F1069" s="3">
        <v>41823</v>
      </c>
      <c r="G1069" s="2" t="s">
        <v>1061</v>
      </c>
      <c r="H1069" s="2"/>
      <c r="I1069" s="2"/>
      <c r="J1069" s="2" t="s">
        <v>13904</v>
      </c>
      <c r="K1069" s="2" t="s">
        <v>19229</v>
      </c>
      <c r="L1069" s="2" t="s">
        <v>20493</v>
      </c>
      <c r="M1069" s="18"/>
      <c r="N1069" s="18"/>
      <c r="O1069" s="18"/>
    </row>
    <row r="1070" spans="1:15" ht="96" customHeight="1" x14ac:dyDescent="0.3">
      <c r="A1070" s="2">
        <v>1066</v>
      </c>
      <c r="B1070" s="66" t="s">
        <v>1062</v>
      </c>
      <c r="C1070" s="66" t="s">
        <v>18851</v>
      </c>
      <c r="D1070" s="11" t="s">
        <v>1067</v>
      </c>
      <c r="E1070" s="11">
        <v>35772.57</v>
      </c>
      <c r="F1070" s="3">
        <v>41849</v>
      </c>
      <c r="G1070" s="2" t="s">
        <v>1061</v>
      </c>
      <c r="H1070" s="2"/>
      <c r="I1070" s="2"/>
      <c r="J1070" s="2" t="s">
        <v>13904</v>
      </c>
      <c r="K1070" s="2" t="s">
        <v>19229</v>
      </c>
      <c r="L1070" s="82" t="s">
        <v>20493</v>
      </c>
    </row>
    <row r="1071" spans="1:15" ht="96" customHeight="1" x14ac:dyDescent="0.3">
      <c r="A1071" s="2">
        <v>1067</v>
      </c>
      <c r="B1071" s="66" t="s">
        <v>22571</v>
      </c>
      <c r="C1071" s="66" t="s">
        <v>22572</v>
      </c>
      <c r="D1071" s="11">
        <v>100770.86</v>
      </c>
      <c r="E1071" s="11"/>
      <c r="F1071" s="3" t="s">
        <v>22573</v>
      </c>
      <c r="G1071" s="2" t="s">
        <v>22574</v>
      </c>
      <c r="H1071" s="3"/>
      <c r="I1071" s="2"/>
      <c r="J1071" s="2" t="s">
        <v>13904</v>
      </c>
      <c r="K1071" s="2" t="s">
        <v>22575</v>
      </c>
      <c r="L1071" s="82" t="s">
        <v>22986</v>
      </c>
    </row>
    <row r="1072" spans="1:15" ht="96" customHeight="1" x14ac:dyDescent="0.3">
      <c r="A1072" s="2">
        <v>1068</v>
      </c>
      <c r="B1072" s="66" t="s">
        <v>1063</v>
      </c>
      <c r="C1072" s="66"/>
      <c r="D1072" s="11" t="s">
        <v>1069</v>
      </c>
      <c r="E1072" s="11">
        <v>37509.42</v>
      </c>
      <c r="F1072" s="3">
        <v>39079</v>
      </c>
      <c r="G1072" s="2" t="s">
        <v>1061</v>
      </c>
      <c r="H1072" s="3">
        <v>43053</v>
      </c>
      <c r="I1072" s="2" t="s">
        <v>19506</v>
      </c>
      <c r="J1072" s="2" t="s">
        <v>13904</v>
      </c>
      <c r="K1072" s="2" t="s">
        <v>19229</v>
      </c>
      <c r="L1072" s="82" t="s">
        <v>19512</v>
      </c>
    </row>
    <row r="1073" spans="1:12" ht="96" customHeight="1" x14ac:dyDescent="0.3">
      <c r="A1073" s="2">
        <v>1069</v>
      </c>
      <c r="B1073" s="66" t="s">
        <v>1064</v>
      </c>
      <c r="C1073" s="66"/>
      <c r="D1073" s="11" t="s">
        <v>1070</v>
      </c>
      <c r="E1073" s="11">
        <v>17759.07</v>
      </c>
      <c r="F1073" s="3">
        <v>39443</v>
      </c>
      <c r="G1073" s="2" t="s">
        <v>1061</v>
      </c>
      <c r="H1073" s="3">
        <v>43053</v>
      </c>
      <c r="I1073" s="2" t="s">
        <v>19506</v>
      </c>
      <c r="J1073" s="2" t="s">
        <v>13904</v>
      </c>
      <c r="K1073" s="2" t="s">
        <v>19229</v>
      </c>
      <c r="L1073" s="82" t="s">
        <v>19512</v>
      </c>
    </row>
    <row r="1074" spans="1:12" ht="96" customHeight="1" x14ac:dyDescent="0.3">
      <c r="A1074" s="2">
        <v>1070</v>
      </c>
      <c r="B1074" s="66" t="s">
        <v>1065</v>
      </c>
      <c r="C1074" s="66" t="s">
        <v>18852</v>
      </c>
      <c r="D1074" s="11" t="s">
        <v>1071</v>
      </c>
      <c r="E1074" s="11">
        <v>71589.98</v>
      </c>
      <c r="F1074" s="3">
        <v>40850</v>
      </c>
      <c r="G1074" s="2" t="s">
        <v>1061</v>
      </c>
      <c r="H1074" s="2"/>
      <c r="I1074" s="2"/>
      <c r="J1074" s="2" t="s">
        <v>13904</v>
      </c>
      <c r="K1074" s="2" t="s">
        <v>19229</v>
      </c>
      <c r="L1074" s="82" t="s">
        <v>20494</v>
      </c>
    </row>
    <row r="1075" spans="1:12" ht="96" customHeight="1" x14ac:dyDescent="0.3">
      <c r="A1075" s="2">
        <v>1071</v>
      </c>
      <c r="B1075" s="66" t="s">
        <v>1066</v>
      </c>
      <c r="C1075" s="66" t="s">
        <v>18853</v>
      </c>
      <c r="D1075" s="11" t="s">
        <v>1072</v>
      </c>
      <c r="E1075" s="11">
        <v>4211.6899999999996</v>
      </c>
      <c r="F1075" s="3">
        <v>41952</v>
      </c>
      <c r="G1075" s="2" t="s">
        <v>1061</v>
      </c>
      <c r="H1075" s="2"/>
      <c r="I1075" s="2"/>
      <c r="J1075" s="2" t="s">
        <v>13904</v>
      </c>
      <c r="K1075" s="2" t="s">
        <v>19229</v>
      </c>
      <c r="L1075" s="82" t="s">
        <v>20494</v>
      </c>
    </row>
    <row r="1076" spans="1:12" ht="96" customHeight="1" x14ac:dyDescent="0.3">
      <c r="A1076" s="2">
        <v>1072</v>
      </c>
      <c r="B1076" s="66" t="s">
        <v>1073</v>
      </c>
      <c r="C1076" s="66"/>
      <c r="D1076" s="11" t="s">
        <v>1135</v>
      </c>
      <c r="E1076" s="11">
        <v>19500</v>
      </c>
      <c r="F1076" s="3">
        <v>41620</v>
      </c>
      <c r="G1076" s="2" t="s">
        <v>1061</v>
      </c>
      <c r="H1076" s="3">
        <v>43053</v>
      </c>
      <c r="I1076" s="2" t="s">
        <v>19506</v>
      </c>
      <c r="J1076" s="2" t="s">
        <v>13904</v>
      </c>
      <c r="K1076" s="2" t="s">
        <v>19229</v>
      </c>
      <c r="L1076" s="82" t="s">
        <v>19512</v>
      </c>
    </row>
    <row r="1077" spans="1:12" ht="96" customHeight="1" x14ac:dyDescent="0.3">
      <c r="A1077" s="2">
        <v>1073</v>
      </c>
      <c r="B1077" s="66" t="s">
        <v>1074</v>
      </c>
      <c r="C1077" s="66"/>
      <c r="D1077" s="11" t="s">
        <v>1136</v>
      </c>
      <c r="E1077" s="11">
        <v>17900</v>
      </c>
      <c r="F1077" s="3">
        <v>41620</v>
      </c>
      <c r="G1077" s="2" t="s">
        <v>1061</v>
      </c>
      <c r="H1077" s="3">
        <v>43053</v>
      </c>
      <c r="I1077" s="2" t="s">
        <v>19506</v>
      </c>
      <c r="J1077" s="2" t="s">
        <v>13904</v>
      </c>
      <c r="K1077" s="2" t="s">
        <v>19229</v>
      </c>
      <c r="L1077" s="82" t="s">
        <v>19512</v>
      </c>
    </row>
    <row r="1078" spans="1:12" ht="96" customHeight="1" x14ac:dyDescent="0.3">
      <c r="A1078" s="2">
        <v>1074</v>
      </c>
      <c r="B1078" s="66" t="s">
        <v>1075</v>
      </c>
      <c r="C1078" s="66"/>
      <c r="D1078" s="11" t="s">
        <v>1137</v>
      </c>
      <c r="E1078" s="11">
        <v>8110</v>
      </c>
      <c r="F1078" s="3">
        <v>41624</v>
      </c>
      <c r="G1078" s="2" t="s">
        <v>1061</v>
      </c>
      <c r="H1078" s="3">
        <v>43053</v>
      </c>
      <c r="I1078" s="2" t="s">
        <v>19506</v>
      </c>
      <c r="J1078" s="2" t="s">
        <v>13904</v>
      </c>
      <c r="K1078" s="2" t="s">
        <v>19229</v>
      </c>
      <c r="L1078" s="82" t="s">
        <v>19512</v>
      </c>
    </row>
    <row r="1079" spans="1:12" ht="96" customHeight="1" x14ac:dyDescent="0.3">
      <c r="A1079" s="2">
        <v>1075</v>
      </c>
      <c r="B1079" s="66" t="s">
        <v>1076</v>
      </c>
      <c r="C1079" s="66"/>
      <c r="D1079" s="11" t="s">
        <v>1138</v>
      </c>
      <c r="E1079" s="11">
        <v>27960</v>
      </c>
      <c r="F1079" s="3">
        <v>41475</v>
      </c>
      <c r="G1079" s="2" t="s">
        <v>1061</v>
      </c>
      <c r="H1079" s="3">
        <v>43053</v>
      </c>
      <c r="I1079" s="2" t="s">
        <v>19506</v>
      </c>
      <c r="J1079" s="2" t="s">
        <v>13904</v>
      </c>
      <c r="K1079" s="2" t="s">
        <v>19229</v>
      </c>
      <c r="L1079" s="82" t="s">
        <v>19512</v>
      </c>
    </row>
    <row r="1080" spans="1:12" ht="96" customHeight="1" x14ac:dyDescent="0.3">
      <c r="A1080" s="2">
        <v>1076</v>
      </c>
      <c r="B1080" s="66" t="s">
        <v>1077</v>
      </c>
      <c r="C1080" s="66"/>
      <c r="D1080" s="11" t="s">
        <v>1052</v>
      </c>
      <c r="E1080" s="11">
        <v>9950</v>
      </c>
      <c r="F1080" s="3">
        <v>41792</v>
      </c>
      <c r="G1080" s="2" t="s">
        <v>1061</v>
      </c>
      <c r="H1080" s="3">
        <v>43053</v>
      </c>
      <c r="I1080" s="2" t="s">
        <v>19506</v>
      </c>
      <c r="J1080" s="2" t="s">
        <v>13904</v>
      </c>
      <c r="K1080" s="2" t="s">
        <v>19229</v>
      </c>
      <c r="L1080" s="82" t="s">
        <v>19512</v>
      </c>
    </row>
    <row r="1081" spans="1:12" ht="96" customHeight="1" x14ac:dyDescent="0.3">
      <c r="A1081" s="2">
        <v>1077</v>
      </c>
      <c r="B1081" s="66" t="s">
        <v>1078</v>
      </c>
      <c r="C1081" s="66"/>
      <c r="D1081" s="11" t="s">
        <v>1139</v>
      </c>
      <c r="E1081" s="11">
        <v>6800</v>
      </c>
      <c r="F1081" s="3">
        <v>41592</v>
      </c>
      <c r="G1081" s="2" t="s">
        <v>1061</v>
      </c>
      <c r="H1081" s="3">
        <v>43053</v>
      </c>
      <c r="I1081" s="2" t="s">
        <v>19506</v>
      </c>
      <c r="J1081" s="2" t="s">
        <v>13904</v>
      </c>
      <c r="K1081" s="2" t="s">
        <v>19229</v>
      </c>
      <c r="L1081" s="82" t="s">
        <v>19512</v>
      </c>
    </row>
    <row r="1082" spans="1:12" ht="96" customHeight="1" x14ac:dyDescent="0.3">
      <c r="A1082" s="2">
        <v>1078</v>
      </c>
      <c r="B1082" s="66" t="s">
        <v>1079</v>
      </c>
      <c r="C1082" s="66"/>
      <c r="D1082" s="11" t="s">
        <v>1140</v>
      </c>
      <c r="E1082" s="11">
        <v>37585</v>
      </c>
      <c r="F1082" s="3">
        <v>41996</v>
      </c>
      <c r="G1082" s="2" t="s">
        <v>1061</v>
      </c>
      <c r="H1082" s="3">
        <v>43053</v>
      </c>
      <c r="I1082" s="2" t="s">
        <v>19506</v>
      </c>
      <c r="J1082" s="2" t="s">
        <v>13904</v>
      </c>
      <c r="K1082" s="2" t="s">
        <v>19229</v>
      </c>
      <c r="L1082" s="82" t="s">
        <v>19512</v>
      </c>
    </row>
    <row r="1083" spans="1:12" ht="96" customHeight="1" x14ac:dyDescent="0.3">
      <c r="A1083" s="2">
        <v>1079</v>
      </c>
      <c r="B1083" s="66" t="s">
        <v>1080</v>
      </c>
      <c r="C1083" s="66"/>
      <c r="D1083" s="11" t="s">
        <v>1141</v>
      </c>
      <c r="E1083" s="11">
        <v>3193.02</v>
      </c>
      <c r="F1083" s="3">
        <v>41600</v>
      </c>
      <c r="G1083" s="2" t="s">
        <v>1061</v>
      </c>
      <c r="H1083" s="3">
        <v>43053</v>
      </c>
      <c r="I1083" s="2" t="s">
        <v>19506</v>
      </c>
      <c r="J1083" s="2" t="s">
        <v>13904</v>
      </c>
      <c r="K1083" s="2" t="s">
        <v>19229</v>
      </c>
      <c r="L1083" s="82" t="s">
        <v>19512</v>
      </c>
    </row>
    <row r="1084" spans="1:12" ht="96" customHeight="1" x14ac:dyDescent="0.3">
      <c r="A1084" s="2">
        <v>1080</v>
      </c>
      <c r="B1084" s="66" t="s">
        <v>1081</v>
      </c>
      <c r="C1084" s="66"/>
      <c r="D1084" s="11" t="s">
        <v>1142</v>
      </c>
      <c r="E1084" s="11">
        <v>8250</v>
      </c>
      <c r="F1084" s="3">
        <v>40542</v>
      </c>
      <c r="G1084" s="2" t="s">
        <v>1061</v>
      </c>
      <c r="H1084" s="3">
        <v>43053</v>
      </c>
      <c r="I1084" s="2" t="s">
        <v>19506</v>
      </c>
      <c r="J1084" s="2" t="s">
        <v>13904</v>
      </c>
      <c r="K1084" s="2" t="s">
        <v>19229</v>
      </c>
      <c r="L1084" s="82" t="s">
        <v>19512</v>
      </c>
    </row>
    <row r="1085" spans="1:12" ht="96" customHeight="1" x14ac:dyDescent="0.3">
      <c r="A1085" s="2">
        <v>1081</v>
      </c>
      <c r="B1085" s="66" t="s">
        <v>1081</v>
      </c>
      <c r="C1085" s="66"/>
      <c r="D1085" s="11" t="s">
        <v>1142</v>
      </c>
      <c r="E1085" s="11">
        <v>25266.06</v>
      </c>
      <c r="F1085" s="3">
        <v>40542</v>
      </c>
      <c r="G1085" s="2" t="s">
        <v>1061</v>
      </c>
      <c r="H1085" s="3">
        <v>43053</v>
      </c>
      <c r="I1085" s="2" t="s">
        <v>19506</v>
      </c>
      <c r="J1085" s="2" t="s">
        <v>13904</v>
      </c>
      <c r="K1085" s="2" t="s">
        <v>19229</v>
      </c>
      <c r="L1085" s="82" t="s">
        <v>19512</v>
      </c>
    </row>
    <row r="1086" spans="1:12" ht="96" customHeight="1" x14ac:dyDescent="0.3">
      <c r="A1086" s="2">
        <v>1082</v>
      </c>
      <c r="B1086" s="66" t="s">
        <v>1082</v>
      </c>
      <c r="C1086" s="66"/>
      <c r="D1086" s="11" t="s">
        <v>1143</v>
      </c>
      <c r="E1086" s="11">
        <v>25086.49</v>
      </c>
      <c r="F1086" s="3">
        <v>37978</v>
      </c>
      <c r="G1086" s="2" t="s">
        <v>1061</v>
      </c>
      <c r="H1086" s="3">
        <v>43053</v>
      </c>
      <c r="I1086" s="2" t="s">
        <v>19506</v>
      </c>
      <c r="J1086" s="2" t="s">
        <v>13904</v>
      </c>
      <c r="K1086" s="2" t="s">
        <v>19229</v>
      </c>
      <c r="L1086" s="82" t="s">
        <v>19512</v>
      </c>
    </row>
    <row r="1087" spans="1:12" ht="96" customHeight="1" x14ac:dyDescent="0.3">
      <c r="A1087" s="2">
        <v>1083</v>
      </c>
      <c r="B1087" s="66" t="s">
        <v>1083</v>
      </c>
      <c r="C1087" s="66"/>
      <c r="D1087" s="11" t="s">
        <v>1144</v>
      </c>
      <c r="E1087" s="11">
        <v>5550</v>
      </c>
      <c r="F1087" s="3">
        <v>37981</v>
      </c>
      <c r="G1087" s="2" t="s">
        <v>1061</v>
      </c>
      <c r="H1087" s="3">
        <v>43053</v>
      </c>
      <c r="I1087" s="2" t="s">
        <v>19506</v>
      </c>
      <c r="J1087" s="2" t="s">
        <v>13904</v>
      </c>
      <c r="K1087" s="2" t="s">
        <v>19229</v>
      </c>
      <c r="L1087" s="82" t="s">
        <v>19512</v>
      </c>
    </row>
    <row r="1088" spans="1:12" ht="96" customHeight="1" x14ac:dyDescent="0.3">
      <c r="A1088" s="2">
        <v>1084</v>
      </c>
      <c r="B1088" s="66" t="s">
        <v>1084</v>
      </c>
      <c r="C1088" s="66"/>
      <c r="D1088" s="11" t="s">
        <v>1145</v>
      </c>
      <c r="E1088" s="11">
        <v>13456.8</v>
      </c>
      <c r="F1088" s="3">
        <v>37519</v>
      </c>
      <c r="G1088" s="2" t="s">
        <v>1061</v>
      </c>
      <c r="H1088" s="3">
        <v>43053</v>
      </c>
      <c r="I1088" s="2" t="s">
        <v>19506</v>
      </c>
      <c r="J1088" s="2" t="s">
        <v>13904</v>
      </c>
      <c r="K1088" s="2" t="s">
        <v>19229</v>
      </c>
      <c r="L1088" s="82" t="s">
        <v>19512</v>
      </c>
    </row>
    <row r="1089" spans="1:12" ht="96" customHeight="1" x14ac:dyDescent="0.3">
      <c r="A1089" s="2">
        <v>1085</v>
      </c>
      <c r="B1089" s="66" t="s">
        <v>1085</v>
      </c>
      <c r="C1089" s="66"/>
      <c r="D1089" s="11" t="s">
        <v>1146</v>
      </c>
      <c r="E1089" s="11">
        <v>42474.3</v>
      </c>
      <c r="F1089" s="3">
        <v>37605</v>
      </c>
      <c r="G1089" s="2" t="s">
        <v>1061</v>
      </c>
      <c r="H1089" s="3">
        <v>43053</v>
      </c>
      <c r="I1089" s="2" t="s">
        <v>19506</v>
      </c>
      <c r="J1089" s="2" t="s">
        <v>13904</v>
      </c>
      <c r="K1089" s="2" t="s">
        <v>19229</v>
      </c>
      <c r="L1089" s="82" t="s">
        <v>19512</v>
      </c>
    </row>
    <row r="1090" spans="1:12" ht="96" customHeight="1" x14ac:dyDescent="0.3">
      <c r="A1090" s="2">
        <v>1086</v>
      </c>
      <c r="B1090" s="66" t="s">
        <v>1086</v>
      </c>
      <c r="C1090" s="66"/>
      <c r="D1090" s="11" t="s">
        <v>1147</v>
      </c>
      <c r="E1090" s="11">
        <v>6059.48</v>
      </c>
      <c r="F1090" s="3">
        <v>40457</v>
      </c>
      <c r="G1090" s="2" t="s">
        <v>1061</v>
      </c>
      <c r="H1090" s="3">
        <v>43053</v>
      </c>
      <c r="I1090" s="2" t="s">
        <v>19506</v>
      </c>
      <c r="J1090" s="2" t="s">
        <v>13904</v>
      </c>
      <c r="K1090" s="2" t="s">
        <v>19229</v>
      </c>
      <c r="L1090" s="82" t="s">
        <v>19512</v>
      </c>
    </row>
    <row r="1091" spans="1:12" ht="96" customHeight="1" x14ac:dyDescent="0.3">
      <c r="A1091" s="2">
        <v>1087</v>
      </c>
      <c r="B1091" s="66" t="s">
        <v>1087</v>
      </c>
      <c r="C1091" s="66"/>
      <c r="D1091" s="11" t="s">
        <v>1148</v>
      </c>
      <c r="E1091" s="11">
        <v>11400</v>
      </c>
      <c r="F1091" s="3">
        <v>39079</v>
      </c>
      <c r="G1091" s="2" t="s">
        <v>1061</v>
      </c>
      <c r="H1091" s="3">
        <v>43053</v>
      </c>
      <c r="I1091" s="2" t="s">
        <v>19506</v>
      </c>
      <c r="J1091" s="2" t="s">
        <v>13904</v>
      </c>
      <c r="K1091" s="2" t="s">
        <v>19229</v>
      </c>
      <c r="L1091" s="82" t="s">
        <v>19512</v>
      </c>
    </row>
    <row r="1092" spans="1:12" ht="96" customHeight="1" x14ac:dyDescent="0.3">
      <c r="A1092" s="2">
        <v>1088</v>
      </c>
      <c r="B1092" s="66" t="s">
        <v>1088</v>
      </c>
      <c r="C1092" s="66"/>
      <c r="D1092" s="11" t="s">
        <v>1149</v>
      </c>
      <c r="E1092" s="11">
        <v>8455.7999999999993</v>
      </c>
      <c r="F1092" s="3">
        <v>37237</v>
      </c>
      <c r="G1092" s="2" t="s">
        <v>1061</v>
      </c>
      <c r="H1092" s="3">
        <v>43053</v>
      </c>
      <c r="I1092" s="2" t="s">
        <v>19506</v>
      </c>
      <c r="J1092" s="2" t="s">
        <v>13904</v>
      </c>
      <c r="K1092" s="2" t="s">
        <v>19229</v>
      </c>
      <c r="L1092" s="82" t="s">
        <v>19512</v>
      </c>
    </row>
    <row r="1093" spans="1:12" ht="96" customHeight="1" x14ac:dyDescent="0.3">
      <c r="A1093" s="2">
        <v>1089</v>
      </c>
      <c r="B1093" s="66" t="s">
        <v>1089</v>
      </c>
      <c r="C1093" s="66"/>
      <c r="D1093" s="11" t="s">
        <v>1150</v>
      </c>
      <c r="E1093" s="11">
        <v>3570</v>
      </c>
      <c r="F1093" s="3">
        <v>40505</v>
      </c>
      <c r="G1093" s="2" t="s">
        <v>1061</v>
      </c>
      <c r="H1093" s="3">
        <v>43053</v>
      </c>
      <c r="I1093" s="2" t="s">
        <v>19506</v>
      </c>
      <c r="J1093" s="2" t="s">
        <v>13904</v>
      </c>
      <c r="K1093" s="2" t="s">
        <v>19229</v>
      </c>
      <c r="L1093" s="82" t="s">
        <v>19512</v>
      </c>
    </row>
    <row r="1094" spans="1:12" ht="96" customHeight="1" x14ac:dyDescent="0.3">
      <c r="A1094" s="2">
        <v>1090</v>
      </c>
      <c r="B1094" s="66" t="s">
        <v>1090</v>
      </c>
      <c r="C1094" s="66"/>
      <c r="D1094" s="11" t="s">
        <v>1151</v>
      </c>
      <c r="E1094" s="11">
        <v>3990</v>
      </c>
      <c r="F1094" s="3">
        <v>40505</v>
      </c>
      <c r="G1094" s="2" t="s">
        <v>1061</v>
      </c>
      <c r="H1094" s="3">
        <v>43053</v>
      </c>
      <c r="I1094" s="2" t="s">
        <v>19506</v>
      </c>
      <c r="J1094" s="2" t="s">
        <v>13904</v>
      </c>
      <c r="K1094" s="2" t="s">
        <v>19229</v>
      </c>
      <c r="L1094" s="82" t="s">
        <v>19512</v>
      </c>
    </row>
    <row r="1095" spans="1:12" ht="96" customHeight="1" x14ac:dyDescent="0.3">
      <c r="A1095" s="2">
        <v>1091</v>
      </c>
      <c r="B1095" s="66" t="s">
        <v>1091</v>
      </c>
      <c r="C1095" s="66"/>
      <c r="D1095" s="11" t="s">
        <v>1152</v>
      </c>
      <c r="E1095" s="11">
        <v>4990</v>
      </c>
      <c r="F1095" s="3">
        <v>40540</v>
      </c>
      <c r="G1095" s="2" t="s">
        <v>1061</v>
      </c>
      <c r="H1095" s="3">
        <v>43053</v>
      </c>
      <c r="I1095" s="2" t="s">
        <v>19506</v>
      </c>
      <c r="J1095" s="2" t="s">
        <v>13904</v>
      </c>
      <c r="K1095" s="2" t="s">
        <v>19229</v>
      </c>
      <c r="L1095" s="82" t="s">
        <v>19512</v>
      </c>
    </row>
    <row r="1096" spans="1:12" ht="96" customHeight="1" x14ac:dyDescent="0.3">
      <c r="A1096" s="2">
        <v>1092</v>
      </c>
      <c r="B1096" s="66" t="s">
        <v>1092</v>
      </c>
      <c r="C1096" s="66"/>
      <c r="D1096" s="11" t="s">
        <v>1153</v>
      </c>
      <c r="E1096" s="11">
        <v>7200</v>
      </c>
      <c r="F1096" s="3">
        <v>39079</v>
      </c>
      <c r="G1096" s="2" t="s">
        <v>1061</v>
      </c>
      <c r="H1096" s="3">
        <v>43053</v>
      </c>
      <c r="I1096" s="2" t="s">
        <v>19506</v>
      </c>
      <c r="J1096" s="2" t="s">
        <v>13904</v>
      </c>
      <c r="K1096" s="2" t="s">
        <v>19229</v>
      </c>
      <c r="L1096" s="82" t="s">
        <v>19512</v>
      </c>
    </row>
    <row r="1097" spans="1:12" ht="96" customHeight="1" x14ac:dyDescent="0.3">
      <c r="A1097" s="2">
        <v>1093</v>
      </c>
      <c r="B1097" s="66" t="s">
        <v>1093</v>
      </c>
      <c r="C1097" s="66"/>
      <c r="D1097" s="11" t="s">
        <v>1154</v>
      </c>
      <c r="E1097" s="11">
        <v>5703.84</v>
      </c>
      <c r="F1097" s="3">
        <v>40175</v>
      </c>
      <c r="G1097" s="2" t="s">
        <v>1061</v>
      </c>
      <c r="H1097" s="3">
        <v>43053</v>
      </c>
      <c r="I1097" s="2" t="s">
        <v>19506</v>
      </c>
      <c r="J1097" s="2" t="s">
        <v>13904</v>
      </c>
      <c r="K1097" s="2" t="s">
        <v>19229</v>
      </c>
      <c r="L1097" s="82" t="s">
        <v>19512</v>
      </c>
    </row>
    <row r="1098" spans="1:12" ht="96" customHeight="1" x14ac:dyDescent="0.3">
      <c r="A1098" s="2">
        <v>1094</v>
      </c>
      <c r="B1098" s="66" t="s">
        <v>927</v>
      </c>
      <c r="C1098" s="66"/>
      <c r="D1098" s="11" t="s">
        <v>1155</v>
      </c>
      <c r="E1098" s="11">
        <v>15990</v>
      </c>
      <c r="F1098" s="3">
        <v>40542</v>
      </c>
      <c r="G1098" s="2" t="s">
        <v>1061</v>
      </c>
      <c r="H1098" s="3">
        <v>43053</v>
      </c>
      <c r="I1098" s="2" t="s">
        <v>19506</v>
      </c>
      <c r="J1098" s="2" t="s">
        <v>13904</v>
      </c>
      <c r="K1098" s="2" t="s">
        <v>19229</v>
      </c>
      <c r="L1098" s="82" t="s">
        <v>19512</v>
      </c>
    </row>
    <row r="1099" spans="1:12" ht="96" customHeight="1" x14ac:dyDescent="0.3">
      <c r="A1099" s="2">
        <v>1095</v>
      </c>
      <c r="B1099" s="66" t="s">
        <v>1094</v>
      </c>
      <c r="C1099" s="66"/>
      <c r="D1099" s="11" t="s">
        <v>1156</v>
      </c>
      <c r="E1099" s="11">
        <v>27180</v>
      </c>
      <c r="F1099" s="3">
        <v>39169</v>
      </c>
      <c r="G1099" s="2" t="s">
        <v>1061</v>
      </c>
      <c r="H1099" s="3">
        <v>43053</v>
      </c>
      <c r="I1099" s="2" t="s">
        <v>19506</v>
      </c>
      <c r="J1099" s="2" t="s">
        <v>13904</v>
      </c>
      <c r="K1099" s="2" t="s">
        <v>19229</v>
      </c>
      <c r="L1099" s="82" t="s">
        <v>19512</v>
      </c>
    </row>
    <row r="1100" spans="1:12" ht="96" customHeight="1" x14ac:dyDescent="0.3">
      <c r="A1100" s="2">
        <v>1096</v>
      </c>
      <c r="B1100" s="66" t="s">
        <v>1095</v>
      </c>
      <c r="C1100" s="66"/>
      <c r="D1100" s="11" t="s">
        <v>1157</v>
      </c>
      <c r="E1100" s="11">
        <v>4755</v>
      </c>
      <c r="F1100" s="3">
        <v>40540</v>
      </c>
      <c r="G1100" s="2" t="s">
        <v>1061</v>
      </c>
      <c r="H1100" s="3">
        <v>43053</v>
      </c>
      <c r="I1100" s="2" t="s">
        <v>19506</v>
      </c>
      <c r="J1100" s="2" t="s">
        <v>13904</v>
      </c>
      <c r="K1100" s="2" t="s">
        <v>19229</v>
      </c>
      <c r="L1100" s="82" t="s">
        <v>19512</v>
      </c>
    </row>
    <row r="1101" spans="1:12" ht="96" customHeight="1" x14ac:dyDescent="0.3">
      <c r="A1101" s="2">
        <v>1097</v>
      </c>
      <c r="B1101" s="66" t="s">
        <v>223</v>
      </c>
      <c r="C1101" s="66"/>
      <c r="D1101" s="11" t="s">
        <v>1158</v>
      </c>
      <c r="E1101" s="11">
        <v>16800</v>
      </c>
      <c r="F1101" s="3">
        <v>40371</v>
      </c>
      <c r="G1101" s="2" t="s">
        <v>1061</v>
      </c>
      <c r="H1101" s="3">
        <v>43053</v>
      </c>
      <c r="I1101" s="2" t="s">
        <v>19506</v>
      </c>
      <c r="J1101" s="2" t="s">
        <v>13904</v>
      </c>
      <c r="K1101" s="2" t="s">
        <v>19229</v>
      </c>
      <c r="L1101" s="82" t="s">
        <v>19512</v>
      </c>
    </row>
    <row r="1102" spans="1:12" ht="96" customHeight="1" x14ac:dyDescent="0.3">
      <c r="A1102" s="2">
        <v>1098</v>
      </c>
      <c r="B1102" s="66" t="s">
        <v>1096</v>
      </c>
      <c r="C1102" s="66"/>
      <c r="D1102" s="11" t="s">
        <v>1159</v>
      </c>
      <c r="E1102" s="11">
        <v>9530</v>
      </c>
      <c r="F1102" s="3">
        <v>37981</v>
      </c>
      <c r="G1102" s="2" t="s">
        <v>1061</v>
      </c>
      <c r="H1102" s="3">
        <v>43053</v>
      </c>
      <c r="I1102" s="2" t="s">
        <v>19506</v>
      </c>
      <c r="J1102" s="2" t="s">
        <v>13904</v>
      </c>
      <c r="K1102" s="2" t="s">
        <v>19229</v>
      </c>
      <c r="L1102" s="82" t="s">
        <v>19512</v>
      </c>
    </row>
    <row r="1103" spans="1:12" ht="96" customHeight="1" x14ac:dyDescent="0.3">
      <c r="A1103" s="2">
        <v>1099</v>
      </c>
      <c r="B1103" s="66" t="s">
        <v>1097</v>
      </c>
      <c r="C1103" s="66"/>
      <c r="D1103" s="11" t="s">
        <v>1160</v>
      </c>
      <c r="E1103" s="11">
        <v>9102</v>
      </c>
      <c r="F1103" s="3">
        <v>37605</v>
      </c>
      <c r="G1103" s="2" t="s">
        <v>1061</v>
      </c>
      <c r="H1103" s="3">
        <v>43053</v>
      </c>
      <c r="I1103" s="2" t="s">
        <v>19506</v>
      </c>
      <c r="J1103" s="2" t="s">
        <v>13904</v>
      </c>
      <c r="K1103" s="2" t="s">
        <v>19229</v>
      </c>
      <c r="L1103" s="82" t="s">
        <v>19512</v>
      </c>
    </row>
    <row r="1104" spans="1:12" ht="96" customHeight="1" x14ac:dyDescent="0.3">
      <c r="A1104" s="2">
        <v>1100</v>
      </c>
      <c r="B1104" s="66" t="s">
        <v>1098</v>
      </c>
      <c r="C1104" s="66"/>
      <c r="D1104" s="11" t="s">
        <v>1161</v>
      </c>
      <c r="E1104" s="11">
        <v>8696.52</v>
      </c>
      <c r="F1104" s="3">
        <v>37981</v>
      </c>
      <c r="G1104" s="2" t="s">
        <v>1061</v>
      </c>
      <c r="H1104" s="3">
        <v>43053</v>
      </c>
      <c r="I1104" s="2" t="s">
        <v>19506</v>
      </c>
      <c r="J1104" s="2" t="s">
        <v>13904</v>
      </c>
      <c r="K1104" s="2" t="s">
        <v>19229</v>
      </c>
      <c r="L1104" s="82" t="s">
        <v>19512</v>
      </c>
    </row>
    <row r="1105" spans="1:12" ht="96" customHeight="1" x14ac:dyDescent="0.3">
      <c r="A1105" s="2">
        <v>1101</v>
      </c>
      <c r="B1105" s="66" t="s">
        <v>1099</v>
      </c>
      <c r="C1105" s="66"/>
      <c r="D1105" s="11" t="s">
        <v>1162</v>
      </c>
      <c r="E1105" s="11">
        <v>9657</v>
      </c>
      <c r="F1105" s="3">
        <v>38806</v>
      </c>
      <c r="G1105" s="2" t="s">
        <v>1061</v>
      </c>
      <c r="H1105" s="3">
        <v>43053</v>
      </c>
      <c r="I1105" s="2" t="s">
        <v>19506</v>
      </c>
      <c r="J1105" s="2" t="s">
        <v>13904</v>
      </c>
      <c r="K1105" s="2" t="s">
        <v>19229</v>
      </c>
      <c r="L1105" s="82" t="s">
        <v>19512</v>
      </c>
    </row>
    <row r="1106" spans="1:12" ht="96" customHeight="1" x14ac:dyDescent="0.3">
      <c r="A1106" s="2">
        <v>1102</v>
      </c>
      <c r="B1106" s="66" t="s">
        <v>1100</v>
      </c>
      <c r="C1106" s="66"/>
      <c r="D1106" s="11" t="s">
        <v>1163</v>
      </c>
      <c r="E1106" s="11">
        <v>5203</v>
      </c>
      <c r="F1106" s="3">
        <v>40267</v>
      </c>
      <c r="G1106" s="2" t="s">
        <v>1061</v>
      </c>
      <c r="H1106" s="3">
        <v>43053</v>
      </c>
      <c r="I1106" s="2" t="s">
        <v>19506</v>
      </c>
      <c r="J1106" s="2" t="s">
        <v>13904</v>
      </c>
      <c r="K1106" s="2" t="s">
        <v>19229</v>
      </c>
      <c r="L1106" s="82" t="s">
        <v>19512</v>
      </c>
    </row>
    <row r="1107" spans="1:12" ht="96" customHeight="1" x14ac:dyDescent="0.3">
      <c r="A1107" s="2">
        <v>1103</v>
      </c>
      <c r="B1107" s="66" t="s">
        <v>1101</v>
      </c>
      <c r="C1107" s="66"/>
      <c r="D1107" s="11" t="s">
        <v>1164</v>
      </c>
      <c r="E1107" s="11">
        <v>39945.519999999997</v>
      </c>
      <c r="F1107" s="3">
        <v>40457</v>
      </c>
      <c r="G1107" s="2" t="s">
        <v>1061</v>
      </c>
      <c r="H1107" s="3">
        <v>43053</v>
      </c>
      <c r="I1107" s="2" t="s">
        <v>19506</v>
      </c>
      <c r="J1107" s="2" t="s">
        <v>13904</v>
      </c>
      <c r="K1107" s="2" t="s">
        <v>19229</v>
      </c>
      <c r="L1107" s="82" t="s">
        <v>19512</v>
      </c>
    </row>
    <row r="1108" spans="1:12" ht="96" customHeight="1" x14ac:dyDescent="0.3">
      <c r="A1108" s="2">
        <v>1104</v>
      </c>
      <c r="B1108" s="66" t="s">
        <v>1095</v>
      </c>
      <c r="C1108" s="66"/>
      <c r="D1108" s="11" t="s">
        <v>1157</v>
      </c>
      <c r="E1108" s="11">
        <v>11954.72</v>
      </c>
      <c r="F1108" s="3">
        <v>40540</v>
      </c>
      <c r="G1108" s="2" t="s">
        <v>1061</v>
      </c>
      <c r="H1108" s="3">
        <v>43053</v>
      </c>
      <c r="I1108" s="2" t="s">
        <v>19506</v>
      </c>
      <c r="J1108" s="2" t="s">
        <v>13904</v>
      </c>
      <c r="K1108" s="2" t="s">
        <v>19229</v>
      </c>
      <c r="L1108" s="82" t="s">
        <v>19512</v>
      </c>
    </row>
    <row r="1109" spans="1:12" ht="96" customHeight="1" x14ac:dyDescent="0.3">
      <c r="A1109" s="2">
        <v>1105</v>
      </c>
      <c r="B1109" s="66" t="s">
        <v>1102</v>
      </c>
      <c r="C1109" s="66"/>
      <c r="D1109" s="11" t="s">
        <v>1165</v>
      </c>
      <c r="E1109" s="11">
        <v>16800</v>
      </c>
      <c r="F1109" s="3">
        <v>40661</v>
      </c>
      <c r="G1109" s="2" t="s">
        <v>1061</v>
      </c>
      <c r="H1109" s="3">
        <v>43053</v>
      </c>
      <c r="I1109" s="2" t="s">
        <v>19506</v>
      </c>
      <c r="J1109" s="2" t="s">
        <v>13904</v>
      </c>
      <c r="K1109" s="2" t="s">
        <v>19229</v>
      </c>
      <c r="L1109" s="82" t="s">
        <v>19512</v>
      </c>
    </row>
    <row r="1110" spans="1:12" ht="96" customHeight="1" x14ac:dyDescent="0.3">
      <c r="A1110" s="2">
        <v>1106</v>
      </c>
      <c r="B1110" s="66" t="s">
        <v>1103</v>
      </c>
      <c r="C1110" s="66"/>
      <c r="D1110" s="11" t="s">
        <v>1166</v>
      </c>
      <c r="E1110" s="11">
        <v>23270</v>
      </c>
      <c r="F1110" s="3">
        <v>40828</v>
      </c>
      <c r="G1110" s="2" t="s">
        <v>1061</v>
      </c>
      <c r="H1110" s="3">
        <v>43053</v>
      </c>
      <c r="I1110" s="2" t="s">
        <v>19506</v>
      </c>
      <c r="J1110" s="2" t="s">
        <v>13904</v>
      </c>
      <c r="K1110" s="2" t="s">
        <v>19229</v>
      </c>
      <c r="L1110" s="82" t="s">
        <v>19512</v>
      </c>
    </row>
    <row r="1111" spans="1:12" ht="96" customHeight="1" x14ac:dyDescent="0.3">
      <c r="A1111" s="2">
        <v>1107</v>
      </c>
      <c r="B1111" s="66" t="s">
        <v>1104</v>
      </c>
      <c r="C1111" s="66"/>
      <c r="D1111" s="11" t="s">
        <v>1052</v>
      </c>
      <c r="E1111" s="11">
        <v>11670</v>
      </c>
      <c r="F1111" s="3">
        <v>40833</v>
      </c>
      <c r="G1111" s="2" t="s">
        <v>1061</v>
      </c>
      <c r="H1111" s="3">
        <v>43053</v>
      </c>
      <c r="I1111" s="2" t="s">
        <v>19506</v>
      </c>
      <c r="J1111" s="2" t="s">
        <v>13904</v>
      </c>
      <c r="K1111" s="2" t="s">
        <v>19229</v>
      </c>
      <c r="L1111" s="82" t="s">
        <v>19512</v>
      </c>
    </row>
    <row r="1112" spans="1:12" ht="96" customHeight="1" x14ac:dyDescent="0.3">
      <c r="A1112" s="2">
        <v>1108</v>
      </c>
      <c r="B1112" s="66" t="s">
        <v>1105</v>
      </c>
      <c r="C1112" s="66"/>
      <c r="D1112" s="11" t="s">
        <v>1167</v>
      </c>
      <c r="E1112" s="11">
        <v>6800</v>
      </c>
      <c r="F1112" s="3">
        <v>40833</v>
      </c>
      <c r="G1112" s="2" t="s">
        <v>1061</v>
      </c>
      <c r="H1112" s="3">
        <v>43053</v>
      </c>
      <c r="I1112" s="2" t="s">
        <v>19506</v>
      </c>
      <c r="J1112" s="2" t="s">
        <v>13904</v>
      </c>
      <c r="K1112" s="2" t="s">
        <v>19229</v>
      </c>
      <c r="L1112" s="82" t="s">
        <v>19512</v>
      </c>
    </row>
    <row r="1113" spans="1:12" ht="96" customHeight="1" x14ac:dyDescent="0.3">
      <c r="A1113" s="2">
        <v>1109</v>
      </c>
      <c r="B1113" s="66" t="s">
        <v>1106</v>
      </c>
      <c r="C1113" s="66"/>
      <c r="D1113" s="11" t="s">
        <v>1168</v>
      </c>
      <c r="E1113" s="11">
        <v>14500</v>
      </c>
      <c r="F1113" s="3">
        <v>41033</v>
      </c>
      <c r="G1113" s="2" t="s">
        <v>1061</v>
      </c>
      <c r="H1113" s="3">
        <v>43053</v>
      </c>
      <c r="I1113" s="2" t="s">
        <v>19506</v>
      </c>
      <c r="J1113" s="2" t="s">
        <v>13904</v>
      </c>
      <c r="K1113" s="2" t="s">
        <v>19229</v>
      </c>
      <c r="L1113" s="82" t="s">
        <v>19512</v>
      </c>
    </row>
    <row r="1114" spans="1:12" ht="96" customHeight="1" x14ac:dyDescent="0.3">
      <c r="A1114" s="2">
        <v>1110</v>
      </c>
      <c r="B1114" s="66" t="s">
        <v>1107</v>
      </c>
      <c r="C1114" s="66"/>
      <c r="D1114" s="11" t="s">
        <v>1169</v>
      </c>
      <c r="E1114" s="11">
        <v>21817.439999999999</v>
      </c>
      <c r="F1114" s="3">
        <v>41204</v>
      </c>
      <c r="G1114" s="2" t="s">
        <v>1061</v>
      </c>
      <c r="H1114" s="3">
        <v>43053</v>
      </c>
      <c r="I1114" s="2" t="s">
        <v>19506</v>
      </c>
      <c r="J1114" s="2" t="s">
        <v>13904</v>
      </c>
      <c r="K1114" s="2" t="s">
        <v>19229</v>
      </c>
      <c r="L1114" s="82" t="s">
        <v>19512</v>
      </c>
    </row>
    <row r="1115" spans="1:12" ht="96" customHeight="1" x14ac:dyDescent="0.3">
      <c r="A1115" s="2">
        <v>1111</v>
      </c>
      <c r="B1115" s="66" t="s">
        <v>1108</v>
      </c>
      <c r="C1115" s="66"/>
      <c r="D1115" s="11" t="s">
        <v>1170</v>
      </c>
      <c r="E1115" s="11">
        <v>5385</v>
      </c>
      <c r="F1115" s="3">
        <v>41235</v>
      </c>
      <c r="G1115" s="2" t="s">
        <v>1061</v>
      </c>
      <c r="H1115" s="3">
        <v>43053</v>
      </c>
      <c r="I1115" s="2" t="s">
        <v>19506</v>
      </c>
      <c r="J1115" s="2" t="s">
        <v>13904</v>
      </c>
      <c r="K1115" s="2" t="s">
        <v>19229</v>
      </c>
      <c r="L1115" s="82" t="s">
        <v>19512</v>
      </c>
    </row>
    <row r="1116" spans="1:12" ht="96" customHeight="1" x14ac:dyDescent="0.3">
      <c r="A1116" s="2">
        <v>1112</v>
      </c>
      <c r="B1116" s="66" t="s">
        <v>1109</v>
      </c>
      <c r="C1116" s="66"/>
      <c r="D1116" s="11" t="s">
        <v>1171</v>
      </c>
      <c r="E1116" s="11">
        <v>8999</v>
      </c>
      <c r="F1116" s="3">
        <v>41235</v>
      </c>
      <c r="G1116" s="2" t="s">
        <v>1061</v>
      </c>
      <c r="H1116" s="3">
        <v>43053</v>
      </c>
      <c r="I1116" s="2" t="s">
        <v>19506</v>
      </c>
      <c r="J1116" s="2" t="s">
        <v>13904</v>
      </c>
      <c r="K1116" s="2" t="s">
        <v>19229</v>
      </c>
      <c r="L1116" s="82" t="s">
        <v>19512</v>
      </c>
    </row>
    <row r="1117" spans="1:12" ht="96" customHeight="1" x14ac:dyDescent="0.3">
      <c r="A1117" s="2">
        <v>1113</v>
      </c>
      <c r="B1117" s="66" t="s">
        <v>1110</v>
      </c>
      <c r="C1117" s="66"/>
      <c r="D1117" s="11" t="s">
        <v>1172</v>
      </c>
      <c r="E1117" s="11">
        <v>9999</v>
      </c>
      <c r="F1117" s="3">
        <v>41678</v>
      </c>
      <c r="G1117" s="2" t="s">
        <v>1061</v>
      </c>
      <c r="H1117" s="3">
        <v>43053</v>
      </c>
      <c r="I1117" s="2" t="s">
        <v>19506</v>
      </c>
      <c r="J1117" s="2" t="s">
        <v>13904</v>
      </c>
      <c r="K1117" s="2" t="s">
        <v>19229</v>
      </c>
      <c r="L1117" s="82" t="s">
        <v>19512</v>
      </c>
    </row>
    <row r="1118" spans="1:12" ht="96" customHeight="1" x14ac:dyDescent="0.3">
      <c r="A1118" s="2">
        <v>1114</v>
      </c>
      <c r="B1118" s="66" t="s">
        <v>1111</v>
      </c>
      <c r="C1118" s="66"/>
      <c r="D1118" s="11" t="s">
        <v>1173</v>
      </c>
      <c r="E1118" s="11" t="s">
        <v>1174</v>
      </c>
      <c r="F1118" s="3">
        <v>41943</v>
      </c>
      <c r="G1118" s="2" t="s">
        <v>1061</v>
      </c>
      <c r="H1118" s="3">
        <v>43053</v>
      </c>
      <c r="I1118" s="2" t="s">
        <v>19506</v>
      </c>
      <c r="J1118" s="2" t="s">
        <v>13904</v>
      </c>
      <c r="K1118" s="2" t="s">
        <v>19229</v>
      </c>
      <c r="L1118" s="82" t="s">
        <v>19512</v>
      </c>
    </row>
    <row r="1119" spans="1:12" ht="96" customHeight="1" x14ac:dyDescent="0.3">
      <c r="A1119" s="2">
        <v>1115</v>
      </c>
      <c r="B1119" s="66" t="s">
        <v>1111</v>
      </c>
      <c r="C1119" s="66"/>
      <c r="D1119" s="11" t="s">
        <v>1173</v>
      </c>
      <c r="E1119" s="11">
        <v>10676.56</v>
      </c>
      <c r="F1119" s="3">
        <v>41943</v>
      </c>
      <c r="G1119" s="2" t="s">
        <v>1061</v>
      </c>
      <c r="H1119" s="3">
        <v>43053</v>
      </c>
      <c r="I1119" s="2" t="s">
        <v>19506</v>
      </c>
      <c r="J1119" s="2" t="s">
        <v>13904</v>
      </c>
      <c r="K1119" s="2" t="s">
        <v>19229</v>
      </c>
      <c r="L1119" s="82" t="s">
        <v>19512</v>
      </c>
    </row>
    <row r="1120" spans="1:12" ht="96" customHeight="1" x14ac:dyDescent="0.3">
      <c r="A1120" s="2">
        <v>1116</v>
      </c>
      <c r="B1120" s="66" t="s">
        <v>1112</v>
      </c>
      <c r="C1120" s="66"/>
      <c r="D1120" s="11" t="s">
        <v>1175</v>
      </c>
      <c r="E1120" s="11">
        <v>6020.43</v>
      </c>
      <c r="F1120" s="3">
        <v>31743</v>
      </c>
      <c r="G1120" s="2" t="s">
        <v>1061</v>
      </c>
      <c r="H1120" s="3">
        <v>43053</v>
      </c>
      <c r="I1120" s="2" t="s">
        <v>19506</v>
      </c>
      <c r="J1120" s="2" t="s">
        <v>13904</v>
      </c>
      <c r="K1120" s="2" t="s">
        <v>19229</v>
      </c>
      <c r="L1120" s="82" t="s">
        <v>19512</v>
      </c>
    </row>
    <row r="1121" spans="1:12" ht="96" customHeight="1" x14ac:dyDescent="0.3">
      <c r="A1121" s="2">
        <v>1117</v>
      </c>
      <c r="B1121" s="66" t="s">
        <v>1112</v>
      </c>
      <c r="C1121" s="66"/>
      <c r="D1121" s="11" t="s">
        <v>1176</v>
      </c>
      <c r="E1121" s="11">
        <v>5251.59</v>
      </c>
      <c r="F1121" s="3">
        <v>29368</v>
      </c>
      <c r="G1121" s="2" t="s">
        <v>1061</v>
      </c>
      <c r="H1121" s="3">
        <v>43053</v>
      </c>
      <c r="I1121" s="2" t="s">
        <v>19506</v>
      </c>
      <c r="J1121" s="2" t="s">
        <v>13904</v>
      </c>
      <c r="K1121" s="2" t="s">
        <v>19229</v>
      </c>
      <c r="L1121" s="82" t="s">
        <v>19512</v>
      </c>
    </row>
    <row r="1122" spans="1:12" ht="96" customHeight="1" x14ac:dyDescent="0.3">
      <c r="A1122" s="2">
        <v>1118</v>
      </c>
      <c r="B1122" s="66" t="s">
        <v>1113</v>
      </c>
      <c r="C1122" s="66"/>
      <c r="D1122" s="11" t="s">
        <v>1177</v>
      </c>
      <c r="E1122" s="11">
        <v>5252.88</v>
      </c>
      <c r="F1122" s="3">
        <v>26755</v>
      </c>
      <c r="G1122" s="2" t="s">
        <v>1061</v>
      </c>
      <c r="H1122" s="3">
        <v>43053</v>
      </c>
      <c r="I1122" s="2" t="s">
        <v>19506</v>
      </c>
      <c r="J1122" s="2" t="s">
        <v>13904</v>
      </c>
      <c r="K1122" s="2" t="s">
        <v>19229</v>
      </c>
      <c r="L1122" s="82" t="s">
        <v>19512</v>
      </c>
    </row>
    <row r="1123" spans="1:12" ht="96" customHeight="1" x14ac:dyDescent="0.3">
      <c r="A1123" s="2">
        <v>1119</v>
      </c>
      <c r="B1123" s="66" t="s">
        <v>1114</v>
      </c>
      <c r="C1123" s="66"/>
      <c r="D1123" s="11" t="s">
        <v>1178</v>
      </c>
      <c r="E1123" s="11">
        <v>3178.56</v>
      </c>
      <c r="F1123" s="3">
        <v>25308</v>
      </c>
      <c r="G1123" s="2" t="s">
        <v>1061</v>
      </c>
      <c r="H1123" s="3">
        <v>43053</v>
      </c>
      <c r="I1123" s="2" t="s">
        <v>19506</v>
      </c>
      <c r="J1123" s="2" t="s">
        <v>13904</v>
      </c>
      <c r="K1123" s="2" t="s">
        <v>19229</v>
      </c>
      <c r="L1123" s="82" t="s">
        <v>19512</v>
      </c>
    </row>
    <row r="1124" spans="1:12" ht="96" customHeight="1" x14ac:dyDescent="0.3">
      <c r="A1124" s="2">
        <v>1120</v>
      </c>
      <c r="B1124" s="66" t="s">
        <v>1115</v>
      </c>
      <c r="C1124" s="66"/>
      <c r="D1124" s="11" t="s">
        <v>1179</v>
      </c>
      <c r="E1124" s="11">
        <v>41690.22</v>
      </c>
      <c r="F1124" s="3">
        <v>37196</v>
      </c>
      <c r="G1124" s="2" t="s">
        <v>1061</v>
      </c>
      <c r="H1124" s="3">
        <v>43053</v>
      </c>
      <c r="I1124" s="2" t="s">
        <v>19506</v>
      </c>
      <c r="J1124" s="2" t="s">
        <v>13904</v>
      </c>
      <c r="K1124" s="2" t="s">
        <v>19229</v>
      </c>
      <c r="L1124" s="82" t="s">
        <v>19512</v>
      </c>
    </row>
    <row r="1125" spans="1:12" ht="96" customHeight="1" x14ac:dyDescent="0.3">
      <c r="A1125" s="2">
        <v>1121</v>
      </c>
      <c r="B1125" s="66" t="s">
        <v>1116</v>
      </c>
      <c r="C1125" s="66"/>
      <c r="D1125" s="11" t="s">
        <v>1180</v>
      </c>
      <c r="E1125" s="11">
        <v>3393.99</v>
      </c>
      <c r="F1125" s="3">
        <v>28055</v>
      </c>
      <c r="G1125" s="2" t="s">
        <v>1061</v>
      </c>
      <c r="H1125" s="3">
        <v>43053</v>
      </c>
      <c r="I1125" s="2" t="s">
        <v>19506</v>
      </c>
      <c r="J1125" s="2" t="s">
        <v>13904</v>
      </c>
      <c r="K1125" s="2" t="s">
        <v>19229</v>
      </c>
      <c r="L1125" s="82" t="s">
        <v>19512</v>
      </c>
    </row>
    <row r="1126" spans="1:12" ht="96" customHeight="1" x14ac:dyDescent="0.3">
      <c r="A1126" s="2">
        <v>1122</v>
      </c>
      <c r="B1126" s="66" t="s">
        <v>1116</v>
      </c>
      <c r="C1126" s="66"/>
      <c r="D1126" s="11" t="s">
        <v>1180</v>
      </c>
      <c r="E1126" s="11">
        <v>3393.99</v>
      </c>
      <c r="F1126" s="3">
        <v>28055</v>
      </c>
      <c r="G1126" s="2" t="s">
        <v>1061</v>
      </c>
      <c r="H1126" s="3">
        <v>43053</v>
      </c>
      <c r="I1126" s="2" t="s">
        <v>19506</v>
      </c>
      <c r="J1126" s="2" t="s">
        <v>13904</v>
      </c>
      <c r="K1126" s="2" t="s">
        <v>19229</v>
      </c>
      <c r="L1126" s="82" t="s">
        <v>19512</v>
      </c>
    </row>
    <row r="1127" spans="1:12" ht="96" customHeight="1" x14ac:dyDescent="0.3">
      <c r="A1127" s="2">
        <v>1123</v>
      </c>
      <c r="B1127" s="66" t="s">
        <v>1116</v>
      </c>
      <c r="C1127" s="66"/>
      <c r="D1127" s="11" t="s">
        <v>1180</v>
      </c>
      <c r="E1127" s="11">
        <v>3393.99</v>
      </c>
      <c r="F1127" s="3">
        <v>28055</v>
      </c>
      <c r="G1127" s="2" t="s">
        <v>1061</v>
      </c>
      <c r="H1127" s="3">
        <v>43053</v>
      </c>
      <c r="I1127" s="2" t="s">
        <v>19506</v>
      </c>
      <c r="J1127" s="2" t="s">
        <v>13904</v>
      </c>
      <c r="K1127" s="2" t="s">
        <v>19229</v>
      </c>
      <c r="L1127" s="82" t="s">
        <v>19512</v>
      </c>
    </row>
    <row r="1128" spans="1:12" ht="96" customHeight="1" x14ac:dyDescent="0.3">
      <c r="A1128" s="2">
        <v>1124</v>
      </c>
      <c r="B1128" s="66" t="s">
        <v>1117</v>
      </c>
      <c r="C1128" s="66"/>
      <c r="D1128" s="11" t="s">
        <v>1181</v>
      </c>
      <c r="E1128" s="11">
        <v>3148.89</v>
      </c>
      <c r="F1128" s="3">
        <v>25350</v>
      </c>
      <c r="G1128" s="2" t="s">
        <v>1061</v>
      </c>
      <c r="H1128" s="3">
        <v>43053</v>
      </c>
      <c r="I1128" s="2" t="s">
        <v>19506</v>
      </c>
      <c r="J1128" s="2" t="s">
        <v>13904</v>
      </c>
      <c r="K1128" s="2" t="s">
        <v>19229</v>
      </c>
      <c r="L1128" s="82" t="s">
        <v>19512</v>
      </c>
    </row>
    <row r="1129" spans="1:12" ht="96" customHeight="1" x14ac:dyDescent="0.3">
      <c r="A1129" s="2">
        <v>1125</v>
      </c>
      <c r="B1129" s="66" t="s">
        <v>1118</v>
      </c>
      <c r="C1129" s="66"/>
      <c r="D1129" s="11" t="s">
        <v>1182</v>
      </c>
      <c r="E1129" s="11">
        <v>3308.85</v>
      </c>
      <c r="F1129" s="3">
        <v>26329</v>
      </c>
      <c r="G1129" s="2" t="s">
        <v>1061</v>
      </c>
      <c r="H1129" s="3">
        <v>43053</v>
      </c>
      <c r="I1129" s="2" t="s">
        <v>19506</v>
      </c>
      <c r="J1129" s="2" t="s">
        <v>13904</v>
      </c>
      <c r="K1129" s="2" t="s">
        <v>19229</v>
      </c>
      <c r="L1129" s="82" t="s">
        <v>19512</v>
      </c>
    </row>
    <row r="1130" spans="1:12" ht="96" customHeight="1" x14ac:dyDescent="0.3">
      <c r="A1130" s="2">
        <v>1126</v>
      </c>
      <c r="B1130" s="66" t="s">
        <v>1118</v>
      </c>
      <c r="C1130" s="66"/>
      <c r="D1130" s="11" t="s">
        <v>1182</v>
      </c>
      <c r="E1130" s="11">
        <v>3308.85</v>
      </c>
      <c r="F1130" s="3">
        <v>26329</v>
      </c>
      <c r="G1130" s="2" t="s">
        <v>1061</v>
      </c>
      <c r="H1130" s="3">
        <v>43053</v>
      </c>
      <c r="I1130" s="2" t="s">
        <v>19506</v>
      </c>
      <c r="J1130" s="2" t="s">
        <v>13904</v>
      </c>
      <c r="K1130" s="2" t="s">
        <v>19229</v>
      </c>
      <c r="L1130" s="82" t="s">
        <v>19512</v>
      </c>
    </row>
    <row r="1131" spans="1:12" ht="96" customHeight="1" x14ac:dyDescent="0.3">
      <c r="A1131" s="2">
        <v>1127</v>
      </c>
      <c r="B1131" s="66" t="s">
        <v>1119</v>
      </c>
      <c r="C1131" s="66"/>
      <c r="D1131" s="11" t="s">
        <v>1180</v>
      </c>
      <c r="E1131" s="11">
        <v>3393.99</v>
      </c>
      <c r="F1131" s="3">
        <v>27948</v>
      </c>
      <c r="G1131" s="2" t="s">
        <v>1061</v>
      </c>
      <c r="H1131" s="3">
        <v>43053</v>
      </c>
      <c r="I1131" s="2" t="s">
        <v>19506</v>
      </c>
      <c r="J1131" s="2" t="s">
        <v>13904</v>
      </c>
      <c r="K1131" s="2" t="s">
        <v>19229</v>
      </c>
      <c r="L1131" s="82" t="s">
        <v>19512</v>
      </c>
    </row>
    <row r="1132" spans="1:12" ht="96" customHeight="1" x14ac:dyDescent="0.3">
      <c r="A1132" s="2">
        <v>1128</v>
      </c>
      <c r="B1132" s="66" t="s">
        <v>1119</v>
      </c>
      <c r="C1132" s="66"/>
      <c r="D1132" s="11" t="s">
        <v>1180</v>
      </c>
      <c r="E1132" s="11">
        <v>3393.99</v>
      </c>
      <c r="F1132" s="3">
        <v>26755</v>
      </c>
      <c r="G1132" s="2" t="s">
        <v>1061</v>
      </c>
      <c r="H1132" s="3">
        <v>43252</v>
      </c>
      <c r="I1132" s="2" t="s">
        <v>20478</v>
      </c>
      <c r="J1132" s="2" t="s">
        <v>13904</v>
      </c>
      <c r="K1132" s="2" t="s">
        <v>19229</v>
      </c>
      <c r="L1132" s="82" t="s">
        <v>19512</v>
      </c>
    </row>
    <row r="1133" spans="1:12" ht="96" customHeight="1" x14ac:dyDescent="0.3">
      <c r="A1133" s="2">
        <v>1129</v>
      </c>
      <c r="B1133" s="66" t="s">
        <v>1120</v>
      </c>
      <c r="C1133" s="66"/>
      <c r="D1133" s="11" t="s">
        <v>1183</v>
      </c>
      <c r="E1133" s="11">
        <v>3500</v>
      </c>
      <c r="F1133" s="3">
        <v>39443</v>
      </c>
      <c r="G1133" s="2" t="s">
        <v>1061</v>
      </c>
      <c r="H1133" s="3">
        <v>43053</v>
      </c>
      <c r="I1133" s="2" t="s">
        <v>19506</v>
      </c>
      <c r="J1133" s="2" t="s">
        <v>13904</v>
      </c>
      <c r="K1133" s="2" t="s">
        <v>19229</v>
      </c>
      <c r="L1133" s="82" t="s">
        <v>19512</v>
      </c>
    </row>
    <row r="1134" spans="1:12" ht="96" customHeight="1" x14ac:dyDescent="0.3">
      <c r="A1134" s="2">
        <v>1130</v>
      </c>
      <c r="B1134" s="66" t="s">
        <v>1121</v>
      </c>
      <c r="C1134" s="66"/>
      <c r="D1134" s="11" t="s">
        <v>1184</v>
      </c>
      <c r="E1134" s="11">
        <v>27805</v>
      </c>
      <c r="F1134" s="3">
        <v>39093</v>
      </c>
      <c r="G1134" s="2" t="s">
        <v>1061</v>
      </c>
      <c r="H1134" s="3">
        <v>43053</v>
      </c>
      <c r="I1134" s="2" t="s">
        <v>19506</v>
      </c>
      <c r="J1134" s="2" t="s">
        <v>13904</v>
      </c>
      <c r="K1134" s="2" t="s">
        <v>19229</v>
      </c>
      <c r="L1134" s="82" t="s">
        <v>19512</v>
      </c>
    </row>
    <row r="1135" spans="1:12" ht="96" customHeight="1" x14ac:dyDescent="0.3">
      <c r="A1135" s="2">
        <v>1131</v>
      </c>
      <c r="B1135" s="66" t="s">
        <v>1122</v>
      </c>
      <c r="C1135" s="66"/>
      <c r="D1135" s="11" t="s">
        <v>1185</v>
      </c>
      <c r="E1135" s="11">
        <v>16476.48</v>
      </c>
      <c r="F1135" s="3">
        <v>35761</v>
      </c>
      <c r="G1135" s="2" t="s">
        <v>1061</v>
      </c>
      <c r="H1135" s="3">
        <v>43053</v>
      </c>
      <c r="I1135" s="2" t="s">
        <v>19506</v>
      </c>
      <c r="J1135" s="2" t="s">
        <v>13904</v>
      </c>
      <c r="K1135" s="2" t="s">
        <v>19229</v>
      </c>
      <c r="L1135" s="82" t="s">
        <v>19512</v>
      </c>
    </row>
    <row r="1136" spans="1:12" ht="96" customHeight="1" x14ac:dyDescent="0.3">
      <c r="A1136" s="2">
        <v>1132</v>
      </c>
      <c r="B1136" s="66" t="s">
        <v>1123</v>
      </c>
      <c r="C1136" s="66"/>
      <c r="D1136" s="11" t="s">
        <v>1186</v>
      </c>
      <c r="E1136" s="11">
        <v>4253.0600000000004</v>
      </c>
      <c r="F1136" s="3">
        <v>34178</v>
      </c>
      <c r="G1136" s="2" t="s">
        <v>1061</v>
      </c>
      <c r="H1136" s="3">
        <v>43053</v>
      </c>
      <c r="I1136" s="2" t="s">
        <v>19506</v>
      </c>
      <c r="J1136" s="2" t="s">
        <v>13904</v>
      </c>
      <c r="K1136" s="2" t="s">
        <v>19229</v>
      </c>
      <c r="L1136" s="82" t="s">
        <v>19512</v>
      </c>
    </row>
    <row r="1137" spans="1:12" ht="96" customHeight="1" x14ac:dyDescent="0.3">
      <c r="A1137" s="2">
        <v>1133</v>
      </c>
      <c r="B1137" s="66" t="s">
        <v>929</v>
      </c>
      <c r="C1137" s="66"/>
      <c r="D1137" s="11" t="s">
        <v>1187</v>
      </c>
      <c r="E1137" s="11">
        <v>6366.15</v>
      </c>
      <c r="F1137" s="3">
        <v>27229</v>
      </c>
      <c r="G1137" s="2" t="s">
        <v>1061</v>
      </c>
      <c r="H1137" s="3">
        <v>43053</v>
      </c>
      <c r="I1137" s="2" t="s">
        <v>19506</v>
      </c>
      <c r="J1137" s="2" t="s">
        <v>13904</v>
      </c>
      <c r="K1137" s="2" t="s">
        <v>19229</v>
      </c>
      <c r="L1137" s="82" t="s">
        <v>19512</v>
      </c>
    </row>
    <row r="1138" spans="1:12" ht="96" customHeight="1" x14ac:dyDescent="0.3">
      <c r="A1138" s="2">
        <v>1134</v>
      </c>
      <c r="B1138" s="66" t="s">
        <v>929</v>
      </c>
      <c r="C1138" s="66"/>
      <c r="D1138" s="11" t="s">
        <v>1188</v>
      </c>
      <c r="E1138" s="11">
        <v>6367.44</v>
      </c>
      <c r="F1138" s="3">
        <v>27317</v>
      </c>
      <c r="G1138" s="2" t="s">
        <v>1061</v>
      </c>
      <c r="H1138" s="3">
        <v>43053</v>
      </c>
      <c r="I1138" s="2" t="s">
        <v>19506</v>
      </c>
      <c r="J1138" s="2" t="s">
        <v>13904</v>
      </c>
      <c r="K1138" s="2" t="s">
        <v>19229</v>
      </c>
      <c r="L1138" s="82" t="s">
        <v>19512</v>
      </c>
    </row>
    <row r="1139" spans="1:12" ht="96" customHeight="1" x14ac:dyDescent="0.3">
      <c r="A1139" s="2">
        <v>1135</v>
      </c>
      <c r="B1139" s="66" t="s">
        <v>929</v>
      </c>
      <c r="C1139" s="66"/>
      <c r="D1139" s="11" t="s">
        <v>1189</v>
      </c>
      <c r="E1139" s="11">
        <v>5420.58</v>
      </c>
      <c r="F1139" s="3">
        <v>27726</v>
      </c>
      <c r="G1139" s="2" t="s">
        <v>1061</v>
      </c>
      <c r="H1139" s="3">
        <v>43053</v>
      </c>
      <c r="I1139" s="2" t="s">
        <v>19506</v>
      </c>
      <c r="J1139" s="2" t="s">
        <v>13904</v>
      </c>
      <c r="K1139" s="2" t="s">
        <v>19229</v>
      </c>
      <c r="L1139" s="82" t="s">
        <v>19512</v>
      </c>
    </row>
    <row r="1140" spans="1:12" ht="96" customHeight="1" x14ac:dyDescent="0.3">
      <c r="A1140" s="2">
        <v>1136</v>
      </c>
      <c r="B1140" s="66" t="s">
        <v>929</v>
      </c>
      <c r="C1140" s="66"/>
      <c r="D1140" s="11" t="s">
        <v>1188</v>
      </c>
      <c r="E1140" s="11">
        <v>6367.44</v>
      </c>
      <c r="F1140" s="3">
        <v>27317</v>
      </c>
      <c r="G1140" s="2" t="s">
        <v>1061</v>
      </c>
      <c r="H1140" s="3">
        <v>43053</v>
      </c>
      <c r="I1140" s="2" t="s">
        <v>19506</v>
      </c>
      <c r="J1140" s="2" t="s">
        <v>13904</v>
      </c>
      <c r="K1140" s="2" t="s">
        <v>19229</v>
      </c>
      <c r="L1140" s="82" t="s">
        <v>19512</v>
      </c>
    </row>
    <row r="1141" spans="1:12" ht="96" customHeight="1" x14ac:dyDescent="0.3">
      <c r="A1141" s="2">
        <v>1137</v>
      </c>
      <c r="B1141" s="66" t="s">
        <v>929</v>
      </c>
      <c r="C1141" s="66"/>
      <c r="D1141" s="11" t="s">
        <v>1187</v>
      </c>
      <c r="E1141" s="11">
        <v>6366.15</v>
      </c>
      <c r="F1141" s="3">
        <v>27317</v>
      </c>
      <c r="G1141" s="2" t="s">
        <v>1061</v>
      </c>
      <c r="H1141" s="3">
        <v>43053</v>
      </c>
      <c r="I1141" s="2" t="s">
        <v>19506</v>
      </c>
      <c r="J1141" s="2" t="s">
        <v>13904</v>
      </c>
      <c r="K1141" s="2" t="s">
        <v>19229</v>
      </c>
      <c r="L1141" s="82" t="s">
        <v>19512</v>
      </c>
    </row>
    <row r="1142" spans="1:12" ht="96" customHeight="1" x14ac:dyDescent="0.3">
      <c r="A1142" s="2">
        <v>1138</v>
      </c>
      <c r="B1142" s="66" t="s">
        <v>929</v>
      </c>
      <c r="C1142" s="66"/>
      <c r="D1142" s="11" t="s">
        <v>1187</v>
      </c>
      <c r="E1142" s="11">
        <v>6366.15</v>
      </c>
      <c r="F1142" s="3">
        <v>27225</v>
      </c>
      <c r="G1142" s="2" t="s">
        <v>1061</v>
      </c>
      <c r="H1142" s="3">
        <v>43053</v>
      </c>
      <c r="I1142" s="2" t="s">
        <v>19506</v>
      </c>
      <c r="J1142" s="2" t="s">
        <v>13904</v>
      </c>
      <c r="K1142" s="2" t="s">
        <v>19229</v>
      </c>
      <c r="L1142" s="82" t="s">
        <v>19512</v>
      </c>
    </row>
    <row r="1143" spans="1:12" ht="96" customHeight="1" x14ac:dyDescent="0.3">
      <c r="A1143" s="2">
        <v>1139</v>
      </c>
      <c r="B1143" s="66" t="s">
        <v>929</v>
      </c>
      <c r="C1143" s="66"/>
      <c r="D1143" s="11" t="s">
        <v>1189</v>
      </c>
      <c r="E1143" s="11">
        <v>5420.58</v>
      </c>
      <c r="F1143" s="3">
        <v>27695</v>
      </c>
      <c r="G1143" s="2" t="s">
        <v>1061</v>
      </c>
      <c r="H1143" s="3">
        <v>43053</v>
      </c>
      <c r="I1143" s="2" t="s">
        <v>19506</v>
      </c>
      <c r="J1143" s="2" t="s">
        <v>13904</v>
      </c>
      <c r="K1143" s="2" t="s">
        <v>19229</v>
      </c>
      <c r="L1143" s="82" t="s">
        <v>19512</v>
      </c>
    </row>
    <row r="1144" spans="1:12" ht="96" customHeight="1" x14ac:dyDescent="0.3">
      <c r="A1144" s="2">
        <v>1140</v>
      </c>
      <c r="B1144" s="66" t="s">
        <v>1124</v>
      </c>
      <c r="C1144" s="66"/>
      <c r="D1144" s="11" t="s">
        <v>1190</v>
      </c>
      <c r="E1144" s="11">
        <v>6364.86</v>
      </c>
      <c r="F1144" s="3">
        <v>27695</v>
      </c>
      <c r="G1144" s="2" t="s">
        <v>1061</v>
      </c>
      <c r="H1144" s="3">
        <v>43053</v>
      </c>
      <c r="I1144" s="2" t="s">
        <v>19506</v>
      </c>
      <c r="J1144" s="2" t="s">
        <v>13904</v>
      </c>
      <c r="K1144" s="2" t="s">
        <v>19229</v>
      </c>
      <c r="L1144" s="82" t="s">
        <v>19512</v>
      </c>
    </row>
    <row r="1145" spans="1:12" ht="96" customHeight="1" x14ac:dyDescent="0.3">
      <c r="A1145" s="2">
        <v>1141</v>
      </c>
      <c r="B1145" s="66" t="s">
        <v>1124</v>
      </c>
      <c r="C1145" s="66"/>
      <c r="D1145" s="11" t="s">
        <v>1187</v>
      </c>
      <c r="E1145" s="11">
        <v>6366.15</v>
      </c>
      <c r="F1145" s="3">
        <v>27695</v>
      </c>
      <c r="G1145" s="2" t="s">
        <v>1061</v>
      </c>
      <c r="H1145" s="3">
        <v>43053</v>
      </c>
      <c r="I1145" s="2" t="s">
        <v>19506</v>
      </c>
      <c r="J1145" s="2" t="s">
        <v>13904</v>
      </c>
      <c r="K1145" s="2" t="s">
        <v>19229</v>
      </c>
      <c r="L1145" s="82" t="s">
        <v>19512</v>
      </c>
    </row>
    <row r="1146" spans="1:12" ht="96" customHeight="1" x14ac:dyDescent="0.3">
      <c r="A1146" s="2">
        <v>1142</v>
      </c>
      <c r="B1146" s="66" t="s">
        <v>1124</v>
      </c>
      <c r="C1146" s="66"/>
      <c r="D1146" s="11" t="s">
        <v>1187</v>
      </c>
      <c r="E1146" s="11">
        <v>6366.15</v>
      </c>
      <c r="F1146" s="3">
        <v>27695</v>
      </c>
      <c r="G1146" s="2" t="s">
        <v>1061</v>
      </c>
      <c r="H1146" s="3">
        <v>43053</v>
      </c>
      <c r="I1146" s="2" t="s">
        <v>19506</v>
      </c>
      <c r="J1146" s="2" t="s">
        <v>13904</v>
      </c>
      <c r="K1146" s="2" t="s">
        <v>19229</v>
      </c>
      <c r="L1146" s="82" t="s">
        <v>19512</v>
      </c>
    </row>
    <row r="1147" spans="1:12" ht="96" customHeight="1" x14ac:dyDescent="0.3">
      <c r="A1147" s="2">
        <v>1143</v>
      </c>
      <c r="B1147" s="66" t="s">
        <v>1124</v>
      </c>
      <c r="C1147" s="66"/>
      <c r="D1147" s="11" t="s">
        <v>1190</v>
      </c>
      <c r="E1147" s="11">
        <v>6364.86</v>
      </c>
      <c r="F1147" s="3">
        <v>27695</v>
      </c>
      <c r="G1147" s="2" t="s">
        <v>1061</v>
      </c>
      <c r="H1147" s="3">
        <v>43053</v>
      </c>
      <c r="I1147" s="2" t="s">
        <v>19506</v>
      </c>
      <c r="J1147" s="2" t="s">
        <v>13904</v>
      </c>
      <c r="K1147" s="2" t="s">
        <v>19229</v>
      </c>
      <c r="L1147" s="82" t="s">
        <v>19512</v>
      </c>
    </row>
    <row r="1148" spans="1:12" ht="96" customHeight="1" x14ac:dyDescent="0.3">
      <c r="A1148" s="2">
        <v>1144</v>
      </c>
      <c r="B1148" s="66" t="s">
        <v>1124</v>
      </c>
      <c r="C1148" s="66"/>
      <c r="D1148" s="11" t="s">
        <v>1187</v>
      </c>
      <c r="E1148" s="11">
        <v>6366.15</v>
      </c>
      <c r="F1148" s="3">
        <v>27695</v>
      </c>
      <c r="G1148" s="2" t="s">
        <v>1061</v>
      </c>
      <c r="H1148" s="3">
        <v>43053</v>
      </c>
      <c r="I1148" s="2" t="s">
        <v>19506</v>
      </c>
      <c r="J1148" s="2" t="s">
        <v>13904</v>
      </c>
      <c r="K1148" s="2" t="s">
        <v>19229</v>
      </c>
      <c r="L1148" s="82" t="s">
        <v>19512</v>
      </c>
    </row>
    <row r="1149" spans="1:12" ht="96" customHeight="1" x14ac:dyDescent="0.3">
      <c r="A1149" s="2">
        <v>1145</v>
      </c>
      <c r="B1149" s="66" t="s">
        <v>1124</v>
      </c>
      <c r="C1149" s="66"/>
      <c r="D1149" s="11" t="s">
        <v>1187</v>
      </c>
      <c r="E1149" s="11">
        <v>6366.15</v>
      </c>
      <c r="F1149" s="3">
        <v>27695</v>
      </c>
      <c r="G1149" s="2" t="s">
        <v>1061</v>
      </c>
      <c r="H1149" s="3">
        <v>43053</v>
      </c>
      <c r="I1149" s="2" t="s">
        <v>19506</v>
      </c>
      <c r="J1149" s="2" t="s">
        <v>13904</v>
      </c>
      <c r="K1149" s="2" t="s">
        <v>19229</v>
      </c>
      <c r="L1149" s="82" t="s">
        <v>19512</v>
      </c>
    </row>
    <row r="1150" spans="1:12" ht="96" customHeight="1" x14ac:dyDescent="0.3">
      <c r="A1150" s="2">
        <v>1146</v>
      </c>
      <c r="B1150" s="66" t="s">
        <v>1125</v>
      </c>
      <c r="C1150" s="66"/>
      <c r="D1150" s="11" t="s">
        <v>1191</v>
      </c>
      <c r="E1150" s="11">
        <v>5184.51</v>
      </c>
      <c r="F1150" s="3">
        <v>26080</v>
      </c>
      <c r="G1150" s="2" t="s">
        <v>1061</v>
      </c>
      <c r="H1150" s="3">
        <v>43053</v>
      </c>
      <c r="I1150" s="2" t="s">
        <v>19506</v>
      </c>
      <c r="J1150" s="2" t="s">
        <v>13904</v>
      </c>
      <c r="K1150" s="2" t="s">
        <v>19229</v>
      </c>
      <c r="L1150" s="82" t="s">
        <v>19512</v>
      </c>
    </row>
    <row r="1151" spans="1:12" ht="96" customHeight="1" x14ac:dyDescent="0.3">
      <c r="A1151" s="2">
        <v>1147</v>
      </c>
      <c r="B1151" s="66" t="s">
        <v>1126</v>
      </c>
      <c r="C1151" s="66"/>
      <c r="D1151" s="11" t="s">
        <v>1192</v>
      </c>
      <c r="E1151" s="11">
        <v>4164.12</v>
      </c>
      <c r="F1151" s="3">
        <v>35396</v>
      </c>
      <c r="G1151" s="2" t="s">
        <v>1061</v>
      </c>
      <c r="H1151" s="3">
        <v>43053</v>
      </c>
      <c r="I1151" s="2" t="s">
        <v>19506</v>
      </c>
      <c r="J1151" s="2" t="s">
        <v>13904</v>
      </c>
      <c r="K1151" s="2" t="s">
        <v>19229</v>
      </c>
      <c r="L1151" s="82" t="s">
        <v>19512</v>
      </c>
    </row>
    <row r="1152" spans="1:12" ht="96" customHeight="1" x14ac:dyDescent="0.3">
      <c r="A1152" s="2">
        <v>1148</v>
      </c>
      <c r="B1152" s="66" t="s">
        <v>1127</v>
      </c>
      <c r="C1152" s="66"/>
      <c r="D1152" s="11" t="s">
        <v>1193</v>
      </c>
      <c r="E1152" s="11">
        <v>15321.33</v>
      </c>
      <c r="F1152" s="3">
        <v>27506</v>
      </c>
      <c r="G1152" s="2" t="s">
        <v>1061</v>
      </c>
      <c r="H1152" s="3">
        <v>43053</v>
      </c>
      <c r="I1152" s="2" t="s">
        <v>19506</v>
      </c>
      <c r="J1152" s="2" t="s">
        <v>13904</v>
      </c>
      <c r="K1152" s="2" t="s">
        <v>19229</v>
      </c>
      <c r="L1152" s="82" t="s">
        <v>19512</v>
      </c>
    </row>
    <row r="1153" spans="1:12" ht="96" customHeight="1" x14ac:dyDescent="0.3">
      <c r="A1153" s="2">
        <v>1149</v>
      </c>
      <c r="B1153" s="66" t="s">
        <v>1127</v>
      </c>
      <c r="C1153" s="66"/>
      <c r="D1153" s="11" t="s">
        <v>1193</v>
      </c>
      <c r="E1153" s="11">
        <v>15321.33</v>
      </c>
      <c r="F1153" s="3">
        <v>27506</v>
      </c>
      <c r="G1153" s="2" t="s">
        <v>1061</v>
      </c>
      <c r="H1153" s="3">
        <v>43053</v>
      </c>
      <c r="I1153" s="2" t="s">
        <v>19506</v>
      </c>
      <c r="J1153" s="2" t="s">
        <v>13904</v>
      </c>
      <c r="K1153" s="2" t="s">
        <v>19229</v>
      </c>
      <c r="L1153" s="82" t="s">
        <v>19512</v>
      </c>
    </row>
    <row r="1154" spans="1:12" ht="96" customHeight="1" x14ac:dyDescent="0.3">
      <c r="A1154" s="2">
        <v>1150</v>
      </c>
      <c r="B1154" s="66" t="s">
        <v>1128</v>
      </c>
      <c r="C1154" s="66"/>
      <c r="D1154" s="11" t="s">
        <v>1194</v>
      </c>
      <c r="E1154" s="11">
        <v>5917.23</v>
      </c>
      <c r="F1154" s="3">
        <v>34591</v>
      </c>
      <c r="G1154" s="2" t="s">
        <v>1061</v>
      </c>
      <c r="H1154" s="3">
        <v>43053</v>
      </c>
      <c r="I1154" s="2" t="s">
        <v>19506</v>
      </c>
      <c r="J1154" s="2" t="s">
        <v>13904</v>
      </c>
      <c r="K1154" s="2" t="s">
        <v>19229</v>
      </c>
      <c r="L1154" s="82" t="s">
        <v>19512</v>
      </c>
    </row>
    <row r="1155" spans="1:12" ht="96" customHeight="1" x14ac:dyDescent="0.3">
      <c r="A1155" s="2">
        <v>1151</v>
      </c>
      <c r="B1155" s="66" t="s">
        <v>1129</v>
      </c>
      <c r="C1155" s="66"/>
      <c r="D1155" s="11" t="s">
        <v>1195</v>
      </c>
      <c r="E1155" s="11">
        <v>10800</v>
      </c>
      <c r="F1155" s="3">
        <v>39430</v>
      </c>
      <c r="G1155" s="2" t="s">
        <v>1061</v>
      </c>
      <c r="H1155" s="3">
        <v>43053</v>
      </c>
      <c r="I1155" s="2" t="s">
        <v>19506</v>
      </c>
      <c r="J1155" s="2" t="s">
        <v>13904</v>
      </c>
      <c r="K1155" s="2" t="s">
        <v>19229</v>
      </c>
      <c r="L1155" s="82" t="s">
        <v>19512</v>
      </c>
    </row>
    <row r="1156" spans="1:12" ht="96" customHeight="1" x14ac:dyDescent="0.3">
      <c r="A1156" s="2">
        <v>1152</v>
      </c>
      <c r="B1156" s="66" t="s">
        <v>1130</v>
      </c>
      <c r="C1156" s="66"/>
      <c r="D1156" s="11" t="s">
        <v>1196</v>
      </c>
      <c r="E1156" s="11">
        <v>39461.1</v>
      </c>
      <c r="F1156" s="3">
        <v>37196</v>
      </c>
      <c r="G1156" s="2" t="s">
        <v>1061</v>
      </c>
      <c r="H1156" s="3">
        <v>43053</v>
      </c>
      <c r="I1156" s="2" t="s">
        <v>19506</v>
      </c>
      <c r="J1156" s="2" t="s">
        <v>13904</v>
      </c>
      <c r="K1156" s="2" t="s">
        <v>19229</v>
      </c>
      <c r="L1156" s="82" t="s">
        <v>19512</v>
      </c>
    </row>
    <row r="1157" spans="1:12" ht="96" customHeight="1" x14ac:dyDescent="0.3">
      <c r="A1157" s="2">
        <v>1153</v>
      </c>
      <c r="B1157" s="66" t="s">
        <v>1131</v>
      </c>
      <c r="C1157" s="66"/>
      <c r="D1157" s="11" t="s">
        <v>1197</v>
      </c>
      <c r="E1157" s="11">
        <v>7044.69</v>
      </c>
      <c r="F1157" s="3">
        <v>34178</v>
      </c>
      <c r="G1157" s="2" t="s">
        <v>1061</v>
      </c>
      <c r="H1157" s="3">
        <v>43053</v>
      </c>
      <c r="I1157" s="2" t="s">
        <v>19506</v>
      </c>
      <c r="J1157" s="2" t="s">
        <v>13904</v>
      </c>
      <c r="K1157" s="2" t="s">
        <v>19229</v>
      </c>
      <c r="L1157" s="82" t="s">
        <v>19512</v>
      </c>
    </row>
    <row r="1158" spans="1:12" ht="96" customHeight="1" x14ac:dyDescent="0.3">
      <c r="A1158" s="2">
        <v>1154</v>
      </c>
      <c r="B1158" s="66" t="s">
        <v>1132</v>
      </c>
      <c r="C1158" s="66"/>
      <c r="D1158" s="11" t="s">
        <v>1198</v>
      </c>
      <c r="E1158" s="11">
        <v>10977.9</v>
      </c>
      <c r="F1158" s="3">
        <v>37209</v>
      </c>
      <c r="G1158" s="2" t="s">
        <v>1061</v>
      </c>
      <c r="H1158" s="3">
        <v>43053</v>
      </c>
      <c r="I1158" s="2" t="s">
        <v>19506</v>
      </c>
      <c r="J1158" s="2" t="s">
        <v>13904</v>
      </c>
      <c r="K1158" s="2" t="s">
        <v>19229</v>
      </c>
      <c r="L1158" s="82" t="s">
        <v>19512</v>
      </c>
    </row>
    <row r="1159" spans="1:12" ht="96" customHeight="1" x14ac:dyDescent="0.3">
      <c r="A1159" s="2">
        <v>1155</v>
      </c>
      <c r="B1159" s="66" t="s">
        <v>1132</v>
      </c>
      <c r="C1159" s="66"/>
      <c r="D1159" s="11" t="s">
        <v>1198</v>
      </c>
      <c r="E1159" s="11">
        <v>10977.9</v>
      </c>
      <c r="F1159" s="3">
        <v>37209</v>
      </c>
      <c r="G1159" s="2" t="s">
        <v>1061</v>
      </c>
      <c r="H1159" s="3">
        <v>43053</v>
      </c>
      <c r="I1159" s="2" t="s">
        <v>19506</v>
      </c>
      <c r="J1159" s="2" t="s">
        <v>13904</v>
      </c>
      <c r="K1159" s="2" t="s">
        <v>19229</v>
      </c>
      <c r="L1159" s="82" t="s">
        <v>19512</v>
      </c>
    </row>
    <row r="1160" spans="1:12" ht="96" customHeight="1" x14ac:dyDescent="0.3">
      <c r="A1160" s="2">
        <v>1156</v>
      </c>
      <c r="B1160" s="66" t="s">
        <v>1133</v>
      </c>
      <c r="C1160" s="66"/>
      <c r="D1160" s="11" t="s">
        <v>1199</v>
      </c>
      <c r="E1160" s="11">
        <v>7378.8</v>
      </c>
      <c r="F1160" s="3">
        <v>36218</v>
      </c>
      <c r="G1160" s="2" t="s">
        <v>1061</v>
      </c>
      <c r="H1160" s="3">
        <v>43053</v>
      </c>
      <c r="I1160" s="2" t="s">
        <v>19506</v>
      </c>
      <c r="J1160" s="2" t="s">
        <v>13904</v>
      </c>
      <c r="K1160" s="2" t="s">
        <v>19229</v>
      </c>
      <c r="L1160" s="82" t="s">
        <v>19512</v>
      </c>
    </row>
    <row r="1161" spans="1:12" ht="96" customHeight="1" x14ac:dyDescent="0.3">
      <c r="A1161" s="2">
        <v>1157</v>
      </c>
      <c r="B1161" s="66" t="s">
        <v>1134</v>
      </c>
      <c r="C1161" s="66"/>
      <c r="D1161" s="11" t="s">
        <v>1200</v>
      </c>
      <c r="E1161" s="11">
        <v>12230.49</v>
      </c>
      <c r="F1161" s="3">
        <v>31708</v>
      </c>
      <c r="G1161" s="2" t="s">
        <v>1061</v>
      </c>
      <c r="H1161" s="3">
        <v>43053</v>
      </c>
      <c r="I1161" s="2" t="s">
        <v>19506</v>
      </c>
      <c r="J1161" s="2" t="s">
        <v>13904</v>
      </c>
      <c r="K1161" s="2" t="s">
        <v>19229</v>
      </c>
      <c r="L1161" s="82" t="s">
        <v>19512</v>
      </c>
    </row>
    <row r="1162" spans="1:12" ht="96" customHeight="1" x14ac:dyDescent="0.3">
      <c r="A1162" s="2">
        <v>1158</v>
      </c>
      <c r="B1162" s="66" t="s">
        <v>1120</v>
      </c>
      <c r="C1162" s="66"/>
      <c r="D1162" s="11" t="s">
        <v>1183</v>
      </c>
      <c r="E1162" s="11">
        <v>3500</v>
      </c>
      <c r="F1162" s="3">
        <v>39443</v>
      </c>
      <c r="G1162" s="2" t="s">
        <v>1061</v>
      </c>
      <c r="H1162" s="3">
        <v>43053</v>
      </c>
      <c r="I1162" s="2" t="s">
        <v>19506</v>
      </c>
      <c r="J1162" s="2" t="s">
        <v>13904</v>
      </c>
      <c r="K1162" s="2" t="s">
        <v>19229</v>
      </c>
      <c r="L1162" s="82" t="s">
        <v>19512</v>
      </c>
    </row>
    <row r="1163" spans="1:12" ht="96" customHeight="1" x14ac:dyDescent="0.3">
      <c r="A1163" s="2">
        <v>1159</v>
      </c>
      <c r="B1163" s="66" t="s">
        <v>263</v>
      </c>
      <c r="C1163" s="66"/>
      <c r="D1163" s="11" t="s">
        <v>997</v>
      </c>
      <c r="E1163" s="11">
        <v>10200</v>
      </c>
      <c r="F1163" s="3">
        <v>41561</v>
      </c>
      <c r="G1163" s="2" t="s">
        <v>1061</v>
      </c>
      <c r="H1163" s="3">
        <v>43053</v>
      </c>
      <c r="I1163" s="2" t="s">
        <v>19506</v>
      </c>
      <c r="J1163" s="2" t="s">
        <v>13904</v>
      </c>
      <c r="K1163" s="2" t="s">
        <v>19229</v>
      </c>
      <c r="L1163" s="82" t="s">
        <v>19512</v>
      </c>
    </row>
    <row r="1164" spans="1:12" ht="96" customHeight="1" x14ac:dyDescent="0.3">
      <c r="A1164" s="2">
        <v>1160</v>
      </c>
      <c r="B1164" s="66" t="s">
        <v>1201</v>
      </c>
      <c r="C1164" s="66"/>
      <c r="D1164" s="11" t="s">
        <v>1237</v>
      </c>
      <c r="E1164" s="11">
        <v>8184.16</v>
      </c>
      <c r="F1164" s="3">
        <v>41696</v>
      </c>
      <c r="G1164" s="2" t="s">
        <v>1061</v>
      </c>
      <c r="H1164" s="3">
        <v>43053</v>
      </c>
      <c r="I1164" s="2" t="s">
        <v>19506</v>
      </c>
      <c r="J1164" s="2" t="s">
        <v>13904</v>
      </c>
      <c r="K1164" s="2" t="s">
        <v>19229</v>
      </c>
      <c r="L1164" s="82" t="s">
        <v>19512</v>
      </c>
    </row>
    <row r="1165" spans="1:12" ht="96" customHeight="1" x14ac:dyDescent="0.3">
      <c r="A1165" s="2">
        <v>1161</v>
      </c>
      <c r="B1165" s="66" t="s">
        <v>263</v>
      </c>
      <c r="C1165" s="66"/>
      <c r="D1165" s="11" t="s">
        <v>1238</v>
      </c>
      <c r="E1165" s="11">
        <v>9249.2199999999993</v>
      </c>
      <c r="F1165" s="3">
        <v>41696</v>
      </c>
      <c r="G1165" s="2" t="s">
        <v>1061</v>
      </c>
      <c r="H1165" s="3">
        <v>43053</v>
      </c>
      <c r="I1165" s="2" t="s">
        <v>19506</v>
      </c>
      <c r="J1165" s="2" t="s">
        <v>13904</v>
      </c>
      <c r="K1165" s="2" t="s">
        <v>19229</v>
      </c>
      <c r="L1165" s="82" t="s">
        <v>19512</v>
      </c>
    </row>
    <row r="1166" spans="1:12" ht="96" customHeight="1" x14ac:dyDescent="0.3">
      <c r="A1166" s="2">
        <v>1162</v>
      </c>
      <c r="B1166" s="66" t="s">
        <v>1202</v>
      </c>
      <c r="C1166" s="66"/>
      <c r="D1166" s="11" t="s">
        <v>1239</v>
      </c>
      <c r="E1166" s="11">
        <v>3480</v>
      </c>
      <c r="F1166" s="3">
        <v>41995</v>
      </c>
      <c r="G1166" s="2" t="s">
        <v>1061</v>
      </c>
      <c r="H1166" s="3">
        <v>43053</v>
      </c>
      <c r="I1166" s="2" t="s">
        <v>19506</v>
      </c>
      <c r="J1166" s="2" t="s">
        <v>13904</v>
      </c>
      <c r="K1166" s="2" t="s">
        <v>19229</v>
      </c>
      <c r="L1166" s="82" t="s">
        <v>19512</v>
      </c>
    </row>
    <row r="1167" spans="1:12" ht="96" customHeight="1" x14ac:dyDescent="0.3">
      <c r="A1167" s="2">
        <v>1163</v>
      </c>
      <c r="B1167" s="66" t="s">
        <v>1202</v>
      </c>
      <c r="C1167" s="66"/>
      <c r="D1167" s="11" t="s">
        <v>1240</v>
      </c>
      <c r="E1167" s="11">
        <v>3248</v>
      </c>
      <c r="F1167" s="3">
        <v>41995</v>
      </c>
      <c r="G1167" s="2" t="s">
        <v>1061</v>
      </c>
      <c r="H1167" s="3">
        <v>43053</v>
      </c>
      <c r="I1167" s="2" t="s">
        <v>19506</v>
      </c>
      <c r="J1167" s="2" t="s">
        <v>13904</v>
      </c>
      <c r="K1167" s="2" t="s">
        <v>19229</v>
      </c>
      <c r="L1167" s="82" t="s">
        <v>19512</v>
      </c>
    </row>
    <row r="1168" spans="1:12" ht="96" customHeight="1" x14ac:dyDescent="0.3">
      <c r="A1168" s="2">
        <v>1164</v>
      </c>
      <c r="B1168" s="66" t="s">
        <v>1202</v>
      </c>
      <c r="C1168" s="66"/>
      <c r="D1168" s="11" t="s">
        <v>1240</v>
      </c>
      <c r="E1168" s="11">
        <v>3248</v>
      </c>
      <c r="F1168" s="3">
        <v>41995</v>
      </c>
      <c r="G1168" s="2" t="s">
        <v>1061</v>
      </c>
      <c r="H1168" s="3">
        <v>43053</v>
      </c>
      <c r="I1168" s="2" t="s">
        <v>19506</v>
      </c>
      <c r="J1168" s="2" t="s">
        <v>13904</v>
      </c>
      <c r="K1168" s="2" t="s">
        <v>19229</v>
      </c>
      <c r="L1168" s="82" t="s">
        <v>19512</v>
      </c>
    </row>
    <row r="1169" spans="1:12" ht="96" customHeight="1" x14ac:dyDescent="0.3">
      <c r="A1169" s="2">
        <v>1165</v>
      </c>
      <c r="B1169" s="66" t="s">
        <v>1203</v>
      </c>
      <c r="C1169" s="66"/>
      <c r="D1169" s="11" t="s">
        <v>1241</v>
      </c>
      <c r="E1169" s="11">
        <v>10500</v>
      </c>
      <c r="F1169" s="3">
        <v>41600</v>
      </c>
      <c r="G1169" s="2" t="s">
        <v>1061</v>
      </c>
      <c r="H1169" s="3">
        <v>43053</v>
      </c>
      <c r="I1169" s="2" t="s">
        <v>19506</v>
      </c>
      <c r="J1169" s="2" t="s">
        <v>13904</v>
      </c>
      <c r="K1169" s="2" t="s">
        <v>19229</v>
      </c>
      <c r="L1169" s="82" t="s">
        <v>19512</v>
      </c>
    </row>
    <row r="1170" spans="1:12" ht="96" customHeight="1" x14ac:dyDescent="0.3">
      <c r="A1170" s="2">
        <v>1166</v>
      </c>
      <c r="B1170" s="66" t="s">
        <v>1204</v>
      </c>
      <c r="C1170" s="66"/>
      <c r="D1170" s="11" t="s">
        <v>1242</v>
      </c>
      <c r="E1170" s="11">
        <v>7076</v>
      </c>
      <c r="F1170" s="3">
        <v>37980</v>
      </c>
      <c r="G1170" s="2" t="s">
        <v>1061</v>
      </c>
      <c r="H1170" s="3">
        <v>43053</v>
      </c>
      <c r="I1170" s="2" t="s">
        <v>19506</v>
      </c>
      <c r="J1170" s="2" t="s">
        <v>13904</v>
      </c>
      <c r="K1170" s="2" t="s">
        <v>19229</v>
      </c>
      <c r="L1170" s="82" t="s">
        <v>19512</v>
      </c>
    </row>
    <row r="1171" spans="1:12" ht="96" customHeight="1" x14ac:dyDescent="0.3">
      <c r="A1171" s="2">
        <v>1167</v>
      </c>
      <c r="B1171" s="66" t="s">
        <v>1205</v>
      </c>
      <c r="C1171" s="66"/>
      <c r="D1171" s="11" t="s">
        <v>1243</v>
      </c>
      <c r="E1171" s="11">
        <v>9500</v>
      </c>
      <c r="F1171" s="3">
        <v>40366</v>
      </c>
      <c r="G1171" s="2" t="s">
        <v>1061</v>
      </c>
      <c r="H1171" s="3">
        <v>43053</v>
      </c>
      <c r="I1171" s="2" t="s">
        <v>19506</v>
      </c>
      <c r="J1171" s="2" t="s">
        <v>13904</v>
      </c>
      <c r="K1171" s="2" t="s">
        <v>19229</v>
      </c>
      <c r="L1171" s="82" t="s">
        <v>19512</v>
      </c>
    </row>
    <row r="1172" spans="1:12" ht="96" customHeight="1" x14ac:dyDescent="0.3">
      <c r="A1172" s="2">
        <v>1168</v>
      </c>
      <c r="B1172" s="66" t="s">
        <v>1206</v>
      </c>
      <c r="C1172" s="66"/>
      <c r="D1172" s="11" t="s">
        <v>1244</v>
      </c>
      <c r="E1172" s="11">
        <v>36976.19</v>
      </c>
      <c r="F1172" s="3">
        <v>39813</v>
      </c>
      <c r="G1172" s="2" t="s">
        <v>1061</v>
      </c>
      <c r="H1172" s="3">
        <v>43053</v>
      </c>
      <c r="I1172" s="2" t="s">
        <v>19506</v>
      </c>
      <c r="J1172" s="2" t="s">
        <v>13904</v>
      </c>
      <c r="K1172" s="2" t="s">
        <v>19229</v>
      </c>
      <c r="L1172" s="82" t="s">
        <v>19512</v>
      </c>
    </row>
    <row r="1173" spans="1:12" ht="96" customHeight="1" x14ac:dyDescent="0.3">
      <c r="A1173" s="2">
        <v>1169</v>
      </c>
      <c r="B1173" s="66" t="s">
        <v>1207</v>
      </c>
      <c r="C1173" s="66"/>
      <c r="D1173" s="11" t="s">
        <v>1245</v>
      </c>
      <c r="E1173" s="11">
        <v>5380</v>
      </c>
      <c r="F1173" s="3">
        <v>39783</v>
      </c>
      <c r="G1173" s="2" t="s">
        <v>1061</v>
      </c>
      <c r="H1173" s="3">
        <v>43053</v>
      </c>
      <c r="I1173" s="2" t="s">
        <v>19506</v>
      </c>
      <c r="J1173" s="2" t="s">
        <v>13904</v>
      </c>
      <c r="K1173" s="2" t="s">
        <v>19229</v>
      </c>
      <c r="L1173" s="82" t="s">
        <v>19512</v>
      </c>
    </row>
    <row r="1174" spans="1:12" ht="96" customHeight="1" x14ac:dyDescent="0.3">
      <c r="A1174" s="2">
        <v>1170</v>
      </c>
      <c r="B1174" s="66" t="s">
        <v>1208</v>
      </c>
      <c r="C1174" s="66"/>
      <c r="D1174" s="11" t="s">
        <v>1246</v>
      </c>
      <c r="E1174" s="11">
        <v>7969</v>
      </c>
      <c r="F1174" s="3">
        <v>40459</v>
      </c>
      <c r="G1174" s="2" t="s">
        <v>1061</v>
      </c>
      <c r="H1174" s="3">
        <v>43053</v>
      </c>
      <c r="I1174" s="2" t="s">
        <v>19506</v>
      </c>
      <c r="J1174" s="2" t="s">
        <v>13904</v>
      </c>
      <c r="K1174" s="2" t="s">
        <v>19229</v>
      </c>
      <c r="L1174" s="82" t="s">
        <v>19512</v>
      </c>
    </row>
    <row r="1175" spans="1:12" ht="96" customHeight="1" x14ac:dyDescent="0.3">
      <c r="A1175" s="2">
        <v>1171</v>
      </c>
      <c r="B1175" s="66" t="s">
        <v>1209</v>
      </c>
      <c r="C1175" s="66"/>
      <c r="D1175" s="11" t="s">
        <v>1247</v>
      </c>
      <c r="E1175" s="11">
        <v>7531.02</v>
      </c>
      <c r="F1175" s="3">
        <v>37504</v>
      </c>
      <c r="G1175" s="2" t="s">
        <v>1061</v>
      </c>
      <c r="H1175" s="3">
        <v>43053</v>
      </c>
      <c r="I1175" s="2" t="s">
        <v>19506</v>
      </c>
      <c r="J1175" s="2" t="s">
        <v>13904</v>
      </c>
      <c r="K1175" s="2" t="s">
        <v>19229</v>
      </c>
      <c r="L1175" s="82" t="s">
        <v>19512</v>
      </c>
    </row>
    <row r="1176" spans="1:12" ht="96" customHeight="1" x14ac:dyDescent="0.3">
      <c r="A1176" s="2">
        <v>1172</v>
      </c>
      <c r="B1176" s="66" t="s">
        <v>1202</v>
      </c>
      <c r="C1176" s="66"/>
      <c r="D1176" s="11" t="s">
        <v>1248</v>
      </c>
      <c r="E1176" s="11">
        <v>5358</v>
      </c>
      <c r="F1176" s="3">
        <v>38253</v>
      </c>
      <c r="G1176" s="2" t="s">
        <v>1061</v>
      </c>
      <c r="H1176" s="3">
        <v>43053</v>
      </c>
      <c r="I1176" s="2" t="s">
        <v>19506</v>
      </c>
      <c r="J1176" s="2" t="s">
        <v>13904</v>
      </c>
      <c r="K1176" s="2" t="s">
        <v>19229</v>
      </c>
      <c r="L1176" s="82" t="s">
        <v>19512</v>
      </c>
    </row>
    <row r="1177" spans="1:12" ht="96" customHeight="1" x14ac:dyDescent="0.3">
      <c r="A1177" s="2">
        <v>1173</v>
      </c>
      <c r="B1177" s="66" t="s">
        <v>1210</v>
      </c>
      <c r="C1177" s="66"/>
      <c r="D1177" s="11" t="s">
        <v>1249</v>
      </c>
      <c r="E1177" s="11">
        <v>24090</v>
      </c>
      <c r="F1177" s="3">
        <v>39570</v>
      </c>
      <c r="G1177" s="2" t="s">
        <v>1061</v>
      </c>
      <c r="H1177" s="3">
        <v>43053</v>
      </c>
      <c r="I1177" s="2" t="s">
        <v>19506</v>
      </c>
      <c r="J1177" s="2" t="s">
        <v>13904</v>
      </c>
      <c r="K1177" s="2" t="s">
        <v>19229</v>
      </c>
      <c r="L1177" s="82" t="s">
        <v>19512</v>
      </c>
    </row>
    <row r="1178" spans="1:12" ht="96" customHeight="1" x14ac:dyDescent="0.3">
      <c r="A1178" s="2">
        <v>1174</v>
      </c>
      <c r="B1178" s="66" t="s">
        <v>1210</v>
      </c>
      <c r="C1178" s="66"/>
      <c r="D1178" s="11" t="s">
        <v>1250</v>
      </c>
      <c r="E1178" s="11">
        <v>8100</v>
      </c>
      <c r="F1178" s="3">
        <v>40168</v>
      </c>
      <c r="G1178" s="2" t="s">
        <v>1061</v>
      </c>
      <c r="H1178" s="3">
        <v>43053</v>
      </c>
      <c r="I1178" s="2" t="s">
        <v>19506</v>
      </c>
      <c r="J1178" s="2" t="s">
        <v>13904</v>
      </c>
      <c r="K1178" s="2" t="s">
        <v>19229</v>
      </c>
      <c r="L1178" s="82" t="s">
        <v>19512</v>
      </c>
    </row>
    <row r="1179" spans="1:12" ht="96" customHeight="1" x14ac:dyDescent="0.3">
      <c r="A1179" s="2">
        <v>1175</v>
      </c>
      <c r="B1179" s="66" t="s">
        <v>1211</v>
      </c>
      <c r="C1179" s="66"/>
      <c r="D1179" s="11" t="s">
        <v>1251</v>
      </c>
      <c r="E1179" s="11">
        <v>4320</v>
      </c>
      <c r="F1179" s="3">
        <v>40168</v>
      </c>
      <c r="G1179" s="2" t="s">
        <v>1061</v>
      </c>
      <c r="H1179" s="3">
        <v>43053</v>
      </c>
      <c r="I1179" s="2" t="s">
        <v>19506</v>
      </c>
      <c r="J1179" s="2" t="s">
        <v>13904</v>
      </c>
      <c r="K1179" s="2" t="s">
        <v>19229</v>
      </c>
      <c r="L1179" s="82" t="s">
        <v>19512</v>
      </c>
    </row>
    <row r="1180" spans="1:12" ht="96" customHeight="1" x14ac:dyDescent="0.3">
      <c r="A1180" s="2">
        <v>1176</v>
      </c>
      <c r="B1180" s="66" t="s">
        <v>1212</v>
      </c>
      <c r="C1180" s="66"/>
      <c r="D1180" s="11" t="s">
        <v>1252</v>
      </c>
      <c r="E1180" s="11">
        <v>10890</v>
      </c>
      <c r="F1180" s="3">
        <v>39570</v>
      </c>
      <c r="G1180" s="2" t="s">
        <v>1061</v>
      </c>
      <c r="H1180" s="3">
        <v>43053</v>
      </c>
      <c r="I1180" s="2" t="s">
        <v>19506</v>
      </c>
      <c r="J1180" s="2" t="s">
        <v>13904</v>
      </c>
      <c r="K1180" s="2" t="s">
        <v>19229</v>
      </c>
      <c r="L1180" s="82" t="s">
        <v>19512</v>
      </c>
    </row>
    <row r="1181" spans="1:12" ht="96" customHeight="1" x14ac:dyDescent="0.3">
      <c r="A1181" s="2">
        <v>1177</v>
      </c>
      <c r="B1181" s="66" t="s">
        <v>1213</v>
      </c>
      <c r="C1181" s="66"/>
      <c r="D1181" s="11" t="s">
        <v>1253</v>
      </c>
      <c r="E1181" s="11">
        <v>4200</v>
      </c>
      <c r="F1181" s="3">
        <v>39783</v>
      </c>
      <c r="G1181" s="2" t="s">
        <v>1061</v>
      </c>
      <c r="H1181" s="3">
        <v>43053</v>
      </c>
      <c r="I1181" s="2" t="s">
        <v>19506</v>
      </c>
      <c r="J1181" s="2" t="s">
        <v>13904</v>
      </c>
      <c r="K1181" s="2" t="s">
        <v>19229</v>
      </c>
      <c r="L1181" s="82" t="s">
        <v>19512</v>
      </c>
    </row>
    <row r="1182" spans="1:12" ht="96" customHeight="1" x14ac:dyDescent="0.3">
      <c r="A1182" s="2">
        <v>1178</v>
      </c>
      <c r="B1182" s="66" t="s">
        <v>1214</v>
      </c>
      <c r="C1182" s="66"/>
      <c r="D1182" s="11" t="s">
        <v>1254</v>
      </c>
      <c r="E1182" s="11">
        <v>6200</v>
      </c>
      <c r="F1182" s="3">
        <v>39783</v>
      </c>
      <c r="G1182" s="2" t="s">
        <v>1061</v>
      </c>
      <c r="H1182" s="3">
        <v>43053</v>
      </c>
      <c r="I1182" s="2" t="s">
        <v>19506</v>
      </c>
      <c r="J1182" s="2" t="s">
        <v>13904</v>
      </c>
      <c r="K1182" s="2" t="s">
        <v>19229</v>
      </c>
      <c r="L1182" s="82" t="s">
        <v>19512</v>
      </c>
    </row>
    <row r="1183" spans="1:12" ht="96" customHeight="1" x14ac:dyDescent="0.3">
      <c r="A1183" s="2">
        <v>1179</v>
      </c>
      <c r="B1183" s="66" t="s">
        <v>1215</v>
      </c>
      <c r="C1183" s="66"/>
      <c r="D1183" s="11" t="s">
        <v>1255</v>
      </c>
      <c r="E1183" s="11">
        <v>8300</v>
      </c>
      <c r="F1183" s="3">
        <v>39198</v>
      </c>
      <c r="G1183" s="2" t="s">
        <v>1061</v>
      </c>
      <c r="H1183" s="3">
        <v>43053</v>
      </c>
      <c r="I1183" s="2" t="s">
        <v>19506</v>
      </c>
      <c r="J1183" s="2" t="s">
        <v>13904</v>
      </c>
      <c r="K1183" s="2" t="s">
        <v>19229</v>
      </c>
      <c r="L1183" s="82" t="s">
        <v>19512</v>
      </c>
    </row>
    <row r="1184" spans="1:12" ht="96" customHeight="1" x14ac:dyDescent="0.3">
      <c r="A1184" s="2">
        <v>1180</v>
      </c>
      <c r="B1184" s="66" t="s">
        <v>1216</v>
      </c>
      <c r="C1184" s="66"/>
      <c r="D1184" s="11" t="s">
        <v>1256</v>
      </c>
      <c r="E1184" s="11">
        <v>3200</v>
      </c>
      <c r="F1184" s="3">
        <v>39198</v>
      </c>
      <c r="G1184" s="2" t="s">
        <v>1061</v>
      </c>
      <c r="H1184" s="3">
        <v>43053</v>
      </c>
      <c r="I1184" s="2" t="s">
        <v>19506</v>
      </c>
      <c r="J1184" s="2" t="s">
        <v>13904</v>
      </c>
      <c r="K1184" s="2" t="s">
        <v>19229</v>
      </c>
      <c r="L1184" s="82" t="s">
        <v>19512</v>
      </c>
    </row>
    <row r="1185" spans="1:12" ht="96" customHeight="1" x14ac:dyDescent="0.3">
      <c r="A1185" s="2">
        <v>1181</v>
      </c>
      <c r="B1185" s="66" t="s">
        <v>1217</v>
      </c>
      <c r="C1185" s="66"/>
      <c r="D1185" s="11" t="s">
        <v>1257</v>
      </c>
      <c r="E1185" s="11">
        <v>8000</v>
      </c>
      <c r="F1185" s="3">
        <v>40668</v>
      </c>
      <c r="G1185" s="2" t="s">
        <v>1061</v>
      </c>
      <c r="H1185" s="3">
        <v>43053</v>
      </c>
      <c r="I1185" s="2" t="s">
        <v>19506</v>
      </c>
      <c r="J1185" s="2" t="s">
        <v>13904</v>
      </c>
      <c r="K1185" s="2" t="s">
        <v>19229</v>
      </c>
      <c r="L1185" s="82" t="s">
        <v>19512</v>
      </c>
    </row>
    <row r="1186" spans="1:12" ht="96" customHeight="1" x14ac:dyDescent="0.3">
      <c r="A1186" s="2">
        <v>1182</v>
      </c>
      <c r="B1186" s="66" t="s">
        <v>1218</v>
      </c>
      <c r="C1186" s="66"/>
      <c r="D1186" s="11" t="s">
        <v>1250</v>
      </c>
      <c r="E1186" s="11">
        <v>8100</v>
      </c>
      <c r="F1186" s="3">
        <v>40718</v>
      </c>
      <c r="G1186" s="2" t="s">
        <v>1061</v>
      </c>
      <c r="H1186" s="3">
        <v>43053</v>
      </c>
      <c r="I1186" s="2" t="s">
        <v>19506</v>
      </c>
      <c r="J1186" s="2" t="s">
        <v>13904</v>
      </c>
      <c r="K1186" s="2" t="s">
        <v>19229</v>
      </c>
      <c r="L1186" s="82" t="s">
        <v>19512</v>
      </c>
    </row>
    <row r="1187" spans="1:12" ht="96" customHeight="1" x14ac:dyDescent="0.3">
      <c r="A1187" s="2">
        <v>1183</v>
      </c>
      <c r="B1187" s="66" t="s">
        <v>1218</v>
      </c>
      <c r="C1187" s="66"/>
      <c r="D1187" s="11" t="s">
        <v>1250</v>
      </c>
      <c r="E1187" s="11">
        <v>8100</v>
      </c>
      <c r="F1187" s="3">
        <v>40718</v>
      </c>
      <c r="G1187" s="2" t="s">
        <v>1061</v>
      </c>
      <c r="H1187" s="3">
        <v>43053</v>
      </c>
      <c r="I1187" s="2" t="s">
        <v>19506</v>
      </c>
      <c r="J1187" s="2" t="s">
        <v>13904</v>
      </c>
      <c r="K1187" s="2" t="s">
        <v>19229</v>
      </c>
      <c r="L1187" s="82" t="s">
        <v>19512</v>
      </c>
    </row>
    <row r="1188" spans="1:12" ht="96" customHeight="1" x14ac:dyDescent="0.3">
      <c r="A1188" s="2">
        <v>1184</v>
      </c>
      <c r="B1188" s="66" t="s">
        <v>1219</v>
      </c>
      <c r="C1188" s="66"/>
      <c r="D1188" s="11" t="s">
        <v>1256</v>
      </c>
      <c r="E1188" s="11">
        <v>3200</v>
      </c>
      <c r="F1188" s="3">
        <v>40870</v>
      </c>
      <c r="G1188" s="2" t="s">
        <v>1061</v>
      </c>
      <c r="H1188" s="3">
        <v>43053</v>
      </c>
      <c r="I1188" s="2" t="s">
        <v>19506</v>
      </c>
      <c r="J1188" s="2" t="s">
        <v>13904</v>
      </c>
      <c r="K1188" s="2" t="s">
        <v>19229</v>
      </c>
      <c r="L1188" s="82" t="s">
        <v>19512</v>
      </c>
    </row>
    <row r="1189" spans="1:12" ht="96" customHeight="1" x14ac:dyDescent="0.3">
      <c r="A1189" s="2">
        <v>1185</v>
      </c>
      <c r="B1189" s="66" t="s">
        <v>1220</v>
      </c>
      <c r="C1189" s="66"/>
      <c r="D1189" s="11" t="s">
        <v>1256</v>
      </c>
      <c r="E1189" s="11">
        <v>3200</v>
      </c>
      <c r="F1189" s="3">
        <v>40870</v>
      </c>
      <c r="G1189" s="2" t="s">
        <v>1061</v>
      </c>
      <c r="H1189" s="3">
        <v>43053</v>
      </c>
      <c r="I1189" s="2" t="s">
        <v>19506</v>
      </c>
      <c r="J1189" s="2" t="s">
        <v>13904</v>
      </c>
      <c r="K1189" s="2" t="s">
        <v>19229</v>
      </c>
      <c r="L1189" s="82" t="s">
        <v>19512</v>
      </c>
    </row>
    <row r="1190" spans="1:12" ht="96" customHeight="1" x14ac:dyDescent="0.3">
      <c r="A1190" s="2">
        <v>1186</v>
      </c>
      <c r="B1190" s="66" t="s">
        <v>1221</v>
      </c>
      <c r="C1190" s="66"/>
      <c r="D1190" s="11" t="s">
        <v>1258</v>
      </c>
      <c r="E1190" s="11">
        <v>4130</v>
      </c>
      <c r="F1190" s="3">
        <v>41246</v>
      </c>
      <c r="G1190" s="2" t="s">
        <v>1061</v>
      </c>
      <c r="H1190" s="3">
        <v>43053</v>
      </c>
      <c r="I1190" s="2" t="s">
        <v>19506</v>
      </c>
      <c r="J1190" s="2" t="s">
        <v>13904</v>
      </c>
      <c r="K1190" s="2" t="s">
        <v>19229</v>
      </c>
      <c r="L1190" s="82" t="s">
        <v>19512</v>
      </c>
    </row>
    <row r="1191" spans="1:12" ht="96" customHeight="1" x14ac:dyDescent="0.3">
      <c r="A1191" s="2">
        <v>1187</v>
      </c>
      <c r="B1191" s="66" t="s">
        <v>1221</v>
      </c>
      <c r="C1191" s="66"/>
      <c r="D1191" s="11" t="s">
        <v>1258</v>
      </c>
      <c r="E1191" s="11">
        <v>4130</v>
      </c>
      <c r="F1191" s="3">
        <v>41246</v>
      </c>
      <c r="G1191" s="2" t="s">
        <v>1061</v>
      </c>
      <c r="H1191" s="3">
        <v>43053</v>
      </c>
      <c r="I1191" s="2" t="s">
        <v>19506</v>
      </c>
      <c r="J1191" s="2" t="s">
        <v>13904</v>
      </c>
      <c r="K1191" s="2" t="s">
        <v>19229</v>
      </c>
      <c r="L1191" s="82" t="s">
        <v>19512</v>
      </c>
    </row>
    <row r="1192" spans="1:12" ht="96" customHeight="1" x14ac:dyDescent="0.3">
      <c r="A1192" s="2">
        <v>1188</v>
      </c>
      <c r="B1192" s="66" t="s">
        <v>1222</v>
      </c>
      <c r="C1192" s="66"/>
      <c r="D1192" s="11" t="s">
        <v>1259</v>
      </c>
      <c r="E1192" s="11">
        <v>4885</v>
      </c>
      <c r="F1192" s="3">
        <v>41678</v>
      </c>
      <c r="G1192" s="2" t="s">
        <v>1061</v>
      </c>
      <c r="H1192" s="3">
        <v>43053</v>
      </c>
      <c r="I1192" s="2" t="s">
        <v>19506</v>
      </c>
      <c r="J1192" s="2" t="s">
        <v>13904</v>
      </c>
      <c r="K1192" s="2" t="s">
        <v>19229</v>
      </c>
      <c r="L1192" s="82" t="s">
        <v>19512</v>
      </c>
    </row>
    <row r="1193" spans="1:12" ht="96" customHeight="1" x14ac:dyDescent="0.3">
      <c r="A1193" s="2">
        <v>1189</v>
      </c>
      <c r="B1193" s="66" t="s">
        <v>1223</v>
      </c>
      <c r="C1193" s="66"/>
      <c r="D1193" s="11" t="s">
        <v>1260</v>
      </c>
      <c r="E1193" s="11">
        <v>10673.1</v>
      </c>
      <c r="F1193" s="3">
        <v>41584</v>
      </c>
      <c r="G1193" s="2" t="s">
        <v>1061</v>
      </c>
      <c r="H1193" s="3">
        <v>43053</v>
      </c>
      <c r="I1193" s="2" t="s">
        <v>19506</v>
      </c>
      <c r="J1193" s="2" t="s">
        <v>13904</v>
      </c>
      <c r="K1193" s="2" t="s">
        <v>19229</v>
      </c>
      <c r="L1193" s="82" t="s">
        <v>19512</v>
      </c>
    </row>
    <row r="1194" spans="1:12" ht="96" customHeight="1" x14ac:dyDescent="0.3">
      <c r="A1194" s="2">
        <v>1190</v>
      </c>
      <c r="B1194" s="66" t="s">
        <v>1224</v>
      </c>
      <c r="C1194" s="66"/>
      <c r="D1194" s="11" t="s">
        <v>1261</v>
      </c>
      <c r="E1194" s="11">
        <v>27930.6</v>
      </c>
      <c r="F1194" s="3">
        <v>41584</v>
      </c>
      <c r="G1194" s="2" t="s">
        <v>1061</v>
      </c>
      <c r="H1194" s="3">
        <v>43053</v>
      </c>
      <c r="I1194" s="2" t="s">
        <v>19506</v>
      </c>
      <c r="J1194" s="2" t="s">
        <v>13904</v>
      </c>
      <c r="K1194" s="2" t="s">
        <v>19229</v>
      </c>
      <c r="L1194" s="82" t="s">
        <v>19512</v>
      </c>
    </row>
    <row r="1195" spans="1:12" ht="96" customHeight="1" x14ac:dyDescent="0.3">
      <c r="A1195" s="2">
        <v>1191</v>
      </c>
      <c r="B1195" s="66" t="s">
        <v>1225</v>
      </c>
      <c r="C1195" s="66"/>
      <c r="D1195" s="11" t="s">
        <v>1262</v>
      </c>
      <c r="E1195" s="11">
        <v>6531.3</v>
      </c>
      <c r="F1195" s="3">
        <v>41584</v>
      </c>
      <c r="G1195" s="2" t="s">
        <v>1061</v>
      </c>
      <c r="H1195" s="3">
        <v>43053</v>
      </c>
      <c r="I1195" s="2" t="s">
        <v>19506</v>
      </c>
      <c r="J1195" s="2" t="s">
        <v>13904</v>
      </c>
      <c r="K1195" s="2" t="s">
        <v>19229</v>
      </c>
      <c r="L1195" s="82" t="s">
        <v>19512</v>
      </c>
    </row>
    <row r="1196" spans="1:12" ht="96" customHeight="1" x14ac:dyDescent="0.3">
      <c r="A1196" s="2">
        <v>1192</v>
      </c>
      <c r="B1196" s="66" t="s">
        <v>1226</v>
      </c>
      <c r="C1196" s="66"/>
      <c r="D1196" s="11" t="s">
        <v>1263</v>
      </c>
      <c r="E1196" s="11">
        <v>4619.7</v>
      </c>
      <c r="F1196" s="3">
        <v>41584</v>
      </c>
      <c r="G1196" s="2" t="s">
        <v>1061</v>
      </c>
      <c r="H1196" s="3">
        <v>43053</v>
      </c>
      <c r="I1196" s="2" t="s">
        <v>19506</v>
      </c>
      <c r="J1196" s="2" t="s">
        <v>13904</v>
      </c>
      <c r="K1196" s="2" t="s">
        <v>19229</v>
      </c>
      <c r="L1196" s="82" t="s">
        <v>19512</v>
      </c>
    </row>
    <row r="1197" spans="1:12" ht="96" customHeight="1" x14ac:dyDescent="0.3">
      <c r="A1197" s="2">
        <v>1193</v>
      </c>
      <c r="B1197" s="66" t="s">
        <v>1227</v>
      </c>
      <c r="C1197" s="66"/>
      <c r="D1197" s="11" t="s">
        <v>1264</v>
      </c>
      <c r="E1197" s="11">
        <v>3239.1</v>
      </c>
      <c r="F1197" s="3">
        <v>41584</v>
      </c>
      <c r="G1197" s="2" t="s">
        <v>1061</v>
      </c>
      <c r="H1197" s="3">
        <v>43053</v>
      </c>
      <c r="I1197" s="2" t="s">
        <v>19506</v>
      </c>
      <c r="J1197" s="2" t="s">
        <v>13904</v>
      </c>
      <c r="K1197" s="2" t="s">
        <v>19229</v>
      </c>
      <c r="L1197" s="82" t="s">
        <v>19512</v>
      </c>
    </row>
    <row r="1198" spans="1:12" ht="96" customHeight="1" x14ac:dyDescent="0.3">
      <c r="A1198" s="2">
        <v>1194</v>
      </c>
      <c r="B1198" s="66" t="s">
        <v>1228</v>
      </c>
      <c r="C1198" s="66"/>
      <c r="D1198" s="11" t="s">
        <v>1265</v>
      </c>
      <c r="E1198" s="11">
        <v>4954</v>
      </c>
      <c r="F1198" s="3">
        <v>41409</v>
      </c>
      <c r="G1198" s="2" t="s">
        <v>1061</v>
      </c>
      <c r="H1198" s="3">
        <v>43053</v>
      </c>
      <c r="I1198" s="2" t="s">
        <v>19506</v>
      </c>
      <c r="J1198" s="2" t="s">
        <v>13904</v>
      </c>
      <c r="K1198" s="2" t="s">
        <v>19229</v>
      </c>
      <c r="L1198" s="82" t="s">
        <v>19512</v>
      </c>
    </row>
    <row r="1199" spans="1:12" ht="96" customHeight="1" x14ac:dyDescent="0.3">
      <c r="A1199" s="2">
        <v>1195</v>
      </c>
      <c r="B1199" s="66" t="s">
        <v>1229</v>
      </c>
      <c r="C1199" s="66"/>
      <c r="D1199" s="11" t="s">
        <v>1266</v>
      </c>
      <c r="E1199" s="11">
        <v>6630</v>
      </c>
      <c r="F1199" s="3">
        <v>39078</v>
      </c>
      <c r="G1199" s="2" t="s">
        <v>1061</v>
      </c>
      <c r="H1199" s="3">
        <v>43053</v>
      </c>
      <c r="I1199" s="2" t="s">
        <v>19506</v>
      </c>
      <c r="J1199" s="2" t="s">
        <v>13904</v>
      </c>
      <c r="K1199" s="2" t="s">
        <v>19229</v>
      </c>
      <c r="L1199" s="82" t="s">
        <v>19512</v>
      </c>
    </row>
    <row r="1200" spans="1:12" ht="96" customHeight="1" x14ac:dyDescent="0.3">
      <c r="A1200" s="2">
        <v>1196</v>
      </c>
      <c r="B1200" s="66" t="s">
        <v>1230</v>
      </c>
      <c r="C1200" s="66"/>
      <c r="D1200" s="11" t="s">
        <v>1267</v>
      </c>
      <c r="E1200" s="11">
        <v>4350</v>
      </c>
      <c r="F1200" s="3">
        <v>39540</v>
      </c>
      <c r="G1200" s="2" t="s">
        <v>1061</v>
      </c>
      <c r="H1200" s="3">
        <v>43053</v>
      </c>
      <c r="I1200" s="2" t="s">
        <v>19506</v>
      </c>
      <c r="J1200" s="2" t="s">
        <v>13904</v>
      </c>
      <c r="K1200" s="2" t="s">
        <v>19229</v>
      </c>
      <c r="L1200" s="82" t="s">
        <v>19512</v>
      </c>
    </row>
    <row r="1201" spans="1:12" ht="96" customHeight="1" x14ac:dyDescent="0.3">
      <c r="A1201" s="2">
        <v>1197</v>
      </c>
      <c r="B1201" s="66" t="s">
        <v>1231</v>
      </c>
      <c r="C1201" s="66"/>
      <c r="D1201" s="11" t="s">
        <v>1268</v>
      </c>
      <c r="E1201" s="11">
        <v>13993.68</v>
      </c>
      <c r="F1201" s="3">
        <v>39540</v>
      </c>
      <c r="G1201" s="2" t="s">
        <v>1061</v>
      </c>
      <c r="H1201" s="3">
        <v>43053</v>
      </c>
      <c r="I1201" s="2" t="s">
        <v>19506</v>
      </c>
      <c r="J1201" s="2" t="s">
        <v>13904</v>
      </c>
      <c r="K1201" s="2" t="s">
        <v>19229</v>
      </c>
      <c r="L1201" s="82" t="s">
        <v>19512</v>
      </c>
    </row>
    <row r="1202" spans="1:12" ht="96" customHeight="1" x14ac:dyDescent="0.3">
      <c r="A1202" s="2">
        <v>1198</v>
      </c>
      <c r="B1202" s="66" t="s">
        <v>1232</v>
      </c>
      <c r="C1202" s="66"/>
      <c r="D1202" s="11" t="s">
        <v>1269</v>
      </c>
      <c r="E1202" s="11">
        <v>24979</v>
      </c>
      <c r="F1202" s="3">
        <v>39601</v>
      </c>
      <c r="G1202" s="2" t="s">
        <v>1061</v>
      </c>
      <c r="H1202" s="3">
        <v>43053</v>
      </c>
      <c r="I1202" s="2" t="s">
        <v>19506</v>
      </c>
      <c r="J1202" s="2" t="s">
        <v>13904</v>
      </c>
      <c r="K1202" s="2" t="s">
        <v>19229</v>
      </c>
      <c r="L1202" s="82" t="s">
        <v>19512</v>
      </c>
    </row>
    <row r="1203" spans="1:12" ht="96" customHeight="1" x14ac:dyDescent="0.3">
      <c r="A1203" s="2">
        <v>1199</v>
      </c>
      <c r="B1203" s="66" t="s">
        <v>1233</v>
      </c>
      <c r="C1203" s="66"/>
      <c r="D1203" s="11" t="s">
        <v>1270</v>
      </c>
      <c r="E1203" s="11">
        <v>138604.20000000001</v>
      </c>
      <c r="F1203" s="3">
        <v>37945</v>
      </c>
      <c r="G1203" s="2" t="s">
        <v>1061</v>
      </c>
      <c r="H1203" s="3">
        <v>43053</v>
      </c>
      <c r="I1203" s="2" t="s">
        <v>19506</v>
      </c>
      <c r="J1203" s="2" t="s">
        <v>13904</v>
      </c>
      <c r="K1203" s="2" t="s">
        <v>19229</v>
      </c>
      <c r="L1203" s="82" t="s">
        <v>19512</v>
      </c>
    </row>
    <row r="1204" spans="1:12" ht="96" customHeight="1" x14ac:dyDescent="0.3">
      <c r="A1204" s="2">
        <v>1200</v>
      </c>
      <c r="B1204" s="66" t="s">
        <v>1234</v>
      </c>
      <c r="C1204" s="66"/>
      <c r="D1204" s="11" t="s">
        <v>1271</v>
      </c>
      <c r="E1204" s="11">
        <v>9625.34</v>
      </c>
      <c r="F1204" s="3">
        <v>36264</v>
      </c>
      <c r="G1204" s="2" t="s">
        <v>1061</v>
      </c>
      <c r="H1204" s="3">
        <v>43053</v>
      </c>
      <c r="I1204" s="2" t="s">
        <v>19506</v>
      </c>
      <c r="J1204" s="2" t="s">
        <v>13904</v>
      </c>
      <c r="K1204" s="2" t="s">
        <v>19229</v>
      </c>
      <c r="L1204" s="82" t="s">
        <v>19512</v>
      </c>
    </row>
    <row r="1205" spans="1:12" ht="96" customHeight="1" x14ac:dyDescent="0.3">
      <c r="A1205" s="2">
        <v>1201</v>
      </c>
      <c r="B1205" s="66" t="s">
        <v>1235</v>
      </c>
      <c r="C1205" s="66"/>
      <c r="D1205" s="11" t="s">
        <v>1272</v>
      </c>
      <c r="E1205" s="11">
        <v>3516.8</v>
      </c>
      <c r="F1205" s="3">
        <v>39570</v>
      </c>
      <c r="G1205" s="2" t="s">
        <v>1061</v>
      </c>
      <c r="H1205" s="3">
        <v>43053</v>
      </c>
      <c r="I1205" s="2" t="s">
        <v>19506</v>
      </c>
      <c r="J1205" s="2" t="s">
        <v>13904</v>
      </c>
      <c r="K1205" s="2" t="s">
        <v>19229</v>
      </c>
      <c r="L1205" s="82" t="s">
        <v>19512</v>
      </c>
    </row>
    <row r="1206" spans="1:12" ht="96" customHeight="1" x14ac:dyDescent="0.3">
      <c r="A1206" s="2">
        <v>1202</v>
      </c>
      <c r="B1206" s="66" t="s">
        <v>1230</v>
      </c>
      <c r="C1206" s="66"/>
      <c r="D1206" s="11" t="s">
        <v>1267</v>
      </c>
      <c r="E1206" s="11">
        <v>4350</v>
      </c>
      <c r="F1206" s="3">
        <v>39540</v>
      </c>
      <c r="G1206" s="2" t="s">
        <v>1061</v>
      </c>
      <c r="H1206" s="3">
        <v>43053</v>
      </c>
      <c r="I1206" s="2" t="s">
        <v>19506</v>
      </c>
      <c r="J1206" s="2" t="s">
        <v>13904</v>
      </c>
      <c r="K1206" s="2" t="s">
        <v>19229</v>
      </c>
      <c r="L1206" s="82" t="s">
        <v>19512</v>
      </c>
    </row>
    <row r="1207" spans="1:12" ht="96" customHeight="1" x14ac:dyDescent="0.3">
      <c r="A1207" s="2">
        <v>1203</v>
      </c>
      <c r="B1207" s="66" t="s">
        <v>1236</v>
      </c>
      <c r="C1207" s="66"/>
      <c r="D1207" s="11" t="s">
        <v>1273</v>
      </c>
      <c r="E1207" s="11">
        <v>4236</v>
      </c>
      <c r="F1207" s="3">
        <v>41267</v>
      </c>
      <c r="G1207" s="2" t="s">
        <v>1061</v>
      </c>
      <c r="H1207" s="3">
        <v>43053</v>
      </c>
      <c r="I1207" s="2" t="s">
        <v>19506</v>
      </c>
      <c r="J1207" s="2" t="s">
        <v>13904</v>
      </c>
      <c r="K1207" s="2" t="s">
        <v>19229</v>
      </c>
      <c r="L1207" s="82" t="s">
        <v>19512</v>
      </c>
    </row>
    <row r="1208" spans="1:12" ht="96" customHeight="1" x14ac:dyDescent="0.3">
      <c r="A1208" s="2">
        <v>1204</v>
      </c>
      <c r="B1208" s="66" t="s">
        <v>1236</v>
      </c>
      <c r="C1208" s="66"/>
      <c r="D1208" s="11" t="s">
        <v>1273</v>
      </c>
      <c r="E1208" s="11">
        <v>4236</v>
      </c>
      <c r="F1208" s="3">
        <v>41267</v>
      </c>
      <c r="G1208" s="2" t="s">
        <v>1061</v>
      </c>
      <c r="H1208" s="3">
        <v>43053</v>
      </c>
      <c r="I1208" s="2" t="s">
        <v>19506</v>
      </c>
      <c r="J1208" s="2" t="s">
        <v>13904</v>
      </c>
      <c r="K1208" s="2" t="s">
        <v>19229</v>
      </c>
      <c r="L1208" s="82" t="s">
        <v>19512</v>
      </c>
    </row>
    <row r="1209" spans="1:12" ht="96" customHeight="1" x14ac:dyDescent="0.3">
      <c r="A1209" s="2">
        <v>1205</v>
      </c>
      <c r="B1209" s="66" t="s">
        <v>1236</v>
      </c>
      <c r="C1209" s="66"/>
      <c r="D1209" s="11" t="s">
        <v>1273</v>
      </c>
      <c r="E1209" s="11">
        <v>4236</v>
      </c>
      <c r="F1209" s="3">
        <v>41267</v>
      </c>
      <c r="G1209" s="2" t="s">
        <v>1061</v>
      </c>
      <c r="H1209" s="3">
        <v>43053</v>
      </c>
      <c r="I1209" s="2" t="s">
        <v>19506</v>
      </c>
      <c r="J1209" s="2" t="s">
        <v>13904</v>
      </c>
      <c r="K1209" s="2" t="s">
        <v>19229</v>
      </c>
      <c r="L1209" s="82" t="s">
        <v>19512</v>
      </c>
    </row>
    <row r="1210" spans="1:12" ht="96" customHeight="1" x14ac:dyDescent="0.3">
      <c r="A1210" s="2">
        <v>1206</v>
      </c>
      <c r="B1210" s="66" t="s">
        <v>1236</v>
      </c>
      <c r="C1210" s="66"/>
      <c r="D1210" s="11" t="s">
        <v>1273</v>
      </c>
      <c r="E1210" s="11">
        <v>4236</v>
      </c>
      <c r="F1210" s="3">
        <v>41267</v>
      </c>
      <c r="G1210" s="2" t="s">
        <v>1061</v>
      </c>
      <c r="H1210" s="3">
        <v>43053</v>
      </c>
      <c r="I1210" s="2" t="s">
        <v>19506</v>
      </c>
      <c r="J1210" s="2" t="s">
        <v>13904</v>
      </c>
      <c r="K1210" s="2" t="s">
        <v>19229</v>
      </c>
      <c r="L1210" s="82" t="s">
        <v>19512</v>
      </c>
    </row>
    <row r="1211" spans="1:12" ht="96" customHeight="1" x14ac:dyDescent="0.3">
      <c r="A1211" s="2">
        <v>1207</v>
      </c>
      <c r="B1211" s="66" t="s">
        <v>1236</v>
      </c>
      <c r="C1211" s="66"/>
      <c r="D1211" s="11" t="s">
        <v>1273</v>
      </c>
      <c r="E1211" s="11">
        <v>4236</v>
      </c>
      <c r="F1211" s="3">
        <v>41267</v>
      </c>
      <c r="G1211" s="2" t="s">
        <v>1061</v>
      </c>
      <c r="H1211" s="3">
        <v>43053</v>
      </c>
      <c r="I1211" s="2" t="s">
        <v>19506</v>
      </c>
      <c r="J1211" s="2" t="s">
        <v>13904</v>
      </c>
      <c r="K1211" s="2" t="s">
        <v>19229</v>
      </c>
      <c r="L1211" s="82" t="s">
        <v>19512</v>
      </c>
    </row>
    <row r="1212" spans="1:12" ht="96" customHeight="1" x14ac:dyDescent="0.3">
      <c r="A1212" s="2">
        <v>1208</v>
      </c>
      <c r="B1212" s="66" t="s">
        <v>1236</v>
      </c>
      <c r="C1212" s="66"/>
      <c r="D1212" s="11" t="s">
        <v>1273</v>
      </c>
      <c r="E1212" s="11">
        <v>4236</v>
      </c>
      <c r="F1212" s="3">
        <v>41267</v>
      </c>
      <c r="G1212" s="2" t="s">
        <v>1061</v>
      </c>
      <c r="H1212" s="3">
        <v>43053</v>
      </c>
      <c r="I1212" s="2" t="s">
        <v>19506</v>
      </c>
      <c r="J1212" s="2" t="s">
        <v>13904</v>
      </c>
      <c r="K1212" s="2" t="s">
        <v>19229</v>
      </c>
      <c r="L1212" s="82" t="s">
        <v>19512</v>
      </c>
    </row>
    <row r="1213" spans="1:12" ht="96" customHeight="1" x14ac:dyDescent="0.3">
      <c r="A1213" s="2">
        <v>1209</v>
      </c>
      <c r="B1213" s="66" t="s">
        <v>1236</v>
      </c>
      <c r="C1213" s="66"/>
      <c r="D1213" s="11" t="s">
        <v>1273</v>
      </c>
      <c r="E1213" s="11">
        <v>4236</v>
      </c>
      <c r="F1213" s="3">
        <v>41267</v>
      </c>
      <c r="G1213" s="2" t="s">
        <v>1061</v>
      </c>
      <c r="H1213" s="3">
        <v>43053</v>
      </c>
      <c r="I1213" s="2" t="s">
        <v>19506</v>
      </c>
      <c r="J1213" s="2" t="s">
        <v>13904</v>
      </c>
      <c r="K1213" s="2" t="s">
        <v>19229</v>
      </c>
      <c r="L1213" s="82" t="s">
        <v>19512</v>
      </c>
    </row>
    <row r="1214" spans="1:12" ht="96" customHeight="1" x14ac:dyDescent="0.3">
      <c r="A1214" s="2">
        <v>1210</v>
      </c>
      <c r="B1214" s="66" t="s">
        <v>1274</v>
      </c>
      <c r="C1214" s="66"/>
      <c r="D1214" s="11" t="s">
        <v>1275</v>
      </c>
      <c r="E1214" s="11">
        <v>3868.13</v>
      </c>
      <c r="F1214" s="3">
        <v>38349</v>
      </c>
      <c r="G1214" s="2" t="s">
        <v>1061</v>
      </c>
      <c r="H1214" s="3">
        <v>43053</v>
      </c>
      <c r="I1214" s="2" t="s">
        <v>19506</v>
      </c>
      <c r="J1214" s="2" t="s">
        <v>13904</v>
      </c>
      <c r="K1214" s="2" t="s">
        <v>19229</v>
      </c>
      <c r="L1214" s="82" t="s">
        <v>19512</v>
      </c>
    </row>
    <row r="1215" spans="1:12" ht="96" customHeight="1" x14ac:dyDescent="0.3">
      <c r="A1215" s="2">
        <v>1211</v>
      </c>
      <c r="B1215" s="66" t="s">
        <v>1276</v>
      </c>
      <c r="C1215" s="66"/>
      <c r="D1215" s="11" t="s">
        <v>1278</v>
      </c>
      <c r="E1215" s="11" t="s">
        <v>1278</v>
      </c>
      <c r="F1215" s="3">
        <v>40689</v>
      </c>
      <c r="G1215" s="2" t="s">
        <v>1061</v>
      </c>
      <c r="H1215" s="3">
        <v>43053</v>
      </c>
      <c r="I1215" s="2" t="s">
        <v>19506</v>
      </c>
      <c r="J1215" s="2" t="s">
        <v>13904</v>
      </c>
      <c r="K1215" s="2" t="s">
        <v>19229</v>
      </c>
      <c r="L1215" s="82" t="s">
        <v>19512</v>
      </c>
    </row>
    <row r="1216" spans="1:12" ht="96" customHeight="1" x14ac:dyDescent="0.3">
      <c r="A1216" s="2">
        <v>1212</v>
      </c>
      <c r="B1216" s="66" t="s">
        <v>1276</v>
      </c>
      <c r="C1216" s="66"/>
      <c r="D1216" s="11" t="s">
        <v>1278</v>
      </c>
      <c r="E1216" s="11" t="s">
        <v>1278</v>
      </c>
      <c r="F1216" s="3">
        <v>40689</v>
      </c>
      <c r="G1216" s="2" t="s">
        <v>1061</v>
      </c>
      <c r="H1216" s="3">
        <v>43053</v>
      </c>
      <c r="I1216" s="2" t="s">
        <v>19506</v>
      </c>
      <c r="J1216" s="2" t="s">
        <v>13904</v>
      </c>
      <c r="K1216" s="2" t="s">
        <v>19229</v>
      </c>
      <c r="L1216" s="82" t="s">
        <v>19512</v>
      </c>
    </row>
    <row r="1217" spans="1:15" ht="96" customHeight="1" x14ac:dyDescent="0.3">
      <c r="A1217" s="2">
        <v>1213</v>
      </c>
      <c r="B1217" s="66" t="s">
        <v>1276</v>
      </c>
      <c r="C1217" s="66"/>
      <c r="D1217" s="11" t="s">
        <v>1278</v>
      </c>
      <c r="E1217" s="11" t="s">
        <v>1278</v>
      </c>
      <c r="F1217" s="3">
        <v>40689</v>
      </c>
      <c r="G1217" s="2" t="s">
        <v>1061</v>
      </c>
      <c r="H1217" s="3">
        <v>43053</v>
      </c>
      <c r="I1217" s="2" t="s">
        <v>19506</v>
      </c>
      <c r="J1217" s="2" t="s">
        <v>13904</v>
      </c>
      <c r="K1217" s="2" t="s">
        <v>19229</v>
      </c>
      <c r="L1217" s="82" t="s">
        <v>19512</v>
      </c>
    </row>
    <row r="1218" spans="1:15" ht="96" customHeight="1" x14ac:dyDescent="0.3">
      <c r="A1218" s="2">
        <v>1214</v>
      </c>
      <c r="B1218" s="66" t="s">
        <v>1276</v>
      </c>
      <c r="C1218" s="66"/>
      <c r="D1218" s="11" t="s">
        <v>1278</v>
      </c>
      <c r="E1218" s="11" t="s">
        <v>1278</v>
      </c>
      <c r="F1218" s="3">
        <v>40689</v>
      </c>
      <c r="G1218" s="2" t="s">
        <v>1061</v>
      </c>
      <c r="H1218" s="3">
        <v>43053</v>
      </c>
      <c r="I1218" s="2" t="s">
        <v>19506</v>
      </c>
      <c r="J1218" s="2" t="s">
        <v>13904</v>
      </c>
      <c r="K1218" s="2" t="s">
        <v>19229</v>
      </c>
      <c r="L1218" s="82" t="s">
        <v>19512</v>
      </c>
    </row>
    <row r="1219" spans="1:15" ht="96" customHeight="1" x14ac:dyDescent="0.3">
      <c r="A1219" s="2">
        <v>1215</v>
      </c>
      <c r="B1219" s="66" t="s">
        <v>1276</v>
      </c>
      <c r="C1219" s="66"/>
      <c r="D1219" s="11" t="s">
        <v>1278</v>
      </c>
      <c r="E1219" s="11" t="s">
        <v>1278</v>
      </c>
      <c r="F1219" s="3">
        <v>40689</v>
      </c>
      <c r="G1219" s="2" t="s">
        <v>1061</v>
      </c>
      <c r="H1219" s="3">
        <v>43053</v>
      </c>
      <c r="I1219" s="2" t="s">
        <v>19506</v>
      </c>
      <c r="J1219" s="2" t="s">
        <v>13904</v>
      </c>
      <c r="K1219" s="2" t="s">
        <v>19229</v>
      </c>
      <c r="L1219" s="82" t="s">
        <v>19512</v>
      </c>
    </row>
    <row r="1220" spans="1:15" ht="96" customHeight="1" x14ac:dyDescent="0.3">
      <c r="A1220" s="2">
        <v>1216</v>
      </c>
      <c r="B1220" s="66" t="s">
        <v>1276</v>
      </c>
      <c r="C1220" s="66"/>
      <c r="D1220" s="11" t="s">
        <v>1278</v>
      </c>
      <c r="E1220" s="11" t="s">
        <v>1278</v>
      </c>
      <c r="F1220" s="3">
        <v>40689</v>
      </c>
      <c r="G1220" s="2" t="s">
        <v>1061</v>
      </c>
      <c r="H1220" s="3">
        <v>43053</v>
      </c>
      <c r="I1220" s="2" t="s">
        <v>19506</v>
      </c>
      <c r="J1220" s="2" t="s">
        <v>13904</v>
      </c>
      <c r="K1220" s="2" t="s">
        <v>19229</v>
      </c>
      <c r="L1220" s="82" t="s">
        <v>19512</v>
      </c>
    </row>
    <row r="1221" spans="1:15" ht="96" customHeight="1" x14ac:dyDescent="0.3">
      <c r="A1221" s="2">
        <v>1217</v>
      </c>
      <c r="B1221" s="66" t="s">
        <v>1276</v>
      </c>
      <c r="C1221" s="66"/>
      <c r="D1221" s="11" t="s">
        <v>1278</v>
      </c>
      <c r="E1221" s="11" t="s">
        <v>1278</v>
      </c>
      <c r="F1221" s="3">
        <v>40689</v>
      </c>
      <c r="G1221" s="2" t="s">
        <v>1061</v>
      </c>
      <c r="H1221" s="3">
        <v>43053</v>
      </c>
      <c r="I1221" s="2" t="s">
        <v>19506</v>
      </c>
      <c r="J1221" s="2" t="s">
        <v>13904</v>
      </c>
      <c r="K1221" s="2" t="s">
        <v>19229</v>
      </c>
      <c r="L1221" s="82" t="s">
        <v>19512</v>
      </c>
    </row>
    <row r="1222" spans="1:15" ht="96" customHeight="1" x14ac:dyDescent="0.3">
      <c r="A1222" s="2">
        <v>1218</v>
      </c>
      <c r="B1222" s="66" t="s">
        <v>1276</v>
      </c>
      <c r="C1222" s="66"/>
      <c r="D1222" s="11" t="s">
        <v>1278</v>
      </c>
      <c r="E1222" s="11" t="s">
        <v>1278</v>
      </c>
      <c r="F1222" s="3">
        <v>40689</v>
      </c>
      <c r="G1222" s="2" t="s">
        <v>1061</v>
      </c>
      <c r="H1222" s="3">
        <v>43053</v>
      </c>
      <c r="I1222" s="2" t="s">
        <v>19506</v>
      </c>
      <c r="J1222" s="2" t="s">
        <v>13904</v>
      </c>
      <c r="K1222" s="2" t="s">
        <v>19229</v>
      </c>
      <c r="L1222" s="82" t="s">
        <v>19512</v>
      </c>
    </row>
    <row r="1223" spans="1:15" ht="96" customHeight="1" x14ac:dyDescent="0.3">
      <c r="A1223" s="2">
        <v>1219</v>
      </c>
      <c r="B1223" s="66" t="s">
        <v>1276</v>
      </c>
      <c r="C1223" s="66"/>
      <c r="D1223" s="11" t="s">
        <v>1278</v>
      </c>
      <c r="E1223" s="11" t="s">
        <v>1278</v>
      </c>
      <c r="F1223" s="3">
        <v>40689</v>
      </c>
      <c r="G1223" s="2" t="s">
        <v>1061</v>
      </c>
      <c r="H1223" s="3">
        <v>43053</v>
      </c>
      <c r="I1223" s="2" t="s">
        <v>19506</v>
      </c>
      <c r="J1223" s="2" t="s">
        <v>13904</v>
      </c>
      <c r="K1223" s="2" t="s">
        <v>19229</v>
      </c>
      <c r="L1223" s="82" t="s">
        <v>19512</v>
      </c>
    </row>
    <row r="1224" spans="1:15" ht="96" customHeight="1" x14ac:dyDescent="0.3">
      <c r="A1224" s="2">
        <v>1220</v>
      </c>
      <c r="B1224" s="66" t="s">
        <v>1276</v>
      </c>
      <c r="C1224" s="66"/>
      <c r="D1224" s="11" t="s">
        <v>1278</v>
      </c>
      <c r="E1224" s="11" t="s">
        <v>1278</v>
      </c>
      <c r="F1224" s="3">
        <v>40689</v>
      </c>
      <c r="G1224" s="2" t="s">
        <v>1061</v>
      </c>
      <c r="H1224" s="3">
        <v>43053</v>
      </c>
      <c r="I1224" s="2" t="s">
        <v>19506</v>
      </c>
      <c r="J1224" s="2" t="s">
        <v>13904</v>
      </c>
      <c r="K1224" s="2" t="s">
        <v>19229</v>
      </c>
      <c r="L1224" s="82" t="s">
        <v>19512</v>
      </c>
    </row>
    <row r="1225" spans="1:15" ht="96" customHeight="1" x14ac:dyDescent="0.3">
      <c r="A1225" s="2">
        <v>1221</v>
      </c>
      <c r="B1225" s="66" t="s">
        <v>1276</v>
      </c>
      <c r="C1225" s="66"/>
      <c r="D1225" s="11" t="s">
        <v>1278</v>
      </c>
      <c r="E1225" s="11" t="s">
        <v>1278</v>
      </c>
      <c r="F1225" s="3">
        <v>40689</v>
      </c>
      <c r="G1225" s="2" t="s">
        <v>1061</v>
      </c>
      <c r="H1225" s="3">
        <v>43053</v>
      </c>
      <c r="I1225" s="2" t="s">
        <v>19506</v>
      </c>
      <c r="J1225" s="2" t="s">
        <v>13904</v>
      </c>
      <c r="K1225" s="2" t="s">
        <v>19229</v>
      </c>
      <c r="L1225" s="82" t="s">
        <v>19512</v>
      </c>
    </row>
    <row r="1226" spans="1:15" ht="96" customHeight="1" x14ac:dyDescent="0.3">
      <c r="A1226" s="2">
        <v>1222</v>
      </c>
      <c r="B1226" s="66" t="s">
        <v>1276</v>
      </c>
      <c r="C1226" s="66"/>
      <c r="D1226" s="11" t="s">
        <v>1278</v>
      </c>
      <c r="E1226" s="11" t="s">
        <v>1278</v>
      </c>
      <c r="F1226" s="3">
        <v>40689</v>
      </c>
      <c r="G1226" s="2" t="s">
        <v>1061</v>
      </c>
      <c r="H1226" s="3">
        <v>43053</v>
      </c>
      <c r="I1226" s="2" t="s">
        <v>19506</v>
      </c>
      <c r="J1226" s="2" t="s">
        <v>13904</v>
      </c>
      <c r="K1226" s="2" t="s">
        <v>19229</v>
      </c>
      <c r="L1226" s="82" t="s">
        <v>19512</v>
      </c>
    </row>
    <row r="1227" spans="1:15" ht="96" customHeight="1" x14ac:dyDescent="0.3">
      <c r="A1227" s="2">
        <v>1223</v>
      </c>
      <c r="B1227" s="66" t="s">
        <v>1277</v>
      </c>
      <c r="C1227" s="66"/>
      <c r="D1227" s="11" t="s">
        <v>1279</v>
      </c>
      <c r="E1227" s="11" t="s">
        <v>1279</v>
      </c>
      <c r="F1227" s="3">
        <v>40739</v>
      </c>
      <c r="G1227" s="2" t="s">
        <v>1061</v>
      </c>
      <c r="H1227" s="3">
        <v>43053</v>
      </c>
      <c r="I1227" s="2" t="s">
        <v>19506</v>
      </c>
      <c r="J1227" s="2" t="s">
        <v>13904</v>
      </c>
      <c r="K1227" s="2" t="s">
        <v>19229</v>
      </c>
      <c r="L1227" s="82" t="s">
        <v>19512</v>
      </c>
    </row>
    <row r="1228" spans="1:15" s="19" customFormat="1" ht="108" customHeight="1" x14ac:dyDescent="0.3">
      <c r="A1228" s="2">
        <v>1224</v>
      </c>
      <c r="B1228" s="66" t="s">
        <v>1280</v>
      </c>
      <c r="C1228" s="66"/>
      <c r="D1228" s="11">
        <v>14484</v>
      </c>
      <c r="E1228" s="11">
        <v>14484</v>
      </c>
      <c r="F1228" s="3" t="s">
        <v>1292</v>
      </c>
      <c r="G1228" s="2" t="s">
        <v>14104</v>
      </c>
      <c r="H1228" s="3">
        <v>43053</v>
      </c>
      <c r="I1228" s="2" t="s">
        <v>19506</v>
      </c>
      <c r="J1228" s="2" t="s">
        <v>13904</v>
      </c>
      <c r="K1228" s="2" t="s">
        <v>19235</v>
      </c>
      <c r="L1228" s="82" t="s">
        <v>19512</v>
      </c>
      <c r="M1228" s="18"/>
      <c r="N1228" s="18"/>
      <c r="O1228" s="18"/>
    </row>
    <row r="1229" spans="1:15" ht="108" customHeight="1" x14ac:dyDescent="0.3">
      <c r="A1229" s="2">
        <v>1225</v>
      </c>
      <c r="B1229" s="66" t="s">
        <v>1281</v>
      </c>
      <c r="C1229" s="66"/>
      <c r="D1229" s="11">
        <v>41674.18</v>
      </c>
      <c r="E1229" s="11">
        <v>41674.18</v>
      </c>
      <c r="F1229" s="3" t="s">
        <v>1292</v>
      </c>
      <c r="G1229" s="2" t="s">
        <v>14104</v>
      </c>
      <c r="H1229" s="3">
        <v>43053</v>
      </c>
      <c r="I1229" s="2" t="s">
        <v>19506</v>
      </c>
      <c r="J1229" s="2" t="s">
        <v>13904</v>
      </c>
      <c r="K1229" s="2" t="s">
        <v>19235</v>
      </c>
      <c r="L1229" s="82" t="s">
        <v>19512</v>
      </c>
    </row>
    <row r="1230" spans="1:15" ht="108" customHeight="1" x14ac:dyDescent="0.3">
      <c r="A1230" s="2">
        <v>1226</v>
      </c>
      <c r="B1230" s="66" t="s">
        <v>1282</v>
      </c>
      <c r="C1230" s="66"/>
      <c r="D1230" s="11">
        <v>11076</v>
      </c>
      <c r="E1230" s="11">
        <v>11076</v>
      </c>
      <c r="F1230" s="3" t="s">
        <v>1293</v>
      </c>
      <c r="G1230" s="2" t="s">
        <v>14104</v>
      </c>
      <c r="H1230" s="3">
        <v>43053</v>
      </c>
      <c r="I1230" s="2" t="s">
        <v>19506</v>
      </c>
      <c r="J1230" s="2" t="s">
        <v>13904</v>
      </c>
      <c r="K1230" s="2" t="s">
        <v>19235</v>
      </c>
      <c r="L1230" s="82" t="s">
        <v>19512</v>
      </c>
    </row>
    <row r="1231" spans="1:15" ht="108" customHeight="1" x14ac:dyDescent="0.3">
      <c r="A1231" s="2">
        <v>1227</v>
      </c>
      <c r="B1231" s="66" t="s">
        <v>22251</v>
      </c>
      <c r="C1231" s="66" t="s">
        <v>22249</v>
      </c>
      <c r="D1231" s="11">
        <v>5617300</v>
      </c>
      <c r="E1231" s="11">
        <v>0</v>
      </c>
      <c r="F1231" s="3" t="s">
        <v>21406</v>
      </c>
      <c r="G1231" s="2" t="s">
        <v>22250</v>
      </c>
      <c r="H1231" s="3"/>
      <c r="I1231" s="2"/>
      <c r="J1231" s="2" t="s">
        <v>13904</v>
      </c>
      <c r="K1231" s="2" t="s">
        <v>22248</v>
      </c>
      <c r="L1231" s="82" t="s">
        <v>22987</v>
      </c>
    </row>
    <row r="1232" spans="1:15" ht="108" customHeight="1" x14ac:dyDescent="0.3">
      <c r="A1232" s="2">
        <v>1228</v>
      </c>
      <c r="B1232" s="66" t="s">
        <v>1283</v>
      </c>
      <c r="C1232" s="66" t="s">
        <v>18903</v>
      </c>
      <c r="D1232" s="11">
        <v>2675000</v>
      </c>
      <c r="E1232" s="11" t="s">
        <v>1294</v>
      </c>
      <c r="F1232" s="3" t="s">
        <v>1295</v>
      </c>
      <c r="G1232" s="2" t="s">
        <v>18905</v>
      </c>
      <c r="H1232" s="2"/>
      <c r="I1232" s="2"/>
      <c r="J1232" s="2" t="s">
        <v>13904</v>
      </c>
      <c r="K1232" s="2" t="s">
        <v>19235</v>
      </c>
      <c r="L1232" s="82" t="s">
        <v>18906</v>
      </c>
    </row>
    <row r="1233" spans="1:15" ht="108" customHeight="1" x14ac:dyDescent="0.3">
      <c r="A1233" s="2">
        <v>1229</v>
      </c>
      <c r="B1233" s="66" t="s">
        <v>1284</v>
      </c>
      <c r="C1233" s="66" t="s">
        <v>18904</v>
      </c>
      <c r="D1233" s="11">
        <v>505000</v>
      </c>
      <c r="E1233" s="11">
        <v>505000</v>
      </c>
      <c r="F1233" s="3" t="s">
        <v>1296</v>
      </c>
      <c r="G1233" s="2" t="s">
        <v>18905</v>
      </c>
      <c r="H1233" s="2"/>
      <c r="I1233" s="2"/>
      <c r="J1233" s="2" t="s">
        <v>13904</v>
      </c>
      <c r="K1233" s="2" t="s">
        <v>19235</v>
      </c>
      <c r="L1233" s="82" t="s">
        <v>18906</v>
      </c>
    </row>
    <row r="1234" spans="1:15" ht="108" customHeight="1" x14ac:dyDescent="0.3">
      <c r="A1234" s="2">
        <v>1230</v>
      </c>
      <c r="B1234" s="66" t="s">
        <v>1285</v>
      </c>
      <c r="C1234" s="66"/>
      <c r="D1234" s="11">
        <v>22490</v>
      </c>
      <c r="E1234" s="11">
        <v>22490</v>
      </c>
      <c r="F1234" s="3" t="s">
        <v>1297</v>
      </c>
      <c r="G1234" s="2" t="s">
        <v>14104</v>
      </c>
      <c r="H1234" s="3">
        <v>43053</v>
      </c>
      <c r="I1234" s="2" t="s">
        <v>19506</v>
      </c>
      <c r="J1234" s="2" t="s">
        <v>13904</v>
      </c>
      <c r="K1234" s="2" t="s">
        <v>19235</v>
      </c>
      <c r="L1234" s="82" t="s">
        <v>19512</v>
      </c>
    </row>
    <row r="1235" spans="1:15" ht="108" customHeight="1" x14ac:dyDescent="0.3">
      <c r="A1235" s="2">
        <v>1231</v>
      </c>
      <c r="B1235" s="66" t="s">
        <v>1286</v>
      </c>
      <c r="C1235" s="66"/>
      <c r="D1235" s="11">
        <v>12373.02</v>
      </c>
      <c r="E1235" s="11">
        <v>12373.02</v>
      </c>
      <c r="F1235" s="3" t="s">
        <v>1297</v>
      </c>
      <c r="G1235" s="2" t="s">
        <v>14104</v>
      </c>
      <c r="H1235" s="3">
        <v>43053</v>
      </c>
      <c r="I1235" s="2" t="s">
        <v>19506</v>
      </c>
      <c r="J1235" s="2" t="s">
        <v>13904</v>
      </c>
      <c r="K1235" s="2" t="s">
        <v>19235</v>
      </c>
      <c r="L1235" s="82" t="s">
        <v>19512</v>
      </c>
    </row>
    <row r="1236" spans="1:15" ht="108" customHeight="1" x14ac:dyDescent="0.3">
      <c r="A1236" s="2">
        <v>1232</v>
      </c>
      <c r="B1236" s="66" t="s">
        <v>1287</v>
      </c>
      <c r="C1236" s="66"/>
      <c r="D1236" s="11">
        <v>15800</v>
      </c>
      <c r="E1236" s="11">
        <v>15800</v>
      </c>
      <c r="F1236" s="3" t="s">
        <v>1298</v>
      </c>
      <c r="G1236" s="2" t="s">
        <v>14104</v>
      </c>
      <c r="H1236" s="3">
        <v>43053</v>
      </c>
      <c r="I1236" s="2" t="s">
        <v>19506</v>
      </c>
      <c r="J1236" s="2" t="s">
        <v>13904</v>
      </c>
      <c r="K1236" s="2" t="s">
        <v>19235</v>
      </c>
      <c r="L1236" s="82" t="s">
        <v>19512</v>
      </c>
    </row>
    <row r="1237" spans="1:15" ht="108" customHeight="1" x14ac:dyDescent="0.3">
      <c r="A1237" s="2">
        <v>1233</v>
      </c>
      <c r="B1237" s="66" t="s">
        <v>1287</v>
      </c>
      <c r="C1237" s="66"/>
      <c r="D1237" s="11">
        <v>15800</v>
      </c>
      <c r="E1237" s="11">
        <v>15800</v>
      </c>
      <c r="F1237" s="3" t="s">
        <v>1299</v>
      </c>
      <c r="G1237" s="2" t="s">
        <v>14104</v>
      </c>
      <c r="H1237" s="3">
        <v>43053</v>
      </c>
      <c r="I1237" s="2" t="s">
        <v>19506</v>
      </c>
      <c r="J1237" s="2" t="s">
        <v>13904</v>
      </c>
      <c r="K1237" s="2" t="s">
        <v>19235</v>
      </c>
      <c r="L1237" s="82" t="s">
        <v>19512</v>
      </c>
    </row>
    <row r="1238" spans="1:15" ht="108" customHeight="1" x14ac:dyDescent="0.3">
      <c r="A1238" s="2">
        <v>1234</v>
      </c>
      <c r="B1238" s="66" t="s">
        <v>1288</v>
      </c>
      <c r="C1238" s="66"/>
      <c r="D1238" s="11">
        <v>19940</v>
      </c>
      <c r="E1238" s="11">
        <v>19940</v>
      </c>
      <c r="F1238" s="3" t="s">
        <v>1298</v>
      </c>
      <c r="G1238" s="2" t="s">
        <v>14104</v>
      </c>
      <c r="H1238" s="3">
        <v>43053</v>
      </c>
      <c r="I1238" s="2" t="s">
        <v>19506</v>
      </c>
      <c r="J1238" s="2" t="s">
        <v>13904</v>
      </c>
      <c r="K1238" s="2" t="s">
        <v>19235</v>
      </c>
      <c r="L1238" s="82" t="s">
        <v>19512</v>
      </c>
    </row>
    <row r="1239" spans="1:15" ht="108" customHeight="1" x14ac:dyDescent="0.3">
      <c r="A1239" s="2">
        <v>1235</v>
      </c>
      <c r="B1239" s="66" t="s">
        <v>1289</v>
      </c>
      <c r="C1239" s="66"/>
      <c r="D1239" s="11">
        <v>16640</v>
      </c>
      <c r="E1239" s="11">
        <v>16640</v>
      </c>
      <c r="F1239" s="3" t="s">
        <v>1298</v>
      </c>
      <c r="G1239" s="2" t="s">
        <v>14104</v>
      </c>
      <c r="H1239" s="3">
        <v>43053</v>
      </c>
      <c r="I1239" s="2" t="s">
        <v>19506</v>
      </c>
      <c r="J1239" s="2" t="s">
        <v>13904</v>
      </c>
      <c r="K1239" s="2" t="s">
        <v>19235</v>
      </c>
      <c r="L1239" s="82" t="s">
        <v>19512</v>
      </c>
    </row>
    <row r="1240" spans="1:15" ht="108" customHeight="1" x14ac:dyDescent="0.3">
      <c r="A1240" s="2">
        <v>1236</v>
      </c>
      <c r="B1240" s="66" t="s">
        <v>1290</v>
      </c>
      <c r="C1240" s="66"/>
      <c r="D1240" s="11">
        <v>50397</v>
      </c>
      <c r="E1240" s="11">
        <v>50397</v>
      </c>
      <c r="F1240" s="3" t="s">
        <v>892</v>
      </c>
      <c r="G1240" s="2" t="s">
        <v>14104</v>
      </c>
      <c r="H1240" s="3">
        <v>43053</v>
      </c>
      <c r="I1240" s="2" t="s">
        <v>19506</v>
      </c>
      <c r="J1240" s="2" t="s">
        <v>13904</v>
      </c>
      <c r="K1240" s="2" t="s">
        <v>19235</v>
      </c>
      <c r="L1240" s="82" t="s">
        <v>19512</v>
      </c>
    </row>
    <row r="1241" spans="1:15" ht="108" customHeight="1" x14ac:dyDescent="0.3">
      <c r="A1241" s="2">
        <v>1237</v>
      </c>
      <c r="B1241" s="66" t="s">
        <v>1291</v>
      </c>
      <c r="C1241" s="66"/>
      <c r="D1241" s="11">
        <v>3110</v>
      </c>
      <c r="E1241" s="11">
        <v>3110</v>
      </c>
      <c r="F1241" s="3" t="s">
        <v>1298</v>
      </c>
      <c r="G1241" s="2" t="s">
        <v>14104</v>
      </c>
      <c r="H1241" s="3">
        <v>43053</v>
      </c>
      <c r="I1241" s="2" t="s">
        <v>19506</v>
      </c>
      <c r="J1241" s="2" t="s">
        <v>13904</v>
      </c>
      <c r="K1241" s="2" t="s">
        <v>19235</v>
      </c>
      <c r="L1241" s="82" t="s">
        <v>19512</v>
      </c>
    </row>
    <row r="1242" spans="1:15" s="19" customFormat="1" ht="108" customHeight="1" x14ac:dyDescent="0.3">
      <c r="A1242" s="2">
        <v>1238</v>
      </c>
      <c r="B1242" s="66" t="s">
        <v>18978</v>
      </c>
      <c r="C1242" s="66" t="s">
        <v>18979</v>
      </c>
      <c r="D1242" s="11">
        <v>86000</v>
      </c>
      <c r="E1242" s="11">
        <v>13309.53</v>
      </c>
      <c r="F1242" s="3">
        <v>39507</v>
      </c>
      <c r="G1242" s="207" t="s">
        <v>1061</v>
      </c>
      <c r="H1242" s="2"/>
      <c r="I1242" s="2"/>
      <c r="J1242" s="2" t="s">
        <v>13904</v>
      </c>
      <c r="K1242" s="2" t="s">
        <v>19840</v>
      </c>
      <c r="L1242" s="82" t="s">
        <v>18918</v>
      </c>
      <c r="M1242" s="18"/>
      <c r="N1242" s="18"/>
      <c r="O1242" s="18"/>
    </row>
    <row r="1243" spans="1:15" ht="132" customHeight="1" x14ac:dyDescent="0.3">
      <c r="A1243" s="2">
        <v>1239</v>
      </c>
      <c r="B1243" s="66" t="s">
        <v>20928</v>
      </c>
      <c r="C1243" s="66" t="s">
        <v>20929</v>
      </c>
      <c r="D1243" s="11">
        <v>111133</v>
      </c>
      <c r="E1243" s="11"/>
      <c r="F1243" s="3" t="s">
        <v>20571</v>
      </c>
      <c r="G1243" s="66" t="s">
        <v>20930</v>
      </c>
      <c r="H1243" s="3"/>
      <c r="I1243" s="2"/>
      <c r="J1243" s="2" t="s">
        <v>13904</v>
      </c>
      <c r="K1243" s="2" t="s">
        <v>21788</v>
      </c>
      <c r="L1243" s="82" t="s">
        <v>21488</v>
      </c>
    </row>
    <row r="1244" spans="1:15" ht="144" customHeight="1" x14ac:dyDescent="0.3">
      <c r="A1244" s="2">
        <v>1240</v>
      </c>
      <c r="B1244" s="105" t="s">
        <v>22596</v>
      </c>
      <c r="C1244" s="105">
        <v>1101120002</v>
      </c>
      <c r="D1244" s="121">
        <v>536481.94999999995</v>
      </c>
      <c r="E1244" s="25">
        <v>70726</v>
      </c>
      <c r="F1244" s="26">
        <v>42403</v>
      </c>
      <c r="G1244" s="38" t="s">
        <v>15349</v>
      </c>
      <c r="H1244" s="3"/>
      <c r="I1244" s="2"/>
      <c r="J1244" s="2" t="s">
        <v>13904</v>
      </c>
      <c r="K1244" s="2" t="s">
        <v>16265</v>
      </c>
      <c r="L1244" s="82" t="s">
        <v>22988</v>
      </c>
    </row>
    <row r="1245" spans="1:15" ht="108" customHeight="1" x14ac:dyDescent="0.3">
      <c r="A1245" s="2">
        <v>1241</v>
      </c>
      <c r="B1245" s="66" t="s">
        <v>18916</v>
      </c>
      <c r="C1245" s="66" t="s">
        <v>18917</v>
      </c>
      <c r="D1245" s="11">
        <v>62000</v>
      </c>
      <c r="E1245" s="11">
        <v>9595.2999999999993</v>
      </c>
      <c r="F1245" s="3">
        <v>42686</v>
      </c>
      <c r="G1245" s="207" t="s">
        <v>1061</v>
      </c>
      <c r="H1245" s="2"/>
      <c r="I1245" s="2"/>
      <c r="J1245" s="2" t="s">
        <v>13904</v>
      </c>
      <c r="K1245" s="2" t="s">
        <v>19840</v>
      </c>
      <c r="L1245" s="82" t="s">
        <v>18918</v>
      </c>
    </row>
    <row r="1246" spans="1:15" ht="108" customHeight="1" x14ac:dyDescent="0.3">
      <c r="A1246" s="2">
        <v>1242</v>
      </c>
      <c r="B1246" s="66" t="s">
        <v>18990</v>
      </c>
      <c r="C1246" s="66" t="s">
        <v>18991</v>
      </c>
      <c r="D1246" s="11">
        <v>100000</v>
      </c>
      <c r="E1246" s="11">
        <v>36111.14</v>
      </c>
      <c r="F1246" s="3">
        <v>42694</v>
      </c>
      <c r="G1246" s="207" t="s">
        <v>1061</v>
      </c>
      <c r="H1246" s="2"/>
      <c r="I1246" s="2"/>
      <c r="J1246" s="2" t="s">
        <v>13904</v>
      </c>
      <c r="K1246" s="2" t="s">
        <v>19840</v>
      </c>
      <c r="L1246" s="82" t="s">
        <v>18918</v>
      </c>
    </row>
    <row r="1247" spans="1:15" ht="108" customHeight="1" x14ac:dyDescent="0.3">
      <c r="A1247" s="2">
        <v>1243</v>
      </c>
      <c r="B1247" s="66" t="s">
        <v>18992</v>
      </c>
      <c r="C1247" s="66" t="s">
        <v>18993</v>
      </c>
      <c r="D1247" s="11">
        <v>100000</v>
      </c>
      <c r="E1247" s="11">
        <v>36111.14</v>
      </c>
      <c r="F1247" s="3">
        <v>42690</v>
      </c>
      <c r="G1247" s="207" t="s">
        <v>1061</v>
      </c>
      <c r="H1247" s="2"/>
      <c r="I1247" s="2"/>
      <c r="J1247" s="2" t="s">
        <v>13904</v>
      </c>
      <c r="K1247" s="2" t="s">
        <v>19840</v>
      </c>
      <c r="L1247" s="82" t="s">
        <v>18918</v>
      </c>
    </row>
    <row r="1248" spans="1:15" ht="84" customHeight="1" x14ac:dyDescent="0.3">
      <c r="A1248" s="2">
        <v>1244</v>
      </c>
      <c r="B1248" s="66" t="s">
        <v>1303</v>
      </c>
      <c r="C1248" s="66"/>
      <c r="D1248" s="11" t="s">
        <v>1440</v>
      </c>
      <c r="E1248" s="11">
        <v>4452</v>
      </c>
      <c r="F1248" s="3">
        <v>39080</v>
      </c>
      <c r="G1248" s="207" t="s">
        <v>1061</v>
      </c>
      <c r="H1248" s="3">
        <v>43053</v>
      </c>
      <c r="I1248" s="2" t="s">
        <v>19506</v>
      </c>
      <c r="J1248" s="2" t="s">
        <v>13904</v>
      </c>
      <c r="K1248" s="2" t="s">
        <v>19841</v>
      </c>
      <c r="L1248" s="82" t="s">
        <v>19512</v>
      </c>
    </row>
    <row r="1249" spans="1:12" ht="84" customHeight="1" x14ac:dyDescent="0.3">
      <c r="A1249" s="2">
        <v>1245</v>
      </c>
      <c r="B1249" s="66" t="s">
        <v>1304</v>
      </c>
      <c r="C1249" s="66"/>
      <c r="D1249" s="11" t="s">
        <v>1441</v>
      </c>
      <c r="E1249" s="11">
        <v>11961.6</v>
      </c>
      <c r="F1249" s="3">
        <v>38280</v>
      </c>
      <c r="G1249" s="207" t="s">
        <v>1061</v>
      </c>
      <c r="H1249" s="3">
        <v>43053</v>
      </c>
      <c r="I1249" s="2" t="s">
        <v>19506</v>
      </c>
      <c r="J1249" s="2" t="s">
        <v>13904</v>
      </c>
      <c r="K1249" s="2" t="s">
        <v>19841</v>
      </c>
      <c r="L1249" s="82" t="s">
        <v>19512</v>
      </c>
    </row>
    <row r="1250" spans="1:12" ht="84" customHeight="1" x14ac:dyDescent="0.3">
      <c r="A1250" s="2">
        <v>1246</v>
      </c>
      <c r="B1250" s="66" t="s">
        <v>1305</v>
      </c>
      <c r="C1250" s="66"/>
      <c r="D1250" s="11" t="s">
        <v>1442</v>
      </c>
      <c r="E1250" s="11">
        <v>201949</v>
      </c>
      <c r="F1250" s="3">
        <v>38502</v>
      </c>
      <c r="G1250" s="207" t="s">
        <v>1061</v>
      </c>
      <c r="H1250" s="3">
        <v>43053</v>
      </c>
      <c r="I1250" s="2" t="s">
        <v>19506</v>
      </c>
      <c r="J1250" s="2" t="s">
        <v>13904</v>
      </c>
      <c r="K1250" s="2" t="s">
        <v>19841</v>
      </c>
      <c r="L1250" s="82" t="s">
        <v>19749</v>
      </c>
    </row>
    <row r="1251" spans="1:12" ht="84" customHeight="1" x14ac:dyDescent="0.3">
      <c r="A1251" s="2">
        <v>1247</v>
      </c>
      <c r="B1251" s="66" t="s">
        <v>1306</v>
      </c>
      <c r="C1251" s="66"/>
      <c r="D1251" s="11" t="s">
        <v>1443</v>
      </c>
      <c r="E1251" s="11">
        <v>6438</v>
      </c>
      <c r="F1251" s="3">
        <v>38190</v>
      </c>
      <c r="G1251" s="207" t="s">
        <v>1061</v>
      </c>
      <c r="H1251" s="3">
        <v>43053</v>
      </c>
      <c r="I1251" s="2" t="s">
        <v>19506</v>
      </c>
      <c r="J1251" s="2" t="s">
        <v>13904</v>
      </c>
      <c r="K1251" s="2" t="s">
        <v>19841</v>
      </c>
      <c r="L1251" s="82" t="s">
        <v>19512</v>
      </c>
    </row>
    <row r="1252" spans="1:12" ht="84" customHeight="1" x14ac:dyDescent="0.3">
      <c r="A1252" s="2">
        <v>1248</v>
      </c>
      <c r="B1252" s="66" t="s">
        <v>1306</v>
      </c>
      <c r="C1252" s="66"/>
      <c r="D1252" s="11" t="s">
        <v>1443</v>
      </c>
      <c r="E1252" s="11">
        <v>6438</v>
      </c>
      <c r="F1252" s="3">
        <v>38190</v>
      </c>
      <c r="G1252" s="207" t="s">
        <v>1061</v>
      </c>
      <c r="H1252" s="3">
        <v>43053</v>
      </c>
      <c r="I1252" s="2" t="s">
        <v>19506</v>
      </c>
      <c r="J1252" s="2" t="s">
        <v>13904</v>
      </c>
      <c r="K1252" s="2" t="s">
        <v>19841</v>
      </c>
      <c r="L1252" s="82" t="s">
        <v>19512</v>
      </c>
    </row>
    <row r="1253" spans="1:12" ht="84" customHeight="1" x14ac:dyDescent="0.3">
      <c r="A1253" s="2">
        <v>1249</v>
      </c>
      <c r="B1253" s="66" t="s">
        <v>1306</v>
      </c>
      <c r="C1253" s="66"/>
      <c r="D1253" s="11" t="s">
        <v>1443</v>
      </c>
      <c r="E1253" s="11">
        <v>6438</v>
      </c>
      <c r="F1253" s="3">
        <v>38190</v>
      </c>
      <c r="G1253" s="207" t="s">
        <v>1061</v>
      </c>
      <c r="H1253" s="3">
        <v>43053</v>
      </c>
      <c r="I1253" s="2" t="s">
        <v>19506</v>
      </c>
      <c r="J1253" s="2" t="s">
        <v>13904</v>
      </c>
      <c r="K1253" s="2" t="s">
        <v>19841</v>
      </c>
      <c r="L1253" s="82" t="s">
        <v>19512</v>
      </c>
    </row>
    <row r="1254" spans="1:12" ht="84" customHeight="1" x14ac:dyDescent="0.3">
      <c r="A1254" s="2">
        <v>1250</v>
      </c>
      <c r="B1254" s="66" t="s">
        <v>1307</v>
      </c>
      <c r="C1254" s="66"/>
      <c r="D1254" s="11" t="s">
        <v>1444</v>
      </c>
      <c r="E1254" s="11">
        <v>17382.599999999999</v>
      </c>
      <c r="F1254" s="3">
        <v>38501</v>
      </c>
      <c r="G1254" s="207" t="s">
        <v>1061</v>
      </c>
      <c r="H1254" s="3">
        <v>43053</v>
      </c>
      <c r="I1254" s="2" t="s">
        <v>19506</v>
      </c>
      <c r="J1254" s="2" t="s">
        <v>13904</v>
      </c>
      <c r="K1254" s="2" t="s">
        <v>19841</v>
      </c>
      <c r="L1254" s="82" t="s">
        <v>19512</v>
      </c>
    </row>
    <row r="1255" spans="1:12" ht="84" customHeight="1" x14ac:dyDescent="0.3">
      <c r="A1255" s="2">
        <v>1251</v>
      </c>
      <c r="B1255" s="66" t="s">
        <v>1308</v>
      </c>
      <c r="C1255" s="66"/>
      <c r="D1255" s="11" t="s">
        <v>1445</v>
      </c>
      <c r="E1255" s="11">
        <v>30751.8</v>
      </c>
      <c r="F1255" s="3">
        <v>38501</v>
      </c>
      <c r="G1255" s="207" t="s">
        <v>1061</v>
      </c>
      <c r="H1255" s="3">
        <v>43053</v>
      </c>
      <c r="I1255" s="2" t="s">
        <v>19506</v>
      </c>
      <c r="J1255" s="2" t="s">
        <v>13904</v>
      </c>
      <c r="K1255" s="2" t="s">
        <v>19841</v>
      </c>
      <c r="L1255" s="82" t="s">
        <v>19512</v>
      </c>
    </row>
    <row r="1256" spans="1:12" ht="108" customHeight="1" x14ac:dyDescent="0.3">
      <c r="A1256" s="2">
        <v>1252</v>
      </c>
      <c r="B1256" s="66" t="s">
        <v>1309</v>
      </c>
      <c r="C1256" s="66" t="s">
        <v>18919</v>
      </c>
      <c r="D1256" s="11" t="s">
        <v>1446</v>
      </c>
      <c r="E1256" s="11">
        <v>69000</v>
      </c>
      <c r="F1256" s="3">
        <v>38501</v>
      </c>
      <c r="G1256" s="207" t="s">
        <v>1061</v>
      </c>
      <c r="H1256" s="2"/>
      <c r="I1256" s="2"/>
      <c r="J1256" s="2" t="s">
        <v>13904</v>
      </c>
      <c r="K1256" s="2" t="s">
        <v>19840</v>
      </c>
      <c r="L1256" s="82" t="s">
        <v>18920</v>
      </c>
    </row>
    <row r="1257" spans="1:12" ht="84" customHeight="1" x14ac:dyDescent="0.3">
      <c r="A1257" s="2">
        <v>1253</v>
      </c>
      <c r="B1257" s="66" t="s">
        <v>1309</v>
      </c>
      <c r="C1257" s="66"/>
      <c r="D1257" s="11" t="s">
        <v>1447</v>
      </c>
      <c r="E1257" s="11">
        <v>39560</v>
      </c>
      <c r="F1257" s="3">
        <v>38501</v>
      </c>
      <c r="G1257" s="207" t="s">
        <v>1061</v>
      </c>
      <c r="H1257" s="3">
        <v>43053</v>
      </c>
      <c r="I1257" s="2" t="s">
        <v>19506</v>
      </c>
      <c r="J1257" s="2" t="s">
        <v>13904</v>
      </c>
      <c r="K1257" s="2" t="s">
        <v>19841</v>
      </c>
      <c r="L1257" s="82" t="s">
        <v>19512</v>
      </c>
    </row>
    <row r="1258" spans="1:12" ht="84" customHeight="1" x14ac:dyDescent="0.3">
      <c r="A1258" s="2">
        <v>1254</v>
      </c>
      <c r="B1258" s="66" t="s">
        <v>1310</v>
      </c>
      <c r="C1258" s="66"/>
      <c r="D1258" s="11" t="s">
        <v>1448</v>
      </c>
      <c r="E1258" s="11">
        <v>20800</v>
      </c>
      <c r="F1258" s="3">
        <v>39079</v>
      </c>
      <c r="G1258" s="207" t="s">
        <v>1061</v>
      </c>
      <c r="H1258" s="3">
        <v>43053</v>
      </c>
      <c r="I1258" s="2" t="s">
        <v>19506</v>
      </c>
      <c r="J1258" s="2" t="s">
        <v>13904</v>
      </c>
      <c r="K1258" s="2" t="s">
        <v>19841</v>
      </c>
      <c r="L1258" s="82" t="s">
        <v>19512</v>
      </c>
    </row>
    <row r="1259" spans="1:12" ht="84" customHeight="1" x14ac:dyDescent="0.3">
      <c r="A1259" s="2">
        <v>1255</v>
      </c>
      <c r="B1259" s="66" t="s">
        <v>1311</v>
      </c>
      <c r="C1259" s="66"/>
      <c r="D1259" s="11" t="s">
        <v>1449</v>
      </c>
      <c r="E1259" s="11">
        <v>23500</v>
      </c>
      <c r="F1259" s="3">
        <v>39524</v>
      </c>
      <c r="G1259" s="207" t="s">
        <v>1061</v>
      </c>
      <c r="H1259" s="3">
        <v>43053</v>
      </c>
      <c r="I1259" s="2" t="s">
        <v>19506</v>
      </c>
      <c r="J1259" s="2" t="s">
        <v>13904</v>
      </c>
      <c r="K1259" s="2" t="s">
        <v>19841</v>
      </c>
      <c r="L1259" s="82" t="s">
        <v>19512</v>
      </c>
    </row>
    <row r="1260" spans="1:12" ht="84" customHeight="1" x14ac:dyDescent="0.3">
      <c r="A1260" s="2">
        <v>1256</v>
      </c>
      <c r="B1260" s="66" t="s">
        <v>1312</v>
      </c>
      <c r="C1260" s="66"/>
      <c r="D1260" s="11" t="s">
        <v>1450</v>
      </c>
      <c r="E1260" s="11">
        <v>13700</v>
      </c>
      <c r="F1260" s="3">
        <v>39112</v>
      </c>
      <c r="G1260" s="207" t="s">
        <v>1061</v>
      </c>
      <c r="H1260" s="3">
        <v>43053</v>
      </c>
      <c r="I1260" s="2" t="s">
        <v>19506</v>
      </c>
      <c r="J1260" s="2" t="s">
        <v>13904</v>
      </c>
      <c r="K1260" s="2" t="s">
        <v>19841</v>
      </c>
      <c r="L1260" s="82" t="s">
        <v>19512</v>
      </c>
    </row>
    <row r="1261" spans="1:12" ht="84" customHeight="1" x14ac:dyDescent="0.3">
      <c r="A1261" s="2">
        <v>1257</v>
      </c>
      <c r="B1261" s="66" t="s">
        <v>218</v>
      </c>
      <c r="C1261" s="66"/>
      <c r="D1261" s="11" t="s">
        <v>1451</v>
      </c>
      <c r="E1261" s="11">
        <v>13991.41</v>
      </c>
      <c r="F1261" s="3">
        <v>39778</v>
      </c>
      <c r="G1261" s="207" t="s">
        <v>1061</v>
      </c>
      <c r="H1261" s="3">
        <v>43053</v>
      </c>
      <c r="I1261" s="2" t="s">
        <v>19506</v>
      </c>
      <c r="J1261" s="2" t="s">
        <v>13904</v>
      </c>
      <c r="K1261" s="2" t="s">
        <v>19841</v>
      </c>
      <c r="L1261" s="82" t="s">
        <v>19512</v>
      </c>
    </row>
    <row r="1262" spans="1:12" ht="84" customHeight="1" x14ac:dyDescent="0.3">
      <c r="A1262" s="2">
        <v>1258</v>
      </c>
      <c r="B1262" s="66" t="s">
        <v>218</v>
      </c>
      <c r="C1262" s="66"/>
      <c r="D1262" s="11" t="s">
        <v>1452</v>
      </c>
      <c r="E1262" s="11">
        <v>29826.9</v>
      </c>
      <c r="F1262" s="3">
        <v>38707</v>
      </c>
      <c r="G1262" s="207" t="s">
        <v>1061</v>
      </c>
      <c r="H1262" s="3">
        <v>43053</v>
      </c>
      <c r="I1262" s="2" t="s">
        <v>19506</v>
      </c>
      <c r="J1262" s="2" t="s">
        <v>13904</v>
      </c>
      <c r="K1262" s="2" t="s">
        <v>19841</v>
      </c>
      <c r="L1262" s="82" t="s">
        <v>19512</v>
      </c>
    </row>
    <row r="1263" spans="1:12" ht="108" customHeight="1" x14ac:dyDescent="0.3">
      <c r="A1263" s="2">
        <v>1259</v>
      </c>
      <c r="B1263" s="66" t="s">
        <v>1313</v>
      </c>
      <c r="C1263" s="66" t="s">
        <v>22686</v>
      </c>
      <c r="D1263" s="11" t="s">
        <v>1453</v>
      </c>
      <c r="E1263" s="11">
        <v>61503.6</v>
      </c>
      <c r="F1263" s="3">
        <v>38503</v>
      </c>
      <c r="G1263" s="207" t="s">
        <v>1061</v>
      </c>
      <c r="H1263" s="2" t="s">
        <v>22684</v>
      </c>
      <c r="I1263" s="2" t="s">
        <v>22685</v>
      </c>
      <c r="J1263" s="2" t="s">
        <v>13904</v>
      </c>
      <c r="K1263" s="2" t="s">
        <v>19840</v>
      </c>
      <c r="L1263" s="82" t="s">
        <v>19749</v>
      </c>
    </row>
    <row r="1264" spans="1:12" ht="108" customHeight="1" x14ac:dyDescent="0.3">
      <c r="A1264" s="2">
        <v>1260</v>
      </c>
      <c r="B1264" s="66" t="s">
        <v>1314</v>
      </c>
      <c r="C1264" s="66" t="s">
        <v>18921</v>
      </c>
      <c r="D1264" s="11" t="s">
        <v>1454</v>
      </c>
      <c r="E1264" s="11">
        <v>181832</v>
      </c>
      <c r="F1264" s="3">
        <v>38501</v>
      </c>
      <c r="G1264" s="207" t="s">
        <v>1061</v>
      </c>
      <c r="H1264" s="2"/>
      <c r="I1264" s="2"/>
      <c r="J1264" s="2" t="s">
        <v>13904</v>
      </c>
      <c r="K1264" s="2" t="s">
        <v>19840</v>
      </c>
      <c r="L1264" s="82" t="s">
        <v>18920</v>
      </c>
    </row>
    <row r="1265" spans="1:12" ht="108" customHeight="1" x14ac:dyDescent="0.3">
      <c r="A1265" s="2">
        <v>1261</v>
      </c>
      <c r="B1265" s="66" t="s">
        <v>1314</v>
      </c>
      <c r="C1265" s="66" t="s">
        <v>18922</v>
      </c>
      <c r="D1265" s="11" t="s">
        <v>1455</v>
      </c>
      <c r="E1265" s="11">
        <v>148869</v>
      </c>
      <c r="F1265" s="3">
        <v>38501</v>
      </c>
      <c r="G1265" s="207" t="s">
        <v>1061</v>
      </c>
      <c r="H1265" s="2"/>
      <c r="I1265" s="2"/>
      <c r="J1265" s="2" t="s">
        <v>13904</v>
      </c>
      <c r="K1265" s="2" t="s">
        <v>19840</v>
      </c>
      <c r="L1265" s="82" t="s">
        <v>18920</v>
      </c>
    </row>
    <row r="1266" spans="1:12" ht="108" customHeight="1" x14ac:dyDescent="0.3">
      <c r="A1266" s="2">
        <v>1262</v>
      </c>
      <c r="B1266" s="66" t="s">
        <v>1314</v>
      </c>
      <c r="C1266" s="66" t="s">
        <v>18923</v>
      </c>
      <c r="D1266" s="11" t="s">
        <v>1455</v>
      </c>
      <c r="E1266" s="11">
        <v>148869</v>
      </c>
      <c r="F1266" s="3">
        <v>38501</v>
      </c>
      <c r="G1266" s="207" t="s">
        <v>1061</v>
      </c>
      <c r="H1266" s="2"/>
      <c r="I1266" s="2"/>
      <c r="J1266" s="2" t="s">
        <v>13904</v>
      </c>
      <c r="K1266" s="2" t="s">
        <v>19840</v>
      </c>
      <c r="L1266" s="82" t="s">
        <v>18920</v>
      </c>
    </row>
    <row r="1267" spans="1:12" ht="108" customHeight="1" x14ac:dyDescent="0.3">
      <c r="A1267" s="2">
        <v>1263</v>
      </c>
      <c r="B1267" s="66" t="s">
        <v>1315</v>
      </c>
      <c r="C1267" s="66" t="s">
        <v>18924</v>
      </c>
      <c r="D1267" s="11" t="s">
        <v>1456</v>
      </c>
      <c r="E1267" s="11">
        <v>73970.399999999994</v>
      </c>
      <c r="F1267" s="3">
        <v>38715</v>
      </c>
      <c r="G1267" s="207" t="s">
        <v>1061</v>
      </c>
      <c r="H1267" s="2"/>
      <c r="I1267" s="2"/>
      <c r="J1267" s="2" t="s">
        <v>13904</v>
      </c>
      <c r="K1267" s="2" t="s">
        <v>19840</v>
      </c>
      <c r="L1267" s="82" t="s">
        <v>18920</v>
      </c>
    </row>
    <row r="1268" spans="1:12" ht="108" customHeight="1" x14ac:dyDescent="0.3">
      <c r="A1268" s="2">
        <v>1264</v>
      </c>
      <c r="B1268" s="66" t="s">
        <v>1315</v>
      </c>
      <c r="C1268" s="66" t="s">
        <v>18925</v>
      </c>
      <c r="D1268" s="11" t="s">
        <v>1456</v>
      </c>
      <c r="E1268" s="11">
        <v>73970.399999999994</v>
      </c>
      <c r="F1268" s="3">
        <v>38715</v>
      </c>
      <c r="G1268" s="207" t="s">
        <v>1061</v>
      </c>
      <c r="H1268" s="2"/>
      <c r="I1268" s="2"/>
      <c r="J1268" s="2" t="s">
        <v>13904</v>
      </c>
      <c r="K1268" s="2" t="s">
        <v>19840</v>
      </c>
      <c r="L1268" s="82" t="s">
        <v>18920</v>
      </c>
    </row>
    <row r="1269" spans="1:12" ht="108" customHeight="1" x14ac:dyDescent="0.3">
      <c r="A1269" s="2">
        <v>1265</v>
      </c>
      <c r="B1269" s="66" t="s">
        <v>1316</v>
      </c>
      <c r="C1269" s="66"/>
      <c r="D1269" s="11" t="s">
        <v>1457</v>
      </c>
      <c r="E1269" s="11">
        <v>50715</v>
      </c>
      <c r="F1269" s="3">
        <v>38503</v>
      </c>
      <c r="G1269" s="207" t="s">
        <v>1061</v>
      </c>
      <c r="H1269" s="2"/>
      <c r="I1269" s="2"/>
      <c r="J1269" s="2" t="s">
        <v>13904</v>
      </c>
      <c r="K1269" s="2" t="s">
        <v>19840</v>
      </c>
      <c r="L1269" s="82" t="s">
        <v>19749</v>
      </c>
    </row>
    <row r="1270" spans="1:12" ht="84" customHeight="1" x14ac:dyDescent="0.3">
      <c r="A1270" s="2">
        <v>1266</v>
      </c>
      <c r="B1270" s="66" t="s">
        <v>1317</v>
      </c>
      <c r="C1270" s="66"/>
      <c r="D1270" s="11" t="s">
        <v>1458</v>
      </c>
      <c r="E1270" s="11">
        <v>41446.61</v>
      </c>
      <c r="F1270" s="3">
        <v>39506</v>
      </c>
      <c r="G1270" s="207" t="s">
        <v>1061</v>
      </c>
      <c r="H1270" s="3">
        <v>43053</v>
      </c>
      <c r="I1270" s="2" t="s">
        <v>19506</v>
      </c>
      <c r="J1270" s="2" t="s">
        <v>13904</v>
      </c>
      <c r="K1270" s="2" t="s">
        <v>19841</v>
      </c>
      <c r="L1270" s="82" t="s">
        <v>19512</v>
      </c>
    </row>
    <row r="1271" spans="1:12" ht="84" customHeight="1" x14ac:dyDescent="0.3">
      <c r="A1271" s="2">
        <v>1267</v>
      </c>
      <c r="B1271" s="66" t="s">
        <v>1318</v>
      </c>
      <c r="C1271" s="66"/>
      <c r="D1271" s="11" t="s">
        <v>1459</v>
      </c>
      <c r="E1271" s="11">
        <v>13200</v>
      </c>
      <c r="F1271" s="3">
        <v>39265</v>
      </c>
      <c r="G1271" s="207" t="s">
        <v>1061</v>
      </c>
      <c r="H1271" s="3">
        <v>43053</v>
      </c>
      <c r="I1271" s="2" t="s">
        <v>19506</v>
      </c>
      <c r="J1271" s="2" t="s">
        <v>13904</v>
      </c>
      <c r="K1271" s="2" t="s">
        <v>19841</v>
      </c>
      <c r="L1271" s="82" t="s">
        <v>19512</v>
      </c>
    </row>
    <row r="1272" spans="1:12" ht="84" customHeight="1" x14ac:dyDescent="0.3">
      <c r="A1272" s="2">
        <v>1268</v>
      </c>
      <c r="B1272" s="66" t="s">
        <v>1319</v>
      </c>
      <c r="C1272" s="66"/>
      <c r="D1272" s="11" t="s">
        <v>1460</v>
      </c>
      <c r="E1272" s="11">
        <v>17304.2</v>
      </c>
      <c r="F1272" s="3">
        <v>38280</v>
      </c>
      <c r="G1272" s="207" t="s">
        <v>1061</v>
      </c>
      <c r="H1272" s="3">
        <v>43053</v>
      </c>
      <c r="I1272" s="2" t="s">
        <v>19506</v>
      </c>
      <c r="J1272" s="2" t="s">
        <v>13904</v>
      </c>
      <c r="K1272" s="2" t="s">
        <v>19841</v>
      </c>
      <c r="L1272" s="82" t="s">
        <v>19512</v>
      </c>
    </row>
    <row r="1273" spans="1:12" ht="84" customHeight="1" x14ac:dyDescent="0.3">
      <c r="A1273" s="2">
        <v>1269</v>
      </c>
      <c r="B1273" s="66" t="s">
        <v>1320</v>
      </c>
      <c r="C1273" s="66"/>
      <c r="D1273" s="11" t="s">
        <v>1461</v>
      </c>
      <c r="E1273" s="11">
        <v>42275.7</v>
      </c>
      <c r="F1273" s="3">
        <v>38716</v>
      </c>
      <c r="G1273" s="207" t="s">
        <v>1061</v>
      </c>
      <c r="H1273" s="3">
        <v>43053</v>
      </c>
      <c r="I1273" s="2" t="s">
        <v>19506</v>
      </c>
      <c r="J1273" s="2" t="s">
        <v>13904</v>
      </c>
      <c r="K1273" s="2" t="s">
        <v>19841</v>
      </c>
      <c r="L1273" s="82" t="s">
        <v>19512</v>
      </c>
    </row>
    <row r="1274" spans="1:12" ht="84" customHeight="1" x14ac:dyDescent="0.3">
      <c r="A1274" s="2">
        <v>1270</v>
      </c>
      <c r="B1274" s="66" t="s">
        <v>1321</v>
      </c>
      <c r="C1274" s="66"/>
      <c r="D1274" s="11" t="s">
        <v>1462</v>
      </c>
      <c r="E1274" s="11">
        <v>19260</v>
      </c>
      <c r="F1274" s="3">
        <v>38501</v>
      </c>
      <c r="G1274" s="207" t="s">
        <v>1061</v>
      </c>
      <c r="H1274" s="3">
        <v>43053</v>
      </c>
      <c r="I1274" s="2" t="s">
        <v>19506</v>
      </c>
      <c r="J1274" s="2" t="s">
        <v>13904</v>
      </c>
      <c r="K1274" s="2" t="s">
        <v>19841</v>
      </c>
      <c r="L1274" s="82" t="s">
        <v>19512</v>
      </c>
    </row>
    <row r="1275" spans="1:12" ht="84" customHeight="1" x14ac:dyDescent="0.3">
      <c r="A1275" s="2">
        <v>1271</v>
      </c>
      <c r="B1275" s="66" t="s">
        <v>1322</v>
      </c>
      <c r="C1275" s="66"/>
      <c r="D1275" s="11" t="s">
        <v>1463</v>
      </c>
      <c r="E1275" s="11">
        <v>14669.7</v>
      </c>
      <c r="F1275" s="3">
        <v>38501</v>
      </c>
      <c r="G1275" s="207" t="s">
        <v>1061</v>
      </c>
      <c r="H1275" s="3">
        <v>43053</v>
      </c>
      <c r="I1275" s="2" t="s">
        <v>19506</v>
      </c>
      <c r="J1275" s="2" t="s">
        <v>13904</v>
      </c>
      <c r="K1275" s="2" t="s">
        <v>19841</v>
      </c>
      <c r="L1275" s="82" t="s">
        <v>19512</v>
      </c>
    </row>
    <row r="1276" spans="1:12" ht="84" customHeight="1" x14ac:dyDescent="0.3">
      <c r="A1276" s="2">
        <v>1272</v>
      </c>
      <c r="B1276" s="66" t="s">
        <v>1323</v>
      </c>
      <c r="C1276" s="66"/>
      <c r="D1276" s="11" t="s">
        <v>1464</v>
      </c>
      <c r="E1276" s="11">
        <v>7479.3</v>
      </c>
      <c r="F1276" s="3">
        <v>38715</v>
      </c>
      <c r="G1276" s="207" t="s">
        <v>1061</v>
      </c>
      <c r="H1276" s="3">
        <v>43053</v>
      </c>
      <c r="I1276" s="2" t="s">
        <v>19506</v>
      </c>
      <c r="J1276" s="2" t="s">
        <v>13904</v>
      </c>
      <c r="K1276" s="2" t="s">
        <v>19841</v>
      </c>
      <c r="L1276" s="82" t="s">
        <v>19512</v>
      </c>
    </row>
    <row r="1277" spans="1:12" ht="84" customHeight="1" x14ac:dyDescent="0.3">
      <c r="A1277" s="2">
        <v>1273</v>
      </c>
      <c r="B1277" s="66" t="s">
        <v>1323</v>
      </c>
      <c r="C1277" s="66"/>
      <c r="D1277" s="11" t="s">
        <v>1464</v>
      </c>
      <c r="E1277" s="11">
        <v>7479.3</v>
      </c>
      <c r="F1277" s="3">
        <v>38715</v>
      </c>
      <c r="G1277" s="207" t="s">
        <v>1061</v>
      </c>
      <c r="H1277" s="3">
        <v>43053</v>
      </c>
      <c r="I1277" s="2" t="s">
        <v>19506</v>
      </c>
      <c r="J1277" s="2" t="s">
        <v>13904</v>
      </c>
      <c r="K1277" s="2" t="s">
        <v>19841</v>
      </c>
      <c r="L1277" s="82" t="s">
        <v>19512</v>
      </c>
    </row>
    <row r="1278" spans="1:12" ht="84" customHeight="1" x14ac:dyDescent="0.3">
      <c r="A1278" s="2">
        <v>1274</v>
      </c>
      <c r="B1278" s="66" t="s">
        <v>1324</v>
      </c>
      <c r="C1278" s="66"/>
      <c r="D1278" s="11" t="s">
        <v>1465</v>
      </c>
      <c r="E1278" s="11">
        <v>44037.02</v>
      </c>
      <c r="F1278" s="3">
        <v>39506</v>
      </c>
      <c r="G1278" s="207" t="s">
        <v>1061</v>
      </c>
      <c r="H1278" s="3">
        <v>43053</v>
      </c>
      <c r="I1278" s="2" t="s">
        <v>19506</v>
      </c>
      <c r="J1278" s="2" t="s">
        <v>13904</v>
      </c>
      <c r="K1278" s="2" t="s">
        <v>19841</v>
      </c>
      <c r="L1278" s="82" t="s">
        <v>19512</v>
      </c>
    </row>
    <row r="1279" spans="1:12" ht="84" customHeight="1" x14ac:dyDescent="0.3">
      <c r="A1279" s="2">
        <v>1275</v>
      </c>
      <c r="B1279" s="66" t="s">
        <v>1080</v>
      </c>
      <c r="C1279" s="66"/>
      <c r="D1279" s="11" t="s">
        <v>1466</v>
      </c>
      <c r="E1279" s="11">
        <v>9057.6</v>
      </c>
      <c r="F1279" s="3">
        <v>38960</v>
      </c>
      <c r="G1279" s="207" t="s">
        <v>1061</v>
      </c>
      <c r="H1279" s="3">
        <v>43053</v>
      </c>
      <c r="I1279" s="2" t="s">
        <v>19506</v>
      </c>
      <c r="J1279" s="2" t="s">
        <v>13904</v>
      </c>
      <c r="K1279" s="2" t="s">
        <v>19841</v>
      </c>
      <c r="L1279" s="82" t="s">
        <v>19512</v>
      </c>
    </row>
    <row r="1280" spans="1:12" ht="84" customHeight="1" x14ac:dyDescent="0.3">
      <c r="A1280" s="2">
        <v>1276</v>
      </c>
      <c r="B1280" s="66" t="s">
        <v>1325</v>
      </c>
      <c r="C1280" s="66"/>
      <c r="D1280" s="11" t="s">
        <v>1467</v>
      </c>
      <c r="E1280" s="11">
        <v>34351.08</v>
      </c>
      <c r="F1280" s="3">
        <v>38280</v>
      </c>
      <c r="G1280" s="207" t="s">
        <v>1061</v>
      </c>
      <c r="H1280" s="3">
        <v>43053</v>
      </c>
      <c r="I1280" s="2" t="s">
        <v>19506</v>
      </c>
      <c r="J1280" s="2" t="s">
        <v>13904</v>
      </c>
      <c r="K1280" s="2" t="s">
        <v>19841</v>
      </c>
      <c r="L1280" s="82" t="s">
        <v>19512</v>
      </c>
    </row>
    <row r="1281" spans="1:12" ht="84" customHeight="1" x14ac:dyDescent="0.3">
      <c r="A1281" s="2">
        <v>1277</v>
      </c>
      <c r="B1281" s="66" t="s">
        <v>1326</v>
      </c>
      <c r="C1281" s="66"/>
      <c r="D1281" s="11" t="s">
        <v>1468</v>
      </c>
      <c r="E1281" s="11">
        <v>29654.18</v>
      </c>
      <c r="F1281" s="3">
        <v>38715</v>
      </c>
      <c r="G1281" s="207" t="s">
        <v>1061</v>
      </c>
      <c r="H1281" s="3">
        <v>43053</v>
      </c>
      <c r="I1281" s="2" t="s">
        <v>19506</v>
      </c>
      <c r="J1281" s="2" t="s">
        <v>13904</v>
      </c>
      <c r="K1281" s="2" t="s">
        <v>19841</v>
      </c>
      <c r="L1281" s="82" t="s">
        <v>19512</v>
      </c>
    </row>
    <row r="1282" spans="1:12" ht="108" customHeight="1" x14ac:dyDescent="0.3">
      <c r="A1282" s="2">
        <v>1278</v>
      </c>
      <c r="B1282" s="66" t="s">
        <v>1327</v>
      </c>
      <c r="C1282" s="66" t="s">
        <v>18926</v>
      </c>
      <c r="D1282" s="11" t="s">
        <v>1469</v>
      </c>
      <c r="E1282" s="11">
        <v>203428.4</v>
      </c>
      <c r="F1282" s="3">
        <v>38501</v>
      </c>
      <c r="G1282" s="207" t="s">
        <v>1061</v>
      </c>
      <c r="H1282" s="2"/>
      <c r="I1282" s="2"/>
      <c r="J1282" s="2" t="s">
        <v>13904</v>
      </c>
      <c r="K1282" s="2" t="s">
        <v>19840</v>
      </c>
      <c r="L1282" s="82" t="s">
        <v>18920</v>
      </c>
    </row>
    <row r="1283" spans="1:12" ht="108" customHeight="1" x14ac:dyDescent="0.3">
      <c r="A1283" s="2">
        <v>1279</v>
      </c>
      <c r="B1283" s="66" t="s">
        <v>1328</v>
      </c>
      <c r="C1283" s="66" t="s">
        <v>18927</v>
      </c>
      <c r="D1283" s="11" t="s">
        <v>1470</v>
      </c>
      <c r="E1283" s="11">
        <v>172790.56</v>
      </c>
      <c r="F1283" s="3">
        <v>38715</v>
      </c>
      <c r="G1283" s="207" t="s">
        <v>1061</v>
      </c>
      <c r="H1283" s="2"/>
      <c r="I1283" s="2"/>
      <c r="J1283" s="2" t="s">
        <v>13904</v>
      </c>
      <c r="K1283" s="2" t="s">
        <v>19840</v>
      </c>
      <c r="L1283" s="82" t="s">
        <v>18920</v>
      </c>
    </row>
    <row r="1284" spans="1:12" ht="84" customHeight="1" x14ac:dyDescent="0.3">
      <c r="A1284" s="2">
        <v>1280</v>
      </c>
      <c r="B1284" s="66" t="s">
        <v>1329</v>
      </c>
      <c r="C1284" s="66"/>
      <c r="D1284" s="11" t="s">
        <v>1471</v>
      </c>
      <c r="E1284" s="11">
        <v>6409.3</v>
      </c>
      <c r="F1284" s="3">
        <v>38503</v>
      </c>
      <c r="G1284" s="207" t="s">
        <v>1061</v>
      </c>
      <c r="H1284" s="3">
        <v>43053</v>
      </c>
      <c r="I1284" s="2" t="s">
        <v>19506</v>
      </c>
      <c r="J1284" s="2" t="s">
        <v>13904</v>
      </c>
      <c r="K1284" s="2" t="s">
        <v>19841</v>
      </c>
      <c r="L1284" s="82" t="s">
        <v>19512</v>
      </c>
    </row>
    <row r="1285" spans="1:12" ht="84" customHeight="1" x14ac:dyDescent="0.3">
      <c r="A1285" s="2">
        <v>1281</v>
      </c>
      <c r="B1285" s="66" t="s">
        <v>1330</v>
      </c>
      <c r="C1285" s="66"/>
      <c r="D1285" s="11" t="s">
        <v>1472</v>
      </c>
      <c r="E1285" s="11">
        <v>9389.25</v>
      </c>
      <c r="F1285" s="3">
        <v>38503</v>
      </c>
      <c r="G1285" s="207" t="s">
        <v>1061</v>
      </c>
      <c r="H1285" s="3">
        <v>43053</v>
      </c>
      <c r="I1285" s="2" t="s">
        <v>19506</v>
      </c>
      <c r="J1285" s="2" t="s">
        <v>13904</v>
      </c>
      <c r="K1285" s="2" t="s">
        <v>19841</v>
      </c>
      <c r="L1285" s="82" t="s">
        <v>19512</v>
      </c>
    </row>
    <row r="1286" spans="1:12" ht="84" customHeight="1" x14ac:dyDescent="0.3">
      <c r="A1286" s="2">
        <v>1282</v>
      </c>
      <c r="B1286" s="66" t="s">
        <v>1330</v>
      </c>
      <c r="C1286" s="66"/>
      <c r="D1286" s="11" t="s">
        <v>1473</v>
      </c>
      <c r="E1286" s="11">
        <v>7647.55</v>
      </c>
      <c r="F1286" s="3">
        <v>38960</v>
      </c>
      <c r="G1286" s="207" t="s">
        <v>1061</v>
      </c>
      <c r="H1286" s="3">
        <v>43053</v>
      </c>
      <c r="I1286" s="2" t="s">
        <v>19506</v>
      </c>
      <c r="J1286" s="2" t="s">
        <v>13904</v>
      </c>
      <c r="K1286" s="2" t="s">
        <v>19841</v>
      </c>
      <c r="L1286" s="82" t="s">
        <v>19512</v>
      </c>
    </row>
    <row r="1287" spans="1:12" ht="84" customHeight="1" x14ac:dyDescent="0.3">
      <c r="A1287" s="2">
        <v>1283</v>
      </c>
      <c r="B1287" s="66" t="s">
        <v>1330</v>
      </c>
      <c r="C1287" s="66"/>
      <c r="D1287" s="11" t="s">
        <v>969</v>
      </c>
      <c r="E1287" s="11">
        <v>6882.24</v>
      </c>
      <c r="F1287" s="3">
        <v>38713</v>
      </c>
      <c r="G1287" s="207" t="s">
        <v>1061</v>
      </c>
      <c r="H1287" s="3">
        <v>43053</v>
      </c>
      <c r="I1287" s="2" t="s">
        <v>19506</v>
      </c>
      <c r="J1287" s="2" t="s">
        <v>13904</v>
      </c>
      <c r="K1287" s="2" t="s">
        <v>19841</v>
      </c>
      <c r="L1287" s="82" t="s">
        <v>19512</v>
      </c>
    </row>
    <row r="1288" spans="1:12" ht="84" customHeight="1" x14ac:dyDescent="0.3">
      <c r="A1288" s="2">
        <v>1284</v>
      </c>
      <c r="B1288" s="66" t="s">
        <v>1330</v>
      </c>
      <c r="C1288" s="66"/>
      <c r="D1288" s="11" t="s">
        <v>1474</v>
      </c>
      <c r="E1288" s="11">
        <v>5569.39</v>
      </c>
      <c r="F1288" s="3">
        <v>39506</v>
      </c>
      <c r="G1288" s="207" t="s">
        <v>1061</v>
      </c>
      <c r="H1288" s="3">
        <v>43053</v>
      </c>
      <c r="I1288" s="2" t="s">
        <v>19506</v>
      </c>
      <c r="J1288" s="2" t="s">
        <v>13904</v>
      </c>
      <c r="K1288" s="2" t="s">
        <v>19841</v>
      </c>
      <c r="L1288" s="82" t="s">
        <v>19512</v>
      </c>
    </row>
    <row r="1289" spans="1:12" ht="84" customHeight="1" x14ac:dyDescent="0.3">
      <c r="A1289" s="2">
        <v>1285</v>
      </c>
      <c r="B1289" s="66" t="s">
        <v>1331</v>
      </c>
      <c r="C1289" s="66"/>
      <c r="D1289" s="11" t="s">
        <v>1475</v>
      </c>
      <c r="E1289" s="11">
        <v>17100</v>
      </c>
      <c r="F1289" s="3">
        <v>38280</v>
      </c>
      <c r="G1289" s="207" t="s">
        <v>1061</v>
      </c>
      <c r="H1289" s="3">
        <v>43053</v>
      </c>
      <c r="I1289" s="2" t="s">
        <v>19506</v>
      </c>
      <c r="J1289" s="2" t="s">
        <v>13904</v>
      </c>
      <c r="K1289" s="2" t="s">
        <v>19841</v>
      </c>
      <c r="L1289" s="82" t="s">
        <v>19512</v>
      </c>
    </row>
    <row r="1290" spans="1:12" ht="84" customHeight="1" x14ac:dyDescent="0.3">
      <c r="A1290" s="2">
        <v>1286</v>
      </c>
      <c r="B1290" s="66" t="s">
        <v>1301</v>
      </c>
      <c r="C1290" s="66"/>
      <c r="D1290" s="11" t="s">
        <v>1476</v>
      </c>
      <c r="E1290" s="11">
        <v>16478</v>
      </c>
      <c r="F1290" s="3">
        <v>38715</v>
      </c>
      <c r="G1290" s="207" t="s">
        <v>1061</v>
      </c>
      <c r="H1290" s="3">
        <v>43053</v>
      </c>
      <c r="I1290" s="2" t="s">
        <v>19506</v>
      </c>
      <c r="J1290" s="2" t="s">
        <v>13904</v>
      </c>
      <c r="K1290" s="2" t="s">
        <v>19841</v>
      </c>
      <c r="L1290" s="82" t="s">
        <v>19512</v>
      </c>
    </row>
    <row r="1291" spans="1:12" ht="84" customHeight="1" x14ac:dyDescent="0.3">
      <c r="A1291" s="2">
        <v>1287</v>
      </c>
      <c r="B1291" s="66" t="s">
        <v>223</v>
      </c>
      <c r="C1291" s="66"/>
      <c r="D1291" s="11" t="s">
        <v>1477</v>
      </c>
      <c r="E1291" s="11">
        <v>28000</v>
      </c>
      <c r="F1291" s="3">
        <v>39080</v>
      </c>
      <c r="G1291" s="207" t="s">
        <v>1061</v>
      </c>
      <c r="H1291" s="3">
        <v>43053</v>
      </c>
      <c r="I1291" s="2" t="s">
        <v>19506</v>
      </c>
      <c r="J1291" s="2" t="s">
        <v>13904</v>
      </c>
      <c r="K1291" s="2" t="s">
        <v>19841</v>
      </c>
      <c r="L1291" s="82" t="s">
        <v>19512</v>
      </c>
    </row>
    <row r="1292" spans="1:12" ht="108" customHeight="1" x14ac:dyDescent="0.3">
      <c r="A1292" s="2">
        <v>1288</v>
      </c>
      <c r="B1292" s="66" t="s">
        <v>1332</v>
      </c>
      <c r="C1292" s="66" t="s">
        <v>18928</v>
      </c>
      <c r="D1292" s="11" t="s">
        <v>1478</v>
      </c>
      <c r="E1292" s="11">
        <v>234023</v>
      </c>
      <c r="F1292" s="3">
        <v>38501</v>
      </c>
      <c r="G1292" s="207" t="s">
        <v>1061</v>
      </c>
      <c r="H1292" s="2"/>
      <c r="I1292" s="2"/>
      <c r="J1292" s="2" t="s">
        <v>13904</v>
      </c>
      <c r="K1292" s="2" t="s">
        <v>19840</v>
      </c>
      <c r="L1292" s="82" t="s">
        <v>18920</v>
      </c>
    </row>
    <row r="1293" spans="1:12" ht="84" customHeight="1" x14ac:dyDescent="0.3">
      <c r="A1293" s="2">
        <v>1289</v>
      </c>
      <c r="B1293" s="66" t="s">
        <v>1333</v>
      </c>
      <c r="C1293" s="66"/>
      <c r="D1293" s="11" t="s">
        <v>1479</v>
      </c>
      <c r="E1293" s="11">
        <v>12444</v>
      </c>
      <c r="F1293" s="3">
        <v>38939</v>
      </c>
      <c r="G1293" s="207" t="s">
        <v>1061</v>
      </c>
      <c r="H1293" s="3">
        <v>43053</v>
      </c>
      <c r="I1293" s="2" t="s">
        <v>19506</v>
      </c>
      <c r="J1293" s="2" t="s">
        <v>13904</v>
      </c>
      <c r="K1293" s="2" t="s">
        <v>19841</v>
      </c>
      <c r="L1293" s="82" t="s">
        <v>19512</v>
      </c>
    </row>
    <row r="1294" spans="1:12" ht="84" customHeight="1" x14ac:dyDescent="0.3">
      <c r="A1294" s="2">
        <v>1290</v>
      </c>
      <c r="B1294" s="66" t="s">
        <v>1334</v>
      </c>
      <c r="C1294" s="66"/>
      <c r="D1294" s="11" t="s">
        <v>1480</v>
      </c>
      <c r="E1294" s="11">
        <v>36160</v>
      </c>
      <c r="F1294" s="3">
        <v>38501</v>
      </c>
      <c r="G1294" s="207" t="s">
        <v>1061</v>
      </c>
      <c r="H1294" s="3">
        <v>43053</v>
      </c>
      <c r="I1294" s="2" t="s">
        <v>19506</v>
      </c>
      <c r="J1294" s="2" t="s">
        <v>13904</v>
      </c>
      <c r="K1294" s="2" t="s">
        <v>19841</v>
      </c>
      <c r="L1294" s="82" t="s">
        <v>19512</v>
      </c>
    </row>
    <row r="1295" spans="1:12" ht="84" customHeight="1" x14ac:dyDescent="0.3">
      <c r="A1295" s="2">
        <v>1291</v>
      </c>
      <c r="B1295" s="66" t="s">
        <v>1097</v>
      </c>
      <c r="C1295" s="66"/>
      <c r="D1295" s="11" t="s">
        <v>1481</v>
      </c>
      <c r="E1295" s="11">
        <v>4269.3</v>
      </c>
      <c r="F1295" s="3">
        <v>38715</v>
      </c>
      <c r="G1295" s="207" t="s">
        <v>1061</v>
      </c>
      <c r="H1295" s="3">
        <v>43053</v>
      </c>
      <c r="I1295" s="2" t="s">
        <v>19506</v>
      </c>
      <c r="J1295" s="2" t="s">
        <v>13904</v>
      </c>
      <c r="K1295" s="2" t="s">
        <v>19841</v>
      </c>
      <c r="L1295" s="82" t="s">
        <v>19512</v>
      </c>
    </row>
    <row r="1296" spans="1:12" ht="84" customHeight="1" x14ac:dyDescent="0.3">
      <c r="A1296" s="2">
        <v>1292</v>
      </c>
      <c r="B1296" s="66" t="s">
        <v>1097</v>
      </c>
      <c r="C1296" s="66"/>
      <c r="D1296" s="11" t="s">
        <v>1481</v>
      </c>
      <c r="E1296" s="11">
        <v>4269.3</v>
      </c>
      <c r="F1296" s="3">
        <v>38715</v>
      </c>
      <c r="G1296" s="207" t="s">
        <v>1061</v>
      </c>
      <c r="H1296" s="3">
        <v>43053</v>
      </c>
      <c r="I1296" s="2" t="s">
        <v>19506</v>
      </c>
      <c r="J1296" s="2" t="s">
        <v>13904</v>
      </c>
      <c r="K1296" s="2" t="s">
        <v>19841</v>
      </c>
      <c r="L1296" s="82" t="s">
        <v>19512</v>
      </c>
    </row>
    <row r="1297" spans="1:12" ht="84" customHeight="1" x14ac:dyDescent="0.3">
      <c r="A1297" s="2">
        <v>1293</v>
      </c>
      <c r="B1297" s="66" t="s">
        <v>1097</v>
      </c>
      <c r="C1297" s="66"/>
      <c r="D1297" s="11" t="s">
        <v>1481</v>
      </c>
      <c r="E1297" s="11">
        <v>4269.3</v>
      </c>
      <c r="F1297" s="3">
        <v>38715</v>
      </c>
      <c r="G1297" s="207" t="s">
        <v>1061</v>
      </c>
      <c r="H1297" s="3">
        <v>43053</v>
      </c>
      <c r="I1297" s="2" t="s">
        <v>19506</v>
      </c>
      <c r="J1297" s="2" t="s">
        <v>13904</v>
      </c>
      <c r="K1297" s="2" t="s">
        <v>19841</v>
      </c>
      <c r="L1297" s="82" t="s">
        <v>19512</v>
      </c>
    </row>
    <row r="1298" spans="1:12" ht="84" customHeight="1" x14ac:dyDescent="0.3">
      <c r="A1298" s="2">
        <v>1294</v>
      </c>
      <c r="B1298" s="66" t="s">
        <v>1097</v>
      </c>
      <c r="C1298" s="66"/>
      <c r="D1298" s="11" t="s">
        <v>1481</v>
      </c>
      <c r="E1298" s="11">
        <v>4269.3</v>
      </c>
      <c r="F1298" s="3">
        <v>38715</v>
      </c>
      <c r="G1298" s="207" t="s">
        <v>1061</v>
      </c>
      <c r="H1298" s="3">
        <v>43053</v>
      </c>
      <c r="I1298" s="2" t="s">
        <v>19506</v>
      </c>
      <c r="J1298" s="2" t="s">
        <v>13904</v>
      </c>
      <c r="K1298" s="2" t="s">
        <v>19841</v>
      </c>
      <c r="L1298" s="82" t="s">
        <v>19512</v>
      </c>
    </row>
    <row r="1299" spans="1:12" ht="84" customHeight="1" x14ac:dyDescent="0.3">
      <c r="A1299" s="2">
        <v>1295</v>
      </c>
      <c r="B1299" s="66" t="s">
        <v>1097</v>
      </c>
      <c r="C1299" s="66"/>
      <c r="D1299" s="11" t="s">
        <v>1481</v>
      </c>
      <c r="E1299" s="11">
        <v>4269.3</v>
      </c>
      <c r="F1299" s="3">
        <v>38715</v>
      </c>
      <c r="G1299" s="207" t="s">
        <v>1061</v>
      </c>
      <c r="H1299" s="3">
        <v>43053</v>
      </c>
      <c r="I1299" s="2" t="s">
        <v>19506</v>
      </c>
      <c r="J1299" s="2" t="s">
        <v>13904</v>
      </c>
      <c r="K1299" s="2" t="s">
        <v>19841</v>
      </c>
      <c r="L1299" s="82" t="s">
        <v>19512</v>
      </c>
    </row>
    <row r="1300" spans="1:12" ht="84" customHeight="1" x14ac:dyDescent="0.3">
      <c r="A1300" s="2">
        <v>1296</v>
      </c>
      <c r="B1300" s="66" t="s">
        <v>1097</v>
      </c>
      <c r="C1300" s="66"/>
      <c r="D1300" s="11" t="s">
        <v>1481</v>
      </c>
      <c r="E1300" s="11">
        <v>4269.3</v>
      </c>
      <c r="F1300" s="3">
        <v>38715</v>
      </c>
      <c r="G1300" s="207" t="s">
        <v>1061</v>
      </c>
      <c r="H1300" s="3">
        <v>43053</v>
      </c>
      <c r="I1300" s="2" t="s">
        <v>19506</v>
      </c>
      <c r="J1300" s="2" t="s">
        <v>13904</v>
      </c>
      <c r="K1300" s="2" t="s">
        <v>19841</v>
      </c>
      <c r="L1300" s="82" t="s">
        <v>19512</v>
      </c>
    </row>
    <row r="1301" spans="1:12" ht="84" customHeight="1" x14ac:dyDescent="0.3">
      <c r="A1301" s="2">
        <v>1297</v>
      </c>
      <c r="B1301" s="66" t="s">
        <v>1097</v>
      </c>
      <c r="C1301" s="66"/>
      <c r="D1301" s="11" t="s">
        <v>1481</v>
      </c>
      <c r="E1301" s="11">
        <v>4269.3</v>
      </c>
      <c r="F1301" s="3">
        <v>38715</v>
      </c>
      <c r="G1301" s="207" t="s">
        <v>1061</v>
      </c>
      <c r="H1301" s="3">
        <v>43053</v>
      </c>
      <c r="I1301" s="2" t="s">
        <v>19506</v>
      </c>
      <c r="J1301" s="2" t="s">
        <v>13904</v>
      </c>
      <c r="K1301" s="2" t="s">
        <v>19841</v>
      </c>
      <c r="L1301" s="82" t="s">
        <v>19512</v>
      </c>
    </row>
    <row r="1302" spans="1:12" ht="84" customHeight="1" x14ac:dyDescent="0.3">
      <c r="A1302" s="2">
        <v>1298</v>
      </c>
      <c r="B1302" s="66" t="s">
        <v>1335</v>
      </c>
      <c r="C1302" s="66"/>
      <c r="D1302" s="11" t="s">
        <v>1482</v>
      </c>
      <c r="E1302" s="11">
        <v>8121.3</v>
      </c>
      <c r="F1302" s="3">
        <v>38715</v>
      </c>
      <c r="G1302" s="207" t="s">
        <v>1061</v>
      </c>
      <c r="H1302" s="3">
        <v>43053</v>
      </c>
      <c r="I1302" s="2" t="s">
        <v>19506</v>
      </c>
      <c r="J1302" s="2" t="s">
        <v>13904</v>
      </c>
      <c r="K1302" s="2" t="s">
        <v>19841</v>
      </c>
      <c r="L1302" s="82" t="s">
        <v>19512</v>
      </c>
    </row>
    <row r="1303" spans="1:12" ht="84" customHeight="1" x14ac:dyDescent="0.3">
      <c r="A1303" s="2">
        <v>1299</v>
      </c>
      <c r="B1303" s="66" t="s">
        <v>1336</v>
      </c>
      <c r="C1303" s="66"/>
      <c r="D1303" s="11" t="s">
        <v>1483</v>
      </c>
      <c r="E1303" s="11">
        <v>11424</v>
      </c>
      <c r="F1303" s="3">
        <v>38281</v>
      </c>
      <c r="G1303" s="207" t="s">
        <v>1061</v>
      </c>
      <c r="H1303" s="3">
        <v>43053</v>
      </c>
      <c r="I1303" s="2" t="s">
        <v>19506</v>
      </c>
      <c r="J1303" s="2" t="s">
        <v>13904</v>
      </c>
      <c r="K1303" s="2" t="s">
        <v>19841</v>
      </c>
      <c r="L1303" s="82" t="s">
        <v>19512</v>
      </c>
    </row>
    <row r="1304" spans="1:12" ht="84" customHeight="1" x14ac:dyDescent="0.3">
      <c r="A1304" s="2">
        <v>1300</v>
      </c>
      <c r="B1304" s="66" t="s">
        <v>1337</v>
      </c>
      <c r="C1304" s="66"/>
      <c r="D1304" s="11" t="s">
        <v>1484</v>
      </c>
      <c r="E1304" s="11">
        <v>7990</v>
      </c>
      <c r="F1304" s="3">
        <v>39626</v>
      </c>
      <c r="G1304" s="207" t="s">
        <v>1061</v>
      </c>
      <c r="H1304" s="3">
        <v>43053</v>
      </c>
      <c r="I1304" s="2" t="s">
        <v>19506</v>
      </c>
      <c r="J1304" s="2" t="s">
        <v>13904</v>
      </c>
      <c r="K1304" s="2" t="s">
        <v>19841</v>
      </c>
      <c r="L1304" s="82" t="s">
        <v>19512</v>
      </c>
    </row>
    <row r="1305" spans="1:12" ht="108" customHeight="1" x14ac:dyDescent="0.3">
      <c r="A1305" s="2">
        <v>1301</v>
      </c>
      <c r="B1305" s="66" t="s">
        <v>1338</v>
      </c>
      <c r="C1305" s="66" t="s">
        <v>18929</v>
      </c>
      <c r="D1305" s="11" t="s">
        <v>1485</v>
      </c>
      <c r="E1305" s="11">
        <v>133126.24</v>
      </c>
      <c r="F1305" s="3">
        <v>38993</v>
      </c>
      <c r="G1305" s="207" t="s">
        <v>1061</v>
      </c>
      <c r="H1305" s="2"/>
      <c r="I1305" s="2"/>
      <c r="J1305" s="2" t="s">
        <v>13904</v>
      </c>
      <c r="K1305" s="2" t="s">
        <v>19840</v>
      </c>
      <c r="L1305" s="82" t="s">
        <v>18920</v>
      </c>
    </row>
    <row r="1306" spans="1:12" ht="84" customHeight="1" x14ac:dyDescent="0.3">
      <c r="A1306" s="2">
        <v>1302</v>
      </c>
      <c r="B1306" s="66" t="s">
        <v>1339</v>
      </c>
      <c r="C1306" s="66"/>
      <c r="D1306" s="11" t="s">
        <v>1486</v>
      </c>
      <c r="E1306" s="11">
        <v>17410.79</v>
      </c>
      <c r="F1306" s="3">
        <v>39433</v>
      </c>
      <c r="G1306" s="207" t="s">
        <v>1061</v>
      </c>
      <c r="H1306" s="3">
        <v>43053</v>
      </c>
      <c r="I1306" s="2" t="s">
        <v>19506</v>
      </c>
      <c r="J1306" s="2" t="s">
        <v>13904</v>
      </c>
      <c r="K1306" s="2" t="s">
        <v>19841</v>
      </c>
      <c r="L1306" s="82" t="s">
        <v>19512</v>
      </c>
    </row>
    <row r="1307" spans="1:12" ht="84" customHeight="1" x14ac:dyDescent="0.3">
      <c r="A1307" s="2">
        <v>1303</v>
      </c>
      <c r="B1307" s="66" t="s">
        <v>1340</v>
      </c>
      <c r="C1307" s="66"/>
      <c r="D1307" s="11" t="s">
        <v>1487</v>
      </c>
      <c r="E1307" s="11">
        <v>4697.3</v>
      </c>
      <c r="F1307" s="3">
        <v>38715</v>
      </c>
      <c r="G1307" s="207" t="s">
        <v>1061</v>
      </c>
      <c r="H1307" s="3">
        <v>43053</v>
      </c>
      <c r="I1307" s="2" t="s">
        <v>19506</v>
      </c>
      <c r="J1307" s="2" t="s">
        <v>13904</v>
      </c>
      <c r="K1307" s="2" t="s">
        <v>19841</v>
      </c>
      <c r="L1307" s="82" t="s">
        <v>19512</v>
      </c>
    </row>
    <row r="1308" spans="1:12" ht="84" customHeight="1" x14ac:dyDescent="0.3">
      <c r="A1308" s="2">
        <v>1304</v>
      </c>
      <c r="B1308" s="66" t="s">
        <v>1340</v>
      </c>
      <c r="C1308" s="66"/>
      <c r="D1308" s="11" t="s">
        <v>1487</v>
      </c>
      <c r="E1308" s="11">
        <v>4697.3</v>
      </c>
      <c r="F1308" s="3">
        <v>38715</v>
      </c>
      <c r="G1308" s="207" t="s">
        <v>1061</v>
      </c>
      <c r="H1308" s="3">
        <v>43053</v>
      </c>
      <c r="I1308" s="2" t="s">
        <v>19506</v>
      </c>
      <c r="J1308" s="2" t="s">
        <v>13904</v>
      </c>
      <c r="K1308" s="2" t="s">
        <v>19841</v>
      </c>
      <c r="L1308" s="82" t="s">
        <v>19512</v>
      </c>
    </row>
    <row r="1309" spans="1:12" ht="84" customHeight="1" x14ac:dyDescent="0.3">
      <c r="A1309" s="2">
        <v>1305</v>
      </c>
      <c r="B1309" s="66" t="s">
        <v>1340</v>
      </c>
      <c r="C1309" s="66"/>
      <c r="D1309" s="11" t="s">
        <v>1487</v>
      </c>
      <c r="E1309" s="11">
        <v>4697.3</v>
      </c>
      <c r="F1309" s="3">
        <v>38715</v>
      </c>
      <c r="G1309" s="207" t="s">
        <v>1061</v>
      </c>
      <c r="H1309" s="3">
        <v>43053</v>
      </c>
      <c r="I1309" s="2" t="s">
        <v>19506</v>
      </c>
      <c r="J1309" s="2" t="s">
        <v>13904</v>
      </c>
      <c r="K1309" s="2" t="s">
        <v>19841</v>
      </c>
      <c r="L1309" s="82" t="s">
        <v>19512</v>
      </c>
    </row>
    <row r="1310" spans="1:12" ht="84" customHeight="1" x14ac:dyDescent="0.3">
      <c r="A1310" s="2">
        <v>1306</v>
      </c>
      <c r="B1310" s="66" t="s">
        <v>1340</v>
      </c>
      <c r="C1310" s="66"/>
      <c r="D1310" s="11" t="s">
        <v>1487</v>
      </c>
      <c r="E1310" s="11">
        <v>4697.3</v>
      </c>
      <c r="F1310" s="3">
        <v>38715</v>
      </c>
      <c r="G1310" s="207" t="s">
        <v>1061</v>
      </c>
      <c r="H1310" s="3">
        <v>43053</v>
      </c>
      <c r="I1310" s="2" t="s">
        <v>19506</v>
      </c>
      <c r="J1310" s="2" t="s">
        <v>13904</v>
      </c>
      <c r="K1310" s="2" t="s">
        <v>19841</v>
      </c>
      <c r="L1310" s="82" t="s">
        <v>19512</v>
      </c>
    </row>
    <row r="1311" spans="1:12" ht="84" customHeight="1" x14ac:dyDescent="0.3">
      <c r="A1311" s="2">
        <v>1307</v>
      </c>
      <c r="B1311" s="66" t="s">
        <v>1340</v>
      </c>
      <c r="C1311" s="66"/>
      <c r="D1311" s="11" t="s">
        <v>1487</v>
      </c>
      <c r="E1311" s="11">
        <v>4697.3</v>
      </c>
      <c r="F1311" s="3">
        <v>38715</v>
      </c>
      <c r="G1311" s="207" t="s">
        <v>1061</v>
      </c>
      <c r="H1311" s="3">
        <v>43053</v>
      </c>
      <c r="I1311" s="2" t="s">
        <v>19506</v>
      </c>
      <c r="J1311" s="2" t="s">
        <v>13904</v>
      </c>
      <c r="K1311" s="2" t="s">
        <v>19841</v>
      </c>
      <c r="L1311" s="82" t="s">
        <v>19512</v>
      </c>
    </row>
    <row r="1312" spans="1:12" ht="84" customHeight="1" x14ac:dyDescent="0.3">
      <c r="A1312" s="2">
        <v>1308</v>
      </c>
      <c r="B1312" s="66" t="s">
        <v>1341</v>
      </c>
      <c r="C1312" s="66"/>
      <c r="D1312" s="11" t="s">
        <v>1488</v>
      </c>
      <c r="E1312" s="11">
        <v>9291</v>
      </c>
      <c r="F1312" s="3">
        <v>38209</v>
      </c>
      <c r="G1312" s="207" t="s">
        <v>1061</v>
      </c>
      <c r="H1312" s="3">
        <v>43053</v>
      </c>
      <c r="I1312" s="2" t="s">
        <v>19506</v>
      </c>
      <c r="J1312" s="2" t="s">
        <v>13904</v>
      </c>
      <c r="K1312" s="2" t="s">
        <v>19841</v>
      </c>
      <c r="L1312" s="82" t="s">
        <v>19512</v>
      </c>
    </row>
    <row r="1313" spans="1:12" ht="84" customHeight="1" x14ac:dyDescent="0.3">
      <c r="A1313" s="2">
        <v>1309</v>
      </c>
      <c r="B1313" s="66" t="s">
        <v>1341</v>
      </c>
      <c r="C1313" s="66"/>
      <c r="D1313" s="11" t="s">
        <v>1489</v>
      </c>
      <c r="E1313" s="11">
        <v>10716</v>
      </c>
      <c r="F1313" s="3">
        <v>38209</v>
      </c>
      <c r="G1313" s="207" t="s">
        <v>1061</v>
      </c>
      <c r="H1313" s="3">
        <v>43053</v>
      </c>
      <c r="I1313" s="2" t="s">
        <v>19506</v>
      </c>
      <c r="J1313" s="2" t="s">
        <v>13904</v>
      </c>
      <c r="K1313" s="2" t="s">
        <v>19841</v>
      </c>
      <c r="L1313" s="82" t="s">
        <v>19512</v>
      </c>
    </row>
    <row r="1314" spans="1:12" ht="84" customHeight="1" x14ac:dyDescent="0.3">
      <c r="A1314" s="2">
        <v>1310</v>
      </c>
      <c r="B1314" s="66" t="s">
        <v>1341</v>
      </c>
      <c r="C1314" s="66"/>
      <c r="D1314" s="11" t="s">
        <v>1490</v>
      </c>
      <c r="E1314" s="11">
        <v>12540</v>
      </c>
      <c r="F1314" s="3">
        <v>38280</v>
      </c>
      <c r="G1314" s="207" t="s">
        <v>1061</v>
      </c>
      <c r="H1314" s="3">
        <v>43053</v>
      </c>
      <c r="I1314" s="2" t="s">
        <v>19506</v>
      </c>
      <c r="J1314" s="2" t="s">
        <v>13904</v>
      </c>
      <c r="K1314" s="2" t="s">
        <v>19841</v>
      </c>
      <c r="L1314" s="82" t="s">
        <v>19512</v>
      </c>
    </row>
    <row r="1315" spans="1:12" ht="84" customHeight="1" x14ac:dyDescent="0.3">
      <c r="A1315" s="2">
        <v>1311</v>
      </c>
      <c r="B1315" s="66" t="s">
        <v>1342</v>
      </c>
      <c r="C1315" s="66"/>
      <c r="D1315" s="11" t="s">
        <v>1491</v>
      </c>
      <c r="E1315" s="11">
        <v>10248.6</v>
      </c>
      <c r="F1315" s="3">
        <v>38209</v>
      </c>
      <c r="G1315" s="207" t="s">
        <v>1061</v>
      </c>
      <c r="H1315" s="3">
        <v>43053</v>
      </c>
      <c r="I1315" s="2" t="s">
        <v>19506</v>
      </c>
      <c r="J1315" s="2" t="s">
        <v>13904</v>
      </c>
      <c r="K1315" s="2" t="s">
        <v>19841</v>
      </c>
      <c r="L1315" s="82" t="s">
        <v>19512</v>
      </c>
    </row>
    <row r="1316" spans="1:12" ht="84" customHeight="1" x14ac:dyDescent="0.3">
      <c r="A1316" s="2">
        <v>1312</v>
      </c>
      <c r="B1316" s="66" t="s">
        <v>1343</v>
      </c>
      <c r="C1316" s="66"/>
      <c r="D1316" s="11" t="s">
        <v>1492</v>
      </c>
      <c r="E1316" s="11">
        <v>9712.7999999999993</v>
      </c>
      <c r="F1316" s="3">
        <v>38280</v>
      </c>
      <c r="G1316" s="207" t="s">
        <v>1061</v>
      </c>
      <c r="H1316" s="3">
        <v>43053</v>
      </c>
      <c r="I1316" s="2" t="s">
        <v>19506</v>
      </c>
      <c r="J1316" s="2" t="s">
        <v>13904</v>
      </c>
      <c r="K1316" s="2" t="s">
        <v>19841</v>
      </c>
      <c r="L1316" s="82" t="s">
        <v>19512</v>
      </c>
    </row>
    <row r="1317" spans="1:12" ht="84" customHeight="1" x14ac:dyDescent="0.3">
      <c r="A1317" s="2">
        <v>1313</v>
      </c>
      <c r="B1317" s="66" t="s">
        <v>1344</v>
      </c>
      <c r="C1317" s="66"/>
      <c r="D1317" s="11" t="s">
        <v>1493</v>
      </c>
      <c r="E1317" s="11">
        <v>36743.800000000003</v>
      </c>
      <c r="F1317" s="3">
        <v>38501</v>
      </c>
      <c r="G1317" s="207" t="s">
        <v>1061</v>
      </c>
      <c r="H1317" s="3">
        <v>43053</v>
      </c>
      <c r="I1317" s="2" t="s">
        <v>19506</v>
      </c>
      <c r="J1317" s="2" t="s">
        <v>13904</v>
      </c>
      <c r="K1317" s="2" t="s">
        <v>19841</v>
      </c>
      <c r="L1317" s="82" t="s">
        <v>19512</v>
      </c>
    </row>
    <row r="1318" spans="1:12" ht="84" customHeight="1" x14ac:dyDescent="0.3">
      <c r="A1318" s="2">
        <v>1314</v>
      </c>
      <c r="B1318" s="66" t="s">
        <v>1345</v>
      </c>
      <c r="C1318" s="66"/>
      <c r="D1318" s="11" t="s">
        <v>1494</v>
      </c>
      <c r="E1318" s="11">
        <v>8870.2999999999993</v>
      </c>
      <c r="F1318" s="3">
        <v>38715</v>
      </c>
      <c r="G1318" s="207" t="s">
        <v>1061</v>
      </c>
      <c r="H1318" s="3">
        <v>43053</v>
      </c>
      <c r="I1318" s="2" t="s">
        <v>19506</v>
      </c>
      <c r="J1318" s="2" t="s">
        <v>13904</v>
      </c>
      <c r="K1318" s="2" t="s">
        <v>19841</v>
      </c>
      <c r="L1318" s="82" t="s">
        <v>19512</v>
      </c>
    </row>
    <row r="1319" spans="1:12" ht="84" customHeight="1" x14ac:dyDescent="0.3">
      <c r="A1319" s="2">
        <v>1315</v>
      </c>
      <c r="B1319" s="66" t="s">
        <v>1346</v>
      </c>
      <c r="C1319" s="66"/>
      <c r="D1319" s="11" t="s">
        <v>1495</v>
      </c>
      <c r="E1319" s="11">
        <v>27717.79</v>
      </c>
      <c r="F1319" s="3">
        <v>39078</v>
      </c>
      <c r="G1319" s="207" t="s">
        <v>1061</v>
      </c>
      <c r="H1319" s="3">
        <v>43053</v>
      </c>
      <c r="I1319" s="2" t="s">
        <v>19506</v>
      </c>
      <c r="J1319" s="2" t="s">
        <v>13904</v>
      </c>
      <c r="K1319" s="2" t="s">
        <v>19841</v>
      </c>
      <c r="L1319" s="82" t="s">
        <v>19512</v>
      </c>
    </row>
    <row r="1320" spans="1:12" ht="84" customHeight="1" x14ac:dyDescent="0.3">
      <c r="A1320" s="2">
        <v>1316</v>
      </c>
      <c r="B1320" s="66" t="s">
        <v>1347</v>
      </c>
      <c r="C1320" s="66"/>
      <c r="D1320" s="11" t="s">
        <v>1496</v>
      </c>
      <c r="E1320" s="11">
        <v>8592.1</v>
      </c>
      <c r="F1320" s="3">
        <v>38498</v>
      </c>
      <c r="G1320" s="207" t="s">
        <v>1061</v>
      </c>
      <c r="H1320" s="3">
        <v>43053</v>
      </c>
      <c r="I1320" s="2" t="s">
        <v>19506</v>
      </c>
      <c r="J1320" s="2" t="s">
        <v>13904</v>
      </c>
      <c r="K1320" s="2" t="s">
        <v>19841</v>
      </c>
      <c r="L1320" s="82" t="s">
        <v>19512</v>
      </c>
    </row>
    <row r="1321" spans="1:12" ht="84" customHeight="1" x14ac:dyDescent="0.3">
      <c r="A1321" s="2">
        <v>1317</v>
      </c>
      <c r="B1321" s="66" t="s">
        <v>1348</v>
      </c>
      <c r="C1321" s="66"/>
      <c r="D1321" s="11" t="s">
        <v>1497</v>
      </c>
      <c r="E1321" s="11">
        <v>13010.13</v>
      </c>
      <c r="F1321" s="3">
        <v>38716</v>
      </c>
      <c r="G1321" s="207" t="s">
        <v>1061</v>
      </c>
      <c r="H1321" s="3">
        <v>43053</v>
      </c>
      <c r="I1321" s="2" t="s">
        <v>19506</v>
      </c>
      <c r="J1321" s="2" t="s">
        <v>13904</v>
      </c>
      <c r="K1321" s="2" t="s">
        <v>19841</v>
      </c>
      <c r="L1321" s="82" t="s">
        <v>19512</v>
      </c>
    </row>
    <row r="1322" spans="1:12" ht="84" customHeight="1" x14ac:dyDescent="0.3">
      <c r="A1322" s="2">
        <v>1318</v>
      </c>
      <c r="B1322" s="66" t="s">
        <v>1349</v>
      </c>
      <c r="C1322" s="66"/>
      <c r="D1322" s="11" t="s">
        <v>1498</v>
      </c>
      <c r="E1322" s="11">
        <v>19174.400000000001</v>
      </c>
      <c r="F1322" s="3">
        <v>38716</v>
      </c>
      <c r="G1322" s="207" t="s">
        <v>1061</v>
      </c>
      <c r="H1322" s="3">
        <v>43053</v>
      </c>
      <c r="I1322" s="2" t="s">
        <v>19506</v>
      </c>
      <c r="J1322" s="2" t="s">
        <v>13904</v>
      </c>
      <c r="K1322" s="2" t="s">
        <v>19841</v>
      </c>
      <c r="L1322" s="82" t="s">
        <v>19512</v>
      </c>
    </row>
    <row r="1323" spans="1:12" ht="84" customHeight="1" x14ac:dyDescent="0.3">
      <c r="A1323" s="2">
        <v>1319</v>
      </c>
      <c r="B1323" s="66" t="s">
        <v>1300</v>
      </c>
      <c r="C1323" s="66"/>
      <c r="D1323" s="11" t="s">
        <v>1439</v>
      </c>
      <c r="E1323" s="11">
        <v>4526.24</v>
      </c>
      <c r="F1323" s="3">
        <v>39507</v>
      </c>
      <c r="G1323" s="207" t="s">
        <v>1061</v>
      </c>
      <c r="H1323" s="3">
        <v>43053</v>
      </c>
      <c r="I1323" s="2" t="s">
        <v>19506</v>
      </c>
      <c r="J1323" s="2" t="s">
        <v>13904</v>
      </c>
      <c r="K1323" s="2" t="s">
        <v>19841</v>
      </c>
      <c r="L1323" s="82" t="s">
        <v>19512</v>
      </c>
    </row>
    <row r="1324" spans="1:12" ht="84" customHeight="1" x14ac:dyDescent="0.3">
      <c r="A1324" s="2">
        <v>1320</v>
      </c>
      <c r="B1324" s="66" t="s">
        <v>1300</v>
      </c>
      <c r="C1324" s="66"/>
      <c r="D1324" s="11" t="s">
        <v>1439</v>
      </c>
      <c r="E1324" s="11">
        <v>4526.24</v>
      </c>
      <c r="F1324" s="3">
        <v>39507</v>
      </c>
      <c r="G1324" s="207" t="s">
        <v>1061</v>
      </c>
      <c r="H1324" s="3">
        <v>43053</v>
      </c>
      <c r="I1324" s="2" t="s">
        <v>19506</v>
      </c>
      <c r="J1324" s="2" t="s">
        <v>13904</v>
      </c>
      <c r="K1324" s="2" t="s">
        <v>19841</v>
      </c>
      <c r="L1324" s="82" t="s">
        <v>19512</v>
      </c>
    </row>
    <row r="1325" spans="1:12" ht="84" customHeight="1" x14ac:dyDescent="0.3">
      <c r="A1325" s="2">
        <v>1321</v>
      </c>
      <c r="B1325" s="66" t="s">
        <v>1300</v>
      </c>
      <c r="C1325" s="66"/>
      <c r="D1325" s="11" t="s">
        <v>1439</v>
      </c>
      <c r="E1325" s="11">
        <v>4526.24</v>
      </c>
      <c r="F1325" s="3">
        <v>39507</v>
      </c>
      <c r="G1325" s="207" t="s">
        <v>1061</v>
      </c>
      <c r="H1325" s="3">
        <v>43053</v>
      </c>
      <c r="I1325" s="2" t="s">
        <v>19506</v>
      </c>
      <c r="J1325" s="2" t="s">
        <v>13904</v>
      </c>
      <c r="K1325" s="2" t="s">
        <v>19841</v>
      </c>
      <c r="L1325" s="82" t="s">
        <v>19512</v>
      </c>
    </row>
    <row r="1326" spans="1:12" ht="84" customHeight="1" x14ac:dyDescent="0.3">
      <c r="A1326" s="2">
        <v>1322</v>
      </c>
      <c r="B1326" s="66" t="s">
        <v>1300</v>
      </c>
      <c r="C1326" s="66"/>
      <c r="D1326" s="11" t="s">
        <v>1439</v>
      </c>
      <c r="E1326" s="11">
        <v>4526.24</v>
      </c>
      <c r="F1326" s="3">
        <v>39507</v>
      </c>
      <c r="G1326" s="207" t="s">
        <v>1061</v>
      </c>
      <c r="H1326" s="3">
        <v>43053</v>
      </c>
      <c r="I1326" s="2" t="s">
        <v>19506</v>
      </c>
      <c r="J1326" s="2" t="s">
        <v>13904</v>
      </c>
      <c r="K1326" s="2" t="s">
        <v>19841</v>
      </c>
      <c r="L1326" s="82" t="s">
        <v>19512</v>
      </c>
    </row>
    <row r="1327" spans="1:12" ht="108" customHeight="1" x14ac:dyDescent="0.3">
      <c r="A1327" s="2">
        <v>1323</v>
      </c>
      <c r="B1327" s="66" t="s">
        <v>1350</v>
      </c>
      <c r="C1327" s="66" t="s">
        <v>18930</v>
      </c>
      <c r="D1327" s="11" t="s">
        <v>1499</v>
      </c>
      <c r="E1327" s="11">
        <v>55004.56</v>
      </c>
      <c r="F1327" s="3">
        <v>38944</v>
      </c>
      <c r="G1327" s="207" t="s">
        <v>1061</v>
      </c>
      <c r="H1327" s="2"/>
      <c r="I1327" s="2"/>
      <c r="J1327" s="2" t="s">
        <v>13904</v>
      </c>
      <c r="K1327" s="2" t="s">
        <v>19840</v>
      </c>
      <c r="L1327" s="82" t="s">
        <v>18920</v>
      </c>
    </row>
    <row r="1328" spans="1:12" ht="108" customHeight="1" x14ac:dyDescent="0.3">
      <c r="A1328" s="2">
        <v>1324</v>
      </c>
      <c r="B1328" s="66" t="s">
        <v>1351</v>
      </c>
      <c r="C1328" s="66" t="s">
        <v>18932</v>
      </c>
      <c r="D1328" s="11" t="s">
        <v>1500</v>
      </c>
      <c r="E1328" s="11">
        <v>513900.27</v>
      </c>
      <c r="F1328" s="3">
        <v>38502</v>
      </c>
      <c r="G1328" s="207" t="s">
        <v>1061</v>
      </c>
      <c r="H1328" s="2"/>
      <c r="I1328" s="2"/>
      <c r="J1328" s="2" t="s">
        <v>13904</v>
      </c>
      <c r="K1328" s="2" t="s">
        <v>19840</v>
      </c>
      <c r="L1328" s="82" t="s">
        <v>21789</v>
      </c>
    </row>
    <row r="1329" spans="1:12" ht="108" customHeight="1" x14ac:dyDescent="0.3">
      <c r="A1329" s="2">
        <v>1325</v>
      </c>
      <c r="B1329" s="66" t="s">
        <v>1352</v>
      </c>
      <c r="C1329" s="66" t="s">
        <v>18933</v>
      </c>
      <c r="D1329" s="11" t="s">
        <v>1501</v>
      </c>
      <c r="E1329" s="11">
        <v>1262071.01</v>
      </c>
      <c r="F1329" s="3">
        <v>38501</v>
      </c>
      <c r="G1329" s="207" t="s">
        <v>1061</v>
      </c>
      <c r="H1329" s="2"/>
      <c r="I1329" s="2"/>
      <c r="J1329" s="2" t="s">
        <v>13904</v>
      </c>
      <c r="K1329" s="2" t="s">
        <v>19840</v>
      </c>
      <c r="L1329" s="82" t="s">
        <v>18920</v>
      </c>
    </row>
    <row r="1330" spans="1:12" ht="108" customHeight="1" x14ac:dyDescent="0.3">
      <c r="A1330" s="2">
        <v>1326</v>
      </c>
      <c r="B1330" s="66" t="s">
        <v>1353</v>
      </c>
      <c r="C1330" s="66" t="s">
        <v>18934</v>
      </c>
      <c r="D1330" s="11" t="s">
        <v>1502</v>
      </c>
      <c r="E1330" s="11">
        <v>52368.72</v>
      </c>
      <c r="F1330" s="3">
        <v>38501</v>
      </c>
      <c r="G1330" s="207" t="s">
        <v>1061</v>
      </c>
      <c r="H1330" s="2"/>
      <c r="I1330" s="2"/>
      <c r="J1330" s="2" t="s">
        <v>13904</v>
      </c>
      <c r="K1330" s="2" t="s">
        <v>19840</v>
      </c>
      <c r="L1330" s="82" t="s">
        <v>18920</v>
      </c>
    </row>
    <row r="1331" spans="1:12" ht="108" customHeight="1" x14ac:dyDescent="0.3">
      <c r="A1331" s="2">
        <v>1327</v>
      </c>
      <c r="B1331" s="66" t="s">
        <v>1353</v>
      </c>
      <c r="C1331" s="66" t="s">
        <v>18935</v>
      </c>
      <c r="D1331" s="11" t="s">
        <v>1502</v>
      </c>
      <c r="E1331" s="11">
        <v>52368.72</v>
      </c>
      <c r="F1331" s="3">
        <v>38501</v>
      </c>
      <c r="G1331" s="207" t="s">
        <v>1061</v>
      </c>
      <c r="H1331" s="2"/>
      <c r="I1331" s="2"/>
      <c r="J1331" s="2" t="s">
        <v>13904</v>
      </c>
      <c r="K1331" s="2" t="s">
        <v>19840</v>
      </c>
      <c r="L1331" s="82" t="s">
        <v>18920</v>
      </c>
    </row>
    <row r="1332" spans="1:12" ht="108" customHeight="1" x14ac:dyDescent="0.3">
      <c r="A1332" s="2">
        <v>1328</v>
      </c>
      <c r="B1332" s="66" t="s">
        <v>1354</v>
      </c>
      <c r="C1332" s="66" t="s">
        <v>18936</v>
      </c>
      <c r="D1332" s="11" t="s">
        <v>1503</v>
      </c>
      <c r="E1332" s="11">
        <v>74523.5</v>
      </c>
      <c r="F1332" s="3">
        <v>38501</v>
      </c>
      <c r="G1332" s="207" t="s">
        <v>1061</v>
      </c>
      <c r="H1332" s="2"/>
      <c r="I1332" s="2"/>
      <c r="J1332" s="2" t="s">
        <v>13904</v>
      </c>
      <c r="K1332" s="2" t="s">
        <v>19840</v>
      </c>
      <c r="L1332" s="82" t="s">
        <v>18920</v>
      </c>
    </row>
    <row r="1333" spans="1:12" ht="108" customHeight="1" x14ac:dyDescent="0.3">
      <c r="A1333" s="2">
        <v>1329</v>
      </c>
      <c r="B1333" s="66" t="s">
        <v>1354</v>
      </c>
      <c r="C1333" s="66" t="s">
        <v>18937</v>
      </c>
      <c r="D1333" s="11" t="s">
        <v>1503</v>
      </c>
      <c r="E1333" s="11">
        <v>74523.5</v>
      </c>
      <c r="F1333" s="3">
        <v>38501</v>
      </c>
      <c r="G1333" s="207" t="s">
        <v>1061</v>
      </c>
      <c r="H1333" s="2"/>
      <c r="I1333" s="2"/>
      <c r="J1333" s="2" t="s">
        <v>13904</v>
      </c>
      <c r="K1333" s="2" t="s">
        <v>19840</v>
      </c>
      <c r="L1333" s="82" t="s">
        <v>18920</v>
      </c>
    </row>
    <row r="1334" spans="1:12" ht="84" customHeight="1" x14ac:dyDescent="0.3">
      <c r="A1334" s="2">
        <v>1330</v>
      </c>
      <c r="B1334" s="66" t="s">
        <v>1355</v>
      </c>
      <c r="C1334" s="66"/>
      <c r="D1334" s="11" t="s">
        <v>1504</v>
      </c>
      <c r="E1334" s="11">
        <v>30161.96</v>
      </c>
      <c r="F1334" s="3">
        <v>38501</v>
      </c>
      <c r="G1334" s="207" t="s">
        <v>1061</v>
      </c>
      <c r="H1334" s="3">
        <v>43053</v>
      </c>
      <c r="I1334" s="2" t="s">
        <v>19506</v>
      </c>
      <c r="J1334" s="2" t="s">
        <v>13904</v>
      </c>
      <c r="K1334" s="2" t="s">
        <v>19841</v>
      </c>
      <c r="L1334" s="82" t="s">
        <v>19512</v>
      </c>
    </row>
    <row r="1335" spans="1:12" ht="84" customHeight="1" x14ac:dyDescent="0.3">
      <c r="A1335" s="2">
        <v>1331</v>
      </c>
      <c r="B1335" s="66" t="s">
        <v>1355</v>
      </c>
      <c r="C1335" s="66"/>
      <c r="D1335" s="11" t="s">
        <v>1504</v>
      </c>
      <c r="E1335" s="11">
        <v>30161.96</v>
      </c>
      <c r="F1335" s="3">
        <v>38502</v>
      </c>
      <c r="G1335" s="207" t="s">
        <v>1061</v>
      </c>
      <c r="H1335" s="3">
        <v>43053</v>
      </c>
      <c r="I1335" s="2" t="s">
        <v>19506</v>
      </c>
      <c r="J1335" s="2" t="s">
        <v>13904</v>
      </c>
      <c r="K1335" s="2" t="s">
        <v>19841</v>
      </c>
      <c r="L1335" s="82" t="s">
        <v>19512</v>
      </c>
    </row>
    <row r="1336" spans="1:12" ht="84" customHeight="1" x14ac:dyDescent="0.3">
      <c r="A1336" s="2">
        <v>1332</v>
      </c>
      <c r="B1336" s="66" t="s">
        <v>1356</v>
      </c>
      <c r="C1336" s="66"/>
      <c r="D1336" s="11" t="s">
        <v>1505</v>
      </c>
      <c r="E1336" s="11">
        <v>15676.53</v>
      </c>
      <c r="F1336" s="3">
        <v>38501</v>
      </c>
      <c r="G1336" s="207" t="s">
        <v>1061</v>
      </c>
      <c r="H1336" s="3">
        <v>43053</v>
      </c>
      <c r="I1336" s="2" t="s">
        <v>19506</v>
      </c>
      <c r="J1336" s="2" t="s">
        <v>13904</v>
      </c>
      <c r="K1336" s="2" t="s">
        <v>19841</v>
      </c>
      <c r="L1336" s="82" t="s">
        <v>19512</v>
      </c>
    </row>
    <row r="1337" spans="1:12" ht="84" customHeight="1" x14ac:dyDescent="0.3">
      <c r="A1337" s="2">
        <v>1333</v>
      </c>
      <c r="B1337" s="66" t="s">
        <v>1356</v>
      </c>
      <c r="C1337" s="66"/>
      <c r="D1337" s="11" t="s">
        <v>1505</v>
      </c>
      <c r="E1337" s="11">
        <v>15676.53</v>
      </c>
      <c r="F1337" s="3">
        <v>38501</v>
      </c>
      <c r="G1337" s="207" t="s">
        <v>1061</v>
      </c>
      <c r="H1337" s="3">
        <v>43053</v>
      </c>
      <c r="I1337" s="2" t="s">
        <v>19506</v>
      </c>
      <c r="J1337" s="2" t="s">
        <v>13904</v>
      </c>
      <c r="K1337" s="2" t="s">
        <v>19841</v>
      </c>
      <c r="L1337" s="82" t="s">
        <v>19512</v>
      </c>
    </row>
    <row r="1338" spans="1:12" ht="84" customHeight="1" x14ac:dyDescent="0.3">
      <c r="A1338" s="2">
        <v>1334</v>
      </c>
      <c r="B1338" s="66" t="s">
        <v>1357</v>
      </c>
      <c r="C1338" s="66"/>
      <c r="D1338" s="11" t="s">
        <v>1506</v>
      </c>
      <c r="E1338" s="11">
        <v>10000</v>
      </c>
      <c r="F1338" s="3">
        <v>39128</v>
      </c>
      <c r="G1338" s="207" t="s">
        <v>1061</v>
      </c>
      <c r="H1338" s="3">
        <v>43053</v>
      </c>
      <c r="I1338" s="2" t="s">
        <v>19506</v>
      </c>
      <c r="J1338" s="2" t="s">
        <v>13904</v>
      </c>
      <c r="K1338" s="2" t="s">
        <v>19841</v>
      </c>
      <c r="L1338" s="82" t="s">
        <v>19512</v>
      </c>
    </row>
    <row r="1339" spans="1:12" ht="84" customHeight="1" x14ac:dyDescent="0.3">
      <c r="A1339" s="2">
        <v>1335</v>
      </c>
      <c r="B1339" s="66" t="s">
        <v>1358</v>
      </c>
      <c r="C1339" s="66"/>
      <c r="D1339" s="11" t="s">
        <v>1507</v>
      </c>
      <c r="E1339" s="11">
        <v>35650</v>
      </c>
      <c r="F1339" s="3">
        <v>38280</v>
      </c>
      <c r="G1339" s="207" t="s">
        <v>1061</v>
      </c>
      <c r="H1339" s="3">
        <v>43053</v>
      </c>
      <c r="I1339" s="2" t="s">
        <v>19506</v>
      </c>
      <c r="J1339" s="2" t="s">
        <v>13904</v>
      </c>
      <c r="K1339" s="2" t="s">
        <v>19841</v>
      </c>
      <c r="L1339" s="82" t="s">
        <v>19512</v>
      </c>
    </row>
    <row r="1340" spans="1:12" ht="108" customHeight="1" x14ac:dyDescent="0.3">
      <c r="A1340" s="2">
        <v>1336</v>
      </c>
      <c r="B1340" s="66" t="s">
        <v>1359</v>
      </c>
      <c r="C1340" s="66" t="s">
        <v>18938</v>
      </c>
      <c r="D1340" s="11" t="s">
        <v>1508</v>
      </c>
      <c r="E1340" s="11">
        <v>63510.52</v>
      </c>
      <c r="F1340" s="3">
        <v>38501</v>
      </c>
      <c r="G1340" s="207" t="s">
        <v>1061</v>
      </c>
      <c r="H1340" s="2"/>
      <c r="I1340" s="2"/>
      <c r="J1340" s="2" t="s">
        <v>13904</v>
      </c>
      <c r="K1340" s="2" t="s">
        <v>19840</v>
      </c>
      <c r="L1340" s="82" t="s">
        <v>18920</v>
      </c>
    </row>
    <row r="1341" spans="1:12" ht="84" customHeight="1" x14ac:dyDescent="0.3">
      <c r="A1341" s="2">
        <v>1337</v>
      </c>
      <c r="B1341" s="66" t="s">
        <v>1360</v>
      </c>
      <c r="C1341" s="66"/>
      <c r="D1341" s="11" t="s">
        <v>1509</v>
      </c>
      <c r="E1341" s="11">
        <v>15080</v>
      </c>
      <c r="F1341" s="3">
        <v>39045</v>
      </c>
      <c r="G1341" s="207" t="s">
        <v>1061</v>
      </c>
      <c r="H1341" s="3">
        <v>43053</v>
      </c>
      <c r="I1341" s="2" t="s">
        <v>19506</v>
      </c>
      <c r="J1341" s="2" t="s">
        <v>13904</v>
      </c>
      <c r="K1341" s="2" t="s">
        <v>19841</v>
      </c>
      <c r="L1341" s="82" t="s">
        <v>19512</v>
      </c>
    </row>
    <row r="1342" spans="1:12" ht="108" customHeight="1" x14ac:dyDescent="0.3">
      <c r="A1342" s="2">
        <v>1338</v>
      </c>
      <c r="B1342" s="66" t="s">
        <v>1361</v>
      </c>
      <c r="C1342" s="66" t="s">
        <v>18939</v>
      </c>
      <c r="D1342" s="11" t="s">
        <v>1510</v>
      </c>
      <c r="E1342" s="11">
        <v>113778.68</v>
      </c>
      <c r="F1342" s="3">
        <v>38280</v>
      </c>
      <c r="G1342" s="207" t="s">
        <v>1061</v>
      </c>
      <c r="H1342" s="2"/>
      <c r="I1342" s="2"/>
      <c r="J1342" s="2" t="s">
        <v>13904</v>
      </c>
      <c r="K1342" s="2" t="s">
        <v>19840</v>
      </c>
      <c r="L1342" s="82" t="s">
        <v>18920</v>
      </c>
    </row>
    <row r="1343" spans="1:12" ht="108" customHeight="1" x14ac:dyDescent="0.3">
      <c r="A1343" s="2">
        <v>1339</v>
      </c>
      <c r="B1343" s="66" t="s">
        <v>1362</v>
      </c>
      <c r="C1343" s="66" t="s">
        <v>18940</v>
      </c>
      <c r="D1343" s="11" t="s">
        <v>1511</v>
      </c>
      <c r="E1343" s="11">
        <v>65929.850000000006</v>
      </c>
      <c r="F1343" s="3">
        <v>38501</v>
      </c>
      <c r="G1343" s="207" t="s">
        <v>1061</v>
      </c>
      <c r="H1343" s="2"/>
      <c r="I1343" s="2"/>
      <c r="J1343" s="2" t="s">
        <v>13904</v>
      </c>
      <c r="K1343" s="2" t="s">
        <v>19840</v>
      </c>
      <c r="L1343" s="82" t="s">
        <v>18920</v>
      </c>
    </row>
    <row r="1344" spans="1:12" ht="84" customHeight="1" x14ac:dyDescent="0.3">
      <c r="A1344" s="2">
        <v>1340</v>
      </c>
      <c r="B1344" s="66" t="s">
        <v>1363</v>
      </c>
      <c r="C1344" s="66"/>
      <c r="D1344" s="11" t="s">
        <v>1512</v>
      </c>
      <c r="E1344" s="11">
        <v>11501.14</v>
      </c>
      <c r="F1344" s="3">
        <v>38501</v>
      </c>
      <c r="G1344" s="207" t="s">
        <v>1061</v>
      </c>
      <c r="H1344" s="3">
        <v>43053</v>
      </c>
      <c r="I1344" s="2" t="s">
        <v>19506</v>
      </c>
      <c r="J1344" s="2" t="s">
        <v>13904</v>
      </c>
      <c r="K1344" s="2" t="s">
        <v>19841</v>
      </c>
      <c r="L1344" s="82" t="s">
        <v>19512</v>
      </c>
    </row>
    <row r="1345" spans="1:12" ht="84" customHeight="1" x14ac:dyDescent="0.3">
      <c r="A1345" s="2">
        <v>1341</v>
      </c>
      <c r="B1345" s="66" t="s">
        <v>1364</v>
      </c>
      <c r="C1345" s="66"/>
      <c r="D1345" s="11" t="s">
        <v>1513</v>
      </c>
      <c r="E1345" s="11">
        <v>12965.44</v>
      </c>
      <c r="F1345" s="3">
        <v>38280</v>
      </c>
      <c r="G1345" s="207" t="s">
        <v>1061</v>
      </c>
      <c r="H1345" s="3">
        <v>43053</v>
      </c>
      <c r="I1345" s="2" t="s">
        <v>19506</v>
      </c>
      <c r="J1345" s="2" t="s">
        <v>13904</v>
      </c>
      <c r="K1345" s="2" t="s">
        <v>19841</v>
      </c>
      <c r="L1345" s="82" t="s">
        <v>19512</v>
      </c>
    </row>
    <row r="1346" spans="1:12" ht="84" customHeight="1" x14ac:dyDescent="0.3">
      <c r="A1346" s="2">
        <v>1342</v>
      </c>
      <c r="B1346" s="66" t="s">
        <v>1364</v>
      </c>
      <c r="C1346" s="66"/>
      <c r="D1346" s="11" t="s">
        <v>1514</v>
      </c>
      <c r="E1346" s="11">
        <v>31524.74</v>
      </c>
      <c r="F1346" s="3">
        <v>38501</v>
      </c>
      <c r="G1346" s="207" t="s">
        <v>1061</v>
      </c>
      <c r="H1346" s="3">
        <v>43053</v>
      </c>
      <c r="I1346" s="2" t="s">
        <v>19506</v>
      </c>
      <c r="J1346" s="2" t="s">
        <v>13904</v>
      </c>
      <c r="K1346" s="2" t="s">
        <v>19841</v>
      </c>
      <c r="L1346" s="82" t="s">
        <v>19512</v>
      </c>
    </row>
    <row r="1347" spans="1:12" ht="108" customHeight="1" x14ac:dyDescent="0.3">
      <c r="A1347" s="2">
        <v>1343</v>
      </c>
      <c r="B1347" s="66" t="s">
        <v>1365</v>
      </c>
      <c r="C1347" s="66" t="s">
        <v>18941</v>
      </c>
      <c r="D1347" s="11" t="s">
        <v>1515</v>
      </c>
      <c r="E1347" s="11">
        <v>82433.5</v>
      </c>
      <c r="F1347" s="3">
        <v>38501</v>
      </c>
      <c r="G1347" s="207" t="s">
        <v>1061</v>
      </c>
      <c r="H1347" s="2"/>
      <c r="I1347" s="2"/>
      <c r="J1347" s="2" t="s">
        <v>13904</v>
      </c>
      <c r="K1347" s="2" t="s">
        <v>19840</v>
      </c>
      <c r="L1347" s="82" t="s">
        <v>18920</v>
      </c>
    </row>
    <row r="1348" spans="1:12" ht="108" customHeight="1" x14ac:dyDescent="0.3">
      <c r="A1348" s="2">
        <v>1344</v>
      </c>
      <c r="B1348" s="66" t="s">
        <v>1366</v>
      </c>
      <c r="C1348" s="66" t="s">
        <v>18942</v>
      </c>
      <c r="D1348" s="11" t="s">
        <v>1516</v>
      </c>
      <c r="E1348" s="11">
        <v>69904.17</v>
      </c>
      <c r="F1348" s="3">
        <v>38503</v>
      </c>
      <c r="G1348" s="207" t="s">
        <v>1061</v>
      </c>
      <c r="H1348" s="2"/>
      <c r="I1348" s="2"/>
      <c r="J1348" s="2" t="s">
        <v>13904</v>
      </c>
      <c r="K1348" s="2" t="s">
        <v>19840</v>
      </c>
      <c r="L1348" s="82" t="s">
        <v>18920</v>
      </c>
    </row>
    <row r="1349" spans="1:12" ht="108" customHeight="1" x14ac:dyDescent="0.3">
      <c r="A1349" s="2">
        <v>1345</v>
      </c>
      <c r="B1349" s="66" t="s">
        <v>1367</v>
      </c>
      <c r="C1349" s="66" t="s">
        <v>18943</v>
      </c>
      <c r="D1349" s="11" t="s">
        <v>1517</v>
      </c>
      <c r="E1349" s="11">
        <v>133921.20000000001</v>
      </c>
      <c r="F1349" s="3">
        <v>38502</v>
      </c>
      <c r="G1349" s="207" t="s">
        <v>1061</v>
      </c>
      <c r="H1349" s="2"/>
      <c r="I1349" s="2"/>
      <c r="J1349" s="2" t="s">
        <v>13904</v>
      </c>
      <c r="K1349" s="2" t="s">
        <v>19840</v>
      </c>
      <c r="L1349" s="82" t="s">
        <v>21789</v>
      </c>
    </row>
    <row r="1350" spans="1:12" ht="108" customHeight="1" x14ac:dyDescent="0.3">
      <c r="A1350" s="2">
        <v>1346</v>
      </c>
      <c r="B1350" s="66" t="s">
        <v>1368</v>
      </c>
      <c r="C1350" s="66" t="s">
        <v>18944</v>
      </c>
      <c r="D1350" s="11" t="s">
        <v>1518</v>
      </c>
      <c r="E1350" s="11">
        <v>62421.66</v>
      </c>
      <c r="F1350" s="3">
        <v>38502</v>
      </c>
      <c r="G1350" s="207" t="s">
        <v>1061</v>
      </c>
      <c r="H1350" s="2"/>
      <c r="I1350" s="2"/>
      <c r="J1350" s="2" t="s">
        <v>13904</v>
      </c>
      <c r="K1350" s="2" t="s">
        <v>19840</v>
      </c>
      <c r="L1350" s="82" t="s">
        <v>21789</v>
      </c>
    </row>
    <row r="1351" spans="1:12" ht="84" customHeight="1" x14ac:dyDescent="0.3">
      <c r="A1351" s="2">
        <v>1347</v>
      </c>
      <c r="B1351" s="66" t="s">
        <v>1369</v>
      </c>
      <c r="C1351" s="66"/>
      <c r="D1351" s="11" t="s">
        <v>1519</v>
      </c>
      <c r="E1351" s="11">
        <v>10224.92</v>
      </c>
      <c r="F1351" s="3">
        <v>38502</v>
      </c>
      <c r="G1351" s="207" t="s">
        <v>1061</v>
      </c>
      <c r="H1351" s="3">
        <v>43053</v>
      </c>
      <c r="I1351" s="2" t="s">
        <v>19506</v>
      </c>
      <c r="J1351" s="2" t="s">
        <v>13904</v>
      </c>
      <c r="K1351" s="2" t="s">
        <v>19841</v>
      </c>
      <c r="L1351" s="82" t="s">
        <v>19512</v>
      </c>
    </row>
    <row r="1352" spans="1:12" ht="84" customHeight="1" x14ac:dyDescent="0.3">
      <c r="A1352" s="2">
        <v>1348</v>
      </c>
      <c r="B1352" s="66" t="s">
        <v>1370</v>
      </c>
      <c r="C1352" s="66"/>
      <c r="D1352" s="11" t="s">
        <v>1520</v>
      </c>
      <c r="E1352" s="11">
        <v>41125.53</v>
      </c>
      <c r="F1352" s="3">
        <v>39426</v>
      </c>
      <c r="G1352" s="207" t="s">
        <v>1061</v>
      </c>
      <c r="H1352" s="3">
        <v>43053</v>
      </c>
      <c r="I1352" s="2" t="s">
        <v>19506</v>
      </c>
      <c r="J1352" s="2" t="s">
        <v>13904</v>
      </c>
      <c r="K1352" s="2" t="s">
        <v>19841</v>
      </c>
      <c r="L1352" s="82" t="s">
        <v>19512</v>
      </c>
    </row>
    <row r="1353" spans="1:12" ht="84" customHeight="1" x14ac:dyDescent="0.3">
      <c r="A1353" s="2">
        <v>1349</v>
      </c>
      <c r="B1353" s="66" t="s">
        <v>1370</v>
      </c>
      <c r="C1353" s="66"/>
      <c r="D1353" s="11" t="s">
        <v>1520</v>
      </c>
      <c r="E1353" s="11">
        <v>41125.53</v>
      </c>
      <c r="F1353" s="3">
        <v>39426</v>
      </c>
      <c r="G1353" s="207" t="s">
        <v>1061</v>
      </c>
      <c r="H1353" s="3">
        <v>43053</v>
      </c>
      <c r="I1353" s="2" t="s">
        <v>19506</v>
      </c>
      <c r="J1353" s="2" t="s">
        <v>13904</v>
      </c>
      <c r="K1353" s="2" t="s">
        <v>19841</v>
      </c>
      <c r="L1353" s="82" t="s">
        <v>19512</v>
      </c>
    </row>
    <row r="1354" spans="1:12" ht="108" customHeight="1" x14ac:dyDescent="0.3">
      <c r="A1354" s="2">
        <v>1350</v>
      </c>
      <c r="B1354" s="66" t="s">
        <v>1371</v>
      </c>
      <c r="C1354" s="66" t="s">
        <v>18945</v>
      </c>
      <c r="D1354" s="11" t="s">
        <v>1521</v>
      </c>
      <c r="E1354" s="11">
        <v>59343.08</v>
      </c>
      <c r="F1354" s="3">
        <v>38501</v>
      </c>
      <c r="G1354" s="207" t="s">
        <v>1061</v>
      </c>
      <c r="H1354" s="2"/>
      <c r="I1354" s="2"/>
      <c r="J1354" s="2" t="s">
        <v>13904</v>
      </c>
      <c r="K1354" s="2" t="s">
        <v>19840</v>
      </c>
      <c r="L1354" s="82" t="s">
        <v>18920</v>
      </c>
    </row>
    <row r="1355" spans="1:12" ht="84" customHeight="1" x14ac:dyDescent="0.3">
      <c r="A1355" s="2">
        <v>1351</v>
      </c>
      <c r="B1355" s="66" t="s">
        <v>1372</v>
      </c>
      <c r="C1355" s="66"/>
      <c r="D1355" s="11" t="s">
        <v>1522</v>
      </c>
      <c r="E1355" s="11">
        <v>23571.8</v>
      </c>
      <c r="F1355" s="3">
        <v>38501</v>
      </c>
      <c r="G1355" s="207" t="s">
        <v>1061</v>
      </c>
      <c r="H1355" s="3">
        <v>43053</v>
      </c>
      <c r="I1355" s="2" t="s">
        <v>19506</v>
      </c>
      <c r="J1355" s="2" t="s">
        <v>13904</v>
      </c>
      <c r="K1355" s="2" t="s">
        <v>19841</v>
      </c>
      <c r="L1355" s="82" t="s">
        <v>19512</v>
      </c>
    </row>
    <row r="1356" spans="1:12" ht="84" customHeight="1" x14ac:dyDescent="0.3">
      <c r="A1356" s="2">
        <v>1352</v>
      </c>
      <c r="B1356" s="66" t="s">
        <v>1373</v>
      </c>
      <c r="C1356" s="66"/>
      <c r="D1356" s="11" t="s">
        <v>1523</v>
      </c>
      <c r="E1356" s="11">
        <v>15153.3</v>
      </c>
      <c r="F1356" s="3">
        <v>38501</v>
      </c>
      <c r="G1356" s="207" t="s">
        <v>1061</v>
      </c>
      <c r="H1356" s="3">
        <v>43053</v>
      </c>
      <c r="I1356" s="2" t="s">
        <v>19506</v>
      </c>
      <c r="J1356" s="2" t="s">
        <v>13904</v>
      </c>
      <c r="K1356" s="2" t="s">
        <v>19841</v>
      </c>
      <c r="L1356" s="82" t="s">
        <v>19512</v>
      </c>
    </row>
    <row r="1357" spans="1:12" ht="84" customHeight="1" x14ac:dyDescent="0.3">
      <c r="A1357" s="2">
        <v>1353</v>
      </c>
      <c r="B1357" s="66" t="s">
        <v>1374</v>
      </c>
      <c r="C1357" s="66"/>
      <c r="D1357" s="11" t="s">
        <v>1524</v>
      </c>
      <c r="E1357" s="11">
        <v>13538.53</v>
      </c>
      <c r="F1357" s="3">
        <v>38501</v>
      </c>
      <c r="G1357" s="207" t="s">
        <v>1061</v>
      </c>
      <c r="H1357" s="3">
        <v>43053</v>
      </c>
      <c r="I1357" s="2" t="s">
        <v>19506</v>
      </c>
      <c r="J1357" s="2" t="s">
        <v>13904</v>
      </c>
      <c r="K1357" s="2" t="s">
        <v>19841</v>
      </c>
      <c r="L1357" s="82" t="s">
        <v>19512</v>
      </c>
    </row>
    <row r="1358" spans="1:12" ht="84" customHeight="1" x14ac:dyDescent="0.3">
      <c r="A1358" s="2">
        <v>1354</v>
      </c>
      <c r="B1358" s="66" t="s">
        <v>1374</v>
      </c>
      <c r="C1358" s="66"/>
      <c r="D1358" s="11" t="s">
        <v>1525</v>
      </c>
      <c r="E1358" s="11">
        <v>13537.4</v>
      </c>
      <c r="F1358" s="3">
        <v>38501</v>
      </c>
      <c r="G1358" s="207" t="s">
        <v>1061</v>
      </c>
      <c r="H1358" s="3">
        <v>43053</v>
      </c>
      <c r="I1358" s="2" t="s">
        <v>19506</v>
      </c>
      <c r="J1358" s="2" t="s">
        <v>13904</v>
      </c>
      <c r="K1358" s="2" t="s">
        <v>19841</v>
      </c>
      <c r="L1358" s="82" t="s">
        <v>19512</v>
      </c>
    </row>
    <row r="1359" spans="1:12" ht="84" customHeight="1" x14ac:dyDescent="0.3">
      <c r="A1359" s="2">
        <v>1355</v>
      </c>
      <c r="B1359" s="66" t="s">
        <v>1375</v>
      </c>
      <c r="C1359" s="66"/>
      <c r="D1359" s="11" t="s">
        <v>1526</v>
      </c>
      <c r="E1359" s="11">
        <v>16757.900000000001</v>
      </c>
      <c r="F1359" s="3">
        <v>38501</v>
      </c>
      <c r="G1359" s="207" t="s">
        <v>1061</v>
      </c>
      <c r="H1359" s="3">
        <v>43053</v>
      </c>
      <c r="I1359" s="2" t="s">
        <v>19506</v>
      </c>
      <c r="J1359" s="2" t="s">
        <v>13904</v>
      </c>
      <c r="K1359" s="2" t="s">
        <v>19841</v>
      </c>
      <c r="L1359" s="82" t="s">
        <v>19512</v>
      </c>
    </row>
    <row r="1360" spans="1:12" ht="84" customHeight="1" x14ac:dyDescent="0.3">
      <c r="A1360" s="2">
        <v>1356</v>
      </c>
      <c r="B1360" s="66" t="s">
        <v>1375</v>
      </c>
      <c r="C1360" s="66"/>
      <c r="D1360" s="11" t="s">
        <v>1526</v>
      </c>
      <c r="E1360" s="11">
        <v>16757.900000000001</v>
      </c>
      <c r="F1360" s="3">
        <v>38501</v>
      </c>
      <c r="G1360" s="207" t="s">
        <v>1061</v>
      </c>
      <c r="H1360" s="3">
        <v>43053</v>
      </c>
      <c r="I1360" s="2" t="s">
        <v>19506</v>
      </c>
      <c r="J1360" s="2" t="s">
        <v>13904</v>
      </c>
      <c r="K1360" s="2" t="s">
        <v>19841</v>
      </c>
      <c r="L1360" s="82" t="s">
        <v>19512</v>
      </c>
    </row>
    <row r="1361" spans="1:12" ht="84" customHeight="1" x14ac:dyDescent="0.3">
      <c r="A1361" s="2">
        <v>1357</v>
      </c>
      <c r="B1361" s="66" t="s">
        <v>1376</v>
      </c>
      <c r="C1361" s="66"/>
      <c r="D1361" s="11" t="s">
        <v>1527</v>
      </c>
      <c r="E1361" s="11">
        <v>12999.52</v>
      </c>
      <c r="F1361" s="3">
        <v>38501</v>
      </c>
      <c r="G1361" s="207" t="s">
        <v>1061</v>
      </c>
      <c r="H1361" s="3">
        <v>43053</v>
      </c>
      <c r="I1361" s="2" t="s">
        <v>19506</v>
      </c>
      <c r="J1361" s="2" t="s">
        <v>13904</v>
      </c>
      <c r="K1361" s="2" t="s">
        <v>19841</v>
      </c>
      <c r="L1361" s="82" t="s">
        <v>19512</v>
      </c>
    </row>
    <row r="1362" spans="1:12" ht="108" customHeight="1" x14ac:dyDescent="0.3">
      <c r="A1362" s="2">
        <v>1358</v>
      </c>
      <c r="B1362" s="66" t="s">
        <v>1377</v>
      </c>
      <c r="C1362" s="66" t="s">
        <v>18946</v>
      </c>
      <c r="D1362" s="11" t="s">
        <v>1528</v>
      </c>
      <c r="E1362" s="11">
        <v>97342.56</v>
      </c>
      <c r="F1362" s="3">
        <v>38499</v>
      </c>
      <c r="G1362" s="207" t="s">
        <v>1061</v>
      </c>
      <c r="H1362" s="2"/>
      <c r="I1362" s="2"/>
      <c r="J1362" s="2" t="s">
        <v>13904</v>
      </c>
      <c r="K1362" s="2" t="s">
        <v>19840</v>
      </c>
      <c r="L1362" s="82" t="s">
        <v>18920</v>
      </c>
    </row>
    <row r="1363" spans="1:12" ht="84" customHeight="1" x14ac:dyDescent="0.3">
      <c r="A1363" s="2">
        <v>1359</v>
      </c>
      <c r="B1363" s="66" t="s">
        <v>1378</v>
      </c>
      <c r="C1363" s="66"/>
      <c r="D1363" s="11" t="s">
        <v>1529</v>
      </c>
      <c r="E1363" s="11">
        <v>43398.78</v>
      </c>
      <c r="F1363" s="3">
        <v>38501</v>
      </c>
      <c r="G1363" s="207" t="s">
        <v>1061</v>
      </c>
      <c r="H1363" s="3">
        <v>43053</v>
      </c>
      <c r="I1363" s="2" t="s">
        <v>19506</v>
      </c>
      <c r="J1363" s="2" t="s">
        <v>13904</v>
      </c>
      <c r="K1363" s="2" t="s">
        <v>19841</v>
      </c>
      <c r="L1363" s="82" t="s">
        <v>19512</v>
      </c>
    </row>
    <row r="1364" spans="1:12" ht="108" customHeight="1" x14ac:dyDescent="0.3">
      <c r="A1364" s="2">
        <v>1360</v>
      </c>
      <c r="B1364" s="66" t="s">
        <v>1379</v>
      </c>
      <c r="C1364" s="66" t="s">
        <v>18947</v>
      </c>
      <c r="D1364" s="11" t="s">
        <v>1530</v>
      </c>
      <c r="E1364" s="11">
        <v>439909</v>
      </c>
      <c r="F1364" s="3">
        <v>38501</v>
      </c>
      <c r="G1364" s="207" t="s">
        <v>1061</v>
      </c>
      <c r="H1364" s="2"/>
      <c r="I1364" s="2"/>
      <c r="J1364" s="2" t="s">
        <v>13904</v>
      </c>
      <c r="K1364" s="2" t="s">
        <v>19840</v>
      </c>
      <c r="L1364" s="82" t="s">
        <v>18920</v>
      </c>
    </row>
    <row r="1365" spans="1:12" ht="108" customHeight="1" x14ac:dyDescent="0.3">
      <c r="A1365" s="2">
        <v>1361</v>
      </c>
      <c r="B1365" s="66" t="s">
        <v>1380</v>
      </c>
      <c r="C1365" s="66" t="s">
        <v>18948</v>
      </c>
      <c r="D1365" s="11" t="s">
        <v>1531</v>
      </c>
      <c r="E1365" s="11">
        <v>749855.57</v>
      </c>
      <c r="F1365" s="3">
        <v>38501</v>
      </c>
      <c r="G1365" s="207" t="s">
        <v>1061</v>
      </c>
      <c r="H1365" s="2"/>
      <c r="I1365" s="2"/>
      <c r="J1365" s="2" t="s">
        <v>13904</v>
      </c>
      <c r="K1365" s="2" t="s">
        <v>19840</v>
      </c>
      <c r="L1365" s="82" t="s">
        <v>18920</v>
      </c>
    </row>
    <row r="1366" spans="1:12" ht="84" customHeight="1" x14ac:dyDescent="0.3">
      <c r="A1366" s="2">
        <v>1362</v>
      </c>
      <c r="B1366" s="66" t="s">
        <v>1381</v>
      </c>
      <c r="C1366" s="66"/>
      <c r="D1366" s="11" t="s">
        <v>1532</v>
      </c>
      <c r="E1366" s="11">
        <v>10890.46</v>
      </c>
      <c r="F1366" s="3">
        <v>38501</v>
      </c>
      <c r="G1366" s="207" t="s">
        <v>1061</v>
      </c>
      <c r="H1366" s="3">
        <v>43053</v>
      </c>
      <c r="I1366" s="2" t="s">
        <v>19506</v>
      </c>
      <c r="J1366" s="2" t="s">
        <v>13904</v>
      </c>
      <c r="K1366" s="2" t="s">
        <v>19841</v>
      </c>
      <c r="L1366" s="82" t="s">
        <v>19512</v>
      </c>
    </row>
    <row r="1367" spans="1:12" ht="108" customHeight="1" x14ac:dyDescent="0.3">
      <c r="A1367" s="2">
        <v>1363</v>
      </c>
      <c r="B1367" s="66" t="s">
        <v>1382</v>
      </c>
      <c r="C1367" s="66" t="s">
        <v>18949</v>
      </c>
      <c r="D1367" s="11" t="s">
        <v>1533</v>
      </c>
      <c r="E1367" s="11">
        <v>85156.800000000003</v>
      </c>
      <c r="F1367" s="3">
        <v>38501</v>
      </c>
      <c r="G1367" s="207" t="s">
        <v>1061</v>
      </c>
      <c r="H1367" s="2"/>
      <c r="I1367" s="2"/>
      <c r="J1367" s="2" t="s">
        <v>13904</v>
      </c>
      <c r="K1367" s="2" t="s">
        <v>19840</v>
      </c>
      <c r="L1367" s="82" t="s">
        <v>18920</v>
      </c>
    </row>
    <row r="1368" spans="1:12" ht="108" customHeight="1" x14ac:dyDescent="0.3">
      <c r="A1368" s="2">
        <v>1364</v>
      </c>
      <c r="B1368" s="66" t="s">
        <v>1383</v>
      </c>
      <c r="C1368" s="66" t="s">
        <v>18950</v>
      </c>
      <c r="D1368" s="11" t="s">
        <v>1533</v>
      </c>
      <c r="E1368" s="11">
        <v>85156.800000000003</v>
      </c>
      <c r="F1368" s="3">
        <v>38501</v>
      </c>
      <c r="G1368" s="207" t="s">
        <v>1061</v>
      </c>
      <c r="H1368" s="2"/>
      <c r="I1368" s="2"/>
      <c r="J1368" s="2" t="s">
        <v>13904</v>
      </c>
      <c r="K1368" s="2" t="s">
        <v>19840</v>
      </c>
      <c r="L1368" s="82" t="s">
        <v>18920</v>
      </c>
    </row>
    <row r="1369" spans="1:12" ht="84" customHeight="1" x14ac:dyDescent="0.3">
      <c r="A1369" s="2">
        <v>1365</v>
      </c>
      <c r="B1369" s="66" t="s">
        <v>1384</v>
      </c>
      <c r="C1369" s="66"/>
      <c r="D1369" s="11" t="s">
        <v>1534</v>
      </c>
      <c r="E1369" s="11">
        <v>7213.92</v>
      </c>
      <c r="F1369" s="3">
        <v>38502</v>
      </c>
      <c r="G1369" s="207" t="s">
        <v>1061</v>
      </c>
      <c r="H1369" s="3">
        <v>43053</v>
      </c>
      <c r="I1369" s="2" t="s">
        <v>19506</v>
      </c>
      <c r="J1369" s="2" t="s">
        <v>13904</v>
      </c>
      <c r="K1369" s="2" t="s">
        <v>19841</v>
      </c>
      <c r="L1369" s="82" t="s">
        <v>19512</v>
      </c>
    </row>
    <row r="1370" spans="1:12" ht="84" customHeight="1" x14ac:dyDescent="0.3">
      <c r="A1370" s="2">
        <v>1366</v>
      </c>
      <c r="B1370" s="66" t="s">
        <v>1384</v>
      </c>
      <c r="C1370" s="66"/>
      <c r="D1370" s="11" t="s">
        <v>1534</v>
      </c>
      <c r="E1370" s="11">
        <v>7213.92</v>
      </c>
      <c r="F1370" s="3">
        <v>38502</v>
      </c>
      <c r="G1370" s="207" t="s">
        <v>1061</v>
      </c>
      <c r="H1370" s="3">
        <v>43053</v>
      </c>
      <c r="I1370" s="2" t="s">
        <v>19506</v>
      </c>
      <c r="J1370" s="2" t="s">
        <v>13904</v>
      </c>
      <c r="K1370" s="2" t="s">
        <v>19841</v>
      </c>
      <c r="L1370" s="82" t="s">
        <v>19512</v>
      </c>
    </row>
    <row r="1371" spans="1:12" ht="84" customHeight="1" x14ac:dyDescent="0.3">
      <c r="A1371" s="2">
        <v>1367</v>
      </c>
      <c r="B1371" s="66" t="s">
        <v>1384</v>
      </c>
      <c r="C1371" s="66"/>
      <c r="D1371" s="11" t="s">
        <v>1534</v>
      </c>
      <c r="E1371" s="11">
        <v>7213.92</v>
      </c>
      <c r="F1371" s="3">
        <v>38502</v>
      </c>
      <c r="G1371" s="207" t="s">
        <v>1061</v>
      </c>
      <c r="H1371" s="3">
        <v>43053</v>
      </c>
      <c r="I1371" s="2" t="s">
        <v>19506</v>
      </c>
      <c r="J1371" s="2" t="s">
        <v>13904</v>
      </c>
      <c r="K1371" s="2" t="s">
        <v>19841</v>
      </c>
      <c r="L1371" s="82" t="s">
        <v>19512</v>
      </c>
    </row>
    <row r="1372" spans="1:12" ht="84" customHeight="1" x14ac:dyDescent="0.3">
      <c r="A1372" s="2">
        <v>1368</v>
      </c>
      <c r="B1372" s="66" t="s">
        <v>1384</v>
      </c>
      <c r="C1372" s="66"/>
      <c r="D1372" s="11" t="s">
        <v>1535</v>
      </c>
      <c r="E1372" s="11">
        <v>6853.45</v>
      </c>
      <c r="F1372" s="3">
        <v>38502</v>
      </c>
      <c r="G1372" s="207" t="s">
        <v>1061</v>
      </c>
      <c r="H1372" s="3">
        <v>43053</v>
      </c>
      <c r="I1372" s="2" t="s">
        <v>19506</v>
      </c>
      <c r="J1372" s="2" t="s">
        <v>13904</v>
      </c>
      <c r="K1372" s="2" t="s">
        <v>19841</v>
      </c>
      <c r="L1372" s="82" t="s">
        <v>19512</v>
      </c>
    </row>
    <row r="1373" spans="1:12" ht="84" customHeight="1" x14ac:dyDescent="0.3">
      <c r="A1373" s="2">
        <v>1369</v>
      </c>
      <c r="B1373" s="66" t="s">
        <v>1384</v>
      </c>
      <c r="C1373" s="66"/>
      <c r="D1373" s="11" t="s">
        <v>1535</v>
      </c>
      <c r="E1373" s="11">
        <v>6853.45</v>
      </c>
      <c r="F1373" s="3">
        <v>38502</v>
      </c>
      <c r="G1373" s="207" t="s">
        <v>1061</v>
      </c>
      <c r="H1373" s="3">
        <v>43053</v>
      </c>
      <c r="I1373" s="2" t="s">
        <v>19506</v>
      </c>
      <c r="J1373" s="2" t="s">
        <v>13904</v>
      </c>
      <c r="K1373" s="2" t="s">
        <v>19841</v>
      </c>
      <c r="L1373" s="82" t="s">
        <v>19512</v>
      </c>
    </row>
    <row r="1374" spans="1:12" ht="84" customHeight="1" x14ac:dyDescent="0.3">
      <c r="A1374" s="2">
        <v>1370</v>
      </c>
      <c r="B1374" s="66" t="s">
        <v>1384</v>
      </c>
      <c r="C1374" s="66"/>
      <c r="D1374" s="11" t="s">
        <v>1535</v>
      </c>
      <c r="E1374" s="11">
        <v>6853.45</v>
      </c>
      <c r="F1374" s="3">
        <v>38502</v>
      </c>
      <c r="G1374" s="207" t="s">
        <v>1061</v>
      </c>
      <c r="H1374" s="3">
        <v>43053</v>
      </c>
      <c r="I1374" s="2" t="s">
        <v>19506</v>
      </c>
      <c r="J1374" s="2" t="s">
        <v>13904</v>
      </c>
      <c r="K1374" s="2" t="s">
        <v>19841</v>
      </c>
      <c r="L1374" s="82" t="s">
        <v>19512</v>
      </c>
    </row>
    <row r="1375" spans="1:12" ht="108" customHeight="1" x14ac:dyDescent="0.3">
      <c r="A1375" s="2">
        <v>1371</v>
      </c>
      <c r="B1375" s="66" t="s">
        <v>1385</v>
      </c>
      <c r="C1375" s="66" t="s">
        <v>18951</v>
      </c>
      <c r="D1375" s="11" t="s">
        <v>1536</v>
      </c>
      <c r="E1375" s="11">
        <v>56802.84</v>
      </c>
      <c r="F1375" s="3">
        <v>38501</v>
      </c>
      <c r="G1375" s="207" t="s">
        <v>1061</v>
      </c>
      <c r="H1375" s="2"/>
      <c r="I1375" s="2"/>
      <c r="J1375" s="2" t="s">
        <v>13904</v>
      </c>
      <c r="K1375" s="2" t="s">
        <v>19840</v>
      </c>
      <c r="L1375" s="82" t="s">
        <v>18920</v>
      </c>
    </row>
    <row r="1376" spans="1:12" ht="108" customHeight="1" x14ac:dyDescent="0.3">
      <c r="A1376" s="2">
        <v>1372</v>
      </c>
      <c r="B1376" s="66" t="s">
        <v>1385</v>
      </c>
      <c r="C1376" s="66" t="s">
        <v>18952</v>
      </c>
      <c r="D1376" s="11" t="s">
        <v>1536</v>
      </c>
      <c r="E1376" s="11">
        <v>56802.84</v>
      </c>
      <c r="F1376" s="3">
        <v>38501</v>
      </c>
      <c r="G1376" s="207" t="s">
        <v>1061</v>
      </c>
      <c r="H1376" s="2"/>
      <c r="I1376" s="2"/>
      <c r="J1376" s="2" t="s">
        <v>13904</v>
      </c>
      <c r="K1376" s="2" t="s">
        <v>19840</v>
      </c>
      <c r="L1376" s="82" t="s">
        <v>18920</v>
      </c>
    </row>
    <row r="1377" spans="1:12" ht="84" customHeight="1" x14ac:dyDescent="0.3">
      <c r="A1377" s="2">
        <v>1373</v>
      </c>
      <c r="B1377" s="66" t="s">
        <v>1386</v>
      </c>
      <c r="C1377" s="66"/>
      <c r="D1377" s="11" t="s">
        <v>1537</v>
      </c>
      <c r="E1377" s="11">
        <v>43222.5</v>
      </c>
      <c r="F1377" s="3">
        <v>38501</v>
      </c>
      <c r="G1377" s="207" t="s">
        <v>1061</v>
      </c>
      <c r="H1377" s="3">
        <v>43053</v>
      </c>
      <c r="I1377" s="2" t="s">
        <v>19506</v>
      </c>
      <c r="J1377" s="2" t="s">
        <v>13904</v>
      </c>
      <c r="K1377" s="2" t="s">
        <v>19841</v>
      </c>
      <c r="L1377" s="82" t="s">
        <v>19512</v>
      </c>
    </row>
    <row r="1378" spans="1:12" ht="84" customHeight="1" x14ac:dyDescent="0.3">
      <c r="A1378" s="2">
        <v>1374</v>
      </c>
      <c r="B1378" s="66" t="s">
        <v>1386</v>
      </c>
      <c r="C1378" s="66"/>
      <c r="D1378" s="11" t="s">
        <v>1537</v>
      </c>
      <c r="E1378" s="11">
        <v>43222.5</v>
      </c>
      <c r="F1378" s="3">
        <v>38501</v>
      </c>
      <c r="G1378" s="207" t="s">
        <v>1061</v>
      </c>
      <c r="H1378" s="3">
        <v>43053</v>
      </c>
      <c r="I1378" s="2" t="s">
        <v>19506</v>
      </c>
      <c r="J1378" s="2" t="s">
        <v>13904</v>
      </c>
      <c r="K1378" s="2" t="s">
        <v>19841</v>
      </c>
      <c r="L1378" s="82" t="s">
        <v>19512</v>
      </c>
    </row>
    <row r="1379" spans="1:12" ht="84" customHeight="1" x14ac:dyDescent="0.3">
      <c r="A1379" s="2">
        <v>1375</v>
      </c>
      <c r="B1379" s="66" t="s">
        <v>1386</v>
      </c>
      <c r="C1379" s="66"/>
      <c r="D1379" s="11" t="s">
        <v>1537</v>
      </c>
      <c r="E1379" s="11">
        <v>43222.5</v>
      </c>
      <c r="F1379" s="3">
        <v>38501</v>
      </c>
      <c r="G1379" s="207" t="s">
        <v>1061</v>
      </c>
      <c r="H1379" s="3">
        <v>43053</v>
      </c>
      <c r="I1379" s="2" t="s">
        <v>19506</v>
      </c>
      <c r="J1379" s="2" t="s">
        <v>13904</v>
      </c>
      <c r="K1379" s="2" t="s">
        <v>19841</v>
      </c>
      <c r="L1379" s="82" t="s">
        <v>19512</v>
      </c>
    </row>
    <row r="1380" spans="1:12" ht="108" customHeight="1" x14ac:dyDescent="0.3">
      <c r="A1380" s="2">
        <v>1376</v>
      </c>
      <c r="B1380" s="66" t="s">
        <v>1387</v>
      </c>
      <c r="C1380" s="66" t="s">
        <v>18953</v>
      </c>
      <c r="D1380" s="11" t="s">
        <v>1538</v>
      </c>
      <c r="E1380" s="11">
        <v>276398</v>
      </c>
      <c r="F1380" s="3">
        <v>38501</v>
      </c>
      <c r="G1380" s="207" t="s">
        <v>1061</v>
      </c>
      <c r="H1380" s="2"/>
      <c r="I1380" s="2"/>
      <c r="J1380" s="2" t="s">
        <v>13904</v>
      </c>
      <c r="K1380" s="2" t="s">
        <v>19840</v>
      </c>
      <c r="L1380" s="82" t="s">
        <v>18920</v>
      </c>
    </row>
    <row r="1381" spans="1:12" ht="84" customHeight="1" x14ac:dyDescent="0.3">
      <c r="A1381" s="2">
        <v>1377</v>
      </c>
      <c r="B1381" s="66" t="s">
        <v>1388</v>
      </c>
      <c r="C1381" s="66"/>
      <c r="D1381" s="11" t="s">
        <v>1539</v>
      </c>
      <c r="E1381" s="11">
        <v>9411.77</v>
      </c>
      <c r="F1381" s="3">
        <v>38502</v>
      </c>
      <c r="G1381" s="207" t="s">
        <v>1061</v>
      </c>
      <c r="H1381" s="3">
        <v>43053</v>
      </c>
      <c r="I1381" s="2" t="s">
        <v>19506</v>
      </c>
      <c r="J1381" s="2" t="s">
        <v>13904</v>
      </c>
      <c r="K1381" s="2" t="s">
        <v>19841</v>
      </c>
      <c r="L1381" s="82" t="s">
        <v>19512</v>
      </c>
    </row>
    <row r="1382" spans="1:12" ht="84" customHeight="1" x14ac:dyDescent="0.3">
      <c r="A1382" s="2">
        <v>1378</v>
      </c>
      <c r="B1382" s="66" t="s">
        <v>1388</v>
      </c>
      <c r="C1382" s="66"/>
      <c r="D1382" s="11" t="s">
        <v>1539</v>
      </c>
      <c r="E1382" s="11">
        <v>9411.77</v>
      </c>
      <c r="F1382" s="3">
        <v>38502</v>
      </c>
      <c r="G1382" s="207" t="s">
        <v>1061</v>
      </c>
      <c r="H1382" s="3">
        <v>43053</v>
      </c>
      <c r="I1382" s="2" t="s">
        <v>19506</v>
      </c>
      <c r="J1382" s="2" t="s">
        <v>13904</v>
      </c>
      <c r="K1382" s="2" t="s">
        <v>19841</v>
      </c>
      <c r="L1382" s="82" t="s">
        <v>19512</v>
      </c>
    </row>
    <row r="1383" spans="1:12" ht="84" customHeight="1" x14ac:dyDescent="0.3">
      <c r="A1383" s="2">
        <v>1379</v>
      </c>
      <c r="B1383" s="66" t="s">
        <v>1389</v>
      </c>
      <c r="C1383" s="66"/>
      <c r="D1383" s="11" t="s">
        <v>1540</v>
      </c>
      <c r="E1383" s="11">
        <v>16913.84</v>
      </c>
      <c r="F1383" s="3">
        <v>38501</v>
      </c>
      <c r="G1383" s="207" t="s">
        <v>1061</v>
      </c>
      <c r="H1383" s="3">
        <v>43053</v>
      </c>
      <c r="I1383" s="2" t="s">
        <v>19506</v>
      </c>
      <c r="J1383" s="2" t="s">
        <v>13904</v>
      </c>
      <c r="K1383" s="2" t="s">
        <v>19841</v>
      </c>
      <c r="L1383" s="82" t="s">
        <v>19512</v>
      </c>
    </row>
    <row r="1384" spans="1:12" ht="84" customHeight="1" x14ac:dyDescent="0.3">
      <c r="A1384" s="2">
        <v>1380</v>
      </c>
      <c r="B1384" s="66" t="s">
        <v>1389</v>
      </c>
      <c r="C1384" s="66"/>
      <c r="D1384" s="11" t="s">
        <v>1540</v>
      </c>
      <c r="E1384" s="11">
        <v>16913.84</v>
      </c>
      <c r="F1384" s="3">
        <v>38501</v>
      </c>
      <c r="G1384" s="207" t="s">
        <v>1061</v>
      </c>
      <c r="H1384" s="3">
        <v>43053</v>
      </c>
      <c r="I1384" s="2" t="s">
        <v>19506</v>
      </c>
      <c r="J1384" s="2" t="s">
        <v>13904</v>
      </c>
      <c r="K1384" s="2" t="s">
        <v>19841</v>
      </c>
      <c r="L1384" s="82" t="s">
        <v>19512</v>
      </c>
    </row>
    <row r="1385" spans="1:12" ht="84" customHeight="1" x14ac:dyDescent="0.3">
      <c r="A1385" s="2">
        <v>1381</v>
      </c>
      <c r="B1385" s="66" t="s">
        <v>1390</v>
      </c>
      <c r="C1385" s="66"/>
      <c r="D1385" s="11" t="s">
        <v>1541</v>
      </c>
      <c r="E1385" s="11">
        <v>21807.88</v>
      </c>
      <c r="F1385" s="3">
        <v>38280</v>
      </c>
      <c r="G1385" s="207" t="s">
        <v>1061</v>
      </c>
      <c r="H1385" s="3">
        <v>43053</v>
      </c>
      <c r="I1385" s="2" t="s">
        <v>19506</v>
      </c>
      <c r="J1385" s="2" t="s">
        <v>13904</v>
      </c>
      <c r="K1385" s="2" t="s">
        <v>19841</v>
      </c>
      <c r="L1385" s="82" t="s">
        <v>19512</v>
      </c>
    </row>
    <row r="1386" spans="1:12" ht="84" customHeight="1" x14ac:dyDescent="0.3">
      <c r="A1386" s="2">
        <v>1382</v>
      </c>
      <c r="B1386" s="66" t="s">
        <v>1391</v>
      </c>
      <c r="C1386" s="66"/>
      <c r="D1386" s="11" t="s">
        <v>1542</v>
      </c>
      <c r="E1386" s="11">
        <v>7465.39</v>
      </c>
      <c r="F1386" s="3">
        <v>38280</v>
      </c>
      <c r="G1386" s="207" t="s">
        <v>1061</v>
      </c>
      <c r="H1386" s="3">
        <v>43053</v>
      </c>
      <c r="I1386" s="2" t="s">
        <v>19506</v>
      </c>
      <c r="J1386" s="2" t="s">
        <v>13904</v>
      </c>
      <c r="K1386" s="2" t="s">
        <v>19841</v>
      </c>
      <c r="L1386" s="82" t="s">
        <v>19512</v>
      </c>
    </row>
    <row r="1387" spans="1:12" ht="84" customHeight="1" x14ac:dyDescent="0.3">
      <c r="A1387" s="2">
        <v>1383</v>
      </c>
      <c r="B1387" s="66" t="s">
        <v>1392</v>
      </c>
      <c r="C1387" s="66"/>
      <c r="D1387" s="11" t="s">
        <v>1543</v>
      </c>
      <c r="E1387" s="11">
        <v>8098.83</v>
      </c>
      <c r="F1387" s="3">
        <v>38502</v>
      </c>
      <c r="G1387" s="207" t="s">
        <v>1061</v>
      </c>
      <c r="H1387" s="3">
        <v>43053</v>
      </c>
      <c r="I1387" s="2" t="s">
        <v>19506</v>
      </c>
      <c r="J1387" s="2" t="s">
        <v>13904</v>
      </c>
      <c r="K1387" s="2" t="s">
        <v>19841</v>
      </c>
      <c r="L1387" s="82" t="s">
        <v>19512</v>
      </c>
    </row>
    <row r="1388" spans="1:12" ht="84" customHeight="1" x14ac:dyDescent="0.3">
      <c r="A1388" s="2">
        <v>1384</v>
      </c>
      <c r="B1388" s="66" t="s">
        <v>1393</v>
      </c>
      <c r="C1388" s="66"/>
      <c r="D1388" s="11" t="s">
        <v>1544</v>
      </c>
      <c r="E1388" s="11">
        <v>28702</v>
      </c>
      <c r="F1388" s="3">
        <v>38501</v>
      </c>
      <c r="G1388" s="207" t="s">
        <v>1061</v>
      </c>
      <c r="H1388" s="3">
        <v>43053</v>
      </c>
      <c r="I1388" s="2" t="s">
        <v>19506</v>
      </c>
      <c r="J1388" s="2" t="s">
        <v>13904</v>
      </c>
      <c r="K1388" s="2" t="s">
        <v>19841</v>
      </c>
      <c r="L1388" s="82" t="s">
        <v>19512</v>
      </c>
    </row>
    <row r="1389" spans="1:12" ht="84" customHeight="1" x14ac:dyDescent="0.3">
      <c r="A1389" s="2">
        <v>1385</v>
      </c>
      <c r="B1389" s="66" t="s">
        <v>1394</v>
      </c>
      <c r="C1389" s="66"/>
      <c r="D1389" s="11" t="s">
        <v>1545</v>
      </c>
      <c r="E1389" s="11">
        <v>8486.2999999999993</v>
      </c>
      <c r="F1389" s="3">
        <v>38502</v>
      </c>
      <c r="G1389" s="207" t="s">
        <v>1061</v>
      </c>
      <c r="H1389" s="3">
        <v>43053</v>
      </c>
      <c r="I1389" s="2" t="s">
        <v>19506</v>
      </c>
      <c r="J1389" s="2" t="s">
        <v>13904</v>
      </c>
      <c r="K1389" s="2" t="s">
        <v>19841</v>
      </c>
      <c r="L1389" s="82" t="s">
        <v>19512</v>
      </c>
    </row>
    <row r="1390" spans="1:12" ht="84" customHeight="1" x14ac:dyDescent="0.3">
      <c r="A1390" s="2">
        <v>1386</v>
      </c>
      <c r="B1390" s="66" t="s">
        <v>1394</v>
      </c>
      <c r="C1390" s="66"/>
      <c r="D1390" s="11" t="s">
        <v>1545</v>
      </c>
      <c r="E1390" s="11">
        <v>8486.2999999999993</v>
      </c>
      <c r="F1390" s="3">
        <v>38502</v>
      </c>
      <c r="G1390" s="207" t="s">
        <v>1061</v>
      </c>
      <c r="H1390" s="3">
        <v>43053</v>
      </c>
      <c r="I1390" s="2" t="s">
        <v>19506</v>
      </c>
      <c r="J1390" s="2" t="s">
        <v>13904</v>
      </c>
      <c r="K1390" s="2" t="s">
        <v>19841</v>
      </c>
      <c r="L1390" s="82" t="s">
        <v>19512</v>
      </c>
    </row>
    <row r="1391" spans="1:12" ht="84" customHeight="1" x14ac:dyDescent="0.3">
      <c r="A1391" s="2">
        <v>1387</v>
      </c>
      <c r="B1391" s="66" t="s">
        <v>1395</v>
      </c>
      <c r="C1391" s="66"/>
      <c r="D1391" s="11" t="s">
        <v>1546</v>
      </c>
      <c r="E1391" s="11">
        <v>37075.300000000003</v>
      </c>
      <c r="F1391" s="3">
        <v>38501</v>
      </c>
      <c r="G1391" s="207" t="s">
        <v>1061</v>
      </c>
      <c r="H1391" s="3">
        <v>43053</v>
      </c>
      <c r="I1391" s="2" t="s">
        <v>19506</v>
      </c>
      <c r="J1391" s="2" t="s">
        <v>13904</v>
      </c>
      <c r="K1391" s="2" t="s">
        <v>19841</v>
      </c>
      <c r="L1391" s="82" t="s">
        <v>19512</v>
      </c>
    </row>
    <row r="1392" spans="1:12" ht="84" customHeight="1" x14ac:dyDescent="0.3">
      <c r="A1392" s="2">
        <v>1388</v>
      </c>
      <c r="B1392" s="66" t="s">
        <v>1396</v>
      </c>
      <c r="C1392" s="66"/>
      <c r="D1392" s="11" t="s">
        <v>1547</v>
      </c>
      <c r="E1392" s="11">
        <v>17655.12</v>
      </c>
      <c r="F1392" s="3">
        <v>38501</v>
      </c>
      <c r="G1392" s="207" t="s">
        <v>1061</v>
      </c>
      <c r="H1392" s="3">
        <v>43053</v>
      </c>
      <c r="I1392" s="2" t="s">
        <v>19506</v>
      </c>
      <c r="J1392" s="2" t="s">
        <v>13904</v>
      </c>
      <c r="K1392" s="2" t="s">
        <v>19841</v>
      </c>
      <c r="L1392" s="82" t="s">
        <v>19512</v>
      </c>
    </row>
    <row r="1393" spans="1:12" ht="84" customHeight="1" x14ac:dyDescent="0.3">
      <c r="A1393" s="2">
        <v>1389</v>
      </c>
      <c r="B1393" s="66" t="s">
        <v>1397</v>
      </c>
      <c r="C1393" s="66"/>
      <c r="D1393" s="11" t="s">
        <v>1548</v>
      </c>
      <c r="E1393" s="11">
        <v>14782.66</v>
      </c>
      <c r="F1393" s="3">
        <v>38501</v>
      </c>
      <c r="G1393" s="207" t="s">
        <v>1061</v>
      </c>
      <c r="H1393" s="3">
        <v>43053</v>
      </c>
      <c r="I1393" s="2" t="s">
        <v>19506</v>
      </c>
      <c r="J1393" s="2" t="s">
        <v>13904</v>
      </c>
      <c r="K1393" s="2" t="s">
        <v>19841</v>
      </c>
      <c r="L1393" s="82" t="s">
        <v>19512</v>
      </c>
    </row>
    <row r="1394" spans="1:12" ht="84" customHeight="1" x14ac:dyDescent="0.3">
      <c r="A1394" s="2">
        <v>1390</v>
      </c>
      <c r="B1394" s="66" t="s">
        <v>1397</v>
      </c>
      <c r="C1394" s="66"/>
      <c r="D1394" s="11" t="s">
        <v>1548</v>
      </c>
      <c r="E1394" s="11">
        <v>14782.66</v>
      </c>
      <c r="F1394" s="3">
        <v>38501</v>
      </c>
      <c r="G1394" s="207" t="s">
        <v>1061</v>
      </c>
      <c r="H1394" s="3">
        <v>43053</v>
      </c>
      <c r="I1394" s="2" t="s">
        <v>19506</v>
      </c>
      <c r="J1394" s="2" t="s">
        <v>13904</v>
      </c>
      <c r="K1394" s="2" t="s">
        <v>19841</v>
      </c>
      <c r="L1394" s="82" t="s">
        <v>19512</v>
      </c>
    </row>
    <row r="1395" spans="1:12" ht="84" customHeight="1" x14ac:dyDescent="0.3">
      <c r="A1395" s="2">
        <v>1391</v>
      </c>
      <c r="B1395" s="66" t="s">
        <v>1397</v>
      </c>
      <c r="C1395" s="66"/>
      <c r="D1395" s="11" t="s">
        <v>1549</v>
      </c>
      <c r="E1395" s="11">
        <v>14508</v>
      </c>
      <c r="F1395" s="3">
        <v>38954</v>
      </c>
      <c r="G1395" s="207" t="s">
        <v>1061</v>
      </c>
      <c r="H1395" s="3">
        <v>43053</v>
      </c>
      <c r="I1395" s="2" t="s">
        <v>19506</v>
      </c>
      <c r="J1395" s="2" t="s">
        <v>13904</v>
      </c>
      <c r="K1395" s="2" t="s">
        <v>19841</v>
      </c>
      <c r="L1395" s="82" t="s">
        <v>19512</v>
      </c>
    </row>
    <row r="1396" spans="1:12" ht="108" customHeight="1" x14ac:dyDescent="0.3">
      <c r="A1396" s="2">
        <v>1392</v>
      </c>
      <c r="B1396" s="66" t="s">
        <v>1398</v>
      </c>
      <c r="C1396" s="66" t="s">
        <v>18954</v>
      </c>
      <c r="D1396" s="11" t="s">
        <v>1550</v>
      </c>
      <c r="E1396" s="11">
        <v>198605</v>
      </c>
      <c r="F1396" s="3">
        <v>38502</v>
      </c>
      <c r="G1396" s="207" t="s">
        <v>1061</v>
      </c>
      <c r="H1396" s="2"/>
      <c r="I1396" s="2"/>
      <c r="J1396" s="2" t="s">
        <v>13904</v>
      </c>
      <c r="K1396" s="2" t="s">
        <v>19840</v>
      </c>
      <c r="L1396" s="82" t="s">
        <v>21789</v>
      </c>
    </row>
    <row r="1397" spans="1:12" ht="84" customHeight="1" x14ac:dyDescent="0.3">
      <c r="A1397" s="2">
        <v>1393</v>
      </c>
      <c r="B1397" s="66" t="s">
        <v>1399</v>
      </c>
      <c r="C1397" s="66"/>
      <c r="D1397" s="11" t="s">
        <v>1551</v>
      </c>
      <c r="E1397" s="11">
        <v>14106.92</v>
      </c>
      <c r="F1397" s="3">
        <v>38501</v>
      </c>
      <c r="G1397" s="207" t="s">
        <v>1061</v>
      </c>
      <c r="H1397" s="3">
        <v>43053</v>
      </c>
      <c r="I1397" s="2" t="s">
        <v>19506</v>
      </c>
      <c r="J1397" s="2" t="s">
        <v>13904</v>
      </c>
      <c r="K1397" s="2" t="s">
        <v>19841</v>
      </c>
      <c r="L1397" s="82" t="s">
        <v>19512</v>
      </c>
    </row>
    <row r="1398" spans="1:12" ht="84" customHeight="1" x14ac:dyDescent="0.3">
      <c r="A1398" s="2">
        <v>1394</v>
      </c>
      <c r="B1398" s="66" t="s">
        <v>1399</v>
      </c>
      <c r="C1398" s="66"/>
      <c r="D1398" s="11" t="s">
        <v>1551</v>
      </c>
      <c r="E1398" s="11">
        <v>14106.92</v>
      </c>
      <c r="F1398" s="3">
        <v>38501</v>
      </c>
      <c r="G1398" s="207" t="s">
        <v>1061</v>
      </c>
      <c r="H1398" s="3">
        <v>43053</v>
      </c>
      <c r="I1398" s="2" t="s">
        <v>19506</v>
      </c>
      <c r="J1398" s="2" t="s">
        <v>13904</v>
      </c>
      <c r="K1398" s="2" t="s">
        <v>19841</v>
      </c>
      <c r="L1398" s="82" t="s">
        <v>19512</v>
      </c>
    </row>
    <row r="1399" spans="1:12" ht="84" customHeight="1" x14ac:dyDescent="0.3">
      <c r="A1399" s="2">
        <v>1395</v>
      </c>
      <c r="B1399" s="66" t="s">
        <v>1399</v>
      </c>
      <c r="C1399" s="66"/>
      <c r="D1399" s="11" t="s">
        <v>1551</v>
      </c>
      <c r="E1399" s="11">
        <v>14106.92</v>
      </c>
      <c r="F1399" s="3">
        <v>38501</v>
      </c>
      <c r="G1399" s="207" t="s">
        <v>1061</v>
      </c>
      <c r="H1399" s="3">
        <v>43053</v>
      </c>
      <c r="I1399" s="2" t="s">
        <v>19506</v>
      </c>
      <c r="J1399" s="2" t="s">
        <v>13904</v>
      </c>
      <c r="K1399" s="2" t="s">
        <v>19841</v>
      </c>
      <c r="L1399" s="82" t="s">
        <v>19512</v>
      </c>
    </row>
    <row r="1400" spans="1:12" ht="84" customHeight="1" x14ac:dyDescent="0.3">
      <c r="A1400" s="2">
        <v>1396</v>
      </c>
      <c r="B1400" s="66" t="s">
        <v>1399</v>
      </c>
      <c r="C1400" s="66"/>
      <c r="D1400" s="11" t="s">
        <v>1551</v>
      </c>
      <c r="E1400" s="11">
        <v>14106.92</v>
      </c>
      <c r="F1400" s="3">
        <v>38501</v>
      </c>
      <c r="G1400" s="207" t="s">
        <v>1061</v>
      </c>
      <c r="H1400" s="3">
        <v>43053</v>
      </c>
      <c r="I1400" s="2" t="s">
        <v>19506</v>
      </c>
      <c r="J1400" s="2" t="s">
        <v>13904</v>
      </c>
      <c r="K1400" s="2" t="s">
        <v>19841</v>
      </c>
      <c r="L1400" s="82" t="s">
        <v>19512</v>
      </c>
    </row>
    <row r="1401" spans="1:12" ht="84" customHeight="1" x14ac:dyDescent="0.3">
      <c r="A1401" s="2">
        <v>1397</v>
      </c>
      <c r="B1401" s="66" t="s">
        <v>1399</v>
      </c>
      <c r="C1401" s="66"/>
      <c r="D1401" s="11" t="s">
        <v>1551</v>
      </c>
      <c r="E1401" s="11">
        <v>14106.92</v>
      </c>
      <c r="F1401" s="3">
        <v>38501</v>
      </c>
      <c r="G1401" s="207" t="s">
        <v>1061</v>
      </c>
      <c r="H1401" s="3">
        <v>43053</v>
      </c>
      <c r="I1401" s="2" t="s">
        <v>19506</v>
      </c>
      <c r="J1401" s="2" t="s">
        <v>13904</v>
      </c>
      <c r="K1401" s="2" t="s">
        <v>19841</v>
      </c>
      <c r="L1401" s="82" t="s">
        <v>19512</v>
      </c>
    </row>
    <row r="1402" spans="1:12" ht="84" customHeight="1" x14ac:dyDescent="0.3">
      <c r="A1402" s="2">
        <v>1398</v>
      </c>
      <c r="B1402" s="66" t="s">
        <v>1399</v>
      </c>
      <c r="C1402" s="66"/>
      <c r="D1402" s="11" t="s">
        <v>1551</v>
      </c>
      <c r="E1402" s="11">
        <v>14106.92</v>
      </c>
      <c r="F1402" s="3">
        <v>38501</v>
      </c>
      <c r="G1402" s="207" t="s">
        <v>1061</v>
      </c>
      <c r="H1402" s="3">
        <v>43053</v>
      </c>
      <c r="I1402" s="2" t="s">
        <v>19506</v>
      </c>
      <c r="J1402" s="2" t="s">
        <v>13904</v>
      </c>
      <c r="K1402" s="2" t="s">
        <v>19841</v>
      </c>
      <c r="L1402" s="82" t="s">
        <v>19512</v>
      </c>
    </row>
    <row r="1403" spans="1:12" ht="108" customHeight="1" x14ac:dyDescent="0.3">
      <c r="A1403" s="2">
        <v>1399</v>
      </c>
      <c r="B1403" s="66" t="s">
        <v>1400</v>
      </c>
      <c r="C1403" s="66" t="s">
        <v>18955</v>
      </c>
      <c r="D1403" s="11" t="s">
        <v>1552</v>
      </c>
      <c r="E1403" s="11">
        <v>76877.289999999994</v>
      </c>
      <c r="F1403" s="3">
        <v>38501</v>
      </c>
      <c r="G1403" s="207" t="s">
        <v>1061</v>
      </c>
      <c r="H1403" s="2"/>
      <c r="I1403" s="2"/>
      <c r="J1403" s="2" t="s">
        <v>13904</v>
      </c>
      <c r="K1403" s="2" t="s">
        <v>19840</v>
      </c>
      <c r="L1403" s="82" t="s">
        <v>18920</v>
      </c>
    </row>
    <row r="1404" spans="1:12" ht="108" customHeight="1" x14ac:dyDescent="0.3">
      <c r="A1404" s="2">
        <v>1400</v>
      </c>
      <c r="B1404" s="66" t="s">
        <v>1400</v>
      </c>
      <c r="C1404" s="66" t="s">
        <v>18956</v>
      </c>
      <c r="D1404" s="11" t="s">
        <v>1552</v>
      </c>
      <c r="E1404" s="11">
        <v>76877.289999999994</v>
      </c>
      <c r="F1404" s="3">
        <v>38501</v>
      </c>
      <c r="G1404" s="207" t="s">
        <v>1061</v>
      </c>
      <c r="H1404" s="2"/>
      <c r="I1404" s="2"/>
      <c r="J1404" s="2" t="s">
        <v>13904</v>
      </c>
      <c r="K1404" s="2" t="s">
        <v>19840</v>
      </c>
      <c r="L1404" s="82" t="s">
        <v>18920</v>
      </c>
    </row>
    <row r="1405" spans="1:12" ht="84" customHeight="1" x14ac:dyDescent="0.3">
      <c r="A1405" s="2">
        <v>1401</v>
      </c>
      <c r="B1405" s="66" t="s">
        <v>1401</v>
      </c>
      <c r="C1405" s="66"/>
      <c r="D1405" s="11" t="s">
        <v>1553</v>
      </c>
      <c r="E1405" s="11">
        <v>28539.84</v>
      </c>
      <c r="F1405" s="3">
        <v>38280</v>
      </c>
      <c r="G1405" s="207" t="s">
        <v>1061</v>
      </c>
      <c r="H1405" s="3">
        <v>43053</v>
      </c>
      <c r="I1405" s="2" t="s">
        <v>19506</v>
      </c>
      <c r="J1405" s="2" t="s">
        <v>13904</v>
      </c>
      <c r="K1405" s="2" t="s">
        <v>19841</v>
      </c>
      <c r="L1405" s="82" t="s">
        <v>19512</v>
      </c>
    </row>
    <row r="1406" spans="1:12" ht="84" customHeight="1" x14ac:dyDescent="0.3">
      <c r="A1406" s="2">
        <v>1402</v>
      </c>
      <c r="B1406" s="66" t="s">
        <v>1402</v>
      </c>
      <c r="C1406" s="66"/>
      <c r="D1406" s="11" t="s">
        <v>1554</v>
      </c>
      <c r="E1406" s="11">
        <v>20479.84</v>
      </c>
      <c r="F1406" s="3">
        <v>38280</v>
      </c>
      <c r="G1406" s="207" t="s">
        <v>1061</v>
      </c>
      <c r="H1406" s="3">
        <v>43053</v>
      </c>
      <c r="I1406" s="2" t="s">
        <v>19506</v>
      </c>
      <c r="J1406" s="2" t="s">
        <v>13904</v>
      </c>
      <c r="K1406" s="2" t="s">
        <v>19841</v>
      </c>
      <c r="L1406" s="82" t="s">
        <v>19512</v>
      </c>
    </row>
    <row r="1407" spans="1:12" ht="84" customHeight="1" x14ac:dyDescent="0.3">
      <c r="A1407" s="2">
        <v>1403</v>
      </c>
      <c r="B1407" s="66" t="s">
        <v>1403</v>
      </c>
      <c r="C1407" s="66"/>
      <c r="D1407" s="11" t="s">
        <v>1555</v>
      </c>
      <c r="E1407" s="11">
        <v>9347.36</v>
      </c>
      <c r="F1407" s="3">
        <v>38502</v>
      </c>
      <c r="G1407" s="207" t="s">
        <v>1061</v>
      </c>
      <c r="H1407" s="3">
        <v>43053</v>
      </c>
      <c r="I1407" s="2" t="s">
        <v>19506</v>
      </c>
      <c r="J1407" s="2" t="s">
        <v>13904</v>
      </c>
      <c r="K1407" s="2" t="s">
        <v>19841</v>
      </c>
      <c r="L1407" s="82" t="s">
        <v>19512</v>
      </c>
    </row>
    <row r="1408" spans="1:12" ht="84" customHeight="1" x14ac:dyDescent="0.3">
      <c r="A1408" s="2">
        <v>1404</v>
      </c>
      <c r="B1408" s="66" t="s">
        <v>1403</v>
      </c>
      <c r="C1408" s="66"/>
      <c r="D1408" s="11" t="s">
        <v>1555</v>
      </c>
      <c r="E1408" s="11">
        <v>9347.36</v>
      </c>
      <c r="F1408" s="3">
        <v>38502</v>
      </c>
      <c r="G1408" s="207" t="s">
        <v>1061</v>
      </c>
      <c r="H1408" s="3">
        <v>43053</v>
      </c>
      <c r="I1408" s="2" t="s">
        <v>19506</v>
      </c>
      <c r="J1408" s="2" t="s">
        <v>13904</v>
      </c>
      <c r="K1408" s="2" t="s">
        <v>19841</v>
      </c>
      <c r="L1408" s="82" t="s">
        <v>19512</v>
      </c>
    </row>
    <row r="1409" spans="1:12" ht="84" customHeight="1" x14ac:dyDescent="0.3">
      <c r="A1409" s="2">
        <v>1405</v>
      </c>
      <c r="B1409" s="66" t="s">
        <v>1403</v>
      </c>
      <c r="C1409" s="66"/>
      <c r="D1409" s="11" t="s">
        <v>1555</v>
      </c>
      <c r="E1409" s="11">
        <v>9347.36</v>
      </c>
      <c r="F1409" s="3">
        <v>38502</v>
      </c>
      <c r="G1409" s="207" t="s">
        <v>1061</v>
      </c>
      <c r="H1409" s="3">
        <v>43053</v>
      </c>
      <c r="I1409" s="2" t="s">
        <v>19506</v>
      </c>
      <c r="J1409" s="2" t="s">
        <v>13904</v>
      </c>
      <c r="K1409" s="2" t="s">
        <v>19841</v>
      </c>
      <c r="L1409" s="82" t="s">
        <v>19512</v>
      </c>
    </row>
    <row r="1410" spans="1:12" ht="84" customHeight="1" x14ac:dyDescent="0.3">
      <c r="A1410" s="2">
        <v>1406</v>
      </c>
      <c r="B1410" s="66" t="s">
        <v>1403</v>
      </c>
      <c r="C1410" s="66"/>
      <c r="D1410" s="11" t="s">
        <v>1556</v>
      </c>
      <c r="E1410" s="11">
        <v>19874.439999999999</v>
      </c>
      <c r="F1410" s="3">
        <v>38501</v>
      </c>
      <c r="G1410" s="207" t="s">
        <v>1061</v>
      </c>
      <c r="H1410" s="3">
        <v>43053</v>
      </c>
      <c r="I1410" s="2" t="s">
        <v>19506</v>
      </c>
      <c r="J1410" s="2" t="s">
        <v>13904</v>
      </c>
      <c r="K1410" s="2" t="s">
        <v>19841</v>
      </c>
      <c r="L1410" s="82" t="s">
        <v>19512</v>
      </c>
    </row>
    <row r="1411" spans="1:12" ht="108" customHeight="1" x14ac:dyDescent="0.3">
      <c r="A1411" s="2">
        <v>1407</v>
      </c>
      <c r="B1411" s="66" t="s">
        <v>1404</v>
      </c>
      <c r="C1411" s="66" t="s">
        <v>18931</v>
      </c>
      <c r="D1411" s="11" t="s">
        <v>1557</v>
      </c>
      <c r="E1411" s="11">
        <v>138567.38</v>
      </c>
      <c r="F1411" s="3">
        <v>38501</v>
      </c>
      <c r="G1411" s="207" t="s">
        <v>1061</v>
      </c>
      <c r="H1411" s="2"/>
      <c r="I1411" s="2"/>
      <c r="J1411" s="2" t="s">
        <v>13904</v>
      </c>
      <c r="K1411" s="2" t="s">
        <v>19840</v>
      </c>
      <c r="L1411" s="82" t="s">
        <v>18920</v>
      </c>
    </row>
    <row r="1412" spans="1:12" ht="108" customHeight="1" x14ac:dyDescent="0.3">
      <c r="A1412" s="2">
        <v>1408</v>
      </c>
      <c r="B1412" s="66" t="s">
        <v>1405</v>
      </c>
      <c r="C1412" s="66" t="s">
        <v>18957</v>
      </c>
      <c r="D1412" s="11" t="s">
        <v>1558</v>
      </c>
      <c r="E1412" s="11">
        <v>98087.39</v>
      </c>
      <c r="F1412" s="3">
        <v>38501</v>
      </c>
      <c r="G1412" s="207" t="s">
        <v>1061</v>
      </c>
      <c r="H1412" s="2"/>
      <c r="I1412" s="2"/>
      <c r="J1412" s="2" t="s">
        <v>13904</v>
      </c>
      <c r="K1412" s="2" t="s">
        <v>19840</v>
      </c>
      <c r="L1412" s="82" t="s">
        <v>18920</v>
      </c>
    </row>
    <row r="1413" spans="1:12" ht="108" customHeight="1" x14ac:dyDescent="0.3">
      <c r="A1413" s="2">
        <v>1409</v>
      </c>
      <c r="B1413" s="66" t="s">
        <v>1405</v>
      </c>
      <c r="C1413" s="66" t="s">
        <v>18958</v>
      </c>
      <c r="D1413" s="11" t="s">
        <v>1558</v>
      </c>
      <c r="E1413" s="11">
        <v>98087.39</v>
      </c>
      <c r="F1413" s="3">
        <v>38501</v>
      </c>
      <c r="G1413" s="207" t="s">
        <v>1061</v>
      </c>
      <c r="H1413" s="2"/>
      <c r="I1413" s="2"/>
      <c r="J1413" s="2" t="s">
        <v>13904</v>
      </c>
      <c r="K1413" s="2" t="s">
        <v>19840</v>
      </c>
      <c r="L1413" s="82" t="s">
        <v>18920</v>
      </c>
    </row>
    <row r="1414" spans="1:12" ht="84" customHeight="1" x14ac:dyDescent="0.3">
      <c r="A1414" s="2">
        <v>1410</v>
      </c>
      <c r="B1414" s="66" t="s">
        <v>1406</v>
      </c>
      <c r="C1414" s="66"/>
      <c r="D1414" s="11" t="s">
        <v>1559</v>
      </c>
      <c r="E1414" s="11">
        <v>17013.28</v>
      </c>
      <c r="F1414" s="3">
        <v>38501</v>
      </c>
      <c r="G1414" s="207" t="s">
        <v>1061</v>
      </c>
      <c r="H1414" s="3">
        <v>43053</v>
      </c>
      <c r="I1414" s="2" t="s">
        <v>19506</v>
      </c>
      <c r="J1414" s="2" t="s">
        <v>13904</v>
      </c>
      <c r="K1414" s="2" t="s">
        <v>19841</v>
      </c>
      <c r="L1414" s="82" t="s">
        <v>19512</v>
      </c>
    </row>
    <row r="1415" spans="1:12" ht="84" customHeight="1" x14ac:dyDescent="0.3">
      <c r="A1415" s="2">
        <v>1411</v>
      </c>
      <c r="B1415" s="66" t="s">
        <v>1406</v>
      </c>
      <c r="C1415" s="66"/>
      <c r="D1415" s="11" t="s">
        <v>1560</v>
      </c>
      <c r="E1415" s="11">
        <v>17012.150000000001</v>
      </c>
      <c r="F1415" s="3">
        <v>38501</v>
      </c>
      <c r="G1415" s="207" t="s">
        <v>1061</v>
      </c>
      <c r="H1415" s="3">
        <v>43053</v>
      </c>
      <c r="I1415" s="2" t="s">
        <v>19506</v>
      </c>
      <c r="J1415" s="2" t="s">
        <v>13904</v>
      </c>
      <c r="K1415" s="2" t="s">
        <v>19841</v>
      </c>
      <c r="L1415" s="82" t="s">
        <v>19512</v>
      </c>
    </row>
    <row r="1416" spans="1:12" ht="84" customHeight="1" x14ac:dyDescent="0.3">
      <c r="A1416" s="2">
        <v>1412</v>
      </c>
      <c r="B1416" s="66" t="s">
        <v>1407</v>
      </c>
      <c r="C1416" s="66"/>
      <c r="D1416" s="11" t="s">
        <v>1561</v>
      </c>
      <c r="E1416" s="11">
        <v>49135.79</v>
      </c>
      <c r="F1416" s="3">
        <v>38503</v>
      </c>
      <c r="G1416" s="207" t="s">
        <v>1061</v>
      </c>
      <c r="H1416" s="3">
        <v>43053</v>
      </c>
      <c r="I1416" s="2" t="s">
        <v>19506</v>
      </c>
      <c r="J1416" s="2" t="s">
        <v>13904</v>
      </c>
      <c r="K1416" s="2" t="s">
        <v>19841</v>
      </c>
      <c r="L1416" s="82" t="s">
        <v>19512</v>
      </c>
    </row>
    <row r="1417" spans="1:12" ht="84" customHeight="1" x14ac:dyDescent="0.3">
      <c r="A1417" s="2">
        <v>1413</v>
      </c>
      <c r="B1417" s="66" t="s">
        <v>1407</v>
      </c>
      <c r="C1417" s="66"/>
      <c r="D1417" s="11" t="s">
        <v>1561</v>
      </c>
      <c r="E1417" s="11">
        <v>49135.79</v>
      </c>
      <c r="F1417" s="3">
        <v>38503</v>
      </c>
      <c r="G1417" s="207" t="s">
        <v>1061</v>
      </c>
      <c r="H1417" s="3">
        <v>43053</v>
      </c>
      <c r="I1417" s="2" t="s">
        <v>19506</v>
      </c>
      <c r="J1417" s="2" t="s">
        <v>13904</v>
      </c>
      <c r="K1417" s="2" t="s">
        <v>19841</v>
      </c>
      <c r="L1417" s="82" t="s">
        <v>19512</v>
      </c>
    </row>
    <row r="1418" spans="1:12" ht="108" customHeight="1" x14ac:dyDescent="0.3">
      <c r="A1418" s="2">
        <v>1414</v>
      </c>
      <c r="B1418" s="66" t="s">
        <v>1408</v>
      </c>
      <c r="C1418" s="66" t="s">
        <v>18959</v>
      </c>
      <c r="D1418" s="11" t="s">
        <v>1562</v>
      </c>
      <c r="E1418" s="11">
        <v>75420.72</v>
      </c>
      <c r="F1418" s="3">
        <v>38714</v>
      </c>
      <c r="G1418" s="207" t="s">
        <v>1061</v>
      </c>
      <c r="H1418" s="2"/>
      <c r="I1418" s="2"/>
      <c r="J1418" s="2" t="s">
        <v>13904</v>
      </c>
      <c r="K1418" s="2" t="s">
        <v>19840</v>
      </c>
      <c r="L1418" s="82" t="s">
        <v>18920</v>
      </c>
    </row>
    <row r="1419" spans="1:12" ht="108" customHeight="1" x14ac:dyDescent="0.3">
      <c r="A1419" s="2">
        <v>1415</v>
      </c>
      <c r="B1419" s="66" t="s">
        <v>1409</v>
      </c>
      <c r="C1419" s="66" t="s">
        <v>18960</v>
      </c>
      <c r="D1419" s="11" t="s">
        <v>1563</v>
      </c>
      <c r="E1419" s="11">
        <v>77456.98</v>
      </c>
      <c r="F1419" s="3">
        <v>38714</v>
      </c>
      <c r="G1419" s="207" t="s">
        <v>1061</v>
      </c>
      <c r="H1419" s="2"/>
      <c r="I1419" s="2"/>
      <c r="J1419" s="2" t="s">
        <v>13904</v>
      </c>
      <c r="K1419" s="2" t="s">
        <v>19840</v>
      </c>
      <c r="L1419" s="82" t="s">
        <v>18920</v>
      </c>
    </row>
    <row r="1420" spans="1:12" ht="84" customHeight="1" x14ac:dyDescent="0.3">
      <c r="A1420" s="2">
        <v>1416</v>
      </c>
      <c r="B1420" s="66" t="s">
        <v>1410</v>
      </c>
      <c r="C1420" s="66"/>
      <c r="D1420" s="11" t="s">
        <v>1564</v>
      </c>
      <c r="E1420" s="11">
        <v>41825.82</v>
      </c>
      <c r="F1420" s="3">
        <v>38501</v>
      </c>
      <c r="G1420" s="207" t="s">
        <v>1061</v>
      </c>
      <c r="H1420" s="3">
        <v>43053</v>
      </c>
      <c r="I1420" s="2" t="s">
        <v>19506</v>
      </c>
      <c r="J1420" s="2" t="s">
        <v>13904</v>
      </c>
      <c r="K1420" s="2" t="s">
        <v>19841</v>
      </c>
      <c r="L1420" s="82" t="s">
        <v>19512</v>
      </c>
    </row>
    <row r="1421" spans="1:12" ht="84" customHeight="1" x14ac:dyDescent="0.3">
      <c r="A1421" s="2">
        <v>1417</v>
      </c>
      <c r="B1421" s="66" t="s">
        <v>1411</v>
      </c>
      <c r="C1421" s="66"/>
      <c r="D1421" s="11" t="s">
        <v>1565</v>
      </c>
      <c r="E1421" s="11">
        <v>9880.7199999999993</v>
      </c>
      <c r="F1421" s="3">
        <v>38502</v>
      </c>
      <c r="G1421" s="207" t="s">
        <v>1061</v>
      </c>
      <c r="H1421" s="3">
        <v>43053</v>
      </c>
      <c r="I1421" s="2" t="s">
        <v>19506</v>
      </c>
      <c r="J1421" s="2" t="s">
        <v>13904</v>
      </c>
      <c r="K1421" s="2" t="s">
        <v>19841</v>
      </c>
      <c r="L1421" s="82" t="s">
        <v>19512</v>
      </c>
    </row>
    <row r="1422" spans="1:12" ht="84" customHeight="1" x14ac:dyDescent="0.3">
      <c r="A1422" s="2">
        <v>1418</v>
      </c>
      <c r="B1422" s="66" t="s">
        <v>1411</v>
      </c>
      <c r="C1422" s="66"/>
      <c r="D1422" s="11" t="s">
        <v>1565</v>
      </c>
      <c r="E1422" s="11">
        <v>9880.7199999999993</v>
      </c>
      <c r="F1422" s="3">
        <v>38502</v>
      </c>
      <c r="G1422" s="207" t="s">
        <v>1061</v>
      </c>
      <c r="H1422" s="3">
        <v>43053</v>
      </c>
      <c r="I1422" s="2" t="s">
        <v>19506</v>
      </c>
      <c r="J1422" s="2" t="s">
        <v>13904</v>
      </c>
      <c r="K1422" s="2" t="s">
        <v>19841</v>
      </c>
      <c r="L1422" s="82" t="s">
        <v>19512</v>
      </c>
    </row>
    <row r="1423" spans="1:12" ht="84" customHeight="1" x14ac:dyDescent="0.3">
      <c r="A1423" s="2">
        <v>1419</v>
      </c>
      <c r="B1423" s="66" t="s">
        <v>1412</v>
      </c>
      <c r="C1423" s="66"/>
      <c r="D1423" s="11" t="s">
        <v>1566</v>
      </c>
      <c r="E1423" s="11">
        <v>10920</v>
      </c>
      <c r="F1423" s="3">
        <v>38954</v>
      </c>
      <c r="G1423" s="207" t="s">
        <v>1061</v>
      </c>
      <c r="H1423" s="3">
        <v>43053</v>
      </c>
      <c r="I1423" s="2" t="s">
        <v>19506</v>
      </c>
      <c r="J1423" s="2" t="s">
        <v>13904</v>
      </c>
      <c r="K1423" s="2" t="s">
        <v>19841</v>
      </c>
      <c r="L1423" s="82" t="s">
        <v>19512</v>
      </c>
    </row>
    <row r="1424" spans="1:12" ht="84" customHeight="1" x14ac:dyDescent="0.3">
      <c r="A1424" s="2">
        <v>1420</v>
      </c>
      <c r="B1424" s="66" t="s">
        <v>1412</v>
      </c>
      <c r="C1424" s="66"/>
      <c r="D1424" s="11" t="s">
        <v>1566</v>
      </c>
      <c r="E1424" s="11">
        <v>10920</v>
      </c>
      <c r="F1424" s="3">
        <v>38954</v>
      </c>
      <c r="G1424" s="207" t="s">
        <v>1061</v>
      </c>
      <c r="H1424" s="3">
        <v>43053</v>
      </c>
      <c r="I1424" s="2" t="s">
        <v>19506</v>
      </c>
      <c r="J1424" s="2" t="s">
        <v>13904</v>
      </c>
      <c r="K1424" s="2" t="s">
        <v>19841</v>
      </c>
      <c r="L1424" s="82" t="s">
        <v>19512</v>
      </c>
    </row>
    <row r="1425" spans="1:12" ht="84" customHeight="1" x14ac:dyDescent="0.3">
      <c r="A1425" s="2">
        <v>1421</v>
      </c>
      <c r="B1425" s="66" t="s">
        <v>1413</v>
      </c>
      <c r="C1425" s="66"/>
      <c r="D1425" s="11" t="s">
        <v>1567</v>
      </c>
      <c r="E1425" s="11">
        <v>18735.400000000001</v>
      </c>
      <c r="F1425" s="3">
        <v>38501</v>
      </c>
      <c r="G1425" s="207" t="s">
        <v>1061</v>
      </c>
      <c r="H1425" s="3">
        <v>43053</v>
      </c>
      <c r="I1425" s="2" t="s">
        <v>19506</v>
      </c>
      <c r="J1425" s="2" t="s">
        <v>13904</v>
      </c>
      <c r="K1425" s="2" t="s">
        <v>19841</v>
      </c>
      <c r="L1425" s="82" t="s">
        <v>19512</v>
      </c>
    </row>
    <row r="1426" spans="1:12" ht="84" customHeight="1" x14ac:dyDescent="0.3">
      <c r="A1426" s="2">
        <v>1422</v>
      </c>
      <c r="B1426" s="66" t="s">
        <v>1414</v>
      </c>
      <c r="C1426" s="66"/>
      <c r="D1426" s="11" t="s">
        <v>1568</v>
      </c>
      <c r="E1426" s="11">
        <v>37468.54</v>
      </c>
      <c r="F1426" s="3">
        <v>38501</v>
      </c>
      <c r="G1426" s="207" t="s">
        <v>1061</v>
      </c>
      <c r="H1426" s="3">
        <v>43053</v>
      </c>
      <c r="I1426" s="2" t="s">
        <v>19506</v>
      </c>
      <c r="J1426" s="2" t="s">
        <v>13904</v>
      </c>
      <c r="K1426" s="2" t="s">
        <v>19841</v>
      </c>
      <c r="L1426" s="82" t="s">
        <v>19512</v>
      </c>
    </row>
    <row r="1427" spans="1:12" ht="108" customHeight="1" x14ac:dyDescent="0.3">
      <c r="A1427" s="2">
        <v>1423</v>
      </c>
      <c r="B1427" s="66" t="s">
        <v>1415</v>
      </c>
      <c r="C1427" s="66" t="s">
        <v>18961</v>
      </c>
      <c r="D1427" s="11" t="s">
        <v>1569</v>
      </c>
      <c r="E1427" s="11">
        <v>86784</v>
      </c>
      <c r="F1427" s="3">
        <v>38501</v>
      </c>
      <c r="G1427" s="207" t="s">
        <v>1061</v>
      </c>
      <c r="H1427" s="2"/>
      <c r="I1427" s="2"/>
      <c r="J1427" s="2" t="s">
        <v>13904</v>
      </c>
      <c r="K1427" s="2" t="s">
        <v>19840</v>
      </c>
      <c r="L1427" s="82" t="s">
        <v>18920</v>
      </c>
    </row>
    <row r="1428" spans="1:12" ht="108" customHeight="1" x14ac:dyDescent="0.3">
      <c r="A1428" s="2">
        <v>1424</v>
      </c>
      <c r="B1428" s="66" t="s">
        <v>1416</v>
      </c>
      <c r="C1428" s="66" t="s">
        <v>18962</v>
      </c>
      <c r="D1428" s="11" t="s">
        <v>1570</v>
      </c>
      <c r="E1428" s="11">
        <v>250148.1</v>
      </c>
      <c r="F1428" s="3">
        <v>38501</v>
      </c>
      <c r="G1428" s="207" t="s">
        <v>1061</v>
      </c>
      <c r="H1428" s="2"/>
      <c r="I1428" s="2"/>
      <c r="J1428" s="2" t="s">
        <v>13904</v>
      </c>
      <c r="K1428" s="2" t="s">
        <v>19840</v>
      </c>
      <c r="L1428" s="82" t="s">
        <v>18920</v>
      </c>
    </row>
    <row r="1429" spans="1:12" ht="108" customHeight="1" x14ac:dyDescent="0.3">
      <c r="A1429" s="2">
        <v>1425</v>
      </c>
      <c r="B1429" s="66" t="s">
        <v>1416</v>
      </c>
      <c r="C1429" s="66" t="s">
        <v>18963</v>
      </c>
      <c r="D1429" s="11" t="s">
        <v>1570</v>
      </c>
      <c r="E1429" s="11">
        <v>250148.1</v>
      </c>
      <c r="F1429" s="3">
        <v>38501</v>
      </c>
      <c r="G1429" s="207" t="s">
        <v>1061</v>
      </c>
      <c r="H1429" s="2"/>
      <c r="I1429" s="2"/>
      <c r="J1429" s="2" t="s">
        <v>13904</v>
      </c>
      <c r="K1429" s="2" t="s">
        <v>19840</v>
      </c>
      <c r="L1429" s="82" t="s">
        <v>18920</v>
      </c>
    </row>
    <row r="1430" spans="1:12" ht="108" customHeight="1" x14ac:dyDescent="0.3">
      <c r="A1430" s="2">
        <v>1426</v>
      </c>
      <c r="B1430" s="66" t="s">
        <v>1417</v>
      </c>
      <c r="C1430" s="66" t="s">
        <v>18964</v>
      </c>
      <c r="D1430" s="11" t="s">
        <v>1571</v>
      </c>
      <c r="E1430" s="11">
        <v>278533.7</v>
      </c>
      <c r="F1430" s="3">
        <v>38501</v>
      </c>
      <c r="G1430" s="207" t="s">
        <v>1061</v>
      </c>
      <c r="H1430" s="2"/>
      <c r="I1430" s="2"/>
      <c r="J1430" s="2" t="s">
        <v>13904</v>
      </c>
      <c r="K1430" s="2" t="s">
        <v>19840</v>
      </c>
      <c r="L1430" s="82" t="s">
        <v>18920</v>
      </c>
    </row>
    <row r="1431" spans="1:12" ht="84" customHeight="1" x14ac:dyDescent="0.3">
      <c r="A1431" s="2">
        <v>1427</v>
      </c>
      <c r="B1431" s="66" t="s">
        <v>1384</v>
      </c>
      <c r="C1431" s="66"/>
      <c r="D1431" s="11" t="s">
        <v>1534</v>
      </c>
      <c r="E1431" s="11">
        <v>7213.92</v>
      </c>
      <c r="F1431" s="3">
        <v>38502</v>
      </c>
      <c r="G1431" s="207" t="s">
        <v>1061</v>
      </c>
      <c r="H1431" s="3">
        <v>43053</v>
      </c>
      <c r="I1431" s="2" t="s">
        <v>19506</v>
      </c>
      <c r="J1431" s="2" t="s">
        <v>13904</v>
      </c>
      <c r="K1431" s="2" t="s">
        <v>19841</v>
      </c>
      <c r="L1431" s="82" t="s">
        <v>19512</v>
      </c>
    </row>
    <row r="1432" spans="1:12" ht="84" customHeight="1" x14ac:dyDescent="0.3">
      <c r="A1432" s="2">
        <v>1428</v>
      </c>
      <c r="B1432" s="66" t="s">
        <v>1384</v>
      </c>
      <c r="C1432" s="66"/>
      <c r="D1432" s="11" t="s">
        <v>1535</v>
      </c>
      <c r="E1432" s="11">
        <v>6853.45</v>
      </c>
      <c r="F1432" s="3">
        <v>38502</v>
      </c>
      <c r="G1432" s="207" t="s">
        <v>1061</v>
      </c>
      <c r="H1432" s="3">
        <v>43053</v>
      </c>
      <c r="I1432" s="2" t="s">
        <v>19506</v>
      </c>
      <c r="J1432" s="2" t="s">
        <v>13904</v>
      </c>
      <c r="K1432" s="2" t="s">
        <v>19841</v>
      </c>
      <c r="L1432" s="82" t="s">
        <v>19512</v>
      </c>
    </row>
    <row r="1433" spans="1:12" ht="84" customHeight="1" x14ac:dyDescent="0.3">
      <c r="A1433" s="2">
        <v>1429</v>
      </c>
      <c r="B1433" s="66" t="s">
        <v>1418</v>
      </c>
      <c r="C1433" s="66"/>
      <c r="D1433" s="11" t="s">
        <v>1572</v>
      </c>
      <c r="E1433" s="11">
        <v>10824.66</v>
      </c>
      <c r="F1433" s="3">
        <v>38172</v>
      </c>
      <c r="G1433" s="207" t="s">
        <v>1061</v>
      </c>
      <c r="H1433" s="3">
        <v>43053</v>
      </c>
      <c r="I1433" s="2" t="s">
        <v>19506</v>
      </c>
      <c r="J1433" s="2" t="s">
        <v>13904</v>
      </c>
      <c r="K1433" s="2" t="s">
        <v>19841</v>
      </c>
      <c r="L1433" s="82" t="s">
        <v>19512</v>
      </c>
    </row>
    <row r="1434" spans="1:12" ht="84" customHeight="1" x14ac:dyDescent="0.3">
      <c r="A1434" s="2">
        <v>1430</v>
      </c>
      <c r="B1434" s="66" t="s">
        <v>1419</v>
      </c>
      <c r="C1434" s="66"/>
      <c r="D1434" s="11" t="s">
        <v>1573</v>
      </c>
      <c r="E1434" s="11">
        <v>15220</v>
      </c>
      <c r="F1434" s="3">
        <v>39205</v>
      </c>
      <c r="G1434" s="207" t="s">
        <v>1061</v>
      </c>
      <c r="H1434" s="3">
        <v>43053</v>
      </c>
      <c r="I1434" s="2" t="s">
        <v>19506</v>
      </c>
      <c r="J1434" s="2" t="s">
        <v>13904</v>
      </c>
      <c r="K1434" s="2" t="s">
        <v>19841</v>
      </c>
      <c r="L1434" s="82" t="s">
        <v>19512</v>
      </c>
    </row>
    <row r="1435" spans="1:12" ht="84" customHeight="1" x14ac:dyDescent="0.3">
      <c r="A1435" s="2">
        <v>1431</v>
      </c>
      <c r="B1435" s="66" t="s">
        <v>1420</v>
      </c>
      <c r="C1435" s="66"/>
      <c r="D1435" s="11" t="s">
        <v>1574</v>
      </c>
      <c r="E1435" s="11">
        <v>17990</v>
      </c>
      <c r="F1435" s="3">
        <v>39205</v>
      </c>
      <c r="G1435" s="207" t="s">
        <v>1061</v>
      </c>
      <c r="H1435" s="3">
        <v>43053</v>
      </c>
      <c r="I1435" s="2" t="s">
        <v>19506</v>
      </c>
      <c r="J1435" s="2" t="s">
        <v>13904</v>
      </c>
      <c r="K1435" s="2" t="s">
        <v>19841</v>
      </c>
      <c r="L1435" s="82" t="s">
        <v>19512</v>
      </c>
    </row>
    <row r="1436" spans="1:12" ht="84" customHeight="1" x14ac:dyDescent="0.3">
      <c r="A1436" s="2">
        <v>1432</v>
      </c>
      <c r="B1436" s="66" t="s">
        <v>1421</v>
      </c>
      <c r="C1436" s="66"/>
      <c r="D1436" s="11" t="s">
        <v>1575</v>
      </c>
      <c r="E1436" s="11">
        <v>18540</v>
      </c>
      <c r="F1436" s="3">
        <v>38940</v>
      </c>
      <c r="G1436" s="207" t="s">
        <v>1061</v>
      </c>
      <c r="H1436" s="3">
        <v>43053</v>
      </c>
      <c r="I1436" s="2" t="s">
        <v>19506</v>
      </c>
      <c r="J1436" s="2" t="s">
        <v>13904</v>
      </c>
      <c r="K1436" s="2" t="s">
        <v>19841</v>
      </c>
      <c r="L1436" s="82" t="s">
        <v>19512</v>
      </c>
    </row>
    <row r="1437" spans="1:12" ht="84" customHeight="1" x14ac:dyDescent="0.3">
      <c r="A1437" s="2">
        <v>1433</v>
      </c>
      <c r="B1437" s="66" t="s">
        <v>1422</v>
      </c>
      <c r="C1437" s="66"/>
      <c r="D1437" s="11" t="s">
        <v>1576</v>
      </c>
      <c r="E1437" s="11">
        <v>42546.9</v>
      </c>
      <c r="F1437" s="3">
        <v>37498</v>
      </c>
      <c r="G1437" s="207" t="s">
        <v>1061</v>
      </c>
      <c r="H1437" s="3">
        <v>43053</v>
      </c>
      <c r="I1437" s="2" t="s">
        <v>19506</v>
      </c>
      <c r="J1437" s="2" t="s">
        <v>13904</v>
      </c>
      <c r="K1437" s="2" t="s">
        <v>19841</v>
      </c>
      <c r="L1437" s="82" t="s">
        <v>19512</v>
      </c>
    </row>
    <row r="1438" spans="1:12" ht="84" customHeight="1" x14ac:dyDescent="0.3">
      <c r="A1438" s="2">
        <v>1434</v>
      </c>
      <c r="B1438" s="66" t="s">
        <v>1422</v>
      </c>
      <c r="C1438" s="66"/>
      <c r="D1438" s="11" t="s">
        <v>1576</v>
      </c>
      <c r="E1438" s="11">
        <v>42546.9</v>
      </c>
      <c r="F1438" s="3">
        <v>37498</v>
      </c>
      <c r="G1438" s="207" t="s">
        <v>1061</v>
      </c>
      <c r="H1438" s="3">
        <v>43053</v>
      </c>
      <c r="I1438" s="2" t="s">
        <v>19506</v>
      </c>
      <c r="J1438" s="2" t="s">
        <v>13904</v>
      </c>
      <c r="K1438" s="2" t="s">
        <v>19841</v>
      </c>
      <c r="L1438" s="82" t="s">
        <v>19512</v>
      </c>
    </row>
    <row r="1439" spans="1:12" ht="84" customHeight="1" x14ac:dyDescent="0.3">
      <c r="A1439" s="2">
        <v>1435</v>
      </c>
      <c r="B1439" s="66" t="s">
        <v>1423</v>
      </c>
      <c r="C1439" s="66"/>
      <c r="D1439" s="11" t="s">
        <v>1577</v>
      </c>
      <c r="E1439" s="11">
        <v>10878</v>
      </c>
      <c r="F1439" s="3">
        <v>38944</v>
      </c>
      <c r="G1439" s="207" t="s">
        <v>1061</v>
      </c>
      <c r="H1439" s="3">
        <v>43053</v>
      </c>
      <c r="I1439" s="2" t="s">
        <v>19506</v>
      </c>
      <c r="J1439" s="2" t="s">
        <v>13904</v>
      </c>
      <c r="K1439" s="2" t="s">
        <v>19841</v>
      </c>
      <c r="L1439" s="82" t="s">
        <v>19512</v>
      </c>
    </row>
    <row r="1440" spans="1:12" ht="84" customHeight="1" x14ac:dyDescent="0.3">
      <c r="A1440" s="2">
        <v>1436</v>
      </c>
      <c r="B1440" s="66" t="s">
        <v>1424</v>
      </c>
      <c r="C1440" s="66"/>
      <c r="D1440" s="11" t="s">
        <v>1578</v>
      </c>
      <c r="E1440" s="11">
        <v>3241.2</v>
      </c>
      <c r="F1440" s="3">
        <v>38653</v>
      </c>
      <c r="G1440" s="207" t="s">
        <v>1061</v>
      </c>
      <c r="H1440" s="3">
        <v>43053</v>
      </c>
      <c r="I1440" s="2" t="s">
        <v>19506</v>
      </c>
      <c r="J1440" s="2" t="s">
        <v>13904</v>
      </c>
      <c r="K1440" s="2" t="s">
        <v>19841</v>
      </c>
      <c r="L1440" s="82" t="s">
        <v>19512</v>
      </c>
    </row>
    <row r="1441" spans="1:12" ht="84" customHeight="1" x14ac:dyDescent="0.3">
      <c r="A1441" s="2">
        <v>1437</v>
      </c>
      <c r="B1441" s="66" t="s">
        <v>1425</v>
      </c>
      <c r="C1441" s="66"/>
      <c r="D1441" s="11" t="s">
        <v>1579</v>
      </c>
      <c r="E1441" s="11">
        <v>20266.2</v>
      </c>
      <c r="F1441" s="3">
        <v>38281</v>
      </c>
      <c r="G1441" s="207" t="s">
        <v>1061</v>
      </c>
      <c r="H1441" s="3">
        <v>43053</v>
      </c>
      <c r="I1441" s="2" t="s">
        <v>19506</v>
      </c>
      <c r="J1441" s="2" t="s">
        <v>13904</v>
      </c>
      <c r="K1441" s="2" t="s">
        <v>19841</v>
      </c>
      <c r="L1441" s="82" t="s">
        <v>19512</v>
      </c>
    </row>
    <row r="1442" spans="1:12" ht="84" customHeight="1" x14ac:dyDescent="0.3">
      <c r="A1442" s="2">
        <v>1438</v>
      </c>
      <c r="B1442" s="66" t="s">
        <v>1426</v>
      </c>
      <c r="C1442" s="66"/>
      <c r="D1442" s="11" t="s">
        <v>1159</v>
      </c>
      <c r="E1442" s="11">
        <v>9102</v>
      </c>
      <c r="F1442" s="3">
        <v>38868</v>
      </c>
      <c r="G1442" s="207" t="s">
        <v>1061</v>
      </c>
      <c r="H1442" s="3">
        <v>43053</v>
      </c>
      <c r="I1442" s="2" t="s">
        <v>19506</v>
      </c>
      <c r="J1442" s="2" t="s">
        <v>13904</v>
      </c>
      <c r="K1442" s="2" t="s">
        <v>19841</v>
      </c>
      <c r="L1442" s="82" t="s">
        <v>19512</v>
      </c>
    </row>
    <row r="1443" spans="1:12" ht="108" customHeight="1" x14ac:dyDescent="0.3">
      <c r="A1443" s="2">
        <v>1439</v>
      </c>
      <c r="B1443" s="66" t="s">
        <v>1427</v>
      </c>
      <c r="C1443" s="66" t="s">
        <v>18965</v>
      </c>
      <c r="D1443" s="11" t="s">
        <v>1580</v>
      </c>
      <c r="E1443" s="11">
        <v>288231.78999999998</v>
      </c>
      <c r="F1443" s="3">
        <v>38280</v>
      </c>
      <c r="G1443" s="207" t="s">
        <v>1061</v>
      </c>
      <c r="H1443" s="2"/>
      <c r="I1443" s="2"/>
      <c r="J1443" s="2" t="s">
        <v>13904</v>
      </c>
      <c r="K1443" s="2" t="s">
        <v>19840</v>
      </c>
      <c r="L1443" s="82" t="s">
        <v>18920</v>
      </c>
    </row>
    <row r="1444" spans="1:12" ht="84" customHeight="1" x14ac:dyDescent="0.3">
      <c r="A1444" s="2">
        <v>1440</v>
      </c>
      <c r="B1444" s="66" t="s">
        <v>1428</v>
      </c>
      <c r="C1444" s="66"/>
      <c r="D1444" s="11" t="s">
        <v>1581</v>
      </c>
      <c r="E1444" s="11">
        <v>48188.52</v>
      </c>
      <c r="F1444" s="3">
        <v>38280</v>
      </c>
      <c r="G1444" s="207" t="s">
        <v>1061</v>
      </c>
      <c r="H1444" s="3">
        <v>43053</v>
      </c>
      <c r="I1444" s="2" t="s">
        <v>19506</v>
      </c>
      <c r="J1444" s="2" t="s">
        <v>13904</v>
      </c>
      <c r="K1444" s="2" t="s">
        <v>19841</v>
      </c>
      <c r="L1444" s="82" t="s">
        <v>19512</v>
      </c>
    </row>
    <row r="1445" spans="1:12" ht="84" customHeight="1" x14ac:dyDescent="0.3">
      <c r="A1445" s="2">
        <v>1441</v>
      </c>
      <c r="B1445" s="66" t="s">
        <v>1429</v>
      </c>
      <c r="C1445" s="66"/>
      <c r="D1445" s="11" t="s">
        <v>1582</v>
      </c>
      <c r="E1445" s="11">
        <v>8585.85</v>
      </c>
      <c r="F1445" s="3">
        <v>38653</v>
      </c>
      <c r="G1445" s="207" t="s">
        <v>1061</v>
      </c>
      <c r="H1445" s="3">
        <v>43053</v>
      </c>
      <c r="I1445" s="2" t="s">
        <v>19506</v>
      </c>
      <c r="J1445" s="2" t="s">
        <v>13904</v>
      </c>
      <c r="K1445" s="2" t="s">
        <v>19841</v>
      </c>
      <c r="L1445" s="82" t="s">
        <v>19512</v>
      </c>
    </row>
    <row r="1446" spans="1:12" ht="84" customHeight="1" x14ac:dyDescent="0.3">
      <c r="A1446" s="2">
        <v>1442</v>
      </c>
      <c r="B1446" s="66" t="s">
        <v>1430</v>
      </c>
      <c r="C1446" s="66"/>
      <c r="D1446" s="11" t="s">
        <v>1583</v>
      </c>
      <c r="E1446" s="11">
        <v>6500</v>
      </c>
      <c r="F1446" s="3">
        <v>39097</v>
      </c>
      <c r="G1446" s="207" t="s">
        <v>1061</v>
      </c>
      <c r="H1446" s="3">
        <v>43053</v>
      </c>
      <c r="I1446" s="2" t="s">
        <v>19506</v>
      </c>
      <c r="J1446" s="2" t="s">
        <v>13904</v>
      </c>
      <c r="K1446" s="2" t="s">
        <v>19841</v>
      </c>
      <c r="L1446" s="82" t="s">
        <v>19512</v>
      </c>
    </row>
    <row r="1447" spans="1:12" ht="84" customHeight="1" x14ac:dyDescent="0.3">
      <c r="A1447" s="2">
        <v>1443</v>
      </c>
      <c r="B1447" s="66" t="s">
        <v>1431</v>
      </c>
      <c r="C1447" s="66"/>
      <c r="D1447" s="11" t="s">
        <v>1584</v>
      </c>
      <c r="E1447" s="11">
        <v>9720</v>
      </c>
      <c r="F1447" s="3">
        <v>38341</v>
      </c>
      <c r="G1447" s="207" t="s">
        <v>1061</v>
      </c>
      <c r="H1447" s="3">
        <v>43053</v>
      </c>
      <c r="I1447" s="2" t="s">
        <v>19506</v>
      </c>
      <c r="J1447" s="2" t="s">
        <v>13904</v>
      </c>
      <c r="K1447" s="2" t="s">
        <v>19841</v>
      </c>
      <c r="L1447" s="82" t="s">
        <v>19512</v>
      </c>
    </row>
    <row r="1448" spans="1:12" ht="84" customHeight="1" x14ac:dyDescent="0.3">
      <c r="A1448" s="2">
        <v>1444</v>
      </c>
      <c r="B1448" s="66" t="s">
        <v>1432</v>
      </c>
      <c r="C1448" s="66"/>
      <c r="D1448" s="11" t="s">
        <v>1585</v>
      </c>
      <c r="E1448" s="11">
        <v>19198.7</v>
      </c>
      <c r="F1448" s="3">
        <v>38715</v>
      </c>
      <c r="G1448" s="207" t="s">
        <v>1061</v>
      </c>
      <c r="H1448" s="3">
        <v>43053</v>
      </c>
      <c r="I1448" s="2" t="s">
        <v>19506</v>
      </c>
      <c r="J1448" s="2" t="s">
        <v>13904</v>
      </c>
      <c r="K1448" s="2" t="s">
        <v>19841</v>
      </c>
      <c r="L1448" s="82" t="s">
        <v>19512</v>
      </c>
    </row>
    <row r="1449" spans="1:12" ht="84" customHeight="1" x14ac:dyDescent="0.3">
      <c r="A1449" s="2">
        <v>1445</v>
      </c>
      <c r="B1449" s="66" t="s">
        <v>1433</v>
      </c>
      <c r="C1449" s="66"/>
      <c r="D1449" s="11" t="s">
        <v>1586</v>
      </c>
      <c r="E1449" s="11">
        <v>13424.4</v>
      </c>
      <c r="F1449" s="3">
        <v>38643</v>
      </c>
      <c r="G1449" s="207" t="s">
        <v>1061</v>
      </c>
      <c r="H1449" s="3">
        <v>43053</v>
      </c>
      <c r="I1449" s="2" t="s">
        <v>19506</v>
      </c>
      <c r="J1449" s="2" t="s">
        <v>13904</v>
      </c>
      <c r="K1449" s="2" t="s">
        <v>19841</v>
      </c>
      <c r="L1449" s="82" t="s">
        <v>19512</v>
      </c>
    </row>
    <row r="1450" spans="1:12" ht="84" customHeight="1" x14ac:dyDescent="0.3">
      <c r="A1450" s="2">
        <v>1446</v>
      </c>
      <c r="B1450" s="66" t="s">
        <v>1434</v>
      </c>
      <c r="C1450" s="66"/>
      <c r="D1450" s="11" t="s">
        <v>1587</v>
      </c>
      <c r="E1450" s="11">
        <v>10789.2</v>
      </c>
      <c r="F1450" s="3">
        <v>38280</v>
      </c>
      <c r="G1450" s="207" t="s">
        <v>1061</v>
      </c>
      <c r="H1450" s="3">
        <v>43053</v>
      </c>
      <c r="I1450" s="2" t="s">
        <v>19506</v>
      </c>
      <c r="J1450" s="2" t="s">
        <v>13904</v>
      </c>
      <c r="K1450" s="2" t="s">
        <v>19841</v>
      </c>
      <c r="L1450" s="82" t="s">
        <v>19512</v>
      </c>
    </row>
    <row r="1451" spans="1:12" ht="84" customHeight="1" x14ac:dyDescent="0.3">
      <c r="A1451" s="2">
        <v>1447</v>
      </c>
      <c r="B1451" s="66" t="s">
        <v>1435</v>
      </c>
      <c r="C1451" s="66"/>
      <c r="D1451" s="11" t="s">
        <v>1588</v>
      </c>
      <c r="E1451" s="11">
        <v>21800</v>
      </c>
      <c r="F1451" s="3">
        <v>39154</v>
      </c>
      <c r="G1451" s="207" t="s">
        <v>1061</v>
      </c>
      <c r="H1451" s="3">
        <v>43053</v>
      </c>
      <c r="I1451" s="2" t="s">
        <v>19506</v>
      </c>
      <c r="J1451" s="2" t="s">
        <v>13904</v>
      </c>
      <c r="K1451" s="2" t="s">
        <v>19841</v>
      </c>
      <c r="L1451" s="82" t="s">
        <v>19512</v>
      </c>
    </row>
    <row r="1452" spans="1:12" ht="84" customHeight="1" x14ac:dyDescent="0.3">
      <c r="A1452" s="2">
        <v>1448</v>
      </c>
      <c r="B1452" s="66" t="s">
        <v>1436</v>
      </c>
      <c r="C1452" s="66"/>
      <c r="D1452" s="11" t="s">
        <v>1589</v>
      </c>
      <c r="E1452" s="11">
        <v>8356.36</v>
      </c>
      <c r="F1452" s="3">
        <v>38652</v>
      </c>
      <c r="G1452" s="207" t="s">
        <v>1061</v>
      </c>
      <c r="H1452" s="3">
        <v>43053</v>
      </c>
      <c r="I1452" s="2" t="s">
        <v>19506</v>
      </c>
      <c r="J1452" s="2" t="s">
        <v>13904</v>
      </c>
      <c r="K1452" s="2" t="s">
        <v>19841</v>
      </c>
      <c r="L1452" s="82" t="s">
        <v>19512</v>
      </c>
    </row>
    <row r="1453" spans="1:12" ht="84" customHeight="1" x14ac:dyDescent="0.3">
      <c r="A1453" s="2">
        <v>1449</v>
      </c>
      <c r="B1453" s="66" t="s">
        <v>1437</v>
      </c>
      <c r="C1453" s="66"/>
      <c r="D1453" s="11" t="s">
        <v>1590</v>
      </c>
      <c r="E1453" s="11">
        <v>19225.3</v>
      </c>
      <c r="F1453" s="3">
        <v>38652</v>
      </c>
      <c r="G1453" s="207" t="s">
        <v>1061</v>
      </c>
      <c r="H1453" s="3">
        <v>43053</v>
      </c>
      <c r="I1453" s="2" t="s">
        <v>19506</v>
      </c>
      <c r="J1453" s="2" t="s">
        <v>13904</v>
      </c>
      <c r="K1453" s="2" t="s">
        <v>19841</v>
      </c>
      <c r="L1453" s="82" t="s">
        <v>19512</v>
      </c>
    </row>
    <row r="1454" spans="1:12" ht="84" customHeight="1" x14ac:dyDescent="0.3">
      <c r="A1454" s="2">
        <v>1450</v>
      </c>
      <c r="B1454" s="66" t="s">
        <v>1438</v>
      </c>
      <c r="C1454" s="66"/>
      <c r="D1454" s="11" t="s">
        <v>1591</v>
      </c>
      <c r="E1454" s="11">
        <v>23769.07</v>
      </c>
      <c r="F1454" s="3">
        <v>38499</v>
      </c>
      <c r="G1454" s="207" t="s">
        <v>1061</v>
      </c>
      <c r="H1454" s="3">
        <v>43053</v>
      </c>
      <c r="I1454" s="2" t="s">
        <v>19506</v>
      </c>
      <c r="J1454" s="2" t="s">
        <v>13904</v>
      </c>
      <c r="K1454" s="2" t="s">
        <v>19841</v>
      </c>
      <c r="L1454" s="82" t="s">
        <v>19512</v>
      </c>
    </row>
    <row r="1455" spans="1:12" ht="108" customHeight="1" x14ac:dyDescent="0.3">
      <c r="A1455" s="2">
        <v>1451</v>
      </c>
      <c r="B1455" s="66" t="s">
        <v>1592</v>
      </c>
      <c r="C1455" s="66" t="s">
        <v>18967</v>
      </c>
      <c r="D1455" s="11" t="s">
        <v>1602</v>
      </c>
      <c r="E1455" s="11">
        <v>1507000</v>
      </c>
      <c r="F1455" s="3">
        <v>39436</v>
      </c>
      <c r="G1455" s="207" t="s">
        <v>1061</v>
      </c>
      <c r="H1455" s="2"/>
      <c r="I1455" s="2"/>
      <c r="J1455" s="2" t="s">
        <v>13904</v>
      </c>
      <c r="K1455" s="2" t="s">
        <v>19840</v>
      </c>
      <c r="L1455" s="82" t="s">
        <v>18920</v>
      </c>
    </row>
    <row r="1456" spans="1:12" ht="108" customHeight="1" x14ac:dyDescent="0.3">
      <c r="A1456" s="2">
        <v>1452</v>
      </c>
      <c r="B1456" s="66" t="s">
        <v>1593</v>
      </c>
      <c r="C1456" s="66" t="s">
        <v>18966</v>
      </c>
      <c r="D1456" s="11" t="s">
        <v>1603</v>
      </c>
      <c r="E1456" s="11">
        <v>274894.56</v>
      </c>
      <c r="F1456" s="3">
        <v>39196</v>
      </c>
      <c r="G1456" s="207" t="s">
        <v>1061</v>
      </c>
      <c r="H1456" s="2"/>
      <c r="I1456" s="2"/>
      <c r="J1456" s="2" t="s">
        <v>13904</v>
      </c>
      <c r="K1456" s="2" t="s">
        <v>19840</v>
      </c>
      <c r="L1456" s="82" t="s">
        <v>18920</v>
      </c>
    </row>
    <row r="1457" spans="1:12" ht="108" customHeight="1" x14ac:dyDescent="0.3">
      <c r="A1457" s="2">
        <v>1453</v>
      </c>
      <c r="B1457" s="66" t="s">
        <v>1594</v>
      </c>
      <c r="C1457" s="66" t="s">
        <v>18968</v>
      </c>
      <c r="D1457" s="11" t="s">
        <v>1604</v>
      </c>
      <c r="E1457" s="11">
        <v>443914.34</v>
      </c>
      <c r="F1457" s="3">
        <v>38499</v>
      </c>
      <c r="G1457" s="207" t="s">
        <v>1061</v>
      </c>
      <c r="H1457" s="2"/>
      <c r="I1457" s="2"/>
      <c r="J1457" s="2" t="s">
        <v>13904</v>
      </c>
      <c r="K1457" s="2" t="s">
        <v>19840</v>
      </c>
      <c r="L1457" s="82" t="s">
        <v>18920</v>
      </c>
    </row>
    <row r="1458" spans="1:12" ht="108" customHeight="1" x14ac:dyDescent="0.3">
      <c r="A1458" s="2">
        <v>1454</v>
      </c>
      <c r="B1458" s="66" t="s">
        <v>1595</v>
      </c>
      <c r="C1458" s="66" t="s">
        <v>18969</v>
      </c>
      <c r="D1458" s="11" t="s">
        <v>1605</v>
      </c>
      <c r="E1458" s="11">
        <v>239890</v>
      </c>
      <c r="F1458" s="3">
        <v>38499</v>
      </c>
      <c r="G1458" s="207" t="s">
        <v>1061</v>
      </c>
      <c r="H1458" s="2" t="s">
        <v>22684</v>
      </c>
      <c r="I1458" s="2" t="s">
        <v>22685</v>
      </c>
      <c r="J1458" s="2" t="s">
        <v>13904</v>
      </c>
      <c r="K1458" s="2" t="s">
        <v>19840</v>
      </c>
      <c r="L1458" s="82" t="s">
        <v>18920</v>
      </c>
    </row>
    <row r="1459" spans="1:12" ht="108" customHeight="1" x14ac:dyDescent="0.3">
      <c r="A1459" s="2">
        <v>1455</v>
      </c>
      <c r="B1459" s="66" t="s">
        <v>1596</v>
      </c>
      <c r="C1459" s="66" t="s">
        <v>18970</v>
      </c>
      <c r="D1459" s="11" t="s">
        <v>1606</v>
      </c>
      <c r="E1459" s="11">
        <v>1100616</v>
      </c>
      <c r="F1459" s="3">
        <v>38499</v>
      </c>
      <c r="G1459" s="207" t="s">
        <v>1061</v>
      </c>
      <c r="H1459" s="2"/>
      <c r="I1459" s="2"/>
      <c r="J1459" s="2" t="s">
        <v>13904</v>
      </c>
      <c r="K1459" s="2" t="s">
        <v>19840</v>
      </c>
      <c r="L1459" s="82" t="s">
        <v>18920</v>
      </c>
    </row>
    <row r="1460" spans="1:12" ht="108" customHeight="1" x14ac:dyDescent="0.3">
      <c r="A1460" s="2">
        <v>1456</v>
      </c>
      <c r="B1460" s="66" t="s">
        <v>1597</v>
      </c>
      <c r="C1460" s="66" t="s">
        <v>18971</v>
      </c>
      <c r="D1460" s="11" t="s">
        <v>1607</v>
      </c>
      <c r="E1460" s="11">
        <v>65720</v>
      </c>
      <c r="F1460" s="3">
        <v>38899</v>
      </c>
      <c r="G1460" s="207" t="s">
        <v>1061</v>
      </c>
      <c r="H1460" s="2"/>
      <c r="I1460" s="2"/>
      <c r="J1460" s="2" t="s">
        <v>13904</v>
      </c>
      <c r="K1460" s="2" t="s">
        <v>19840</v>
      </c>
      <c r="L1460" s="82" t="s">
        <v>18920</v>
      </c>
    </row>
    <row r="1461" spans="1:12" ht="108" customHeight="1" x14ac:dyDescent="0.3">
      <c r="A1461" s="2">
        <v>1457</v>
      </c>
      <c r="B1461" s="66" t="s">
        <v>1598</v>
      </c>
      <c r="C1461" s="66" t="s">
        <v>18972</v>
      </c>
      <c r="D1461" s="11" t="s">
        <v>1608</v>
      </c>
      <c r="E1461" s="11">
        <v>520950.76</v>
      </c>
      <c r="F1461" s="3">
        <v>38499</v>
      </c>
      <c r="G1461" s="207" t="s">
        <v>1061</v>
      </c>
      <c r="H1461" s="2"/>
      <c r="I1461" s="2"/>
      <c r="J1461" s="2" t="s">
        <v>13904</v>
      </c>
      <c r="K1461" s="2" t="s">
        <v>19840</v>
      </c>
      <c r="L1461" s="82" t="s">
        <v>18920</v>
      </c>
    </row>
    <row r="1462" spans="1:12" ht="108" customHeight="1" x14ac:dyDescent="0.3">
      <c r="A1462" s="2">
        <v>1458</v>
      </c>
      <c r="B1462" s="66" t="s">
        <v>1599</v>
      </c>
      <c r="C1462" s="66" t="s">
        <v>18973</v>
      </c>
      <c r="D1462" s="11" t="s">
        <v>1609</v>
      </c>
      <c r="E1462" s="11">
        <v>85514.6</v>
      </c>
      <c r="F1462" s="3">
        <v>38499</v>
      </c>
      <c r="G1462" s="207" t="s">
        <v>1061</v>
      </c>
      <c r="H1462" s="2"/>
      <c r="I1462" s="2"/>
      <c r="J1462" s="2" t="s">
        <v>13904</v>
      </c>
      <c r="K1462" s="2" t="s">
        <v>19840</v>
      </c>
      <c r="L1462" s="82" t="s">
        <v>18920</v>
      </c>
    </row>
    <row r="1463" spans="1:12" ht="108" customHeight="1" x14ac:dyDescent="0.3">
      <c r="A1463" s="2">
        <v>1459</v>
      </c>
      <c r="B1463" s="66" t="s">
        <v>1600</v>
      </c>
      <c r="C1463" s="66" t="s">
        <v>18974</v>
      </c>
      <c r="D1463" s="11" t="s">
        <v>1610</v>
      </c>
      <c r="E1463" s="11">
        <v>54563.83</v>
      </c>
      <c r="F1463" s="3">
        <v>38644</v>
      </c>
      <c r="G1463" s="207" t="s">
        <v>1061</v>
      </c>
      <c r="H1463" s="2"/>
      <c r="I1463" s="2"/>
      <c r="J1463" s="2" t="s">
        <v>13904</v>
      </c>
      <c r="K1463" s="2" t="s">
        <v>19840</v>
      </c>
      <c r="L1463" s="82" t="s">
        <v>18920</v>
      </c>
    </row>
    <row r="1464" spans="1:12" ht="108" customHeight="1" x14ac:dyDescent="0.3">
      <c r="A1464" s="2">
        <v>1460</v>
      </c>
      <c r="B1464" s="66" t="s">
        <v>1601</v>
      </c>
      <c r="C1464" s="66" t="s">
        <v>18975</v>
      </c>
      <c r="D1464" s="11" t="s">
        <v>1611</v>
      </c>
      <c r="E1464" s="11">
        <v>684870</v>
      </c>
      <c r="F1464" s="3">
        <v>38498</v>
      </c>
      <c r="G1464" s="207" t="s">
        <v>1061</v>
      </c>
      <c r="H1464" s="2"/>
      <c r="I1464" s="2"/>
      <c r="J1464" s="2" t="s">
        <v>13904</v>
      </c>
      <c r="K1464" s="2" t="s">
        <v>19840</v>
      </c>
      <c r="L1464" s="82" t="s">
        <v>18920</v>
      </c>
    </row>
    <row r="1465" spans="1:12" ht="84" customHeight="1" x14ac:dyDescent="0.3">
      <c r="A1465" s="2">
        <v>1461</v>
      </c>
      <c r="B1465" s="66" t="s">
        <v>1612</v>
      </c>
      <c r="C1465" s="66"/>
      <c r="D1465" s="11" t="s">
        <v>1699</v>
      </c>
      <c r="E1465" s="11">
        <v>5437.8</v>
      </c>
      <c r="F1465" s="3">
        <v>38280</v>
      </c>
      <c r="G1465" s="207" t="s">
        <v>1061</v>
      </c>
      <c r="H1465" s="3">
        <v>43053</v>
      </c>
      <c r="I1465" s="2" t="s">
        <v>19506</v>
      </c>
      <c r="J1465" s="2" t="s">
        <v>13904</v>
      </c>
      <c r="K1465" s="2" t="s">
        <v>19841</v>
      </c>
      <c r="L1465" s="82" t="s">
        <v>19512</v>
      </c>
    </row>
    <row r="1466" spans="1:12" ht="84" customHeight="1" x14ac:dyDescent="0.3">
      <c r="A1466" s="2">
        <v>1462</v>
      </c>
      <c r="B1466" s="66" t="s">
        <v>1612</v>
      </c>
      <c r="C1466" s="66"/>
      <c r="D1466" s="11" t="s">
        <v>1699</v>
      </c>
      <c r="E1466" s="11">
        <v>5437.8</v>
      </c>
      <c r="F1466" s="3">
        <v>38280</v>
      </c>
      <c r="G1466" s="207" t="s">
        <v>1061</v>
      </c>
      <c r="H1466" s="3">
        <v>43053</v>
      </c>
      <c r="I1466" s="2" t="s">
        <v>19506</v>
      </c>
      <c r="J1466" s="2" t="s">
        <v>13904</v>
      </c>
      <c r="K1466" s="2" t="s">
        <v>19841</v>
      </c>
      <c r="L1466" s="82" t="s">
        <v>19512</v>
      </c>
    </row>
    <row r="1467" spans="1:12" ht="84" customHeight="1" x14ac:dyDescent="0.3">
      <c r="A1467" s="2">
        <v>1463</v>
      </c>
      <c r="B1467" s="66" t="s">
        <v>1612</v>
      </c>
      <c r="C1467" s="66"/>
      <c r="D1467" s="11" t="s">
        <v>1699</v>
      </c>
      <c r="E1467" s="11">
        <v>5437.8</v>
      </c>
      <c r="F1467" s="3">
        <v>38280</v>
      </c>
      <c r="G1467" s="207" t="s">
        <v>1061</v>
      </c>
      <c r="H1467" s="3">
        <v>43053</v>
      </c>
      <c r="I1467" s="2" t="s">
        <v>19506</v>
      </c>
      <c r="J1467" s="2" t="s">
        <v>13904</v>
      </c>
      <c r="K1467" s="2" t="s">
        <v>19841</v>
      </c>
      <c r="L1467" s="82" t="s">
        <v>19512</v>
      </c>
    </row>
    <row r="1468" spans="1:12" ht="84" customHeight="1" x14ac:dyDescent="0.3">
      <c r="A1468" s="2">
        <v>1464</v>
      </c>
      <c r="B1468" s="66" t="s">
        <v>1612</v>
      </c>
      <c r="C1468" s="66"/>
      <c r="D1468" s="11" t="s">
        <v>1699</v>
      </c>
      <c r="E1468" s="11">
        <v>5437.8</v>
      </c>
      <c r="F1468" s="3">
        <v>38280</v>
      </c>
      <c r="G1468" s="207" t="s">
        <v>1061</v>
      </c>
      <c r="H1468" s="3">
        <v>43053</v>
      </c>
      <c r="I1468" s="2" t="s">
        <v>19506</v>
      </c>
      <c r="J1468" s="2" t="s">
        <v>13904</v>
      </c>
      <c r="K1468" s="2" t="s">
        <v>19841</v>
      </c>
      <c r="L1468" s="82" t="s">
        <v>19512</v>
      </c>
    </row>
    <row r="1469" spans="1:12" ht="84" customHeight="1" x14ac:dyDescent="0.3">
      <c r="A1469" s="2">
        <v>1465</v>
      </c>
      <c r="B1469" s="66" t="s">
        <v>1612</v>
      </c>
      <c r="C1469" s="66"/>
      <c r="D1469" s="11" t="s">
        <v>1699</v>
      </c>
      <c r="E1469" s="11">
        <v>5437.8</v>
      </c>
      <c r="F1469" s="3">
        <v>38280</v>
      </c>
      <c r="G1469" s="207" t="s">
        <v>1061</v>
      </c>
      <c r="H1469" s="3">
        <v>43053</v>
      </c>
      <c r="I1469" s="2" t="s">
        <v>19506</v>
      </c>
      <c r="J1469" s="2" t="s">
        <v>13904</v>
      </c>
      <c r="K1469" s="2" t="s">
        <v>19841</v>
      </c>
      <c r="L1469" s="82" t="s">
        <v>19512</v>
      </c>
    </row>
    <row r="1470" spans="1:12" ht="84" customHeight="1" x14ac:dyDescent="0.3">
      <c r="A1470" s="2">
        <v>1466</v>
      </c>
      <c r="B1470" s="66" t="s">
        <v>1612</v>
      </c>
      <c r="C1470" s="66"/>
      <c r="D1470" s="11" t="s">
        <v>1699</v>
      </c>
      <c r="E1470" s="11">
        <v>5437.8</v>
      </c>
      <c r="F1470" s="3">
        <v>38280</v>
      </c>
      <c r="G1470" s="207" t="s">
        <v>1061</v>
      </c>
      <c r="H1470" s="3">
        <v>43053</v>
      </c>
      <c r="I1470" s="2" t="s">
        <v>19506</v>
      </c>
      <c r="J1470" s="2" t="s">
        <v>13904</v>
      </c>
      <c r="K1470" s="2" t="s">
        <v>19841</v>
      </c>
      <c r="L1470" s="82" t="s">
        <v>19512</v>
      </c>
    </row>
    <row r="1471" spans="1:12" ht="84" customHeight="1" x14ac:dyDescent="0.3">
      <c r="A1471" s="2">
        <v>1467</v>
      </c>
      <c r="B1471" s="66" t="s">
        <v>1612</v>
      </c>
      <c r="C1471" s="66"/>
      <c r="D1471" s="11" t="s">
        <v>1699</v>
      </c>
      <c r="E1471" s="11">
        <v>5437.8</v>
      </c>
      <c r="F1471" s="3">
        <v>38280</v>
      </c>
      <c r="G1471" s="207" t="s">
        <v>1061</v>
      </c>
      <c r="H1471" s="3">
        <v>43053</v>
      </c>
      <c r="I1471" s="2" t="s">
        <v>19506</v>
      </c>
      <c r="J1471" s="2" t="s">
        <v>13904</v>
      </c>
      <c r="K1471" s="2" t="s">
        <v>19841</v>
      </c>
      <c r="L1471" s="82" t="s">
        <v>19512</v>
      </c>
    </row>
    <row r="1472" spans="1:12" ht="84" customHeight="1" x14ac:dyDescent="0.3">
      <c r="A1472" s="2">
        <v>1468</v>
      </c>
      <c r="B1472" s="66" t="s">
        <v>1612</v>
      </c>
      <c r="C1472" s="66"/>
      <c r="D1472" s="11" t="s">
        <v>1699</v>
      </c>
      <c r="E1472" s="11">
        <v>5437.8</v>
      </c>
      <c r="F1472" s="3">
        <v>38280</v>
      </c>
      <c r="G1472" s="207" t="s">
        <v>1061</v>
      </c>
      <c r="H1472" s="3">
        <v>43053</v>
      </c>
      <c r="I1472" s="2" t="s">
        <v>19506</v>
      </c>
      <c r="J1472" s="2" t="s">
        <v>13904</v>
      </c>
      <c r="K1472" s="2" t="s">
        <v>19841</v>
      </c>
      <c r="L1472" s="82" t="s">
        <v>19512</v>
      </c>
    </row>
    <row r="1473" spans="1:12" ht="84" customHeight="1" x14ac:dyDescent="0.3">
      <c r="A1473" s="2">
        <v>1469</v>
      </c>
      <c r="B1473" s="66" t="s">
        <v>1612</v>
      </c>
      <c r="C1473" s="66"/>
      <c r="D1473" s="11" t="s">
        <v>1699</v>
      </c>
      <c r="E1473" s="11">
        <v>5437.8</v>
      </c>
      <c r="F1473" s="3">
        <v>38280</v>
      </c>
      <c r="G1473" s="207" t="s">
        <v>1061</v>
      </c>
      <c r="H1473" s="3">
        <v>43053</v>
      </c>
      <c r="I1473" s="2" t="s">
        <v>19506</v>
      </c>
      <c r="J1473" s="2" t="s">
        <v>13904</v>
      </c>
      <c r="K1473" s="2" t="s">
        <v>19841</v>
      </c>
      <c r="L1473" s="82" t="s">
        <v>19512</v>
      </c>
    </row>
    <row r="1474" spans="1:12" ht="84" customHeight="1" x14ac:dyDescent="0.3">
      <c r="A1474" s="2">
        <v>1470</v>
      </c>
      <c r="B1474" s="66" t="s">
        <v>1612</v>
      </c>
      <c r="C1474" s="66"/>
      <c r="D1474" s="11" t="s">
        <v>1699</v>
      </c>
      <c r="E1474" s="11">
        <v>5437.8</v>
      </c>
      <c r="F1474" s="3">
        <v>38280</v>
      </c>
      <c r="G1474" s="207" t="s">
        <v>1061</v>
      </c>
      <c r="H1474" s="3">
        <v>43053</v>
      </c>
      <c r="I1474" s="2" t="s">
        <v>19506</v>
      </c>
      <c r="J1474" s="2" t="s">
        <v>13904</v>
      </c>
      <c r="K1474" s="2" t="s">
        <v>19841</v>
      </c>
      <c r="L1474" s="82" t="s">
        <v>19512</v>
      </c>
    </row>
    <row r="1475" spans="1:12" ht="84" customHeight="1" x14ac:dyDescent="0.3">
      <c r="A1475" s="2">
        <v>1471</v>
      </c>
      <c r="B1475" s="66" t="s">
        <v>1612</v>
      </c>
      <c r="C1475" s="66"/>
      <c r="D1475" s="11" t="s">
        <v>1699</v>
      </c>
      <c r="E1475" s="11">
        <v>5437.8</v>
      </c>
      <c r="F1475" s="3">
        <v>38280</v>
      </c>
      <c r="G1475" s="207" t="s">
        <v>1061</v>
      </c>
      <c r="H1475" s="3">
        <v>43053</v>
      </c>
      <c r="I1475" s="2" t="s">
        <v>19506</v>
      </c>
      <c r="J1475" s="2" t="s">
        <v>13904</v>
      </c>
      <c r="K1475" s="2" t="s">
        <v>19841</v>
      </c>
      <c r="L1475" s="82" t="s">
        <v>19512</v>
      </c>
    </row>
    <row r="1476" spans="1:12" ht="84" customHeight="1" x14ac:dyDescent="0.3">
      <c r="A1476" s="2">
        <v>1472</v>
      </c>
      <c r="B1476" s="66" t="s">
        <v>1612</v>
      </c>
      <c r="C1476" s="66"/>
      <c r="D1476" s="11" t="s">
        <v>1699</v>
      </c>
      <c r="E1476" s="11">
        <v>5437.8</v>
      </c>
      <c r="F1476" s="3">
        <v>38280</v>
      </c>
      <c r="G1476" s="207" t="s">
        <v>1061</v>
      </c>
      <c r="H1476" s="3">
        <v>43053</v>
      </c>
      <c r="I1476" s="2" t="s">
        <v>19506</v>
      </c>
      <c r="J1476" s="2" t="s">
        <v>13904</v>
      </c>
      <c r="K1476" s="2" t="s">
        <v>19841</v>
      </c>
      <c r="L1476" s="82" t="s">
        <v>19512</v>
      </c>
    </row>
    <row r="1477" spans="1:12" ht="84" customHeight="1" x14ac:dyDescent="0.3">
      <c r="A1477" s="2">
        <v>1473</v>
      </c>
      <c r="B1477" s="66" t="s">
        <v>1612</v>
      </c>
      <c r="C1477" s="66"/>
      <c r="D1477" s="11" t="s">
        <v>1699</v>
      </c>
      <c r="E1477" s="11">
        <v>5437.8</v>
      </c>
      <c r="F1477" s="3">
        <v>38280</v>
      </c>
      <c r="G1477" s="207" t="s">
        <v>1061</v>
      </c>
      <c r="H1477" s="3">
        <v>43053</v>
      </c>
      <c r="I1477" s="2" t="s">
        <v>19506</v>
      </c>
      <c r="J1477" s="2" t="s">
        <v>13904</v>
      </c>
      <c r="K1477" s="2" t="s">
        <v>19841</v>
      </c>
      <c r="L1477" s="82" t="s">
        <v>19512</v>
      </c>
    </row>
    <row r="1478" spans="1:12" ht="108" customHeight="1" x14ac:dyDescent="0.3">
      <c r="A1478" s="2">
        <v>1474</v>
      </c>
      <c r="B1478" s="66" t="s">
        <v>1613</v>
      </c>
      <c r="C1478" s="66" t="s">
        <v>18980</v>
      </c>
      <c r="D1478" s="11" t="s">
        <v>1700</v>
      </c>
      <c r="E1478" s="11">
        <v>55463.99</v>
      </c>
      <c r="F1478" s="3">
        <v>38281</v>
      </c>
      <c r="G1478" s="207" t="s">
        <v>1061</v>
      </c>
      <c r="H1478" s="2"/>
      <c r="I1478" s="2"/>
      <c r="J1478" s="2" t="s">
        <v>13904</v>
      </c>
      <c r="K1478" s="2" t="s">
        <v>19840</v>
      </c>
      <c r="L1478" s="82" t="s">
        <v>18920</v>
      </c>
    </row>
    <row r="1479" spans="1:12" ht="84" customHeight="1" x14ac:dyDescent="0.3">
      <c r="A1479" s="2">
        <v>1475</v>
      </c>
      <c r="B1479" s="66" t="s">
        <v>1614</v>
      </c>
      <c r="C1479" s="66"/>
      <c r="D1479" s="11" t="s">
        <v>1701</v>
      </c>
      <c r="E1479" s="11">
        <v>42030.66</v>
      </c>
      <c r="F1479" s="3">
        <v>38281</v>
      </c>
      <c r="G1479" s="207" t="s">
        <v>1061</v>
      </c>
      <c r="H1479" s="3">
        <v>43053</v>
      </c>
      <c r="I1479" s="2" t="s">
        <v>19506</v>
      </c>
      <c r="J1479" s="2" t="s">
        <v>13904</v>
      </c>
      <c r="K1479" s="2" t="s">
        <v>19841</v>
      </c>
      <c r="L1479" s="82" t="s">
        <v>19512</v>
      </c>
    </row>
    <row r="1480" spans="1:12" ht="84" customHeight="1" x14ac:dyDescent="0.3">
      <c r="A1480" s="2">
        <v>1476</v>
      </c>
      <c r="B1480" s="66" t="s">
        <v>1615</v>
      </c>
      <c r="C1480" s="66"/>
      <c r="D1480" s="11" t="s">
        <v>1702</v>
      </c>
      <c r="E1480" s="11">
        <v>9435</v>
      </c>
      <c r="F1480" s="3">
        <v>39668</v>
      </c>
      <c r="G1480" s="207" t="s">
        <v>1061</v>
      </c>
      <c r="H1480" s="3">
        <v>43053</v>
      </c>
      <c r="I1480" s="2" t="s">
        <v>19506</v>
      </c>
      <c r="J1480" s="2" t="s">
        <v>13904</v>
      </c>
      <c r="K1480" s="2" t="s">
        <v>19841</v>
      </c>
      <c r="L1480" s="82" t="s">
        <v>19512</v>
      </c>
    </row>
    <row r="1481" spans="1:12" ht="84" customHeight="1" x14ac:dyDescent="0.3">
      <c r="A1481" s="2">
        <v>1477</v>
      </c>
      <c r="B1481" s="66" t="s">
        <v>1616</v>
      </c>
      <c r="C1481" s="66"/>
      <c r="D1481" s="11" t="s">
        <v>1703</v>
      </c>
      <c r="E1481" s="11">
        <v>12750</v>
      </c>
      <c r="F1481" s="3">
        <v>39205</v>
      </c>
      <c r="G1481" s="207" t="s">
        <v>1061</v>
      </c>
      <c r="H1481" s="3">
        <v>43053</v>
      </c>
      <c r="I1481" s="2" t="s">
        <v>19506</v>
      </c>
      <c r="J1481" s="2" t="s">
        <v>13904</v>
      </c>
      <c r="K1481" s="2" t="s">
        <v>19841</v>
      </c>
      <c r="L1481" s="82" t="s">
        <v>19512</v>
      </c>
    </row>
    <row r="1482" spans="1:12" ht="108" customHeight="1" x14ac:dyDescent="0.3">
      <c r="A1482" s="2">
        <v>1478</v>
      </c>
      <c r="B1482" s="66" t="s">
        <v>1617</v>
      </c>
      <c r="C1482" s="66" t="s">
        <v>18981</v>
      </c>
      <c r="D1482" s="11" t="s">
        <v>1704</v>
      </c>
      <c r="E1482" s="11">
        <v>67271.399999999994</v>
      </c>
      <c r="F1482" s="3">
        <v>38281</v>
      </c>
      <c r="G1482" s="207" t="s">
        <v>1061</v>
      </c>
      <c r="H1482" s="2"/>
      <c r="I1482" s="2"/>
      <c r="J1482" s="2" t="s">
        <v>13904</v>
      </c>
      <c r="K1482" s="2" t="s">
        <v>19840</v>
      </c>
      <c r="L1482" s="82" t="s">
        <v>21790</v>
      </c>
    </row>
    <row r="1483" spans="1:12" ht="84" customHeight="1" x14ac:dyDescent="0.3">
      <c r="A1483" s="2">
        <v>1479</v>
      </c>
      <c r="B1483" s="66" t="s">
        <v>1618</v>
      </c>
      <c r="C1483" s="66"/>
      <c r="D1483" s="11" t="s">
        <v>1705</v>
      </c>
      <c r="E1483" s="11">
        <v>7656</v>
      </c>
      <c r="F1483" s="3">
        <v>39674</v>
      </c>
      <c r="G1483" s="207" t="s">
        <v>1061</v>
      </c>
      <c r="H1483" s="3">
        <v>43053</v>
      </c>
      <c r="I1483" s="2" t="s">
        <v>19506</v>
      </c>
      <c r="J1483" s="2" t="s">
        <v>13904</v>
      </c>
      <c r="K1483" s="2" t="s">
        <v>19841</v>
      </c>
      <c r="L1483" s="82" t="s">
        <v>19512</v>
      </c>
    </row>
    <row r="1484" spans="1:12" ht="108" customHeight="1" x14ac:dyDescent="0.3">
      <c r="A1484" s="2">
        <v>1480</v>
      </c>
      <c r="B1484" s="66" t="s">
        <v>1619</v>
      </c>
      <c r="C1484" s="66" t="s">
        <v>18982</v>
      </c>
      <c r="D1484" s="11" t="s">
        <v>1706</v>
      </c>
      <c r="E1484" s="11">
        <v>73625.759999999995</v>
      </c>
      <c r="F1484" s="3">
        <v>38281</v>
      </c>
      <c r="G1484" s="207" t="s">
        <v>1061</v>
      </c>
      <c r="H1484" s="2"/>
      <c r="I1484" s="2"/>
      <c r="J1484" s="2" t="s">
        <v>13904</v>
      </c>
      <c r="K1484" s="2" t="s">
        <v>19840</v>
      </c>
      <c r="L1484" s="82" t="s">
        <v>18920</v>
      </c>
    </row>
    <row r="1485" spans="1:12" ht="84" customHeight="1" x14ac:dyDescent="0.3">
      <c r="A1485" s="2">
        <v>1481</v>
      </c>
      <c r="B1485" s="66" t="s">
        <v>1620</v>
      </c>
      <c r="C1485" s="66"/>
      <c r="D1485" s="11" t="s">
        <v>1707</v>
      </c>
      <c r="E1485" s="11">
        <v>10839.1</v>
      </c>
      <c r="F1485" s="3">
        <v>38498</v>
      </c>
      <c r="G1485" s="207" t="s">
        <v>1061</v>
      </c>
      <c r="H1485" s="3">
        <v>43053</v>
      </c>
      <c r="I1485" s="2" t="s">
        <v>19506</v>
      </c>
      <c r="J1485" s="2" t="s">
        <v>13904</v>
      </c>
      <c r="K1485" s="2" t="s">
        <v>19841</v>
      </c>
      <c r="L1485" s="82" t="s">
        <v>19512</v>
      </c>
    </row>
    <row r="1486" spans="1:12" ht="84" customHeight="1" x14ac:dyDescent="0.3">
      <c r="A1486" s="2">
        <v>1482</v>
      </c>
      <c r="B1486" s="66" t="s">
        <v>1621</v>
      </c>
      <c r="C1486" s="66"/>
      <c r="D1486" s="11" t="s">
        <v>1708</v>
      </c>
      <c r="E1486" s="11">
        <v>7660.8</v>
      </c>
      <c r="F1486" s="3">
        <v>38281</v>
      </c>
      <c r="G1486" s="207" t="s">
        <v>1061</v>
      </c>
      <c r="H1486" s="3">
        <v>43053</v>
      </c>
      <c r="I1486" s="2" t="s">
        <v>19506</v>
      </c>
      <c r="J1486" s="2" t="s">
        <v>13904</v>
      </c>
      <c r="K1486" s="2" t="s">
        <v>19841</v>
      </c>
      <c r="L1486" s="82" t="s">
        <v>19512</v>
      </c>
    </row>
    <row r="1487" spans="1:12" ht="84" customHeight="1" x14ac:dyDescent="0.3">
      <c r="A1487" s="2">
        <v>1483</v>
      </c>
      <c r="B1487" s="66" t="s">
        <v>1622</v>
      </c>
      <c r="C1487" s="66"/>
      <c r="D1487" s="11" t="s">
        <v>1709</v>
      </c>
      <c r="E1487" s="11">
        <v>29166.06</v>
      </c>
      <c r="F1487" s="3">
        <v>38498</v>
      </c>
      <c r="G1487" s="207" t="s">
        <v>1061</v>
      </c>
      <c r="H1487" s="3">
        <v>43053</v>
      </c>
      <c r="I1487" s="2" t="s">
        <v>19506</v>
      </c>
      <c r="J1487" s="2" t="s">
        <v>13904</v>
      </c>
      <c r="K1487" s="2" t="s">
        <v>19841</v>
      </c>
      <c r="L1487" s="82" t="s">
        <v>19512</v>
      </c>
    </row>
    <row r="1488" spans="1:12" ht="84" customHeight="1" x14ac:dyDescent="0.3">
      <c r="A1488" s="2">
        <v>1484</v>
      </c>
      <c r="B1488" s="66" t="s">
        <v>1623</v>
      </c>
      <c r="C1488" s="66"/>
      <c r="D1488" s="11" t="s">
        <v>1710</v>
      </c>
      <c r="E1488" s="11">
        <v>9507.6</v>
      </c>
      <c r="F1488" s="3">
        <v>38280</v>
      </c>
      <c r="G1488" s="207" t="s">
        <v>1061</v>
      </c>
      <c r="H1488" s="3">
        <v>43053</v>
      </c>
      <c r="I1488" s="2" t="s">
        <v>19506</v>
      </c>
      <c r="J1488" s="2" t="s">
        <v>13904</v>
      </c>
      <c r="K1488" s="2" t="s">
        <v>19841</v>
      </c>
      <c r="L1488" s="82" t="s">
        <v>19512</v>
      </c>
    </row>
    <row r="1489" spans="1:12" ht="84" customHeight="1" x14ac:dyDescent="0.3">
      <c r="A1489" s="2">
        <v>1485</v>
      </c>
      <c r="B1489" s="66" t="s">
        <v>1624</v>
      </c>
      <c r="C1489" s="66"/>
      <c r="D1489" s="11" t="s">
        <v>1711</v>
      </c>
      <c r="E1489" s="11">
        <v>15900</v>
      </c>
      <c r="F1489" s="3">
        <v>39490</v>
      </c>
      <c r="G1489" s="207" t="s">
        <v>1061</v>
      </c>
      <c r="H1489" s="3">
        <v>43053</v>
      </c>
      <c r="I1489" s="2" t="s">
        <v>19506</v>
      </c>
      <c r="J1489" s="2" t="s">
        <v>13904</v>
      </c>
      <c r="K1489" s="2" t="s">
        <v>19841</v>
      </c>
      <c r="L1489" s="82" t="s">
        <v>19512</v>
      </c>
    </row>
    <row r="1490" spans="1:12" ht="84" customHeight="1" x14ac:dyDescent="0.3">
      <c r="A1490" s="2">
        <v>1486</v>
      </c>
      <c r="B1490" s="66" t="s">
        <v>1625</v>
      </c>
      <c r="C1490" s="66"/>
      <c r="D1490" s="11" t="s">
        <v>1712</v>
      </c>
      <c r="E1490" s="11">
        <v>27000</v>
      </c>
      <c r="F1490" s="3">
        <v>39490</v>
      </c>
      <c r="G1490" s="207" t="s">
        <v>1061</v>
      </c>
      <c r="H1490" s="3">
        <v>43053</v>
      </c>
      <c r="I1490" s="2" t="s">
        <v>19506</v>
      </c>
      <c r="J1490" s="2" t="s">
        <v>13904</v>
      </c>
      <c r="K1490" s="2" t="s">
        <v>19841</v>
      </c>
      <c r="L1490" s="82" t="s">
        <v>19512</v>
      </c>
    </row>
    <row r="1491" spans="1:12" ht="84" customHeight="1" x14ac:dyDescent="0.3">
      <c r="A1491" s="2">
        <v>1487</v>
      </c>
      <c r="B1491" s="66" t="s">
        <v>1626</v>
      </c>
      <c r="C1491" s="66"/>
      <c r="D1491" s="11" t="s">
        <v>1713</v>
      </c>
      <c r="E1491" s="11">
        <v>20300</v>
      </c>
      <c r="F1491" s="3">
        <v>39490</v>
      </c>
      <c r="G1491" s="207" t="s">
        <v>1061</v>
      </c>
      <c r="H1491" s="3">
        <v>43053</v>
      </c>
      <c r="I1491" s="2" t="s">
        <v>19506</v>
      </c>
      <c r="J1491" s="2" t="s">
        <v>13904</v>
      </c>
      <c r="K1491" s="2" t="s">
        <v>19841</v>
      </c>
      <c r="L1491" s="82" t="s">
        <v>19512</v>
      </c>
    </row>
    <row r="1492" spans="1:12" ht="84" customHeight="1" x14ac:dyDescent="0.3">
      <c r="A1492" s="2">
        <v>1488</v>
      </c>
      <c r="B1492" s="66" t="s">
        <v>1627</v>
      </c>
      <c r="C1492" s="66"/>
      <c r="D1492" s="11" t="s">
        <v>1714</v>
      </c>
      <c r="E1492" s="11">
        <v>27840.33</v>
      </c>
      <c r="F1492" s="3">
        <v>38498</v>
      </c>
      <c r="G1492" s="207" t="s">
        <v>1061</v>
      </c>
      <c r="H1492" s="3">
        <v>43053</v>
      </c>
      <c r="I1492" s="2" t="s">
        <v>19506</v>
      </c>
      <c r="J1492" s="2" t="s">
        <v>13904</v>
      </c>
      <c r="K1492" s="2" t="s">
        <v>19841</v>
      </c>
      <c r="L1492" s="82" t="s">
        <v>19512</v>
      </c>
    </row>
    <row r="1493" spans="1:12" ht="84" customHeight="1" x14ac:dyDescent="0.3">
      <c r="A1493" s="2">
        <v>1489</v>
      </c>
      <c r="B1493" s="66" t="s">
        <v>1628</v>
      </c>
      <c r="C1493" s="66"/>
      <c r="D1493" s="11" t="s">
        <v>1715</v>
      </c>
      <c r="E1493" s="11">
        <v>5970</v>
      </c>
      <c r="F1493" s="3">
        <v>39217</v>
      </c>
      <c r="G1493" s="207" t="s">
        <v>1061</v>
      </c>
      <c r="H1493" s="3">
        <v>43053</v>
      </c>
      <c r="I1493" s="2" t="s">
        <v>19506</v>
      </c>
      <c r="J1493" s="2" t="s">
        <v>13904</v>
      </c>
      <c r="K1493" s="2" t="s">
        <v>19841</v>
      </c>
      <c r="L1493" s="82" t="s">
        <v>19512</v>
      </c>
    </row>
    <row r="1494" spans="1:12" ht="84" customHeight="1" x14ac:dyDescent="0.3">
      <c r="A1494" s="2">
        <v>1490</v>
      </c>
      <c r="B1494" s="66" t="s">
        <v>1629</v>
      </c>
      <c r="C1494" s="66"/>
      <c r="D1494" s="11" t="s">
        <v>1716</v>
      </c>
      <c r="E1494" s="11">
        <v>3720</v>
      </c>
      <c r="F1494" s="3">
        <v>38280</v>
      </c>
      <c r="G1494" s="207" t="s">
        <v>1061</v>
      </c>
      <c r="H1494" s="3">
        <v>43053</v>
      </c>
      <c r="I1494" s="2" t="s">
        <v>19506</v>
      </c>
      <c r="J1494" s="2" t="s">
        <v>13904</v>
      </c>
      <c r="K1494" s="2" t="s">
        <v>19841</v>
      </c>
      <c r="L1494" s="82" t="s">
        <v>19512</v>
      </c>
    </row>
    <row r="1495" spans="1:12" ht="84" customHeight="1" x14ac:dyDescent="0.3">
      <c r="A1495" s="2">
        <v>1491</v>
      </c>
      <c r="B1495" s="66" t="s">
        <v>1630</v>
      </c>
      <c r="C1495" s="66"/>
      <c r="D1495" s="11" t="s">
        <v>1717</v>
      </c>
      <c r="E1495" s="11">
        <v>9790</v>
      </c>
      <c r="F1495" s="3">
        <v>39155</v>
      </c>
      <c r="G1495" s="207" t="s">
        <v>1061</v>
      </c>
      <c r="H1495" s="3">
        <v>43053</v>
      </c>
      <c r="I1495" s="2" t="s">
        <v>19506</v>
      </c>
      <c r="J1495" s="2" t="s">
        <v>13904</v>
      </c>
      <c r="K1495" s="2" t="s">
        <v>19841</v>
      </c>
      <c r="L1495" s="82" t="s">
        <v>19512</v>
      </c>
    </row>
    <row r="1496" spans="1:12" ht="84" customHeight="1" x14ac:dyDescent="0.3">
      <c r="A1496" s="2">
        <v>1492</v>
      </c>
      <c r="B1496" s="66" t="s">
        <v>1631</v>
      </c>
      <c r="C1496" s="66"/>
      <c r="D1496" s="11" t="s">
        <v>1718</v>
      </c>
      <c r="E1496" s="11">
        <v>7854.6</v>
      </c>
      <c r="F1496" s="3">
        <v>38280</v>
      </c>
      <c r="G1496" s="207" t="s">
        <v>1061</v>
      </c>
      <c r="H1496" s="3">
        <v>43053</v>
      </c>
      <c r="I1496" s="2" t="s">
        <v>19506</v>
      </c>
      <c r="J1496" s="2" t="s">
        <v>13904</v>
      </c>
      <c r="K1496" s="2" t="s">
        <v>19841</v>
      </c>
      <c r="L1496" s="82" t="s">
        <v>19512</v>
      </c>
    </row>
    <row r="1497" spans="1:12" ht="84" customHeight="1" x14ac:dyDescent="0.3">
      <c r="A1497" s="2">
        <v>1493</v>
      </c>
      <c r="B1497" s="66" t="s">
        <v>1632</v>
      </c>
      <c r="C1497" s="66"/>
      <c r="D1497" s="11" t="s">
        <v>1719</v>
      </c>
      <c r="E1497" s="11">
        <v>6771.6</v>
      </c>
      <c r="F1497" s="3">
        <v>38280</v>
      </c>
      <c r="G1497" s="207" t="s">
        <v>1061</v>
      </c>
      <c r="H1497" s="3">
        <v>43053</v>
      </c>
      <c r="I1497" s="2" t="s">
        <v>19506</v>
      </c>
      <c r="J1497" s="2" t="s">
        <v>13904</v>
      </c>
      <c r="K1497" s="2" t="s">
        <v>19841</v>
      </c>
      <c r="L1497" s="82" t="s">
        <v>19512</v>
      </c>
    </row>
    <row r="1498" spans="1:12" ht="84" customHeight="1" x14ac:dyDescent="0.3">
      <c r="A1498" s="2">
        <v>1494</v>
      </c>
      <c r="B1498" s="66" t="s">
        <v>1632</v>
      </c>
      <c r="C1498" s="66"/>
      <c r="D1498" s="11" t="s">
        <v>1719</v>
      </c>
      <c r="E1498" s="11">
        <v>6771.6</v>
      </c>
      <c r="F1498" s="3">
        <v>38280</v>
      </c>
      <c r="G1498" s="207" t="s">
        <v>1061</v>
      </c>
      <c r="H1498" s="3">
        <v>43053</v>
      </c>
      <c r="I1498" s="2" t="s">
        <v>19506</v>
      </c>
      <c r="J1498" s="2" t="s">
        <v>13904</v>
      </c>
      <c r="K1498" s="2" t="s">
        <v>19841</v>
      </c>
      <c r="L1498" s="82" t="s">
        <v>19512</v>
      </c>
    </row>
    <row r="1499" spans="1:12" ht="84" customHeight="1" x14ac:dyDescent="0.3">
      <c r="A1499" s="2">
        <v>1495</v>
      </c>
      <c r="B1499" s="66" t="s">
        <v>1633</v>
      </c>
      <c r="C1499" s="66"/>
      <c r="D1499" s="11" t="s">
        <v>1720</v>
      </c>
      <c r="E1499" s="11">
        <v>7211.8</v>
      </c>
      <c r="F1499" s="3">
        <v>38498</v>
      </c>
      <c r="G1499" s="207" t="s">
        <v>1061</v>
      </c>
      <c r="H1499" s="3">
        <v>43053</v>
      </c>
      <c r="I1499" s="2" t="s">
        <v>19506</v>
      </c>
      <c r="J1499" s="2" t="s">
        <v>13904</v>
      </c>
      <c r="K1499" s="2" t="s">
        <v>19841</v>
      </c>
      <c r="L1499" s="82" t="s">
        <v>19512</v>
      </c>
    </row>
    <row r="1500" spans="1:12" ht="84" customHeight="1" x14ac:dyDescent="0.3">
      <c r="A1500" s="2">
        <v>1496</v>
      </c>
      <c r="B1500" s="66" t="s">
        <v>1633</v>
      </c>
      <c r="C1500" s="66"/>
      <c r="D1500" s="11" t="s">
        <v>1720</v>
      </c>
      <c r="E1500" s="11">
        <v>7211.8</v>
      </c>
      <c r="F1500" s="3">
        <v>38498</v>
      </c>
      <c r="G1500" s="207" t="s">
        <v>1061</v>
      </c>
      <c r="H1500" s="3">
        <v>43053</v>
      </c>
      <c r="I1500" s="2" t="s">
        <v>19506</v>
      </c>
      <c r="J1500" s="2" t="s">
        <v>13904</v>
      </c>
      <c r="K1500" s="2" t="s">
        <v>19841</v>
      </c>
      <c r="L1500" s="82" t="s">
        <v>19512</v>
      </c>
    </row>
    <row r="1501" spans="1:12" ht="84" customHeight="1" x14ac:dyDescent="0.3">
      <c r="A1501" s="2">
        <v>1497</v>
      </c>
      <c r="B1501" s="66" t="s">
        <v>1634</v>
      </c>
      <c r="C1501" s="66"/>
      <c r="D1501" s="11" t="s">
        <v>1721</v>
      </c>
      <c r="E1501" s="11">
        <v>5061.1000000000004</v>
      </c>
      <c r="F1501" s="3">
        <v>38503</v>
      </c>
      <c r="G1501" s="207" t="s">
        <v>1061</v>
      </c>
      <c r="H1501" s="3">
        <v>43053</v>
      </c>
      <c r="I1501" s="2" t="s">
        <v>19506</v>
      </c>
      <c r="J1501" s="2" t="s">
        <v>13904</v>
      </c>
      <c r="K1501" s="2" t="s">
        <v>19841</v>
      </c>
      <c r="L1501" s="82" t="s">
        <v>19512</v>
      </c>
    </row>
    <row r="1502" spans="1:12" ht="84" customHeight="1" x14ac:dyDescent="0.3">
      <c r="A1502" s="2">
        <v>1498</v>
      </c>
      <c r="B1502" s="66" t="s">
        <v>1635</v>
      </c>
      <c r="C1502" s="66"/>
      <c r="D1502" s="11" t="s">
        <v>1722</v>
      </c>
      <c r="E1502" s="11">
        <v>6566.4</v>
      </c>
      <c r="F1502" s="3">
        <v>38280</v>
      </c>
      <c r="G1502" s="207" t="s">
        <v>1061</v>
      </c>
      <c r="H1502" s="3">
        <v>43053</v>
      </c>
      <c r="I1502" s="2" t="s">
        <v>19506</v>
      </c>
      <c r="J1502" s="2" t="s">
        <v>13904</v>
      </c>
      <c r="K1502" s="2" t="s">
        <v>19841</v>
      </c>
      <c r="L1502" s="82" t="s">
        <v>19512</v>
      </c>
    </row>
    <row r="1503" spans="1:12" ht="84" customHeight="1" x14ac:dyDescent="0.3">
      <c r="A1503" s="2">
        <v>1499</v>
      </c>
      <c r="B1503" s="66" t="s">
        <v>1636</v>
      </c>
      <c r="C1503" s="66"/>
      <c r="D1503" s="11" t="s">
        <v>1723</v>
      </c>
      <c r="E1503" s="11">
        <v>3693.6</v>
      </c>
      <c r="F1503" s="3">
        <v>38280</v>
      </c>
      <c r="G1503" s="207" t="s">
        <v>1061</v>
      </c>
      <c r="H1503" s="3">
        <v>43053</v>
      </c>
      <c r="I1503" s="2" t="s">
        <v>19506</v>
      </c>
      <c r="J1503" s="2" t="s">
        <v>13904</v>
      </c>
      <c r="K1503" s="2" t="s">
        <v>19841</v>
      </c>
      <c r="L1503" s="82" t="s">
        <v>19512</v>
      </c>
    </row>
    <row r="1504" spans="1:12" ht="84" customHeight="1" x14ac:dyDescent="0.3">
      <c r="A1504" s="2">
        <v>1500</v>
      </c>
      <c r="B1504" s="66" t="s">
        <v>1636</v>
      </c>
      <c r="C1504" s="66"/>
      <c r="D1504" s="11" t="s">
        <v>1724</v>
      </c>
      <c r="E1504" s="11">
        <v>4377.6000000000004</v>
      </c>
      <c r="F1504" s="3">
        <v>38280</v>
      </c>
      <c r="G1504" s="207" t="s">
        <v>1061</v>
      </c>
      <c r="H1504" s="3">
        <v>43053</v>
      </c>
      <c r="I1504" s="2" t="s">
        <v>19506</v>
      </c>
      <c r="J1504" s="2" t="s">
        <v>13904</v>
      </c>
      <c r="K1504" s="2" t="s">
        <v>19841</v>
      </c>
      <c r="L1504" s="82" t="s">
        <v>19512</v>
      </c>
    </row>
    <row r="1505" spans="1:12" ht="84" customHeight="1" x14ac:dyDescent="0.3">
      <c r="A1505" s="2">
        <v>1501</v>
      </c>
      <c r="B1505" s="66" t="s">
        <v>1636</v>
      </c>
      <c r="C1505" s="66"/>
      <c r="D1505" s="11" t="s">
        <v>1723</v>
      </c>
      <c r="E1505" s="11">
        <v>3693.6</v>
      </c>
      <c r="F1505" s="3">
        <v>38280</v>
      </c>
      <c r="G1505" s="207" t="s">
        <v>1061</v>
      </c>
      <c r="H1505" s="3">
        <v>43053</v>
      </c>
      <c r="I1505" s="2" t="s">
        <v>19506</v>
      </c>
      <c r="J1505" s="2" t="s">
        <v>13904</v>
      </c>
      <c r="K1505" s="2" t="s">
        <v>19841</v>
      </c>
      <c r="L1505" s="82" t="s">
        <v>19512</v>
      </c>
    </row>
    <row r="1506" spans="1:12" ht="108" customHeight="1" x14ac:dyDescent="0.3">
      <c r="A1506" s="2">
        <v>1502</v>
      </c>
      <c r="B1506" s="66" t="s">
        <v>1637</v>
      </c>
      <c r="C1506" s="66" t="s">
        <v>18983</v>
      </c>
      <c r="D1506" s="11" t="s">
        <v>1725</v>
      </c>
      <c r="E1506" s="11">
        <v>116650</v>
      </c>
      <c r="F1506" s="3">
        <v>38281</v>
      </c>
      <c r="G1506" s="207" t="s">
        <v>1061</v>
      </c>
      <c r="H1506" s="2"/>
      <c r="I1506" s="2"/>
      <c r="J1506" s="2" t="s">
        <v>13904</v>
      </c>
      <c r="K1506" s="2" t="s">
        <v>19840</v>
      </c>
      <c r="L1506" s="82" t="s">
        <v>18920</v>
      </c>
    </row>
    <row r="1507" spans="1:12" ht="108" customHeight="1" x14ac:dyDescent="0.3">
      <c r="A1507" s="2">
        <v>1503</v>
      </c>
      <c r="B1507" s="66" t="s">
        <v>1638</v>
      </c>
      <c r="C1507" s="66" t="s">
        <v>18984</v>
      </c>
      <c r="D1507" s="11" t="s">
        <v>1726</v>
      </c>
      <c r="E1507" s="11">
        <v>199688.1</v>
      </c>
      <c r="F1507" s="3">
        <v>38281</v>
      </c>
      <c r="G1507" s="207" t="s">
        <v>1061</v>
      </c>
      <c r="H1507" s="2"/>
      <c r="I1507" s="2"/>
      <c r="J1507" s="2" t="s">
        <v>13904</v>
      </c>
      <c r="K1507" s="2" t="s">
        <v>19840</v>
      </c>
      <c r="L1507" s="82" t="s">
        <v>18920</v>
      </c>
    </row>
    <row r="1508" spans="1:12" ht="108" customHeight="1" x14ac:dyDescent="0.3">
      <c r="A1508" s="2">
        <v>1504</v>
      </c>
      <c r="B1508" s="66" t="s">
        <v>1639</v>
      </c>
      <c r="C1508" s="66" t="s">
        <v>18976</v>
      </c>
      <c r="D1508" s="11" t="s">
        <v>1727</v>
      </c>
      <c r="E1508" s="11">
        <v>57934.8</v>
      </c>
      <c r="F1508" s="3">
        <v>38280</v>
      </c>
      <c r="G1508" s="207" t="s">
        <v>1061</v>
      </c>
      <c r="H1508" s="2"/>
      <c r="I1508" s="2"/>
      <c r="J1508" s="2" t="s">
        <v>13904</v>
      </c>
      <c r="K1508" s="2" t="s">
        <v>19840</v>
      </c>
      <c r="L1508" s="82" t="s">
        <v>21789</v>
      </c>
    </row>
    <row r="1509" spans="1:12" ht="84" customHeight="1" x14ac:dyDescent="0.3">
      <c r="A1509" s="2">
        <v>1505</v>
      </c>
      <c r="B1509" s="66" t="s">
        <v>1640</v>
      </c>
      <c r="C1509" s="66"/>
      <c r="D1509" s="11" t="s">
        <v>1728</v>
      </c>
      <c r="E1509" s="11">
        <v>4333.5</v>
      </c>
      <c r="F1509" s="3">
        <v>38625</v>
      </c>
      <c r="G1509" s="207" t="s">
        <v>1061</v>
      </c>
      <c r="H1509" s="3">
        <v>43053</v>
      </c>
      <c r="I1509" s="2" t="s">
        <v>19506</v>
      </c>
      <c r="J1509" s="2" t="s">
        <v>13904</v>
      </c>
      <c r="K1509" s="2" t="s">
        <v>19841</v>
      </c>
      <c r="L1509" s="82" t="s">
        <v>19512</v>
      </c>
    </row>
    <row r="1510" spans="1:12" ht="84" customHeight="1" x14ac:dyDescent="0.3">
      <c r="A1510" s="2">
        <v>1506</v>
      </c>
      <c r="B1510" s="66" t="s">
        <v>1641</v>
      </c>
      <c r="C1510" s="66"/>
      <c r="D1510" s="11" t="s">
        <v>1729</v>
      </c>
      <c r="E1510" s="11">
        <v>4446</v>
      </c>
      <c r="F1510" s="3">
        <v>38191</v>
      </c>
      <c r="G1510" s="207" t="s">
        <v>1061</v>
      </c>
      <c r="H1510" s="3">
        <v>43053</v>
      </c>
      <c r="I1510" s="2" t="s">
        <v>19506</v>
      </c>
      <c r="J1510" s="2" t="s">
        <v>13904</v>
      </c>
      <c r="K1510" s="2" t="s">
        <v>19841</v>
      </c>
      <c r="L1510" s="82" t="s">
        <v>19512</v>
      </c>
    </row>
    <row r="1511" spans="1:12" ht="84" customHeight="1" x14ac:dyDescent="0.3">
      <c r="A1511" s="2">
        <v>1507</v>
      </c>
      <c r="B1511" s="66" t="s">
        <v>1641</v>
      </c>
      <c r="C1511" s="66"/>
      <c r="D1511" s="11" t="s">
        <v>1729</v>
      </c>
      <c r="E1511" s="11">
        <v>4446</v>
      </c>
      <c r="F1511" s="3">
        <v>38191</v>
      </c>
      <c r="G1511" s="207" t="s">
        <v>1061</v>
      </c>
      <c r="H1511" s="3">
        <v>43053</v>
      </c>
      <c r="I1511" s="2" t="s">
        <v>19506</v>
      </c>
      <c r="J1511" s="2" t="s">
        <v>13904</v>
      </c>
      <c r="K1511" s="2" t="s">
        <v>19841</v>
      </c>
      <c r="L1511" s="82" t="s">
        <v>19512</v>
      </c>
    </row>
    <row r="1512" spans="1:12" ht="84" customHeight="1" x14ac:dyDescent="0.3">
      <c r="A1512" s="2">
        <v>1508</v>
      </c>
      <c r="B1512" s="66" t="s">
        <v>1642</v>
      </c>
      <c r="C1512" s="66"/>
      <c r="D1512" s="11" t="s">
        <v>1730</v>
      </c>
      <c r="E1512" s="11">
        <v>10550</v>
      </c>
      <c r="F1512" s="3">
        <v>39591</v>
      </c>
      <c r="G1512" s="207" t="s">
        <v>1061</v>
      </c>
      <c r="H1512" s="3">
        <v>43053</v>
      </c>
      <c r="I1512" s="2" t="s">
        <v>19506</v>
      </c>
      <c r="J1512" s="2" t="s">
        <v>13904</v>
      </c>
      <c r="K1512" s="2" t="s">
        <v>19841</v>
      </c>
      <c r="L1512" s="82" t="s">
        <v>19512</v>
      </c>
    </row>
    <row r="1513" spans="1:12" ht="84" customHeight="1" x14ac:dyDescent="0.3">
      <c r="A1513" s="2">
        <v>1509</v>
      </c>
      <c r="B1513" s="66" t="s">
        <v>1643</v>
      </c>
      <c r="C1513" s="66"/>
      <c r="D1513" s="11" t="s">
        <v>1731</v>
      </c>
      <c r="E1513" s="11">
        <v>4110</v>
      </c>
      <c r="F1513" s="3">
        <v>39490</v>
      </c>
      <c r="G1513" s="207" t="s">
        <v>1061</v>
      </c>
      <c r="H1513" s="3">
        <v>43053</v>
      </c>
      <c r="I1513" s="2" t="s">
        <v>19506</v>
      </c>
      <c r="J1513" s="2" t="s">
        <v>13904</v>
      </c>
      <c r="K1513" s="2" t="s">
        <v>19841</v>
      </c>
      <c r="L1513" s="82" t="s">
        <v>19512</v>
      </c>
    </row>
    <row r="1514" spans="1:12" ht="84" customHeight="1" x14ac:dyDescent="0.3">
      <c r="A1514" s="2">
        <v>1510</v>
      </c>
      <c r="B1514" s="66" t="s">
        <v>1644</v>
      </c>
      <c r="C1514" s="66"/>
      <c r="D1514" s="11" t="s">
        <v>1732</v>
      </c>
      <c r="E1514" s="11">
        <v>3861</v>
      </c>
      <c r="F1514" s="3">
        <v>39674</v>
      </c>
      <c r="G1514" s="207" t="s">
        <v>1061</v>
      </c>
      <c r="H1514" s="3">
        <v>43053</v>
      </c>
      <c r="I1514" s="2" t="s">
        <v>19506</v>
      </c>
      <c r="J1514" s="2" t="s">
        <v>13904</v>
      </c>
      <c r="K1514" s="2" t="s">
        <v>19841</v>
      </c>
      <c r="L1514" s="82" t="s">
        <v>19512</v>
      </c>
    </row>
    <row r="1515" spans="1:12" ht="84" customHeight="1" x14ac:dyDescent="0.3">
      <c r="A1515" s="2">
        <v>1511</v>
      </c>
      <c r="B1515" s="66" t="s">
        <v>1645</v>
      </c>
      <c r="C1515" s="66"/>
      <c r="D1515" s="11" t="s">
        <v>1733</v>
      </c>
      <c r="E1515" s="11">
        <v>11900</v>
      </c>
      <c r="F1515" s="3">
        <v>38499</v>
      </c>
      <c r="G1515" s="207" t="s">
        <v>1061</v>
      </c>
      <c r="H1515" s="3">
        <v>43053</v>
      </c>
      <c r="I1515" s="2" t="s">
        <v>19506</v>
      </c>
      <c r="J1515" s="2" t="s">
        <v>13904</v>
      </c>
      <c r="K1515" s="2" t="s">
        <v>19841</v>
      </c>
      <c r="L1515" s="82" t="s">
        <v>19512</v>
      </c>
    </row>
    <row r="1516" spans="1:12" ht="84" customHeight="1" x14ac:dyDescent="0.3">
      <c r="A1516" s="2">
        <v>1512</v>
      </c>
      <c r="B1516" s="66" t="s">
        <v>1646</v>
      </c>
      <c r="C1516" s="66"/>
      <c r="D1516" s="11" t="s">
        <v>1734</v>
      </c>
      <c r="E1516" s="11">
        <v>6355</v>
      </c>
      <c r="F1516" s="3">
        <v>38280</v>
      </c>
      <c r="G1516" s="207" t="s">
        <v>1061</v>
      </c>
      <c r="H1516" s="3">
        <v>43053</v>
      </c>
      <c r="I1516" s="2" t="s">
        <v>19506</v>
      </c>
      <c r="J1516" s="2" t="s">
        <v>13904</v>
      </c>
      <c r="K1516" s="2" t="s">
        <v>19841</v>
      </c>
      <c r="L1516" s="82" t="s">
        <v>19512</v>
      </c>
    </row>
    <row r="1517" spans="1:12" ht="84" customHeight="1" x14ac:dyDescent="0.3">
      <c r="A1517" s="2">
        <v>1513</v>
      </c>
      <c r="B1517" s="66" t="s">
        <v>1646</v>
      </c>
      <c r="C1517" s="66"/>
      <c r="D1517" s="11" t="s">
        <v>1735</v>
      </c>
      <c r="E1517" s="11">
        <v>6356.24</v>
      </c>
      <c r="F1517" s="3">
        <v>38280</v>
      </c>
      <c r="G1517" s="207" t="s">
        <v>1061</v>
      </c>
      <c r="H1517" s="3">
        <v>43053</v>
      </c>
      <c r="I1517" s="2" t="s">
        <v>19506</v>
      </c>
      <c r="J1517" s="2" t="s">
        <v>13904</v>
      </c>
      <c r="K1517" s="2" t="s">
        <v>19841</v>
      </c>
      <c r="L1517" s="82" t="s">
        <v>19512</v>
      </c>
    </row>
    <row r="1518" spans="1:12" ht="84" customHeight="1" x14ac:dyDescent="0.3">
      <c r="A1518" s="2">
        <v>1514</v>
      </c>
      <c r="B1518" s="66" t="s">
        <v>1647</v>
      </c>
      <c r="C1518" s="66"/>
      <c r="D1518" s="11" t="s">
        <v>1736</v>
      </c>
      <c r="E1518" s="11">
        <v>10512.72</v>
      </c>
      <c r="F1518" s="3">
        <v>38280</v>
      </c>
      <c r="G1518" s="207" t="s">
        <v>1061</v>
      </c>
      <c r="H1518" s="3">
        <v>43053</v>
      </c>
      <c r="I1518" s="2" t="s">
        <v>19506</v>
      </c>
      <c r="J1518" s="2" t="s">
        <v>13904</v>
      </c>
      <c r="K1518" s="2" t="s">
        <v>19841</v>
      </c>
      <c r="L1518" s="82" t="s">
        <v>19512</v>
      </c>
    </row>
    <row r="1519" spans="1:12" ht="84" customHeight="1" x14ac:dyDescent="0.3">
      <c r="A1519" s="2">
        <v>1515</v>
      </c>
      <c r="B1519" s="66" t="s">
        <v>1648</v>
      </c>
      <c r="C1519" s="66"/>
      <c r="D1519" s="11" t="s">
        <v>1737</v>
      </c>
      <c r="E1519" s="11">
        <v>15921.69</v>
      </c>
      <c r="F1519" s="3">
        <v>38501</v>
      </c>
      <c r="G1519" s="207" t="s">
        <v>1061</v>
      </c>
      <c r="H1519" s="3">
        <v>43053</v>
      </c>
      <c r="I1519" s="2" t="s">
        <v>19506</v>
      </c>
      <c r="J1519" s="2" t="s">
        <v>13904</v>
      </c>
      <c r="K1519" s="2" t="s">
        <v>19841</v>
      </c>
      <c r="L1519" s="82" t="s">
        <v>19512</v>
      </c>
    </row>
    <row r="1520" spans="1:12" ht="84" customHeight="1" x14ac:dyDescent="0.3">
      <c r="A1520" s="2">
        <v>1516</v>
      </c>
      <c r="B1520" s="66" t="s">
        <v>1649</v>
      </c>
      <c r="C1520" s="66"/>
      <c r="D1520" s="11" t="s">
        <v>1738</v>
      </c>
      <c r="E1520" s="11">
        <v>7395.84</v>
      </c>
      <c r="F1520" s="3">
        <v>38502</v>
      </c>
      <c r="G1520" s="207" t="s">
        <v>1061</v>
      </c>
      <c r="H1520" s="3">
        <v>43053</v>
      </c>
      <c r="I1520" s="2" t="s">
        <v>19506</v>
      </c>
      <c r="J1520" s="2" t="s">
        <v>13904</v>
      </c>
      <c r="K1520" s="2" t="s">
        <v>19841</v>
      </c>
      <c r="L1520" s="82" t="s">
        <v>19512</v>
      </c>
    </row>
    <row r="1521" spans="1:12" ht="84" customHeight="1" x14ac:dyDescent="0.3">
      <c r="A1521" s="2">
        <v>1517</v>
      </c>
      <c r="B1521" s="66" t="s">
        <v>1650</v>
      </c>
      <c r="C1521" s="66"/>
      <c r="D1521" s="11" t="s">
        <v>1739</v>
      </c>
      <c r="E1521" s="11">
        <v>19420.5</v>
      </c>
      <c r="F1521" s="3">
        <v>38715</v>
      </c>
      <c r="G1521" s="207" t="s">
        <v>1061</v>
      </c>
      <c r="H1521" s="3">
        <v>43053</v>
      </c>
      <c r="I1521" s="2" t="s">
        <v>19506</v>
      </c>
      <c r="J1521" s="2" t="s">
        <v>13904</v>
      </c>
      <c r="K1521" s="2" t="s">
        <v>19841</v>
      </c>
      <c r="L1521" s="82" t="s">
        <v>19512</v>
      </c>
    </row>
    <row r="1522" spans="1:12" ht="84" customHeight="1" x14ac:dyDescent="0.3">
      <c r="A1522" s="2">
        <v>1518</v>
      </c>
      <c r="B1522" s="66" t="s">
        <v>1651</v>
      </c>
      <c r="C1522" s="66"/>
      <c r="D1522" s="11" t="s">
        <v>1740</v>
      </c>
      <c r="E1522" s="11">
        <v>13406.4</v>
      </c>
      <c r="F1522" s="3">
        <v>38280</v>
      </c>
      <c r="G1522" s="207" t="s">
        <v>1061</v>
      </c>
      <c r="H1522" s="3">
        <v>43053</v>
      </c>
      <c r="I1522" s="2" t="s">
        <v>19506</v>
      </c>
      <c r="J1522" s="2" t="s">
        <v>13904</v>
      </c>
      <c r="K1522" s="2" t="s">
        <v>19841</v>
      </c>
      <c r="L1522" s="82" t="s">
        <v>19512</v>
      </c>
    </row>
    <row r="1523" spans="1:12" ht="84" customHeight="1" x14ac:dyDescent="0.3">
      <c r="A1523" s="2">
        <v>1519</v>
      </c>
      <c r="B1523" s="66" t="s">
        <v>263</v>
      </c>
      <c r="C1523" s="66"/>
      <c r="D1523" s="11" t="s">
        <v>1741</v>
      </c>
      <c r="E1523" s="11">
        <v>6019.2</v>
      </c>
      <c r="F1523" s="3">
        <v>38280</v>
      </c>
      <c r="G1523" s="207" t="s">
        <v>1061</v>
      </c>
      <c r="H1523" s="3">
        <v>43053</v>
      </c>
      <c r="I1523" s="2" t="s">
        <v>19506</v>
      </c>
      <c r="J1523" s="2" t="s">
        <v>13904</v>
      </c>
      <c r="K1523" s="2" t="s">
        <v>19841</v>
      </c>
      <c r="L1523" s="82" t="s">
        <v>19512</v>
      </c>
    </row>
    <row r="1524" spans="1:12" ht="84" customHeight="1" x14ac:dyDescent="0.3">
      <c r="A1524" s="2">
        <v>1520</v>
      </c>
      <c r="B1524" s="66" t="s">
        <v>1652</v>
      </c>
      <c r="C1524" s="66"/>
      <c r="D1524" s="11" t="s">
        <v>1742</v>
      </c>
      <c r="E1524" s="11">
        <v>25545.119999999999</v>
      </c>
      <c r="F1524" s="3">
        <v>38280</v>
      </c>
      <c r="G1524" s="207" t="s">
        <v>1061</v>
      </c>
      <c r="H1524" s="3">
        <v>43053</v>
      </c>
      <c r="I1524" s="2" t="s">
        <v>19506</v>
      </c>
      <c r="J1524" s="2" t="s">
        <v>13904</v>
      </c>
      <c r="K1524" s="2" t="s">
        <v>19841</v>
      </c>
      <c r="L1524" s="82" t="s">
        <v>19512</v>
      </c>
    </row>
    <row r="1525" spans="1:12" ht="84" customHeight="1" x14ac:dyDescent="0.3">
      <c r="A1525" s="2">
        <v>1521</v>
      </c>
      <c r="B1525" s="66" t="s">
        <v>1653</v>
      </c>
      <c r="C1525" s="66"/>
      <c r="D1525" s="11" t="s">
        <v>1743</v>
      </c>
      <c r="E1525" s="11">
        <v>5198.3999999999996</v>
      </c>
      <c r="F1525" s="3">
        <v>38280</v>
      </c>
      <c r="G1525" s="207" t="s">
        <v>1061</v>
      </c>
      <c r="H1525" s="3">
        <v>43053</v>
      </c>
      <c r="I1525" s="2" t="s">
        <v>19506</v>
      </c>
      <c r="J1525" s="2" t="s">
        <v>13904</v>
      </c>
      <c r="K1525" s="2" t="s">
        <v>19841</v>
      </c>
      <c r="L1525" s="82" t="s">
        <v>19512</v>
      </c>
    </row>
    <row r="1526" spans="1:12" ht="84" customHeight="1" x14ac:dyDescent="0.3">
      <c r="A1526" s="2">
        <v>1522</v>
      </c>
      <c r="B1526" s="66" t="s">
        <v>1654</v>
      </c>
      <c r="C1526" s="66"/>
      <c r="D1526" s="11" t="s">
        <v>1744</v>
      </c>
      <c r="E1526" s="11">
        <v>5694.54</v>
      </c>
      <c r="F1526" s="3">
        <v>38498</v>
      </c>
      <c r="G1526" s="207" t="s">
        <v>1061</v>
      </c>
      <c r="H1526" s="3">
        <v>43053</v>
      </c>
      <c r="I1526" s="2" t="s">
        <v>19506</v>
      </c>
      <c r="J1526" s="2" t="s">
        <v>13904</v>
      </c>
      <c r="K1526" s="2" t="s">
        <v>19841</v>
      </c>
      <c r="L1526" s="82" t="s">
        <v>19512</v>
      </c>
    </row>
    <row r="1527" spans="1:12" ht="84" customHeight="1" x14ac:dyDescent="0.3">
      <c r="A1527" s="2">
        <v>1523</v>
      </c>
      <c r="B1527" s="66" t="s">
        <v>1655</v>
      </c>
      <c r="C1527" s="66"/>
      <c r="D1527" s="11" t="s">
        <v>1745</v>
      </c>
      <c r="E1527" s="11">
        <v>4976.1000000000004</v>
      </c>
      <c r="F1527" s="3">
        <v>38280</v>
      </c>
      <c r="G1527" s="207" t="s">
        <v>1061</v>
      </c>
      <c r="H1527" s="3">
        <v>43053</v>
      </c>
      <c r="I1527" s="2" t="s">
        <v>19506</v>
      </c>
      <c r="J1527" s="2" t="s">
        <v>13904</v>
      </c>
      <c r="K1527" s="2" t="s">
        <v>19841</v>
      </c>
      <c r="L1527" s="82" t="s">
        <v>19512</v>
      </c>
    </row>
    <row r="1528" spans="1:12" ht="84" customHeight="1" x14ac:dyDescent="0.3">
      <c r="A1528" s="2">
        <v>1524</v>
      </c>
      <c r="B1528" s="66" t="s">
        <v>264</v>
      </c>
      <c r="C1528" s="66"/>
      <c r="D1528" s="11" t="s">
        <v>1746</v>
      </c>
      <c r="E1528" s="11">
        <v>9570</v>
      </c>
      <c r="F1528" s="3">
        <v>39674</v>
      </c>
      <c r="G1528" s="207" t="s">
        <v>1061</v>
      </c>
      <c r="H1528" s="3">
        <v>43053</v>
      </c>
      <c r="I1528" s="2" t="s">
        <v>19506</v>
      </c>
      <c r="J1528" s="2" t="s">
        <v>13904</v>
      </c>
      <c r="K1528" s="2" t="s">
        <v>19841</v>
      </c>
      <c r="L1528" s="82" t="s">
        <v>19512</v>
      </c>
    </row>
    <row r="1529" spans="1:12" ht="84" customHeight="1" x14ac:dyDescent="0.3">
      <c r="A1529" s="2">
        <v>1525</v>
      </c>
      <c r="B1529" s="66" t="s">
        <v>264</v>
      </c>
      <c r="C1529" s="66"/>
      <c r="D1529" s="11" t="s">
        <v>1747</v>
      </c>
      <c r="E1529" s="11">
        <v>20109.599999999999</v>
      </c>
      <c r="F1529" s="3">
        <v>38281</v>
      </c>
      <c r="G1529" s="207" t="s">
        <v>1061</v>
      </c>
      <c r="H1529" s="3">
        <v>43053</v>
      </c>
      <c r="I1529" s="2" t="s">
        <v>19506</v>
      </c>
      <c r="J1529" s="2" t="s">
        <v>13904</v>
      </c>
      <c r="K1529" s="2" t="s">
        <v>19841</v>
      </c>
      <c r="L1529" s="82" t="s">
        <v>19512</v>
      </c>
    </row>
    <row r="1530" spans="1:12" ht="108" customHeight="1" x14ac:dyDescent="0.3">
      <c r="A1530" s="2">
        <v>1526</v>
      </c>
      <c r="B1530" s="66" t="s">
        <v>1656</v>
      </c>
      <c r="C1530" s="66" t="s">
        <v>18985</v>
      </c>
      <c r="D1530" s="11" t="s">
        <v>1748</v>
      </c>
      <c r="E1530" s="11">
        <v>119631.6</v>
      </c>
      <c r="F1530" s="3">
        <v>38280</v>
      </c>
      <c r="G1530" s="207" t="s">
        <v>1061</v>
      </c>
      <c r="H1530" s="2"/>
      <c r="I1530" s="2"/>
      <c r="J1530" s="2" t="s">
        <v>13904</v>
      </c>
      <c r="K1530" s="2" t="s">
        <v>19840</v>
      </c>
      <c r="L1530" s="82" t="s">
        <v>18920</v>
      </c>
    </row>
    <row r="1531" spans="1:12" ht="84" customHeight="1" x14ac:dyDescent="0.3">
      <c r="A1531" s="2">
        <v>1527</v>
      </c>
      <c r="B1531" s="66" t="s">
        <v>1657</v>
      </c>
      <c r="C1531" s="66"/>
      <c r="D1531" s="11" t="s">
        <v>1749</v>
      </c>
      <c r="E1531" s="11">
        <v>19134.900000000001</v>
      </c>
      <c r="F1531" s="3">
        <v>38281</v>
      </c>
      <c r="G1531" s="207" t="s">
        <v>1061</v>
      </c>
      <c r="H1531" s="3">
        <v>43053</v>
      </c>
      <c r="I1531" s="2" t="s">
        <v>19506</v>
      </c>
      <c r="J1531" s="2" t="s">
        <v>13904</v>
      </c>
      <c r="K1531" s="2" t="s">
        <v>19841</v>
      </c>
      <c r="L1531" s="82" t="s">
        <v>19512</v>
      </c>
    </row>
    <row r="1532" spans="1:12" ht="84" customHeight="1" x14ac:dyDescent="0.3">
      <c r="A1532" s="2">
        <v>1528</v>
      </c>
      <c r="B1532" s="66" t="s">
        <v>881</v>
      </c>
      <c r="C1532" s="66"/>
      <c r="D1532" s="11" t="s">
        <v>1750</v>
      </c>
      <c r="E1532" s="11">
        <v>11022</v>
      </c>
      <c r="F1532" s="3">
        <v>39674</v>
      </c>
      <c r="G1532" s="207" t="s">
        <v>1061</v>
      </c>
      <c r="H1532" s="3">
        <v>43053</v>
      </c>
      <c r="I1532" s="2" t="s">
        <v>19506</v>
      </c>
      <c r="J1532" s="2" t="s">
        <v>13904</v>
      </c>
      <c r="K1532" s="2" t="s">
        <v>19841</v>
      </c>
      <c r="L1532" s="82" t="s">
        <v>19512</v>
      </c>
    </row>
    <row r="1533" spans="1:12" ht="84" customHeight="1" x14ac:dyDescent="0.3">
      <c r="A1533" s="2">
        <v>1529</v>
      </c>
      <c r="B1533" s="66" t="s">
        <v>1658</v>
      </c>
      <c r="C1533" s="66"/>
      <c r="D1533" s="11" t="s">
        <v>1719</v>
      </c>
      <c r="E1533" s="11">
        <v>6771.6</v>
      </c>
      <c r="F1533" s="3">
        <v>38280</v>
      </c>
      <c r="G1533" s="207" t="s">
        <v>1061</v>
      </c>
      <c r="H1533" s="3">
        <v>43053</v>
      </c>
      <c r="I1533" s="2" t="s">
        <v>19506</v>
      </c>
      <c r="J1533" s="2" t="s">
        <v>13904</v>
      </c>
      <c r="K1533" s="2" t="s">
        <v>19841</v>
      </c>
      <c r="L1533" s="82" t="s">
        <v>19512</v>
      </c>
    </row>
    <row r="1534" spans="1:12" ht="84" customHeight="1" x14ac:dyDescent="0.3">
      <c r="A1534" s="2">
        <v>1530</v>
      </c>
      <c r="B1534" s="66" t="s">
        <v>1659</v>
      </c>
      <c r="C1534" s="66"/>
      <c r="D1534" s="11" t="s">
        <v>1751</v>
      </c>
      <c r="E1534" s="11">
        <v>47401.2</v>
      </c>
      <c r="F1534" s="3">
        <v>38280</v>
      </c>
      <c r="G1534" s="207" t="s">
        <v>1061</v>
      </c>
      <c r="H1534" s="3">
        <v>43053</v>
      </c>
      <c r="I1534" s="2" t="s">
        <v>19506</v>
      </c>
      <c r="J1534" s="2" t="s">
        <v>13904</v>
      </c>
      <c r="K1534" s="2" t="s">
        <v>19841</v>
      </c>
      <c r="L1534" s="82" t="s">
        <v>19512</v>
      </c>
    </row>
    <row r="1535" spans="1:12" ht="108" customHeight="1" x14ac:dyDescent="0.3">
      <c r="A1535" s="2">
        <v>1531</v>
      </c>
      <c r="B1535" s="66" t="s">
        <v>1660</v>
      </c>
      <c r="C1535" s="66" t="s">
        <v>18986</v>
      </c>
      <c r="D1535" s="11" t="s">
        <v>1752</v>
      </c>
      <c r="E1535" s="11">
        <v>96193.2</v>
      </c>
      <c r="F1535" s="3">
        <v>38281</v>
      </c>
      <c r="G1535" s="207" t="s">
        <v>1061</v>
      </c>
      <c r="H1535" s="2"/>
      <c r="I1535" s="2"/>
      <c r="J1535" s="2" t="s">
        <v>13904</v>
      </c>
      <c r="K1535" s="2" t="s">
        <v>19840</v>
      </c>
      <c r="L1535" s="82" t="s">
        <v>21789</v>
      </c>
    </row>
    <row r="1536" spans="1:12" ht="84" customHeight="1" x14ac:dyDescent="0.3">
      <c r="A1536" s="2">
        <v>1532</v>
      </c>
      <c r="B1536" s="66" t="s">
        <v>1661</v>
      </c>
      <c r="C1536" s="66"/>
      <c r="D1536" s="11" t="s">
        <v>1753</v>
      </c>
      <c r="E1536" s="11">
        <v>9848.2800000000007</v>
      </c>
      <c r="F1536" s="3">
        <v>38498</v>
      </c>
      <c r="G1536" s="207" t="s">
        <v>1061</v>
      </c>
      <c r="H1536" s="3">
        <v>43053</v>
      </c>
      <c r="I1536" s="2" t="s">
        <v>19506</v>
      </c>
      <c r="J1536" s="2" t="s">
        <v>13904</v>
      </c>
      <c r="K1536" s="2" t="s">
        <v>19841</v>
      </c>
      <c r="L1536" s="82" t="s">
        <v>19512</v>
      </c>
    </row>
    <row r="1537" spans="1:12" ht="84" customHeight="1" x14ac:dyDescent="0.3">
      <c r="A1537" s="2">
        <v>1533</v>
      </c>
      <c r="B1537" s="66" t="s">
        <v>1662</v>
      </c>
      <c r="C1537" s="66"/>
      <c r="D1537" s="11" t="s">
        <v>1754</v>
      </c>
      <c r="E1537" s="11">
        <v>6026.04</v>
      </c>
      <c r="F1537" s="3">
        <v>38280</v>
      </c>
      <c r="G1537" s="207" t="s">
        <v>1061</v>
      </c>
      <c r="H1537" s="3">
        <v>43053</v>
      </c>
      <c r="I1537" s="2" t="s">
        <v>19506</v>
      </c>
      <c r="J1537" s="2" t="s">
        <v>13904</v>
      </c>
      <c r="K1537" s="2" t="s">
        <v>19841</v>
      </c>
      <c r="L1537" s="82" t="s">
        <v>19512</v>
      </c>
    </row>
    <row r="1538" spans="1:12" ht="84" customHeight="1" x14ac:dyDescent="0.3">
      <c r="A1538" s="2">
        <v>1534</v>
      </c>
      <c r="B1538" s="66" t="s">
        <v>1663</v>
      </c>
      <c r="C1538" s="66"/>
      <c r="D1538" s="11" t="s">
        <v>1755</v>
      </c>
      <c r="E1538" s="11">
        <v>8846.4</v>
      </c>
      <c r="F1538" s="3">
        <v>38280</v>
      </c>
      <c r="G1538" s="207" t="s">
        <v>1061</v>
      </c>
      <c r="H1538" s="3">
        <v>43053</v>
      </c>
      <c r="I1538" s="2" t="s">
        <v>19506</v>
      </c>
      <c r="J1538" s="2" t="s">
        <v>13904</v>
      </c>
      <c r="K1538" s="2" t="s">
        <v>19841</v>
      </c>
      <c r="L1538" s="82" t="s">
        <v>19512</v>
      </c>
    </row>
    <row r="1539" spans="1:12" ht="84" customHeight="1" x14ac:dyDescent="0.3">
      <c r="A1539" s="2">
        <v>1535</v>
      </c>
      <c r="B1539" s="66" t="s">
        <v>1664</v>
      </c>
      <c r="C1539" s="66"/>
      <c r="D1539" s="11" t="s">
        <v>1756</v>
      </c>
      <c r="E1539" s="11">
        <v>14411.88</v>
      </c>
      <c r="F1539" s="3">
        <v>38280</v>
      </c>
      <c r="G1539" s="207" t="s">
        <v>1061</v>
      </c>
      <c r="H1539" s="3">
        <v>43053</v>
      </c>
      <c r="I1539" s="2" t="s">
        <v>19506</v>
      </c>
      <c r="J1539" s="2" t="s">
        <v>13904</v>
      </c>
      <c r="K1539" s="2" t="s">
        <v>19841</v>
      </c>
      <c r="L1539" s="82" t="s">
        <v>19512</v>
      </c>
    </row>
    <row r="1540" spans="1:12" ht="108" customHeight="1" x14ac:dyDescent="0.3">
      <c r="A1540" s="2">
        <v>1536</v>
      </c>
      <c r="B1540" s="66" t="s">
        <v>1665</v>
      </c>
      <c r="C1540" s="66" t="s">
        <v>18987</v>
      </c>
      <c r="D1540" s="11" t="s">
        <v>1757</v>
      </c>
      <c r="E1540" s="11">
        <v>134884.79999999999</v>
      </c>
      <c r="F1540" s="3">
        <v>38280</v>
      </c>
      <c r="G1540" s="207" t="s">
        <v>1061</v>
      </c>
      <c r="H1540" s="2"/>
      <c r="I1540" s="2"/>
      <c r="J1540" s="2" t="s">
        <v>13904</v>
      </c>
      <c r="K1540" s="2" t="s">
        <v>19840</v>
      </c>
      <c r="L1540" s="82" t="s">
        <v>21789</v>
      </c>
    </row>
    <row r="1541" spans="1:12" ht="84" customHeight="1" x14ac:dyDescent="0.3">
      <c r="A1541" s="2">
        <v>1537</v>
      </c>
      <c r="B1541" s="66" t="s">
        <v>880</v>
      </c>
      <c r="C1541" s="66"/>
      <c r="D1541" s="11" t="s">
        <v>1758</v>
      </c>
      <c r="E1541" s="11">
        <v>6798</v>
      </c>
      <c r="F1541" s="3">
        <v>39674</v>
      </c>
      <c r="G1541" s="207" t="s">
        <v>1061</v>
      </c>
      <c r="H1541" s="3">
        <v>43053</v>
      </c>
      <c r="I1541" s="2" t="s">
        <v>19506</v>
      </c>
      <c r="J1541" s="2" t="s">
        <v>13904</v>
      </c>
      <c r="K1541" s="2" t="s">
        <v>19841</v>
      </c>
      <c r="L1541" s="82" t="s">
        <v>19512</v>
      </c>
    </row>
    <row r="1542" spans="1:12" ht="108" customHeight="1" x14ac:dyDescent="0.3">
      <c r="A1542" s="2">
        <v>1538</v>
      </c>
      <c r="B1542" s="66" t="s">
        <v>1666</v>
      </c>
      <c r="C1542" s="66" t="s">
        <v>18977</v>
      </c>
      <c r="D1542" s="11" t="s">
        <v>1759</v>
      </c>
      <c r="E1542" s="11">
        <v>116640.7</v>
      </c>
      <c r="F1542" s="3">
        <v>38498</v>
      </c>
      <c r="G1542" s="207" t="s">
        <v>1061</v>
      </c>
      <c r="H1542" s="2"/>
      <c r="I1542" s="2"/>
      <c r="J1542" s="2" t="s">
        <v>13904</v>
      </c>
      <c r="K1542" s="2" t="s">
        <v>19840</v>
      </c>
      <c r="L1542" s="82" t="s">
        <v>18920</v>
      </c>
    </row>
    <row r="1543" spans="1:12" ht="108" customHeight="1" x14ac:dyDescent="0.3">
      <c r="A1543" s="2">
        <v>1539</v>
      </c>
      <c r="B1543" s="66" t="s">
        <v>1667</v>
      </c>
      <c r="C1543" s="66" t="s">
        <v>18988</v>
      </c>
      <c r="D1543" s="11" t="s">
        <v>1760</v>
      </c>
      <c r="E1543" s="11">
        <v>140052</v>
      </c>
      <c r="F1543" s="3">
        <v>38498</v>
      </c>
      <c r="G1543" s="207" t="s">
        <v>1061</v>
      </c>
      <c r="H1543" s="2"/>
      <c r="I1543" s="2"/>
      <c r="J1543" s="2" t="s">
        <v>13904</v>
      </c>
      <c r="K1543" s="2" t="s">
        <v>19840</v>
      </c>
      <c r="L1543" s="82" t="s">
        <v>18920</v>
      </c>
    </row>
    <row r="1544" spans="1:12" ht="84" customHeight="1" x14ac:dyDescent="0.3">
      <c r="A1544" s="2">
        <v>1540</v>
      </c>
      <c r="B1544" s="66" t="s">
        <v>1668</v>
      </c>
      <c r="C1544" s="66"/>
      <c r="D1544" s="11" t="s">
        <v>1761</v>
      </c>
      <c r="E1544" s="11">
        <v>12309</v>
      </c>
      <c r="F1544" s="3">
        <v>39674</v>
      </c>
      <c r="G1544" s="207" t="s">
        <v>1061</v>
      </c>
      <c r="H1544" s="3">
        <v>43053</v>
      </c>
      <c r="I1544" s="2" t="s">
        <v>19506</v>
      </c>
      <c r="J1544" s="2" t="s">
        <v>13904</v>
      </c>
      <c r="K1544" s="2" t="s">
        <v>19841</v>
      </c>
      <c r="L1544" s="82" t="s">
        <v>19512</v>
      </c>
    </row>
    <row r="1545" spans="1:12" ht="84" customHeight="1" x14ac:dyDescent="0.3">
      <c r="A1545" s="2">
        <v>1541</v>
      </c>
      <c r="B1545" s="66" t="s">
        <v>1669</v>
      </c>
      <c r="C1545" s="66"/>
      <c r="D1545" s="11" t="s">
        <v>1762</v>
      </c>
      <c r="E1545" s="11">
        <v>40983.14</v>
      </c>
      <c r="F1545" s="3">
        <v>38498</v>
      </c>
      <c r="G1545" s="207" t="s">
        <v>1061</v>
      </c>
      <c r="H1545" s="3">
        <v>43053</v>
      </c>
      <c r="I1545" s="2" t="s">
        <v>19506</v>
      </c>
      <c r="J1545" s="2" t="s">
        <v>13904</v>
      </c>
      <c r="K1545" s="2" t="s">
        <v>19841</v>
      </c>
      <c r="L1545" s="82" t="s">
        <v>19512</v>
      </c>
    </row>
    <row r="1546" spans="1:12" ht="84" customHeight="1" x14ac:dyDescent="0.3">
      <c r="A1546" s="2">
        <v>1542</v>
      </c>
      <c r="B1546" s="66" t="s">
        <v>1670</v>
      </c>
      <c r="C1546" s="66"/>
      <c r="D1546" s="11" t="s">
        <v>1763</v>
      </c>
      <c r="E1546" s="11">
        <v>14630</v>
      </c>
      <c r="F1546" s="3">
        <v>39217</v>
      </c>
      <c r="G1546" s="207" t="s">
        <v>1061</v>
      </c>
      <c r="H1546" s="3">
        <v>43053</v>
      </c>
      <c r="I1546" s="2" t="s">
        <v>19506</v>
      </c>
      <c r="J1546" s="2" t="s">
        <v>13904</v>
      </c>
      <c r="K1546" s="2" t="s">
        <v>19841</v>
      </c>
      <c r="L1546" s="82" t="s">
        <v>19512</v>
      </c>
    </row>
    <row r="1547" spans="1:12" ht="84" customHeight="1" x14ac:dyDescent="0.3">
      <c r="A1547" s="2">
        <v>1543</v>
      </c>
      <c r="B1547" s="66" t="s">
        <v>1671</v>
      </c>
      <c r="C1547" s="66"/>
      <c r="D1547" s="11" t="s">
        <v>1764</v>
      </c>
      <c r="E1547" s="11">
        <v>10150.02</v>
      </c>
      <c r="F1547" s="3">
        <v>38503</v>
      </c>
      <c r="G1547" s="207" t="s">
        <v>1061</v>
      </c>
      <c r="H1547" s="3">
        <v>43053</v>
      </c>
      <c r="I1547" s="2" t="s">
        <v>19506</v>
      </c>
      <c r="J1547" s="2" t="s">
        <v>13904</v>
      </c>
      <c r="K1547" s="2" t="s">
        <v>19841</v>
      </c>
      <c r="L1547" s="82" t="s">
        <v>19512</v>
      </c>
    </row>
    <row r="1548" spans="1:12" ht="84" customHeight="1" x14ac:dyDescent="0.3">
      <c r="A1548" s="2">
        <v>1544</v>
      </c>
      <c r="B1548" s="66" t="s">
        <v>1629</v>
      </c>
      <c r="C1548" s="66"/>
      <c r="D1548" s="11" t="s">
        <v>1716</v>
      </c>
      <c r="E1548" s="11">
        <v>3720</v>
      </c>
      <c r="F1548" s="3">
        <v>38280</v>
      </c>
      <c r="G1548" s="207" t="s">
        <v>1061</v>
      </c>
      <c r="H1548" s="3">
        <v>43053</v>
      </c>
      <c r="I1548" s="2" t="s">
        <v>19506</v>
      </c>
      <c r="J1548" s="2" t="s">
        <v>13904</v>
      </c>
      <c r="K1548" s="2" t="s">
        <v>19841</v>
      </c>
      <c r="L1548" s="82" t="s">
        <v>19512</v>
      </c>
    </row>
    <row r="1549" spans="1:12" ht="84" customHeight="1" x14ac:dyDescent="0.3">
      <c r="A1549" s="2">
        <v>1545</v>
      </c>
      <c r="B1549" s="66" t="s">
        <v>1672</v>
      </c>
      <c r="C1549" s="66"/>
      <c r="D1549" s="11" t="s">
        <v>1050</v>
      </c>
      <c r="E1549" s="11">
        <v>13500</v>
      </c>
      <c r="F1549" s="3">
        <v>39706</v>
      </c>
      <c r="G1549" s="207" t="s">
        <v>1061</v>
      </c>
      <c r="H1549" s="3">
        <v>43053</v>
      </c>
      <c r="I1549" s="2" t="s">
        <v>19506</v>
      </c>
      <c r="J1549" s="2" t="s">
        <v>13904</v>
      </c>
      <c r="K1549" s="2" t="s">
        <v>19841</v>
      </c>
      <c r="L1549" s="82" t="s">
        <v>19512</v>
      </c>
    </row>
    <row r="1550" spans="1:12" ht="108" customHeight="1" x14ac:dyDescent="0.3">
      <c r="A1550" s="2">
        <v>1546</v>
      </c>
      <c r="B1550" s="66" t="s">
        <v>1673</v>
      </c>
      <c r="C1550" s="66" t="s">
        <v>18989</v>
      </c>
      <c r="D1550" s="11" t="s">
        <v>1765</v>
      </c>
      <c r="E1550" s="11">
        <v>58062.48</v>
      </c>
      <c r="F1550" s="3">
        <v>38498</v>
      </c>
      <c r="G1550" s="207" t="s">
        <v>1061</v>
      </c>
      <c r="H1550" s="2"/>
      <c r="I1550" s="2"/>
      <c r="J1550" s="2" t="s">
        <v>13904</v>
      </c>
      <c r="K1550" s="2" t="s">
        <v>19840</v>
      </c>
      <c r="L1550" s="82" t="s">
        <v>18920</v>
      </c>
    </row>
    <row r="1551" spans="1:12" ht="108" customHeight="1" x14ac:dyDescent="0.3">
      <c r="A1551" s="2">
        <v>1547</v>
      </c>
      <c r="B1551" s="66" t="s">
        <v>1673</v>
      </c>
      <c r="C1551" s="66" t="s">
        <v>18994</v>
      </c>
      <c r="D1551" s="11" t="s">
        <v>1765</v>
      </c>
      <c r="E1551" s="11">
        <v>58062.48</v>
      </c>
      <c r="F1551" s="3">
        <v>38498</v>
      </c>
      <c r="G1551" s="207" t="s">
        <v>1061</v>
      </c>
      <c r="H1551" s="2"/>
      <c r="I1551" s="2"/>
      <c r="J1551" s="2" t="s">
        <v>13904</v>
      </c>
      <c r="K1551" s="2" t="s">
        <v>19840</v>
      </c>
      <c r="L1551" s="82" t="s">
        <v>18920</v>
      </c>
    </row>
    <row r="1552" spans="1:12" ht="84" customHeight="1" x14ac:dyDescent="0.3">
      <c r="A1552" s="2">
        <v>1548</v>
      </c>
      <c r="B1552" s="66" t="s">
        <v>1674</v>
      </c>
      <c r="C1552" s="66"/>
      <c r="D1552" s="11" t="s">
        <v>1766</v>
      </c>
      <c r="E1552" s="11">
        <v>25568.720000000001</v>
      </c>
      <c r="F1552" s="3">
        <v>38715</v>
      </c>
      <c r="G1552" s="207" t="s">
        <v>1061</v>
      </c>
      <c r="H1552" s="3">
        <v>43053</v>
      </c>
      <c r="I1552" s="2" t="s">
        <v>19506</v>
      </c>
      <c r="J1552" s="2" t="s">
        <v>13904</v>
      </c>
      <c r="K1552" s="2" t="s">
        <v>19841</v>
      </c>
      <c r="L1552" s="82" t="s">
        <v>19512</v>
      </c>
    </row>
    <row r="1553" spans="1:12" ht="84" customHeight="1" x14ac:dyDescent="0.3">
      <c r="A1553" s="2">
        <v>1549</v>
      </c>
      <c r="B1553" s="66" t="s">
        <v>1675</v>
      </c>
      <c r="C1553" s="66"/>
      <c r="D1553" s="11" t="s">
        <v>1767</v>
      </c>
      <c r="E1553" s="11">
        <v>6410.37</v>
      </c>
      <c r="F1553" s="3">
        <v>38499</v>
      </c>
      <c r="G1553" s="207" t="s">
        <v>1061</v>
      </c>
      <c r="H1553" s="3">
        <v>43053</v>
      </c>
      <c r="I1553" s="2" t="s">
        <v>19506</v>
      </c>
      <c r="J1553" s="2" t="s">
        <v>13904</v>
      </c>
      <c r="K1553" s="2" t="s">
        <v>19841</v>
      </c>
      <c r="L1553" s="82" t="s">
        <v>19512</v>
      </c>
    </row>
    <row r="1554" spans="1:12" ht="84" customHeight="1" x14ac:dyDescent="0.3">
      <c r="A1554" s="2">
        <v>1550</v>
      </c>
      <c r="B1554" s="66" t="s">
        <v>1675</v>
      </c>
      <c r="C1554" s="66"/>
      <c r="D1554" s="11" t="s">
        <v>1767</v>
      </c>
      <c r="E1554" s="11">
        <v>6410.37</v>
      </c>
      <c r="F1554" s="3">
        <v>38498</v>
      </c>
      <c r="G1554" s="207" t="s">
        <v>1061</v>
      </c>
      <c r="H1554" s="3">
        <v>43053</v>
      </c>
      <c r="I1554" s="2" t="s">
        <v>19506</v>
      </c>
      <c r="J1554" s="2" t="s">
        <v>13904</v>
      </c>
      <c r="K1554" s="2" t="s">
        <v>19841</v>
      </c>
      <c r="L1554" s="82" t="s">
        <v>19512</v>
      </c>
    </row>
    <row r="1555" spans="1:12" ht="84" customHeight="1" x14ac:dyDescent="0.3">
      <c r="A1555" s="2">
        <v>1551</v>
      </c>
      <c r="B1555" s="66" t="s">
        <v>1676</v>
      </c>
      <c r="C1555" s="66"/>
      <c r="D1555" s="11" t="s">
        <v>1768</v>
      </c>
      <c r="E1555" s="11">
        <v>3558.82</v>
      </c>
      <c r="F1555" s="3">
        <v>38503</v>
      </c>
      <c r="G1555" s="207" t="s">
        <v>1061</v>
      </c>
      <c r="H1555" s="3">
        <v>43053</v>
      </c>
      <c r="I1555" s="2" t="s">
        <v>19506</v>
      </c>
      <c r="J1555" s="2" t="s">
        <v>13904</v>
      </c>
      <c r="K1555" s="2" t="s">
        <v>19841</v>
      </c>
      <c r="L1555" s="82" t="s">
        <v>19512</v>
      </c>
    </row>
    <row r="1556" spans="1:12" ht="84" customHeight="1" x14ac:dyDescent="0.3">
      <c r="A1556" s="2">
        <v>1552</v>
      </c>
      <c r="B1556" s="66" t="s">
        <v>1677</v>
      </c>
      <c r="C1556" s="66"/>
      <c r="D1556" s="11" t="s">
        <v>1769</v>
      </c>
      <c r="E1556" s="11">
        <v>31190.5</v>
      </c>
      <c r="F1556" s="3">
        <v>38503</v>
      </c>
      <c r="G1556" s="207" t="s">
        <v>1061</v>
      </c>
      <c r="H1556" s="3">
        <v>43053</v>
      </c>
      <c r="I1556" s="2" t="s">
        <v>19506</v>
      </c>
      <c r="J1556" s="2" t="s">
        <v>13904</v>
      </c>
      <c r="K1556" s="2" t="s">
        <v>19841</v>
      </c>
      <c r="L1556" s="82" t="s">
        <v>19512</v>
      </c>
    </row>
    <row r="1557" spans="1:12" ht="84" customHeight="1" x14ac:dyDescent="0.3">
      <c r="A1557" s="2">
        <v>1553</v>
      </c>
      <c r="B1557" s="66" t="s">
        <v>1678</v>
      </c>
      <c r="C1557" s="66"/>
      <c r="D1557" s="11" t="s">
        <v>1770</v>
      </c>
      <c r="E1557" s="11">
        <v>7372.56</v>
      </c>
      <c r="F1557" s="3">
        <v>38939</v>
      </c>
      <c r="G1557" s="207" t="s">
        <v>1061</v>
      </c>
      <c r="H1557" s="3">
        <v>43053</v>
      </c>
      <c r="I1557" s="2" t="s">
        <v>19506</v>
      </c>
      <c r="J1557" s="2" t="s">
        <v>13904</v>
      </c>
      <c r="K1557" s="2" t="s">
        <v>19841</v>
      </c>
      <c r="L1557" s="82" t="s">
        <v>19512</v>
      </c>
    </row>
    <row r="1558" spans="1:12" ht="84" customHeight="1" x14ac:dyDescent="0.3">
      <c r="A1558" s="2">
        <v>1554</v>
      </c>
      <c r="B1558" s="66" t="s">
        <v>1679</v>
      </c>
      <c r="C1558" s="66"/>
      <c r="D1558" s="11" t="s">
        <v>1771</v>
      </c>
      <c r="E1558" s="11">
        <v>7935.12</v>
      </c>
      <c r="F1558" s="3">
        <v>38503</v>
      </c>
      <c r="G1558" s="207" t="s">
        <v>1061</v>
      </c>
      <c r="H1558" s="3">
        <v>43053</v>
      </c>
      <c r="I1558" s="2" t="s">
        <v>19506</v>
      </c>
      <c r="J1558" s="2" t="s">
        <v>13904</v>
      </c>
      <c r="K1558" s="2" t="s">
        <v>19841</v>
      </c>
      <c r="L1558" s="82" t="s">
        <v>19512</v>
      </c>
    </row>
    <row r="1559" spans="1:12" ht="84" customHeight="1" x14ac:dyDescent="0.3">
      <c r="A1559" s="2">
        <v>1555</v>
      </c>
      <c r="B1559" s="66" t="s">
        <v>1680</v>
      </c>
      <c r="C1559" s="66"/>
      <c r="D1559" s="11" t="s">
        <v>1772</v>
      </c>
      <c r="E1559" s="11">
        <v>14115.44</v>
      </c>
      <c r="F1559" s="3">
        <v>38503</v>
      </c>
      <c r="G1559" s="207" t="s">
        <v>1061</v>
      </c>
      <c r="H1559" s="3">
        <v>43053</v>
      </c>
      <c r="I1559" s="2" t="s">
        <v>19506</v>
      </c>
      <c r="J1559" s="2" t="s">
        <v>13904</v>
      </c>
      <c r="K1559" s="2" t="s">
        <v>19841</v>
      </c>
      <c r="L1559" s="82" t="s">
        <v>19512</v>
      </c>
    </row>
    <row r="1560" spans="1:12" ht="84" customHeight="1" x14ac:dyDescent="0.3">
      <c r="A1560" s="2">
        <v>1556</v>
      </c>
      <c r="B1560" s="66" t="s">
        <v>1681</v>
      </c>
      <c r="C1560" s="66"/>
      <c r="D1560" s="11" t="s">
        <v>1773</v>
      </c>
      <c r="E1560" s="11">
        <v>4815</v>
      </c>
      <c r="F1560" s="3">
        <v>38503</v>
      </c>
      <c r="G1560" s="207" t="s">
        <v>1061</v>
      </c>
      <c r="H1560" s="3">
        <v>43053</v>
      </c>
      <c r="I1560" s="2" t="s">
        <v>19506</v>
      </c>
      <c r="J1560" s="2" t="s">
        <v>13904</v>
      </c>
      <c r="K1560" s="2" t="s">
        <v>19841</v>
      </c>
      <c r="L1560" s="82" t="s">
        <v>19512</v>
      </c>
    </row>
    <row r="1561" spans="1:12" ht="84" customHeight="1" x14ac:dyDescent="0.3">
      <c r="A1561" s="2">
        <v>1557</v>
      </c>
      <c r="B1561" s="66" t="s">
        <v>1681</v>
      </c>
      <c r="C1561" s="66"/>
      <c r="D1561" s="11" t="s">
        <v>1773</v>
      </c>
      <c r="E1561" s="11">
        <v>4815</v>
      </c>
      <c r="F1561" s="3">
        <v>38503</v>
      </c>
      <c r="G1561" s="207" t="s">
        <v>1061</v>
      </c>
      <c r="H1561" s="3">
        <v>43053</v>
      </c>
      <c r="I1561" s="2" t="s">
        <v>19506</v>
      </c>
      <c r="J1561" s="2" t="s">
        <v>13904</v>
      </c>
      <c r="K1561" s="2" t="s">
        <v>19841</v>
      </c>
      <c r="L1561" s="82" t="s">
        <v>19512</v>
      </c>
    </row>
    <row r="1562" spans="1:12" ht="84" customHeight="1" x14ac:dyDescent="0.3">
      <c r="A1562" s="2">
        <v>1558</v>
      </c>
      <c r="B1562" s="66" t="s">
        <v>1681</v>
      </c>
      <c r="C1562" s="66"/>
      <c r="D1562" s="11" t="s">
        <v>1773</v>
      </c>
      <c r="E1562" s="11">
        <v>4815</v>
      </c>
      <c r="F1562" s="3">
        <v>38503</v>
      </c>
      <c r="G1562" s="207" t="s">
        <v>1061</v>
      </c>
      <c r="H1562" s="3">
        <v>43053</v>
      </c>
      <c r="I1562" s="2" t="s">
        <v>19506</v>
      </c>
      <c r="J1562" s="2" t="s">
        <v>13904</v>
      </c>
      <c r="K1562" s="2" t="s">
        <v>19841</v>
      </c>
      <c r="L1562" s="82" t="s">
        <v>19512</v>
      </c>
    </row>
    <row r="1563" spans="1:12" ht="84" customHeight="1" x14ac:dyDescent="0.3">
      <c r="A1563" s="2">
        <v>1559</v>
      </c>
      <c r="B1563" s="66" t="s">
        <v>1682</v>
      </c>
      <c r="C1563" s="66"/>
      <c r="D1563" s="11" t="s">
        <v>1774</v>
      </c>
      <c r="E1563" s="11">
        <v>9150</v>
      </c>
      <c r="F1563" s="3">
        <v>39546</v>
      </c>
      <c r="G1563" s="207" t="s">
        <v>1061</v>
      </c>
      <c r="H1563" s="3">
        <v>43053</v>
      </c>
      <c r="I1563" s="2" t="s">
        <v>19506</v>
      </c>
      <c r="J1563" s="2" t="s">
        <v>13904</v>
      </c>
      <c r="K1563" s="2" t="s">
        <v>19841</v>
      </c>
      <c r="L1563" s="82" t="s">
        <v>19512</v>
      </c>
    </row>
    <row r="1564" spans="1:12" ht="108" customHeight="1" x14ac:dyDescent="0.3">
      <c r="A1564" s="2">
        <v>1560</v>
      </c>
      <c r="B1564" s="66" t="s">
        <v>1683</v>
      </c>
      <c r="C1564" s="66" t="s">
        <v>18995</v>
      </c>
      <c r="D1564" s="11" t="s">
        <v>1775</v>
      </c>
      <c r="E1564" s="11">
        <v>234593.76</v>
      </c>
      <c r="F1564" s="3">
        <v>38280</v>
      </c>
      <c r="G1564" s="207" t="s">
        <v>1061</v>
      </c>
      <c r="H1564" s="2"/>
      <c r="I1564" s="2"/>
      <c r="J1564" s="2" t="s">
        <v>13904</v>
      </c>
      <c r="K1564" s="2" t="s">
        <v>19840</v>
      </c>
      <c r="L1564" s="82" t="s">
        <v>18920</v>
      </c>
    </row>
    <row r="1565" spans="1:12" ht="84" customHeight="1" x14ac:dyDescent="0.3">
      <c r="A1565" s="2">
        <v>1561</v>
      </c>
      <c r="B1565" s="66" t="s">
        <v>1684</v>
      </c>
      <c r="C1565" s="66"/>
      <c r="D1565" s="11" t="s">
        <v>1256</v>
      </c>
      <c r="E1565" s="11">
        <v>3200</v>
      </c>
      <c r="F1565" s="3">
        <v>39783</v>
      </c>
      <c r="G1565" s="207" t="s">
        <v>1061</v>
      </c>
      <c r="H1565" s="3">
        <v>43053</v>
      </c>
      <c r="I1565" s="2" t="s">
        <v>19506</v>
      </c>
      <c r="J1565" s="2" t="s">
        <v>13904</v>
      </c>
      <c r="K1565" s="2" t="s">
        <v>19841</v>
      </c>
      <c r="L1565" s="82" t="s">
        <v>19512</v>
      </c>
    </row>
    <row r="1566" spans="1:12" ht="108" customHeight="1" x14ac:dyDescent="0.3">
      <c r="A1566" s="2">
        <v>1562</v>
      </c>
      <c r="B1566" s="66" t="s">
        <v>1685</v>
      </c>
      <c r="C1566" s="66" t="s">
        <v>18996</v>
      </c>
      <c r="D1566" s="11" t="s">
        <v>1776</v>
      </c>
      <c r="E1566" s="11">
        <v>61194.9</v>
      </c>
      <c r="F1566" s="3">
        <v>38939</v>
      </c>
      <c r="G1566" s="207" t="s">
        <v>1061</v>
      </c>
      <c r="H1566" s="2"/>
      <c r="I1566" s="2"/>
      <c r="J1566" s="2" t="s">
        <v>13904</v>
      </c>
      <c r="K1566" s="2" t="s">
        <v>19840</v>
      </c>
      <c r="L1566" s="82" t="s">
        <v>21789</v>
      </c>
    </row>
    <row r="1567" spans="1:12" ht="108" customHeight="1" x14ac:dyDescent="0.3">
      <c r="A1567" s="2">
        <v>1563</v>
      </c>
      <c r="B1567" s="66" t="s">
        <v>1686</v>
      </c>
      <c r="C1567" s="66" t="s">
        <v>18997</v>
      </c>
      <c r="D1567" s="11" t="s">
        <v>1777</v>
      </c>
      <c r="E1567" s="11">
        <v>80250</v>
      </c>
      <c r="F1567" s="3">
        <v>38503</v>
      </c>
      <c r="G1567" s="207" t="s">
        <v>1061</v>
      </c>
      <c r="H1567" s="2"/>
      <c r="I1567" s="2"/>
      <c r="J1567" s="2" t="s">
        <v>13904</v>
      </c>
      <c r="K1567" s="2" t="s">
        <v>19840</v>
      </c>
      <c r="L1567" s="82" t="s">
        <v>21789</v>
      </c>
    </row>
    <row r="1568" spans="1:12" ht="84" customHeight="1" x14ac:dyDescent="0.3">
      <c r="A1568" s="2">
        <v>1564</v>
      </c>
      <c r="B1568" s="66" t="s">
        <v>1687</v>
      </c>
      <c r="C1568" s="66"/>
      <c r="D1568" s="11" t="s">
        <v>1778</v>
      </c>
      <c r="E1568" s="11">
        <v>10625</v>
      </c>
      <c r="F1568" s="3">
        <v>39437</v>
      </c>
      <c r="G1568" s="207" t="s">
        <v>1061</v>
      </c>
      <c r="H1568" s="3">
        <v>43053</v>
      </c>
      <c r="I1568" s="2" t="s">
        <v>19506</v>
      </c>
      <c r="J1568" s="2" t="s">
        <v>13904</v>
      </c>
      <c r="K1568" s="2" t="s">
        <v>19841</v>
      </c>
      <c r="L1568" s="82" t="s">
        <v>19512</v>
      </c>
    </row>
    <row r="1569" spans="1:12" ht="84" customHeight="1" x14ac:dyDescent="0.3">
      <c r="A1569" s="2">
        <v>1565</v>
      </c>
      <c r="B1569" s="66" t="s">
        <v>1687</v>
      </c>
      <c r="C1569" s="66"/>
      <c r="D1569" s="11" t="s">
        <v>1778</v>
      </c>
      <c r="E1569" s="11">
        <v>10625</v>
      </c>
      <c r="F1569" s="3">
        <v>39437</v>
      </c>
      <c r="G1569" s="207" t="s">
        <v>1061</v>
      </c>
      <c r="H1569" s="3">
        <v>43053</v>
      </c>
      <c r="I1569" s="2" t="s">
        <v>19506</v>
      </c>
      <c r="J1569" s="2" t="s">
        <v>13904</v>
      </c>
      <c r="K1569" s="2" t="s">
        <v>19841</v>
      </c>
      <c r="L1569" s="82" t="s">
        <v>19512</v>
      </c>
    </row>
    <row r="1570" spans="1:12" ht="84" customHeight="1" x14ac:dyDescent="0.3">
      <c r="A1570" s="2">
        <v>1566</v>
      </c>
      <c r="B1570" s="66" t="s">
        <v>1688</v>
      </c>
      <c r="C1570" s="66"/>
      <c r="D1570" s="11" t="s">
        <v>1779</v>
      </c>
      <c r="E1570" s="11">
        <v>16745</v>
      </c>
      <c r="F1570" s="3">
        <v>39437</v>
      </c>
      <c r="G1570" s="207" t="s">
        <v>1061</v>
      </c>
      <c r="H1570" s="3">
        <v>43053</v>
      </c>
      <c r="I1570" s="2" t="s">
        <v>19506</v>
      </c>
      <c r="J1570" s="2" t="s">
        <v>13904</v>
      </c>
      <c r="K1570" s="2" t="s">
        <v>19841</v>
      </c>
      <c r="L1570" s="82" t="s">
        <v>19512</v>
      </c>
    </row>
    <row r="1571" spans="1:12" ht="84" customHeight="1" x14ac:dyDescent="0.3">
      <c r="A1571" s="2">
        <v>1567</v>
      </c>
      <c r="B1571" s="66" t="s">
        <v>1689</v>
      </c>
      <c r="C1571" s="66"/>
      <c r="D1571" s="11" t="s">
        <v>1780</v>
      </c>
      <c r="E1571" s="11">
        <v>4900.6000000000004</v>
      </c>
      <c r="F1571" s="3">
        <v>38503</v>
      </c>
      <c r="G1571" s="207" t="s">
        <v>1061</v>
      </c>
      <c r="H1571" s="3">
        <v>43053</v>
      </c>
      <c r="I1571" s="2" t="s">
        <v>19506</v>
      </c>
      <c r="J1571" s="2" t="s">
        <v>13904</v>
      </c>
      <c r="K1571" s="2" t="s">
        <v>19841</v>
      </c>
      <c r="L1571" s="82" t="s">
        <v>19512</v>
      </c>
    </row>
    <row r="1572" spans="1:12" ht="84" customHeight="1" x14ac:dyDescent="0.3">
      <c r="A1572" s="2">
        <v>1568</v>
      </c>
      <c r="B1572" s="66" t="s">
        <v>1689</v>
      </c>
      <c r="C1572" s="66"/>
      <c r="D1572" s="11" t="s">
        <v>1780</v>
      </c>
      <c r="E1572" s="11">
        <v>4900.6000000000004</v>
      </c>
      <c r="F1572" s="3">
        <v>38503</v>
      </c>
      <c r="G1572" s="207" t="s">
        <v>1061</v>
      </c>
      <c r="H1572" s="3">
        <v>43053</v>
      </c>
      <c r="I1572" s="2" t="s">
        <v>19506</v>
      </c>
      <c r="J1572" s="2" t="s">
        <v>13904</v>
      </c>
      <c r="K1572" s="2" t="s">
        <v>19841</v>
      </c>
      <c r="L1572" s="82" t="s">
        <v>19512</v>
      </c>
    </row>
    <row r="1573" spans="1:12" ht="84" customHeight="1" x14ac:dyDescent="0.3">
      <c r="A1573" s="2">
        <v>1569</v>
      </c>
      <c r="B1573" s="66" t="s">
        <v>1690</v>
      </c>
      <c r="C1573" s="66"/>
      <c r="D1573" s="11" t="s">
        <v>1781</v>
      </c>
      <c r="E1573" s="11">
        <v>18478.900000000001</v>
      </c>
      <c r="F1573" s="3">
        <v>38498</v>
      </c>
      <c r="G1573" s="207" t="s">
        <v>1061</v>
      </c>
      <c r="H1573" s="3">
        <v>43053</v>
      </c>
      <c r="I1573" s="2" t="s">
        <v>19506</v>
      </c>
      <c r="J1573" s="2" t="s">
        <v>13904</v>
      </c>
      <c r="K1573" s="2" t="s">
        <v>19841</v>
      </c>
      <c r="L1573" s="82" t="s">
        <v>19512</v>
      </c>
    </row>
    <row r="1574" spans="1:12" ht="84" customHeight="1" x14ac:dyDescent="0.3">
      <c r="A1574" s="2">
        <v>1570</v>
      </c>
      <c r="B1574" s="66" t="s">
        <v>1690</v>
      </c>
      <c r="C1574" s="66"/>
      <c r="D1574" s="11" t="s">
        <v>1781</v>
      </c>
      <c r="E1574" s="11">
        <v>18478.900000000001</v>
      </c>
      <c r="F1574" s="3">
        <v>38498</v>
      </c>
      <c r="G1574" s="207" t="s">
        <v>1061</v>
      </c>
      <c r="H1574" s="3">
        <v>43053</v>
      </c>
      <c r="I1574" s="2" t="s">
        <v>19506</v>
      </c>
      <c r="J1574" s="2" t="s">
        <v>13904</v>
      </c>
      <c r="K1574" s="2" t="s">
        <v>19841</v>
      </c>
      <c r="L1574" s="82" t="s">
        <v>19512</v>
      </c>
    </row>
    <row r="1575" spans="1:12" ht="84" customHeight="1" x14ac:dyDescent="0.3">
      <c r="A1575" s="2">
        <v>1571</v>
      </c>
      <c r="B1575" s="66" t="s">
        <v>1690</v>
      </c>
      <c r="C1575" s="66"/>
      <c r="D1575" s="11" t="s">
        <v>1781</v>
      </c>
      <c r="E1575" s="11">
        <v>18478.900000000001</v>
      </c>
      <c r="F1575" s="3">
        <v>38498</v>
      </c>
      <c r="G1575" s="207" t="s">
        <v>1061</v>
      </c>
      <c r="H1575" s="3">
        <v>43053</v>
      </c>
      <c r="I1575" s="2" t="s">
        <v>19506</v>
      </c>
      <c r="J1575" s="2" t="s">
        <v>13904</v>
      </c>
      <c r="K1575" s="2" t="s">
        <v>19841</v>
      </c>
      <c r="L1575" s="82" t="s">
        <v>19512</v>
      </c>
    </row>
    <row r="1576" spans="1:12" ht="84" customHeight="1" x14ac:dyDescent="0.3">
      <c r="A1576" s="2">
        <v>1572</v>
      </c>
      <c r="B1576" s="66" t="s">
        <v>1690</v>
      </c>
      <c r="C1576" s="66"/>
      <c r="D1576" s="11" t="s">
        <v>1781</v>
      </c>
      <c r="E1576" s="11">
        <v>18478.900000000001</v>
      </c>
      <c r="F1576" s="3">
        <v>38498</v>
      </c>
      <c r="G1576" s="207" t="s">
        <v>1061</v>
      </c>
      <c r="H1576" s="3">
        <v>43053</v>
      </c>
      <c r="I1576" s="2" t="s">
        <v>19506</v>
      </c>
      <c r="J1576" s="2" t="s">
        <v>13904</v>
      </c>
      <c r="K1576" s="2" t="s">
        <v>19841</v>
      </c>
      <c r="L1576" s="82" t="s">
        <v>19512</v>
      </c>
    </row>
    <row r="1577" spans="1:12" ht="84" customHeight="1" x14ac:dyDescent="0.3">
      <c r="A1577" s="2">
        <v>1573</v>
      </c>
      <c r="B1577" s="66" t="s">
        <v>1690</v>
      </c>
      <c r="C1577" s="66"/>
      <c r="D1577" s="11" t="s">
        <v>1781</v>
      </c>
      <c r="E1577" s="11">
        <v>18478.900000000001</v>
      </c>
      <c r="F1577" s="3">
        <v>38498</v>
      </c>
      <c r="G1577" s="207" t="s">
        <v>1061</v>
      </c>
      <c r="H1577" s="3">
        <v>43053</v>
      </c>
      <c r="I1577" s="2" t="s">
        <v>19506</v>
      </c>
      <c r="J1577" s="2" t="s">
        <v>13904</v>
      </c>
      <c r="K1577" s="2" t="s">
        <v>19841</v>
      </c>
      <c r="L1577" s="82" t="s">
        <v>19512</v>
      </c>
    </row>
    <row r="1578" spans="1:12" ht="84" customHeight="1" x14ac:dyDescent="0.3">
      <c r="A1578" s="2">
        <v>1574</v>
      </c>
      <c r="B1578" s="66" t="s">
        <v>1690</v>
      </c>
      <c r="C1578" s="66"/>
      <c r="D1578" s="11" t="s">
        <v>1781</v>
      </c>
      <c r="E1578" s="11">
        <v>18478.900000000001</v>
      </c>
      <c r="F1578" s="3">
        <v>38498</v>
      </c>
      <c r="G1578" s="207" t="s">
        <v>1061</v>
      </c>
      <c r="H1578" s="3">
        <v>43053</v>
      </c>
      <c r="I1578" s="2" t="s">
        <v>19506</v>
      </c>
      <c r="J1578" s="2" t="s">
        <v>13904</v>
      </c>
      <c r="K1578" s="2" t="s">
        <v>19841</v>
      </c>
      <c r="L1578" s="82" t="s">
        <v>19512</v>
      </c>
    </row>
    <row r="1579" spans="1:12" ht="84" customHeight="1" x14ac:dyDescent="0.3">
      <c r="A1579" s="2">
        <v>1575</v>
      </c>
      <c r="B1579" s="66" t="s">
        <v>1691</v>
      </c>
      <c r="C1579" s="66"/>
      <c r="D1579" s="11" t="s">
        <v>1782</v>
      </c>
      <c r="E1579" s="11">
        <v>19486.84</v>
      </c>
      <c r="F1579" s="3">
        <v>38498</v>
      </c>
      <c r="G1579" s="207" t="s">
        <v>1061</v>
      </c>
      <c r="H1579" s="3">
        <v>43053</v>
      </c>
      <c r="I1579" s="2" t="s">
        <v>19506</v>
      </c>
      <c r="J1579" s="2" t="s">
        <v>13904</v>
      </c>
      <c r="K1579" s="2" t="s">
        <v>19841</v>
      </c>
      <c r="L1579" s="82" t="s">
        <v>19512</v>
      </c>
    </row>
    <row r="1580" spans="1:12" ht="84" customHeight="1" x14ac:dyDescent="0.3">
      <c r="A1580" s="2">
        <v>1576</v>
      </c>
      <c r="B1580" s="66" t="s">
        <v>1692</v>
      </c>
      <c r="C1580" s="66"/>
      <c r="D1580" s="11" t="s">
        <v>1783</v>
      </c>
      <c r="E1580" s="11">
        <v>20947.39</v>
      </c>
      <c r="F1580" s="3">
        <v>38499</v>
      </c>
      <c r="G1580" s="207" t="s">
        <v>1061</v>
      </c>
      <c r="H1580" s="3">
        <v>43053</v>
      </c>
      <c r="I1580" s="2" t="s">
        <v>19506</v>
      </c>
      <c r="J1580" s="2" t="s">
        <v>13904</v>
      </c>
      <c r="K1580" s="2" t="s">
        <v>19841</v>
      </c>
      <c r="L1580" s="82" t="s">
        <v>19512</v>
      </c>
    </row>
    <row r="1581" spans="1:12" ht="84" customHeight="1" x14ac:dyDescent="0.3">
      <c r="A1581" s="2">
        <v>1577</v>
      </c>
      <c r="B1581" s="66" t="s">
        <v>1693</v>
      </c>
      <c r="C1581" s="66"/>
      <c r="D1581" s="11" t="s">
        <v>1784</v>
      </c>
      <c r="E1581" s="11">
        <v>7125</v>
      </c>
      <c r="F1581" s="3">
        <v>38237</v>
      </c>
      <c r="G1581" s="207" t="s">
        <v>1061</v>
      </c>
      <c r="H1581" s="3">
        <v>43053</v>
      </c>
      <c r="I1581" s="2" t="s">
        <v>19506</v>
      </c>
      <c r="J1581" s="2" t="s">
        <v>13904</v>
      </c>
      <c r="K1581" s="2" t="s">
        <v>19841</v>
      </c>
      <c r="L1581" s="82" t="s">
        <v>19512</v>
      </c>
    </row>
    <row r="1582" spans="1:12" ht="84" customHeight="1" x14ac:dyDescent="0.3">
      <c r="A1582" s="2">
        <v>1578</v>
      </c>
      <c r="B1582" s="66" t="s">
        <v>1693</v>
      </c>
      <c r="C1582" s="66"/>
      <c r="D1582" s="11" t="s">
        <v>1784</v>
      </c>
      <c r="E1582" s="11">
        <v>7125</v>
      </c>
      <c r="F1582" s="3">
        <v>38237</v>
      </c>
      <c r="G1582" s="207" t="s">
        <v>1061</v>
      </c>
      <c r="H1582" s="3">
        <v>43053</v>
      </c>
      <c r="I1582" s="2" t="s">
        <v>19506</v>
      </c>
      <c r="J1582" s="2" t="s">
        <v>13904</v>
      </c>
      <c r="K1582" s="2" t="s">
        <v>19841</v>
      </c>
      <c r="L1582" s="82" t="s">
        <v>19512</v>
      </c>
    </row>
    <row r="1583" spans="1:12" ht="84" customHeight="1" x14ac:dyDescent="0.3">
      <c r="A1583" s="2">
        <v>1579</v>
      </c>
      <c r="B1583" s="66" t="s">
        <v>1693</v>
      </c>
      <c r="C1583" s="66"/>
      <c r="D1583" s="11" t="s">
        <v>1784</v>
      </c>
      <c r="E1583" s="11">
        <v>7125</v>
      </c>
      <c r="F1583" s="3">
        <v>38237</v>
      </c>
      <c r="G1583" s="207" t="s">
        <v>1061</v>
      </c>
      <c r="H1583" s="3">
        <v>43053</v>
      </c>
      <c r="I1583" s="2" t="s">
        <v>19506</v>
      </c>
      <c r="J1583" s="2" t="s">
        <v>13904</v>
      </c>
      <c r="K1583" s="2" t="s">
        <v>19841</v>
      </c>
      <c r="L1583" s="82" t="s">
        <v>19512</v>
      </c>
    </row>
    <row r="1584" spans="1:12" ht="84" customHeight="1" x14ac:dyDescent="0.3">
      <c r="A1584" s="2">
        <v>1580</v>
      </c>
      <c r="B1584" s="66" t="s">
        <v>1694</v>
      </c>
      <c r="C1584" s="66"/>
      <c r="D1584" s="11" t="s">
        <v>1783</v>
      </c>
      <c r="E1584" s="11">
        <v>20947.39</v>
      </c>
      <c r="F1584" s="3">
        <v>38498</v>
      </c>
      <c r="G1584" s="207" t="s">
        <v>1061</v>
      </c>
      <c r="H1584" s="3">
        <v>43053</v>
      </c>
      <c r="I1584" s="2" t="s">
        <v>19506</v>
      </c>
      <c r="J1584" s="2" t="s">
        <v>13904</v>
      </c>
      <c r="K1584" s="2" t="s">
        <v>19841</v>
      </c>
      <c r="L1584" s="82" t="s">
        <v>19512</v>
      </c>
    </row>
    <row r="1585" spans="1:12" ht="84" customHeight="1" x14ac:dyDescent="0.3">
      <c r="A1585" s="2">
        <v>1581</v>
      </c>
      <c r="B1585" s="66" t="s">
        <v>1695</v>
      </c>
      <c r="C1585" s="66"/>
      <c r="D1585" s="11" t="s">
        <v>1785</v>
      </c>
      <c r="E1585" s="11">
        <v>443816.74</v>
      </c>
      <c r="F1585" s="3">
        <v>38503</v>
      </c>
      <c r="G1585" s="207" t="s">
        <v>1061</v>
      </c>
      <c r="H1585" s="3">
        <v>43053</v>
      </c>
      <c r="I1585" s="2" t="s">
        <v>19506</v>
      </c>
      <c r="J1585" s="2" t="s">
        <v>13904</v>
      </c>
      <c r="K1585" s="2" t="s">
        <v>19841</v>
      </c>
      <c r="L1585" s="82" t="s">
        <v>19512</v>
      </c>
    </row>
    <row r="1586" spans="1:12" ht="84" customHeight="1" x14ac:dyDescent="0.3">
      <c r="A1586" s="2">
        <v>1582</v>
      </c>
      <c r="B1586" s="66" t="s">
        <v>1696</v>
      </c>
      <c r="C1586" s="66"/>
      <c r="D1586" s="11" t="s">
        <v>1786</v>
      </c>
      <c r="E1586" s="11">
        <v>27556.62</v>
      </c>
      <c r="F1586" s="3">
        <v>38864</v>
      </c>
      <c r="G1586" s="207" t="s">
        <v>1061</v>
      </c>
      <c r="H1586" s="3">
        <v>43053</v>
      </c>
      <c r="I1586" s="2" t="s">
        <v>19506</v>
      </c>
      <c r="J1586" s="2" t="s">
        <v>13904</v>
      </c>
      <c r="K1586" s="2" t="s">
        <v>19841</v>
      </c>
      <c r="L1586" s="82" t="s">
        <v>19512</v>
      </c>
    </row>
    <row r="1587" spans="1:12" ht="84" customHeight="1" x14ac:dyDescent="0.3">
      <c r="A1587" s="2">
        <v>1583</v>
      </c>
      <c r="B1587" s="66" t="s">
        <v>1697</v>
      </c>
      <c r="C1587" s="66"/>
      <c r="D1587" s="11" t="s">
        <v>1787</v>
      </c>
      <c r="E1587" s="11">
        <v>21749.57</v>
      </c>
      <c r="F1587" s="3">
        <v>38933</v>
      </c>
      <c r="G1587" s="207" t="s">
        <v>1061</v>
      </c>
      <c r="H1587" s="3">
        <v>43053</v>
      </c>
      <c r="I1587" s="2" t="s">
        <v>19506</v>
      </c>
      <c r="J1587" s="2" t="s">
        <v>13904</v>
      </c>
      <c r="K1587" s="2" t="s">
        <v>19841</v>
      </c>
      <c r="L1587" s="82" t="s">
        <v>19512</v>
      </c>
    </row>
    <row r="1588" spans="1:12" ht="84" customHeight="1" x14ac:dyDescent="0.3">
      <c r="A1588" s="2">
        <v>1584</v>
      </c>
      <c r="B1588" s="66" t="s">
        <v>1698</v>
      </c>
      <c r="C1588" s="66"/>
      <c r="D1588" s="11" t="s">
        <v>1788</v>
      </c>
      <c r="E1588" s="11">
        <v>5244.07</v>
      </c>
      <c r="F1588" s="3">
        <v>38645</v>
      </c>
      <c r="G1588" s="207" t="s">
        <v>1061</v>
      </c>
      <c r="H1588" s="3">
        <v>43053</v>
      </c>
      <c r="I1588" s="2" t="s">
        <v>19506</v>
      </c>
      <c r="J1588" s="2" t="s">
        <v>13904</v>
      </c>
      <c r="K1588" s="2" t="s">
        <v>19841</v>
      </c>
      <c r="L1588" s="82" t="s">
        <v>19512</v>
      </c>
    </row>
    <row r="1589" spans="1:12" ht="108" customHeight="1" x14ac:dyDescent="0.3">
      <c r="A1589" s="2">
        <v>1585</v>
      </c>
      <c r="B1589" s="66" t="s">
        <v>1789</v>
      </c>
      <c r="C1589" s="66" t="s">
        <v>18998</v>
      </c>
      <c r="D1589" s="11" t="s">
        <v>1799</v>
      </c>
      <c r="E1589" s="11">
        <v>79994.33</v>
      </c>
      <c r="F1589" s="3">
        <v>39426</v>
      </c>
      <c r="G1589" s="207" t="s">
        <v>1061</v>
      </c>
      <c r="H1589" s="2"/>
      <c r="I1589" s="2"/>
      <c r="J1589" s="2" t="s">
        <v>13904</v>
      </c>
      <c r="K1589" s="2" t="s">
        <v>19840</v>
      </c>
      <c r="L1589" s="82" t="s">
        <v>18920</v>
      </c>
    </row>
    <row r="1590" spans="1:12" ht="84" customHeight="1" x14ac:dyDescent="0.3">
      <c r="A1590" s="2">
        <v>1586</v>
      </c>
      <c r="B1590" s="66" t="s">
        <v>1790</v>
      </c>
      <c r="C1590" s="66"/>
      <c r="D1590" s="11" t="s">
        <v>1800</v>
      </c>
      <c r="E1590" s="11">
        <v>37931.449999999997</v>
      </c>
      <c r="F1590" s="3">
        <v>38968</v>
      </c>
      <c r="G1590" s="207" t="s">
        <v>1061</v>
      </c>
      <c r="H1590" s="3">
        <v>43053</v>
      </c>
      <c r="I1590" s="2" t="s">
        <v>19506</v>
      </c>
      <c r="J1590" s="2" t="s">
        <v>13904</v>
      </c>
      <c r="K1590" s="2" t="s">
        <v>19841</v>
      </c>
      <c r="L1590" s="82" t="s">
        <v>19512</v>
      </c>
    </row>
    <row r="1591" spans="1:12" ht="84" customHeight="1" x14ac:dyDescent="0.3">
      <c r="A1591" s="2">
        <v>1587</v>
      </c>
      <c r="B1591" s="66" t="s">
        <v>1791</v>
      </c>
      <c r="C1591" s="66"/>
      <c r="D1591" s="11" t="s">
        <v>1800</v>
      </c>
      <c r="E1591" s="11">
        <v>37931.449999999997</v>
      </c>
      <c r="F1591" s="3">
        <v>38968</v>
      </c>
      <c r="G1591" s="207" t="s">
        <v>1061</v>
      </c>
      <c r="H1591" s="3">
        <v>43053</v>
      </c>
      <c r="I1591" s="2" t="s">
        <v>19506</v>
      </c>
      <c r="J1591" s="2" t="s">
        <v>13904</v>
      </c>
      <c r="K1591" s="2" t="s">
        <v>19841</v>
      </c>
      <c r="L1591" s="82" t="s">
        <v>19512</v>
      </c>
    </row>
    <row r="1592" spans="1:12" ht="108" customHeight="1" x14ac:dyDescent="0.3">
      <c r="A1592" s="2">
        <v>1588</v>
      </c>
      <c r="B1592" s="66" t="s">
        <v>1792</v>
      </c>
      <c r="C1592" s="66" t="s">
        <v>18999</v>
      </c>
      <c r="D1592" s="11" t="s">
        <v>1801</v>
      </c>
      <c r="E1592" s="11">
        <v>60680.4</v>
      </c>
      <c r="F1592" s="3">
        <v>38968</v>
      </c>
      <c r="G1592" s="207" t="s">
        <v>1061</v>
      </c>
      <c r="H1592" s="2"/>
      <c r="I1592" s="2"/>
      <c r="J1592" s="2" t="s">
        <v>13904</v>
      </c>
      <c r="K1592" s="2" t="s">
        <v>19840</v>
      </c>
      <c r="L1592" s="82" t="s">
        <v>18920</v>
      </c>
    </row>
    <row r="1593" spans="1:12" ht="108" customHeight="1" x14ac:dyDescent="0.3">
      <c r="A1593" s="2">
        <v>1589</v>
      </c>
      <c r="B1593" s="66" t="s">
        <v>1793</v>
      </c>
      <c r="C1593" s="66" t="s">
        <v>19000</v>
      </c>
      <c r="D1593" s="11" t="s">
        <v>1802</v>
      </c>
      <c r="E1593" s="11">
        <v>58386.64</v>
      </c>
      <c r="F1593" s="3">
        <v>38968</v>
      </c>
      <c r="G1593" s="207" t="s">
        <v>1061</v>
      </c>
      <c r="H1593" s="2"/>
      <c r="I1593" s="2"/>
      <c r="J1593" s="2" t="s">
        <v>13904</v>
      </c>
      <c r="K1593" s="2" t="s">
        <v>19840</v>
      </c>
      <c r="L1593" s="82" t="s">
        <v>18920</v>
      </c>
    </row>
    <row r="1594" spans="1:12" ht="84" customHeight="1" x14ac:dyDescent="0.3">
      <c r="A1594" s="2">
        <v>1590</v>
      </c>
      <c r="B1594" s="66" t="s">
        <v>1794</v>
      </c>
      <c r="C1594" s="66"/>
      <c r="D1594" s="11" t="s">
        <v>1803</v>
      </c>
      <c r="E1594" s="11">
        <v>42000</v>
      </c>
      <c r="F1594" s="3">
        <v>39559</v>
      </c>
      <c r="G1594" s="207" t="s">
        <v>1061</v>
      </c>
      <c r="H1594" s="3">
        <v>43053</v>
      </c>
      <c r="I1594" s="2" t="s">
        <v>19506</v>
      </c>
      <c r="J1594" s="2" t="s">
        <v>13904</v>
      </c>
      <c r="K1594" s="2" t="s">
        <v>19841</v>
      </c>
      <c r="L1594" s="82" t="s">
        <v>19512</v>
      </c>
    </row>
    <row r="1595" spans="1:12" ht="108" customHeight="1" x14ac:dyDescent="0.3">
      <c r="A1595" s="2">
        <v>1591</v>
      </c>
      <c r="B1595" s="66" t="s">
        <v>1795</v>
      </c>
      <c r="C1595" s="66"/>
      <c r="D1595" s="11" t="s">
        <v>1583</v>
      </c>
      <c r="E1595" s="11">
        <v>6500</v>
      </c>
      <c r="F1595" s="3">
        <v>39559</v>
      </c>
      <c r="G1595" s="207" t="s">
        <v>1061</v>
      </c>
      <c r="H1595" s="3">
        <v>43252</v>
      </c>
      <c r="I1595" s="2" t="s">
        <v>20478</v>
      </c>
      <c r="J1595" s="2" t="s">
        <v>13904</v>
      </c>
      <c r="K1595" s="2" t="s">
        <v>19840</v>
      </c>
      <c r="L1595" s="82" t="s">
        <v>19512</v>
      </c>
    </row>
    <row r="1596" spans="1:12" ht="108" customHeight="1" x14ac:dyDescent="0.3">
      <c r="A1596" s="2">
        <v>1592</v>
      </c>
      <c r="B1596" s="66" t="s">
        <v>1796</v>
      </c>
      <c r="C1596" s="66" t="s">
        <v>19001</v>
      </c>
      <c r="D1596" s="11" t="s">
        <v>1804</v>
      </c>
      <c r="E1596" s="11">
        <v>56234.81</v>
      </c>
      <c r="F1596" s="3">
        <v>39554</v>
      </c>
      <c r="G1596" s="207" t="s">
        <v>1061</v>
      </c>
      <c r="H1596" s="2" t="s">
        <v>23505</v>
      </c>
      <c r="I1596" s="2" t="s">
        <v>23506</v>
      </c>
      <c r="J1596" s="2" t="s">
        <v>13904</v>
      </c>
      <c r="K1596" s="2" t="s">
        <v>19840</v>
      </c>
      <c r="L1596" s="82" t="s">
        <v>18920</v>
      </c>
    </row>
    <row r="1597" spans="1:12" ht="84" customHeight="1" x14ac:dyDescent="0.3">
      <c r="A1597" s="2">
        <v>1593</v>
      </c>
      <c r="B1597" s="66" t="s">
        <v>1797</v>
      </c>
      <c r="C1597" s="66"/>
      <c r="D1597" s="11" t="s">
        <v>1805</v>
      </c>
      <c r="E1597" s="11">
        <v>5000</v>
      </c>
      <c r="F1597" s="3">
        <v>39554</v>
      </c>
      <c r="G1597" s="207" t="s">
        <v>1061</v>
      </c>
      <c r="H1597" s="3">
        <v>43053</v>
      </c>
      <c r="I1597" s="2" t="s">
        <v>19506</v>
      </c>
      <c r="J1597" s="2" t="s">
        <v>13904</v>
      </c>
      <c r="K1597" s="2" t="s">
        <v>19841</v>
      </c>
      <c r="L1597" s="82" t="s">
        <v>19512</v>
      </c>
    </row>
    <row r="1598" spans="1:12" ht="84" customHeight="1" x14ac:dyDescent="0.3">
      <c r="A1598" s="2">
        <v>1594</v>
      </c>
      <c r="B1598" s="66" t="s">
        <v>1798</v>
      </c>
      <c r="C1598" s="66"/>
      <c r="D1598" s="11" t="s">
        <v>1806</v>
      </c>
      <c r="E1598" s="11">
        <v>6000</v>
      </c>
      <c r="F1598" s="3">
        <v>39554</v>
      </c>
      <c r="G1598" s="207" t="s">
        <v>1061</v>
      </c>
      <c r="H1598" s="3">
        <v>43053</v>
      </c>
      <c r="I1598" s="2" t="s">
        <v>19506</v>
      </c>
      <c r="J1598" s="2" t="s">
        <v>13904</v>
      </c>
      <c r="K1598" s="2" t="s">
        <v>19841</v>
      </c>
      <c r="L1598" s="82" t="s">
        <v>19512</v>
      </c>
    </row>
    <row r="1599" spans="1:12" ht="84" customHeight="1" x14ac:dyDescent="0.3">
      <c r="A1599" s="2">
        <v>1595</v>
      </c>
      <c r="B1599" s="66" t="s">
        <v>1798</v>
      </c>
      <c r="C1599" s="66"/>
      <c r="D1599" s="11" t="s">
        <v>997</v>
      </c>
      <c r="E1599" s="11">
        <v>10200</v>
      </c>
      <c r="F1599" s="3">
        <v>39554</v>
      </c>
      <c r="G1599" s="207" t="s">
        <v>1061</v>
      </c>
      <c r="H1599" s="3">
        <v>43053</v>
      </c>
      <c r="I1599" s="2" t="s">
        <v>19506</v>
      </c>
      <c r="J1599" s="2" t="s">
        <v>13904</v>
      </c>
      <c r="K1599" s="2" t="s">
        <v>19841</v>
      </c>
      <c r="L1599" s="82" t="s">
        <v>19512</v>
      </c>
    </row>
    <row r="1600" spans="1:12" ht="84" customHeight="1" x14ac:dyDescent="0.3">
      <c r="A1600" s="2">
        <v>1596</v>
      </c>
      <c r="B1600" s="66" t="s">
        <v>1795</v>
      </c>
      <c r="C1600" s="66"/>
      <c r="D1600" s="11" t="s">
        <v>1583</v>
      </c>
      <c r="E1600" s="11">
        <v>6500</v>
      </c>
      <c r="F1600" s="3">
        <v>39559</v>
      </c>
      <c r="G1600" s="207" t="s">
        <v>1061</v>
      </c>
      <c r="H1600" s="3">
        <v>43053</v>
      </c>
      <c r="I1600" s="2" t="s">
        <v>19506</v>
      </c>
      <c r="J1600" s="2" t="s">
        <v>13904</v>
      </c>
      <c r="K1600" s="2" t="s">
        <v>19841</v>
      </c>
      <c r="L1600" s="82" t="s">
        <v>19512</v>
      </c>
    </row>
    <row r="1601" spans="1:12" ht="84" customHeight="1" x14ac:dyDescent="0.3">
      <c r="A1601" s="2">
        <v>1597</v>
      </c>
      <c r="B1601" s="66" t="s">
        <v>1795</v>
      </c>
      <c r="C1601" s="66"/>
      <c r="D1601" s="11" t="s">
        <v>1583</v>
      </c>
      <c r="E1601" s="11">
        <v>6500</v>
      </c>
      <c r="F1601" s="3">
        <v>39559</v>
      </c>
      <c r="G1601" s="207" t="s">
        <v>1061</v>
      </c>
      <c r="H1601" s="3">
        <v>43053</v>
      </c>
      <c r="I1601" s="2" t="s">
        <v>19506</v>
      </c>
      <c r="J1601" s="2" t="s">
        <v>13904</v>
      </c>
      <c r="K1601" s="2" t="s">
        <v>19841</v>
      </c>
      <c r="L1601" s="82" t="s">
        <v>19512</v>
      </c>
    </row>
    <row r="1602" spans="1:12" ht="84" customHeight="1" x14ac:dyDescent="0.3">
      <c r="A1602" s="2">
        <v>1598</v>
      </c>
      <c r="B1602" s="66" t="s">
        <v>1795</v>
      </c>
      <c r="C1602" s="66"/>
      <c r="D1602" s="11" t="s">
        <v>1583</v>
      </c>
      <c r="E1602" s="11">
        <v>6500</v>
      </c>
      <c r="F1602" s="3">
        <v>39559</v>
      </c>
      <c r="G1602" s="207" t="s">
        <v>1061</v>
      </c>
      <c r="H1602" s="3">
        <v>43053</v>
      </c>
      <c r="I1602" s="2" t="s">
        <v>19506</v>
      </c>
      <c r="J1602" s="2" t="s">
        <v>13904</v>
      </c>
      <c r="K1602" s="2" t="s">
        <v>19841</v>
      </c>
      <c r="L1602" s="82" t="s">
        <v>19512</v>
      </c>
    </row>
    <row r="1603" spans="1:12" ht="84" customHeight="1" x14ac:dyDescent="0.3">
      <c r="A1603" s="2">
        <v>1599</v>
      </c>
      <c r="B1603" s="66" t="s">
        <v>1798</v>
      </c>
      <c r="C1603" s="66"/>
      <c r="D1603" s="11" t="s">
        <v>1806</v>
      </c>
      <c r="E1603" s="11">
        <v>6000</v>
      </c>
      <c r="F1603" s="3">
        <v>39554</v>
      </c>
      <c r="G1603" s="207" t="s">
        <v>1061</v>
      </c>
      <c r="H1603" s="3">
        <v>43053</v>
      </c>
      <c r="I1603" s="2" t="s">
        <v>19506</v>
      </c>
      <c r="J1603" s="2" t="s">
        <v>13904</v>
      </c>
      <c r="K1603" s="2" t="s">
        <v>19841</v>
      </c>
      <c r="L1603" s="82" t="s">
        <v>19512</v>
      </c>
    </row>
    <row r="1604" spans="1:12" ht="84" customHeight="1" x14ac:dyDescent="0.3">
      <c r="A1604" s="2">
        <v>1600</v>
      </c>
      <c r="B1604" s="66" t="s">
        <v>1797</v>
      </c>
      <c r="C1604" s="66"/>
      <c r="D1604" s="11" t="s">
        <v>1805</v>
      </c>
      <c r="E1604" s="11">
        <v>5000</v>
      </c>
      <c r="F1604" s="3">
        <v>39554</v>
      </c>
      <c r="G1604" s="207" t="s">
        <v>1061</v>
      </c>
      <c r="H1604" s="3">
        <v>43053</v>
      </c>
      <c r="I1604" s="2" t="s">
        <v>19506</v>
      </c>
      <c r="J1604" s="2" t="s">
        <v>13904</v>
      </c>
      <c r="K1604" s="2" t="s">
        <v>19841</v>
      </c>
      <c r="L1604" s="82" t="s">
        <v>19512</v>
      </c>
    </row>
    <row r="1605" spans="1:12" ht="84" customHeight="1" x14ac:dyDescent="0.3">
      <c r="A1605" s="2">
        <v>1601</v>
      </c>
      <c r="B1605" s="66" t="s">
        <v>1797</v>
      </c>
      <c r="C1605" s="66"/>
      <c r="D1605" s="11" t="s">
        <v>1805</v>
      </c>
      <c r="E1605" s="11">
        <v>5000</v>
      </c>
      <c r="F1605" s="3">
        <v>39554</v>
      </c>
      <c r="G1605" s="207" t="s">
        <v>1061</v>
      </c>
      <c r="H1605" s="3">
        <v>43053</v>
      </c>
      <c r="I1605" s="2" t="s">
        <v>19506</v>
      </c>
      <c r="J1605" s="2" t="s">
        <v>13904</v>
      </c>
      <c r="K1605" s="2" t="s">
        <v>19841</v>
      </c>
      <c r="L1605" s="82" t="s">
        <v>19512</v>
      </c>
    </row>
    <row r="1606" spans="1:12" ht="84" customHeight="1" x14ac:dyDescent="0.3">
      <c r="A1606" s="2">
        <v>1602</v>
      </c>
      <c r="B1606" s="66" t="s">
        <v>1797</v>
      </c>
      <c r="C1606" s="66"/>
      <c r="D1606" s="11" t="s">
        <v>1805</v>
      </c>
      <c r="E1606" s="11">
        <v>5000</v>
      </c>
      <c r="F1606" s="3">
        <v>39554</v>
      </c>
      <c r="G1606" s="207" t="s">
        <v>1061</v>
      </c>
      <c r="H1606" s="3">
        <v>43053</v>
      </c>
      <c r="I1606" s="2" t="s">
        <v>19506</v>
      </c>
      <c r="J1606" s="2" t="s">
        <v>13904</v>
      </c>
      <c r="K1606" s="2" t="s">
        <v>19841</v>
      </c>
      <c r="L1606" s="82" t="s">
        <v>19512</v>
      </c>
    </row>
    <row r="1607" spans="1:12" ht="84" customHeight="1" x14ac:dyDescent="0.3">
      <c r="A1607" s="2">
        <v>1603</v>
      </c>
      <c r="B1607" s="66" t="s">
        <v>1807</v>
      </c>
      <c r="C1607" s="66"/>
      <c r="D1607" s="11" t="s">
        <v>1857</v>
      </c>
      <c r="E1607" s="11">
        <v>9811</v>
      </c>
      <c r="F1607" s="3">
        <v>41914</v>
      </c>
      <c r="G1607" s="207" t="s">
        <v>1061</v>
      </c>
      <c r="H1607" s="3">
        <v>43053</v>
      </c>
      <c r="I1607" s="2" t="s">
        <v>19506</v>
      </c>
      <c r="J1607" s="2" t="s">
        <v>13904</v>
      </c>
      <c r="K1607" s="2" t="s">
        <v>19841</v>
      </c>
      <c r="L1607" s="82" t="s">
        <v>19512</v>
      </c>
    </row>
    <row r="1608" spans="1:12" ht="84" customHeight="1" x14ac:dyDescent="0.3">
      <c r="A1608" s="2">
        <v>1604</v>
      </c>
      <c r="B1608" s="66" t="s">
        <v>1808</v>
      </c>
      <c r="C1608" s="66"/>
      <c r="D1608" s="11" t="s">
        <v>1858</v>
      </c>
      <c r="E1608" s="11">
        <v>35618.879999999997</v>
      </c>
      <c r="F1608" s="3">
        <v>40659</v>
      </c>
      <c r="G1608" s="207" t="s">
        <v>1061</v>
      </c>
      <c r="H1608" s="3">
        <v>43252</v>
      </c>
      <c r="I1608" s="2" t="s">
        <v>20478</v>
      </c>
      <c r="J1608" s="2" t="s">
        <v>13904</v>
      </c>
      <c r="K1608" s="2" t="s">
        <v>19841</v>
      </c>
      <c r="L1608" s="82" t="s">
        <v>19512</v>
      </c>
    </row>
    <row r="1609" spans="1:12" ht="84" customHeight="1" x14ac:dyDescent="0.3">
      <c r="A1609" s="2">
        <v>1605</v>
      </c>
      <c r="B1609" s="66" t="s">
        <v>1809</v>
      </c>
      <c r="C1609" s="66"/>
      <c r="D1609" s="11" t="s">
        <v>1566</v>
      </c>
      <c r="E1609" s="11">
        <v>1365</v>
      </c>
      <c r="F1609" s="3">
        <v>40044</v>
      </c>
      <c r="G1609" s="207" t="s">
        <v>1061</v>
      </c>
      <c r="H1609" s="3">
        <v>43053</v>
      </c>
      <c r="I1609" s="2" t="s">
        <v>19506</v>
      </c>
      <c r="J1609" s="2" t="s">
        <v>13904</v>
      </c>
      <c r="K1609" s="2" t="s">
        <v>19841</v>
      </c>
      <c r="L1609" s="82" t="s">
        <v>19512</v>
      </c>
    </row>
    <row r="1610" spans="1:12" ht="84" customHeight="1" x14ac:dyDescent="0.3">
      <c r="A1610" s="2">
        <v>1606</v>
      </c>
      <c r="B1610" s="66" t="s">
        <v>1810</v>
      </c>
      <c r="C1610" s="66"/>
      <c r="D1610" s="11" t="s">
        <v>1859</v>
      </c>
      <c r="E1610" s="11">
        <v>31299.52</v>
      </c>
      <c r="F1610" s="3">
        <v>39412</v>
      </c>
      <c r="G1610" s="207" t="s">
        <v>1061</v>
      </c>
      <c r="H1610" s="3">
        <v>43053</v>
      </c>
      <c r="I1610" s="2" t="s">
        <v>19506</v>
      </c>
      <c r="J1610" s="2" t="s">
        <v>13904</v>
      </c>
      <c r="K1610" s="2" t="s">
        <v>19841</v>
      </c>
      <c r="L1610" s="82" t="s">
        <v>19512</v>
      </c>
    </row>
    <row r="1611" spans="1:12" ht="84" customHeight="1" x14ac:dyDescent="0.3">
      <c r="A1611" s="2">
        <v>1607</v>
      </c>
      <c r="B1611" s="66" t="s">
        <v>1811</v>
      </c>
      <c r="C1611" s="66"/>
      <c r="D1611" s="11" t="s">
        <v>1860</v>
      </c>
      <c r="E1611" s="11">
        <v>22321.46</v>
      </c>
      <c r="F1611" s="3">
        <v>39527</v>
      </c>
      <c r="G1611" s="207" t="s">
        <v>1061</v>
      </c>
      <c r="H1611" s="3">
        <v>43053</v>
      </c>
      <c r="I1611" s="2" t="s">
        <v>19506</v>
      </c>
      <c r="J1611" s="2" t="s">
        <v>13904</v>
      </c>
      <c r="K1611" s="2" t="s">
        <v>19841</v>
      </c>
      <c r="L1611" s="82" t="s">
        <v>19512</v>
      </c>
    </row>
    <row r="1612" spans="1:12" ht="84" customHeight="1" x14ac:dyDescent="0.3">
      <c r="A1612" s="2">
        <v>1608</v>
      </c>
      <c r="B1612" s="66" t="s">
        <v>1812</v>
      </c>
      <c r="C1612" s="66"/>
      <c r="D1612" s="11" t="s">
        <v>1861</v>
      </c>
      <c r="E1612" s="11">
        <v>31290.91</v>
      </c>
      <c r="F1612" s="3">
        <v>39301</v>
      </c>
      <c r="G1612" s="207" t="s">
        <v>1061</v>
      </c>
      <c r="H1612" s="3">
        <v>43053</v>
      </c>
      <c r="I1612" s="2" t="s">
        <v>19506</v>
      </c>
      <c r="J1612" s="2" t="s">
        <v>13904</v>
      </c>
      <c r="K1612" s="2" t="s">
        <v>19841</v>
      </c>
      <c r="L1612" s="82" t="s">
        <v>19512</v>
      </c>
    </row>
    <row r="1613" spans="1:12" ht="84" customHeight="1" x14ac:dyDescent="0.3">
      <c r="A1613" s="2">
        <v>1609</v>
      </c>
      <c r="B1613" s="66" t="s">
        <v>1813</v>
      </c>
      <c r="C1613" s="66"/>
      <c r="D1613" s="11" t="s">
        <v>1862</v>
      </c>
      <c r="E1613" s="11">
        <v>6494.91</v>
      </c>
      <c r="F1613" s="3">
        <v>39534</v>
      </c>
      <c r="G1613" s="207" t="s">
        <v>1061</v>
      </c>
      <c r="H1613" s="3">
        <v>43053</v>
      </c>
      <c r="I1613" s="2" t="s">
        <v>19506</v>
      </c>
      <c r="J1613" s="2" t="s">
        <v>13904</v>
      </c>
      <c r="K1613" s="2" t="s">
        <v>19841</v>
      </c>
      <c r="L1613" s="82" t="s">
        <v>19512</v>
      </c>
    </row>
    <row r="1614" spans="1:12" ht="84" customHeight="1" x14ac:dyDescent="0.3">
      <c r="A1614" s="2">
        <v>1610</v>
      </c>
      <c r="B1614" s="66" t="s">
        <v>1813</v>
      </c>
      <c r="C1614" s="66"/>
      <c r="D1614" s="11" t="s">
        <v>1862</v>
      </c>
      <c r="E1614" s="11">
        <v>6494.91</v>
      </c>
      <c r="F1614" s="3">
        <v>39534</v>
      </c>
      <c r="G1614" s="207" t="s">
        <v>1061</v>
      </c>
      <c r="H1614" s="3">
        <v>43053</v>
      </c>
      <c r="I1614" s="2" t="s">
        <v>19506</v>
      </c>
      <c r="J1614" s="2" t="s">
        <v>13904</v>
      </c>
      <c r="K1614" s="2" t="s">
        <v>19841</v>
      </c>
      <c r="L1614" s="82" t="s">
        <v>19512</v>
      </c>
    </row>
    <row r="1615" spans="1:12" ht="84" customHeight="1" x14ac:dyDescent="0.3">
      <c r="A1615" s="2">
        <v>1611</v>
      </c>
      <c r="B1615" s="66" t="s">
        <v>1813</v>
      </c>
      <c r="C1615" s="66"/>
      <c r="D1615" s="11" t="s">
        <v>1862</v>
      </c>
      <c r="E1615" s="11">
        <v>6494.91</v>
      </c>
      <c r="F1615" s="3">
        <v>39534</v>
      </c>
      <c r="G1615" s="207" t="s">
        <v>1061</v>
      </c>
      <c r="H1615" s="3">
        <v>43053</v>
      </c>
      <c r="I1615" s="2" t="s">
        <v>19506</v>
      </c>
      <c r="J1615" s="2" t="s">
        <v>13904</v>
      </c>
      <c r="K1615" s="2" t="s">
        <v>19841</v>
      </c>
      <c r="L1615" s="82" t="s">
        <v>19512</v>
      </c>
    </row>
    <row r="1616" spans="1:12" ht="84" customHeight="1" x14ac:dyDescent="0.3">
      <c r="A1616" s="2">
        <v>1612</v>
      </c>
      <c r="B1616" s="66" t="s">
        <v>1813</v>
      </c>
      <c r="C1616" s="66"/>
      <c r="D1616" s="11" t="s">
        <v>1862</v>
      </c>
      <c r="E1616" s="11">
        <v>6494.91</v>
      </c>
      <c r="F1616" s="3">
        <v>39534</v>
      </c>
      <c r="G1616" s="207" t="s">
        <v>1061</v>
      </c>
      <c r="H1616" s="3">
        <v>43053</v>
      </c>
      <c r="I1616" s="2" t="s">
        <v>19506</v>
      </c>
      <c r="J1616" s="2" t="s">
        <v>13904</v>
      </c>
      <c r="K1616" s="2" t="s">
        <v>19841</v>
      </c>
      <c r="L1616" s="82" t="s">
        <v>19512</v>
      </c>
    </row>
    <row r="1617" spans="1:12" ht="84" customHeight="1" x14ac:dyDescent="0.3">
      <c r="A1617" s="2">
        <v>1613</v>
      </c>
      <c r="B1617" s="66" t="s">
        <v>1813</v>
      </c>
      <c r="C1617" s="66"/>
      <c r="D1617" s="11" t="s">
        <v>1862</v>
      </c>
      <c r="E1617" s="11">
        <v>6494.91</v>
      </c>
      <c r="F1617" s="3">
        <v>39534</v>
      </c>
      <c r="G1617" s="207" t="s">
        <v>1061</v>
      </c>
      <c r="H1617" s="3">
        <v>43053</v>
      </c>
      <c r="I1617" s="2" t="s">
        <v>19506</v>
      </c>
      <c r="J1617" s="2" t="s">
        <v>13904</v>
      </c>
      <c r="K1617" s="2" t="s">
        <v>19841</v>
      </c>
      <c r="L1617" s="82" t="s">
        <v>19512</v>
      </c>
    </row>
    <row r="1618" spans="1:12" ht="84" customHeight="1" x14ac:dyDescent="0.3">
      <c r="A1618" s="2">
        <v>1614</v>
      </c>
      <c r="B1618" s="66" t="s">
        <v>1814</v>
      </c>
      <c r="C1618" s="66"/>
      <c r="D1618" s="11" t="s">
        <v>1863</v>
      </c>
      <c r="E1618" s="11">
        <v>4496.91</v>
      </c>
      <c r="F1618" s="3">
        <v>39534</v>
      </c>
      <c r="G1618" s="207" t="s">
        <v>1061</v>
      </c>
      <c r="H1618" s="3">
        <v>43053</v>
      </c>
      <c r="I1618" s="2" t="s">
        <v>19506</v>
      </c>
      <c r="J1618" s="2" t="s">
        <v>13904</v>
      </c>
      <c r="K1618" s="2" t="s">
        <v>19841</v>
      </c>
      <c r="L1618" s="82" t="s">
        <v>19512</v>
      </c>
    </row>
    <row r="1619" spans="1:12" ht="84" customHeight="1" x14ac:dyDescent="0.3">
      <c r="A1619" s="2">
        <v>1615</v>
      </c>
      <c r="B1619" s="66" t="s">
        <v>1814</v>
      </c>
      <c r="C1619" s="66"/>
      <c r="D1619" s="11" t="s">
        <v>1863</v>
      </c>
      <c r="E1619" s="11">
        <v>4496.91</v>
      </c>
      <c r="F1619" s="3">
        <v>39534</v>
      </c>
      <c r="G1619" s="207" t="s">
        <v>1061</v>
      </c>
      <c r="H1619" s="3">
        <v>43053</v>
      </c>
      <c r="I1619" s="2" t="s">
        <v>19506</v>
      </c>
      <c r="J1619" s="2" t="s">
        <v>13904</v>
      </c>
      <c r="K1619" s="2" t="s">
        <v>19841</v>
      </c>
      <c r="L1619" s="82" t="s">
        <v>19512</v>
      </c>
    </row>
    <row r="1620" spans="1:12" ht="84" customHeight="1" x14ac:dyDescent="0.3">
      <c r="A1620" s="2">
        <v>1616</v>
      </c>
      <c r="B1620" s="66" t="s">
        <v>1814</v>
      </c>
      <c r="C1620" s="66"/>
      <c r="D1620" s="11" t="s">
        <v>1863</v>
      </c>
      <c r="E1620" s="11">
        <v>4496.91</v>
      </c>
      <c r="F1620" s="3">
        <v>39534</v>
      </c>
      <c r="G1620" s="207" t="s">
        <v>1061</v>
      </c>
      <c r="H1620" s="3">
        <v>43053</v>
      </c>
      <c r="I1620" s="2" t="s">
        <v>19506</v>
      </c>
      <c r="J1620" s="2" t="s">
        <v>13904</v>
      </c>
      <c r="K1620" s="2" t="s">
        <v>19841</v>
      </c>
      <c r="L1620" s="82" t="s">
        <v>19512</v>
      </c>
    </row>
    <row r="1621" spans="1:12" ht="84" customHeight="1" x14ac:dyDescent="0.3">
      <c r="A1621" s="2">
        <v>1617</v>
      </c>
      <c r="B1621" s="66" t="s">
        <v>1814</v>
      </c>
      <c r="C1621" s="66"/>
      <c r="D1621" s="11" t="s">
        <v>1863</v>
      </c>
      <c r="E1621" s="11">
        <v>4496.91</v>
      </c>
      <c r="F1621" s="3">
        <v>39534</v>
      </c>
      <c r="G1621" s="207" t="s">
        <v>1061</v>
      </c>
      <c r="H1621" s="3">
        <v>43053</v>
      </c>
      <c r="I1621" s="2" t="s">
        <v>19506</v>
      </c>
      <c r="J1621" s="2" t="s">
        <v>13904</v>
      </c>
      <c r="K1621" s="2" t="s">
        <v>19841</v>
      </c>
      <c r="L1621" s="82" t="s">
        <v>19512</v>
      </c>
    </row>
    <row r="1622" spans="1:12" ht="84" customHeight="1" x14ac:dyDescent="0.3">
      <c r="A1622" s="2">
        <v>1618</v>
      </c>
      <c r="B1622" s="66" t="s">
        <v>1814</v>
      </c>
      <c r="C1622" s="66"/>
      <c r="D1622" s="11" t="s">
        <v>1863</v>
      </c>
      <c r="E1622" s="11">
        <v>4496.91</v>
      </c>
      <c r="F1622" s="3">
        <v>39534</v>
      </c>
      <c r="G1622" s="207" t="s">
        <v>1061</v>
      </c>
      <c r="H1622" s="3">
        <v>43053</v>
      </c>
      <c r="I1622" s="2" t="s">
        <v>19506</v>
      </c>
      <c r="J1622" s="2" t="s">
        <v>13904</v>
      </c>
      <c r="K1622" s="2" t="s">
        <v>19841</v>
      </c>
      <c r="L1622" s="82" t="s">
        <v>19512</v>
      </c>
    </row>
    <row r="1623" spans="1:12" ht="84" customHeight="1" x14ac:dyDescent="0.3">
      <c r="A1623" s="2">
        <v>1619</v>
      </c>
      <c r="B1623" s="66" t="s">
        <v>1815</v>
      </c>
      <c r="C1623" s="66"/>
      <c r="D1623" s="11" t="s">
        <v>1864</v>
      </c>
      <c r="E1623" s="11">
        <v>18680</v>
      </c>
      <c r="F1623" s="3">
        <v>40072</v>
      </c>
      <c r="G1623" s="207" t="s">
        <v>1061</v>
      </c>
      <c r="H1623" s="3">
        <v>43053</v>
      </c>
      <c r="I1623" s="2" t="s">
        <v>19506</v>
      </c>
      <c r="J1623" s="2" t="s">
        <v>13904</v>
      </c>
      <c r="K1623" s="2" t="s">
        <v>19841</v>
      </c>
      <c r="L1623" s="82" t="s">
        <v>19512</v>
      </c>
    </row>
    <row r="1624" spans="1:12" ht="84" customHeight="1" x14ac:dyDescent="0.3">
      <c r="A1624" s="2">
        <v>1620</v>
      </c>
      <c r="B1624" s="66" t="s">
        <v>1816</v>
      </c>
      <c r="C1624" s="66"/>
      <c r="D1624" s="11" t="s">
        <v>1278</v>
      </c>
      <c r="E1624" s="11">
        <v>4500</v>
      </c>
      <c r="F1624" s="3">
        <v>40450</v>
      </c>
      <c r="G1624" s="207" t="s">
        <v>1061</v>
      </c>
      <c r="H1624" s="3">
        <v>43053</v>
      </c>
      <c r="I1624" s="2" t="s">
        <v>19506</v>
      </c>
      <c r="J1624" s="2" t="s">
        <v>13904</v>
      </c>
      <c r="K1624" s="2" t="s">
        <v>19841</v>
      </c>
      <c r="L1624" s="82" t="s">
        <v>19512</v>
      </c>
    </row>
    <row r="1625" spans="1:12" ht="84" customHeight="1" x14ac:dyDescent="0.3">
      <c r="A1625" s="2">
        <v>1621</v>
      </c>
      <c r="B1625" s="66" t="s">
        <v>1817</v>
      </c>
      <c r="C1625" s="66"/>
      <c r="D1625" s="11" t="s">
        <v>1865</v>
      </c>
      <c r="E1625" s="11">
        <v>3536.04</v>
      </c>
      <c r="F1625" s="3">
        <v>39324</v>
      </c>
      <c r="G1625" s="207" t="s">
        <v>1061</v>
      </c>
      <c r="H1625" s="3">
        <v>43053</v>
      </c>
      <c r="I1625" s="2" t="s">
        <v>19506</v>
      </c>
      <c r="J1625" s="2" t="s">
        <v>13904</v>
      </c>
      <c r="K1625" s="2" t="s">
        <v>19841</v>
      </c>
      <c r="L1625" s="82" t="s">
        <v>19512</v>
      </c>
    </row>
    <row r="1626" spans="1:12" ht="84" customHeight="1" x14ac:dyDescent="0.3">
      <c r="A1626" s="2">
        <v>1622</v>
      </c>
      <c r="B1626" s="66" t="s">
        <v>1818</v>
      </c>
      <c r="C1626" s="66"/>
      <c r="D1626" s="11" t="s">
        <v>1866</v>
      </c>
      <c r="E1626" s="11">
        <v>5969.62</v>
      </c>
      <c r="F1626" s="3">
        <v>39363</v>
      </c>
      <c r="G1626" s="207" t="s">
        <v>1061</v>
      </c>
      <c r="H1626" s="3">
        <v>43053</v>
      </c>
      <c r="I1626" s="2" t="s">
        <v>19506</v>
      </c>
      <c r="J1626" s="2" t="s">
        <v>13904</v>
      </c>
      <c r="K1626" s="2" t="s">
        <v>19841</v>
      </c>
      <c r="L1626" s="82" t="s">
        <v>19512</v>
      </c>
    </row>
    <row r="1627" spans="1:12" ht="84" customHeight="1" x14ac:dyDescent="0.3">
      <c r="A1627" s="2">
        <v>1623</v>
      </c>
      <c r="B1627" s="66" t="s">
        <v>1819</v>
      </c>
      <c r="C1627" s="66"/>
      <c r="D1627" s="11" t="s">
        <v>1867</v>
      </c>
      <c r="E1627" s="11">
        <v>3635</v>
      </c>
      <c r="F1627" s="3">
        <v>39590</v>
      </c>
      <c r="G1627" s="207" t="s">
        <v>1061</v>
      </c>
      <c r="H1627" s="3">
        <v>43053</v>
      </c>
      <c r="I1627" s="2" t="s">
        <v>19506</v>
      </c>
      <c r="J1627" s="2" t="s">
        <v>13904</v>
      </c>
      <c r="K1627" s="2" t="s">
        <v>19841</v>
      </c>
      <c r="L1627" s="82" t="s">
        <v>19512</v>
      </c>
    </row>
    <row r="1628" spans="1:12" ht="84" customHeight="1" x14ac:dyDescent="0.3">
      <c r="A1628" s="2">
        <v>1624</v>
      </c>
      <c r="B1628" s="66" t="s">
        <v>1820</v>
      </c>
      <c r="C1628" s="66"/>
      <c r="D1628" s="11" t="s">
        <v>1868</v>
      </c>
      <c r="E1628" s="11">
        <v>8873.34</v>
      </c>
      <c r="F1628" s="3">
        <v>38315</v>
      </c>
      <c r="G1628" s="207" t="s">
        <v>1061</v>
      </c>
      <c r="H1628" s="3">
        <v>43053</v>
      </c>
      <c r="I1628" s="2" t="s">
        <v>19506</v>
      </c>
      <c r="J1628" s="2" t="s">
        <v>13904</v>
      </c>
      <c r="K1628" s="2" t="s">
        <v>19841</v>
      </c>
      <c r="L1628" s="82" t="s">
        <v>19512</v>
      </c>
    </row>
    <row r="1629" spans="1:12" ht="84" customHeight="1" x14ac:dyDescent="0.3">
      <c r="A1629" s="2">
        <v>1625</v>
      </c>
      <c r="B1629" s="66" t="s">
        <v>1095</v>
      </c>
      <c r="C1629" s="66"/>
      <c r="D1629" s="11" t="s">
        <v>1869</v>
      </c>
      <c r="E1629" s="11">
        <v>11600</v>
      </c>
      <c r="F1629" s="3">
        <v>39358</v>
      </c>
      <c r="G1629" s="207" t="s">
        <v>1061</v>
      </c>
      <c r="H1629" s="3">
        <v>43053</v>
      </c>
      <c r="I1629" s="2" t="s">
        <v>19506</v>
      </c>
      <c r="J1629" s="2" t="s">
        <v>13904</v>
      </c>
      <c r="K1629" s="2" t="s">
        <v>19841</v>
      </c>
      <c r="L1629" s="82" t="s">
        <v>19512</v>
      </c>
    </row>
    <row r="1630" spans="1:12" ht="84" customHeight="1" x14ac:dyDescent="0.3">
      <c r="A1630" s="2">
        <v>1626</v>
      </c>
      <c r="B1630" s="66" t="s">
        <v>1812</v>
      </c>
      <c r="C1630" s="66"/>
      <c r="D1630" s="11" t="s">
        <v>1870</v>
      </c>
      <c r="E1630" s="11">
        <v>18126</v>
      </c>
      <c r="F1630" s="3">
        <v>38307</v>
      </c>
      <c r="G1630" s="207" t="s">
        <v>1061</v>
      </c>
      <c r="H1630" s="3">
        <v>43053</v>
      </c>
      <c r="I1630" s="2" t="s">
        <v>19506</v>
      </c>
      <c r="J1630" s="2" t="s">
        <v>13904</v>
      </c>
      <c r="K1630" s="2" t="s">
        <v>19841</v>
      </c>
      <c r="L1630" s="82" t="s">
        <v>19512</v>
      </c>
    </row>
    <row r="1631" spans="1:12" ht="84" customHeight="1" x14ac:dyDescent="0.3">
      <c r="A1631" s="2">
        <v>1627</v>
      </c>
      <c r="B1631" s="66" t="s">
        <v>1821</v>
      </c>
      <c r="C1631" s="66"/>
      <c r="D1631" s="11" t="s">
        <v>1871</v>
      </c>
      <c r="E1631" s="11">
        <v>5112.72</v>
      </c>
      <c r="F1631" s="3">
        <v>39527</v>
      </c>
      <c r="G1631" s="207" t="s">
        <v>1061</v>
      </c>
      <c r="H1631" s="3">
        <v>43053</v>
      </c>
      <c r="I1631" s="2" t="s">
        <v>19506</v>
      </c>
      <c r="J1631" s="2" t="s">
        <v>13904</v>
      </c>
      <c r="K1631" s="2" t="s">
        <v>19841</v>
      </c>
      <c r="L1631" s="82" t="s">
        <v>19512</v>
      </c>
    </row>
    <row r="1632" spans="1:12" ht="84" customHeight="1" x14ac:dyDescent="0.3">
      <c r="A1632" s="2">
        <v>1628</v>
      </c>
      <c r="B1632" s="66" t="s">
        <v>1822</v>
      </c>
      <c r="C1632" s="66"/>
      <c r="D1632" s="11" t="s">
        <v>1872</v>
      </c>
      <c r="E1632" s="11">
        <v>3402.49</v>
      </c>
      <c r="F1632" s="3">
        <v>40802</v>
      </c>
      <c r="G1632" s="207" t="s">
        <v>1061</v>
      </c>
      <c r="H1632" s="3">
        <v>43053</v>
      </c>
      <c r="I1632" s="2" t="s">
        <v>19506</v>
      </c>
      <c r="J1632" s="2" t="s">
        <v>13904</v>
      </c>
      <c r="K1632" s="2" t="s">
        <v>19841</v>
      </c>
      <c r="L1632" s="82" t="s">
        <v>19512</v>
      </c>
    </row>
    <row r="1633" spans="1:12" ht="84" customHeight="1" x14ac:dyDescent="0.3">
      <c r="A1633" s="2">
        <v>1629</v>
      </c>
      <c r="B1633" s="66" t="s">
        <v>1822</v>
      </c>
      <c r="C1633" s="66"/>
      <c r="D1633" s="11" t="s">
        <v>1873</v>
      </c>
      <c r="E1633" s="11">
        <v>3402.5</v>
      </c>
      <c r="F1633" s="3">
        <v>40802</v>
      </c>
      <c r="G1633" s="207" t="s">
        <v>1061</v>
      </c>
      <c r="H1633" s="3">
        <v>43053</v>
      </c>
      <c r="I1633" s="2" t="s">
        <v>19506</v>
      </c>
      <c r="J1633" s="2" t="s">
        <v>13904</v>
      </c>
      <c r="K1633" s="2" t="s">
        <v>19841</v>
      </c>
      <c r="L1633" s="82" t="s">
        <v>19512</v>
      </c>
    </row>
    <row r="1634" spans="1:12" ht="84" customHeight="1" x14ac:dyDescent="0.3">
      <c r="A1634" s="2">
        <v>1630</v>
      </c>
      <c r="B1634" s="66" t="s">
        <v>1823</v>
      </c>
      <c r="C1634" s="66"/>
      <c r="D1634" s="11" t="s">
        <v>1874</v>
      </c>
      <c r="E1634" s="11">
        <v>7430</v>
      </c>
      <c r="F1634" s="3">
        <v>40878</v>
      </c>
      <c r="G1634" s="207" t="s">
        <v>1061</v>
      </c>
      <c r="H1634" s="3">
        <v>43053</v>
      </c>
      <c r="I1634" s="2" t="s">
        <v>19506</v>
      </c>
      <c r="J1634" s="2" t="s">
        <v>13904</v>
      </c>
      <c r="K1634" s="2" t="s">
        <v>19841</v>
      </c>
      <c r="L1634" s="82" t="s">
        <v>19512</v>
      </c>
    </row>
    <row r="1635" spans="1:12" ht="84" customHeight="1" x14ac:dyDescent="0.3">
      <c r="A1635" s="2">
        <v>1631</v>
      </c>
      <c r="B1635" s="66" t="s">
        <v>1823</v>
      </c>
      <c r="C1635" s="66"/>
      <c r="D1635" s="11" t="s">
        <v>1874</v>
      </c>
      <c r="E1635" s="11">
        <v>7430</v>
      </c>
      <c r="F1635" s="3">
        <v>40878</v>
      </c>
      <c r="G1635" s="207" t="s">
        <v>1061</v>
      </c>
      <c r="H1635" s="3">
        <v>43053</v>
      </c>
      <c r="I1635" s="2" t="s">
        <v>19506</v>
      </c>
      <c r="J1635" s="2" t="s">
        <v>13904</v>
      </c>
      <c r="K1635" s="2" t="s">
        <v>19841</v>
      </c>
      <c r="L1635" s="82" t="s">
        <v>19512</v>
      </c>
    </row>
    <row r="1636" spans="1:12" ht="84" customHeight="1" x14ac:dyDescent="0.3">
      <c r="A1636" s="2">
        <v>1632</v>
      </c>
      <c r="B1636" s="66" t="s">
        <v>1823</v>
      </c>
      <c r="C1636" s="66"/>
      <c r="D1636" s="11" t="s">
        <v>1874</v>
      </c>
      <c r="E1636" s="11">
        <v>7430</v>
      </c>
      <c r="F1636" s="3">
        <v>40878</v>
      </c>
      <c r="G1636" s="207" t="s">
        <v>1061</v>
      </c>
      <c r="H1636" s="3">
        <v>43053</v>
      </c>
      <c r="I1636" s="2" t="s">
        <v>19506</v>
      </c>
      <c r="J1636" s="2" t="s">
        <v>13904</v>
      </c>
      <c r="K1636" s="2" t="s">
        <v>19841</v>
      </c>
      <c r="L1636" s="82" t="s">
        <v>19512</v>
      </c>
    </row>
    <row r="1637" spans="1:12" ht="84" customHeight="1" x14ac:dyDescent="0.3">
      <c r="A1637" s="2">
        <v>1633</v>
      </c>
      <c r="B1637" s="66" t="s">
        <v>1824</v>
      </c>
      <c r="C1637" s="66"/>
      <c r="D1637" s="11" t="s">
        <v>1875</v>
      </c>
      <c r="E1637" s="11">
        <v>0</v>
      </c>
      <c r="F1637" s="3">
        <v>41976</v>
      </c>
      <c r="G1637" s="207" t="s">
        <v>1061</v>
      </c>
      <c r="H1637" s="3">
        <v>43053</v>
      </c>
      <c r="I1637" s="2" t="s">
        <v>19506</v>
      </c>
      <c r="J1637" s="2" t="s">
        <v>13904</v>
      </c>
      <c r="K1637" s="2" t="s">
        <v>19841</v>
      </c>
      <c r="L1637" s="82" t="s">
        <v>19512</v>
      </c>
    </row>
    <row r="1638" spans="1:12" ht="84" customHeight="1" x14ac:dyDescent="0.3">
      <c r="A1638" s="2">
        <v>1634</v>
      </c>
      <c r="B1638" s="66" t="s">
        <v>1825</v>
      </c>
      <c r="C1638" s="66"/>
      <c r="D1638" s="11" t="s">
        <v>1876</v>
      </c>
      <c r="E1638" s="11">
        <v>4100</v>
      </c>
      <c r="F1638" s="3">
        <v>40725</v>
      </c>
      <c r="G1638" s="207" t="s">
        <v>1061</v>
      </c>
      <c r="H1638" s="3">
        <v>43053</v>
      </c>
      <c r="I1638" s="2" t="s">
        <v>19506</v>
      </c>
      <c r="J1638" s="2" t="s">
        <v>13904</v>
      </c>
      <c r="K1638" s="2" t="s">
        <v>19841</v>
      </c>
      <c r="L1638" s="82" t="s">
        <v>19512</v>
      </c>
    </row>
    <row r="1639" spans="1:12" ht="84" customHeight="1" x14ac:dyDescent="0.3">
      <c r="A1639" s="2">
        <v>1635</v>
      </c>
      <c r="B1639" s="66" t="s">
        <v>1370</v>
      </c>
      <c r="C1639" s="66"/>
      <c r="D1639" s="11" t="s">
        <v>1877</v>
      </c>
      <c r="E1639" s="11">
        <v>97262.87</v>
      </c>
      <c r="F1639" s="3">
        <v>39363</v>
      </c>
      <c r="G1639" s="207" t="s">
        <v>1061</v>
      </c>
      <c r="H1639" s="3">
        <v>43252</v>
      </c>
      <c r="I1639" s="2" t="s">
        <v>20478</v>
      </c>
      <c r="J1639" s="2" t="s">
        <v>13904</v>
      </c>
      <c r="K1639" s="2" t="s">
        <v>19841</v>
      </c>
      <c r="L1639" s="82" t="s">
        <v>19512</v>
      </c>
    </row>
    <row r="1640" spans="1:12" ht="84" customHeight="1" x14ac:dyDescent="0.3">
      <c r="A1640" s="2">
        <v>1636</v>
      </c>
      <c r="B1640" s="66" t="s">
        <v>1826</v>
      </c>
      <c r="C1640" s="66"/>
      <c r="D1640" s="11" t="s">
        <v>1878</v>
      </c>
      <c r="E1640" s="11">
        <v>48024</v>
      </c>
      <c r="F1640" s="3">
        <v>39556</v>
      </c>
      <c r="G1640" s="207" t="s">
        <v>1061</v>
      </c>
      <c r="H1640" s="3">
        <v>43053</v>
      </c>
      <c r="I1640" s="2" t="s">
        <v>19506</v>
      </c>
      <c r="J1640" s="2" t="s">
        <v>13904</v>
      </c>
      <c r="K1640" s="2" t="s">
        <v>19841</v>
      </c>
      <c r="L1640" s="82" t="s">
        <v>19512</v>
      </c>
    </row>
    <row r="1641" spans="1:12" ht="84" customHeight="1" x14ac:dyDescent="0.3">
      <c r="A1641" s="2">
        <v>1637</v>
      </c>
      <c r="B1641" s="66" t="s">
        <v>1827</v>
      </c>
      <c r="C1641" s="66"/>
      <c r="D1641" s="11" t="s">
        <v>1879</v>
      </c>
      <c r="E1641" s="11">
        <v>8400</v>
      </c>
      <c r="F1641" s="3">
        <v>39556</v>
      </c>
      <c r="G1641" s="207" t="s">
        <v>1061</v>
      </c>
      <c r="H1641" s="3">
        <v>43053</v>
      </c>
      <c r="I1641" s="2" t="s">
        <v>19506</v>
      </c>
      <c r="J1641" s="2" t="s">
        <v>13904</v>
      </c>
      <c r="K1641" s="2" t="s">
        <v>19841</v>
      </c>
      <c r="L1641" s="82" t="s">
        <v>19512</v>
      </c>
    </row>
    <row r="1642" spans="1:12" ht="84" customHeight="1" x14ac:dyDescent="0.3">
      <c r="A1642" s="2">
        <v>1638</v>
      </c>
      <c r="B1642" s="66" t="s">
        <v>1828</v>
      </c>
      <c r="C1642" s="66"/>
      <c r="D1642" s="11" t="s">
        <v>1880</v>
      </c>
      <c r="E1642" s="11">
        <v>11000</v>
      </c>
      <c r="F1642" s="3">
        <v>39556</v>
      </c>
      <c r="G1642" s="207" t="s">
        <v>1061</v>
      </c>
      <c r="H1642" s="3">
        <v>43053</v>
      </c>
      <c r="I1642" s="2" t="s">
        <v>19506</v>
      </c>
      <c r="J1642" s="2" t="s">
        <v>13904</v>
      </c>
      <c r="K1642" s="2" t="s">
        <v>19841</v>
      </c>
      <c r="L1642" s="82" t="s">
        <v>19512</v>
      </c>
    </row>
    <row r="1643" spans="1:12" ht="84" customHeight="1" x14ac:dyDescent="0.3">
      <c r="A1643" s="2">
        <v>1639</v>
      </c>
      <c r="B1643" s="66" t="s">
        <v>1829</v>
      </c>
      <c r="C1643" s="66"/>
      <c r="D1643" s="11" t="s">
        <v>1881</v>
      </c>
      <c r="E1643" s="11">
        <v>10414.08</v>
      </c>
      <c r="F1643" s="3">
        <v>38243</v>
      </c>
      <c r="G1643" s="207" t="s">
        <v>1061</v>
      </c>
      <c r="H1643" s="3">
        <v>43053</v>
      </c>
      <c r="I1643" s="2" t="s">
        <v>19506</v>
      </c>
      <c r="J1643" s="2" t="s">
        <v>13904</v>
      </c>
      <c r="K1643" s="2" t="s">
        <v>19841</v>
      </c>
      <c r="L1643" s="82" t="s">
        <v>19512</v>
      </c>
    </row>
    <row r="1644" spans="1:12" ht="84" customHeight="1" x14ac:dyDescent="0.3">
      <c r="A1644" s="2">
        <v>1640</v>
      </c>
      <c r="B1644" s="66" t="s">
        <v>1830</v>
      </c>
      <c r="C1644" s="66"/>
      <c r="D1644" s="11" t="s">
        <v>1882</v>
      </c>
      <c r="E1644" s="11">
        <v>16500</v>
      </c>
      <c r="F1644" s="3">
        <v>39206</v>
      </c>
      <c r="G1644" s="207" t="s">
        <v>1061</v>
      </c>
      <c r="H1644" s="3">
        <v>43053</v>
      </c>
      <c r="I1644" s="2" t="s">
        <v>19506</v>
      </c>
      <c r="J1644" s="2" t="s">
        <v>13904</v>
      </c>
      <c r="K1644" s="2" t="s">
        <v>19841</v>
      </c>
      <c r="L1644" s="82" t="s">
        <v>19512</v>
      </c>
    </row>
    <row r="1645" spans="1:12" ht="84" customHeight="1" x14ac:dyDescent="0.3">
      <c r="A1645" s="2">
        <v>1641</v>
      </c>
      <c r="B1645" s="66" t="s">
        <v>1831</v>
      </c>
      <c r="C1645" s="66"/>
      <c r="D1645" s="11" t="s">
        <v>1883</v>
      </c>
      <c r="E1645" s="11">
        <v>11990</v>
      </c>
      <c r="F1645" s="3">
        <v>40736</v>
      </c>
      <c r="G1645" s="207" t="s">
        <v>1061</v>
      </c>
      <c r="H1645" s="3">
        <v>43053</v>
      </c>
      <c r="I1645" s="2" t="s">
        <v>19506</v>
      </c>
      <c r="J1645" s="2" t="s">
        <v>13904</v>
      </c>
      <c r="K1645" s="2" t="s">
        <v>19841</v>
      </c>
      <c r="L1645" s="82" t="s">
        <v>19512</v>
      </c>
    </row>
    <row r="1646" spans="1:12" ht="84" customHeight="1" x14ac:dyDescent="0.3">
      <c r="A1646" s="2">
        <v>1642</v>
      </c>
      <c r="B1646" s="66" t="s">
        <v>1832</v>
      </c>
      <c r="C1646" s="66"/>
      <c r="D1646" s="11" t="s">
        <v>1884</v>
      </c>
      <c r="E1646" s="11">
        <v>9800</v>
      </c>
      <c r="F1646" s="3">
        <v>41543</v>
      </c>
      <c r="G1646" s="207" t="s">
        <v>1061</v>
      </c>
      <c r="H1646" s="3">
        <v>43053</v>
      </c>
      <c r="I1646" s="2" t="s">
        <v>19506</v>
      </c>
      <c r="J1646" s="2" t="s">
        <v>13904</v>
      </c>
      <c r="K1646" s="2" t="s">
        <v>19841</v>
      </c>
      <c r="L1646" s="82" t="s">
        <v>19512</v>
      </c>
    </row>
    <row r="1647" spans="1:12" ht="84" customHeight="1" x14ac:dyDescent="0.3">
      <c r="A1647" s="2">
        <v>1643</v>
      </c>
      <c r="B1647" s="66" t="s">
        <v>1833</v>
      </c>
      <c r="C1647" s="66"/>
      <c r="D1647" s="11" t="s">
        <v>1885</v>
      </c>
      <c r="E1647" s="11">
        <v>74350</v>
      </c>
      <c r="F1647" s="3">
        <v>41584</v>
      </c>
      <c r="G1647" s="207" t="s">
        <v>1061</v>
      </c>
      <c r="H1647" s="3">
        <v>43252</v>
      </c>
      <c r="I1647" s="2" t="s">
        <v>20478</v>
      </c>
      <c r="J1647" s="2" t="s">
        <v>13904</v>
      </c>
      <c r="K1647" s="2" t="s">
        <v>19841</v>
      </c>
      <c r="L1647" s="82" t="s">
        <v>19512</v>
      </c>
    </row>
    <row r="1648" spans="1:12" ht="84" customHeight="1" x14ac:dyDescent="0.3">
      <c r="A1648" s="2">
        <v>1644</v>
      </c>
      <c r="B1648" s="66" t="s">
        <v>1834</v>
      </c>
      <c r="C1648" s="66"/>
      <c r="D1648" s="11" t="s">
        <v>1886</v>
      </c>
      <c r="E1648" s="11">
        <v>52474.239999999998</v>
      </c>
      <c r="F1648" s="3">
        <v>40407</v>
      </c>
      <c r="G1648" s="207" t="s">
        <v>1061</v>
      </c>
      <c r="H1648" s="3">
        <v>43252</v>
      </c>
      <c r="I1648" s="2" t="s">
        <v>20478</v>
      </c>
      <c r="J1648" s="2" t="s">
        <v>13904</v>
      </c>
      <c r="K1648" s="2" t="s">
        <v>19841</v>
      </c>
      <c r="L1648" s="82" t="s">
        <v>19512</v>
      </c>
    </row>
    <row r="1649" spans="1:12" ht="84" customHeight="1" x14ac:dyDescent="0.3">
      <c r="A1649" s="2">
        <v>1645</v>
      </c>
      <c r="B1649" s="66" t="s">
        <v>1835</v>
      </c>
      <c r="C1649" s="66"/>
      <c r="D1649" s="11" t="s">
        <v>1887</v>
      </c>
      <c r="E1649" s="11">
        <v>16045.59</v>
      </c>
      <c r="F1649" s="3">
        <v>39304</v>
      </c>
      <c r="G1649" s="207" t="s">
        <v>1061</v>
      </c>
      <c r="H1649" s="3">
        <v>43053</v>
      </c>
      <c r="I1649" s="2" t="s">
        <v>19506</v>
      </c>
      <c r="J1649" s="2" t="s">
        <v>13904</v>
      </c>
      <c r="K1649" s="2" t="s">
        <v>19841</v>
      </c>
      <c r="L1649" s="82" t="s">
        <v>19512</v>
      </c>
    </row>
    <row r="1650" spans="1:12" ht="84" customHeight="1" x14ac:dyDescent="0.3">
      <c r="A1650" s="2">
        <v>1646</v>
      </c>
      <c r="B1650" s="66" t="s">
        <v>1062</v>
      </c>
      <c r="C1650" s="66"/>
      <c r="D1650" s="11" t="s">
        <v>1888</v>
      </c>
      <c r="E1650" s="11">
        <v>71730.12</v>
      </c>
      <c r="F1650" s="3">
        <v>40634</v>
      </c>
      <c r="G1650" s="207" t="s">
        <v>1061</v>
      </c>
      <c r="H1650" s="3">
        <v>43252</v>
      </c>
      <c r="I1650" s="2" t="s">
        <v>20478</v>
      </c>
      <c r="J1650" s="2" t="s">
        <v>13904</v>
      </c>
      <c r="K1650" s="2" t="s">
        <v>19841</v>
      </c>
      <c r="L1650" s="82" t="s">
        <v>19512</v>
      </c>
    </row>
    <row r="1651" spans="1:12" ht="84" customHeight="1" x14ac:dyDescent="0.3">
      <c r="A1651" s="2">
        <v>1647</v>
      </c>
      <c r="B1651" s="66" t="s">
        <v>1836</v>
      </c>
      <c r="C1651" s="66"/>
      <c r="D1651" s="11" t="s">
        <v>1889</v>
      </c>
      <c r="E1651" s="11">
        <v>31207.439999999999</v>
      </c>
      <c r="F1651" s="3">
        <v>40637</v>
      </c>
      <c r="G1651" s="207" t="s">
        <v>1061</v>
      </c>
      <c r="H1651" s="3">
        <v>43053</v>
      </c>
      <c r="I1651" s="2" t="s">
        <v>19506</v>
      </c>
      <c r="J1651" s="2" t="s">
        <v>13904</v>
      </c>
      <c r="K1651" s="2" t="s">
        <v>19841</v>
      </c>
      <c r="L1651" s="82" t="s">
        <v>19512</v>
      </c>
    </row>
    <row r="1652" spans="1:12" ht="84" customHeight="1" x14ac:dyDescent="0.3">
      <c r="A1652" s="2">
        <v>1648</v>
      </c>
      <c r="B1652" s="66" t="s">
        <v>1837</v>
      </c>
      <c r="C1652" s="66"/>
      <c r="D1652" s="11" t="s">
        <v>1890</v>
      </c>
      <c r="E1652" s="11">
        <v>19290</v>
      </c>
      <c r="F1652" s="3">
        <v>39259</v>
      </c>
      <c r="G1652" s="207" t="s">
        <v>1061</v>
      </c>
      <c r="H1652" s="3">
        <v>43053</v>
      </c>
      <c r="I1652" s="2" t="s">
        <v>19506</v>
      </c>
      <c r="J1652" s="2" t="s">
        <v>13904</v>
      </c>
      <c r="K1652" s="2" t="s">
        <v>19841</v>
      </c>
      <c r="L1652" s="82" t="s">
        <v>19512</v>
      </c>
    </row>
    <row r="1653" spans="1:12" ht="84" customHeight="1" x14ac:dyDescent="0.3">
      <c r="A1653" s="2">
        <v>1649</v>
      </c>
      <c r="B1653" s="66" t="s">
        <v>1077</v>
      </c>
      <c r="C1653" s="66"/>
      <c r="D1653" s="11" t="s">
        <v>1891</v>
      </c>
      <c r="E1653" s="11">
        <v>7000</v>
      </c>
      <c r="F1653" s="3">
        <v>40394</v>
      </c>
      <c r="G1653" s="207" t="s">
        <v>1061</v>
      </c>
      <c r="H1653" s="3">
        <v>43053</v>
      </c>
      <c r="I1653" s="2" t="s">
        <v>19506</v>
      </c>
      <c r="J1653" s="2" t="s">
        <v>13904</v>
      </c>
      <c r="K1653" s="2" t="s">
        <v>19841</v>
      </c>
      <c r="L1653" s="82" t="s">
        <v>19512</v>
      </c>
    </row>
    <row r="1654" spans="1:12" ht="84" customHeight="1" x14ac:dyDescent="0.3">
      <c r="A1654" s="2">
        <v>1650</v>
      </c>
      <c r="B1654" s="66" t="s">
        <v>1838</v>
      </c>
      <c r="C1654" s="66"/>
      <c r="D1654" s="11" t="s">
        <v>1892</v>
      </c>
      <c r="E1654" s="11">
        <v>5485</v>
      </c>
      <c r="F1654" s="3">
        <v>39441</v>
      </c>
      <c r="G1654" s="207" t="s">
        <v>1061</v>
      </c>
      <c r="H1654" s="3">
        <v>43053</v>
      </c>
      <c r="I1654" s="2" t="s">
        <v>19506</v>
      </c>
      <c r="J1654" s="2" t="s">
        <v>13904</v>
      </c>
      <c r="K1654" s="2" t="s">
        <v>19841</v>
      </c>
      <c r="L1654" s="82" t="s">
        <v>19512</v>
      </c>
    </row>
    <row r="1655" spans="1:12" ht="84" customHeight="1" x14ac:dyDescent="0.3">
      <c r="A1655" s="2">
        <v>1651</v>
      </c>
      <c r="B1655" s="66" t="s">
        <v>1839</v>
      </c>
      <c r="C1655" s="66"/>
      <c r="D1655" s="11" t="s">
        <v>1893</v>
      </c>
      <c r="E1655" s="11">
        <v>5456.56</v>
      </c>
      <c r="F1655" s="3">
        <v>39259</v>
      </c>
      <c r="G1655" s="207" t="s">
        <v>1061</v>
      </c>
      <c r="H1655" s="3">
        <v>43053</v>
      </c>
      <c r="I1655" s="2" t="s">
        <v>19506</v>
      </c>
      <c r="J1655" s="2" t="s">
        <v>13904</v>
      </c>
      <c r="K1655" s="2" t="s">
        <v>19841</v>
      </c>
      <c r="L1655" s="82" t="s">
        <v>19512</v>
      </c>
    </row>
    <row r="1656" spans="1:12" ht="84" customHeight="1" x14ac:dyDescent="0.3">
      <c r="A1656" s="2">
        <v>1652</v>
      </c>
      <c r="B1656" s="66" t="s">
        <v>1840</v>
      </c>
      <c r="C1656" s="66"/>
      <c r="D1656" s="11" t="s">
        <v>1894</v>
      </c>
      <c r="E1656" s="11">
        <v>6730</v>
      </c>
      <c r="F1656" s="3">
        <v>39868</v>
      </c>
      <c r="G1656" s="207" t="s">
        <v>1061</v>
      </c>
      <c r="H1656" s="3">
        <v>43053</v>
      </c>
      <c r="I1656" s="2" t="s">
        <v>19506</v>
      </c>
      <c r="J1656" s="2" t="s">
        <v>13904</v>
      </c>
      <c r="K1656" s="2" t="s">
        <v>19841</v>
      </c>
      <c r="L1656" s="82" t="s">
        <v>19512</v>
      </c>
    </row>
    <row r="1657" spans="1:12" ht="84" customHeight="1" x14ac:dyDescent="0.3">
      <c r="A1657" s="2">
        <v>1653</v>
      </c>
      <c r="B1657" s="66" t="s">
        <v>1431</v>
      </c>
      <c r="C1657" s="66"/>
      <c r="D1657" s="11" t="s">
        <v>1895</v>
      </c>
      <c r="E1657" s="11">
        <v>11560</v>
      </c>
      <c r="F1657" s="3">
        <v>40407</v>
      </c>
      <c r="G1657" s="207" t="s">
        <v>1061</v>
      </c>
      <c r="H1657" s="3">
        <v>43053</v>
      </c>
      <c r="I1657" s="2" t="s">
        <v>19506</v>
      </c>
      <c r="J1657" s="2" t="s">
        <v>13904</v>
      </c>
      <c r="K1657" s="2" t="s">
        <v>19841</v>
      </c>
      <c r="L1657" s="82" t="s">
        <v>19512</v>
      </c>
    </row>
    <row r="1658" spans="1:12" ht="84" customHeight="1" x14ac:dyDescent="0.3">
      <c r="A1658" s="2">
        <v>1654</v>
      </c>
      <c r="B1658" s="66" t="s">
        <v>1841</v>
      </c>
      <c r="C1658" s="66"/>
      <c r="D1658" s="11" t="s">
        <v>1896</v>
      </c>
      <c r="E1658" s="11">
        <v>11210</v>
      </c>
      <c r="F1658" s="3">
        <v>39717</v>
      </c>
      <c r="G1658" s="207" t="s">
        <v>1061</v>
      </c>
      <c r="H1658" s="3">
        <v>43053</v>
      </c>
      <c r="I1658" s="2" t="s">
        <v>19506</v>
      </c>
      <c r="J1658" s="2" t="s">
        <v>13904</v>
      </c>
      <c r="K1658" s="2" t="s">
        <v>19841</v>
      </c>
      <c r="L1658" s="82" t="s">
        <v>19512</v>
      </c>
    </row>
    <row r="1659" spans="1:12" ht="84" customHeight="1" x14ac:dyDescent="0.3">
      <c r="A1659" s="2">
        <v>1655</v>
      </c>
      <c r="B1659" s="66" t="s">
        <v>1842</v>
      </c>
      <c r="C1659" s="66"/>
      <c r="D1659" s="11" t="s">
        <v>1897</v>
      </c>
      <c r="E1659" s="11">
        <v>4335</v>
      </c>
      <c r="F1659" s="3">
        <v>40407</v>
      </c>
      <c r="G1659" s="207" t="s">
        <v>1061</v>
      </c>
      <c r="H1659" s="3">
        <v>43053</v>
      </c>
      <c r="I1659" s="2" t="s">
        <v>19506</v>
      </c>
      <c r="J1659" s="2" t="s">
        <v>13904</v>
      </c>
      <c r="K1659" s="2" t="s">
        <v>19841</v>
      </c>
      <c r="L1659" s="82" t="s">
        <v>19512</v>
      </c>
    </row>
    <row r="1660" spans="1:12" ht="84" customHeight="1" x14ac:dyDescent="0.3">
      <c r="A1660" s="2">
        <v>1656</v>
      </c>
      <c r="B1660" s="66" t="s">
        <v>1843</v>
      </c>
      <c r="C1660" s="66"/>
      <c r="D1660" s="11" t="s">
        <v>1898</v>
      </c>
      <c r="E1660" s="11">
        <v>5599.99</v>
      </c>
      <c r="F1660" s="3">
        <v>40812</v>
      </c>
      <c r="G1660" s="207" t="s">
        <v>1061</v>
      </c>
      <c r="H1660" s="3">
        <v>43053</v>
      </c>
      <c r="I1660" s="2" t="s">
        <v>19506</v>
      </c>
      <c r="J1660" s="2" t="s">
        <v>13904</v>
      </c>
      <c r="K1660" s="2" t="s">
        <v>19841</v>
      </c>
      <c r="L1660" s="82" t="s">
        <v>19512</v>
      </c>
    </row>
    <row r="1661" spans="1:12" ht="84" customHeight="1" x14ac:dyDescent="0.3">
      <c r="A1661" s="2">
        <v>1657</v>
      </c>
      <c r="B1661" s="66" t="s">
        <v>1844</v>
      </c>
      <c r="C1661" s="66"/>
      <c r="D1661" s="11" t="s">
        <v>1899</v>
      </c>
      <c r="E1661" s="11">
        <v>5777</v>
      </c>
      <c r="F1661" s="3">
        <v>40815</v>
      </c>
      <c r="G1661" s="207" t="s">
        <v>1061</v>
      </c>
      <c r="H1661" s="3">
        <v>43053</v>
      </c>
      <c r="I1661" s="2" t="s">
        <v>19506</v>
      </c>
      <c r="J1661" s="2" t="s">
        <v>13904</v>
      </c>
      <c r="K1661" s="2" t="s">
        <v>19841</v>
      </c>
      <c r="L1661" s="82" t="s">
        <v>19512</v>
      </c>
    </row>
    <row r="1662" spans="1:12" ht="84" customHeight="1" x14ac:dyDescent="0.3">
      <c r="A1662" s="2">
        <v>1658</v>
      </c>
      <c r="B1662" s="66" t="s">
        <v>1845</v>
      </c>
      <c r="C1662" s="66"/>
      <c r="D1662" s="11" t="s">
        <v>1900</v>
      </c>
      <c r="E1662" s="11">
        <v>11487</v>
      </c>
      <c r="F1662" s="3">
        <v>40815</v>
      </c>
      <c r="G1662" s="207" t="s">
        <v>1061</v>
      </c>
      <c r="H1662" s="3">
        <v>43053</v>
      </c>
      <c r="I1662" s="2" t="s">
        <v>19506</v>
      </c>
      <c r="J1662" s="2" t="s">
        <v>13904</v>
      </c>
      <c r="K1662" s="2" t="s">
        <v>19841</v>
      </c>
      <c r="L1662" s="82" t="s">
        <v>19512</v>
      </c>
    </row>
    <row r="1663" spans="1:12" ht="84" customHeight="1" x14ac:dyDescent="0.3">
      <c r="A1663" s="2">
        <v>1659</v>
      </c>
      <c r="B1663" s="66" t="s">
        <v>1845</v>
      </c>
      <c r="C1663" s="66"/>
      <c r="D1663" s="11" t="s">
        <v>1900</v>
      </c>
      <c r="E1663" s="11">
        <v>11487</v>
      </c>
      <c r="F1663" s="3">
        <v>40815</v>
      </c>
      <c r="G1663" s="207" t="s">
        <v>1061</v>
      </c>
      <c r="H1663" s="3">
        <v>43053</v>
      </c>
      <c r="I1663" s="2" t="s">
        <v>19506</v>
      </c>
      <c r="J1663" s="2" t="s">
        <v>13904</v>
      </c>
      <c r="K1663" s="2" t="s">
        <v>19841</v>
      </c>
      <c r="L1663" s="82" t="s">
        <v>19512</v>
      </c>
    </row>
    <row r="1664" spans="1:12" ht="84" customHeight="1" x14ac:dyDescent="0.3">
      <c r="A1664" s="2">
        <v>1660</v>
      </c>
      <c r="B1664" s="66" t="s">
        <v>1845</v>
      </c>
      <c r="C1664" s="66"/>
      <c r="D1664" s="11" t="s">
        <v>1900</v>
      </c>
      <c r="E1664" s="11">
        <v>11487</v>
      </c>
      <c r="F1664" s="3">
        <v>40815</v>
      </c>
      <c r="G1664" s="207" t="s">
        <v>1061</v>
      </c>
      <c r="H1664" s="3">
        <v>43053</v>
      </c>
      <c r="I1664" s="2" t="s">
        <v>19506</v>
      </c>
      <c r="J1664" s="2" t="s">
        <v>13904</v>
      </c>
      <c r="K1664" s="2" t="s">
        <v>19841</v>
      </c>
      <c r="L1664" s="82" t="s">
        <v>19512</v>
      </c>
    </row>
    <row r="1665" spans="1:12" ht="84" customHeight="1" x14ac:dyDescent="0.3">
      <c r="A1665" s="2">
        <v>1661</v>
      </c>
      <c r="B1665" s="66" t="s">
        <v>1846</v>
      </c>
      <c r="C1665" s="66"/>
      <c r="D1665" s="11" t="s">
        <v>1901</v>
      </c>
      <c r="E1665" s="11">
        <v>26490</v>
      </c>
      <c r="F1665" s="3">
        <v>41176</v>
      </c>
      <c r="G1665" s="207" t="s">
        <v>1061</v>
      </c>
      <c r="H1665" s="3">
        <v>43053</v>
      </c>
      <c r="I1665" s="2" t="s">
        <v>19506</v>
      </c>
      <c r="J1665" s="2" t="s">
        <v>13904</v>
      </c>
      <c r="K1665" s="2" t="s">
        <v>19841</v>
      </c>
      <c r="L1665" s="82" t="s">
        <v>19512</v>
      </c>
    </row>
    <row r="1666" spans="1:12" ht="84" customHeight="1" x14ac:dyDescent="0.3">
      <c r="A1666" s="2">
        <v>1662</v>
      </c>
      <c r="B1666" s="66" t="s">
        <v>218</v>
      </c>
      <c r="C1666" s="66"/>
      <c r="D1666" s="11" t="s">
        <v>1902</v>
      </c>
      <c r="E1666" s="11">
        <v>30196.99</v>
      </c>
      <c r="F1666" s="3">
        <v>41176</v>
      </c>
      <c r="G1666" s="207" t="s">
        <v>1061</v>
      </c>
      <c r="H1666" s="3">
        <v>43053</v>
      </c>
      <c r="I1666" s="2" t="s">
        <v>19506</v>
      </c>
      <c r="J1666" s="2" t="s">
        <v>13904</v>
      </c>
      <c r="K1666" s="2" t="s">
        <v>19841</v>
      </c>
      <c r="L1666" s="82" t="s">
        <v>19512</v>
      </c>
    </row>
    <row r="1667" spans="1:12" ht="84" customHeight="1" x14ac:dyDescent="0.3">
      <c r="A1667" s="2">
        <v>1663</v>
      </c>
      <c r="B1667" s="66" t="s">
        <v>1847</v>
      </c>
      <c r="C1667" s="66"/>
      <c r="D1667" s="11" t="s">
        <v>1903</v>
      </c>
      <c r="E1667" s="11">
        <v>3573.34</v>
      </c>
      <c r="F1667" s="3">
        <v>41176</v>
      </c>
      <c r="G1667" s="207" t="s">
        <v>1061</v>
      </c>
      <c r="H1667" s="3">
        <v>43053</v>
      </c>
      <c r="I1667" s="2" t="s">
        <v>19506</v>
      </c>
      <c r="J1667" s="2" t="s">
        <v>13904</v>
      </c>
      <c r="K1667" s="2" t="s">
        <v>19841</v>
      </c>
      <c r="L1667" s="82" t="s">
        <v>19512</v>
      </c>
    </row>
    <row r="1668" spans="1:12" ht="84" customHeight="1" x14ac:dyDescent="0.3">
      <c r="A1668" s="2">
        <v>1664</v>
      </c>
      <c r="B1668" s="66" t="s">
        <v>1329</v>
      </c>
      <c r="C1668" s="66"/>
      <c r="D1668" s="11" t="s">
        <v>1904</v>
      </c>
      <c r="E1668" s="11">
        <v>13004</v>
      </c>
      <c r="F1668" s="3">
        <v>41192</v>
      </c>
      <c r="G1668" s="207" t="s">
        <v>1061</v>
      </c>
      <c r="H1668" s="3">
        <v>43053</v>
      </c>
      <c r="I1668" s="2" t="s">
        <v>19506</v>
      </c>
      <c r="J1668" s="2" t="s">
        <v>13904</v>
      </c>
      <c r="K1668" s="2" t="s">
        <v>19841</v>
      </c>
      <c r="L1668" s="82" t="s">
        <v>19512</v>
      </c>
    </row>
    <row r="1669" spans="1:12" ht="84" customHeight="1" x14ac:dyDescent="0.3">
      <c r="A1669" s="2">
        <v>1665</v>
      </c>
      <c r="B1669" s="66" t="s">
        <v>1848</v>
      </c>
      <c r="C1669" s="66"/>
      <c r="D1669" s="11" t="s">
        <v>1905</v>
      </c>
      <c r="E1669" s="11" t="s">
        <v>1906</v>
      </c>
      <c r="F1669" s="3">
        <v>41627</v>
      </c>
      <c r="G1669" s="207" t="s">
        <v>1061</v>
      </c>
      <c r="H1669" s="3">
        <v>43053</v>
      </c>
      <c r="I1669" s="2" t="s">
        <v>19506</v>
      </c>
      <c r="J1669" s="2" t="s">
        <v>13904</v>
      </c>
      <c r="K1669" s="2" t="s">
        <v>19841</v>
      </c>
      <c r="L1669" s="82" t="s">
        <v>19512</v>
      </c>
    </row>
    <row r="1670" spans="1:12" ht="84" customHeight="1" x14ac:dyDescent="0.3">
      <c r="A1670" s="2">
        <v>1666</v>
      </c>
      <c r="B1670" s="66" t="s">
        <v>1849</v>
      </c>
      <c r="C1670" s="66"/>
      <c r="D1670" s="11" t="s">
        <v>1907</v>
      </c>
      <c r="E1670" s="11">
        <v>3210</v>
      </c>
      <c r="F1670" s="3">
        <v>38939</v>
      </c>
      <c r="G1670" s="207" t="s">
        <v>1061</v>
      </c>
      <c r="H1670" s="3">
        <v>43053</v>
      </c>
      <c r="I1670" s="2" t="s">
        <v>19506</v>
      </c>
      <c r="J1670" s="2" t="s">
        <v>13904</v>
      </c>
      <c r="K1670" s="2" t="s">
        <v>19841</v>
      </c>
      <c r="L1670" s="82" t="s">
        <v>19512</v>
      </c>
    </row>
    <row r="1671" spans="1:12" ht="84" customHeight="1" x14ac:dyDescent="0.3">
      <c r="A1671" s="2">
        <v>1667</v>
      </c>
      <c r="B1671" s="66" t="s">
        <v>1850</v>
      </c>
      <c r="C1671" s="66"/>
      <c r="D1671" s="11" t="s">
        <v>1908</v>
      </c>
      <c r="E1671" s="11">
        <v>5264.4</v>
      </c>
      <c r="F1671" s="3">
        <v>38280</v>
      </c>
      <c r="G1671" s="207" t="s">
        <v>1061</v>
      </c>
      <c r="H1671" s="3">
        <v>43053</v>
      </c>
      <c r="I1671" s="2" t="s">
        <v>19506</v>
      </c>
      <c r="J1671" s="2" t="s">
        <v>13904</v>
      </c>
      <c r="K1671" s="2" t="s">
        <v>19841</v>
      </c>
      <c r="L1671" s="82" t="s">
        <v>19512</v>
      </c>
    </row>
    <row r="1672" spans="1:12" ht="84" customHeight="1" x14ac:dyDescent="0.3">
      <c r="A1672" s="2">
        <v>1668</v>
      </c>
      <c r="B1672" s="66" t="s">
        <v>1850</v>
      </c>
      <c r="C1672" s="66"/>
      <c r="D1672" s="11" t="s">
        <v>1908</v>
      </c>
      <c r="E1672" s="11">
        <v>5264.4</v>
      </c>
      <c r="F1672" s="3">
        <v>38280</v>
      </c>
      <c r="G1672" s="207" t="s">
        <v>1061</v>
      </c>
      <c r="H1672" s="3">
        <v>43053</v>
      </c>
      <c r="I1672" s="2" t="s">
        <v>19506</v>
      </c>
      <c r="J1672" s="2" t="s">
        <v>13904</v>
      </c>
      <c r="K1672" s="2" t="s">
        <v>19841</v>
      </c>
      <c r="L1672" s="82" t="s">
        <v>19512</v>
      </c>
    </row>
    <row r="1673" spans="1:12" ht="84" customHeight="1" x14ac:dyDescent="0.3">
      <c r="A1673" s="2">
        <v>1669</v>
      </c>
      <c r="B1673" s="66" t="s">
        <v>1850</v>
      </c>
      <c r="C1673" s="66"/>
      <c r="D1673" s="11" t="s">
        <v>1908</v>
      </c>
      <c r="E1673" s="11">
        <v>5264.4</v>
      </c>
      <c r="F1673" s="3">
        <v>38280</v>
      </c>
      <c r="G1673" s="207" t="s">
        <v>1061</v>
      </c>
      <c r="H1673" s="3">
        <v>43053</v>
      </c>
      <c r="I1673" s="2" t="s">
        <v>19506</v>
      </c>
      <c r="J1673" s="2" t="s">
        <v>13904</v>
      </c>
      <c r="K1673" s="2" t="s">
        <v>19841</v>
      </c>
      <c r="L1673" s="82" t="s">
        <v>19512</v>
      </c>
    </row>
    <row r="1674" spans="1:12" ht="84" customHeight="1" x14ac:dyDescent="0.3">
      <c r="A1674" s="2">
        <v>1670</v>
      </c>
      <c r="B1674" s="66" t="s">
        <v>1851</v>
      </c>
      <c r="C1674" s="66"/>
      <c r="D1674" s="11" t="s">
        <v>1909</v>
      </c>
      <c r="E1674" s="11">
        <v>28500</v>
      </c>
      <c r="F1674" s="3">
        <v>41899</v>
      </c>
      <c r="G1674" s="207" t="s">
        <v>1061</v>
      </c>
      <c r="H1674" s="3">
        <v>43053</v>
      </c>
      <c r="I1674" s="2" t="s">
        <v>19506</v>
      </c>
      <c r="J1674" s="2" t="s">
        <v>13904</v>
      </c>
      <c r="K1674" s="2" t="s">
        <v>19841</v>
      </c>
      <c r="L1674" s="82" t="s">
        <v>19512</v>
      </c>
    </row>
    <row r="1675" spans="1:12" ht="84" customHeight="1" x14ac:dyDescent="0.3">
      <c r="A1675" s="2">
        <v>1671</v>
      </c>
      <c r="B1675" s="66" t="s">
        <v>1852</v>
      </c>
      <c r="C1675" s="66"/>
      <c r="D1675" s="11" t="s">
        <v>1910</v>
      </c>
      <c r="E1675" s="11">
        <v>3388</v>
      </c>
      <c r="F1675" s="3">
        <v>38492</v>
      </c>
      <c r="G1675" s="207" t="s">
        <v>1061</v>
      </c>
      <c r="H1675" s="3">
        <v>43053</v>
      </c>
      <c r="I1675" s="2" t="s">
        <v>19506</v>
      </c>
      <c r="J1675" s="2" t="s">
        <v>13904</v>
      </c>
      <c r="K1675" s="2" t="s">
        <v>19841</v>
      </c>
      <c r="L1675" s="82" t="s">
        <v>19512</v>
      </c>
    </row>
    <row r="1676" spans="1:12" ht="84" customHeight="1" x14ac:dyDescent="0.3">
      <c r="A1676" s="2">
        <v>1672</v>
      </c>
      <c r="B1676" s="66" t="s">
        <v>1853</v>
      </c>
      <c r="C1676" s="66"/>
      <c r="D1676" s="11" t="s">
        <v>1911</v>
      </c>
      <c r="E1676" s="11">
        <v>4119.21</v>
      </c>
      <c r="F1676" s="3">
        <v>38503</v>
      </c>
      <c r="G1676" s="207" t="s">
        <v>1061</v>
      </c>
      <c r="H1676" s="3">
        <v>43053</v>
      </c>
      <c r="I1676" s="2" t="s">
        <v>19506</v>
      </c>
      <c r="J1676" s="2" t="s">
        <v>13904</v>
      </c>
      <c r="K1676" s="2" t="s">
        <v>19841</v>
      </c>
      <c r="L1676" s="82" t="s">
        <v>19512</v>
      </c>
    </row>
    <row r="1677" spans="1:12" ht="84" customHeight="1" x14ac:dyDescent="0.3">
      <c r="A1677" s="2">
        <v>1673</v>
      </c>
      <c r="B1677" s="66" t="s">
        <v>1854</v>
      </c>
      <c r="C1677" s="66"/>
      <c r="D1677" s="11" t="s">
        <v>1912</v>
      </c>
      <c r="E1677" s="11">
        <v>4972</v>
      </c>
      <c r="F1677" s="3">
        <v>38939</v>
      </c>
      <c r="G1677" s="207" t="s">
        <v>1061</v>
      </c>
      <c r="H1677" s="3">
        <v>43053</v>
      </c>
      <c r="I1677" s="2" t="s">
        <v>19506</v>
      </c>
      <c r="J1677" s="2" t="s">
        <v>13904</v>
      </c>
      <c r="K1677" s="2" t="s">
        <v>19841</v>
      </c>
      <c r="L1677" s="82" t="s">
        <v>19512</v>
      </c>
    </row>
    <row r="1678" spans="1:12" ht="84" customHeight="1" x14ac:dyDescent="0.3">
      <c r="A1678" s="2">
        <v>1674</v>
      </c>
      <c r="B1678" s="66" t="s">
        <v>1855</v>
      </c>
      <c r="C1678" s="66"/>
      <c r="D1678" s="11" t="s">
        <v>1913</v>
      </c>
      <c r="E1678" s="11">
        <v>4998</v>
      </c>
      <c r="F1678" s="3">
        <v>38709</v>
      </c>
      <c r="G1678" s="207" t="s">
        <v>1061</v>
      </c>
      <c r="H1678" s="3">
        <v>43053</v>
      </c>
      <c r="I1678" s="2" t="s">
        <v>19506</v>
      </c>
      <c r="J1678" s="2" t="s">
        <v>13904</v>
      </c>
      <c r="K1678" s="2" t="s">
        <v>19841</v>
      </c>
      <c r="L1678" s="82" t="s">
        <v>19512</v>
      </c>
    </row>
    <row r="1679" spans="1:12" ht="84" customHeight="1" x14ac:dyDescent="0.3">
      <c r="A1679" s="2">
        <v>1675</v>
      </c>
      <c r="B1679" s="66" t="s">
        <v>1856</v>
      </c>
      <c r="C1679" s="66"/>
      <c r="D1679" s="11" t="s">
        <v>1914</v>
      </c>
      <c r="E1679" s="11">
        <v>3438.5</v>
      </c>
      <c r="F1679" s="3">
        <v>38503</v>
      </c>
      <c r="G1679" s="207" t="s">
        <v>1061</v>
      </c>
      <c r="H1679" s="3">
        <v>43053</v>
      </c>
      <c r="I1679" s="2" t="s">
        <v>19506</v>
      </c>
      <c r="J1679" s="2" t="s">
        <v>13904</v>
      </c>
      <c r="K1679" s="2" t="s">
        <v>19841</v>
      </c>
      <c r="L1679" s="82" t="s">
        <v>19512</v>
      </c>
    </row>
    <row r="1680" spans="1:12" ht="84" customHeight="1" x14ac:dyDescent="0.3">
      <c r="A1680" s="2">
        <v>1676</v>
      </c>
      <c r="B1680" s="66" t="s">
        <v>1110</v>
      </c>
      <c r="C1680" s="66"/>
      <c r="D1680" s="11" t="s">
        <v>1915</v>
      </c>
      <c r="E1680" s="11">
        <v>16490</v>
      </c>
      <c r="F1680" s="3">
        <v>41562</v>
      </c>
      <c r="G1680" s="207" t="s">
        <v>1061</v>
      </c>
      <c r="H1680" s="3">
        <v>43053</v>
      </c>
      <c r="I1680" s="2" t="s">
        <v>19506</v>
      </c>
      <c r="J1680" s="2" t="s">
        <v>13904</v>
      </c>
      <c r="K1680" s="2" t="s">
        <v>19841</v>
      </c>
      <c r="L1680" s="82" t="s">
        <v>19512</v>
      </c>
    </row>
    <row r="1681" spans="1:12" ht="84" customHeight="1" x14ac:dyDescent="0.3">
      <c r="A1681" s="2">
        <v>1677</v>
      </c>
      <c r="B1681" s="66" t="s">
        <v>1916</v>
      </c>
      <c r="C1681" s="66"/>
      <c r="D1681" s="11" t="s">
        <v>1917</v>
      </c>
      <c r="E1681" s="11" t="s">
        <v>1918</v>
      </c>
      <c r="F1681" s="3">
        <v>39302</v>
      </c>
      <c r="G1681" s="207" t="s">
        <v>1061</v>
      </c>
      <c r="H1681" s="3">
        <v>43252</v>
      </c>
      <c r="I1681" s="2" t="s">
        <v>20478</v>
      </c>
      <c r="J1681" s="2" t="s">
        <v>13904</v>
      </c>
      <c r="K1681" s="2" t="s">
        <v>19841</v>
      </c>
      <c r="L1681" s="82" t="s">
        <v>19512</v>
      </c>
    </row>
    <row r="1682" spans="1:12" ht="84" customHeight="1" x14ac:dyDescent="0.3">
      <c r="A1682" s="2">
        <v>1678</v>
      </c>
      <c r="B1682" s="66" t="s">
        <v>1919</v>
      </c>
      <c r="C1682" s="66"/>
      <c r="D1682" s="11" t="s">
        <v>1981</v>
      </c>
      <c r="E1682" s="11">
        <v>4600</v>
      </c>
      <c r="F1682" s="3">
        <v>41809</v>
      </c>
      <c r="G1682" s="207" t="s">
        <v>1061</v>
      </c>
      <c r="H1682" s="3">
        <v>43053</v>
      </c>
      <c r="I1682" s="2" t="s">
        <v>19506</v>
      </c>
      <c r="J1682" s="2" t="s">
        <v>13904</v>
      </c>
      <c r="K1682" s="2" t="s">
        <v>19841</v>
      </c>
      <c r="L1682" s="82" t="s">
        <v>19512</v>
      </c>
    </row>
    <row r="1683" spans="1:12" ht="84" customHeight="1" x14ac:dyDescent="0.3">
      <c r="A1683" s="2">
        <v>1679</v>
      </c>
      <c r="B1683" s="66" t="s">
        <v>1919</v>
      </c>
      <c r="C1683" s="66"/>
      <c r="D1683" s="11" t="s">
        <v>1981</v>
      </c>
      <c r="E1683" s="11">
        <v>4600</v>
      </c>
      <c r="F1683" s="3">
        <v>41809</v>
      </c>
      <c r="G1683" s="207" t="s">
        <v>1061</v>
      </c>
      <c r="H1683" s="3">
        <v>43053</v>
      </c>
      <c r="I1683" s="2" t="s">
        <v>19506</v>
      </c>
      <c r="J1683" s="2" t="s">
        <v>13904</v>
      </c>
      <c r="K1683" s="2" t="s">
        <v>19841</v>
      </c>
      <c r="L1683" s="82" t="s">
        <v>19512</v>
      </c>
    </row>
    <row r="1684" spans="1:12" ht="84" customHeight="1" x14ac:dyDescent="0.3">
      <c r="A1684" s="2">
        <v>1680</v>
      </c>
      <c r="B1684" s="66" t="s">
        <v>1919</v>
      </c>
      <c r="C1684" s="66"/>
      <c r="D1684" s="11" t="s">
        <v>1981</v>
      </c>
      <c r="E1684" s="11">
        <v>4600</v>
      </c>
      <c r="F1684" s="3">
        <v>41809</v>
      </c>
      <c r="G1684" s="207" t="s">
        <v>1061</v>
      </c>
      <c r="H1684" s="3">
        <v>43053</v>
      </c>
      <c r="I1684" s="2" t="s">
        <v>19506</v>
      </c>
      <c r="J1684" s="2" t="s">
        <v>13904</v>
      </c>
      <c r="K1684" s="2" t="s">
        <v>19841</v>
      </c>
      <c r="L1684" s="82" t="s">
        <v>19512</v>
      </c>
    </row>
    <row r="1685" spans="1:12" ht="84" customHeight="1" x14ac:dyDescent="0.3">
      <c r="A1685" s="2">
        <v>1681</v>
      </c>
      <c r="B1685" s="66" t="s">
        <v>1919</v>
      </c>
      <c r="C1685" s="66"/>
      <c r="D1685" s="11" t="s">
        <v>1981</v>
      </c>
      <c r="E1685" s="11">
        <v>4600</v>
      </c>
      <c r="F1685" s="3">
        <v>41809</v>
      </c>
      <c r="G1685" s="207" t="s">
        <v>1061</v>
      </c>
      <c r="H1685" s="3">
        <v>43053</v>
      </c>
      <c r="I1685" s="2" t="s">
        <v>19506</v>
      </c>
      <c r="J1685" s="2" t="s">
        <v>13904</v>
      </c>
      <c r="K1685" s="2" t="s">
        <v>19841</v>
      </c>
      <c r="L1685" s="82" t="s">
        <v>19512</v>
      </c>
    </row>
    <row r="1686" spans="1:12" ht="84" customHeight="1" x14ac:dyDescent="0.3">
      <c r="A1686" s="2">
        <v>1682</v>
      </c>
      <c r="B1686" s="66" t="s">
        <v>1919</v>
      </c>
      <c r="C1686" s="66"/>
      <c r="D1686" s="11" t="s">
        <v>1981</v>
      </c>
      <c r="E1686" s="11">
        <v>4600</v>
      </c>
      <c r="F1686" s="3">
        <v>41809</v>
      </c>
      <c r="G1686" s="207" t="s">
        <v>1061</v>
      </c>
      <c r="H1686" s="3">
        <v>43053</v>
      </c>
      <c r="I1686" s="2" t="s">
        <v>19506</v>
      </c>
      <c r="J1686" s="2" t="s">
        <v>13904</v>
      </c>
      <c r="K1686" s="2" t="s">
        <v>19841</v>
      </c>
      <c r="L1686" s="82" t="s">
        <v>19512</v>
      </c>
    </row>
    <row r="1687" spans="1:12" ht="84" customHeight="1" x14ac:dyDescent="0.3">
      <c r="A1687" s="2">
        <v>1683</v>
      </c>
      <c r="B1687" s="66" t="s">
        <v>1919</v>
      </c>
      <c r="C1687" s="66"/>
      <c r="D1687" s="11" t="s">
        <v>1981</v>
      </c>
      <c r="E1687" s="11">
        <v>4600</v>
      </c>
      <c r="F1687" s="3">
        <v>41809</v>
      </c>
      <c r="G1687" s="207" t="s">
        <v>1061</v>
      </c>
      <c r="H1687" s="3">
        <v>43053</v>
      </c>
      <c r="I1687" s="2" t="s">
        <v>19506</v>
      </c>
      <c r="J1687" s="2" t="s">
        <v>13904</v>
      </c>
      <c r="K1687" s="2" t="s">
        <v>19841</v>
      </c>
      <c r="L1687" s="82" t="s">
        <v>19512</v>
      </c>
    </row>
    <row r="1688" spans="1:12" ht="84" customHeight="1" x14ac:dyDescent="0.3">
      <c r="A1688" s="2">
        <v>1684</v>
      </c>
      <c r="B1688" s="66" t="s">
        <v>1919</v>
      </c>
      <c r="C1688" s="66"/>
      <c r="D1688" s="11" t="s">
        <v>1981</v>
      </c>
      <c r="E1688" s="11">
        <v>4600</v>
      </c>
      <c r="F1688" s="3">
        <v>41809</v>
      </c>
      <c r="G1688" s="207" t="s">
        <v>1061</v>
      </c>
      <c r="H1688" s="3">
        <v>43053</v>
      </c>
      <c r="I1688" s="2" t="s">
        <v>19506</v>
      </c>
      <c r="J1688" s="2" t="s">
        <v>13904</v>
      </c>
      <c r="K1688" s="2" t="s">
        <v>19841</v>
      </c>
      <c r="L1688" s="82" t="s">
        <v>19512</v>
      </c>
    </row>
    <row r="1689" spans="1:12" ht="84" customHeight="1" x14ac:dyDescent="0.3">
      <c r="A1689" s="2">
        <v>1685</v>
      </c>
      <c r="B1689" s="66" t="s">
        <v>1919</v>
      </c>
      <c r="C1689" s="66"/>
      <c r="D1689" s="11" t="s">
        <v>1981</v>
      </c>
      <c r="E1689" s="11">
        <v>4600</v>
      </c>
      <c r="F1689" s="3">
        <v>41809</v>
      </c>
      <c r="G1689" s="207" t="s">
        <v>1061</v>
      </c>
      <c r="H1689" s="3">
        <v>43053</v>
      </c>
      <c r="I1689" s="2" t="s">
        <v>19506</v>
      </c>
      <c r="J1689" s="2" t="s">
        <v>13904</v>
      </c>
      <c r="K1689" s="2" t="s">
        <v>19841</v>
      </c>
      <c r="L1689" s="82" t="s">
        <v>19512</v>
      </c>
    </row>
    <row r="1690" spans="1:12" ht="84" customHeight="1" x14ac:dyDescent="0.3">
      <c r="A1690" s="2">
        <v>1686</v>
      </c>
      <c r="B1690" s="66" t="s">
        <v>1919</v>
      </c>
      <c r="C1690" s="66"/>
      <c r="D1690" s="11" t="s">
        <v>1981</v>
      </c>
      <c r="E1690" s="11">
        <v>4600</v>
      </c>
      <c r="F1690" s="3">
        <v>41809</v>
      </c>
      <c r="G1690" s="207" t="s">
        <v>1061</v>
      </c>
      <c r="H1690" s="3">
        <v>43053</v>
      </c>
      <c r="I1690" s="2" t="s">
        <v>19506</v>
      </c>
      <c r="J1690" s="2" t="s">
        <v>13904</v>
      </c>
      <c r="K1690" s="2" t="s">
        <v>19841</v>
      </c>
      <c r="L1690" s="82" t="s">
        <v>19512</v>
      </c>
    </row>
    <row r="1691" spans="1:12" ht="84" customHeight="1" x14ac:dyDescent="0.3">
      <c r="A1691" s="2">
        <v>1687</v>
      </c>
      <c r="B1691" s="66" t="s">
        <v>1919</v>
      </c>
      <c r="C1691" s="66"/>
      <c r="D1691" s="11" t="s">
        <v>1981</v>
      </c>
      <c r="E1691" s="11">
        <v>4600</v>
      </c>
      <c r="F1691" s="3">
        <v>41809</v>
      </c>
      <c r="G1691" s="207" t="s">
        <v>1061</v>
      </c>
      <c r="H1691" s="3">
        <v>43053</v>
      </c>
      <c r="I1691" s="2" t="s">
        <v>19506</v>
      </c>
      <c r="J1691" s="2" t="s">
        <v>13904</v>
      </c>
      <c r="K1691" s="2" t="s">
        <v>19841</v>
      </c>
      <c r="L1691" s="82" t="s">
        <v>19512</v>
      </c>
    </row>
    <row r="1692" spans="1:12" ht="84" customHeight="1" x14ac:dyDescent="0.3">
      <c r="A1692" s="2">
        <v>1688</v>
      </c>
      <c r="B1692" s="66" t="s">
        <v>1919</v>
      </c>
      <c r="C1692" s="66"/>
      <c r="D1692" s="11" t="s">
        <v>1981</v>
      </c>
      <c r="E1692" s="11">
        <v>4600</v>
      </c>
      <c r="F1692" s="3">
        <v>41809</v>
      </c>
      <c r="G1692" s="207" t="s">
        <v>1061</v>
      </c>
      <c r="H1692" s="3">
        <v>43053</v>
      </c>
      <c r="I1692" s="2" t="s">
        <v>19506</v>
      </c>
      <c r="J1692" s="2" t="s">
        <v>13904</v>
      </c>
      <c r="K1692" s="2" t="s">
        <v>19841</v>
      </c>
      <c r="L1692" s="82" t="s">
        <v>19512</v>
      </c>
    </row>
    <row r="1693" spans="1:12" ht="84" customHeight="1" x14ac:dyDescent="0.3">
      <c r="A1693" s="2">
        <v>1689</v>
      </c>
      <c r="B1693" s="66" t="s">
        <v>1919</v>
      </c>
      <c r="C1693" s="66"/>
      <c r="D1693" s="11" t="s">
        <v>1981</v>
      </c>
      <c r="E1693" s="11">
        <v>4600</v>
      </c>
      <c r="F1693" s="3">
        <v>41809</v>
      </c>
      <c r="G1693" s="207" t="s">
        <v>1061</v>
      </c>
      <c r="H1693" s="3">
        <v>43053</v>
      </c>
      <c r="I1693" s="2" t="s">
        <v>19506</v>
      </c>
      <c r="J1693" s="2" t="s">
        <v>13904</v>
      </c>
      <c r="K1693" s="2" t="s">
        <v>19841</v>
      </c>
      <c r="L1693" s="82" t="s">
        <v>19512</v>
      </c>
    </row>
    <row r="1694" spans="1:12" ht="84" customHeight="1" x14ac:dyDescent="0.3">
      <c r="A1694" s="2">
        <v>1690</v>
      </c>
      <c r="B1694" s="66" t="s">
        <v>1919</v>
      </c>
      <c r="C1694" s="66"/>
      <c r="D1694" s="11" t="s">
        <v>1981</v>
      </c>
      <c r="E1694" s="11">
        <v>4600</v>
      </c>
      <c r="F1694" s="3">
        <v>41809</v>
      </c>
      <c r="G1694" s="207" t="s">
        <v>1061</v>
      </c>
      <c r="H1694" s="3">
        <v>43053</v>
      </c>
      <c r="I1694" s="2" t="s">
        <v>19506</v>
      </c>
      <c r="J1694" s="2" t="s">
        <v>13904</v>
      </c>
      <c r="K1694" s="2" t="s">
        <v>19841</v>
      </c>
      <c r="L1694" s="82" t="s">
        <v>19512</v>
      </c>
    </row>
    <row r="1695" spans="1:12" ht="84" customHeight="1" x14ac:dyDescent="0.3">
      <c r="A1695" s="2">
        <v>1691</v>
      </c>
      <c r="B1695" s="66" t="s">
        <v>1919</v>
      </c>
      <c r="C1695" s="66"/>
      <c r="D1695" s="11" t="s">
        <v>1981</v>
      </c>
      <c r="E1695" s="11">
        <v>4600</v>
      </c>
      <c r="F1695" s="3">
        <v>41809</v>
      </c>
      <c r="G1695" s="207" t="s">
        <v>1061</v>
      </c>
      <c r="H1695" s="3">
        <v>43053</v>
      </c>
      <c r="I1695" s="2" t="s">
        <v>19506</v>
      </c>
      <c r="J1695" s="2" t="s">
        <v>13904</v>
      </c>
      <c r="K1695" s="2" t="s">
        <v>19841</v>
      </c>
      <c r="L1695" s="82" t="s">
        <v>19512</v>
      </c>
    </row>
    <row r="1696" spans="1:12" ht="84" customHeight="1" x14ac:dyDescent="0.3">
      <c r="A1696" s="2">
        <v>1692</v>
      </c>
      <c r="B1696" s="66" t="s">
        <v>1920</v>
      </c>
      <c r="C1696" s="66"/>
      <c r="D1696" s="11" t="s">
        <v>1982</v>
      </c>
      <c r="E1696" s="11">
        <v>4919.24</v>
      </c>
      <c r="F1696" s="3">
        <v>41637</v>
      </c>
      <c r="G1696" s="207" t="s">
        <v>1061</v>
      </c>
      <c r="H1696" s="3">
        <v>43053</v>
      </c>
      <c r="I1696" s="2" t="s">
        <v>19506</v>
      </c>
      <c r="J1696" s="2" t="s">
        <v>13904</v>
      </c>
      <c r="K1696" s="2" t="s">
        <v>19841</v>
      </c>
      <c r="L1696" s="82" t="s">
        <v>19512</v>
      </c>
    </row>
    <row r="1697" spans="1:12" ht="84" customHeight="1" x14ac:dyDescent="0.3">
      <c r="A1697" s="2">
        <v>1693</v>
      </c>
      <c r="B1697" s="66" t="s">
        <v>1921</v>
      </c>
      <c r="C1697" s="66"/>
      <c r="D1697" s="11" t="s">
        <v>1983</v>
      </c>
      <c r="E1697" s="11">
        <v>3390</v>
      </c>
      <c r="F1697" s="3">
        <v>41508</v>
      </c>
      <c r="G1697" s="207" t="s">
        <v>1061</v>
      </c>
      <c r="H1697" s="3">
        <v>43053</v>
      </c>
      <c r="I1697" s="2" t="s">
        <v>19506</v>
      </c>
      <c r="J1697" s="2" t="s">
        <v>13904</v>
      </c>
      <c r="K1697" s="2" t="s">
        <v>19841</v>
      </c>
      <c r="L1697" s="82" t="s">
        <v>19512</v>
      </c>
    </row>
    <row r="1698" spans="1:12" ht="84" customHeight="1" x14ac:dyDescent="0.3">
      <c r="A1698" s="2">
        <v>1694</v>
      </c>
      <c r="B1698" s="66" t="s">
        <v>1922</v>
      </c>
      <c r="C1698" s="66"/>
      <c r="D1698" s="11" t="s">
        <v>1984</v>
      </c>
      <c r="E1698" s="11">
        <v>8600</v>
      </c>
      <c r="F1698" s="3">
        <v>41689</v>
      </c>
      <c r="G1698" s="207" t="s">
        <v>1061</v>
      </c>
      <c r="H1698" s="3">
        <v>43053</v>
      </c>
      <c r="I1698" s="2" t="s">
        <v>19506</v>
      </c>
      <c r="J1698" s="2" t="s">
        <v>13904</v>
      </c>
      <c r="K1698" s="2" t="s">
        <v>19841</v>
      </c>
      <c r="L1698" s="82" t="s">
        <v>19512</v>
      </c>
    </row>
    <row r="1699" spans="1:12" ht="84" customHeight="1" x14ac:dyDescent="0.3">
      <c r="A1699" s="2">
        <v>1695</v>
      </c>
      <c r="B1699" s="66" t="s">
        <v>1923</v>
      </c>
      <c r="C1699" s="66"/>
      <c r="D1699" s="11" t="s">
        <v>1985</v>
      </c>
      <c r="E1699" s="11">
        <v>5500</v>
      </c>
      <c r="F1699" s="3">
        <v>41857</v>
      </c>
      <c r="G1699" s="207" t="s">
        <v>1061</v>
      </c>
      <c r="H1699" s="3">
        <v>43053</v>
      </c>
      <c r="I1699" s="2" t="s">
        <v>19506</v>
      </c>
      <c r="J1699" s="2" t="s">
        <v>13904</v>
      </c>
      <c r="K1699" s="2" t="s">
        <v>19841</v>
      </c>
      <c r="L1699" s="82" t="s">
        <v>19512</v>
      </c>
    </row>
    <row r="1700" spans="1:12" ht="84" customHeight="1" x14ac:dyDescent="0.3">
      <c r="A1700" s="2">
        <v>1696</v>
      </c>
      <c r="B1700" s="66" t="s">
        <v>1923</v>
      </c>
      <c r="C1700" s="66"/>
      <c r="D1700" s="11" t="s">
        <v>1985</v>
      </c>
      <c r="E1700" s="11">
        <v>5500</v>
      </c>
      <c r="F1700" s="3">
        <v>41857</v>
      </c>
      <c r="G1700" s="207" t="s">
        <v>1061</v>
      </c>
      <c r="H1700" s="3">
        <v>43053</v>
      </c>
      <c r="I1700" s="2" t="s">
        <v>19506</v>
      </c>
      <c r="J1700" s="2" t="s">
        <v>13904</v>
      </c>
      <c r="K1700" s="2" t="s">
        <v>19841</v>
      </c>
      <c r="L1700" s="82" t="s">
        <v>19512</v>
      </c>
    </row>
    <row r="1701" spans="1:12" ht="84" customHeight="1" x14ac:dyDescent="0.3">
      <c r="A1701" s="2">
        <v>1697</v>
      </c>
      <c r="B1701" s="66" t="s">
        <v>1923</v>
      </c>
      <c r="C1701" s="66"/>
      <c r="D1701" s="11" t="s">
        <v>1985</v>
      </c>
      <c r="E1701" s="11">
        <v>5500</v>
      </c>
      <c r="F1701" s="3">
        <v>41857</v>
      </c>
      <c r="G1701" s="207" t="s">
        <v>1061</v>
      </c>
      <c r="H1701" s="3">
        <v>43053</v>
      </c>
      <c r="I1701" s="2" t="s">
        <v>19506</v>
      </c>
      <c r="J1701" s="2" t="s">
        <v>13904</v>
      </c>
      <c r="K1701" s="2" t="s">
        <v>19841</v>
      </c>
      <c r="L1701" s="82" t="s">
        <v>19512</v>
      </c>
    </row>
    <row r="1702" spans="1:12" ht="84" customHeight="1" x14ac:dyDescent="0.3">
      <c r="A1702" s="2">
        <v>1698</v>
      </c>
      <c r="B1702" s="66" t="s">
        <v>1924</v>
      </c>
      <c r="C1702" s="66"/>
      <c r="D1702" s="11" t="s">
        <v>1986</v>
      </c>
      <c r="E1702" s="11">
        <v>26090.91</v>
      </c>
      <c r="F1702" s="3">
        <v>39534</v>
      </c>
      <c r="G1702" s="207" t="s">
        <v>1061</v>
      </c>
      <c r="H1702" s="3">
        <v>43053</v>
      </c>
      <c r="I1702" s="2" t="s">
        <v>19506</v>
      </c>
      <c r="J1702" s="2" t="s">
        <v>13904</v>
      </c>
      <c r="K1702" s="2" t="s">
        <v>19841</v>
      </c>
      <c r="L1702" s="82" t="s">
        <v>19512</v>
      </c>
    </row>
    <row r="1703" spans="1:12" ht="84" customHeight="1" x14ac:dyDescent="0.3">
      <c r="A1703" s="2">
        <v>1699</v>
      </c>
      <c r="B1703" s="66" t="s">
        <v>1302</v>
      </c>
      <c r="C1703" s="66"/>
      <c r="D1703" s="11" t="s">
        <v>1987</v>
      </c>
      <c r="E1703" s="11">
        <v>6133.4</v>
      </c>
      <c r="F1703" s="3">
        <v>40081</v>
      </c>
      <c r="G1703" s="207" t="s">
        <v>1061</v>
      </c>
      <c r="H1703" s="3">
        <v>43053</v>
      </c>
      <c r="I1703" s="2" t="s">
        <v>19506</v>
      </c>
      <c r="J1703" s="2" t="s">
        <v>13904</v>
      </c>
      <c r="K1703" s="2" t="s">
        <v>19841</v>
      </c>
      <c r="L1703" s="82" t="s">
        <v>19512</v>
      </c>
    </row>
    <row r="1704" spans="1:12" ht="84" customHeight="1" x14ac:dyDescent="0.3">
      <c r="A1704" s="2">
        <v>1700</v>
      </c>
      <c r="B1704" s="66" t="s">
        <v>1925</v>
      </c>
      <c r="C1704" s="66"/>
      <c r="D1704" s="11" t="s">
        <v>1988</v>
      </c>
      <c r="E1704" s="11">
        <v>7600</v>
      </c>
      <c r="F1704" s="3">
        <v>39317</v>
      </c>
      <c r="G1704" s="207" t="s">
        <v>1061</v>
      </c>
      <c r="H1704" s="3">
        <v>43053</v>
      </c>
      <c r="I1704" s="2" t="s">
        <v>19506</v>
      </c>
      <c r="J1704" s="2" t="s">
        <v>13904</v>
      </c>
      <c r="K1704" s="2" t="s">
        <v>19841</v>
      </c>
      <c r="L1704" s="82" t="s">
        <v>19512</v>
      </c>
    </row>
    <row r="1705" spans="1:12" ht="84" customHeight="1" x14ac:dyDescent="0.3">
      <c r="A1705" s="2">
        <v>1701</v>
      </c>
      <c r="B1705" s="66" t="s">
        <v>1926</v>
      </c>
      <c r="C1705" s="66"/>
      <c r="D1705" s="11" t="s">
        <v>1989</v>
      </c>
      <c r="E1705" s="11">
        <v>80304</v>
      </c>
      <c r="F1705" s="3">
        <v>39744</v>
      </c>
      <c r="G1705" s="207" t="s">
        <v>1061</v>
      </c>
      <c r="H1705" s="3">
        <v>43053</v>
      </c>
      <c r="I1705" s="2" t="s">
        <v>19506</v>
      </c>
      <c r="J1705" s="2" t="s">
        <v>13904</v>
      </c>
      <c r="K1705" s="2" t="s">
        <v>19841</v>
      </c>
      <c r="L1705" s="82" t="s">
        <v>19512</v>
      </c>
    </row>
    <row r="1706" spans="1:12" ht="84" customHeight="1" x14ac:dyDescent="0.3">
      <c r="A1706" s="2">
        <v>1702</v>
      </c>
      <c r="B1706" s="66" t="s">
        <v>1927</v>
      </c>
      <c r="C1706" s="66"/>
      <c r="D1706" s="11" t="s">
        <v>1990</v>
      </c>
      <c r="E1706" s="11">
        <v>4902</v>
      </c>
      <c r="F1706" s="3">
        <v>38313</v>
      </c>
      <c r="G1706" s="207" t="s">
        <v>1061</v>
      </c>
      <c r="H1706" s="3">
        <v>43053</v>
      </c>
      <c r="I1706" s="2" t="s">
        <v>19506</v>
      </c>
      <c r="J1706" s="2" t="s">
        <v>13904</v>
      </c>
      <c r="K1706" s="2" t="s">
        <v>19841</v>
      </c>
      <c r="L1706" s="82" t="s">
        <v>19512</v>
      </c>
    </row>
    <row r="1707" spans="1:12" ht="84" customHeight="1" x14ac:dyDescent="0.3">
      <c r="A1707" s="2">
        <v>1703</v>
      </c>
      <c r="B1707" s="66" t="s">
        <v>1927</v>
      </c>
      <c r="C1707" s="66"/>
      <c r="D1707" s="11" t="s">
        <v>1990</v>
      </c>
      <c r="E1707" s="11">
        <v>4902</v>
      </c>
      <c r="F1707" s="3">
        <v>38315</v>
      </c>
      <c r="G1707" s="207" t="s">
        <v>1061</v>
      </c>
      <c r="H1707" s="3">
        <v>43053</v>
      </c>
      <c r="I1707" s="2" t="s">
        <v>19506</v>
      </c>
      <c r="J1707" s="2" t="s">
        <v>13904</v>
      </c>
      <c r="K1707" s="2" t="s">
        <v>19841</v>
      </c>
      <c r="L1707" s="82" t="s">
        <v>19512</v>
      </c>
    </row>
    <row r="1708" spans="1:12" ht="84" customHeight="1" x14ac:dyDescent="0.3">
      <c r="A1708" s="2">
        <v>1704</v>
      </c>
      <c r="B1708" s="66" t="s">
        <v>1927</v>
      </c>
      <c r="C1708" s="66"/>
      <c r="D1708" s="11" t="s">
        <v>1990</v>
      </c>
      <c r="E1708" s="11">
        <v>4902</v>
      </c>
      <c r="F1708" s="3">
        <v>38315</v>
      </c>
      <c r="G1708" s="207" t="s">
        <v>1061</v>
      </c>
      <c r="H1708" s="3">
        <v>43053</v>
      </c>
      <c r="I1708" s="2" t="s">
        <v>19506</v>
      </c>
      <c r="J1708" s="2" t="s">
        <v>13904</v>
      </c>
      <c r="K1708" s="2" t="s">
        <v>19841</v>
      </c>
      <c r="L1708" s="82" t="s">
        <v>19512</v>
      </c>
    </row>
    <row r="1709" spans="1:12" ht="84" customHeight="1" x14ac:dyDescent="0.3">
      <c r="A1709" s="2">
        <v>1705</v>
      </c>
      <c r="B1709" s="66" t="s">
        <v>1928</v>
      </c>
      <c r="C1709" s="66"/>
      <c r="D1709" s="11" t="s">
        <v>1256</v>
      </c>
      <c r="E1709" s="11">
        <v>3200</v>
      </c>
      <c r="F1709" s="3">
        <v>39570</v>
      </c>
      <c r="G1709" s="207" t="s">
        <v>1061</v>
      </c>
      <c r="H1709" s="3">
        <v>43053</v>
      </c>
      <c r="I1709" s="2" t="s">
        <v>19506</v>
      </c>
      <c r="J1709" s="2" t="s">
        <v>13904</v>
      </c>
      <c r="K1709" s="2" t="s">
        <v>19841</v>
      </c>
      <c r="L1709" s="82" t="s">
        <v>19512</v>
      </c>
    </row>
    <row r="1710" spans="1:12" ht="84" customHeight="1" x14ac:dyDescent="0.3">
      <c r="A1710" s="2">
        <v>1706</v>
      </c>
      <c r="B1710" s="66" t="s">
        <v>1929</v>
      </c>
      <c r="C1710" s="66"/>
      <c r="D1710" s="11" t="s">
        <v>1991</v>
      </c>
      <c r="E1710" s="11">
        <v>3760</v>
      </c>
      <c r="F1710" s="3">
        <v>39552</v>
      </c>
      <c r="G1710" s="207" t="s">
        <v>1061</v>
      </c>
      <c r="H1710" s="3">
        <v>43053</v>
      </c>
      <c r="I1710" s="2" t="s">
        <v>19506</v>
      </c>
      <c r="J1710" s="2" t="s">
        <v>13904</v>
      </c>
      <c r="K1710" s="2" t="s">
        <v>19841</v>
      </c>
      <c r="L1710" s="82" t="s">
        <v>19512</v>
      </c>
    </row>
    <row r="1711" spans="1:12" ht="84" customHeight="1" x14ac:dyDescent="0.3">
      <c r="A1711" s="2">
        <v>1707</v>
      </c>
      <c r="B1711" s="66" t="s">
        <v>1929</v>
      </c>
      <c r="C1711" s="66"/>
      <c r="D1711" s="11" t="s">
        <v>1992</v>
      </c>
      <c r="E1711" s="11">
        <v>3240</v>
      </c>
      <c r="F1711" s="3">
        <v>39570</v>
      </c>
      <c r="G1711" s="207" t="s">
        <v>1061</v>
      </c>
      <c r="H1711" s="3">
        <v>43053</v>
      </c>
      <c r="I1711" s="2" t="s">
        <v>19506</v>
      </c>
      <c r="J1711" s="2" t="s">
        <v>13904</v>
      </c>
      <c r="K1711" s="2" t="s">
        <v>19841</v>
      </c>
      <c r="L1711" s="82" t="s">
        <v>19512</v>
      </c>
    </row>
    <row r="1712" spans="1:12" ht="84" customHeight="1" x14ac:dyDescent="0.3">
      <c r="A1712" s="2">
        <v>1708</v>
      </c>
      <c r="B1712" s="66" t="s">
        <v>1930</v>
      </c>
      <c r="C1712" s="66"/>
      <c r="D1712" s="11" t="s">
        <v>1993</v>
      </c>
      <c r="E1712" s="11">
        <v>5760</v>
      </c>
      <c r="F1712" s="3">
        <v>39570</v>
      </c>
      <c r="G1712" s="207" t="s">
        <v>1061</v>
      </c>
      <c r="H1712" s="3">
        <v>43053</v>
      </c>
      <c r="I1712" s="2" t="s">
        <v>19506</v>
      </c>
      <c r="J1712" s="2" t="s">
        <v>13904</v>
      </c>
      <c r="K1712" s="2" t="s">
        <v>19841</v>
      </c>
      <c r="L1712" s="82" t="s">
        <v>19512</v>
      </c>
    </row>
    <row r="1713" spans="1:12" ht="84" customHeight="1" x14ac:dyDescent="0.3">
      <c r="A1713" s="2">
        <v>1709</v>
      </c>
      <c r="B1713" s="66" t="s">
        <v>1931</v>
      </c>
      <c r="C1713" s="66"/>
      <c r="D1713" s="11" t="s">
        <v>1052</v>
      </c>
      <c r="E1713" s="11">
        <v>6800</v>
      </c>
      <c r="F1713" s="3">
        <v>39693</v>
      </c>
      <c r="G1713" s="207" t="s">
        <v>1061</v>
      </c>
      <c r="H1713" s="3">
        <v>43053</v>
      </c>
      <c r="I1713" s="2" t="s">
        <v>19506</v>
      </c>
      <c r="J1713" s="2" t="s">
        <v>13904</v>
      </c>
      <c r="K1713" s="2" t="s">
        <v>19841</v>
      </c>
      <c r="L1713" s="82" t="s">
        <v>19512</v>
      </c>
    </row>
    <row r="1714" spans="1:12" ht="84" customHeight="1" x14ac:dyDescent="0.3">
      <c r="A1714" s="2">
        <v>1710</v>
      </c>
      <c r="B1714" s="66" t="s">
        <v>1932</v>
      </c>
      <c r="C1714" s="66"/>
      <c r="D1714" s="11" t="s">
        <v>1994</v>
      </c>
      <c r="E1714" s="11">
        <v>16370</v>
      </c>
      <c r="F1714" s="3">
        <v>39373</v>
      </c>
      <c r="G1714" s="207" t="s">
        <v>1061</v>
      </c>
      <c r="H1714" s="3">
        <v>43053</v>
      </c>
      <c r="I1714" s="2" t="s">
        <v>19506</v>
      </c>
      <c r="J1714" s="2" t="s">
        <v>13904</v>
      </c>
      <c r="K1714" s="2" t="s">
        <v>19841</v>
      </c>
      <c r="L1714" s="82" t="s">
        <v>19512</v>
      </c>
    </row>
    <row r="1715" spans="1:12" ht="84" customHeight="1" x14ac:dyDescent="0.3">
      <c r="A1715" s="2">
        <v>1711</v>
      </c>
      <c r="B1715" s="66" t="s">
        <v>1933</v>
      </c>
      <c r="C1715" s="66"/>
      <c r="D1715" s="11" t="s">
        <v>1995</v>
      </c>
      <c r="E1715" s="11">
        <v>3589.85</v>
      </c>
      <c r="F1715" s="3">
        <v>38476</v>
      </c>
      <c r="G1715" s="207" t="s">
        <v>1061</v>
      </c>
      <c r="H1715" s="3">
        <v>43053</v>
      </c>
      <c r="I1715" s="2" t="s">
        <v>19506</v>
      </c>
      <c r="J1715" s="2" t="s">
        <v>13904</v>
      </c>
      <c r="K1715" s="2" t="s">
        <v>19841</v>
      </c>
      <c r="L1715" s="82" t="s">
        <v>19512</v>
      </c>
    </row>
    <row r="1716" spans="1:12" ht="84" customHeight="1" x14ac:dyDescent="0.3">
      <c r="A1716" s="2">
        <v>1712</v>
      </c>
      <c r="B1716" s="66" t="s">
        <v>1933</v>
      </c>
      <c r="C1716" s="66"/>
      <c r="D1716" s="11" t="s">
        <v>1995</v>
      </c>
      <c r="E1716" s="11">
        <v>3589.85</v>
      </c>
      <c r="F1716" s="3">
        <v>38476</v>
      </c>
      <c r="G1716" s="207" t="s">
        <v>1061</v>
      </c>
      <c r="H1716" s="3">
        <v>43053</v>
      </c>
      <c r="I1716" s="2" t="s">
        <v>19506</v>
      </c>
      <c r="J1716" s="2" t="s">
        <v>13904</v>
      </c>
      <c r="K1716" s="2" t="s">
        <v>19841</v>
      </c>
      <c r="L1716" s="82" t="s">
        <v>19512</v>
      </c>
    </row>
    <row r="1717" spans="1:12" ht="84" customHeight="1" x14ac:dyDescent="0.3">
      <c r="A1717" s="2">
        <v>1713</v>
      </c>
      <c r="B1717" s="66" t="s">
        <v>1934</v>
      </c>
      <c r="C1717" s="66"/>
      <c r="D1717" s="11" t="s">
        <v>1996</v>
      </c>
      <c r="E1717" s="11">
        <v>92502</v>
      </c>
      <c r="F1717" s="3">
        <v>39368</v>
      </c>
      <c r="G1717" s="207" t="s">
        <v>1061</v>
      </c>
      <c r="H1717" s="3">
        <v>43053</v>
      </c>
      <c r="I1717" s="2" t="s">
        <v>19506</v>
      </c>
      <c r="J1717" s="2" t="s">
        <v>13904</v>
      </c>
      <c r="K1717" s="2" t="s">
        <v>19841</v>
      </c>
      <c r="L1717" s="82" t="s">
        <v>19512</v>
      </c>
    </row>
    <row r="1718" spans="1:12" ht="84" customHeight="1" x14ac:dyDescent="0.3">
      <c r="A1718" s="2">
        <v>1714</v>
      </c>
      <c r="B1718" s="66" t="s">
        <v>1935</v>
      </c>
      <c r="C1718" s="66"/>
      <c r="D1718" s="11" t="s">
        <v>1997</v>
      </c>
      <c r="E1718" s="11">
        <v>72784</v>
      </c>
      <c r="F1718" s="3">
        <v>39616</v>
      </c>
      <c r="G1718" s="207" t="s">
        <v>1061</v>
      </c>
      <c r="H1718" s="3">
        <v>43053</v>
      </c>
      <c r="I1718" s="2" t="s">
        <v>19506</v>
      </c>
      <c r="J1718" s="2" t="s">
        <v>13904</v>
      </c>
      <c r="K1718" s="2" t="s">
        <v>19841</v>
      </c>
      <c r="L1718" s="82" t="s">
        <v>19512</v>
      </c>
    </row>
    <row r="1719" spans="1:12" ht="84" customHeight="1" x14ac:dyDescent="0.3">
      <c r="A1719" s="2">
        <v>1715</v>
      </c>
      <c r="B1719" s="66" t="s">
        <v>1936</v>
      </c>
      <c r="C1719" s="66"/>
      <c r="D1719" s="11" t="s">
        <v>1998</v>
      </c>
      <c r="E1719" s="11">
        <v>3270</v>
      </c>
      <c r="F1719" s="3">
        <v>39206</v>
      </c>
      <c r="G1719" s="207" t="s">
        <v>1061</v>
      </c>
      <c r="H1719" s="3">
        <v>43053</v>
      </c>
      <c r="I1719" s="2" t="s">
        <v>19506</v>
      </c>
      <c r="J1719" s="2" t="s">
        <v>13904</v>
      </c>
      <c r="K1719" s="2" t="s">
        <v>19841</v>
      </c>
      <c r="L1719" s="82" t="s">
        <v>19512</v>
      </c>
    </row>
    <row r="1720" spans="1:12" ht="84" customHeight="1" x14ac:dyDescent="0.3">
      <c r="A1720" s="2">
        <v>1716</v>
      </c>
      <c r="B1720" s="66" t="s">
        <v>1937</v>
      </c>
      <c r="C1720" s="66"/>
      <c r="D1720" s="11" t="s">
        <v>1999</v>
      </c>
      <c r="E1720" s="11">
        <v>4000</v>
      </c>
      <c r="F1720" s="3">
        <v>39206</v>
      </c>
      <c r="G1720" s="207" t="s">
        <v>1061</v>
      </c>
      <c r="H1720" s="3">
        <v>43053</v>
      </c>
      <c r="I1720" s="2" t="s">
        <v>19506</v>
      </c>
      <c r="J1720" s="2" t="s">
        <v>13904</v>
      </c>
      <c r="K1720" s="2" t="s">
        <v>19841</v>
      </c>
      <c r="L1720" s="82" t="s">
        <v>19512</v>
      </c>
    </row>
    <row r="1721" spans="1:12" ht="84" customHeight="1" x14ac:dyDescent="0.3">
      <c r="A1721" s="2">
        <v>1717</v>
      </c>
      <c r="B1721" s="66" t="s">
        <v>1938</v>
      </c>
      <c r="C1721" s="66"/>
      <c r="D1721" s="11" t="s">
        <v>2000</v>
      </c>
      <c r="E1721" s="11">
        <v>6313</v>
      </c>
      <c r="F1721" s="3">
        <v>38595</v>
      </c>
      <c r="G1721" s="207" t="s">
        <v>1061</v>
      </c>
      <c r="H1721" s="3">
        <v>43053</v>
      </c>
      <c r="I1721" s="2" t="s">
        <v>19506</v>
      </c>
      <c r="J1721" s="2" t="s">
        <v>13904</v>
      </c>
      <c r="K1721" s="2" t="s">
        <v>19841</v>
      </c>
      <c r="L1721" s="82" t="s">
        <v>19512</v>
      </c>
    </row>
    <row r="1722" spans="1:12" ht="84" customHeight="1" x14ac:dyDescent="0.3">
      <c r="A1722" s="2">
        <v>1718</v>
      </c>
      <c r="B1722" s="66" t="s">
        <v>1939</v>
      </c>
      <c r="C1722" s="66"/>
      <c r="D1722" s="11" t="s">
        <v>2001</v>
      </c>
      <c r="E1722" s="11">
        <v>4890</v>
      </c>
      <c r="F1722" s="3">
        <v>39268</v>
      </c>
      <c r="G1722" s="207" t="s">
        <v>1061</v>
      </c>
      <c r="H1722" s="3">
        <v>43053</v>
      </c>
      <c r="I1722" s="2" t="s">
        <v>19506</v>
      </c>
      <c r="J1722" s="2" t="s">
        <v>13904</v>
      </c>
      <c r="K1722" s="2" t="s">
        <v>19841</v>
      </c>
      <c r="L1722" s="82" t="s">
        <v>19512</v>
      </c>
    </row>
    <row r="1723" spans="1:12" ht="84" customHeight="1" x14ac:dyDescent="0.3">
      <c r="A1723" s="2">
        <v>1719</v>
      </c>
      <c r="B1723" s="66" t="s">
        <v>1812</v>
      </c>
      <c r="C1723" s="66"/>
      <c r="D1723" s="11" t="s">
        <v>2002</v>
      </c>
      <c r="E1723" s="11">
        <v>16849</v>
      </c>
      <c r="F1723" s="3">
        <v>40268</v>
      </c>
      <c r="G1723" s="207" t="s">
        <v>1061</v>
      </c>
      <c r="H1723" s="3">
        <v>43053</v>
      </c>
      <c r="I1723" s="2" t="s">
        <v>19506</v>
      </c>
      <c r="J1723" s="2" t="s">
        <v>13904</v>
      </c>
      <c r="K1723" s="2" t="s">
        <v>19841</v>
      </c>
      <c r="L1723" s="82" t="s">
        <v>19512</v>
      </c>
    </row>
    <row r="1724" spans="1:12" ht="84" customHeight="1" x14ac:dyDescent="0.3">
      <c r="A1724" s="2">
        <v>1720</v>
      </c>
      <c r="B1724" s="66" t="s">
        <v>1940</v>
      </c>
      <c r="C1724" s="66"/>
      <c r="D1724" s="11" t="s">
        <v>2003</v>
      </c>
      <c r="E1724" s="11">
        <v>4760</v>
      </c>
      <c r="F1724" s="3">
        <v>39206</v>
      </c>
      <c r="G1724" s="207" t="s">
        <v>1061</v>
      </c>
      <c r="H1724" s="3">
        <v>43053</v>
      </c>
      <c r="I1724" s="2" t="s">
        <v>19506</v>
      </c>
      <c r="J1724" s="2" t="s">
        <v>13904</v>
      </c>
      <c r="K1724" s="2" t="s">
        <v>19841</v>
      </c>
      <c r="L1724" s="82" t="s">
        <v>19512</v>
      </c>
    </row>
    <row r="1725" spans="1:12" ht="84" customHeight="1" x14ac:dyDescent="0.3">
      <c r="A1725" s="2">
        <v>1721</v>
      </c>
      <c r="B1725" s="66" t="s">
        <v>885</v>
      </c>
      <c r="C1725" s="66"/>
      <c r="D1725" s="11" t="s">
        <v>2004</v>
      </c>
      <c r="E1725" s="11">
        <v>4265.88</v>
      </c>
      <c r="F1725" s="3">
        <v>38153</v>
      </c>
      <c r="G1725" s="207" t="s">
        <v>1061</v>
      </c>
      <c r="H1725" s="3">
        <v>43053</v>
      </c>
      <c r="I1725" s="2" t="s">
        <v>19506</v>
      </c>
      <c r="J1725" s="2" t="s">
        <v>13904</v>
      </c>
      <c r="K1725" s="2" t="s">
        <v>19841</v>
      </c>
      <c r="L1725" s="82" t="s">
        <v>19512</v>
      </c>
    </row>
    <row r="1726" spans="1:12" ht="84" customHeight="1" x14ac:dyDescent="0.3">
      <c r="A1726" s="2">
        <v>1722</v>
      </c>
      <c r="B1726" s="66" t="s">
        <v>885</v>
      </c>
      <c r="C1726" s="66"/>
      <c r="D1726" s="11" t="s">
        <v>2004</v>
      </c>
      <c r="E1726" s="11">
        <v>4265.88</v>
      </c>
      <c r="F1726" s="3">
        <v>38153</v>
      </c>
      <c r="G1726" s="207" t="s">
        <v>1061</v>
      </c>
      <c r="H1726" s="3">
        <v>43053</v>
      </c>
      <c r="I1726" s="2" t="s">
        <v>19506</v>
      </c>
      <c r="J1726" s="2" t="s">
        <v>13904</v>
      </c>
      <c r="K1726" s="2" t="s">
        <v>19841</v>
      </c>
      <c r="L1726" s="82" t="s">
        <v>19512</v>
      </c>
    </row>
    <row r="1727" spans="1:12" ht="84" customHeight="1" x14ac:dyDescent="0.3">
      <c r="A1727" s="2">
        <v>1723</v>
      </c>
      <c r="B1727" s="66" t="s">
        <v>1941</v>
      </c>
      <c r="C1727" s="66"/>
      <c r="D1727" s="11" t="s">
        <v>2005</v>
      </c>
      <c r="E1727" s="11">
        <v>3130</v>
      </c>
      <c r="F1727" s="3">
        <v>39163</v>
      </c>
      <c r="G1727" s="207" t="s">
        <v>1061</v>
      </c>
      <c r="H1727" s="3">
        <v>43053</v>
      </c>
      <c r="I1727" s="2" t="s">
        <v>19506</v>
      </c>
      <c r="J1727" s="2" t="s">
        <v>13904</v>
      </c>
      <c r="K1727" s="2" t="s">
        <v>19841</v>
      </c>
      <c r="L1727" s="82" t="s">
        <v>19512</v>
      </c>
    </row>
    <row r="1728" spans="1:12" ht="84" customHeight="1" x14ac:dyDescent="0.3">
      <c r="A1728" s="2">
        <v>1724</v>
      </c>
      <c r="B1728" s="66" t="s">
        <v>1942</v>
      </c>
      <c r="C1728" s="66"/>
      <c r="D1728" s="11" t="s">
        <v>2006</v>
      </c>
      <c r="E1728" s="11">
        <v>9064.7099999999991</v>
      </c>
      <c r="F1728" s="3">
        <v>39527</v>
      </c>
      <c r="G1728" s="207" t="s">
        <v>1061</v>
      </c>
      <c r="H1728" s="3">
        <v>43053</v>
      </c>
      <c r="I1728" s="2" t="s">
        <v>19506</v>
      </c>
      <c r="J1728" s="2" t="s">
        <v>13904</v>
      </c>
      <c r="K1728" s="2" t="s">
        <v>19841</v>
      </c>
      <c r="L1728" s="82" t="s">
        <v>19512</v>
      </c>
    </row>
    <row r="1729" spans="1:12" ht="84" customHeight="1" x14ac:dyDescent="0.3">
      <c r="A1729" s="2">
        <v>1725</v>
      </c>
      <c r="B1729" s="66" t="s">
        <v>1943</v>
      </c>
      <c r="C1729" s="66"/>
      <c r="D1729" s="11" t="s">
        <v>2007</v>
      </c>
      <c r="E1729" s="11">
        <v>18797</v>
      </c>
      <c r="F1729" s="3">
        <v>39630</v>
      </c>
      <c r="G1729" s="207" t="s">
        <v>1061</v>
      </c>
      <c r="H1729" s="3">
        <v>43053</v>
      </c>
      <c r="I1729" s="2" t="s">
        <v>19506</v>
      </c>
      <c r="J1729" s="2" t="s">
        <v>13904</v>
      </c>
      <c r="K1729" s="2" t="s">
        <v>19841</v>
      </c>
      <c r="L1729" s="82" t="s">
        <v>19512</v>
      </c>
    </row>
    <row r="1730" spans="1:12" ht="84" customHeight="1" x14ac:dyDescent="0.3">
      <c r="A1730" s="2">
        <v>1726</v>
      </c>
      <c r="B1730" s="66" t="s">
        <v>1944</v>
      </c>
      <c r="C1730" s="66"/>
      <c r="D1730" s="11" t="s">
        <v>2008</v>
      </c>
      <c r="E1730" s="11">
        <v>4503.78</v>
      </c>
      <c r="F1730" s="3">
        <v>39401</v>
      </c>
      <c r="G1730" s="207" t="s">
        <v>1061</v>
      </c>
      <c r="H1730" s="3">
        <v>43053</v>
      </c>
      <c r="I1730" s="2" t="s">
        <v>19506</v>
      </c>
      <c r="J1730" s="2" t="s">
        <v>13904</v>
      </c>
      <c r="K1730" s="2" t="s">
        <v>19841</v>
      </c>
      <c r="L1730" s="82" t="s">
        <v>19512</v>
      </c>
    </row>
    <row r="1731" spans="1:12" ht="84" customHeight="1" x14ac:dyDescent="0.3">
      <c r="A1731" s="2">
        <v>1727</v>
      </c>
      <c r="B1731" s="66" t="s">
        <v>1945</v>
      </c>
      <c r="C1731" s="66"/>
      <c r="D1731" s="11" t="s">
        <v>2009</v>
      </c>
      <c r="E1731" s="11">
        <v>55800</v>
      </c>
      <c r="F1731" s="3">
        <v>39374</v>
      </c>
      <c r="G1731" s="207" t="s">
        <v>1061</v>
      </c>
      <c r="H1731" s="3">
        <v>43053</v>
      </c>
      <c r="I1731" s="2" t="s">
        <v>19506</v>
      </c>
      <c r="J1731" s="2" t="s">
        <v>13904</v>
      </c>
      <c r="K1731" s="2" t="s">
        <v>19841</v>
      </c>
      <c r="L1731" s="82" t="s">
        <v>19512</v>
      </c>
    </row>
    <row r="1732" spans="1:12" ht="84" customHeight="1" x14ac:dyDescent="0.3">
      <c r="A1732" s="2">
        <v>1728</v>
      </c>
      <c r="B1732" s="66" t="s">
        <v>1946</v>
      </c>
      <c r="C1732" s="66"/>
      <c r="D1732" s="11" t="s">
        <v>2010</v>
      </c>
      <c r="E1732" s="11">
        <v>85064</v>
      </c>
      <c r="F1732" s="3">
        <v>39616</v>
      </c>
      <c r="G1732" s="207" t="s">
        <v>1061</v>
      </c>
      <c r="H1732" s="3">
        <v>43053</v>
      </c>
      <c r="I1732" s="2" t="s">
        <v>19506</v>
      </c>
      <c r="J1732" s="2" t="s">
        <v>13904</v>
      </c>
      <c r="K1732" s="2" t="s">
        <v>19841</v>
      </c>
      <c r="L1732" s="82" t="s">
        <v>19512</v>
      </c>
    </row>
    <row r="1733" spans="1:12" ht="84" customHeight="1" x14ac:dyDescent="0.3">
      <c r="A1733" s="2">
        <v>1729</v>
      </c>
      <c r="B1733" s="66" t="s">
        <v>1946</v>
      </c>
      <c r="C1733" s="66"/>
      <c r="D1733" s="11" t="s">
        <v>2010</v>
      </c>
      <c r="E1733" s="11">
        <v>85064</v>
      </c>
      <c r="F1733" s="3">
        <v>39696</v>
      </c>
      <c r="G1733" s="207" t="s">
        <v>1061</v>
      </c>
      <c r="H1733" s="3">
        <v>43053</v>
      </c>
      <c r="I1733" s="2" t="s">
        <v>19506</v>
      </c>
      <c r="J1733" s="2" t="s">
        <v>13904</v>
      </c>
      <c r="K1733" s="2" t="s">
        <v>19841</v>
      </c>
      <c r="L1733" s="82" t="s">
        <v>19512</v>
      </c>
    </row>
    <row r="1734" spans="1:12" ht="84" customHeight="1" x14ac:dyDescent="0.3">
      <c r="A1734" s="2">
        <v>1730</v>
      </c>
      <c r="B1734" s="66" t="s">
        <v>1947</v>
      </c>
      <c r="C1734" s="66"/>
      <c r="D1734" s="11" t="s">
        <v>2011</v>
      </c>
      <c r="E1734" s="11">
        <v>14940</v>
      </c>
      <c r="F1734" s="3">
        <v>39744</v>
      </c>
      <c r="G1734" s="207" t="s">
        <v>1061</v>
      </c>
      <c r="H1734" s="3">
        <v>43053</v>
      </c>
      <c r="I1734" s="2" t="s">
        <v>19506</v>
      </c>
      <c r="J1734" s="2" t="s">
        <v>13904</v>
      </c>
      <c r="K1734" s="2" t="s">
        <v>19841</v>
      </c>
      <c r="L1734" s="82" t="s">
        <v>19512</v>
      </c>
    </row>
    <row r="1735" spans="1:12" ht="84" customHeight="1" x14ac:dyDescent="0.3">
      <c r="A1735" s="2">
        <v>1731</v>
      </c>
      <c r="B1735" s="66" t="s">
        <v>1948</v>
      </c>
      <c r="C1735" s="66"/>
      <c r="D1735" s="11" t="s">
        <v>2012</v>
      </c>
      <c r="E1735" s="11">
        <v>3100</v>
      </c>
      <c r="F1735" s="3">
        <v>40715</v>
      </c>
      <c r="G1735" s="207" t="s">
        <v>1061</v>
      </c>
      <c r="H1735" s="3">
        <v>43053</v>
      </c>
      <c r="I1735" s="2" t="s">
        <v>19506</v>
      </c>
      <c r="J1735" s="2" t="s">
        <v>13904</v>
      </c>
      <c r="K1735" s="2" t="s">
        <v>19841</v>
      </c>
      <c r="L1735" s="82" t="s">
        <v>19512</v>
      </c>
    </row>
    <row r="1736" spans="1:12" ht="84" customHeight="1" x14ac:dyDescent="0.3">
      <c r="A1736" s="2">
        <v>1732</v>
      </c>
      <c r="B1736" s="66" t="s">
        <v>1949</v>
      </c>
      <c r="C1736" s="66"/>
      <c r="D1736" s="11" t="s">
        <v>2013</v>
      </c>
      <c r="E1736" s="11">
        <v>23050</v>
      </c>
      <c r="F1736" s="3">
        <v>40791</v>
      </c>
      <c r="G1736" s="207" t="s">
        <v>1061</v>
      </c>
      <c r="H1736" s="3">
        <v>43053</v>
      </c>
      <c r="I1736" s="2" t="s">
        <v>19506</v>
      </c>
      <c r="J1736" s="2" t="s">
        <v>13904</v>
      </c>
      <c r="K1736" s="2" t="s">
        <v>19841</v>
      </c>
      <c r="L1736" s="82" t="s">
        <v>19512</v>
      </c>
    </row>
    <row r="1737" spans="1:12" ht="84" customHeight="1" x14ac:dyDescent="0.3">
      <c r="A1737" s="2">
        <v>1733</v>
      </c>
      <c r="B1737" s="66" t="s">
        <v>1203</v>
      </c>
      <c r="C1737" s="66"/>
      <c r="D1737" s="11" t="s">
        <v>1506</v>
      </c>
      <c r="E1737" s="11">
        <v>10000</v>
      </c>
      <c r="F1737" s="3">
        <v>40816</v>
      </c>
      <c r="G1737" s="207" t="s">
        <v>1061</v>
      </c>
      <c r="H1737" s="3">
        <v>43053</v>
      </c>
      <c r="I1737" s="2" t="s">
        <v>19506</v>
      </c>
      <c r="J1737" s="2" t="s">
        <v>13904</v>
      </c>
      <c r="K1737" s="2" t="s">
        <v>19841</v>
      </c>
      <c r="L1737" s="82" t="s">
        <v>19512</v>
      </c>
    </row>
    <row r="1738" spans="1:12" ht="84" customHeight="1" x14ac:dyDescent="0.3">
      <c r="A1738" s="2">
        <v>1734</v>
      </c>
      <c r="B1738" s="66" t="s">
        <v>1950</v>
      </c>
      <c r="C1738" s="66"/>
      <c r="D1738" s="11" t="s">
        <v>951</v>
      </c>
      <c r="E1738" s="11">
        <v>3600</v>
      </c>
      <c r="F1738" s="3">
        <v>40841</v>
      </c>
      <c r="G1738" s="207" t="s">
        <v>1061</v>
      </c>
      <c r="H1738" s="3">
        <v>43053</v>
      </c>
      <c r="I1738" s="2" t="s">
        <v>19506</v>
      </c>
      <c r="J1738" s="2" t="s">
        <v>13904</v>
      </c>
      <c r="K1738" s="2" t="s">
        <v>19841</v>
      </c>
      <c r="L1738" s="82" t="s">
        <v>19512</v>
      </c>
    </row>
    <row r="1739" spans="1:12" ht="84" customHeight="1" x14ac:dyDescent="0.3">
      <c r="A1739" s="2">
        <v>1735</v>
      </c>
      <c r="B1739" s="66" t="s">
        <v>1951</v>
      </c>
      <c r="C1739" s="66"/>
      <c r="D1739" s="11" t="s">
        <v>1250</v>
      </c>
      <c r="E1739" s="11">
        <v>8100</v>
      </c>
      <c r="F1739" s="3">
        <v>40841</v>
      </c>
      <c r="G1739" s="207" t="s">
        <v>1061</v>
      </c>
      <c r="H1739" s="3">
        <v>43053</v>
      </c>
      <c r="I1739" s="2" t="s">
        <v>19506</v>
      </c>
      <c r="J1739" s="2" t="s">
        <v>13904</v>
      </c>
      <c r="K1739" s="2" t="s">
        <v>19841</v>
      </c>
      <c r="L1739" s="82" t="s">
        <v>19512</v>
      </c>
    </row>
    <row r="1740" spans="1:12" ht="84" customHeight="1" x14ac:dyDescent="0.3">
      <c r="A1740" s="2">
        <v>1736</v>
      </c>
      <c r="B1740" s="66" t="s">
        <v>1951</v>
      </c>
      <c r="C1740" s="66"/>
      <c r="D1740" s="11" t="s">
        <v>1250</v>
      </c>
      <c r="E1740" s="11">
        <v>8100</v>
      </c>
      <c r="F1740" s="3">
        <v>40841</v>
      </c>
      <c r="G1740" s="207" t="s">
        <v>1061</v>
      </c>
      <c r="H1740" s="3">
        <v>43053</v>
      </c>
      <c r="I1740" s="2" t="s">
        <v>19506</v>
      </c>
      <c r="J1740" s="2" t="s">
        <v>13904</v>
      </c>
      <c r="K1740" s="2" t="s">
        <v>19841</v>
      </c>
      <c r="L1740" s="82" t="s">
        <v>19512</v>
      </c>
    </row>
    <row r="1741" spans="1:12" ht="84" customHeight="1" x14ac:dyDescent="0.3">
      <c r="A1741" s="2">
        <v>1737</v>
      </c>
      <c r="B1741" s="66" t="s">
        <v>1952</v>
      </c>
      <c r="C1741" s="66"/>
      <c r="D1741" s="11" t="s">
        <v>2014</v>
      </c>
      <c r="E1741" s="11">
        <v>13300</v>
      </c>
      <c r="F1741" s="3">
        <v>40841</v>
      </c>
      <c r="G1741" s="207" t="s">
        <v>1061</v>
      </c>
      <c r="H1741" s="3">
        <v>43053</v>
      </c>
      <c r="I1741" s="2" t="s">
        <v>19506</v>
      </c>
      <c r="J1741" s="2" t="s">
        <v>13904</v>
      </c>
      <c r="K1741" s="2" t="s">
        <v>19841</v>
      </c>
      <c r="L1741" s="82" t="s">
        <v>19512</v>
      </c>
    </row>
    <row r="1742" spans="1:12" ht="84" customHeight="1" x14ac:dyDescent="0.3">
      <c r="A1742" s="2">
        <v>1738</v>
      </c>
      <c r="B1742" s="66" t="s">
        <v>1953</v>
      </c>
      <c r="C1742" s="66"/>
      <c r="D1742" s="11" t="s">
        <v>951</v>
      </c>
      <c r="E1742" s="11">
        <v>3600</v>
      </c>
      <c r="F1742" s="3">
        <v>40848</v>
      </c>
      <c r="G1742" s="207" t="s">
        <v>1061</v>
      </c>
      <c r="H1742" s="3">
        <v>43053</v>
      </c>
      <c r="I1742" s="2" t="s">
        <v>19506</v>
      </c>
      <c r="J1742" s="2" t="s">
        <v>13904</v>
      </c>
      <c r="K1742" s="2" t="s">
        <v>19841</v>
      </c>
      <c r="L1742" s="82" t="s">
        <v>19512</v>
      </c>
    </row>
    <row r="1743" spans="1:12" ht="84" customHeight="1" x14ac:dyDescent="0.3">
      <c r="A1743" s="2">
        <v>1739</v>
      </c>
      <c r="B1743" s="66" t="s">
        <v>1954</v>
      </c>
      <c r="C1743" s="66"/>
      <c r="D1743" s="11" t="s">
        <v>2015</v>
      </c>
      <c r="E1743" s="11">
        <v>3900</v>
      </c>
      <c r="F1743" s="3">
        <v>40848</v>
      </c>
      <c r="G1743" s="207" t="s">
        <v>1061</v>
      </c>
      <c r="H1743" s="3">
        <v>43053</v>
      </c>
      <c r="I1743" s="2" t="s">
        <v>19506</v>
      </c>
      <c r="J1743" s="2" t="s">
        <v>13904</v>
      </c>
      <c r="K1743" s="2" t="s">
        <v>19841</v>
      </c>
      <c r="L1743" s="82" t="s">
        <v>19512</v>
      </c>
    </row>
    <row r="1744" spans="1:12" ht="84" customHeight="1" x14ac:dyDescent="0.3">
      <c r="A1744" s="2">
        <v>1740</v>
      </c>
      <c r="B1744" s="66" t="s">
        <v>1955</v>
      </c>
      <c r="C1744" s="66"/>
      <c r="D1744" s="11" t="s">
        <v>1805</v>
      </c>
      <c r="E1744" s="11">
        <v>5000</v>
      </c>
      <c r="F1744" s="3">
        <v>40981</v>
      </c>
      <c r="G1744" s="207" t="s">
        <v>1061</v>
      </c>
      <c r="H1744" s="3">
        <v>43053</v>
      </c>
      <c r="I1744" s="2" t="s">
        <v>19506</v>
      </c>
      <c r="J1744" s="2" t="s">
        <v>13904</v>
      </c>
      <c r="K1744" s="2" t="s">
        <v>19841</v>
      </c>
      <c r="L1744" s="82" t="s">
        <v>19512</v>
      </c>
    </row>
    <row r="1745" spans="1:12" ht="84" customHeight="1" x14ac:dyDescent="0.3">
      <c r="A1745" s="2">
        <v>1741</v>
      </c>
      <c r="B1745" s="66" t="s">
        <v>1286</v>
      </c>
      <c r="C1745" s="66"/>
      <c r="D1745" s="11" t="s">
        <v>2016</v>
      </c>
      <c r="E1745" s="11">
        <v>9308.0400000000009</v>
      </c>
      <c r="F1745" s="3">
        <v>41148</v>
      </c>
      <c r="G1745" s="207" t="s">
        <v>1061</v>
      </c>
      <c r="H1745" s="3">
        <v>43053</v>
      </c>
      <c r="I1745" s="2" t="s">
        <v>19506</v>
      </c>
      <c r="J1745" s="2" t="s">
        <v>13904</v>
      </c>
      <c r="K1745" s="2" t="s">
        <v>19841</v>
      </c>
      <c r="L1745" s="82" t="s">
        <v>19512</v>
      </c>
    </row>
    <row r="1746" spans="1:12" ht="84" customHeight="1" x14ac:dyDescent="0.3">
      <c r="A1746" s="2">
        <v>1742</v>
      </c>
      <c r="B1746" s="66" t="s">
        <v>1286</v>
      </c>
      <c r="C1746" s="66"/>
      <c r="D1746" s="11" t="s">
        <v>2016</v>
      </c>
      <c r="E1746" s="11">
        <v>9308.0400000000009</v>
      </c>
      <c r="F1746" s="3">
        <v>41148</v>
      </c>
      <c r="G1746" s="207" t="s">
        <v>1061</v>
      </c>
      <c r="H1746" s="3">
        <v>43053</v>
      </c>
      <c r="I1746" s="2" t="s">
        <v>19506</v>
      </c>
      <c r="J1746" s="2" t="s">
        <v>13904</v>
      </c>
      <c r="K1746" s="2" t="s">
        <v>19841</v>
      </c>
      <c r="L1746" s="82" t="s">
        <v>19512</v>
      </c>
    </row>
    <row r="1747" spans="1:12" ht="84" customHeight="1" x14ac:dyDescent="0.3">
      <c r="A1747" s="2">
        <v>1743</v>
      </c>
      <c r="B1747" s="66" t="s">
        <v>1286</v>
      </c>
      <c r="C1747" s="66"/>
      <c r="D1747" s="11" t="s">
        <v>2016</v>
      </c>
      <c r="E1747" s="11">
        <v>9308.0400000000009</v>
      </c>
      <c r="F1747" s="3">
        <v>41148</v>
      </c>
      <c r="G1747" s="207" t="s">
        <v>1061</v>
      </c>
      <c r="H1747" s="3">
        <v>43053</v>
      </c>
      <c r="I1747" s="2" t="s">
        <v>19506</v>
      </c>
      <c r="J1747" s="2" t="s">
        <v>13904</v>
      </c>
      <c r="K1747" s="2" t="s">
        <v>19841</v>
      </c>
      <c r="L1747" s="82" t="s">
        <v>19512</v>
      </c>
    </row>
    <row r="1748" spans="1:12" ht="84" customHeight="1" x14ac:dyDescent="0.3">
      <c r="A1748" s="2">
        <v>1744</v>
      </c>
      <c r="B1748" s="66" t="s">
        <v>1956</v>
      </c>
      <c r="C1748" s="66"/>
      <c r="D1748" s="11" t="s">
        <v>2017</v>
      </c>
      <c r="E1748" s="11">
        <v>11780</v>
      </c>
      <c r="F1748" s="3">
        <v>41141</v>
      </c>
      <c r="G1748" s="207" t="s">
        <v>1061</v>
      </c>
      <c r="H1748" s="3">
        <v>43053</v>
      </c>
      <c r="I1748" s="2" t="s">
        <v>19506</v>
      </c>
      <c r="J1748" s="2" t="s">
        <v>13904</v>
      </c>
      <c r="K1748" s="2" t="s">
        <v>19841</v>
      </c>
      <c r="L1748" s="82" t="s">
        <v>19512</v>
      </c>
    </row>
    <row r="1749" spans="1:12" ht="84" customHeight="1" x14ac:dyDescent="0.3">
      <c r="A1749" s="2">
        <v>1745</v>
      </c>
      <c r="B1749" s="66" t="s">
        <v>1957</v>
      </c>
      <c r="C1749" s="66"/>
      <c r="D1749" s="11" t="s">
        <v>1583</v>
      </c>
      <c r="E1749" s="11">
        <v>6500</v>
      </c>
      <c r="F1749" s="3">
        <v>41180</v>
      </c>
      <c r="G1749" s="207" t="s">
        <v>1061</v>
      </c>
      <c r="H1749" s="3">
        <v>43053</v>
      </c>
      <c r="I1749" s="2" t="s">
        <v>19506</v>
      </c>
      <c r="J1749" s="2" t="s">
        <v>13904</v>
      </c>
      <c r="K1749" s="2" t="s">
        <v>19841</v>
      </c>
      <c r="L1749" s="82" t="s">
        <v>19512</v>
      </c>
    </row>
    <row r="1750" spans="1:12" ht="84" customHeight="1" x14ac:dyDescent="0.3">
      <c r="A1750" s="2">
        <v>1746</v>
      </c>
      <c r="B1750" s="66" t="s">
        <v>1302</v>
      </c>
      <c r="C1750" s="66"/>
      <c r="D1750" s="11" t="s">
        <v>2018</v>
      </c>
      <c r="E1750" s="11">
        <v>6133.3</v>
      </c>
      <c r="F1750" s="3">
        <v>40081</v>
      </c>
      <c r="G1750" s="207" t="s">
        <v>1061</v>
      </c>
      <c r="H1750" s="3">
        <v>43053</v>
      </c>
      <c r="I1750" s="2" t="s">
        <v>19506</v>
      </c>
      <c r="J1750" s="2" t="s">
        <v>13904</v>
      </c>
      <c r="K1750" s="2" t="s">
        <v>19841</v>
      </c>
      <c r="L1750" s="82" t="s">
        <v>19512</v>
      </c>
    </row>
    <row r="1751" spans="1:12" ht="84" customHeight="1" x14ac:dyDescent="0.3">
      <c r="A1751" s="2">
        <v>1747</v>
      </c>
      <c r="B1751" s="66" t="s">
        <v>1302</v>
      </c>
      <c r="C1751" s="66"/>
      <c r="D1751" s="11" t="s">
        <v>2018</v>
      </c>
      <c r="E1751" s="11">
        <v>6133.3</v>
      </c>
      <c r="F1751" s="3">
        <v>40081</v>
      </c>
      <c r="G1751" s="207" t="s">
        <v>1061</v>
      </c>
      <c r="H1751" s="3">
        <v>43053</v>
      </c>
      <c r="I1751" s="2" t="s">
        <v>19506</v>
      </c>
      <c r="J1751" s="2" t="s">
        <v>13904</v>
      </c>
      <c r="K1751" s="2" t="s">
        <v>19841</v>
      </c>
      <c r="L1751" s="82" t="s">
        <v>19512</v>
      </c>
    </row>
    <row r="1752" spans="1:12" ht="84" customHeight="1" x14ac:dyDescent="0.3">
      <c r="A1752" s="2">
        <v>1748</v>
      </c>
      <c r="B1752" s="66" t="s">
        <v>1953</v>
      </c>
      <c r="C1752" s="66"/>
      <c r="D1752" s="11" t="s">
        <v>2019</v>
      </c>
      <c r="E1752" s="11">
        <v>3186</v>
      </c>
      <c r="F1752" s="3">
        <v>41624</v>
      </c>
      <c r="G1752" s="207" t="s">
        <v>1061</v>
      </c>
      <c r="H1752" s="3">
        <v>43053</v>
      </c>
      <c r="I1752" s="2" t="s">
        <v>19506</v>
      </c>
      <c r="J1752" s="2" t="s">
        <v>13904</v>
      </c>
      <c r="K1752" s="2" t="s">
        <v>19841</v>
      </c>
      <c r="L1752" s="82" t="s">
        <v>19512</v>
      </c>
    </row>
    <row r="1753" spans="1:12" ht="84" customHeight="1" x14ac:dyDescent="0.3">
      <c r="A1753" s="2">
        <v>1749</v>
      </c>
      <c r="B1753" s="66" t="s">
        <v>1954</v>
      </c>
      <c r="C1753" s="66"/>
      <c r="D1753" s="11" t="s">
        <v>2020</v>
      </c>
      <c r="E1753" s="11">
        <v>3363</v>
      </c>
      <c r="F1753" s="3">
        <v>41624</v>
      </c>
      <c r="G1753" s="207" t="s">
        <v>1061</v>
      </c>
      <c r="H1753" s="3">
        <v>43053</v>
      </c>
      <c r="I1753" s="2" t="s">
        <v>19506</v>
      </c>
      <c r="J1753" s="2" t="s">
        <v>13904</v>
      </c>
      <c r="K1753" s="2" t="s">
        <v>19841</v>
      </c>
      <c r="L1753" s="82" t="s">
        <v>19512</v>
      </c>
    </row>
    <row r="1754" spans="1:12" ht="84" customHeight="1" x14ac:dyDescent="0.3">
      <c r="A1754" s="2">
        <v>1750</v>
      </c>
      <c r="B1754" s="66" t="s">
        <v>1954</v>
      </c>
      <c r="C1754" s="66"/>
      <c r="D1754" s="11" t="s">
        <v>2020</v>
      </c>
      <c r="E1754" s="11">
        <v>3363</v>
      </c>
      <c r="F1754" s="3">
        <v>41624</v>
      </c>
      <c r="G1754" s="207" t="s">
        <v>1061</v>
      </c>
      <c r="H1754" s="3">
        <v>43053</v>
      </c>
      <c r="I1754" s="2" t="s">
        <v>19506</v>
      </c>
      <c r="J1754" s="2" t="s">
        <v>13904</v>
      </c>
      <c r="K1754" s="2" t="s">
        <v>19841</v>
      </c>
      <c r="L1754" s="82" t="s">
        <v>19512</v>
      </c>
    </row>
    <row r="1755" spans="1:12" ht="84" customHeight="1" x14ac:dyDescent="0.3">
      <c r="A1755" s="2">
        <v>1751</v>
      </c>
      <c r="B1755" s="66" t="s">
        <v>1922</v>
      </c>
      <c r="C1755" s="66"/>
      <c r="D1755" s="11" t="s">
        <v>1715</v>
      </c>
      <c r="E1755" s="11">
        <v>5970</v>
      </c>
      <c r="F1755" s="3">
        <v>41911</v>
      </c>
      <c r="G1755" s="207" t="s">
        <v>1061</v>
      </c>
      <c r="H1755" s="3">
        <v>43053</v>
      </c>
      <c r="I1755" s="2" t="s">
        <v>19506</v>
      </c>
      <c r="J1755" s="2" t="s">
        <v>13904</v>
      </c>
      <c r="K1755" s="2" t="s">
        <v>19841</v>
      </c>
      <c r="L1755" s="82" t="s">
        <v>19512</v>
      </c>
    </row>
    <row r="1756" spans="1:12" ht="84" customHeight="1" x14ac:dyDescent="0.3">
      <c r="A1756" s="2">
        <v>1752</v>
      </c>
      <c r="B1756" s="66" t="s">
        <v>1922</v>
      </c>
      <c r="C1756" s="66"/>
      <c r="D1756" s="11" t="s">
        <v>2021</v>
      </c>
      <c r="E1756" s="11">
        <v>21830</v>
      </c>
      <c r="F1756" s="3">
        <v>41911</v>
      </c>
      <c r="G1756" s="207" t="s">
        <v>1061</v>
      </c>
      <c r="H1756" s="3">
        <v>43053</v>
      </c>
      <c r="I1756" s="2" t="s">
        <v>19506</v>
      </c>
      <c r="J1756" s="2" t="s">
        <v>13904</v>
      </c>
      <c r="K1756" s="2" t="s">
        <v>19841</v>
      </c>
      <c r="L1756" s="82" t="s">
        <v>19512</v>
      </c>
    </row>
    <row r="1757" spans="1:12" ht="84" customHeight="1" x14ac:dyDescent="0.3">
      <c r="A1757" s="2">
        <v>1753</v>
      </c>
      <c r="B1757" s="66" t="s">
        <v>1938</v>
      </c>
      <c r="C1757" s="66"/>
      <c r="D1757" s="11" t="s">
        <v>951</v>
      </c>
      <c r="E1757" s="11">
        <v>3600</v>
      </c>
      <c r="F1757" s="3">
        <v>41969</v>
      </c>
      <c r="G1757" s="207" t="s">
        <v>1061</v>
      </c>
      <c r="H1757" s="3">
        <v>43053</v>
      </c>
      <c r="I1757" s="2" t="s">
        <v>19506</v>
      </c>
      <c r="J1757" s="2" t="s">
        <v>13904</v>
      </c>
      <c r="K1757" s="2" t="s">
        <v>19841</v>
      </c>
      <c r="L1757" s="82" t="s">
        <v>19512</v>
      </c>
    </row>
    <row r="1758" spans="1:12" ht="84" customHeight="1" x14ac:dyDescent="0.3">
      <c r="A1758" s="2">
        <v>1754</v>
      </c>
      <c r="B1758" s="66" t="s">
        <v>1958</v>
      </c>
      <c r="C1758" s="66"/>
      <c r="D1758" s="11" t="s">
        <v>2022</v>
      </c>
      <c r="E1758" s="11">
        <v>35500</v>
      </c>
      <c r="F1758" s="3">
        <v>41634</v>
      </c>
      <c r="G1758" s="207" t="s">
        <v>1061</v>
      </c>
      <c r="H1758" s="3">
        <v>43053</v>
      </c>
      <c r="I1758" s="2" t="s">
        <v>19506</v>
      </c>
      <c r="J1758" s="2" t="s">
        <v>13904</v>
      </c>
      <c r="K1758" s="2" t="s">
        <v>19841</v>
      </c>
      <c r="L1758" s="82" t="s">
        <v>19512</v>
      </c>
    </row>
    <row r="1759" spans="1:12" ht="84" customHeight="1" x14ac:dyDescent="0.3">
      <c r="A1759" s="2">
        <v>1755</v>
      </c>
      <c r="B1759" s="66" t="s">
        <v>1361</v>
      </c>
      <c r="C1759" s="66"/>
      <c r="D1759" s="11" t="s">
        <v>2023</v>
      </c>
      <c r="E1759" s="11">
        <v>22100</v>
      </c>
      <c r="F1759" s="3">
        <v>41939</v>
      </c>
      <c r="G1759" s="207" t="s">
        <v>1061</v>
      </c>
      <c r="H1759" s="3">
        <v>43053</v>
      </c>
      <c r="I1759" s="2" t="s">
        <v>19506</v>
      </c>
      <c r="J1759" s="2" t="s">
        <v>13904</v>
      </c>
      <c r="K1759" s="2" t="s">
        <v>19841</v>
      </c>
      <c r="L1759" s="82" t="s">
        <v>19512</v>
      </c>
    </row>
    <row r="1760" spans="1:12" ht="84" customHeight="1" x14ac:dyDescent="0.3">
      <c r="A1760" s="2">
        <v>1756</v>
      </c>
      <c r="B1760" s="66" t="s">
        <v>1361</v>
      </c>
      <c r="C1760" s="66"/>
      <c r="D1760" s="11" t="s">
        <v>2023</v>
      </c>
      <c r="E1760" s="11">
        <v>22100</v>
      </c>
      <c r="F1760" s="3">
        <v>41939</v>
      </c>
      <c r="G1760" s="207" t="s">
        <v>1061</v>
      </c>
      <c r="H1760" s="3">
        <v>43053</v>
      </c>
      <c r="I1760" s="2" t="s">
        <v>19506</v>
      </c>
      <c r="J1760" s="2" t="s">
        <v>13904</v>
      </c>
      <c r="K1760" s="2" t="s">
        <v>19841</v>
      </c>
      <c r="L1760" s="82" t="s">
        <v>19512</v>
      </c>
    </row>
    <row r="1761" spans="1:12" ht="84" customHeight="1" x14ac:dyDescent="0.3">
      <c r="A1761" s="2">
        <v>1757</v>
      </c>
      <c r="B1761" s="66" t="s">
        <v>1959</v>
      </c>
      <c r="C1761" s="66"/>
      <c r="D1761" s="11" t="s">
        <v>1136</v>
      </c>
      <c r="E1761" s="11">
        <v>17900</v>
      </c>
      <c r="F1761" s="3">
        <v>41543</v>
      </c>
      <c r="G1761" s="207" t="s">
        <v>1061</v>
      </c>
      <c r="H1761" s="3">
        <v>43053</v>
      </c>
      <c r="I1761" s="2" t="s">
        <v>19506</v>
      </c>
      <c r="J1761" s="2" t="s">
        <v>13904</v>
      </c>
      <c r="K1761" s="2" t="s">
        <v>19841</v>
      </c>
      <c r="L1761" s="82" t="s">
        <v>19512</v>
      </c>
    </row>
    <row r="1762" spans="1:12" ht="84" customHeight="1" x14ac:dyDescent="0.3">
      <c r="A1762" s="2">
        <v>1758</v>
      </c>
      <c r="B1762" s="66" t="s">
        <v>1960</v>
      </c>
      <c r="C1762" s="66"/>
      <c r="D1762" s="11" t="s">
        <v>2024</v>
      </c>
      <c r="E1762" s="11">
        <v>3050</v>
      </c>
      <c r="F1762" s="3">
        <v>40647</v>
      </c>
      <c r="G1762" s="207" t="s">
        <v>1061</v>
      </c>
      <c r="H1762" s="3">
        <v>43053</v>
      </c>
      <c r="I1762" s="2" t="s">
        <v>19506</v>
      </c>
      <c r="J1762" s="2" t="s">
        <v>13904</v>
      </c>
      <c r="K1762" s="2" t="s">
        <v>19841</v>
      </c>
      <c r="L1762" s="82" t="s">
        <v>19512</v>
      </c>
    </row>
    <row r="1763" spans="1:12" ht="84" customHeight="1" x14ac:dyDescent="0.3">
      <c r="A1763" s="2">
        <v>1759</v>
      </c>
      <c r="B1763" s="66" t="s">
        <v>1961</v>
      </c>
      <c r="C1763" s="66"/>
      <c r="D1763" s="11" t="s">
        <v>1506</v>
      </c>
      <c r="E1763" s="11">
        <v>10000</v>
      </c>
      <c r="F1763" s="3">
        <v>40634</v>
      </c>
      <c r="G1763" s="207" t="s">
        <v>1061</v>
      </c>
      <c r="H1763" s="3">
        <v>43053</v>
      </c>
      <c r="I1763" s="2" t="s">
        <v>19506</v>
      </c>
      <c r="J1763" s="2" t="s">
        <v>13904</v>
      </c>
      <c r="K1763" s="2" t="s">
        <v>19841</v>
      </c>
      <c r="L1763" s="82" t="s">
        <v>19512</v>
      </c>
    </row>
    <row r="1764" spans="1:12" ht="84" customHeight="1" x14ac:dyDescent="0.3">
      <c r="A1764" s="2">
        <v>1760</v>
      </c>
      <c r="B1764" s="66" t="s">
        <v>1962</v>
      </c>
      <c r="C1764" s="66"/>
      <c r="D1764" s="11" t="s">
        <v>2025</v>
      </c>
      <c r="E1764" s="11">
        <v>32000</v>
      </c>
      <c r="F1764" s="3">
        <v>39623</v>
      </c>
      <c r="G1764" s="207" t="s">
        <v>1061</v>
      </c>
      <c r="H1764" s="3">
        <v>43053</v>
      </c>
      <c r="I1764" s="2" t="s">
        <v>19506</v>
      </c>
      <c r="J1764" s="2" t="s">
        <v>13904</v>
      </c>
      <c r="K1764" s="2" t="s">
        <v>19841</v>
      </c>
      <c r="L1764" s="82" t="s">
        <v>19512</v>
      </c>
    </row>
    <row r="1765" spans="1:12" ht="84" customHeight="1" x14ac:dyDescent="0.3">
      <c r="A1765" s="2">
        <v>1761</v>
      </c>
      <c r="B1765" s="66" t="s">
        <v>1963</v>
      </c>
      <c r="C1765" s="66"/>
      <c r="D1765" s="11" t="s">
        <v>2026</v>
      </c>
      <c r="E1765" s="11">
        <v>13100</v>
      </c>
      <c r="F1765" s="3">
        <v>39623</v>
      </c>
      <c r="G1765" s="207" t="s">
        <v>1061</v>
      </c>
      <c r="H1765" s="3">
        <v>43053</v>
      </c>
      <c r="I1765" s="2" t="s">
        <v>19506</v>
      </c>
      <c r="J1765" s="2" t="s">
        <v>13904</v>
      </c>
      <c r="K1765" s="2" t="s">
        <v>19841</v>
      </c>
      <c r="L1765" s="82" t="s">
        <v>19512</v>
      </c>
    </row>
    <row r="1766" spans="1:12" ht="84" customHeight="1" x14ac:dyDescent="0.3">
      <c r="A1766" s="2">
        <v>1762</v>
      </c>
      <c r="B1766" s="66" t="s">
        <v>1964</v>
      </c>
      <c r="C1766" s="66"/>
      <c r="D1766" s="11" t="s">
        <v>2027</v>
      </c>
      <c r="E1766" s="11">
        <v>3042</v>
      </c>
      <c r="F1766" s="3">
        <v>39836</v>
      </c>
      <c r="G1766" s="207" t="s">
        <v>1061</v>
      </c>
      <c r="H1766" s="3">
        <v>43053</v>
      </c>
      <c r="I1766" s="2" t="s">
        <v>19506</v>
      </c>
      <c r="J1766" s="2" t="s">
        <v>13904</v>
      </c>
      <c r="K1766" s="2" t="s">
        <v>19841</v>
      </c>
      <c r="L1766" s="82" t="s">
        <v>19512</v>
      </c>
    </row>
    <row r="1767" spans="1:12" ht="84" customHeight="1" x14ac:dyDescent="0.3">
      <c r="A1767" s="2">
        <v>1763</v>
      </c>
      <c r="B1767" s="66" t="s">
        <v>1965</v>
      </c>
      <c r="C1767" s="66"/>
      <c r="D1767" s="11" t="s">
        <v>2028</v>
      </c>
      <c r="E1767" s="11">
        <v>20955</v>
      </c>
      <c r="F1767" s="3">
        <v>37510</v>
      </c>
      <c r="G1767" s="207" t="s">
        <v>1061</v>
      </c>
      <c r="H1767" s="3">
        <v>43053</v>
      </c>
      <c r="I1767" s="2" t="s">
        <v>19506</v>
      </c>
      <c r="J1767" s="2" t="s">
        <v>13904</v>
      </c>
      <c r="K1767" s="2" t="s">
        <v>19841</v>
      </c>
      <c r="L1767" s="82" t="s">
        <v>19512</v>
      </c>
    </row>
    <row r="1768" spans="1:12" ht="84" customHeight="1" x14ac:dyDescent="0.3">
      <c r="A1768" s="2">
        <v>1764</v>
      </c>
      <c r="B1768" s="66" t="s">
        <v>1966</v>
      </c>
      <c r="C1768" s="66"/>
      <c r="D1768" s="11" t="s">
        <v>2029</v>
      </c>
      <c r="E1768" s="11">
        <v>4674</v>
      </c>
      <c r="F1768" s="3">
        <v>38245</v>
      </c>
      <c r="G1768" s="207" t="s">
        <v>1061</v>
      </c>
      <c r="H1768" s="3">
        <v>43053</v>
      </c>
      <c r="I1768" s="2" t="s">
        <v>19506</v>
      </c>
      <c r="J1768" s="2" t="s">
        <v>13904</v>
      </c>
      <c r="K1768" s="2" t="s">
        <v>19841</v>
      </c>
      <c r="L1768" s="82" t="s">
        <v>19512</v>
      </c>
    </row>
    <row r="1769" spans="1:12" ht="84" customHeight="1" x14ac:dyDescent="0.3">
      <c r="A1769" s="2">
        <v>1765</v>
      </c>
      <c r="B1769" s="66" t="s">
        <v>1961</v>
      </c>
      <c r="C1769" s="66"/>
      <c r="D1769" s="11" t="s">
        <v>1506</v>
      </c>
      <c r="E1769" s="11">
        <v>10000</v>
      </c>
      <c r="F1769" s="3">
        <v>40634</v>
      </c>
      <c r="G1769" s="207" t="s">
        <v>1061</v>
      </c>
      <c r="H1769" s="3">
        <v>43053</v>
      </c>
      <c r="I1769" s="2" t="s">
        <v>19506</v>
      </c>
      <c r="J1769" s="2" t="s">
        <v>13904</v>
      </c>
      <c r="K1769" s="2" t="s">
        <v>19841</v>
      </c>
      <c r="L1769" s="82" t="s">
        <v>19512</v>
      </c>
    </row>
    <row r="1770" spans="1:12" ht="84" customHeight="1" x14ac:dyDescent="0.3">
      <c r="A1770" s="2">
        <v>1766</v>
      </c>
      <c r="B1770" s="66" t="s">
        <v>1961</v>
      </c>
      <c r="C1770" s="66"/>
      <c r="D1770" s="11" t="s">
        <v>1506</v>
      </c>
      <c r="E1770" s="11">
        <v>10000</v>
      </c>
      <c r="F1770" s="3">
        <v>40634</v>
      </c>
      <c r="G1770" s="207" t="s">
        <v>1061</v>
      </c>
      <c r="H1770" s="3">
        <v>43053</v>
      </c>
      <c r="I1770" s="2" t="s">
        <v>19506</v>
      </c>
      <c r="J1770" s="2" t="s">
        <v>13904</v>
      </c>
      <c r="K1770" s="2" t="s">
        <v>19841</v>
      </c>
      <c r="L1770" s="82" t="s">
        <v>19512</v>
      </c>
    </row>
    <row r="1771" spans="1:12" ht="84" customHeight="1" x14ac:dyDescent="0.3">
      <c r="A1771" s="2">
        <v>1767</v>
      </c>
      <c r="B1771" s="66" t="s">
        <v>1960</v>
      </c>
      <c r="C1771" s="66"/>
      <c r="D1771" s="11" t="s">
        <v>2024</v>
      </c>
      <c r="E1771" s="11">
        <v>3050</v>
      </c>
      <c r="F1771" s="3">
        <v>40647</v>
      </c>
      <c r="G1771" s="207" t="s">
        <v>1061</v>
      </c>
      <c r="H1771" s="3">
        <v>43053</v>
      </c>
      <c r="I1771" s="2" t="s">
        <v>19506</v>
      </c>
      <c r="J1771" s="2" t="s">
        <v>13904</v>
      </c>
      <c r="K1771" s="2" t="s">
        <v>19841</v>
      </c>
      <c r="L1771" s="82" t="s">
        <v>19512</v>
      </c>
    </row>
    <row r="1772" spans="1:12" ht="84" customHeight="1" x14ac:dyDescent="0.3">
      <c r="A1772" s="2">
        <v>1768</v>
      </c>
      <c r="B1772" s="66" t="s">
        <v>1960</v>
      </c>
      <c r="C1772" s="66"/>
      <c r="D1772" s="11" t="s">
        <v>2024</v>
      </c>
      <c r="E1772" s="11">
        <v>3050</v>
      </c>
      <c r="F1772" s="3">
        <v>40647</v>
      </c>
      <c r="G1772" s="207" t="s">
        <v>1061</v>
      </c>
      <c r="H1772" s="3">
        <v>43053</v>
      </c>
      <c r="I1772" s="2" t="s">
        <v>19506</v>
      </c>
      <c r="J1772" s="2" t="s">
        <v>13904</v>
      </c>
      <c r="K1772" s="2" t="s">
        <v>19841</v>
      </c>
      <c r="L1772" s="82" t="s">
        <v>19512</v>
      </c>
    </row>
    <row r="1773" spans="1:12" ht="84" customHeight="1" x14ac:dyDescent="0.3">
      <c r="A1773" s="2">
        <v>1769</v>
      </c>
      <c r="B1773" s="66" t="s">
        <v>1960</v>
      </c>
      <c r="C1773" s="66"/>
      <c r="D1773" s="11" t="s">
        <v>2024</v>
      </c>
      <c r="E1773" s="11">
        <v>3050</v>
      </c>
      <c r="F1773" s="3">
        <v>40647</v>
      </c>
      <c r="G1773" s="207" t="s">
        <v>1061</v>
      </c>
      <c r="H1773" s="3">
        <v>43053</v>
      </c>
      <c r="I1773" s="2" t="s">
        <v>19506</v>
      </c>
      <c r="J1773" s="2" t="s">
        <v>13904</v>
      </c>
      <c r="K1773" s="2" t="s">
        <v>19841</v>
      </c>
      <c r="L1773" s="82" t="s">
        <v>19512</v>
      </c>
    </row>
    <row r="1774" spans="1:12" ht="84" customHeight="1" x14ac:dyDescent="0.3">
      <c r="A1774" s="2">
        <v>1770</v>
      </c>
      <c r="B1774" s="66" t="s">
        <v>1960</v>
      </c>
      <c r="C1774" s="66"/>
      <c r="D1774" s="11" t="s">
        <v>2024</v>
      </c>
      <c r="E1774" s="11">
        <v>3050</v>
      </c>
      <c r="F1774" s="3">
        <v>40647</v>
      </c>
      <c r="G1774" s="207" t="s">
        <v>1061</v>
      </c>
      <c r="H1774" s="3">
        <v>43053</v>
      </c>
      <c r="I1774" s="2" t="s">
        <v>19506</v>
      </c>
      <c r="J1774" s="2" t="s">
        <v>13904</v>
      </c>
      <c r="K1774" s="2" t="s">
        <v>19841</v>
      </c>
      <c r="L1774" s="82" t="s">
        <v>19512</v>
      </c>
    </row>
    <row r="1775" spans="1:12" ht="84" customHeight="1" x14ac:dyDescent="0.3">
      <c r="A1775" s="2">
        <v>1771</v>
      </c>
      <c r="B1775" s="66" t="s">
        <v>1960</v>
      </c>
      <c r="C1775" s="66"/>
      <c r="D1775" s="11" t="s">
        <v>2024</v>
      </c>
      <c r="E1775" s="11">
        <v>3050</v>
      </c>
      <c r="F1775" s="3">
        <v>40647</v>
      </c>
      <c r="G1775" s="207" t="s">
        <v>1061</v>
      </c>
      <c r="H1775" s="3">
        <v>43053</v>
      </c>
      <c r="I1775" s="2" t="s">
        <v>19506</v>
      </c>
      <c r="J1775" s="2" t="s">
        <v>13904</v>
      </c>
      <c r="K1775" s="2" t="s">
        <v>19841</v>
      </c>
      <c r="L1775" s="82" t="s">
        <v>19512</v>
      </c>
    </row>
    <row r="1776" spans="1:12" ht="84" customHeight="1" x14ac:dyDescent="0.3">
      <c r="A1776" s="2">
        <v>1772</v>
      </c>
      <c r="B1776" s="66" t="s">
        <v>1960</v>
      </c>
      <c r="C1776" s="66"/>
      <c r="D1776" s="11" t="s">
        <v>2024</v>
      </c>
      <c r="E1776" s="11">
        <v>3050</v>
      </c>
      <c r="F1776" s="3">
        <v>40647</v>
      </c>
      <c r="G1776" s="207" t="s">
        <v>1061</v>
      </c>
      <c r="H1776" s="3">
        <v>43053</v>
      </c>
      <c r="I1776" s="2" t="s">
        <v>19506</v>
      </c>
      <c r="J1776" s="2" t="s">
        <v>13904</v>
      </c>
      <c r="K1776" s="2" t="s">
        <v>19841</v>
      </c>
      <c r="L1776" s="82" t="s">
        <v>19512</v>
      </c>
    </row>
    <row r="1777" spans="1:12" ht="84" customHeight="1" x14ac:dyDescent="0.3">
      <c r="A1777" s="2">
        <v>1773</v>
      </c>
      <c r="B1777" s="66" t="s">
        <v>1960</v>
      </c>
      <c r="C1777" s="66"/>
      <c r="D1777" s="11" t="s">
        <v>2024</v>
      </c>
      <c r="E1777" s="11">
        <v>3050</v>
      </c>
      <c r="F1777" s="3">
        <v>40647</v>
      </c>
      <c r="G1777" s="207" t="s">
        <v>1061</v>
      </c>
      <c r="H1777" s="3">
        <v>43053</v>
      </c>
      <c r="I1777" s="2" t="s">
        <v>19506</v>
      </c>
      <c r="J1777" s="2" t="s">
        <v>13904</v>
      </c>
      <c r="K1777" s="2" t="s">
        <v>19841</v>
      </c>
      <c r="L1777" s="82" t="s">
        <v>19512</v>
      </c>
    </row>
    <row r="1778" spans="1:12" ht="84" customHeight="1" x14ac:dyDescent="0.3">
      <c r="A1778" s="2">
        <v>1774</v>
      </c>
      <c r="B1778" s="66" t="s">
        <v>1960</v>
      </c>
      <c r="C1778" s="66"/>
      <c r="D1778" s="11" t="s">
        <v>2024</v>
      </c>
      <c r="E1778" s="11">
        <v>3050</v>
      </c>
      <c r="F1778" s="3">
        <v>40647</v>
      </c>
      <c r="G1778" s="207" t="s">
        <v>1061</v>
      </c>
      <c r="H1778" s="3">
        <v>43053</v>
      </c>
      <c r="I1778" s="2" t="s">
        <v>19506</v>
      </c>
      <c r="J1778" s="2" t="s">
        <v>13904</v>
      </c>
      <c r="K1778" s="2" t="s">
        <v>19841</v>
      </c>
      <c r="L1778" s="82" t="s">
        <v>19512</v>
      </c>
    </row>
    <row r="1779" spans="1:12" ht="84" customHeight="1" x14ac:dyDescent="0.3">
      <c r="A1779" s="2">
        <v>1775</v>
      </c>
      <c r="B1779" s="66" t="s">
        <v>1960</v>
      </c>
      <c r="C1779" s="66"/>
      <c r="D1779" s="11" t="s">
        <v>2024</v>
      </c>
      <c r="E1779" s="11">
        <v>3050</v>
      </c>
      <c r="F1779" s="3">
        <v>40647</v>
      </c>
      <c r="G1779" s="207" t="s">
        <v>1061</v>
      </c>
      <c r="H1779" s="3">
        <v>43053</v>
      </c>
      <c r="I1779" s="2" t="s">
        <v>19506</v>
      </c>
      <c r="J1779" s="2" t="s">
        <v>13904</v>
      </c>
      <c r="K1779" s="2" t="s">
        <v>19841</v>
      </c>
      <c r="L1779" s="82" t="s">
        <v>19512</v>
      </c>
    </row>
    <row r="1780" spans="1:12" ht="84" customHeight="1" x14ac:dyDescent="0.3">
      <c r="A1780" s="2">
        <v>1776</v>
      </c>
      <c r="B1780" s="66" t="s">
        <v>1960</v>
      </c>
      <c r="C1780" s="66"/>
      <c r="D1780" s="11" t="s">
        <v>2024</v>
      </c>
      <c r="E1780" s="11">
        <v>3050</v>
      </c>
      <c r="F1780" s="3">
        <v>40647</v>
      </c>
      <c r="G1780" s="207" t="s">
        <v>1061</v>
      </c>
      <c r="H1780" s="3">
        <v>43053</v>
      </c>
      <c r="I1780" s="2" t="s">
        <v>19506</v>
      </c>
      <c r="J1780" s="2" t="s">
        <v>13904</v>
      </c>
      <c r="K1780" s="2" t="s">
        <v>19841</v>
      </c>
      <c r="L1780" s="82" t="s">
        <v>19512</v>
      </c>
    </row>
    <row r="1781" spans="1:12" ht="84" customHeight="1" x14ac:dyDescent="0.3">
      <c r="A1781" s="2">
        <v>1777</v>
      </c>
      <c r="B1781" s="66" t="s">
        <v>1960</v>
      </c>
      <c r="C1781" s="66"/>
      <c r="D1781" s="11" t="s">
        <v>2024</v>
      </c>
      <c r="E1781" s="11">
        <v>3050</v>
      </c>
      <c r="F1781" s="3">
        <v>40647</v>
      </c>
      <c r="G1781" s="207" t="s">
        <v>1061</v>
      </c>
      <c r="H1781" s="3">
        <v>43053</v>
      </c>
      <c r="I1781" s="2" t="s">
        <v>19506</v>
      </c>
      <c r="J1781" s="2" t="s">
        <v>13904</v>
      </c>
      <c r="K1781" s="2" t="s">
        <v>19841</v>
      </c>
      <c r="L1781" s="82" t="s">
        <v>19512</v>
      </c>
    </row>
    <row r="1782" spans="1:12" ht="84" customHeight="1" x14ac:dyDescent="0.3">
      <c r="A1782" s="2">
        <v>1778</v>
      </c>
      <c r="B1782" s="66" t="s">
        <v>1960</v>
      </c>
      <c r="C1782" s="66"/>
      <c r="D1782" s="11" t="s">
        <v>2024</v>
      </c>
      <c r="E1782" s="11">
        <v>3050</v>
      </c>
      <c r="F1782" s="3">
        <v>40647</v>
      </c>
      <c r="G1782" s="207" t="s">
        <v>1061</v>
      </c>
      <c r="H1782" s="3">
        <v>43053</v>
      </c>
      <c r="I1782" s="2" t="s">
        <v>19506</v>
      </c>
      <c r="J1782" s="2" t="s">
        <v>13904</v>
      </c>
      <c r="K1782" s="2" t="s">
        <v>19841</v>
      </c>
      <c r="L1782" s="82" t="s">
        <v>19512</v>
      </c>
    </row>
    <row r="1783" spans="1:12" ht="84" customHeight="1" x14ac:dyDescent="0.3">
      <c r="A1783" s="2">
        <v>1779</v>
      </c>
      <c r="B1783" s="66" t="s">
        <v>1960</v>
      </c>
      <c r="C1783" s="66"/>
      <c r="D1783" s="11" t="s">
        <v>2024</v>
      </c>
      <c r="E1783" s="11">
        <v>3050</v>
      </c>
      <c r="F1783" s="3">
        <v>40647</v>
      </c>
      <c r="G1783" s="207" t="s">
        <v>1061</v>
      </c>
      <c r="H1783" s="3">
        <v>43053</v>
      </c>
      <c r="I1783" s="2" t="s">
        <v>19506</v>
      </c>
      <c r="J1783" s="2" t="s">
        <v>13904</v>
      </c>
      <c r="K1783" s="2" t="s">
        <v>19841</v>
      </c>
      <c r="L1783" s="82" t="s">
        <v>19512</v>
      </c>
    </row>
    <row r="1784" spans="1:12" ht="84" customHeight="1" x14ac:dyDescent="0.3">
      <c r="A1784" s="2">
        <v>1780</v>
      </c>
      <c r="B1784" s="66" t="s">
        <v>1960</v>
      </c>
      <c r="C1784" s="66"/>
      <c r="D1784" s="11" t="s">
        <v>2024</v>
      </c>
      <c r="E1784" s="11">
        <v>3050</v>
      </c>
      <c r="F1784" s="3">
        <v>40647</v>
      </c>
      <c r="G1784" s="207" t="s">
        <v>1061</v>
      </c>
      <c r="H1784" s="3">
        <v>43053</v>
      </c>
      <c r="I1784" s="2" t="s">
        <v>19506</v>
      </c>
      <c r="J1784" s="2" t="s">
        <v>13904</v>
      </c>
      <c r="K1784" s="2" t="s">
        <v>19841</v>
      </c>
      <c r="L1784" s="82" t="s">
        <v>19512</v>
      </c>
    </row>
    <row r="1785" spans="1:12" ht="84" customHeight="1" x14ac:dyDescent="0.3">
      <c r="A1785" s="2">
        <v>1781</v>
      </c>
      <c r="B1785" s="66" t="s">
        <v>1960</v>
      </c>
      <c r="C1785" s="66"/>
      <c r="D1785" s="11" t="s">
        <v>2024</v>
      </c>
      <c r="E1785" s="11">
        <v>3050</v>
      </c>
      <c r="F1785" s="3">
        <v>40647</v>
      </c>
      <c r="G1785" s="207" t="s">
        <v>1061</v>
      </c>
      <c r="H1785" s="3">
        <v>43053</v>
      </c>
      <c r="I1785" s="2" t="s">
        <v>19506</v>
      </c>
      <c r="J1785" s="2" t="s">
        <v>13904</v>
      </c>
      <c r="K1785" s="2" t="s">
        <v>19841</v>
      </c>
      <c r="L1785" s="82" t="s">
        <v>19512</v>
      </c>
    </row>
    <row r="1786" spans="1:12" ht="84" customHeight="1" x14ac:dyDescent="0.3">
      <c r="A1786" s="2">
        <v>1782</v>
      </c>
      <c r="B1786" s="66" t="s">
        <v>1960</v>
      </c>
      <c r="C1786" s="66"/>
      <c r="D1786" s="11" t="s">
        <v>2024</v>
      </c>
      <c r="E1786" s="11">
        <v>3050</v>
      </c>
      <c r="F1786" s="3">
        <v>40647</v>
      </c>
      <c r="G1786" s="207" t="s">
        <v>1061</v>
      </c>
      <c r="H1786" s="3">
        <v>43053</v>
      </c>
      <c r="I1786" s="2" t="s">
        <v>19506</v>
      </c>
      <c r="J1786" s="2" t="s">
        <v>13904</v>
      </c>
      <c r="K1786" s="2" t="s">
        <v>19841</v>
      </c>
      <c r="L1786" s="82" t="s">
        <v>19512</v>
      </c>
    </row>
    <row r="1787" spans="1:12" ht="84" customHeight="1" x14ac:dyDescent="0.3">
      <c r="A1787" s="2">
        <v>1783</v>
      </c>
      <c r="B1787" s="66" t="s">
        <v>1960</v>
      </c>
      <c r="C1787" s="66"/>
      <c r="D1787" s="11" t="s">
        <v>2024</v>
      </c>
      <c r="E1787" s="11">
        <v>3050</v>
      </c>
      <c r="F1787" s="3">
        <v>40647</v>
      </c>
      <c r="G1787" s="207" t="s">
        <v>1061</v>
      </c>
      <c r="H1787" s="3">
        <v>43053</v>
      </c>
      <c r="I1787" s="2" t="s">
        <v>19506</v>
      </c>
      <c r="J1787" s="2" t="s">
        <v>13904</v>
      </c>
      <c r="K1787" s="2" t="s">
        <v>19841</v>
      </c>
      <c r="L1787" s="82" t="s">
        <v>19512</v>
      </c>
    </row>
    <row r="1788" spans="1:12" ht="84" customHeight="1" x14ac:dyDescent="0.3">
      <c r="A1788" s="2">
        <v>1784</v>
      </c>
      <c r="B1788" s="66" t="s">
        <v>1960</v>
      </c>
      <c r="C1788" s="66"/>
      <c r="D1788" s="11" t="s">
        <v>2030</v>
      </c>
      <c r="E1788" s="11">
        <v>3170</v>
      </c>
      <c r="F1788" s="3">
        <v>40827</v>
      </c>
      <c r="G1788" s="207" t="s">
        <v>1061</v>
      </c>
      <c r="H1788" s="3">
        <v>43053</v>
      </c>
      <c r="I1788" s="2" t="s">
        <v>19506</v>
      </c>
      <c r="J1788" s="2" t="s">
        <v>13904</v>
      </c>
      <c r="K1788" s="2" t="s">
        <v>19841</v>
      </c>
      <c r="L1788" s="82" t="s">
        <v>19512</v>
      </c>
    </row>
    <row r="1789" spans="1:12" ht="84" customHeight="1" x14ac:dyDescent="0.3">
      <c r="A1789" s="2">
        <v>1785</v>
      </c>
      <c r="B1789" s="66" t="s">
        <v>1960</v>
      </c>
      <c r="C1789" s="66"/>
      <c r="D1789" s="11" t="s">
        <v>2030</v>
      </c>
      <c r="E1789" s="11">
        <v>3170</v>
      </c>
      <c r="F1789" s="3">
        <v>40827</v>
      </c>
      <c r="G1789" s="207" t="s">
        <v>1061</v>
      </c>
      <c r="H1789" s="3">
        <v>43053</v>
      </c>
      <c r="I1789" s="2" t="s">
        <v>19506</v>
      </c>
      <c r="J1789" s="2" t="s">
        <v>13904</v>
      </c>
      <c r="K1789" s="2" t="s">
        <v>19841</v>
      </c>
      <c r="L1789" s="82" t="s">
        <v>19512</v>
      </c>
    </row>
    <row r="1790" spans="1:12" ht="84" customHeight="1" x14ac:dyDescent="0.3">
      <c r="A1790" s="2">
        <v>1786</v>
      </c>
      <c r="B1790" s="66" t="s">
        <v>1960</v>
      </c>
      <c r="C1790" s="66"/>
      <c r="D1790" s="11" t="s">
        <v>2030</v>
      </c>
      <c r="E1790" s="11">
        <v>3170</v>
      </c>
      <c r="F1790" s="3">
        <v>40827</v>
      </c>
      <c r="G1790" s="207" t="s">
        <v>1061</v>
      </c>
      <c r="H1790" s="3">
        <v>43053</v>
      </c>
      <c r="I1790" s="2" t="s">
        <v>19506</v>
      </c>
      <c r="J1790" s="2" t="s">
        <v>13904</v>
      </c>
      <c r="K1790" s="2" t="s">
        <v>19841</v>
      </c>
      <c r="L1790" s="82" t="s">
        <v>19512</v>
      </c>
    </row>
    <row r="1791" spans="1:12" ht="84" customHeight="1" x14ac:dyDescent="0.3">
      <c r="A1791" s="2">
        <v>1787</v>
      </c>
      <c r="B1791" s="66" t="s">
        <v>1960</v>
      </c>
      <c r="C1791" s="66"/>
      <c r="D1791" s="11" t="s">
        <v>2030</v>
      </c>
      <c r="E1791" s="11">
        <v>3170</v>
      </c>
      <c r="F1791" s="3">
        <v>40827</v>
      </c>
      <c r="G1791" s="207" t="s">
        <v>1061</v>
      </c>
      <c r="H1791" s="3">
        <v>43053</v>
      </c>
      <c r="I1791" s="2" t="s">
        <v>19506</v>
      </c>
      <c r="J1791" s="2" t="s">
        <v>13904</v>
      </c>
      <c r="K1791" s="2" t="s">
        <v>19841</v>
      </c>
      <c r="L1791" s="82" t="s">
        <v>19512</v>
      </c>
    </row>
    <row r="1792" spans="1:12" ht="84" customHeight="1" x14ac:dyDescent="0.3">
      <c r="A1792" s="2">
        <v>1788</v>
      </c>
      <c r="B1792" s="66" t="s">
        <v>1960</v>
      </c>
      <c r="C1792" s="66"/>
      <c r="D1792" s="11" t="s">
        <v>2030</v>
      </c>
      <c r="E1792" s="11">
        <v>3170</v>
      </c>
      <c r="F1792" s="3">
        <v>40827</v>
      </c>
      <c r="G1792" s="207" t="s">
        <v>1061</v>
      </c>
      <c r="H1792" s="3">
        <v>43053</v>
      </c>
      <c r="I1792" s="2" t="s">
        <v>19506</v>
      </c>
      <c r="J1792" s="2" t="s">
        <v>13904</v>
      </c>
      <c r="K1792" s="2" t="s">
        <v>19841</v>
      </c>
      <c r="L1792" s="82" t="s">
        <v>19512</v>
      </c>
    </row>
    <row r="1793" spans="1:12" ht="84" customHeight="1" x14ac:dyDescent="0.3">
      <c r="A1793" s="2">
        <v>1789</v>
      </c>
      <c r="B1793" s="66" t="s">
        <v>1960</v>
      </c>
      <c r="C1793" s="66"/>
      <c r="D1793" s="11" t="s">
        <v>2030</v>
      </c>
      <c r="E1793" s="11">
        <v>3170</v>
      </c>
      <c r="F1793" s="3">
        <v>40827</v>
      </c>
      <c r="G1793" s="207" t="s">
        <v>1061</v>
      </c>
      <c r="H1793" s="3">
        <v>43053</v>
      </c>
      <c r="I1793" s="2" t="s">
        <v>19506</v>
      </c>
      <c r="J1793" s="2" t="s">
        <v>13904</v>
      </c>
      <c r="K1793" s="2" t="s">
        <v>19841</v>
      </c>
      <c r="L1793" s="82" t="s">
        <v>19512</v>
      </c>
    </row>
    <row r="1794" spans="1:12" ht="84" customHeight="1" x14ac:dyDescent="0.3">
      <c r="A1794" s="2">
        <v>1790</v>
      </c>
      <c r="B1794" s="66" t="s">
        <v>1960</v>
      </c>
      <c r="C1794" s="66"/>
      <c r="D1794" s="11" t="s">
        <v>2030</v>
      </c>
      <c r="E1794" s="11">
        <v>3170</v>
      </c>
      <c r="F1794" s="3">
        <v>40827</v>
      </c>
      <c r="G1794" s="207" t="s">
        <v>1061</v>
      </c>
      <c r="H1794" s="3">
        <v>43053</v>
      </c>
      <c r="I1794" s="2" t="s">
        <v>19506</v>
      </c>
      <c r="J1794" s="2" t="s">
        <v>13904</v>
      </c>
      <c r="K1794" s="2" t="s">
        <v>19841</v>
      </c>
      <c r="L1794" s="82" t="s">
        <v>19512</v>
      </c>
    </row>
    <row r="1795" spans="1:12" ht="84" customHeight="1" x14ac:dyDescent="0.3">
      <c r="A1795" s="2">
        <v>1791</v>
      </c>
      <c r="B1795" s="66" t="s">
        <v>1960</v>
      </c>
      <c r="C1795" s="66"/>
      <c r="D1795" s="11" t="s">
        <v>2030</v>
      </c>
      <c r="E1795" s="11">
        <v>3170</v>
      </c>
      <c r="F1795" s="3">
        <v>40827</v>
      </c>
      <c r="G1795" s="207" t="s">
        <v>1061</v>
      </c>
      <c r="H1795" s="3">
        <v>43053</v>
      </c>
      <c r="I1795" s="2" t="s">
        <v>19506</v>
      </c>
      <c r="J1795" s="2" t="s">
        <v>13904</v>
      </c>
      <c r="K1795" s="2" t="s">
        <v>19841</v>
      </c>
      <c r="L1795" s="82" t="s">
        <v>19512</v>
      </c>
    </row>
    <row r="1796" spans="1:12" ht="84" customHeight="1" x14ac:dyDescent="0.3">
      <c r="A1796" s="2">
        <v>1792</v>
      </c>
      <c r="B1796" s="66" t="s">
        <v>1960</v>
      </c>
      <c r="C1796" s="66"/>
      <c r="D1796" s="11" t="s">
        <v>2030</v>
      </c>
      <c r="E1796" s="11">
        <v>3170</v>
      </c>
      <c r="F1796" s="3">
        <v>40827</v>
      </c>
      <c r="G1796" s="207" t="s">
        <v>1061</v>
      </c>
      <c r="H1796" s="3">
        <v>43053</v>
      </c>
      <c r="I1796" s="2" t="s">
        <v>19506</v>
      </c>
      <c r="J1796" s="2" t="s">
        <v>13904</v>
      </c>
      <c r="K1796" s="2" t="s">
        <v>19841</v>
      </c>
      <c r="L1796" s="82" t="s">
        <v>19512</v>
      </c>
    </row>
    <row r="1797" spans="1:12" ht="84" customHeight="1" x14ac:dyDescent="0.3">
      <c r="A1797" s="2">
        <v>1793</v>
      </c>
      <c r="B1797" s="66" t="s">
        <v>1960</v>
      </c>
      <c r="C1797" s="66"/>
      <c r="D1797" s="11" t="s">
        <v>2030</v>
      </c>
      <c r="E1797" s="11">
        <v>3170</v>
      </c>
      <c r="F1797" s="3">
        <v>40827</v>
      </c>
      <c r="G1797" s="207" t="s">
        <v>1061</v>
      </c>
      <c r="H1797" s="3">
        <v>43053</v>
      </c>
      <c r="I1797" s="2" t="s">
        <v>19506</v>
      </c>
      <c r="J1797" s="2" t="s">
        <v>13904</v>
      </c>
      <c r="K1797" s="2" t="s">
        <v>19841</v>
      </c>
      <c r="L1797" s="82" t="s">
        <v>19512</v>
      </c>
    </row>
    <row r="1798" spans="1:12" ht="84" customHeight="1" x14ac:dyDescent="0.3">
      <c r="A1798" s="2">
        <v>1794</v>
      </c>
      <c r="B1798" s="66" t="s">
        <v>1960</v>
      </c>
      <c r="C1798" s="66"/>
      <c r="D1798" s="11" t="s">
        <v>2030</v>
      </c>
      <c r="E1798" s="11">
        <v>3170</v>
      </c>
      <c r="F1798" s="3">
        <v>40827</v>
      </c>
      <c r="G1798" s="207" t="s">
        <v>1061</v>
      </c>
      <c r="H1798" s="3">
        <v>43053</v>
      </c>
      <c r="I1798" s="2" t="s">
        <v>19506</v>
      </c>
      <c r="J1798" s="2" t="s">
        <v>13904</v>
      </c>
      <c r="K1798" s="2" t="s">
        <v>19841</v>
      </c>
      <c r="L1798" s="82" t="s">
        <v>19512</v>
      </c>
    </row>
    <row r="1799" spans="1:12" ht="84" customHeight="1" x14ac:dyDescent="0.3">
      <c r="A1799" s="2">
        <v>1795</v>
      </c>
      <c r="B1799" s="66" t="s">
        <v>1960</v>
      </c>
      <c r="C1799" s="66"/>
      <c r="D1799" s="11" t="s">
        <v>2030</v>
      </c>
      <c r="E1799" s="11">
        <v>3170</v>
      </c>
      <c r="F1799" s="3">
        <v>40827</v>
      </c>
      <c r="G1799" s="207" t="s">
        <v>1061</v>
      </c>
      <c r="H1799" s="3">
        <v>43053</v>
      </c>
      <c r="I1799" s="2" t="s">
        <v>19506</v>
      </c>
      <c r="J1799" s="2" t="s">
        <v>13904</v>
      </c>
      <c r="K1799" s="2" t="s">
        <v>19841</v>
      </c>
      <c r="L1799" s="82" t="s">
        <v>19512</v>
      </c>
    </row>
    <row r="1800" spans="1:12" ht="84" customHeight="1" x14ac:dyDescent="0.3">
      <c r="A1800" s="2">
        <v>1796</v>
      </c>
      <c r="B1800" s="66" t="s">
        <v>1960</v>
      </c>
      <c r="C1800" s="66"/>
      <c r="D1800" s="11" t="s">
        <v>2030</v>
      </c>
      <c r="E1800" s="11">
        <v>3170</v>
      </c>
      <c r="F1800" s="3">
        <v>40827</v>
      </c>
      <c r="G1800" s="207" t="s">
        <v>1061</v>
      </c>
      <c r="H1800" s="3">
        <v>43053</v>
      </c>
      <c r="I1800" s="2" t="s">
        <v>19506</v>
      </c>
      <c r="J1800" s="2" t="s">
        <v>13904</v>
      </c>
      <c r="K1800" s="2" t="s">
        <v>19841</v>
      </c>
      <c r="L1800" s="82" t="s">
        <v>19512</v>
      </c>
    </row>
    <row r="1801" spans="1:12" ht="84" customHeight="1" x14ac:dyDescent="0.3">
      <c r="A1801" s="2">
        <v>1797</v>
      </c>
      <c r="B1801" s="66" t="s">
        <v>1960</v>
      </c>
      <c r="C1801" s="66"/>
      <c r="D1801" s="11" t="s">
        <v>2030</v>
      </c>
      <c r="E1801" s="11">
        <v>3170</v>
      </c>
      <c r="F1801" s="3">
        <v>40827</v>
      </c>
      <c r="G1801" s="207" t="s">
        <v>1061</v>
      </c>
      <c r="H1801" s="3">
        <v>43053</v>
      </c>
      <c r="I1801" s="2" t="s">
        <v>19506</v>
      </c>
      <c r="J1801" s="2" t="s">
        <v>13904</v>
      </c>
      <c r="K1801" s="2" t="s">
        <v>19841</v>
      </c>
      <c r="L1801" s="82" t="s">
        <v>19512</v>
      </c>
    </row>
    <row r="1802" spans="1:12" ht="84" customHeight="1" x14ac:dyDescent="0.3">
      <c r="A1802" s="2">
        <v>1798</v>
      </c>
      <c r="B1802" s="66" t="s">
        <v>1960</v>
      </c>
      <c r="C1802" s="66"/>
      <c r="D1802" s="11" t="s">
        <v>2030</v>
      </c>
      <c r="E1802" s="11">
        <v>3170</v>
      </c>
      <c r="F1802" s="3">
        <v>40827</v>
      </c>
      <c r="G1802" s="207" t="s">
        <v>1061</v>
      </c>
      <c r="H1802" s="3">
        <v>43053</v>
      </c>
      <c r="I1802" s="2" t="s">
        <v>19506</v>
      </c>
      <c r="J1802" s="2" t="s">
        <v>13904</v>
      </c>
      <c r="K1802" s="2" t="s">
        <v>19841</v>
      </c>
      <c r="L1802" s="82" t="s">
        <v>19512</v>
      </c>
    </row>
    <row r="1803" spans="1:12" ht="84" customHeight="1" x14ac:dyDescent="0.3">
      <c r="A1803" s="2">
        <v>1799</v>
      </c>
      <c r="B1803" s="66" t="s">
        <v>1960</v>
      </c>
      <c r="C1803" s="66"/>
      <c r="D1803" s="11" t="s">
        <v>2030</v>
      </c>
      <c r="E1803" s="11">
        <v>3170</v>
      </c>
      <c r="F1803" s="3">
        <v>40827</v>
      </c>
      <c r="G1803" s="207" t="s">
        <v>1061</v>
      </c>
      <c r="H1803" s="3">
        <v>43053</v>
      </c>
      <c r="I1803" s="2" t="s">
        <v>19506</v>
      </c>
      <c r="J1803" s="2" t="s">
        <v>13904</v>
      </c>
      <c r="K1803" s="2" t="s">
        <v>19841</v>
      </c>
      <c r="L1803" s="82" t="s">
        <v>19512</v>
      </c>
    </row>
    <row r="1804" spans="1:12" ht="84" customHeight="1" x14ac:dyDescent="0.3">
      <c r="A1804" s="2">
        <v>1800</v>
      </c>
      <c r="B1804" s="66" t="s">
        <v>1960</v>
      </c>
      <c r="C1804" s="66"/>
      <c r="D1804" s="11" t="s">
        <v>2030</v>
      </c>
      <c r="E1804" s="11">
        <v>3170</v>
      </c>
      <c r="F1804" s="3">
        <v>40827</v>
      </c>
      <c r="G1804" s="207" t="s">
        <v>1061</v>
      </c>
      <c r="H1804" s="3">
        <v>43053</v>
      </c>
      <c r="I1804" s="2" t="s">
        <v>19506</v>
      </c>
      <c r="J1804" s="2" t="s">
        <v>13904</v>
      </c>
      <c r="K1804" s="2" t="s">
        <v>19841</v>
      </c>
      <c r="L1804" s="82" t="s">
        <v>19512</v>
      </c>
    </row>
    <row r="1805" spans="1:12" ht="84" customHeight="1" x14ac:dyDescent="0.3">
      <c r="A1805" s="2">
        <v>1801</v>
      </c>
      <c r="B1805" s="66" t="s">
        <v>1960</v>
      </c>
      <c r="C1805" s="66"/>
      <c r="D1805" s="11" t="s">
        <v>2030</v>
      </c>
      <c r="E1805" s="11">
        <v>3170</v>
      </c>
      <c r="F1805" s="3">
        <v>40827</v>
      </c>
      <c r="G1805" s="207" t="s">
        <v>1061</v>
      </c>
      <c r="H1805" s="3">
        <v>43053</v>
      </c>
      <c r="I1805" s="2" t="s">
        <v>19506</v>
      </c>
      <c r="J1805" s="2" t="s">
        <v>13904</v>
      </c>
      <c r="K1805" s="2" t="s">
        <v>19841</v>
      </c>
      <c r="L1805" s="82" t="s">
        <v>19512</v>
      </c>
    </row>
    <row r="1806" spans="1:12" ht="84" customHeight="1" x14ac:dyDescent="0.3">
      <c r="A1806" s="2">
        <v>1802</v>
      </c>
      <c r="B1806" s="66" t="s">
        <v>1967</v>
      </c>
      <c r="C1806" s="66"/>
      <c r="D1806" s="11" t="s">
        <v>1243</v>
      </c>
      <c r="E1806" s="11">
        <v>9500</v>
      </c>
      <c r="F1806" s="3">
        <v>41982</v>
      </c>
      <c r="G1806" s="207" t="s">
        <v>1061</v>
      </c>
      <c r="H1806" s="3">
        <v>43053</v>
      </c>
      <c r="I1806" s="2" t="s">
        <v>19506</v>
      </c>
      <c r="J1806" s="2" t="s">
        <v>13904</v>
      </c>
      <c r="K1806" s="2" t="s">
        <v>19841</v>
      </c>
      <c r="L1806" s="82" t="s">
        <v>19512</v>
      </c>
    </row>
    <row r="1807" spans="1:12" ht="84" customHeight="1" x14ac:dyDescent="0.3">
      <c r="A1807" s="2">
        <v>1803</v>
      </c>
      <c r="B1807" s="66" t="s">
        <v>1217</v>
      </c>
      <c r="C1807" s="66"/>
      <c r="D1807" s="11" t="s">
        <v>2031</v>
      </c>
      <c r="E1807" s="11">
        <v>7836.66</v>
      </c>
      <c r="F1807" s="3">
        <v>39080</v>
      </c>
      <c r="G1807" s="207" t="s">
        <v>1061</v>
      </c>
      <c r="H1807" s="3">
        <v>43053</v>
      </c>
      <c r="I1807" s="2" t="s">
        <v>19506</v>
      </c>
      <c r="J1807" s="2" t="s">
        <v>13904</v>
      </c>
      <c r="K1807" s="2" t="s">
        <v>19841</v>
      </c>
      <c r="L1807" s="82" t="s">
        <v>19512</v>
      </c>
    </row>
    <row r="1808" spans="1:12" ht="84" customHeight="1" x14ac:dyDescent="0.3">
      <c r="A1808" s="2">
        <v>1804</v>
      </c>
      <c r="B1808" s="66" t="s">
        <v>1968</v>
      </c>
      <c r="C1808" s="66"/>
      <c r="D1808" s="11" t="s">
        <v>2032</v>
      </c>
      <c r="E1808" s="11">
        <v>7185.96</v>
      </c>
      <c r="F1808" s="3">
        <v>39413</v>
      </c>
      <c r="G1808" s="207" t="s">
        <v>1061</v>
      </c>
      <c r="H1808" s="3">
        <v>43053</v>
      </c>
      <c r="I1808" s="2" t="s">
        <v>19506</v>
      </c>
      <c r="J1808" s="2" t="s">
        <v>13904</v>
      </c>
      <c r="K1808" s="2" t="s">
        <v>19841</v>
      </c>
      <c r="L1808" s="82" t="s">
        <v>19512</v>
      </c>
    </row>
    <row r="1809" spans="1:12" ht="84" customHeight="1" x14ac:dyDescent="0.3">
      <c r="A1809" s="2">
        <v>1805</v>
      </c>
      <c r="B1809" s="66" t="s">
        <v>1969</v>
      </c>
      <c r="C1809" s="66"/>
      <c r="D1809" s="11" t="s">
        <v>2033</v>
      </c>
      <c r="E1809" s="11">
        <v>16250</v>
      </c>
      <c r="F1809" s="3">
        <v>40787</v>
      </c>
      <c r="G1809" s="207" t="s">
        <v>1061</v>
      </c>
      <c r="H1809" s="3">
        <v>43053</v>
      </c>
      <c r="I1809" s="2" t="s">
        <v>19506</v>
      </c>
      <c r="J1809" s="2" t="s">
        <v>13904</v>
      </c>
      <c r="K1809" s="2" t="s">
        <v>19841</v>
      </c>
      <c r="L1809" s="82" t="s">
        <v>19512</v>
      </c>
    </row>
    <row r="1810" spans="1:12" ht="84" customHeight="1" x14ac:dyDescent="0.3">
      <c r="A1810" s="2">
        <v>1806</v>
      </c>
      <c r="B1810" s="66" t="s">
        <v>1969</v>
      </c>
      <c r="C1810" s="66"/>
      <c r="D1810" s="11" t="s">
        <v>2033</v>
      </c>
      <c r="E1810" s="11">
        <v>16250</v>
      </c>
      <c r="F1810" s="3">
        <v>40787</v>
      </c>
      <c r="G1810" s="207" t="s">
        <v>1061</v>
      </c>
      <c r="H1810" s="3">
        <v>43053</v>
      </c>
      <c r="I1810" s="2" t="s">
        <v>19506</v>
      </c>
      <c r="J1810" s="2" t="s">
        <v>13904</v>
      </c>
      <c r="K1810" s="2" t="s">
        <v>19841</v>
      </c>
      <c r="L1810" s="82" t="s">
        <v>19512</v>
      </c>
    </row>
    <row r="1811" spans="1:12" ht="84" customHeight="1" x14ac:dyDescent="0.3">
      <c r="A1811" s="2">
        <v>1807</v>
      </c>
      <c r="B1811" s="66" t="s">
        <v>1969</v>
      </c>
      <c r="C1811" s="66"/>
      <c r="D1811" s="11" t="s">
        <v>2033</v>
      </c>
      <c r="E1811" s="11">
        <v>16250</v>
      </c>
      <c r="F1811" s="3">
        <v>40787</v>
      </c>
      <c r="G1811" s="207" t="s">
        <v>1061</v>
      </c>
      <c r="H1811" s="3">
        <v>43053</v>
      </c>
      <c r="I1811" s="2" t="s">
        <v>19506</v>
      </c>
      <c r="J1811" s="2" t="s">
        <v>13904</v>
      </c>
      <c r="K1811" s="2" t="s">
        <v>19841</v>
      </c>
      <c r="L1811" s="82" t="s">
        <v>19512</v>
      </c>
    </row>
    <row r="1812" spans="1:12" ht="84" customHeight="1" x14ac:dyDescent="0.3">
      <c r="A1812" s="2">
        <v>1808</v>
      </c>
      <c r="B1812" s="66" t="s">
        <v>1969</v>
      </c>
      <c r="C1812" s="66"/>
      <c r="D1812" s="11" t="s">
        <v>2033</v>
      </c>
      <c r="E1812" s="11">
        <v>16250</v>
      </c>
      <c r="F1812" s="3">
        <v>40787</v>
      </c>
      <c r="G1812" s="207" t="s">
        <v>1061</v>
      </c>
      <c r="H1812" s="3">
        <v>43053</v>
      </c>
      <c r="I1812" s="2" t="s">
        <v>19506</v>
      </c>
      <c r="J1812" s="2" t="s">
        <v>13904</v>
      </c>
      <c r="K1812" s="2" t="s">
        <v>19841</v>
      </c>
      <c r="L1812" s="82" t="s">
        <v>19512</v>
      </c>
    </row>
    <row r="1813" spans="1:12" ht="84" customHeight="1" x14ac:dyDescent="0.3">
      <c r="A1813" s="2">
        <v>1809</v>
      </c>
      <c r="B1813" s="66" t="s">
        <v>1970</v>
      </c>
      <c r="C1813" s="66"/>
      <c r="D1813" s="11" t="s">
        <v>2034</v>
      </c>
      <c r="E1813" s="11">
        <v>5600</v>
      </c>
      <c r="F1813" s="3">
        <v>39868</v>
      </c>
      <c r="G1813" s="207" t="s">
        <v>1061</v>
      </c>
      <c r="H1813" s="3">
        <v>43053</v>
      </c>
      <c r="I1813" s="2" t="s">
        <v>19506</v>
      </c>
      <c r="J1813" s="2" t="s">
        <v>13904</v>
      </c>
      <c r="K1813" s="2" t="s">
        <v>19841</v>
      </c>
      <c r="L1813" s="82" t="s">
        <v>19512</v>
      </c>
    </row>
    <row r="1814" spans="1:12" ht="84" customHeight="1" x14ac:dyDescent="0.3">
      <c r="A1814" s="2">
        <v>1810</v>
      </c>
      <c r="B1814" s="66" t="s">
        <v>1971</v>
      </c>
      <c r="C1814" s="66"/>
      <c r="D1814" s="11" t="s">
        <v>2035</v>
      </c>
      <c r="E1814" s="11">
        <v>3185</v>
      </c>
      <c r="F1814" s="3">
        <v>40088</v>
      </c>
      <c r="G1814" s="207" t="s">
        <v>1061</v>
      </c>
      <c r="H1814" s="3">
        <v>43053</v>
      </c>
      <c r="I1814" s="2" t="s">
        <v>19506</v>
      </c>
      <c r="J1814" s="2" t="s">
        <v>13904</v>
      </c>
      <c r="K1814" s="2" t="s">
        <v>19841</v>
      </c>
      <c r="L1814" s="82" t="s">
        <v>19512</v>
      </c>
    </row>
    <row r="1815" spans="1:12" ht="84" customHeight="1" x14ac:dyDescent="0.3">
      <c r="A1815" s="2">
        <v>1811</v>
      </c>
      <c r="B1815" s="66" t="s">
        <v>1972</v>
      </c>
      <c r="C1815" s="66"/>
      <c r="D1815" s="11" t="s">
        <v>2036</v>
      </c>
      <c r="E1815" s="11">
        <v>61640.56</v>
      </c>
      <c r="F1815" s="3">
        <v>38502</v>
      </c>
      <c r="G1815" s="207" t="s">
        <v>1061</v>
      </c>
      <c r="H1815" s="3">
        <v>43053</v>
      </c>
      <c r="I1815" s="2" t="s">
        <v>19506</v>
      </c>
      <c r="J1815" s="2" t="s">
        <v>13904</v>
      </c>
      <c r="K1815" s="2" t="s">
        <v>19841</v>
      </c>
      <c r="L1815" s="82" t="s">
        <v>19512</v>
      </c>
    </row>
    <row r="1816" spans="1:12" ht="84" customHeight="1" x14ac:dyDescent="0.3">
      <c r="A1816" s="2">
        <v>1812</v>
      </c>
      <c r="B1816" s="66" t="s">
        <v>885</v>
      </c>
      <c r="C1816" s="66"/>
      <c r="D1816" s="11" t="s">
        <v>2037</v>
      </c>
      <c r="E1816" s="11">
        <v>3552.4</v>
      </c>
      <c r="F1816" s="3">
        <v>38502</v>
      </c>
      <c r="G1816" s="207" t="s">
        <v>1061</v>
      </c>
      <c r="H1816" s="3">
        <v>43053</v>
      </c>
      <c r="I1816" s="2" t="s">
        <v>19506</v>
      </c>
      <c r="J1816" s="2" t="s">
        <v>13904</v>
      </c>
      <c r="K1816" s="2" t="s">
        <v>19841</v>
      </c>
      <c r="L1816" s="82" t="s">
        <v>19512</v>
      </c>
    </row>
    <row r="1817" spans="1:12" ht="84" customHeight="1" x14ac:dyDescent="0.3">
      <c r="A1817" s="2">
        <v>1813</v>
      </c>
      <c r="B1817" s="66" t="s">
        <v>885</v>
      </c>
      <c r="C1817" s="66"/>
      <c r="D1817" s="11" t="s">
        <v>2038</v>
      </c>
      <c r="E1817" s="11">
        <v>4770</v>
      </c>
      <c r="F1817" s="3">
        <v>39226</v>
      </c>
      <c r="G1817" s="207" t="s">
        <v>1061</v>
      </c>
      <c r="H1817" s="3">
        <v>43053</v>
      </c>
      <c r="I1817" s="2" t="s">
        <v>19506</v>
      </c>
      <c r="J1817" s="2" t="s">
        <v>13904</v>
      </c>
      <c r="K1817" s="2" t="s">
        <v>19841</v>
      </c>
      <c r="L1817" s="82" t="s">
        <v>19512</v>
      </c>
    </row>
    <row r="1818" spans="1:12" ht="84" customHeight="1" x14ac:dyDescent="0.3">
      <c r="A1818" s="2">
        <v>1814</v>
      </c>
      <c r="B1818" s="66" t="s">
        <v>885</v>
      </c>
      <c r="C1818" s="66"/>
      <c r="D1818" s="11" t="s">
        <v>2037</v>
      </c>
      <c r="E1818" s="11">
        <v>3552.4</v>
      </c>
      <c r="F1818" s="3">
        <v>38502</v>
      </c>
      <c r="G1818" s="207" t="s">
        <v>1061</v>
      </c>
      <c r="H1818" s="3">
        <v>43053</v>
      </c>
      <c r="I1818" s="2" t="s">
        <v>19506</v>
      </c>
      <c r="J1818" s="2" t="s">
        <v>13904</v>
      </c>
      <c r="K1818" s="2" t="s">
        <v>19841</v>
      </c>
      <c r="L1818" s="82" t="s">
        <v>19512</v>
      </c>
    </row>
    <row r="1819" spans="1:12" ht="84" customHeight="1" x14ac:dyDescent="0.3">
      <c r="A1819" s="2">
        <v>1815</v>
      </c>
      <c r="B1819" s="66" t="s">
        <v>1973</v>
      </c>
      <c r="C1819" s="66"/>
      <c r="D1819" s="11" t="s">
        <v>2039</v>
      </c>
      <c r="E1819" s="11">
        <v>4503.63</v>
      </c>
      <c r="F1819" s="3">
        <v>38498</v>
      </c>
      <c r="G1819" s="207" t="s">
        <v>1061</v>
      </c>
      <c r="H1819" s="3">
        <v>43053</v>
      </c>
      <c r="I1819" s="2" t="s">
        <v>19506</v>
      </c>
      <c r="J1819" s="2" t="s">
        <v>13904</v>
      </c>
      <c r="K1819" s="2" t="s">
        <v>19841</v>
      </c>
      <c r="L1819" s="82" t="s">
        <v>19512</v>
      </c>
    </row>
    <row r="1820" spans="1:12" ht="84" customHeight="1" x14ac:dyDescent="0.3">
      <c r="A1820" s="2">
        <v>1816</v>
      </c>
      <c r="B1820" s="66" t="s">
        <v>1974</v>
      </c>
      <c r="C1820" s="66"/>
      <c r="D1820" s="11" t="s">
        <v>1702</v>
      </c>
      <c r="E1820" s="11">
        <v>9435</v>
      </c>
      <c r="F1820" s="3">
        <v>39668</v>
      </c>
      <c r="G1820" s="207" t="s">
        <v>1061</v>
      </c>
      <c r="H1820" s="3">
        <v>43053</v>
      </c>
      <c r="I1820" s="2" t="s">
        <v>19506</v>
      </c>
      <c r="J1820" s="2" t="s">
        <v>13904</v>
      </c>
      <c r="K1820" s="2" t="s">
        <v>19841</v>
      </c>
      <c r="L1820" s="82" t="s">
        <v>19512</v>
      </c>
    </row>
    <row r="1821" spans="1:12" ht="84" customHeight="1" x14ac:dyDescent="0.3">
      <c r="A1821" s="2">
        <v>1817</v>
      </c>
      <c r="B1821" s="66" t="s">
        <v>1975</v>
      </c>
      <c r="C1821" s="66"/>
      <c r="D1821" s="11" t="s">
        <v>1702</v>
      </c>
      <c r="E1821" s="11">
        <v>9435</v>
      </c>
      <c r="F1821" s="3">
        <v>39668</v>
      </c>
      <c r="G1821" s="207" t="s">
        <v>1061</v>
      </c>
      <c r="H1821" s="3">
        <v>43053</v>
      </c>
      <c r="I1821" s="2" t="s">
        <v>19506</v>
      </c>
      <c r="J1821" s="2" t="s">
        <v>13904</v>
      </c>
      <c r="K1821" s="2" t="s">
        <v>19841</v>
      </c>
      <c r="L1821" s="82" t="s">
        <v>19512</v>
      </c>
    </row>
    <row r="1822" spans="1:12" ht="84" customHeight="1" x14ac:dyDescent="0.3">
      <c r="A1822" s="2">
        <v>1818</v>
      </c>
      <c r="B1822" s="66" t="s">
        <v>1976</v>
      </c>
      <c r="C1822" s="66"/>
      <c r="D1822" s="11" t="s">
        <v>1702</v>
      </c>
      <c r="E1822" s="11">
        <v>9435</v>
      </c>
      <c r="F1822" s="3">
        <v>39668</v>
      </c>
      <c r="G1822" s="207" t="s">
        <v>1061</v>
      </c>
      <c r="H1822" s="3">
        <v>43053</v>
      </c>
      <c r="I1822" s="2" t="s">
        <v>19506</v>
      </c>
      <c r="J1822" s="2" t="s">
        <v>13904</v>
      </c>
      <c r="K1822" s="2" t="s">
        <v>19841</v>
      </c>
      <c r="L1822" s="82" t="s">
        <v>19512</v>
      </c>
    </row>
    <row r="1823" spans="1:12" ht="84" customHeight="1" x14ac:dyDescent="0.3">
      <c r="A1823" s="2">
        <v>1819</v>
      </c>
      <c r="B1823" s="66" t="s">
        <v>1643</v>
      </c>
      <c r="C1823" s="66"/>
      <c r="D1823" s="11" t="s">
        <v>1731</v>
      </c>
      <c r="E1823" s="11">
        <v>4110</v>
      </c>
      <c r="F1823" s="3">
        <v>39490</v>
      </c>
      <c r="G1823" s="207" t="s">
        <v>1061</v>
      </c>
      <c r="H1823" s="3">
        <v>43053</v>
      </c>
      <c r="I1823" s="2" t="s">
        <v>19506</v>
      </c>
      <c r="J1823" s="2" t="s">
        <v>13904</v>
      </c>
      <c r="K1823" s="2" t="s">
        <v>19841</v>
      </c>
      <c r="L1823" s="82" t="s">
        <v>19512</v>
      </c>
    </row>
    <row r="1824" spans="1:12" ht="84" customHeight="1" x14ac:dyDescent="0.3">
      <c r="A1824" s="2">
        <v>1820</v>
      </c>
      <c r="B1824" s="66" t="s">
        <v>1643</v>
      </c>
      <c r="C1824" s="66"/>
      <c r="D1824" s="11" t="s">
        <v>1731</v>
      </c>
      <c r="E1824" s="11">
        <v>4110</v>
      </c>
      <c r="F1824" s="3">
        <v>39490</v>
      </c>
      <c r="G1824" s="207" t="s">
        <v>1061</v>
      </c>
      <c r="H1824" s="3">
        <v>43053</v>
      </c>
      <c r="I1824" s="2" t="s">
        <v>19506</v>
      </c>
      <c r="J1824" s="2" t="s">
        <v>13904</v>
      </c>
      <c r="K1824" s="2" t="s">
        <v>19841</v>
      </c>
      <c r="L1824" s="82" t="s">
        <v>19512</v>
      </c>
    </row>
    <row r="1825" spans="1:12" ht="84" customHeight="1" x14ac:dyDescent="0.3">
      <c r="A1825" s="2">
        <v>1821</v>
      </c>
      <c r="B1825" s="66" t="s">
        <v>1655</v>
      </c>
      <c r="C1825" s="66"/>
      <c r="D1825" s="11" t="s">
        <v>1745</v>
      </c>
      <c r="E1825" s="11">
        <v>4976.1000000000004</v>
      </c>
      <c r="F1825" s="3">
        <v>38280</v>
      </c>
      <c r="G1825" s="207" t="s">
        <v>1061</v>
      </c>
      <c r="H1825" s="3">
        <v>43053</v>
      </c>
      <c r="I1825" s="2" t="s">
        <v>19506</v>
      </c>
      <c r="J1825" s="2" t="s">
        <v>13904</v>
      </c>
      <c r="K1825" s="2" t="s">
        <v>19841</v>
      </c>
      <c r="L1825" s="82" t="s">
        <v>19512</v>
      </c>
    </row>
    <row r="1826" spans="1:12" ht="84" customHeight="1" x14ac:dyDescent="0.3">
      <c r="A1826" s="2">
        <v>1822</v>
      </c>
      <c r="B1826" s="66" t="s">
        <v>1977</v>
      </c>
      <c r="C1826" s="66"/>
      <c r="D1826" s="11" t="s">
        <v>2040</v>
      </c>
      <c r="E1826" s="11">
        <v>1172.22</v>
      </c>
      <c r="F1826" s="3">
        <v>41961</v>
      </c>
      <c r="G1826" s="207" t="s">
        <v>1061</v>
      </c>
      <c r="H1826" s="3">
        <v>43053</v>
      </c>
      <c r="I1826" s="2" t="s">
        <v>19506</v>
      </c>
      <c r="J1826" s="2" t="s">
        <v>13904</v>
      </c>
      <c r="K1826" s="2" t="s">
        <v>19841</v>
      </c>
      <c r="L1826" s="82" t="s">
        <v>19512</v>
      </c>
    </row>
    <row r="1827" spans="1:12" ht="84" customHeight="1" x14ac:dyDescent="0.3">
      <c r="A1827" s="2">
        <v>1823</v>
      </c>
      <c r="B1827" s="66" t="s">
        <v>1978</v>
      </c>
      <c r="C1827" s="66"/>
      <c r="D1827" s="11" t="s">
        <v>2041</v>
      </c>
      <c r="E1827" s="11">
        <v>3854.14</v>
      </c>
      <c r="F1827" s="3">
        <v>38503</v>
      </c>
      <c r="G1827" s="207" t="s">
        <v>1061</v>
      </c>
      <c r="H1827" s="3">
        <v>43053</v>
      </c>
      <c r="I1827" s="2" t="s">
        <v>19506</v>
      </c>
      <c r="J1827" s="2" t="s">
        <v>13904</v>
      </c>
      <c r="K1827" s="2" t="s">
        <v>19841</v>
      </c>
      <c r="L1827" s="82" t="s">
        <v>19512</v>
      </c>
    </row>
    <row r="1828" spans="1:12" ht="84" customHeight="1" x14ac:dyDescent="0.3">
      <c r="A1828" s="2">
        <v>1824</v>
      </c>
      <c r="B1828" s="66" t="s">
        <v>1978</v>
      </c>
      <c r="C1828" s="66"/>
      <c r="D1828" s="11" t="s">
        <v>2041</v>
      </c>
      <c r="E1828" s="11">
        <v>3854.14</v>
      </c>
      <c r="F1828" s="3">
        <v>38503</v>
      </c>
      <c r="G1828" s="207" t="s">
        <v>1061</v>
      </c>
      <c r="H1828" s="3">
        <v>43053</v>
      </c>
      <c r="I1828" s="2" t="s">
        <v>19506</v>
      </c>
      <c r="J1828" s="2" t="s">
        <v>13904</v>
      </c>
      <c r="K1828" s="2" t="s">
        <v>19841</v>
      </c>
      <c r="L1828" s="82" t="s">
        <v>19512</v>
      </c>
    </row>
    <row r="1829" spans="1:12" ht="84" customHeight="1" x14ac:dyDescent="0.3">
      <c r="A1829" s="2">
        <v>1825</v>
      </c>
      <c r="B1829" s="66" t="s">
        <v>1978</v>
      </c>
      <c r="C1829" s="66"/>
      <c r="D1829" s="11" t="s">
        <v>2041</v>
      </c>
      <c r="E1829" s="11">
        <v>3854.14</v>
      </c>
      <c r="F1829" s="3">
        <v>38503</v>
      </c>
      <c r="G1829" s="207" t="s">
        <v>1061</v>
      </c>
      <c r="H1829" s="3">
        <v>43053</v>
      </c>
      <c r="I1829" s="2" t="s">
        <v>19506</v>
      </c>
      <c r="J1829" s="2" t="s">
        <v>13904</v>
      </c>
      <c r="K1829" s="2" t="s">
        <v>19841</v>
      </c>
      <c r="L1829" s="82" t="s">
        <v>19512</v>
      </c>
    </row>
    <row r="1830" spans="1:12" ht="84" customHeight="1" x14ac:dyDescent="0.3">
      <c r="A1830" s="2">
        <v>1826</v>
      </c>
      <c r="B1830" s="66" t="s">
        <v>1978</v>
      </c>
      <c r="C1830" s="66"/>
      <c r="D1830" s="11" t="s">
        <v>2041</v>
      </c>
      <c r="E1830" s="11">
        <v>3854.14</v>
      </c>
      <c r="F1830" s="3">
        <v>38503</v>
      </c>
      <c r="G1830" s="207" t="s">
        <v>1061</v>
      </c>
      <c r="H1830" s="3">
        <v>43053</v>
      </c>
      <c r="I1830" s="2" t="s">
        <v>19506</v>
      </c>
      <c r="J1830" s="2" t="s">
        <v>13904</v>
      </c>
      <c r="K1830" s="2" t="s">
        <v>19841</v>
      </c>
      <c r="L1830" s="82" t="s">
        <v>19512</v>
      </c>
    </row>
    <row r="1831" spans="1:12" ht="84" customHeight="1" x14ac:dyDescent="0.3">
      <c r="A1831" s="2">
        <v>1827</v>
      </c>
      <c r="B1831" s="66" t="s">
        <v>1979</v>
      </c>
      <c r="C1831" s="66"/>
      <c r="D1831" s="11" t="s">
        <v>2042</v>
      </c>
      <c r="E1831" s="11">
        <v>3049.5</v>
      </c>
      <c r="F1831" s="3">
        <v>38498</v>
      </c>
      <c r="G1831" s="207" t="s">
        <v>1061</v>
      </c>
      <c r="H1831" s="3">
        <v>43053</v>
      </c>
      <c r="I1831" s="2" t="s">
        <v>19506</v>
      </c>
      <c r="J1831" s="2" t="s">
        <v>13904</v>
      </c>
      <c r="K1831" s="2" t="s">
        <v>19841</v>
      </c>
      <c r="L1831" s="82" t="s">
        <v>19512</v>
      </c>
    </row>
    <row r="1832" spans="1:12" ht="84" customHeight="1" x14ac:dyDescent="0.3">
      <c r="A1832" s="2">
        <v>1828</v>
      </c>
      <c r="B1832" s="66" t="s">
        <v>1980</v>
      </c>
      <c r="C1832" s="66"/>
      <c r="D1832" s="11" t="s">
        <v>1183</v>
      </c>
      <c r="E1832" s="11">
        <v>3500</v>
      </c>
      <c r="F1832" s="3">
        <v>39524</v>
      </c>
      <c r="G1832" s="207" t="s">
        <v>1061</v>
      </c>
      <c r="H1832" s="3">
        <v>43053</v>
      </c>
      <c r="I1832" s="2" t="s">
        <v>19506</v>
      </c>
      <c r="J1832" s="2" t="s">
        <v>13904</v>
      </c>
      <c r="K1832" s="2" t="s">
        <v>19841</v>
      </c>
      <c r="L1832" s="82" t="s">
        <v>19512</v>
      </c>
    </row>
    <row r="1833" spans="1:12" ht="84" customHeight="1" x14ac:dyDescent="0.3">
      <c r="A1833" s="2">
        <v>1829</v>
      </c>
      <c r="B1833" s="66" t="s">
        <v>1027</v>
      </c>
      <c r="C1833" s="66"/>
      <c r="D1833" s="11">
        <v>555.07000000000005</v>
      </c>
      <c r="E1833" s="11">
        <v>555.07000000000005</v>
      </c>
      <c r="F1833" s="3">
        <v>38461</v>
      </c>
      <c r="G1833" s="207" t="s">
        <v>1061</v>
      </c>
      <c r="H1833" s="3">
        <v>43053</v>
      </c>
      <c r="I1833" s="2" t="s">
        <v>19506</v>
      </c>
      <c r="J1833" s="2" t="s">
        <v>13904</v>
      </c>
      <c r="K1833" s="2" t="s">
        <v>19841</v>
      </c>
      <c r="L1833" s="82" t="s">
        <v>19512</v>
      </c>
    </row>
    <row r="1834" spans="1:12" ht="84" customHeight="1" x14ac:dyDescent="0.3">
      <c r="A1834" s="2">
        <v>1830</v>
      </c>
      <c r="B1834" s="66" t="s">
        <v>2043</v>
      </c>
      <c r="C1834" s="66"/>
      <c r="D1834" s="11" t="s">
        <v>2056</v>
      </c>
      <c r="E1834" s="11">
        <v>4240</v>
      </c>
      <c r="F1834" s="3">
        <v>39078</v>
      </c>
      <c r="G1834" s="207" t="s">
        <v>1061</v>
      </c>
      <c r="H1834" s="3">
        <v>43053</v>
      </c>
      <c r="I1834" s="2" t="s">
        <v>19506</v>
      </c>
      <c r="J1834" s="2" t="s">
        <v>13904</v>
      </c>
      <c r="K1834" s="2" t="s">
        <v>19841</v>
      </c>
      <c r="L1834" s="82" t="s">
        <v>19512</v>
      </c>
    </row>
    <row r="1835" spans="1:12" ht="84" customHeight="1" x14ac:dyDescent="0.3">
      <c r="A1835" s="2">
        <v>1831</v>
      </c>
      <c r="B1835" s="66" t="s">
        <v>2044</v>
      </c>
      <c r="C1835" s="66"/>
      <c r="D1835" s="11" t="s">
        <v>1806</v>
      </c>
      <c r="E1835" s="11">
        <v>6000</v>
      </c>
      <c r="F1835" s="3">
        <v>39247</v>
      </c>
      <c r="G1835" s="207" t="s">
        <v>1061</v>
      </c>
      <c r="H1835" s="3">
        <v>43053</v>
      </c>
      <c r="I1835" s="2" t="s">
        <v>19506</v>
      </c>
      <c r="J1835" s="2" t="s">
        <v>13904</v>
      </c>
      <c r="K1835" s="2" t="s">
        <v>19841</v>
      </c>
      <c r="L1835" s="82" t="s">
        <v>19512</v>
      </c>
    </row>
    <row r="1836" spans="1:12" ht="84" customHeight="1" x14ac:dyDescent="0.3">
      <c r="A1836" s="2">
        <v>1832</v>
      </c>
      <c r="B1836" s="66" t="s">
        <v>2044</v>
      </c>
      <c r="C1836" s="66"/>
      <c r="D1836" s="11" t="s">
        <v>1806</v>
      </c>
      <c r="E1836" s="11">
        <v>6000</v>
      </c>
      <c r="F1836" s="3">
        <v>39247</v>
      </c>
      <c r="G1836" s="207" t="s">
        <v>1061</v>
      </c>
      <c r="H1836" s="3">
        <v>43053</v>
      </c>
      <c r="I1836" s="2" t="s">
        <v>19506</v>
      </c>
      <c r="J1836" s="2" t="s">
        <v>13904</v>
      </c>
      <c r="K1836" s="2" t="s">
        <v>19841</v>
      </c>
      <c r="L1836" s="82" t="s">
        <v>19512</v>
      </c>
    </row>
    <row r="1837" spans="1:12" ht="84" customHeight="1" x14ac:dyDescent="0.3">
      <c r="A1837" s="2">
        <v>1833</v>
      </c>
      <c r="B1837" s="66" t="s">
        <v>2045</v>
      </c>
      <c r="C1837" s="66"/>
      <c r="D1837" s="11" t="s">
        <v>2057</v>
      </c>
      <c r="E1837" s="11">
        <v>17500</v>
      </c>
      <c r="F1837" s="3">
        <v>39177</v>
      </c>
      <c r="G1837" s="207" t="s">
        <v>1061</v>
      </c>
      <c r="H1837" s="3">
        <v>43053</v>
      </c>
      <c r="I1837" s="2" t="s">
        <v>19506</v>
      </c>
      <c r="J1837" s="2" t="s">
        <v>13904</v>
      </c>
      <c r="K1837" s="2" t="s">
        <v>19841</v>
      </c>
      <c r="L1837" s="82" t="s">
        <v>19512</v>
      </c>
    </row>
    <row r="1838" spans="1:12" ht="84" customHeight="1" x14ac:dyDescent="0.3">
      <c r="A1838" s="2">
        <v>1834</v>
      </c>
      <c r="B1838" s="66" t="s">
        <v>2045</v>
      </c>
      <c r="C1838" s="66"/>
      <c r="D1838" s="11" t="s">
        <v>2057</v>
      </c>
      <c r="E1838" s="11">
        <v>17500</v>
      </c>
      <c r="F1838" s="3">
        <v>39207</v>
      </c>
      <c r="G1838" s="207" t="s">
        <v>1061</v>
      </c>
      <c r="H1838" s="3">
        <v>43053</v>
      </c>
      <c r="I1838" s="2" t="s">
        <v>19506</v>
      </c>
      <c r="J1838" s="2" t="s">
        <v>13904</v>
      </c>
      <c r="K1838" s="2" t="s">
        <v>19841</v>
      </c>
      <c r="L1838" s="82" t="s">
        <v>19512</v>
      </c>
    </row>
    <row r="1839" spans="1:12" ht="84" customHeight="1" x14ac:dyDescent="0.3">
      <c r="A1839" s="2">
        <v>1835</v>
      </c>
      <c r="B1839" s="66" t="s">
        <v>2046</v>
      </c>
      <c r="C1839" s="66"/>
      <c r="D1839" s="11" t="s">
        <v>2058</v>
      </c>
      <c r="E1839" s="11">
        <v>4022.7</v>
      </c>
      <c r="F1839" s="3">
        <v>39078</v>
      </c>
      <c r="G1839" s="207" t="s">
        <v>1061</v>
      </c>
      <c r="H1839" s="3">
        <v>43053</v>
      </c>
      <c r="I1839" s="2" t="s">
        <v>19506</v>
      </c>
      <c r="J1839" s="2" t="s">
        <v>13904</v>
      </c>
      <c r="K1839" s="2" t="s">
        <v>19841</v>
      </c>
      <c r="L1839" s="82" t="s">
        <v>19512</v>
      </c>
    </row>
    <row r="1840" spans="1:12" ht="84" customHeight="1" x14ac:dyDescent="0.3">
      <c r="A1840" s="2">
        <v>1836</v>
      </c>
      <c r="B1840" s="66" t="s">
        <v>2046</v>
      </c>
      <c r="C1840" s="66"/>
      <c r="D1840" s="11" t="s">
        <v>2058</v>
      </c>
      <c r="E1840" s="11">
        <v>4022.7</v>
      </c>
      <c r="F1840" s="3">
        <v>39078</v>
      </c>
      <c r="G1840" s="207" t="s">
        <v>1061</v>
      </c>
      <c r="H1840" s="3">
        <v>43053</v>
      </c>
      <c r="I1840" s="2" t="s">
        <v>19506</v>
      </c>
      <c r="J1840" s="2" t="s">
        <v>13904</v>
      </c>
      <c r="K1840" s="2" t="s">
        <v>19841</v>
      </c>
      <c r="L1840" s="82" t="s">
        <v>19512</v>
      </c>
    </row>
    <row r="1841" spans="1:15" ht="84" customHeight="1" x14ac:dyDescent="0.3">
      <c r="A1841" s="2">
        <v>1837</v>
      </c>
      <c r="B1841" s="66" t="s">
        <v>2047</v>
      </c>
      <c r="C1841" s="66"/>
      <c r="D1841" s="11" t="s">
        <v>2059</v>
      </c>
      <c r="E1841" s="11">
        <v>4028</v>
      </c>
      <c r="F1841" s="3">
        <v>39078</v>
      </c>
      <c r="G1841" s="207" t="s">
        <v>1061</v>
      </c>
      <c r="H1841" s="3">
        <v>43053</v>
      </c>
      <c r="I1841" s="2" t="s">
        <v>19506</v>
      </c>
      <c r="J1841" s="2" t="s">
        <v>13904</v>
      </c>
      <c r="K1841" s="2" t="s">
        <v>19841</v>
      </c>
      <c r="L1841" s="82" t="s">
        <v>19512</v>
      </c>
    </row>
    <row r="1842" spans="1:15" ht="84" customHeight="1" x14ac:dyDescent="0.3">
      <c r="A1842" s="2">
        <v>1838</v>
      </c>
      <c r="B1842" s="66" t="s">
        <v>2048</v>
      </c>
      <c r="C1842" s="66"/>
      <c r="D1842" s="11" t="s">
        <v>2060</v>
      </c>
      <c r="E1842" s="11">
        <v>4229.3999999999996</v>
      </c>
      <c r="F1842" s="3">
        <v>39078</v>
      </c>
      <c r="G1842" s="207" t="s">
        <v>1061</v>
      </c>
      <c r="H1842" s="3">
        <v>43053</v>
      </c>
      <c r="I1842" s="2" t="s">
        <v>19506</v>
      </c>
      <c r="J1842" s="2" t="s">
        <v>13904</v>
      </c>
      <c r="K1842" s="2" t="s">
        <v>19841</v>
      </c>
      <c r="L1842" s="82" t="s">
        <v>19512</v>
      </c>
    </row>
    <row r="1843" spans="1:15" ht="84" customHeight="1" x14ac:dyDescent="0.3">
      <c r="A1843" s="2">
        <v>1839</v>
      </c>
      <c r="B1843" s="66" t="s">
        <v>2048</v>
      </c>
      <c r="C1843" s="66"/>
      <c r="D1843" s="11" t="s">
        <v>2060</v>
      </c>
      <c r="E1843" s="11">
        <v>4229.3999999999996</v>
      </c>
      <c r="F1843" s="3">
        <v>39078</v>
      </c>
      <c r="G1843" s="207" t="s">
        <v>1061</v>
      </c>
      <c r="H1843" s="3">
        <v>43053</v>
      </c>
      <c r="I1843" s="2" t="s">
        <v>19506</v>
      </c>
      <c r="J1843" s="2" t="s">
        <v>13904</v>
      </c>
      <c r="K1843" s="2" t="s">
        <v>19841</v>
      </c>
      <c r="L1843" s="82" t="s">
        <v>19512</v>
      </c>
    </row>
    <row r="1844" spans="1:15" ht="84" customHeight="1" x14ac:dyDescent="0.3">
      <c r="A1844" s="2">
        <v>1840</v>
      </c>
      <c r="B1844" s="66" t="s">
        <v>2049</v>
      </c>
      <c r="C1844" s="66"/>
      <c r="D1844" s="11" t="s">
        <v>2059</v>
      </c>
      <c r="E1844" s="11">
        <v>4028</v>
      </c>
      <c r="F1844" s="3">
        <v>39078</v>
      </c>
      <c r="G1844" s="207" t="s">
        <v>1061</v>
      </c>
      <c r="H1844" s="3">
        <v>43053</v>
      </c>
      <c r="I1844" s="2" t="s">
        <v>19506</v>
      </c>
      <c r="J1844" s="2" t="s">
        <v>13904</v>
      </c>
      <c r="K1844" s="2" t="s">
        <v>19841</v>
      </c>
      <c r="L1844" s="82" t="s">
        <v>19512</v>
      </c>
    </row>
    <row r="1845" spans="1:15" ht="84" customHeight="1" x14ac:dyDescent="0.3">
      <c r="A1845" s="2">
        <v>1841</v>
      </c>
      <c r="B1845" s="66" t="s">
        <v>2050</v>
      </c>
      <c r="C1845" s="66"/>
      <c r="D1845" s="11" t="s">
        <v>1278</v>
      </c>
      <c r="E1845" s="11">
        <v>4500</v>
      </c>
      <c r="F1845" s="3">
        <v>39247</v>
      </c>
      <c r="G1845" s="207" t="s">
        <v>1061</v>
      </c>
      <c r="H1845" s="3">
        <v>43053</v>
      </c>
      <c r="I1845" s="2" t="s">
        <v>19506</v>
      </c>
      <c r="J1845" s="2" t="s">
        <v>13904</v>
      </c>
      <c r="K1845" s="2" t="s">
        <v>19841</v>
      </c>
      <c r="L1845" s="82" t="s">
        <v>19512</v>
      </c>
    </row>
    <row r="1846" spans="1:15" ht="84" customHeight="1" x14ac:dyDescent="0.3">
      <c r="A1846" s="2">
        <v>1842</v>
      </c>
      <c r="B1846" s="66" t="s">
        <v>2051</v>
      </c>
      <c r="C1846" s="66"/>
      <c r="D1846" s="11" t="s">
        <v>1278</v>
      </c>
      <c r="E1846" s="11">
        <v>4500</v>
      </c>
      <c r="F1846" s="3">
        <v>39247</v>
      </c>
      <c r="G1846" s="207" t="s">
        <v>1061</v>
      </c>
      <c r="H1846" s="3">
        <v>43053</v>
      </c>
      <c r="I1846" s="2" t="s">
        <v>19506</v>
      </c>
      <c r="J1846" s="2" t="s">
        <v>13904</v>
      </c>
      <c r="K1846" s="2" t="s">
        <v>19841</v>
      </c>
      <c r="L1846" s="82" t="s">
        <v>19512</v>
      </c>
    </row>
    <row r="1847" spans="1:15" ht="84" customHeight="1" x14ac:dyDescent="0.3">
      <c r="A1847" s="2">
        <v>1843</v>
      </c>
      <c r="B1847" s="66" t="s">
        <v>2052</v>
      </c>
      <c r="C1847" s="66"/>
      <c r="D1847" s="11" t="s">
        <v>2061</v>
      </c>
      <c r="E1847" s="11">
        <v>3524.5</v>
      </c>
      <c r="F1847" s="3">
        <v>39078</v>
      </c>
      <c r="G1847" s="207" t="s">
        <v>1061</v>
      </c>
      <c r="H1847" s="3">
        <v>43053</v>
      </c>
      <c r="I1847" s="2" t="s">
        <v>19506</v>
      </c>
      <c r="J1847" s="2" t="s">
        <v>13904</v>
      </c>
      <c r="K1847" s="2" t="s">
        <v>19841</v>
      </c>
      <c r="L1847" s="82" t="s">
        <v>19512</v>
      </c>
    </row>
    <row r="1848" spans="1:15" ht="84" customHeight="1" x14ac:dyDescent="0.3">
      <c r="A1848" s="2">
        <v>1844</v>
      </c>
      <c r="B1848" s="66" t="s">
        <v>2052</v>
      </c>
      <c r="C1848" s="66"/>
      <c r="D1848" s="11" t="s">
        <v>1805</v>
      </c>
      <c r="E1848" s="11">
        <v>5000</v>
      </c>
      <c r="F1848" s="3">
        <v>39247</v>
      </c>
      <c r="G1848" s="207" t="s">
        <v>1061</v>
      </c>
      <c r="H1848" s="3">
        <v>43053</v>
      </c>
      <c r="I1848" s="2" t="s">
        <v>19506</v>
      </c>
      <c r="J1848" s="2" t="s">
        <v>13904</v>
      </c>
      <c r="K1848" s="2" t="s">
        <v>19841</v>
      </c>
      <c r="L1848" s="82" t="s">
        <v>19512</v>
      </c>
    </row>
    <row r="1849" spans="1:15" ht="84" customHeight="1" x14ac:dyDescent="0.3">
      <c r="A1849" s="2">
        <v>1845</v>
      </c>
      <c r="B1849" s="66" t="s">
        <v>2053</v>
      </c>
      <c r="C1849" s="66"/>
      <c r="D1849" s="11" t="s">
        <v>2062</v>
      </c>
      <c r="E1849" s="11">
        <v>3423.8</v>
      </c>
      <c r="F1849" s="3">
        <v>39078</v>
      </c>
      <c r="G1849" s="207" t="s">
        <v>1061</v>
      </c>
      <c r="H1849" s="3">
        <v>43053</v>
      </c>
      <c r="I1849" s="2" t="s">
        <v>19506</v>
      </c>
      <c r="J1849" s="2" t="s">
        <v>13904</v>
      </c>
      <c r="K1849" s="2" t="s">
        <v>19841</v>
      </c>
      <c r="L1849" s="82" t="s">
        <v>19512</v>
      </c>
    </row>
    <row r="1850" spans="1:15" ht="84" customHeight="1" x14ac:dyDescent="0.3">
      <c r="A1850" s="2">
        <v>1846</v>
      </c>
      <c r="B1850" s="66" t="s">
        <v>2053</v>
      </c>
      <c r="C1850" s="66"/>
      <c r="D1850" s="11" t="s">
        <v>2062</v>
      </c>
      <c r="E1850" s="11">
        <v>3423.8</v>
      </c>
      <c r="F1850" s="3">
        <v>39078</v>
      </c>
      <c r="G1850" s="207" t="s">
        <v>1061</v>
      </c>
      <c r="H1850" s="3">
        <v>43053</v>
      </c>
      <c r="I1850" s="2" t="s">
        <v>19506</v>
      </c>
      <c r="J1850" s="2" t="s">
        <v>13904</v>
      </c>
      <c r="K1850" s="2" t="s">
        <v>19841</v>
      </c>
      <c r="L1850" s="82" t="s">
        <v>19512</v>
      </c>
    </row>
    <row r="1851" spans="1:15" ht="84" customHeight="1" x14ac:dyDescent="0.3">
      <c r="A1851" s="2">
        <v>1847</v>
      </c>
      <c r="B1851" s="66" t="s">
        <v>2054</v>
      </c>
      <c r="C1851" s="66"/>
      <c r="D1851" s="11" t="s">
        <v>2063</v>
      </c>
      <c r="E1851" s="11">
        <v>5800</v>
      </c>
      <c r="F1851" s="3">
        <v>39247</v>
      </c>
      <c r="G1851" s="207" t="s">
        <v>1061</v>
      </c>
      <c r="H1851" s="3">
        <v>43053</v>
      </c>
      <c r="I1851" s="2" t="s">
        <v>19506</v>
      </c>
      <c r="J1851" s="2" t="s">
        <v>13904</v>
      </c>
      <c r="K1851" s="2" t="s">
        <v>19841</v>
      </c>
      <c r="L1851" s="82" t="s">
        <v>19512</v>
      </c>
    </row>
    <row r="1852" spans="1:15" ht="84" customHeight="1" x14ac:dyDescent="0.3">
      <c r="A1852" s="2">
        <v>1848</v>
      </c>
      <c r="B1852" s="66" t="s">
        <v>2054</v>
      </c>
      <c r="C1852" s="66"/>
      <c r="D1852" s="11" t="s">
        <v>2063</v>
      </c>
      <c r="E1852" s="11">
        <v>5800</v>
      </c>
      <c r="F1852" s="3">
        <v>39247</v>
      </c>
      <c r="G1852" s="207" t="s">
        <v>1061</v>
      </c>
      <c r="H1852" s="3">
        <v>43053</v>
      </c>
      <c r="I1852" s="2" t="s">
        <v>19506</v>
      </c>
      <c r="J1852" s="2" t="s">
        <v>13904</v>
      </c>
      <c r="K1852" s="2" t="s">
        <v>19841</v>
      </c>
      <c r="L1852" s="82" t="s">
        <v>19512</v>
      </c>
    </row>
    <row r="1853" spans="1:15" ht="84" customHeight="1" x14ac:dyDescent="0.3">
      <c r="A1853" s="2">
        <v>1849</v>
      </c>
      <c r="B1853" s="66" t="s">
        <v>2055</v>
      </c>
      <c r="C1853" s="66"/>
      <c r="D1853" s="11" t="s">
        <v>2064</v>
      </c>
      <c r="E1853" s="11">
        <v>6032</v>
      </c>
      <c r="F1853" s="3">
        <v>39078</v>
      </c>
      <c r="G1853" s="207" t="s">
        <v>1061</v>
      </c>
      <c r="H1853" s="3">
        <v>43053</v>
      </c>
      <c r="I1853" s="2" t="s">
        <v>19506</v>
      </c>
      <c r="J1853" s="2" t="s">
        <v>13904</v>
      </c>
      <c r="K1853" s="2" t="s">
        <v>19841</v>
      </c>
      <c r="L1853" s="82" t="s">
        <v>19512</v>
      </c>
    </row>
    <row r="1854" spans="1:15" ht="84" customHeight="1" x14ac:dyDescent="0.3">
      <c r="A1854" s="2">
        <v>1850</v>
      </c>
      <c r="B1854" s="66" t="s">
        <v>2047</v>
      </c>
      <c r="C1854" s="66"/>
      <c r="D1854" s="11" t="s">
        <v>2059</v>
      </c>
      <c r="E1854" s="11">
        <v>4028</v>
      </c>
      <c r="F1854" s="3">
        <v>39078</v>
      </c>
      <c r="G1854" s="207" t="s">
        <v>1061</v>
      </c>
      <c r="H1854" s="3">
        <v>43053</v>
      </c>
      <c r="I1854" s="2" t="s">
        <v>19506</v>
      </c>
      <c r="J1854" s="2" t="s">
        <v>13904</v>
      </c>
      <c r="K1854" s="2" t="s">
        <v>19841</v>
      </c>
      <c r="L1854" s="82" t="s">
        <v>19512</v>
      </c>
    </row>
    <row r="1855" spans="1:15" s="19" customFormat="1" ht="120" customHeight="1" x14ac:dyDescent="0.3">
      <c r="A1855" s="2">
        <v>1851</v>
      </c>
      <c r="B1855" s="66" t="s">
        <v>2067</v>
      </c>
      <c r="C1855" s="66" t="s">
        <v>18821</v>
      </c>
      <c r="D1855" s="11" t="s">
        <v>2068</v>
      </c>
      <c r="E1855" s="11">
        <v>14098.59</v>
      </c>
      <c r="F1855" s="3" t="s">
        <v>2065</v>
      </c>
      <c r="G1855" s="2" t="s">
        <v>2066</v>
      </c>
      <c r="H1855" s="2"/>
      <c r="I1855" s="2"/>
      <c r="J1855" s="2" t="s">
        <v>13904</v>
      </c>
      <c r="K1855" s="2" t="s">
        <v>19234</v>
      </c>
      <c r="L1855" s="2" t="s">
        <v>20495</v>
      </c>
      <c r="M1855" s="18"/>
      <c r="N1855" s="18"/>
      <c r="O1855" s="18"/>
    </row>
    <row r="1856" spans="1:15" ht="120" customHeight="1" x14ac:dyDescent="0.3">
      <c r="A1856" s="2">
        <v>1852</v>
      </c>
      <c r="B1856" s="66" t="s">
        <v>21496</v>
      </c>
      <c r="C1856" s="66" t="s">
        <v>21495</v>
      </c>
      <c r="D1856" s="11">
        <v>100000</v>
      </c>
      <c r="E1856" s="11">
        <v>100000</v>
      </c>
      <c r="F1856" s="3">
        <v>43067</v>
      </c>
      <c r="G1856" s="2" t="s">
        <v>21494</v>
      </c>
      <c r="H1856" s="3"/>
      <c r="I1856" s="2"/>
      <c r="J1856" s="2" t="s">
        <v>13904</v>
      </c>
      <c r="K1856" s="2" t="s">
        <v>21493</v>
      </c>
      <c r="L1856" s="82" t="s">
        <v>22989</v>
      </c>
    </row>
    <row r="1857" spans="1:12" ht="120" customHeight="1" x14ac:dyDescent="0.3">
      <c r="A1857" s="2">
        <v>1853</v>
      </c>
      <c r="B1857" s="66" t="s">
        <v>2069</v>
      </c>
      <c r="C1857" s="66"/>
      <c r="D1857" s="11" t="s">
        <v>2084</v>
      </c>
      <c r="E1857" s="11" t="s">
        <v>2084</v>
      </c>
      <c r="F1857" s="3" t="s">
        <v>2065</v>
      </c>
      <c r="G1857" s="2" t="s">
        <v>2066</v>
      </c>
      <c r="H1857" s="3">
        <v>43053</v>
      </c>
      <c r="I1857" s="2" t="s">
        <v>19506</v>
      </c>
      <c r="J1857" s="2" t="s">
        <v>13904</v>
      </c>
      <c r="K1857" s="2" t="s">
        <v>19234</v>
      </c>
      <c r="L1857" s="82" t="s">
        <v>19512</v>
      </c>
    </row>
    <row r="1858" spans="1:12" ht="120" customHeight="1" x14ac:dyDescent="0.3">
      <c r="A1858" s="2">
        <v>1854</v>
      </c>
      <c r="B1858" s="66" t="s">
        <v>2070</v>
      </c>
      <c r="C1858" s="66"/>
      <c r="D1858" s="11" t="s">
        <v>933</v>
      </c>
      <c r="E1858" s="11" t="s">
        <v>933</v>
      </c>
      <c r="F1858" s="3" t="s">
        <v>2065</v>
      </c>
      <c r="G1858" s="2" t="s">
        <v>2066</v>
      </c>
      <c r="H1858" s="3">
        <v>43053</v>
      </c>
      <c r="I1858" s="2" t="s">
        <v>19506</v>
      </c>
      <c r="J1858" s="2" t="s">
        <v>13904</v>
      </c>
      <c r="K1858" s="2" t="s">
        <v>19234</v>
      </c>
      <c r="L1858" s="82" t="s">
        <v>19512</v>
      </c>
    </row>
    <row r="1859" spans="1:12" ht="120" customHeight="1" x14ac:dyDescent="0.3">
      <c r="A1859" s="2">
        <v>1855</v>
      </c>
      <c r="B1859" s="66" t="s">
        <v>2070</v>
      </c>
      <c r="C1859" s="66"/>
      <c r="D1859" s="11" t="s">
        <v>933</v>
      </c>
      <c r="E1859" s="11" t="s">
        <v>933</v>
      </c>
      <c r="F1859" s="3" t="s">
        <v>2065</v>
      </c>
      <c r="G1859" s="2" t="s">
        <v>2066</v>
      </c>
      <c r="H1859" s="3">
        <v>43053</v>
      </c>
      <c r="I1859" s="2" t="s">
        <v>19506</v>
      </c>
      <c r="J1859" s="2" t="s">
        <v>13904</v>
      </c>
      <c r="K1859" s="2" t="s">
        <v>19234</v>
      </c>
      <c r="L1859" s="82" t="s">
        <v>19512</v>
      </c>
    </row>
    <row r="1860" spans="1:12" ht="120" customHeight="1" x14ac:dyDescent="0.3">
      <c r="A1860" s="2">
        <v>1856</v>
      </c>
      <c r="B1860" s="66" t="s">
        <v>2070</v>
      </c>
      <c r="C1860" s="66"/>
      <c r="D1860" s="11" t="s">
        <v>933</v>
      </c>
      <c r="E1860" s="11" t="s">
        <v>933</v>
      </c>
      <c r="F1860" s="3" t="s">
        <v>2065</v>
      </c>
      <c r="G1860" s="2" t="s">
        <v>2066</v>
      </c>
      <c r="H1860" s="3">
        <v>43053</v>
      </c>
      <c r="I1860" s="2" t="s">
        <v>19506</v>
      </c>
      <c r="J1860" s="2" t="s">
        <v>13904</v>
      </c>
      <c r="K1860" s="2" t="s">
        <v>19234</v>
      </c>
      <c r="L1860" s="82" t="s">
        <v>19512</v>
      </c>
    </row>
    <row r="1861" spans="1:12" ht="120" customHeight="1" x14ac:dyDescent="0.3">
      <c r="A1861" s="2">
        <v>1857</v>
      </c>
      <c r="B1861" s="66" t="s">
        <v>2071</v>
      </c>
      <c r="C1861" s="66"/>
      <c r="D1861" s="11" t="s">
        <v>2085</v>
      </c>
      <c r="E1861" s="11" t="s">
        <v>2085</v>
      </c>
      <c r="F1861" s="3" t="s">
        <v>2065</v>
      </c>
      <c r="G1861" s="2" t="s">
        <v>2066</v>
      </c>
      <c r="H1861" s="3">
        <v>43053</v>
      </c>
      <c r="I1861" s="2" t="s">
        <v>19506</v>
      </c>
      <c r="J1861" s="2" t="s">
        <v>13904</v>
      </c>
      <c r="K1861" s="2" t="s">
        <v>19234</v>
      </c>
      <c r="L1861" s="82" t="s">
        <v>19512</v>
      </c>
    </row>
    <row r="1862" spans="1:12" ht="120" customHeight="1" x14ac:dyDescent="0.3">
      <c r="A1862" s="2">
        <v>1858</v>
      </c>
      <c r="B1862" s="66" t="s">
        <v>2071</v>
      </c>
      <c r="C1862" s="66"/>
      <c r="D1862" s="11" t="s">
        <v>2085</v>
      </c>
      <c r="E1862" s="11" t="s">
        <v>2085</v>
      </c>
      <c r="F1862" s="3" t="s">
        <v>2065</v>
      </c>
      <c r="G1862" s="2" t="s">
        <v>2066</v>
      </c>
      <c r="H1862" s="3">
        <v>43053</v>
      </c>
      <c r="I1862" s="2" t="s">
        <v>19506</v>
      </c>
      <c r="J1862" s="2" t="s">
        <v>13904</v>
      </c>
      <c r="K1862" s="2" t="s">
        <v>19234</v>
      </c>
      <c r="L1862" s="82" t="s">
        <v>19512</v>
      </c>
    </row>
    <row r="1863" spans="1:12" ht="120" customHeight="1" x14ac:dyDescent="0.3">
      <c r="A1863" s="2">
        <v>1859</v>
      </c>
      <c r="B1863" s="66" t="s">
        <v>2072</v>
      </c>
      <c r="C1863" s="66"/>
      <c r="D1863" s="11" t="s">
        <v>2086</v>
      </c>
      <c r="E1863" s="11" t="s">
        <v>2086</v>
      </c>
      <c r="F1863" s="3" t="s">
        <v>2065</v>
      </c>
      <c r="G1863" s="2" t="s">
        <v>2066</v>
      </c>
      <c r="H1863" s="3">
        <v>43053</v>
      </c>
      <c r="I1863" s="2" t="s">
        <v>19506</v>
      </c>
      <c r="J1863" s="2" t="s">
        <v>13904</v>
      </c>
      <c r="K1863" s="2" t="s">
        <v>19234</v>
      </c>
      <c r="L1863" s="82" t="s">
        <v>19512</v>
      </c>
    </row>
    <row r="1864" spans="1:12" ht="120" customHeight="1" x14ac:dyDescent="0.3">
      <c r="A1864" s="2">
        <v>1860</v>
      </c>
      <c r="B1864" s="66" t="s">
        <v>2072</v>
      </c>
      <c r="C1864" s="66"/>
      <c r="D1864" s="11" t="s">
        <v>2086</v>
      </c>
      <c r="E1864" s="11" t="s">
        <v>2086</v>
      </c>
      <c r="F1864" s="3" t="s">
        <v>2065</v>
      </c>
      <c r="G1864" s="2" t="s">
        <v>2066</v>
      </c>
      <c r="H1864" s="3">
        <v>43053</v>
      </c>
      <c r="I1864" s="2" t="s">
        <v>19506</v>
      </c>
      <c r="J1864" s="2" t="s">
        <v>13904</v>
      </c>
      <c r="K1864" s="2" t="s">
        <v>19234</v>
      </c>
      <c r="L1864" s="82" t="s">
        <v>19512</v>
      </c>
    </row>
    <row r="1865" spans="1:12" ht="120" customHeight="1" x14ac:dyDescent="0.3">
      <c r="A1865" s="2">
        <v>1861</v>
      </c>
      <c r="B1865" s="66" t="s">
        <v>263</v>
      </c>
      <c r="C1865" s="66" t="s">
        <v>18823</v>
      </c>
      <c r="D1865" s="11" t="s">
        <v>2087</v>
      </c>
      <c r="E1865" s="11" t="s">
        <v>2087</v>
      </c>
      <c r="F1865" s="3" t="s">
        <v>2065</v>
      </c>
      <c r="G1865" s="2" t="s">
        <v>2066</v>
      </c>
      <c r="H1865" s="2"/>
      <c r="I1865" s="2"/>
      <c r="J1865" s="2" t="s">
        <v>13904</v>
      </c>
      <c r="K1865" s="2" t="s">
        <v>19234</v>
      </c>
      <c r="L1865" s="82" t="s">
        <v>18820</v>
      </c>
    </row>
    <row r="1866" spans="1:12" ht="120" customHeight="1" x14ac:dyDescent="0.3">
      <c r="A1866" s="2">
        <v>1862</v>
      </c>
      <c r="B1866" s="66" t="s">
        <v>2069</v>
      </c>
      <c r="C1866" s="66"/>
      <c r="D1866" s="11" t="s">
        <v>2088</v>
      </c>
      <c r="E1866" s="11" t="s">
        <v>2088</v>
      </c>
      <c r="F1866" s="3" t="s">
        <v>2065</v>
      </c>
      <c r="G1866" s="2" t="s">
        <v>2066</v>
      </c>
      <c r="H1866" s="3">
        <v>43053</v>
      </c>
      <c r="I1866" s="2" t="s">
        <v>19506</v>
      </c>
      <c r="J1866" s="2" t="s">
        <v>13904</v>
      </c>
      <c r="K1866" s="2" t="s">
        <v>19234</v>
      </c>
      <c r="L1866" s="82" t="s">
        <v>19512</v>
      </c>
    </row>
    <row r="1867" spans="1:12" ht="120" customHeight="1" x14ac:dyDescent="0.3">
      <c r="A1867" s="2">
        <v>1863</v>
      </c>
      <c r="B1867" s="66" t="s">
        <v>2070</v>
      </c>
      <c r="C1867" s="66"/>
      <c r="D1867" s="11" t="s">
        <v>2089</v>
      </c>
      <c r="E1867" s="11" t="s">
        <v>2089</v>
      </c>
      <c r="F1867" s="3" t="s">
        <v>2065</v>
      </c>
      <c r="G1867" s="2" t="s">
        <v>2066</v>
      </c>
      <c r="H1867" s="3">
        <v>43053</v>
      </c>
      <c r="I1867" s="2" t="s">
        <v>19506</v>
      </c>
      <c r="J1867" s="2" t="s">
        <v>13904</v>
      </c>
      <c r="K1867" s="2" t="s">
        <v>19234</v>
      </c>
      <c r="L1867" s="82" t="s">
        <v>19512</v>
      </c>
    </row>
    <row r="1868" spans="1:12" ht="120" customHeight="1" x14ac:dyDescent="0.3">
      <c r="A1868" s="2">
        <v>1864</v>
      </c>
      <c r="B1868" s="66" t="s">
        <v>2073</v>
      </c>
      <c r="C1868" s="66"/>
      <c r="D1868" s="11" t="s">
        <v>2090</v>
      </c>
      <c r="E1868" s="11" t="s">
        <v>2090</v>
      </c>
      <c r="F1868" s="3" t="s">
        <v>2065</v>
      </c>
      <c r="G1868" s="2" t="s">
        <v>2066</v>
      </c>
      <c r="H1868" s="3">
        <v>43053</v>
      </c>
      <c r="I1868" s="2" t="s">
        <v>19506</v>
      </c>
      <c r="J1868" s="2" t="s">
        <v>13904</v>
      </c>
      <c r="K1868" s="2" t="s">
        <v>19234</v>
      </c>
      <c r="L1868" s="82" t="s">
        <v>19512</v>
      </c>
    </row>
    <row r="1869" spans="1:12" ht="120" customHeight="1" x14ac:dyDescent="0.3">
      <c r="A1869" s="2">
        <v>1865</v>
      </c>
      <c r="B1869" s="66" t="s">
        <v>2074</v>
      </c>
      <c r="C1869" s="66"/>
      <c r="D1869" s="11" t="s">
        <v>2091</v>
      </c>
      <c r="E1869" s="11" t="s">
        <v>2091</v>
      </c>
      <c r="F1869" s="3" t="s">
        <v>2065</v>
      </c>
      <c r="G1869" s="2" t="s">
        <v>2066</v>
      </c>
      <c r="H1869" s="3">
        <v>43053</v>
      </c>
      <c r="I1869" s="2" t="s">
        <v>19506</v>
      </c>
      <c r="J1869" s="2" t="s">
        <v>13904</v>
      </c>
      <c r="K1869" s="2" t="s">
        <v>19234</v>
      </c>
      <c r="L1869" s="82" t="s">
        <v>19512</v>
      </c>
    </row>
    <row r="1870" spans="1:12" ht="120" customHeight="1" x14ac:dyDescent="0.3">
      <c r="A1870" s="2">
        <v>1866</v>
      </c>
      <c r="B1870" s="66" t="s">
        <v>2070</v>
      </c>
      <c r="C1870" s="66"/>
      <c r="D1870" s="11" t="s">
        <v>2092</v>
      </c>
      <c r="E1870" s="11" t="s">
        <v>2092</v>
      </c>
      <c r="F1870" s="3" t="s">
        <v>2065</v>
      </c>
      <c r="G1870" s="2" t="s">
        <v>2066</v>
      </c>
      <c r="H1870" s="3">
        <v>43053</v>
      </c>
      <c r="I1870" s="2" t="s">
        <v>19506</v>
      </c>
      <c r="J1870" s="2" t="s">
        <v>13904</v>
      </c>
      <c r="K1870" s="2" t="s">
        <v>19234</v>
      </c>
      <c r="L1870" s="82" t="s">
        <v>19512</v>
      </c>
    </row>
    <row r="1871" spans="1:12" ht="120" customHeight="1" x14ac:dyDescent="0.3">
      <c r="A1871" s="2">
        <v>1867</v>
      </c>
      <c r="B1871" s="66" t="s">
        <v>2075</v>
      </c>
      <c r="C1871" s="66" t="s">
        <v>18842</v>
      </c>
      <c r="D1871" s="11" t="s">
        <v>2093</v>
      </c>
      <c r="E1871" s="11" t="s">
        <v>2093</v>
      </c>
      <c r="F1871" s="3" t="s">
        <v>2065</v>
      </c>
      <c r="G1871" s="2" t="s">
        <v>2066</v>
      </c>
      <c r="H1871" s="2"/>
      <c r="I1871" s="2"/>
      <c r="J1871" s="2" t="s">
        <v>13904</v>
      </c>
      <c r="K1871" s="2" t="s">
        <v>19234</v>
      </c>
      <c r="L1871" s="82" t="s">
        <v>18820</v>
      </c>
    </row>
    <row r="1872" spans="1:12" ht="120" customHeight="1" x14ac:dyDescent="0.3">
      <c r="A1872" s="2">
        <v>1868</v>
      </c>
      <c r="B1872" s="66" t="s">
        <v>2076</v>
      </c>
      <c r="C1872" s="66" t="s">
        <v>18822</v>
      </c>
      <c r="D1872" s="11" t="s">
        <v>2094</v>
      </c>
      <c r="E1872" s="11" t="s">
        <v>2094</v>
      </c>
      <c r="F1872" s="3" t="s">
        <v>2065</v>
      </c>
      <c r="G1872" s="2" t="s">
        <v>2066</v>
      </c>
      <c r="H1872" s="2"/>
      <c r="I1872" s="2"/>
      <c r="J1872" s="2" t="s">
        <v>13904</v>
      </c>
      <c r="K1872" s="2" t="s">
        <v>19234</v>
      </c>
      <c r="L1872" s="82" t="s">
        <v>18820</v>
      </c>
    </row>
    <row r="1873" spans="1:12" ht="120" customHeight="1" x14ac:dyDescent="0.3">
      <c r="A1873" s="2">
        <v>1869</v>
      </c>
      <c r="B1873" s="66" t="s">
        <v>2077</v>
      </c>
      <c r="C1873" s="66"/>
      <c r="D1873" s="11" t="s">
        <v>2095</v>
      </c>
      <c r="E1873" s="11" t="s">
        <v>2095</v>
      </c>
      <c r="F1873" s="3" t="s">
        <v>2065</v>
      </c>
      <c r="G1873" s="2" t="s">
        <v>2066</v>
      </c>
      <c r="H1873" s="3">
        <v>43053</v>
      </c>
      <c r="I1873" s="2" t="s">
        <v>19506</v>
      </c>
      <c r="J1873" s="2" t="s">
        <v>13904</v>
      </c>
      <c r="K1873" s="2" t="s">
        <v>19234</v>
      </c>
      <c r="L1873" s="82" t="s">
        <v>19512</v>
      </c>
    </row>
    <row r="1874" spans="1:12" ht="120" customHeight="1" x14ac:dyDescent="0.3">
      <c r="A1874" s="2">
        <v>1870</v>
      </c>
      <c r="B1874" s="66" t="s">
        <v>2077</v>
      </c>
      <c r="C1874" s="66"/>
      <c r="D1874" s="11" t="s">
        <v>2095</v>
      </c>
      <c r="E1874" s="11" t="s">
        <v>2095</v>
      </c>
      <c r="F1874" s="3" t="s">
        <v>2065</v>
      </c>
      <c r="G1874" s="2" t="s">
        <v>2066</v>
      </c>
      <c r="H1874" s="3">
        <v>43053</v>
      </c>
      <c r="I1874" s="2" t="s">
        <v>19506</v>
      </c>
      <c r="J1874" s="2" t="s">
        <v>13904</v>
      </c>
      <c r="K1874" s="2" t="s">
        <v>19234</v>
      </c>
      <c r="L1874" s="82" t="s">
        <v>19512</v>
      </c>
    </row>
    <row r="1875" spans="1:12" ht="120" customHeight="1" x14ac:dyDescent="0.3">
      <c r="A1875" s="2">
        <v>1871</v>
      </c>
      <c r="B1875" s="66" t="s">
        <v>2077</v>
      </c>
      <c r="C1875" s="66"/>
      <c r="D1875" s="11" t="s">
        <v>2095</v>
      </c>
      <c r="E1875" s="11" t="s">
        <v>2095</v>
      </c>
      <c r="F1875" s="3" t="s">
        <v>2065</v>
      </c>
      <c r="G1875" s="2" t="s">
        <v>2066</v>
      </c>
      <c r="H1875" s="3">
        <v>43053</v>
      </c>
      <c r="I1875" s="2" t="s">
        <v>19506</v>
      </c>
      <c r="J1875" s="2" t="s">
        <v>13904</v>
      </c>
      <c r="K1875" s="2" t="s">
        <v>19234</v>
      </c>
      <c r="L1875" s="82" t="s">
        <v>19512</v>
      </c>
    </row>
    <row r="1876" spans="1:12" ht="120" customHeight="1" x14ac:dyDescent="0.3">
      <c r="A1876" s="2">
        <v>1872</v>
      </c>
      <c r="B1876" s="66" t="s">
        <v>2077</v>
      </c>
      <c r="C1876" s="66"/>
      <c r="D1876" s="11" t="s">
        <v>2095</v>
      </c>
      <c r="E1876" s="11" t="s">
        <v>2095</v>
      </c>
      <c r="F1876" s="3" t="s">
        <v>2065</v>
      </c>
      <c r="G1876" s="2" t="s">
        <v>2066</v>
      </c>
      <c r="H1876" s="3">
        <v>43053</v>
      </c>
      <c r="I1876" s="2" t="s">
        <v>19506</v>
      </c>
      <c r="J1876" s="2" t="s">
        <v>13904</v>
      </c>
      <c r="K1876" s="2" t="s">
        <v>19234</v>
      </c>
      <c r="L1876" s="82" t="s">
        <v>19512</v>
      </c>
    </row>
    <row r="1877" spans="1:12" ht="120" customHeight="1" x14ac:dyDescent="0.3">
      <c r="A1877" s="2">
        <v>1873</v>
      </c>
      <c r="B1877" s="66" t="s">
        <v>2069</v>
      </c>
      <c r="C1877" s="66"/>
      <c r="D1877" s="11" t="s">
        <v>2088</v>
      </c>
      <c r="E1877" s="11" t="s">
        <v>2088</v>
      </c>
      <c r="F1877" s="3" t="s">
        <v>2065</v>
      </c>
      <c r="G1877" s="2" t="s">
        <v>2066</v>
      </c>
      <c r="H1877" s="3">
        <v>43053</v>
      </c>
      <c r="I1877" s="2" t="s">
        <v>19506</v>
      </c>
      <c r="J1877" s="2" t="s">
        <v>13904</v>
      </c>
      <c r="K1877" s="2" t="s">
        <v>19234</v>
      </c>
      <c r="L1877" s="82" t="s">
        <v>19512</v>
      </c>
    </row>
    <row r="1878" spans="1:12" ht="120" customHeight="1" x14ac:dyDescent="0.3">
      <c r="A1878" s="2">
        <v>1874</v>
      </c>
      <c r="B1878" s="66" t="s">
        <v>2078</v>
      </c>
      <c r="C1878" s="66" t="s">
        <v>18835</v>
      </c>
      <c r="D1878" s="11" t="s">
        <v>2096</v>
      </c>
      <c r="E1878" s="11" t="s">
        <v>2096</v>
      </c>
      <c r="F1878" s="3" t="s">
        <v>2065</v>
      </c>
      <c r="G1878" s="2" t="s">
        <v>2066</v>
      </c>
      <c r="H1878" s="2"/>
      <c r="I1878" s="2"/>
      <c r="J1878" s="2" t="s">
        <v>13904</v>
      </c>
      <c r="K1878" s="2" t="s">
        <v>19234</v>
      </c>
      <c r="L1878" s="82" t="s">
        <v>18820</v>
      </c>
    </row>
    <row r="1879" spans="1:12" ht="120" customHeight="1" x14ac:dyDescent="0.3">
      <c r="A1879" s="2">
        <v>1875</v>
      </c>
      <c r="B1879" s="66" t="s">
        <v>2078</v>
      </c>
      <c r="C1879" s="66" t="s">
        <v>18836</v>
      </c>
      <c r="D1879" s="11" t="s">
        <v>2096</v>
      </c>
      <c r="E1879" s="11" t="s">
        <v>2096</v>
      </c>
      <c r="F1879" s="3" t="s">
        <v>2065</v>
      </c>
      <c r="G1879" s="2" t="s">
        <v>2066</v>
      </c>
      <c r="H1879" s="2"/>
      <c r="I1879" s="2"/>
      <c r="J1879" s="2" t="s">
        <v>13904</v>
      </c>
      <c r="K1879" s="2" t="s">
        <v>19234</v>
      </c>
      <c r="L1879" s="82" t="s">
        <v>18820</v>
      </c>
    </row>
    <row r="1880" spans="1:12" ht="120" customHeight="1" x14ac:dyDescent="0.3">
      <c r="A1880" s="2">
        <v>1876</v>
      </c>
      <c r="B1880" s="66" t="s">
        <v>2078</v>
      </c>
      <c r="C1880" s="66" t="s">
        <v>18837</v>
      </c>
      <c r="D1880" s="11" t="s">
        <v>2096</v>
      </c>
      <c r="E1880" s="11" t="s">
        <v>2096</v>
      </c>
      <c r="F1880" s="3" t="s">
        <v>2065</v>
      </c>
      <c r="G1880" s="2" t="s">
        <v>2066</v>
      </c>
      <c r="H1880" s="2"/>
      <c r="I1880" s="2"/>
      <c r="J1880" s="2" t="s">
        <v>13904</v>
      </c>
      <c r="K1880" s="2" t="s">
        <v>19234</v>
      </c>
      <c r="L1880" s="82" t="s">
        <v>18820</v>
      </c>
    </row>
    <row r="1881" spans="1:12" ht="120" customHeight="1" x14ac:dyDescent="0.3">
      <c r="A1881" s="2">
        <v>1877</v>
      </c>
      <c r="B1881" s="66" t="s">
        <v>2078</v>
      </c>
      <c r="C1881" s="66" t="s">
        <v>18838</v>
      </c>
      <c r="D1881" s="11" t="s">
        <v>2096</v>
      </c>
      <c r="E1881" s="11" t="s">
        <v>2096</v>
      </c>
      <c r="F1881" s="3" t="s">
        <v>2065</v>
      </c>
      <c r="G1881" s="2" t="s">
        <v>2066</v>
      </c>
      <c r="H1881" s="2"/>
      <c r="I1881" s="2"/>
      <c r="J1881" s="2" t="s">
        <v>13904</v>
      </c>
      <c r="K1881" s="2" t="s">
        <v>19234</v>
      </c>
      <c r="L1881" s="82" t="s">
        <v>18820</v>
      </c>
    </row>
    <row r="1882" spans="1:12" ht="120" customHeight="1" x14ac:dyDescent="0.3">
      <c r="A1882" s="2">
        <v>1878</v>
      </c>
      <c r="B1882" s="66" t="s">
        <v>2078</v>
      </c>
      <c r="C1882" s="66" t="s">
        <v>18839</v>
      </c>
      <c r="D1882" s="11" t="s">
        <v>2096</v>
      </c>
      <c r="E1882" s="11" t="s">
        <v>2096</v>
      </c>
      <c r="F1882" s="3" t="s">
        <v>2065</v>
      </c>
      <c r="G1882" s="2" t="s">
        <v>2066</v>
      </c>
      <c r="H1882" s="2"/>
      <c r="I1882" s="2"/>
      <c r="J1882" s="2" t="s">
        <v>13904</v>
      </c>
      <c r="K1882" s="2" t="s">
        <v>19234</v>
      </c>
      <c r="L1882" s="82" t="s">
        <v>18820</v>
      </c>
    </row>
    <row r="1883" spans="1:12" ht="120" customHeight="1" x14ac:dyDescent="0.3">
      <c r="A1883" s="2">
        <v>1879</v>
      </c>
      <c r="B1883" s="66" t="s">
        <v>2078</v>
      </c>
      <c r="C1883" s="66" t="s">
        <v>18840</v>
      </c>
      <c r="D1883" s="11" t="s">
        <v>2096</v>
      </c>
      <c r="E1883" s="11" t="s">
        <v>2096</v>
      </c>
      <c r="F1883" s="3" t="s">
        <v>2065</v>
      </c>
      <c r="G1883" s="2" t="s">
        <v>2066</v>
      </c>
      <c r="H1883" s="2"/>
      <c r="I1883" s="2"/>
      <c r="J1883" s="2" t="s">
        <v>13904</v>
      </c>
      <c r="K1883" s="2" t="s">
        <v>19234</v>
      </c>
      <c r="L1883" s="82" t="s">
        <v>18820</v>
      </c>
    </row>
    <row r="1884" spans="1:12" ht="120" customHeight="1" x14ac:dyDescent="0.3">
      <c r="A1884" s="2">
        <v>1880</v>
      </c>
      <c r="B1884" s="66" t="s">
        <v>2079</v>
      </c>
      <c r="C1884" s="66" t="s">
        <v>18825</v>
      </c>
      <c r="D1884" s="11" t="s">
        <v>2097</v>
      </c>
      <c r="E1884" s="11" t="s">
        <v>2097</v>
      </c>
      <c r="F1884" s="3" t="s">
        <v>2065</v>
      </c>
      <c r="G1884" s="2" t="s">
        <v>2066</v>
      </c>
      <c r="H1884" s="2"/>
      <c r="I1884" s="2"/>
      <c r="J1884" s="2" t="s">
        <v>13904</v>
      </c>
      <c r="K1884" s="2" t="s">
        <v>19234</v>
      </c>
      <c r="L1884" s="82" t="s">
        <v>18820</v>
      </c>
    </row>
    <row r="1885" spans="1:12" ht="120" customHeight="1" x14ac:dyDescent="0.3">
      <c r="A1885" s="2">
        <v>1881</v>
      </c>
      <c r="B1885" s="66" t="s">
        <v>2079</v>
      </c>
      <c r="C1885" s="66" t="s">
        <v>18826</v>
      </c>
      <c r="D1885" s="11" t="s">
        <v>2097</v>
      </c>
      <c r="E1885" s="11" t="s">
        <v>2097</v>
      </c>
      <c r="F1885" s="3" t="s">
        <v>2065</v>
      </c>
      <c r="G1885" s="2" t="s">
        <v>2066</v>
      </c>
      <c r="H1885" s="2"/>
      <c r="I1885" s="2"/>
      <c r="J1885" s="2" t="s">
        <v>13904</v>
      </c>
      <c r="K1885" s="2" t="s">
        <v>19234</v>
      </c>
      <c r="L1885" s="82" t="s">
        <v>18820</v>
      </c>
    </row>
    <row r="1886" spans="1:12" ht="120" customHeight="1" x14ac:dyDescent="0.3">
      <c r="A1886" s="2">
        <v>1882</v>
      </c>
      <c r="B1886" s="66" t="s">
        <v>2079</v>
      </c>
      <c r="C1886" s="66" t="s">
        <v>18827</v>
      </c>
      <c r="D1886" s="11" t="s">
        <v>2097</v>
      </c>
      <c r="E1886" s="11" t="s">
        <v>2097</v>
      </c>
      <c r="F1886" s="3" t="s">
        <v>2065</v>
      </c>
      <c r="G1886" s="2" t="s">
        <v>2066</v>
      </c>
      <c r="H1886" s="2"/>
      <c r="I1886" s="2"/>
      <c r="J1886" s="2" t="s">
        <v>13904</v>
      </c>
      <c r="K1886" s="2" t="s">
        <v>19234</v>
      </c>
      <c r="L1886" s="82" t="s">
        <v>18820</v>
      </c>
    </row>
    <row r="1887" spans="1:12" ht="120" customHeight="1" x14ac:dyDescent="0.3">
      <c r="A1887" s="2">
        <v>1883</v>
      </c>
      <c r="B1887" s="66" t="s">
        <v>2079</v>
      </c>
      <c r="C1887" s="66" t="s">
        <v>18828</v>
      </c>
      <c r="D1887" s="11" t="s">
        <v>2097</v>
      </c>
      <c r="E1887" s="11" t="s">
        <v>2097</v>
      </c>
      <c r="F1887" s="3" t="s">
        <v>2065</v>
      </c>
      <c r="G1887" s="2" t="s">
        <v>2066</v>
      </c>
      <c r="H1887" s="2"/>
      <c r="I1887" s="2"/>
      <c r="J1887" s="2" t="s">
        <v>13904</v>
      </c>
      <c r="K1887" s="2" t="s">
        <v>19234</v>
      </c>
      <c r="L1887" s="82" t="s">
        <v>18820</v>
      </c>
    </row>
    <row r="1888" spans="1:12" ht="120" customHeight="1" x14ac:dyDescent="0.3">
      <c r="A1888" s="2">
        <v>1884</v>
      </c>
      <c r="B1888" s="66" t="s">
        <v>2079</v>
      </c>
      <c r="C1888" s="66" t="s">
        <v>18829</v>
      </c>
      <c r="D1888" s="11" t="s">
        <v>2097</v>
      </c>
      <c r="E1888" s="11" t="s">
        <v>2097</v>
      </c>
      <c r="F1888" s="3" t="s">
        <v>2065</v>
      </c>
      <c r="G1888" s="2" t="s">
        <v>2066</v>
      </c>
      <c r="H1888" s="2"/>
      <c r="I1888" s="2"/>
      <c r="J1888" s="2" t="s">
        <v>13904</v>
      </c>
      <c r="K1888" s="2" t="s">
        <v>19234</v>
      </c>
      <c r="L1888" s="82" t="s">
        <v>18820</v>
      </c>
    </row>
    <row r="1889" spans="1:12" ht="120" customHeight="1" x14ac:dyDescent="0.3">
      <c r="A1889" s="2">
        <v>1885</v>
      </c>
      <c r="B1889" s="66" t="s">
        <v>2079</v>
      </c>
      <c r="C1889" s="66" t="s">
        <v>18830</v>
      </c>
      <c r="D1889" s="11" t="s">
        <v>2097</v>
      </c>
      <c r="E1889" s="11" t="s">
        <v>2097</v>
      </c>
      <c r="F1889" s="3" t="s">
        <v>2065</v>
      </c>
      <c r="G1889" s="2" t="s">
        <v>2066</v>
      </c>
      <c r="H1889" s="2"/>
      <c r="I1889" s="2"/>
      <c r="J1889" s="2" t="s">
        <v>13904</v>
      </c>
      <c r="K1889" s="2" t="s">
        <v>19234</v>
      </c>
      <c r="L1889" s="82" t="s">
        <v>18820</v>
      </c>
    </row>
    <row r="1890" spans="1:12" ht="120" customHeight="1" x14ac:dyDescent="0.3">
      <c r="A1890" s="2">
        <v>1886</v>
      </c>
      <c r="B1890" s="66" t="s">
        <v>2079</v>
      </c>
      <c r="C1890" s="66" t="s">
        <v>18831</v>
      </c>
      <c r="D1890" s="11" t="s">
        <v>2097</v>
      </c>
      <c r="E1890" s="11" t="s">
        <v>2097</v>
      </c>
      <c r="F1890" s="3" t="s">
        <v>2065</v>
      </c>
      <c r="G1890" s="2" t="s">
        <v>2066</v>
      </c>
      <c r="H1890" s="2"/>
      <c r="I1890" s="2"/>
      <c r="J1890" s="2" t="s">
        <v>13904</v>
      </c>
      <c r="K1890" s="2" t="s">
        <v>19234</v>
      </c>
      <c r="L1890" s="82" t="s">
        <v>18820</v>
      </c>
    </row>
    <row r="1891" spans="1:12" ht="120" customHeight="1" x14ac:dyDescent="0.3">
      <c r="A1891" s="2">
        <v>1887</v>
      </c>
      <c r="B1891" s="66" t="s">
        <v>2079</v>
      </c>
      <c r="C1891" s="66" t="s">
        <v>18832</v>
      </c>
      <c r="D1891" s="11" t="s">
        <v>2098</v>
      </c>
      <c r="E1891" s="11" t="s">
        <v>2098</v>
      </c>
      <c r="F1891" s="3" t="s">
        <v>2065</v>
      </c>
      <c r="G1891" s="2" t="s">
        <v>2066</v>
      </c>
      <c r="H1891" s="2"/>
      <c r="I1891" s="2"/>
      <c r="J1891" s="2" t="s">
        <v>13904</v>
      </c>
      <c r="K1891" s="2" t="s">
        <v>19234</v>
      </c>
      <c r="L1891" s="82" t="s">
        <v>18820</v>
      </c>
    </row>
    <row r="1892" spans="1:12" ht="120" customHeight="1" x14ac:dyDescent="0.3">
      <c r="A1892" s="2">
        <v>1888</v>
      </c>
      <c r="B1892" s="66" t="s">
        <v>2079</v>
      </c>
      <c r="C1892" s="66" t="s">
        <v>18833</v>
      </c>
      <c r="D1892" s="11" t="s">
        <v>2098</v>
      </c>
      <c r="E1892" s="11" t="s">
        <v>2098</v>
      </c>
      <c r="F1892" s="3" t="s">
        <v>2065</v>
      </c>
      <c r="G1892" s="2" t="s">
        <v>2066</v>
      </c>
      <c r="H1892" s="2"/>
      <c r="I1892" s="2"/>
      <c r="J1892" s="2" t="s">
        <v>13904</v>
      </c>
      <c r="K1892" s="2" t="s">
        <v>19234</v>
      </c>
      <c r="L1892" s="82" t="s">
        <v>18820</v>
      </c>
    </row>
    <row r="1893" spans="1:12" ht="120" customHeight="1" x14ac:dyDescent="0.3">
      <c r="A1893" s="2">
        <v>1889</v>
      </c>
      <c r="B1893" s="66" t="s">
        <v>2079</v>
      </c>
      <c r="C1893" s="66"/>
      <c r="D1893" s="11" t="s">
        <v>2099</v>
      </c>
      <c r="E1893" s="11" t="s">
        <v>2099</v>
      </c>
      <c r="F1893" s="3" t="s">
        <v>2065</v>
      </c>
      <c r="G1893" s="2" t="s">
        <v>2066</v>
      </c>
      <c r="H1893" s="3">
        <v>43053</v>
      </c>
      <c r="I1893" s="2" t="s">
        <v>19506</v>
      </c>
      <c r="J1893" s="2" t="s">
        <v>13904</v>
      </c>
      <c r="K1893" s="2" t="s">
        <v>19234</v>
      </c>
      <c r="L1893" s="82" t="s">
        <v>19512</v>
      </c>
    </row>
    <row r="1894" spans="1:12" ht="120" customHeight="1" x14ac:dyDescent="0.3">
      <c r="A1894" s="2">
        <v>1890</v>
      </c>
      <c r="B1894" s="66" t="s">
        <v>2079</v>
      </c>
      <c r="C1894" s="66" t="s">
        <v>18834</v>
      </c>
      <c r="D1894" s="11" t="s">
        <v>2099</v>
      </c>
      <c r="E1894" s="11" t="s">
        <v>2099</v>
      </c>
      <c r="F1894" s="3" t="s">
        <v>2065</v>
      </c>
      <c r="G1894" s="2" t="s">
        <v>2066</v>
      </c>
      <c r="H1894" s="2"/>
      <c r="I1894" s="2"/>
      <c r="J1894" s="2" t="s">
        <v>13904</v>
      </c>
      <c r="K1894" s="2" t="s">
        <v>19234</v>
      </c>
      <c r="L1894" s="82" t="s">
        <v>18820</v>
      </c>
    </row>
    <row r="1895" spans="1:12" ht="120" customHeight="1" x14ac:dyDescent="0.3">
      <c r="A1895" s="2">
        <v>1891</v>
      </c>
      <c r="B1895" s="66" t="s">
        <v>2079</v>
      </c>
      <c r="C1895" s="66" t="s">
        <v>18824</v>
      </c>
      <c r="D1895" s="11" t="s">
        <v>2099</v>
      </c>
      <c r="E1895" s="11" t="s">
        <v>2099</v>
      </c>
      <c r="F1895" s="3" t="s">
        <v>2065</v>
      </c>
      <c r="G1895" s="2" t="s">
        <v>2066</v>
      </c>
      <c r="H1895" s="2"/>
      <c r="I1895" s="2"/>
      <c r="J1895" s="2" t="s">
        <v>13904</v>
      </c>
      <c r="K1895" s="2" t="s">
        <v>19234</v>
      </c>
      <c r="L1895" s="82" t="s">
        <v>18820</v>
      </c>
    </row>
    <row r="1896" spans="1:12" ht="120" customHeight="1" x14ac:dyDescent="0.3">
      <c r="A1896" s="2">
        <v>1892</v>
      </c>
      <c r="B1896" s="66" t="s">
        <v>2080</v>
      </c>
      <c r="C1896" s="66" t="s">
        <v>18843</v>
      </c>
      <c r="D1896" s="11" t="s">
        <v>2100</v>
      </c>
      <c r="E1896" s="11" t="s">
        <v>2101</v>
      </c>
      <c r="F1896" s="3" t="s">
        <v>2065</v>
      </c>
      <c r="G1896" s="2" t="s">
        <v>2066</v>
      </c>
      <c r="H1896" s="2"/>
      <c r="I1896" s="2"/>
      <c r="J1896" s="2" t="s">
        <v>13904</v>
      </c>
      <c r="K1896" s="2" t="s">
        <v>19234</v>
      </c>
      <c r="L1896" s="82" t="s">
        <v>18820</v>
      </c>
    </row>
    <row r="1897" spans="1:12" ht="120" customHeight="1" x14ac:dyDescent="0.3">
      <c r="A1897" s="2">
        <v>1893</v>
      </c>
      <c r="B1897" s="66" t="s">
        <v>2081</v>
      </c>
      <c r="C1897" s="66" t="s">
        <v>18844</v>
      </c>
      <c r="D1897" s="11" t="s">
        <v>2102</v>
      </c>
      <c r="E1897" s="11">
        <v>32900</v>
      </c>
      <c r="F1897" s="3" t="s">
        <v>2065</v>
      </c>
      <c r="G1897" s="2" t="s">
        <v>2066</v>
      </c>
      <c r="H1897" s="2"/>
      <c r="I1897" s="2"/>
      <c r="J1897" s="2" t="s">
        <v>13904</v>
      </c>
      <c r="K1897" s="2" t="s">
        <v>19234</v>
      </c>
      <c r="L1897" s="82" t="s">
        <v>18820</v>
      </c>
    </row>
    <row r="1898" spans="1:12" ht="120" customHeight="1" x14ac:dyDescent="0.3">
      <c r="A1898" s="2">
        <v>1894</v>
      </c>
      <c r="B1898" s="66" t="s">
        <v>2082</v>
      </c>
      <c r="C1898" s="66" t="s">
        <v>18841</v>
      </c>
      <c r="D1898" s="11" t="s">
        <v>2103</v>
      </c>
      <c r="E1898" s="11" t="s">
        <v>2104</v>
      </c>
      <c r="F1898" s="3" t="s">
        <v>2065</v>
      </c>
      <c r="G1898" s="2" t="s">
        <v>2066</v>
      </c>
      <c r="H1898" s="2"/>
      <c r="I1898" s="2"/>
      <c r="J1898" s="2" t="s">
        <v>13904</v>
      </c>
      <c r="K1898" s="2" t="s">
        <v>19234</v>
      </c>
      <c r="L1898" s="82" t="s">
        <v>18820</v>
      </c>
    </row>
    <row r="1899" spans="1:12" ht="120" customHeight="1" x14ac:dyDescent="0.3">
      <c r="A1899" s="2">
        <v>1895</v>
      </c>
      <c r="B1899" s="66" t="s">
        <v>2083</v>
      </c>
      <c r="C1899" s="66"/>
      <c r="D1899" s="11" t="s">
        <v>2105</v>
      </c>
      <c r="E1899" s="11" t="s">
        <v>2105</v>
      </c>
      <c r="F1899" s="3" t="s">
        <v>2065</v>
      </c>
      <c r="G1899" s="2" t="s">
        <v>2066</v>
      </c>
      <c r="H1899" s="3">
        <v>43053</v>
      </c>
      <c r="I1899" s="2" t="s">
        <v>19506</v>
      </c>
      <c r="J1899" s="2" t="s">
        <v>13904</v>
      </c>
      <c r="K1899" s="2" t="s">
        <v>19234</v>
      </c>
      <c r="L1899" s="82" t="s">
        <v>19512</v>
      </c>
    </row>
    <row r="1900" spans="1:12" ht="120" customHeight="1" x14ac:dyDescent="0.3">
      <c r="A1900" s="2">
        <v>1896</v>
      </c>
      <c r="B1900" s="66" t="s">
        <v>2083</v>
      </c>
      <c r="C1900" s="66"/>
      <c r="D1900" s="11" t="s">
        <v>2105</v>
      </c>
      <c r="E1900" s="11" t="s">
        <v>2105</v>
      </c>
      <c r="F1900" s="3" t="s">
        <v>2065</v>
      </c>
      <c r="G1900" s="2" t="s">
        <v>2066</v>
      </c>
      <c r="H1900" s="3">
        <v>43053</v>
      </c>
      <c r="I1900" s="2" t="s">
        <v>19506</v>
      </c>
      <c r="J1900" s="2" t="s">
        <v>13904</v>
      </c>
      <c r="K1900" s="2" t="s">
        <v>19234</v>
      </c>
      <c r="L1900" s="82" t="s">
        <v>19512</v>
      </c>
    </row>
    <row r="1901" spans="1:12" ht="120" customHeight="1" x14ac:dyDescent="0.3">
      <c r="A1901" s="2">
        <v>1897</v>
      </c>
      <c r="B1901" s="66" t="s">
        <v>2083</v>
      </c>
      <c r="C1901" s="66"/>
      <c r="D1901" s="11" t="s">
        <v>2105</v>
      </c>
      <c r="E1901" s="11" t="s">
        <v>2105</v>
      </c>
      <c r="F1901" s="3" t="s">
        <v>2065</v>
      </c>
      <c r="G1901" s="2" t="s">
        <v>2066</v>
      </c>
      <c r="H1901" s="3">
        <v>43053</v>
      </c>
      <c r="I1901" s="2" t="s">
        <v>19506</v>
      </c>
      <c r="J1901" s="2" t="s">
        <v>13904</v>
      </c>
      <c r="K1901" s="2" t="s">
        <v>19234</v>
      </c>
      <c r="L1901" s="82" t="s">
        <v>19512</v>
      </c>
    </row>
    <row r="1902" spans="1:12" ht="120" customHeight="1" x14ac:dyDescent="0.3">
      <c r="A1902" s="2">
        <v>1898</v>
      </c>
      <c r="B1902" s="66" t="s">
        <v>2083</v>
      </c>
      <c r="C1902" s="66"/>
      <c r="D1902" s="11" t="s">
        <v>2105</v>
      </c>
      <c r="E1902" s="11" t="s">
        <v>2105</v>
      </c>
      <c r="F1902" s="3" t="s">
        <v>2065</v>
      </c>
      <c r="G1902" s="2" t="s">
        <v>2066</v>
      </c>
      <c r="H1902" s="3">
        <v>43053</v>
      </c>
      <c r="I1902" s="2" t="s">
        <v>19506</v>
      </c>
      <c r="J1902" s="2" t="s">
        <v>13904</v>
      </c>
      <c r="K1902" s="2" t="s">
        <v>19234</v>
      </c>
      <c r="L1902" s="82" t="s">
        <v>19512</v>
      </c>
    </row>
    <row r="1903" spans="1:12" ht="120" customHeight="1" x14ac:dyDescent="0.3">
      <c r="A1903" s="2">
        <v>1899</v>
      </c>
      <c r="B1903" s="66" t="s">
        <v>2083</v>
      </c>
      <c r="C1903" s="66"/>
      <c r="D1903" s="11" t="s">
        <v>2105</v>
      </c>
      <c r="E1903" s="11" t="s">
        <v>2105</v>
      </c>
      <c r="F1903" s="3" t="s">
        <v>2065</v>
      </c>
      <c r="G1903" s="2" t="s">
        <v>2066</v>
      </c>
      <c r="H1903" s="3">
        <v>43053</v>
      </c>
      <c r="I1903" s="2" t="s">
        <v>19506</v>
      </c>
      <c r="J1903" s="2" t="s">
        <v>13904</v>
      </c>
      <c r="K1903" s="2" t="s">
        <v>19234</v>
      </c>
      <c r="L1903" s="82" t="s">
        <v>19512</v>
      </c>
    </row>
    <row r="1904" spans="1:12" ht="120" customHeight="1" x14ac:dyDescent="0.3">
      <c r="A1904" s="2">
        <v>1900</v>
      </c>
      <c r="B1904" s="66" t="s">
        <v>2106</v>
      </c>
      <c r="C1904" s="66"/>
      <c r="D1904" s="11" t="s">
        <v>2015</v>
      </c>
      <c r="E1904" s="11" t="s">
        <v>2015</v>
      </c>
      <c r="F1904" s="3" t="s">
        <v>2065</v>
      </c>
      <c r="G1904" s="2" t="s">
        <v>2066</v>
      </c>
      <c r="H1904" s="3">
        <v>43053</v>
      </c>
      <c r="I1904" s="2" t="s">
        <v>19506</v>
      </c>
      <c r="J1904" s="2" t="s">
        <v>13904</v>
      </c>
      <c r="K1904" s="2" t="s">
        <v>19234</v>
      </c>
      <c r="L1904" s="82" t="s">
        <v>19512</v>
      </c>
    </row>
    <row r="1905" spans="1:12" ht="120" customHeight="1" x14ac:dyDescent="0.3">
      <c r="A1905" s="2">
        <v>1901</v>
      </c>
      <c r="B1905" s="66" t="s">
        <v>2107</v>
      </c>
      <c r="C1905" s="66"/>
      <c r="D1905" s="11" t="s">
        <v>2118</v>
      </c>
      <c r="E1905" s="11" t="s">
        <v>2119</v>
      </c>
      <c r="F1905" s="3" t="s">
        <v>2065</v>
      </c>
      <c r="G1905" s="2" t="s">
        <v>2066</v>
      </c>
      <c r="H1905" s="2"/>
      <c r="I1905" s="2"/>
      <c r="J1905" s="2" t="s">
        <v>13904</v>
      </c>
      <c r="K1905" s="2" t="s">
        <v>19234</v>
      </c>
      <c r="L1905" s="82" t="s">
        <v>19227</v>
      </c>
    </row>
    <row r="1906" spans="1:12" ht="120" customHeight="1" x14ac:dyDescent="0.3">
      <c r="A1906" s="2">
        <v>1902</v>
      </c>
      <c r="B1906" s="66" t="s">
        <v>2108</v>
      </c>
      <c r="C1906" s="66"/>
      <c r="D1906" s="11" t="s">
        <v>2120</v>
      </c>
      <c r="E1906" s="11" t="s">
        <v>2120</v>
      </c>
      <c r="F1906" s="3" t="s">
        <v>2065</v>
      </c>
      <c r="G1906" s="2" t="s">
        <v>2066</v>
      </c>
      <c r="H1906" s="3">
        <v>43053</v>
      </c>
      <c r="I1906" s="2" t="s">
        <v>19506</v>
      </c>
      <c r="J1906" s="2" t="s">
        <v>13904</v>
      </c>
      <c r="K1906" s="2" t="s">
        <v>19234</v>
      </c>
      <c r="L1906" s="82" t="s">
        <v>19512</v>
      </c>
    </row>
    <row r="1907" spans="1:12" ht="120" customHeight="1" x14ac:dyDescent="0.3">
      <c r="A1907" s="2">
        <v>1903</v>
      </c>
      <c r="B1907" s="66" t="s">
        <v>218</v>
      </c>
      <c r="C1907" s="66"/>
      <c r="D1907" s="11" t="s">
        <v>2121</v>
      </c>
      <c r="E1907" s="11" t="s">
        <v>2121</v>
      </c>
      <c r="F1907" s="3" t="s">
        <v>2065</v>
      </c>
      <c r="G1907" s="2" t="s">
        <v>2066</v>
      </c>
      <c r="H1907" s="3">
        <v>43053</v>
      </c>
      <c r="I1907" s="2" t="s">
        <v>19506</v>
      </c>
      <c r="J1907" s="2" t="s">
        <v>13904</v>
      </c>
      <c r="K1907" s="2" t="s">
        <v>19234</v>
      </c>
      <c r="L1907" s="82" t="s">
        <v>19512</v>
      </c>
    </row>
    <row r="1908" spans="1:12" ht="120" customHeight="1" x14ac:dyDescent="0.3">
      <c r="A1908" s="2">
        <v>1904</v>
      </c>
      <c r="B1908" s="66" t="s">
        <v>2109</v>
      </c>
      <c r="C1908" s="66" t="s">
        <v>19857</v>
      </c>
      <c r="D1908" s="11" t="s">
        <v>2122</v>
      </c>
      <c r="E1908" s="11">
        <v>9860</v>
      </c>
      <c r="F1908" s="3" t="s">
        <v>2065</v>
      </c>
      <c r="G1908" s="2" t="s">
        <v>2066</v>
      </c>
      <c r="H1908" s="3">
        <v>43053</v>
      </c>
      <c r="I1908" s="2" t="s">
        <v>19506</v>
      </c>
      <c r="J1908" s="2" t="s">
        <v>13904</v>
      </c>
      <c r="K1908" s="2" t="s">
        <v>19234</v>
      </c>
      <c r="L1908" s="82" t="s">
        <v>19512</v>
      </c>
    </row>
    <row r="1909" spans="1:12" ht="120" customHeight="1" x14ac:dyDescent="0.3">
      <c r="A1909" s="2">
        <v>1905</v>
      </c>
      <c r="B1909" s="66" t="s">
        <v>1085</v>
      </c>
      <c r="C1909" s="66" t="s">
        <v>19856</v>
      </c>
      <c r="D1909" s="11" t="s">
        <v>2123</v>
      </c>
      <c r="E1909" s="11" t="s">
        <v>2123</v>
      </c>
      <c r="F1909" s="3" t="s">
        <v>2065</v>
      </c>
      <c r="G1909" s="2" t="s">
        <v>2066</v>
      </c>
      <c r="H1909" s="3">
        <v>43053</v>
      </c>
      <c r="I1909" s="2" t="s">
        <v>19506</v>
      </c>
      <c r="J1909" s="2" t="s">
        <v>13904</v>
      </c>
      <c r="K1909" s="2" t="s">
        <v>19234</v>
      </c>
      <c r="L1909" s="82" t="s">
        <v>19512</v>
      </c>
    </row>
    <row r="1910" spans="1:12" ht="120" customHeight="1" x14ac:dyDescent="0.3">
      <c r="A1910" s="2">
        <v>1906</v>
      </c>
      <c r="B1910" s="66" t="s">
        <v>2110</v>
      </c>
      <c r="C1910" s="66" t="s">
        <v>19854</v>
      </c>
      <c r="D1910" s="11" t="s">
        <v>2124</v>
      </c>
      <c r="E1910" s="11" t="s">
        <v>2124</v>
      </c>
      <c r="F1910" s="3" t="s">
        <v>2065</v>
      </c>
      <c r="G1910" s="2" t="s">
        <v>2066</v>
      </c>
      <c r="H1910" s="3">
        <v>43053</v>
      </c>
      <c r="I1910" s="2" t="s">
        <v>19506</v>
      </c>
      <c r="J1910" s="2" t="s">
        <v>13904</v>
      </c>
      <c r="K1910" s="2" t="s">
        <v>19234</v>
      </c>
      <c r="L1910" s="82" t="s">
        <v>19512</v>
      </c>
    </row>
    <row r="1911" spans="1:12" ht="120" customHeight="1" x14ac:dyDescent="0.3">
      <c r="A1911" s="2">
        <v>1907</v>
      </c>
      <c r="B1911" s="66" t="s">
        <v>2111</v>
      </c>
      <c r="C1911" s="66" t="s">
        <v>19859</v>
      </c>
      <c r="D1911" s="11" t="s">
        <v>2125</v>
      </c>
      <c r="E1911" s="11" t="s">
        <v>2125</v>
      </c>
      <c r="F1911" s="3" t="s">
        <v>2065</v>
      </c>
      <c r="G1911" s="2" t="s">
        <v>2066</v>
      </c>
      <c r="H1911" s="2" t="s">
        <v>19860</v>
      </c>
      <c r="I1911" s="2" t="s">
        <v>19861</v>
      </c>
      <c r="J1911" s="2" t="s">
        <v>13904</v>
      </c>
      <c r="K1911" s="2" t="s">
        <v>19234</v>
      </c>
      <c r="L1911" s="82"/>
    </row>
    <row r="1912" spans="1:12" ht="120" customHeight="1" x14ac:dyDescent="0.3">
      <c r="A1912" s="2">
        <v>1908</v>
      </c>
      <c r="B1912" s="66" t="s">
        <v>2112</v>
      </c>
      <c r="C1912" s="66"/>
      <c r="D1912" s="11" t="s">
        <v>2126</v>
      </c>
      <c r="E1912" s="11" t="s">
        <v>2126</v>
      </c>
      <c r="F1912" s="3" t="s">
        <v>2065</v>
      </c>
      <c r="G1912" s="2" t="s">
        <v>2066</v>
      </c>
      <c r="H1912" s="3">
        <v>43053</v>
      </c>
      <c r="I1912" s="2" t="s">
        <v>19506</v>
      </c>
      <c r="J1912" s="2" t="s">
        <v>13904</v>
      </c>
      <c r="K1912" s="2" t="s">
        <v>19234</v>
      </c>
      <c r="L1912" s="82" t="s">
        <v>19512</v>
      </c>
    </row>
    <row r="1913" spans="1:12" ht="120" customHeight="1" x14ac:dyDescent="0.3">
      <c r="A1913" s="2">
        <v>1909</v>
      </c>
      <c r="B1913" s="66" t="s">
        <v>2113</v>
      </c>
      <c r="C1913" s="66"/>
      <c r="D1913" s="11" t="s">
        <v>2127</v>
      </c>
      <c r="E1913" s="11" t="s">
        <v>2127</v>
      </c>
      <c r="F1913" s="3" t="s">
        <v>2065</v>
      </c>
      <c r="G1913" s="2" t="s">
        <v>2066</v>
      </c>
      <c r="H1913" s="3">
        <v>43053</v>
      </c>
      <c r="I1913" s="2" t="s">
        <v>19506</v>
      </c>
      <c r="J1913" s="2" t="s">
        <v>13904</v>
      </c>
      <c r="K1913" s="2" t="s">
        <v>19234</v>
      </c>
      <c r="L1913" s="82" t="s">
        <v>19512</v>
      </c>
    </row>
    <row r="1914" spans="1:12" ht="120" customHeight="1" x14ac:dyDescent="0.3">
      <c r="A1914" s="2">
        <v>1910</v>
      </c>
      <c r="B1914" s="66" t="s">
        <v>2114</v>
      </c>
      <c r="C1914" s="66"/>
      <c r="D1914" s="11" t="s">
        <v>2128</v>
      </c>
      <c r="E1914" s="11" t="s">
        <v>2128</v>
      </c>
      <c r="F1914" s="3" t="s">
        <v>2065</v>
      </c>
      <c r="G1914" s="2" t="s">
        <v>2066</v>
      </c>
      <c r="H1914" s="3">
        <v>43053</v>
      </c>
      <c r="I1914" s="2" t="s">
        <v>19506</v>
      </c>
      <c r="J1914" s="2" t="s">
        <v>13904</v>
      </c>
      <c r="K1914" s="2" t="s">
        <v>19234</v>
      </c>
      <c r="L1914" s="82" t="s">
        <v>19512</v>
      </c>
    </row>
    <row r="1915" spans="1:12" ht="120" customHeight="1" x14ac:dyDescent="0.3">
      <c r="A1915" s="2">
        <v>1911</v>
      </c>
      <c r="B1915" s="66" t="s">
        <v>2115</v>
      </c>
      <c r="C1915" s="66" t="s">
        <v>19855</v>
      </c>
      <c r="D1915" s="11" t="s">
        <v>1056</v>
      </c>
      <c r="E1915" s="11" t="s">
        <v>1056</v>
      </c>
      <c r="F1915" s="3" t="s">
        <v>2065</v>
      </c>
      <c r="G1915" s="2" t="s">
        <v>2066</v>
      </c>
      <c r="H1915" s="3">
        <v>43053</v>
      </c>
      <c r="I1915" s="2" t="s">
        <v>19506</v>
      </c>
      <c r="J1915" s="2" t="s">
        <v>13904</v>
      </c>
      <c r="K1915" s="2" t="s">
        <v>19234</v>
      </c>
      <c r="L1915" s="82" t="s">
        <v>19512</v>
      </c>
    </row>
    <row r="1916" spans="1:12" ht="120" customHeight="1" x14ac:dyDescent="0.3">
      <c r="A1916" s="2">
        <v>1912</v>
      </c>
      <c r="B1916" s="66" t="s">
        <v>2116</v>
      </c>
      <c r="C1916" s="66"/>
      <c r="D1916" s="11" t="s">
        <v>1278</v>
      </c>
      <c r="E1916" s="11" t="s">
        <v>1278</v>
      </c>
      <c r="F1916" s="3" t="s">
        <v>2065</v>
      </c>
      <c r="G1916" s="2" t="s">
        <v>2066</v>
      </c>
      <c r="H1916" s="3">
        <v>43053</v>
      </c>
      <c r="I1916" s="2" t="s">
        <v>19506</v>
      </c>
      <c r="J1916" s="2" t="s">
        <v>13904</v>
      </c>
      <c r="K1916" s="2" t="s">
        <v>19234</v>
      </c>
      <c r="L1916" s="82" t="s">
        <v>19512</v>
      </c>
    </row>
    <row r="1917" spans="1:12" ht="120" customHeight="1" x14ac:dyDescent="0.3">
      <c r="A1917" s="2">
        <v>1913</v>
      </c>
      <c r="B1917" s="66" t="s">
        <v>2117</v>
      </c>
      <c r="C1917" s="66"/>
      <c r="D1917" s="11" t="s">
        <v>2129</v>
      </c>
      <c r="E1917" s="11" t="s">
        <v>2129</v>
      </c>
      <c r="F1917" s="3" t="s">
        <v>2065</v>
      </c>
      <c r="G1917" s="2" t="s">
        <v>2066</v>
      </c>
      <c r="H1917" s="3">
        <v>43053</v>
      </c>
      <c r="I1917" s="2" t="s">
        <v>19506</v>
      </c>
      <c r="J1917" s="2" t="s">
        <v>13904</v>
      </c>
      <c r="K1917" s="2" t="s">
        <v>19234</v>
      </c>
      <c r="L1917" s="82" t="s">
        <v>19512</v>
      </c>
    </row>
    <row r="1918" spans="1:12" ht="120" customHeight="1" x14ac:dyDescent="0.3">
      <c r="A1918" s="2">
        <v>1914</v>
      </c>
      <c r="B1918" s="66" t="s">
        <v>2130</v>
      </c>
      <c r="C1918" s="66"/>
      <c r="D1918" s="11" t="s">
        <v>2140</v>
      </c>
      <c r="E1918" s="11" t="s">
        <v>2140</v>
      </c>
      <c r="F1918" s="3" t="s">
        <v>2065</v>
      </c>
      <c r="G1918" s="2" t="s">
        <v>2066</v>
      </c>
      <c r="H1918" s="3">
        <v>43053</v>
      </c>
      <c r="I1918" s="2" t="s">
        <v>19506</v>
      </c>
      <c r="J1918" s="2" t="s">
        <v>13904</v>
      </c>
      <c r="K1918" s="2" t="s">
        <v>19234</v>
      </c>
      <c r="L1918" s="82" t="s">
        <v>19512</v>
      </c>
    </row>
    <row r="1919" spans="1:12" ht="120" customHeight="1" x14ac:dyDescent="0.3">
      <c r="A1919" s="2">
        <v>1915</v>
      </c>
      <c r="B1919" s="66" t="s">
        <v>2130</v>
      </c>
      <c r="C1919" s="66"/>
      <c r="D1919" s="11" t="s">
        <v>2140</v>
      </c>
      <c r="E1919" s="11" t="s">
        <v>2140</v>
      </c>
      <c r="F1919" s="3" t="s">
        <v>2065</v>
      </c>
      <c r="G1919" s="2" t="s">
        <v>2066</v>
      </c>
      <c r="H1919" s="3">
        <v>43053</v>
      </c>
      <c r="I1919" s="2" t="s">
        <v>19506</v>
      </c>
      <c r="J1919" s="2" t="s">
        <v>13904</v>
      </c>
      <c r="K1919" s="2" t="s">
        <v>19234</v>
      </c>
      <c r="L1919" s="82" t="s">
        <v>19512</v>
      </c>
    </row>
    <row r="1920" spans="1:12" ht="120" customHeight="1" x14ac:dyDescent="0.3">
      <c r="A1920" s="2">
        <v>1916</v>
      </c>
      <c r="B1920" s="66" t="s">
        <v>2131</v>
      </c>
      <c r="C1920" s="66"/>
      <c r="D1920" s="11" t="s">
        <v>2141</v>
      </c>
      <c r="E1920" s="11" t="s">
        <v>2141</v>
      </c>
      <c r="F1920" s="3" t="s">
        <v>2065</v>
      </c>
      <c r="G1920" s="2" t="s">
        <v>2066</v>
      </c>
      <c r="H1920" s="3">
        <v>43053</v>
      </c>
      <c r="I1920" s="2" t="s">
        <v>19506</v>
      </c>
      <c r="J1920" s="2" t="s">
        <v>13904</v>
      </c>
      <c r="K1920" s="2" t="s">
        <v>19234</v>
      </c>
      <c r="L1920" s="82" t="s">
        <v>19512</v>
      </c>
    </row>
    <row r="1921" spans="1:12" ht="120" customHeight="1" x14ac:dyDescent="0.3">
      <c r="A1921" s="2">
        <v>1917</v>
      </c>
      <c r="B1921" s="66" t="s">
        <v>2131</v>
      </c>
      <c r="C1921" s="66"/>
      <c r="D1921" s="11" t="s">
        <v>2141</v>
      </c>
      <c r="E1921" s="11" t="s">
        <v>2141</v>
      </c>
      <c r="F1921" s="3" t="s">
        <v>2065</v>
      </c>
      <c r="G1921" s="2" t="s">
        <v>2066</v>
      </c>
      <c r="H1921" s="3">
        <v>43053</v>
      </c>
      <c r="I1921" s="2" t="s">
        <v>19506</v>
      </c>
      <c r="J1921" s="2" t="s">
        <v>13904</v>
      </c>
      <c r="K1921" s="2" t="s">
        <v>19234</v>
      </c>
      <c r="L1921" s="82" t="s">
        <v>19512</v>
      </c>
    </row>
    <row r="1922" spans="1:12" ht="120" customHeight="1" x14ac:dyDescent="0.3">
      <c r="A1922" s="2">
        <v>1918</v>
      </c>
      <c r="B1922" s="66" t="s">
        <v>2131</v>
      </c>
      <c r="C1922" s="66"/>
      <c r="D1922" s="11" t="s">
        <v>2141</v>
      </c>
      <c r="E1922" s="11" t="s">
        <v>2141</v>
      </c>
      <c r="F1922" s="3" t="s">
        <v>2065</v>
      </c>
      <c r="G1922" s="2" t="s">
        <v>2066</v>
      </c>
      <c r="H1922" s="3">
        <v>43053</v>
      </c>
      <c r="I1922" s="2" t="s">
        <v>19506</v>
      </c>
      <c r="J1922" s="2" t="s">
        <v>13904</v>
      </c>
      <c r="K1922" s="2" t="s">
        <v>19234</v>
      </c>
      <c r="L1922" s="82" t="s">
        <v>19512</v>
      </c>
    </row>
    <row r="1923" spans="1:12" ht="120" customHeight="1" x14ac:dyDescent="0.3">
      <c r="A1923" s="2">
        <v>1919</v>
      </c>
      <c r="B1923" s="66" t="s">
        <v>2132</v>
      </c>
      <c r="C1923" s="66"/>
      <c r="D1923" s="11" t="s">
        <v>2142</v>
      </c>
      <c r="E1923" s="11" t="s">
        <v>2142</v>
      </c>
      <c r="F1923" s="3" t="s">
        <v>2065</v>
      </c>
      <c r="G1923" s="2" t="s">
        <v>2066</v>
      </c>
      <c r="H1923" s="3">
        <v>43053</v>
      </c>
      <c r="I1923" s="2" t="s">
        <v>19506</v>
      </c>
      <c r="J1923" s="2" t="s">
        <v>13904</v>
      </c>
      <c r="K1923" s="2" t="s">
        <v>19234</v>
      </c>
      <c r="L1923" s="82" t="s">
        <v>19512</v>
      </c>
    </row>
    <row r="1924" spans="1:12" ht="120" customHeight="1" x14ac:dyDescent="0.3">
      <c r="A1924" s="2">
        <v>1920</v>
      </c>
      <c r="B1924" s="66" t="s">
        <v>2132</v>
      </c>
      <c r="C1924" s="66"/>
      <c r="D1924" s="11" t="s">
        <v>2142</v>
      </c>
      <c r="E1924" s="11" t="s">
        <v>2142</v>
      </c>
      <c r="F1924" s="3" t="s">
        <v>2065</v>
      </c>
      <c r="G1924" s="2" t="s">
        <v>2066</v>
      </c>
      <c r="H1924" s="3">
        <v>43053</v>
      </c>
      <c r="I1924" s="2" t="s">
        <v>19506</v>
      </c>
      <c r="J1924" s="2" t="s">
        <v>13904</v>
      </c>
      <c r="K1924" s="2" t="s">
        <v>19234</v>
      </c>
      <c r="L1924" s="82" t="s">
        <v>19512</v>
      </c>
    </row>
    <row r="1925" spans="1:12" ht="120" customHeight="1" x14ac:dyDescent="0.3">
      <c r="A1925" s="2">
        <v>1921</v>
      </c>
      <c r="B1925" s="66" t="s">
        <v>266</v>
      </c>
      <c r="C1925" s="66"/>
      <c r="D1925" s="11" t="s">
        <v>2143</v>
      </c>
      <c r="E1925" s="11" t="s">
        <v>2143</v>
      </c>
      <c r="F1925" s="3" t="s">
        <v>2065</v>
      </c>
      <c r="G1925" s="2" t="s">
        <v>2066</v>
      </c>
      <c r="H1925" s="3">
        <v>43053</v>
      </c>
      <c r="I1925" s="2" t="s">
        <v>19506</v>
      </c>
      <c r="J1925" s="2" t="s">
        <v>13904</v>
      </c>
      <c r="K1925" s="2" t="s">
        <v>19234</v>
      </c>
      <c r="L1925" s="82" t="s">
        <v>19512</v>
      </c>
    </row>
    <row r="1926" spans="1:12" ht="120" customHeight="1" x14ac:dyDescent="0.3">
      <c r="A1926" s="2">
        <v>1922</v>
      </c>
      <c r="B1926" s="66" t="s">
        <v>1944</v>
      </c>
      <c r="C1926" s="66"/>
      <c r="D1926" s="11" t="s">
        <v>2144</v>
      </c>
      <c r="E1926" s="11" t="s">
        <v>2144</v>
      </c>
      <c r="F1926" s="3" t="s">
        <v>2065</v>
      </c>
      <c r="G1926" s="2" t="s">
        <v>2066</v>
      </c>
      <c r="H1926" s="3">
        <v>43053</v>
      </c>
      <c r="I1926" s="2" t="s">
        <v>19506</v>
      </c>
      <c r="J1926" s="2" t="s">
        <v>13904</v>
      </c>
      <c r="K1926" s="2" t="s">
        <v>19234</v>
      </c>
      <c r="L1926" s="82" t="s">
        <v>19512</v>
      </c>
    </row>
    <row r="1927" spans="1:12" ht="120" customHeight="1" x14ac:dyDescent="0.3">
      <c r="A1927" s="2">
        <v>1923</v>
      </c>
      <c r="B1927" s="66" t="s">
        <v>2133</v>
      </c>
      <c r="C1927" s="66"/>
      <c r="D1927" s="11" t="s">
        <v>2145</v>
      </c>
      <c r="E1927" s="11" t="s">
        <v>2145</v>
      </c>
      <c r="F1927" s="3" t="s">
        <v>2065</v>
      </c>
      <c r="G1927" s="2" t="s">
        <v>2066</v>
      </c>
      <c r="H1927" s="3">
        <v>43053</v>
      </c>
      <c r="I1927" s="2" t="s">
        <v>19506</v>
      </c>
      <c r="J1927" s="2" t="s">
        <v>13904</v>
      </c>
      <c r="K1927" s="2" t="s">
        <v>19234</v>
      </c>
      <c r="L1927" s="82" t="s">
        <v>19512</v>
      </c>
    </row>
    <row r="1928" spans="1:12" ht="120" customHeight="1" x14ac:dyDescent="0.3">
      <c r="A1928" s="2">
        <v>1924</v>
      </c>
      <c r="B1928" s="66" t="s">
        <v>2134</v>
      </c>
      <c r="C1928" s="66"/>
      <c r="D1928" s="11" t="s">
        <v>2146</v>
      </c>
      <c r="E1928" s="11" t="s">
        <v>2146</v>
      </c>
      <c r="F1928" s="3" t="s">
        <v>2065</v>
      </c>
      <c r="G1928" s="2" t="s">
        <v>2066</v>
      </c>
      <c r="H1928" s="3">
        <v>43053</v>
      </c>
      <c r="I1928" s="2" t="s">
        <v>19506</v>
      </c>
      <c r="J1928" s="2" t="s">
        <v>13904</v>
      </c>
      <c r="K1928" s="2" t="s">
        <v>19234</v>
      </c>
      <c r="L1928" s="82" t="s">
        <v>19512</v>
      </c>
    </row>
    <row r="1929" spans="1:12" ht="120" customHeight="1" x14ac:dyDescent="0.3">
      <c r="A1929" s="2">
        <v>1925</v>
      </c>
      <c r="B1929" s="66" t="s">
        <v>979</v>
      </c>
      <c r="C1929" s="66"/>
      <c r="D1929" s="11" t="s">
        <v>1147</v>
      </c>
      <c r="E1929" s="11" t="s">
        <v>1147</v>
      </c>
      <c r="F1929" s="3" t="s">
        <v>2065</v>
      </c>
      <c r="G1929" s="2" t="s">
        <v>2066</v>
      </c>
      <c r="H1929" s="3">
        <v>43053</v>
      </c>
      <c r="I1929" s="2" t="s">
        <v>19506</v>
      </c>
      <c r="J1929" s="2" t="s">
        <v>13904</v>
      </c>
      <c r="K1929" s="2" t="s">
        <v>19234</v>
      </c>
      <c r="L1929" s="82" t="s">
        <v>19512</v>
      </c>
    </row>
    <row r="1930" spans="1:12" ht="120" customHeight="1" x14ac:dyDescent="0.3">
      <c r="A1930" s="2">
        <v>1926</v>
      </c>
      <c r="B1930" s="66" t="s">
        <v>979</v>
      </c>
      <c r="C1930" s="66"/>
      <c r="D1930" s="11" t="s">
        <v>1147</v>
      </c>
      <c r="E1930" s="11" t="s">
        <v>1147</v>
      </c>
      <c r="F1930" s="3" t="s">
        <v>2065</v>
      </c>
      <c r="G1930" s="2" t="s">
        <v>2066</v>
      </c>
      <c r="H1930" s="3">
        <v>43053</v>
      </c>
      <c r="I1930" s="2" t="s">
        <v>19506</v>
      </c>
      <c r="J1930" s="2" t="s">
        <v>13904</v>
      </c>
      <c r="K1930" s="2" t="s">
        <v>19234</v>
      </c>
      <c r="L1930" s="82" t="s">
        <v>19512</v>
      </c>
    </row>
    <row r="1931" spans="1:12" ht="120" customHeight="1" x14ac:dyDescent="0.3">
      <c r="A1931" s="2">
        <v>1927</v>
      </c>
      <c r="B1931" s="66" t="s">
        <v>979</v>
      </c>
      <c r="C1931" s="66"/>
      <c r="D1931" s="11" t="s">
        <v>1147</v>
      </c>
      <c r="E1931" s="11" t="s">
        <v>1147</v>
      </c>
      <c r="F1931" s="3" t="s">
        <v>2065</v>
      </c>
      <c r="G1931" s="2" t="s">
        <v>2066</v>
      </c>
      <c r="H1931" s="3">
        <v>43053</v>
      </c>
      <c r="I1931" s="2" t="s">
        <v>19506</v>
      </c>
      <c r="J1931" s="2" t="s">
        <v>13904</v>
      </c>
      <c r="K1931" s="2" t="s">
        <v>19234</v>
      </c>
      <c r="L1931" s="82" t="s">
        <v>19512</v>
      </c>
    </row>
    <row r="1932" spans="1:12" ht="120" customHeight="1" x14ac:dyDescent="0.3">
      <c r="A1932" s="2">
        <v>1928</v>
      </c>
      <c r="B1932" s="66" t="s">
        <v>979</v>
      </c>
      <c r="C1932" s="66"/>
      <c r="D1932" s="11" t="s">
        <v>1147</v>
      </c>
      <c r="E1932" s="11" t="s">
        <v>1147</v>
      </c>
      <c r="F1932" s="3" t="s">
        <v>2065</v>
      </c>
      <c r="G1932" s="2" t="s">
        <v>2066</v>
      </c>
      <c r="H1932" s="3">
        <v>43053</v>
      </c>
      <c r="I1932" s="2" t="s">
        <v>19506</v>
      </c>
      <c r="J1932" s="2" t="s">
        <v>13904</v>
      </c>
      <c r="K1932" s="2" t="s">
        <v>19234</v>
      </c>
      <c r="L1932" s="82" t="s">
        <v>19512</v>
      </c>
    </row>
    <row r="1933" spans="1:12" ht="120" customHeight="1" x14ac:dyDescent="0.3">
      <c r="A1933" s="2">
        <v>1929</v>
      </c>
      <c r="B1933" s="66" t="s">
        <v>979</v>
      </c>
      <c r="C1933" s="66"/>
      <c r="D1933" s="11" t="s">
        <v>1147</v>
      </c>
      <c r="E1933" s="11" t="s">
        <v>1147</v>
      </c>
      <c r="F1933" s="3" t="s">
        <v>2065</v>
      </c>
      <c r="G1933" s="2" t="s">
        <v>2066</v>
      </c>
      <c r="H1933" s="3">
        <v>43053</v>
      </c>
      <c r="I1933" s="2" t="s">
        <v>19506</v>
      </c>
      <c r="J1933" s="2" t="s">
        <v>13904</v>
      </c>
      <c r="K1933" s="2" t="s">
        <v>19234</v>
      </c>
      <c r="L1933" s="82" t="s">
        <v>19512</v>
      </c>
    </row>
    <row r="1934" spans="1:12" ht="120" customHeight="1" x14ac:dyDescent="0.3">
      <c r="A1934" s="2">
        <v>1930</v>
      </c>
      <c r="B1934" s="66" t="s">
        <v>2135</v>
      </c>
      <c r="C1934" s="66"/>
      <c r="D1934" s="11" t="s">
        <v>2147</v>
      </c>
      <c r="E1934" s="11" t="s">
        <v>2147</v>
      </c>
      <c r="F1934" s="3" t="s">
        <v>2065</v>
      </c>
      <c r="G1934" s="2" t="s">
        <v>2066</v>
      </c>
      <c r="H1934" s="3">
        <v>43053</v>
      </c>
      <c r="I1934" s="2" t="s">
        <v>19506</v>
      </c>
      <c r="J1934" s="2" t="s">
        <v>13904</v>
      </c>
      <c r="K1934" s="2" t="s">
        <v>19234</v>
      </c>
      <c r="L1934" s="82" t="s">
        <v>19512</v>
      </c>
    </row>
    <row r="1935" spans="1:12" ht="120" customHeight="1" x14ac:dyDescent="0.3">
      <c r="A1935" s="2">
        <v>1931</v>
      </c>
      <c r="B1935" s="66" t="s">
        <v>2136</v>
      </c>
      <c r="C1935" s="66"/>
      <c r="D1935" s="11" t="s">
        <v>2148</v>
      </c>
      <c r="E1935" s="11" t="s">
        <v>2148</v>
      </c>
      <c r="F1935" s="3" t="s">
        <v>2065</v>
      </c>
      <c r="G1935" s="2" t="s">
        <v>2066</v>
      </c>
      <c r="H1935" s="3">
        <v>43053</v>
      </c>
      <c r="I1935" s="2" t="s">
        <v>19506</v>
      </c>
      <c r="J1935" s="2" t="s">
        <v>13904</v>
      </c>
      <c r="K1935" s="2" t="s">
        <v>19234</v>
      </c>
      <c r="L1935" s="82" t="s">
        <v>19512</v>
      </c>
    </row>
    <row r="1936" spans="1:12" ht="120" customHeight="1" x14ac:dyDescent="0.3">
      <c r="A1936" s="2">
        <v>1932</v>
      </c>
      <c r="B1936" s="66" t="s">
        <v>218</v>
      </c>
      <c r="C1936" s="66" t="s">
        <v>19858</v>
      </c>
      <c r="D1936" s="11" t="s">
        <v>2149</v>
      </c>
      <c r="E1936" s="11" t="s">
        <v>2149</v>
      </c>
      <c r="F1936" s="3" t="s">
        <v>2065</v>
      </c>
      <c r="G1936" s="2" t="s">
        <v>2066</v>
      </c>
      <c r="H1936" s="3">
        <v>43053</v>
      </c>
      <c r="I1936" s="2" t="s">
        <v>19506</v>
      </c>
      <c r="J1936" s="2" t="s">
        <v>13904</v>
      </c>
      <c r="K1936" s="2" t="s">
        <v>19234</v>
      </c>
      <c r="L1936" s="82" t="s">
        <v>19512</v>
      </c>
    </row>
    <row r="1937" spans="1:15" ht="120" customHeight="1" x14ac:dyDescent="0.3">
      <c r="A1937" s="2">
        <v>1933</v>
      </c>
      <c r="B1937" s="66" t="s">
        <v>2137</v>
      </c>
      <c r="C1937" s="66"/>
      <c r="D1937" s="11" t="s">
        <v>2150</v>
      </c>
      <c r="E1937" s="11" t="s">
        <v>2150</v>
      </c>
      <c r="F1937" s="3" t="s">
        <v>2065</v>
      </c>
      <c r="G1937" s="2" t="s">
        <v>2066</v>
      </c>
      <c r="H1937" s="3">
        <v>43053</v>
      </c>
      <c r="I1937" s="2" t="s">
        <v>19506</v>
      </c>
      <c r="J1937" s="2" t="s">
        <v>13904</v>
      </c>
      <c r="K1937" s="2" t="s">
        <v>19234</v>
      </c>
      <c r="L1937" s="82" t="s">
        <v>19512</v>
      </c>
    </row>
    <row r="1938" spans="1:15" ht="120" customHeight="1" x14ac:dyDescent="0.3">
      <c r="A1938" s="2">
        <v>1934</v>
      </c>
      <c r="B1938" s="66" t="s">
        <v>2138</v>
      </c>
      <c r="C1938" s="66"/>
      <c r="D1938" s="11" t="s">
        <v>2151</v>
      </c>
      <c r="E1938" s="11" t="s">
        <v>2151</v>
      </c>
      <c r="F1938" s="3" t="s">
        <v>2065</v>
      </c>
      <c r="G1938" s="2" t="s">
        <v>2066</v>
      </c>
      <c r="H1938" s="3">
        <v>43053</v>
      </c>
      <c r="I1938" s="2" t="s">
        <v>19506</v>
      </c>
      <c r="J1938" s="2" t="s">
        <v>13904</v>
      </c>
      <c r="K1938" s="2" t="s">
        <v>19234</v>
      </c>
      <c r="L1938" s="82" t="s">
        <v>19512</v>
      </c>
    </row>
    <row r="1939" spans="1:15" ht="120" customHeight="1" x14ac:dyDescent="0.3">
      <c r="A1939" s="2">
        <v>1935</v>
      </c>
      <c r="B1939" s="66" t="s">
        <v>2139</v>
      </c>
      <c r="C1939" s="66"/>
      <c r="D1939" s="11" t="s">
        <v>2152</v>
      </c>
      <c r="E1939" s="11" t="s">
        <v>2152</v>
      </c>
      <c r="F1939" s="3" t="s">
        <v>2065</v>
      </c>
      <c r="G1939" s="2" t="s">
        <v>2066</v>
      </c>
      <c r="H1939" s="3">
        <v>43053</v>
      </c>
      <c r="I1939" s="2" t="s">
        <v>19506</v>
      </c>
      <c r="J1939" s="2" t="s">
        <v>13904</v>
      </c>
      <c r="K1939" s="2" t="s">
        <v>19234</v>
      </c>
      <c r="L1939" s="82" t="s">
        <v>19512</v>
      </c>
    </row>
    <row r="1940" spans="1:15" ht="120" customHeight="1" x14ac:dyDescent="0.3">
      <c r="A1940" s="2">
        <v>1936</v>
      </c>
      <c r="B1940" s="66" t="s">
        <v>2136</v>
      </c>
      <c r="C1940" s="66"/>
      <c r="D1940" s="11" t="s">
        <v>2148</v>
      </c>
      <c r="E1940" s="11" t="s">
        <v>2148</v>
      </c>
      <c r="F1940" s="3" t="s">
        <v>2065</v>
      </c>
      <c r="G1940" s="2" t="s">
        <v>2066</v>
      </c>
      <c r="H1940" s="3">
        <v>43053</v>
      </c>
      <c r="I1940" s="2" t="s">
        <v>19506</v>
      </c>
      <c r="J1940" s="2" t="s">
        <v>13904</v>
      </c>
      <c r="K1940" s="2" t="s">
        <v>19234</v>
      </c>
      <c r="L1940" s="82" t="s">
        <v>19512</v>
      </c>
    </row>
    <row r="1941" spans="1:15" ht="120" customHeight="1" x14ac:dyDescent="0.3">
      <c r="A1941" s="2">
        <v>1937</v>
      </c>
      <c r="B1941" s="66" t="s">
        <v>2153</v>
      </c>
      <c r="C1941" s="66"/>
      <c r="D1941" s="11">
        <v>19.21</v>
      </c>
      <c r="E1941" s="11">
        <v>19.21</v>
      </c>
      <c r="F1941" s="3" t="s">
        <v>2065</v>
      </c>
      <c r="G1941" s="2" t="s">
        <v>2066</v>
      </c>
      <c r="H1941" s="3">
        <v>43053</v>
      </c>
      <c r="I1941" s="2" t="s">
        <v>19506</v>
      </c>
      <c r="J1941" s="2" t="s">
        <v>13904</v>
      </c>
      <c r="K1941" s="2" t="s">
        <v>19234</v>
      </c>
      <c r="L1941" s="82" t="s">
        <v>19512</v>
      </c>
    </row>
    <row r="1942" spans="1:15" ht="120" customHeight="1" x14ac:dyDescent="0.3">
      <c r="A1942" s="2">
        <v>1938</v>
      </c>
      <c r="B1942" s="66" t="s">
        <v>2154</v>
      </c>
      <c r="C1942" s="66"/>
      <c r="D1942" s="11" t="s">
        <v>2161</v>
      </c>
      <c r="E1942" s="11" t="s">
        <v>2161</v>
      </c>
      <c r="F1942" s="3" t="s">
        <v>2065</v>
      </c>
      <c r="G1942" s="2" t="s">
        <v>2066</v>
      </c>
      <c r="H1942" s="3">
        <v>43053</v>
      </c>
      <c r="I1942" s="2" t="s">
        <v>19506</v>
      </c>
      <c r="J1942" s="2" t="s">
        <v>13904</v>
      </c>
      <c r="K1942" s="2" t="s">
        <v>19234</v>
      </c>
      <c r="L1942" s="82" t="s">
        <v>19512</v>
      </c>
    </row>
    <row r="1943" spans="1:15" ht="120" customHeight="1" x14ac:dyDescent="0.3">
      <c r="A1943" s="2">
        <v>1939</v>
      </c>
      <c r="B1943" s="66" t="s">
        <v>2155</v>
      </c>
      <c r="C1943" s="66"/>
      <c r="D1943" s="11" t="s">
        <v>2161</v>
      </c>
      <c r="E1943" s="11" t="s">
        <v>2161</v>
      </c>
      <c r="F1943" s="3" t="s">
        <v>2065</v>
      </c>
      <c r="G1943" s="2" t="s">
        <v>2066</v>
      </c>
      <c r="H1943" s="3">
        <v>43053</v>
      </c>
      <c r="I1943" s="2" t="s">
        <v>19506</v>
      </c>
      <c r="J1943" s="2" t="s">
        <v>13904</v>
      </c>
      <c r="K1943" s="2" t="s">
        <v>19234</v>
      </c>
      <c r="L1943" s="82" t="s">
        <v>19512</v>
      </c>
    </row>
    <row r="1944" spans="1:15" ht="120" customHeight="1" x14ac:dyDescent="0.3">
      <c r="A1944" s="2">
        <v>1940</v>
      </c>
      <c r="B1944" s="66" t="s">
        <v>2156</v>
      </c>
      <c r="C1944" s="66"/>
      <c r="D1944" s="11" t="s">
        <v>2161</v>
      </c>
      <c r="E1944" s="11" t="s">
        <v>2161</v>
      </c>
      <c r="F1944" s="3" t="s">
        <v>2065</v>
      </c>
      <c r="G1944" s="2" t="s">
        <v>2066</v>
      </c>
      <c r="H1944" s="3">
        <v>43053</v>
      </c>
      <c r="I1944" s="2" t="s">
        <v>19506</v>
      </c>
      <c r="J1944" s="2" t="s">
        <v>13904</v>
      </c>
      <c r="K1944" s="2" t="s">
        <v>19234</v>
      </c>
      <c r="L1944" s="82" t="s">
        <v>19512</v>
      </c>
    </row>
    <row r="1945" spans="1:15" ht="120" customHeight="1" x14ac:dyDescent="0.3">
      <c r="A1945" s="2">
        <v>1941</v>
      </c>
      <c r="B1945" s="66" t="s">
        <v>2157</v>
      </c>
      <c r="C1945" s="66"/>
      <c r="D1945" s="11" t="s">
        <v>2161</v>
      </c>
      <c r="E1945" s="11" t="s">
        <v>2161</v>
      </c>
      <c r="F1945" s="3" t="s">
        <v>2065</v>
      </c>
      <c r="G1945" s="2" t="s">
        <v>2066</v>
      </c>
      <c r="H1945" s="3">
        <v>43053</v>
      </c>
      <c r="I1945" s="2" t="s">
        <v>19506</v>
      </c>
      <c r="J1945" s="2" t="s">
        <v>13904</v>
      </c>
      <c r="K1945" s="2" t="s">
        <v>19234</v>
      </c>
      <c r="L1945" s="82" t="s">
        <v>19512</v>
      </c>
    </row>
    <row r="1946" spans="1:15" ht="120" customHeight="1" x14ac:dyDescent="0.3">
      <c r="A1946" s="2">
        <v>1942</v>
      </c>
      <c r="B1946" s="66" t="s">
        <v>2158</v>
      </c>
      <c r="C1946" s="66"/>
      <c r="D1946" s="11" t="s">
        <v>2161</v>
      </c>
      <c r="E1946" s="11" t="s">
        <v>2161</v>
      </c>
      <c r="F1946" s="3" t="s">
        <v>2065</v>
      </c>
      <c r="G1946" s="2" t="s">
        <v>2066</v>
      </c>
      <c r="H1946" s="3">
        <v>43053</v>
      </c>
      <c r="I1946" s="2" t="s">
        <v>19506</v>
      </c>
      <c r="J1946" s="2" t="s">
        <v>13904</v>
      </c>
      <c r="K1946" s="2" t="s">
        <v>19234</v>
      </c>
      <c r="L1946" s="82" t="s">
        <v>19512</v>
      </c>
    </row>
    <row r="1947" spans="1:15" ht="120" customHeight="1" x14ac:dyDescent="0.3">
      <c r="A1947" s="2">
        <v>1943</v>
      </c>
      <c r="B1947" s="66" t="s">
        <v>2159</v>
      </c>
      <c r="C1947" s="66"/>
      <c r="D1947" s="11" t="s">
        <v>2161</v>
      </c>
      <c r="E1947" s="11" t="s">
        <v>2161</v>
      </c>
      <c r="F1947" s="3" t="s">
        <v>2065</v>
      </c>
      <c r="G1947" s="2" t="s">
        <v>2066</v>
      </c>
      <c r="H1947" s="3">
        <v>43053</v>
      </c>
      <c r="I1947" s="2" t="s">
        <v>19506</v>
      </c>
      <c r="J1947" s="2" t="s">
        <v>13904</v>
      </c>
      <c r="K1947" s="2" t="s">
        <v>19234</v>
      </c>
      <c r="L1947" s="82" t="s">
        <v>19512</v>
      </c>
    </row>
    <row r="1948" spans="1:15" ht="120" customHeight="1" x14ac:dyDescent="0.3">
      <c r="A1948" s="2">
        <v>1944</v>
      </c>
      <c r="B1948" s="66" t="s">
        <v>2160</v>
      </c>
      <c r="C1948" s="66"/>
      <c r="D1948" s="11" t="s">
        <v>2162</v>
      </c>
      <c r="E1948" s="11" t="s">
        <v>2162</v>
      </c>
      <c r="F1948" s="3" t="s">
        <v>2065</v>
      </c>
      <c r="G1948" s="2" t="s">
        <v>2066</v>
      </c>
      <c r="H1948" s="3">
        <v>43053</v>
      </c>
      <c r="I1948" s="2" t="s">
        <v>19506</v>
      </c>
      <c r="J1948" s="2" t="s">
        <v>13904</v>
      </c>
      <c r="K1948" s="2" t="s">
        <v>19234</v>
      </c>
      <c r="L1948" s="82" t="s">
        <v>19512</v>
      </c>
    </row>
    <row r="1949" spans="1:15" ht="84" customHeight="1" x14ac:dyDescent="0.3">
      <c r="A1949" s="2">
        <v>1945</v>
      </c>
      <c r="B1949" s="66" t="s">
        <v>12051</v>
      </c>
      <c r="C1949" s="66"/>
      <c r="D1949" s="11">
        <v>333925</v>
      </c>
      <c r="E1949" s="11">
        <v>333925</v>
      </c>
      <c r="F1949" s="3">
        <v>42328</v>
      </c>
      <c r="G1949" s="2" t="s">
        <v>12050</v>
      </c>
      <c r="H1949" s="3">
        <v>42867</v>
      </c>
      <c r="I1949" s="2" t="s">
        <v>19167</v>
      </c>
      <c r="J1949" s="2" t="s">
        <v>13904</v>
      </c>
      <c r="K1949" s="2"/>
      <c r="L1949" s="82"/>
    </row>
    <row r="1950" spans="1:15" s="19" customFormat="1" ht="96" customHeight="1" x14ac:dyDescent="0.3">
      <c r="A1950" s="2">
        <v>1946</v>
      </c>
      <c r="B1950" s="66" t="s">
        <v>1302</v>
      </c>
      <c r="C1950" s="66"/>
      <c r="D1950" s="11" t="s">
        <v>2178</v>
      </c>
      <c r="E1950" s="11" t="s">
        <v>2178</v>
      </c>
      <c r="F1950" s="3">
        <v>38715</v>
      </c>
      <c r="G1950" s="14" t="s">
        <v>2817</v>
      </c>
      <c r="H1950" s="3">
        <v>43053</v>
      </c>
      <c r="I1950" s="2" t="s">
        <v>19506</v>
      </c>
      <c r="J1950" s="2" t="s">
        <v>13904</v>
      </c>
      <c r="K1950" s="2" t="s">
        <v>19261</v>
      </c>
      <c r="L1950" s="2" t="s">
        <v>19512</v>
      </c>
      <c r="M1950" s="18"/>
      <c r="N1950" s="18"/>
      <c r="O1950" s="18"/>
    </row>
    <row r="1951" spans="1:15" ht="96" customHeight="1" x14ac:dyDescent="0.3">
      <c r="A1951" s="2">
        <v>1947</v>
      </c>
      <c r="B1951" s="66" t="s">
        <v>1304</v>
      </c>
      <c r="C1951" s="66"/>
      <c r="D1951" s="11" t="s">
        <v>1441</v>
      </c>
      <c r="E1951" s="11" t="s">
        <v>1441</v>
      </c>
      <c r="F1951" s="3">
        <v>38279</v>
      </c>
      <c r="G1951" s="2" t="s">
        <v>2817</v>
      </c>
      <c r="H1951" s="3">
        <v>43053</v>
      </c>
      <c r="I1951" s="2" t="s">
        <v>19506</v>
      </c>
      <c r="J1951" s="2" t="s">
        <v>13904</v>
      </c>
      <c r="K1951" s="2" t="s">
        <v>19261</v>
      </c>
      <c r="L1951" s="2" t="s">
        <v>19512</v>
      </c>
    </row>
    <row r="1952" spans="1:15" ht="96" customHeight="1" x14ac:dyDescent="0.3">
      <c r="A1952" s="2">
        <v>1948</v>
      </c>
      <c r="B1952" s="66" t="s">
        <v>216</v>
      </c>
      <c r="C1952" s="66"/>
      <c r="D1952" s="11" t="s">
        <v>2179</v>
      </c>
      <c r="E1952" s="11" t="s">
        <v>2179</v>
      </c>
      <c r="F1952" s="3">
        <v>39073</v>
      </c>
      <c r="G1952" s="2" t="s">
        <v>2817</v>
      </c>
      <c r="H1952" s="3">
        <v>43053</v>
      </c>
      <c r="I1952" s="2" t="s">
        <v>19506</v>
      </c>
      <c r="J1952" s="2" t="s">
        <v>13904</v>
      </c>
      <c r="K1952" s="2" t="s">
        <v>19261</v>
      </c>
      <c r="L1952" s="2" t="s">
        <v>19512</v>
      </c>
    </row>
    <row r="1953" spans="1:12" ht="96" customHeight="1" x14ac:dyDescent="0.3">
      <c r="A1953" s="2">
        <v>1949</v>
      </c>
      <c r="B1953" s="66" t="s">
        <v>218</v>
      </c>
      <c r="C1953" s="66" t="s">
        <v>12057</v>
      </c>
      <c r="D1953" s="11" t="s">
        <v>2180</v>
      </c>
      <c r="E1953" s="11" t="s">
        <v>2180</v>
      </c>
      <c r="F1953" s="3">
        <v>38503</v>
      </c>
      <c r="G1953" s="2" t="s">
        <v>2817</v>
      </c>
      <c r="H1953" s="3">
        <v>42335</v>
      </c>
      <c r="I1953" s="2" t="s">
        <v>12053</v>
      </c>
      <c r="J1953" s="2" t="s">
        <v>13904</v>
      </c>
      <c r="K1953" s="2" t="s">
        <v>19261</v>
      </c>
      <c r="L1953" s="2"/>
    </row>
    <row r="1954" spans="1:12" ht="96" customHeight="1" x14ac:dyDescent="0.3">
      <c r="A1954" s="2">
        <v>1950</v>
      </c>
      <c r="B1954" s="66" t="s">
        <v>22275</v>
      </c>
      <c r="C1954" s="66" t="s">
        <v>22276</v>
      </c>
      <c r="D1954" s="11">
        <v>59600</v>
      </c>
      <c r="E1954" s="11">
        <v>59600</v>
      </c>
      <c r="F1954" s="3" t="s">
        <v>22277</v>
      </c>
      <c r="G1954" s="2" t="s">
        <v>22278</v>
      </c>
      <c r="H1954" s="3"/>
      <c r="I1954" s="2"/>
      <c r="J1954" s="2" t="s">
        <v>13904</v>
      </c>
      <c r="K1954" s="2" t="s">
        <v>22279</v>
      </c>
      <c r="L1954" s="2"/>
    </row>
    <row r="1955" spans="1:12" ht="96" customHeight="1" x14ac:dyDescent="0.3">
      <c r="A1955" s="2">
        <v>1951</v>
      </c>
      <c r="B1955" s="66" t="s">
        <v>218</v>
      </c>
      <c r="C1955" s="66"/>
      <c r="D1955" s="11" t="s">
        <v>2181</v>
      </c>
      <c r="E1955" s="11" t="s">
        <v>2181</v>
      </c>
      <c r="F1955" s="3">
        <v>39445</v>
      </c>
      <c r="G1955" s="2" t="s">
        <v>2817</v>
      </c>
      <c r="H1955" s="3">
        <v>43053</v>
      </c>
      <c r="I1955" s="2" t="s">
        <v>19506</v>
      </c>
      <c r="J1955" s="2" t="s">
        <v>13904</v>
      </c>
      <c r="K1955" s="2" t="s">
        <v>19261</v>
      </c>
      <c r="L1955" s="2" t="s">
        <v>19512</v>
      </c>
    </row>
    <row r="1956" spans="1:12" ht="96" customHeight="1" x14ac:dyDescent="0.3">
      <c r="A1956" s="2">
        <v>1952</v>
      </c>
      <c r="B1956" s="66" t="s">
        <v>218</v>
      </c>
      <c r="C1956" s="66" t="s">
        <v>12056</v>
      </c>
      <c r="D1956" s="11" t="s">
        <v>2182</v>
      </c>
      <c r="E1956" s="11" t="s">
        <v>2182</v>
      </c>
      <c r="F1956" s="3">
        <v>38286</v>
      </c>
      <c r="G1956" s="2" t="s">
        <v>2817</v>
      </c>
      <c r="H1956" s="3">
        <v>42335</v>
      </c>
      <c r="I1956" s="2" t="s">
        <v>12053</v>
      </c>
      <c r="J1956" s="2" t="s">
        <v>13904</v>
      </c>
      <c r="K1956" s="2" t="s">
        <v>19261</v>
      </c>
      <c r="L1956" s="2"/>
    </row>
    <row r="1957" spans="1:12" ht="96" customHeight="1" x14ac:dyDescent="0.3">
      <c r="A1957" s="2">
        <v>1953</v>
      </c>
      <c r="B1957" s="66" t="s">
        <v>218</v>
      </c>
      <c r="C1957" s="66" t="s">
        <v>12055</v>
      </c>
      <c r="D1957" s="11" t="s">
        <v>2183</v>
      </c>
      <c r="E1957" s="11" t="s">
        <v>2183</v>
      </c>
      <c r="F1957" s="3">
        <v>39406</v>
      </c>
      <c r="G1957" s="2" t="s">
        <v>2817</v>
      </c>
      <c r="H1957" s="3">
        <v>42335</v>
      </c>
      <c r="I1957" s="2" t="s">
        <v>12053</v>
      </c>
      <c r="J1957" s="2" t="s">
        <v>13904</v>
      </c>
      <c r="K1957" s="2" t="s">
        <v>19261</v>
      </c>
      <c r="L1957" s="2"/>
    </row>
    <row r="1958" spans="1:12" ht="96" customHeight="1" x14ac:dyDescent="0.3">
      <c r="A1958" s="2">
        <v>1954</v>
      </c>
      <c r="B1958" s="66" t="s">
        <v>2163</v>
      </c>
      <c r="C1958" s="66" t="s">
        <v>12054</v>
      </c>
      <c r="D1958" s="11" t="s">
        <v>2184</v>
      </c>
      <c r="E1958" s="11" t="s">
        <v>2184</v>
      </c>
      <c r="F1958" s="3">
        <v>38713</v>
      </c>
      <c r="G1958" s="2" t="s">
        <v>2817</v>
      </c>
      <c r="H1958" s="3">
        <v>42335</v>
      </c>
      <c r="I1958" s="2" t="s">
        <v>12053</v>
      </c>
      <c r="J1958" s="2" t="s">
        <v>13904</v>
      </c>
      <c r="K1958" s="2" t="s">
        <v>19261</v>
      </c>
      <c r="L1958" s="2"/>
    </row>
    <row r="1959" spans="1:12" ht="96" customHeight="1" x14ac:dyDescent="0.3">
      <c r="A1959" s="2">
        <v>1955</v>
      </c>
      <c r="B1959" s="66" t="s">
        <v>2164</v>
      </c>
      <c r="C1959" s="66" t="s">
        <v>12058</v>
      </c>
      <c r="D1959" s="11" t="s">
        <v>2185</v>
      </c>
      <c r="E1959" s="11" t="s">
        <v>2185</v>
      </c>
      <c r="F1959" s="3">
        <v>39447</v>
      </c>
      <c r="G1959" s="2" t="s">
        <v>2817</v>
      </c>
      <c r="H1959" s="3">
        <v>42335</v>
      </c>
      <c r="I1959" s="2" t="s">
        <v>12053</v>
      </c>
      <c r="J1959" s="2" t="s">
        <v>13904</v>
      </c>
      <c r="K1959" s="2" t="s">
        <v>19261</v>
      </c>
      <c r="L1959" s="2"/>
    </row>
    <row r="1960" spans="1:12" ht="96" customHeight="1" x14ac:dyDescent="0.3">
      <c r="A1960" s="2">
        <v>1956</v>
      </c>
      <c r="B1960" s="66" t="s">
        <v>905</v>
      </c>
      <c r="C1960" s="66" t="s">
        <v>12059</v>
      </c>
      <c r="D1960" s="11" t="s">
        <v>2186</v>
      </c>
      <c r="E1960" s="11" t="s">
        <v>2186</v>
      </c>
      <c r="F1960" s="3">
        <v>38503</v>
      </c>
      <c r="G1960" s="2" t="s">
        <v>2817</v>
      </c>
      <c r="H1960" s="3">
        <v>42335</v>
      </c>
      <c r="I1960" s="2" t="s">
        <v>12053</v>
      </c>
      <c r="J1960" s="2" t="s">
        <v>13904</v>
      </c>
      <c r="K1960" s="2" t="s">
        <v>19261</v>
      </c>
      <c r="L1960" s="2"/>
    </row>
    <row r="1961" spans="1:12" ht="96" customHeight="1" x14ac:dyDescent="0.3">
      <c r="A1961" s="2">
        <v>1957</v>
      </c>
      <c r="B1961" s="66" t="s">
        <v>2165</v>
      </c>
      <c r="C1961" s="66"/>
      <c r="D1961" s="11" t="s">
        <v>950</v>
      </c>
      <c r="E1961" s="11" t="s">
        <v>950</v>
      </c>
      <c r="F1961" s="3">
        <v>39436</v>
      </c>
      <c r="G1961" s="2" t="s">
        <v>2817</v>
      </c>
      <c r="H1961" s="3">
        <v>43053</v>
      </c>
      <c r="I1961" s="2" t="s">
        <v>19506</v>
      </c>
      <c r="J1961" s="2" t="s">
        <v>13904</v>
      </c>
      <c r="K1961" s="2" t="s">
        <v>19261</v>
      </c>
      <c r="L1961" s="2" t="s">
        <v>19512</v>
      </c>
    </row>
    <row r="1962" spans="1:12" ht="96" customHeight="1" x14ac:dyDescent="0.3">
      <c r="A1962" s="2">
        <v>1958</v>
      </c>
      <c r="B1962" s="66" t="s">
        <v>2166</v>
      </c>
      <c r="C1962" s="66"/>
      <c r="D1962" s="11" t="s">
        <v>2187</v>
      </c>
      <c r="E1962" s="11" t="s">
        <v>2187</v>
      </c>
      <c r="F1962" s="3">
        <v>39447</v>
      </c>
      <c r="G1962" s="2" t="s">
        <v>2817</v>
      </c>
      <c r="H1962" s="3">
        <v>43053</v>
      </c>
      <c r="I1962" s="2" t="s">
        <v>19506</v>
      </c>
      <c r="J1962" s="2" t="s">
        <v>13904</v>
      </c>
      <c r="K1962" s="2" t="s">
        <v>19261</v>
      </c>
      <c r="L1962" s="2" t="s">
        <v>19512</v>
      </c>
    </row>
    <row r="1963" spans="1:12" ht="96" customHeight="1" x14ac:dyDescent="0.3">
      <c r="A1963" s="2">
        <v>1959</v>
      </c>
      <c r="B1963" s="66" t="s">
        <v>1088</v>
      </c>
      <c r="C1963" s="66" t="s">
        <v>12060</v>
      </c>
      <c r="D1963" s="11" t="s">
        <v>2188</v>
      </c>
      <c r="E1963" s="11" t="s">
        <v>2188</v>
      </c>
      <c r="F1963" s="3">
        <v>36846</v>
      </c>
      <c r="G1963" s="2" t="s">
        <v>2817</v>
      </c>
      <c r="H1963" s="3">
        <v>42335</v>
      </c>
      <c r="I1963" s="2" t="s">
        <v>12053</v>
      </c>
      <c r="J1963" s="2" t="s">
        <v>13904</v>
      </c>
      <c r="K1963" s="2" t="s">
        <v>19261</v>
      </c>
      <c r="L1963" s="2"/>
    </row>
    <row r="1964" spans="1:12" ht="96" customHeight="1" x14ac:dyDescent="0.3">
      <c r="A1964" s="2">
        <v>1960</v>
      </c>
      <c r="B1964" s="66" t="s">
        <v>1636</v>
      </c>
      <c r="C1964" s="66"/>
      <c r="D1964" s="11" t="s">
        <v>2189</v>
      </c>
      <c r="E1964" s="11" t="s">
        <v>2189</v>
      </c>
      <c r="F1964" s="3">
        <v>39447</v>
      </c>
      <c r="G1964" s="2" t="s">
        <v>2817</v>
      </c>
      <c r="H1964" s="3">
        <v>43053</v>
      </c>
      <c r="I1964" s="2" t="s">
        <v>19506</v>
      </c>
      <c r="J1964" s="2" t="s">
        <v>13904</v>
      </c>
      <c r="K1964" s="2" t="s">
        <v>19261</v>
      </c>
      <c r="L1964" s="2" t="s">
        <v>19512</v>
      </c>
    </row>
    <row r="1965" spans="1:12" ht="96" customHeight="1" x14ac:dyDescent="0.3">
      <c r="A1965" s="2">
        <v>1961</v>
      </c>
      <c r="B1965" s="66" t="s">
        <v>2167</v>
      </c>
      <c r="C1965" s="66" t="s">
        <v>12061</v>
      </c>
      <c r="D1965" s="11" t="s">
        <v>2190</v>
      </c>
      <c r="E1965" s="11" t="s">
        <v>2190</v>
      </c>
      <c r="F1965" s="3">
        <v>39094</v>
      </c>
      <c r="G1965" s="2" t="s">
        <v>2817</v>
      </c>
      <c r="H1965" s="3">
        <v>42335</v>
      </c>
      <c r="I1965" s="2" t="s">
        <v>12053</v>
      </c>
      <c r="J1965" s="2" t="s">
        <v>13904</v>
      </c>
      <c r="K1965" s="2" t="s">
        <v>19261</v>
      </c>
      <c r="L1965" s="2"/>
    </row>
    <row r="1966" spans="1:12" ht="96" customHeight="1" x14ac:dyDescent="0.3">
      <c r="A1966" s="2">
        <v>1962</v>
      </c>
      <c r="B1966" s="66" t="s">
        <v>2168</v>
      </c>
      <c r="C1966" s="66"/>
      <c r="D1966" s="11" t="s">
        <v>2191</v>
      </c>
      <c r="E1966" s="11">
        <v>31842.21</v>
      </c>
      <c r="F1966" s="3">
        <v>39539</v>
      </c>
      <c r="G1966" s="2" t="s">
        <v>2817</v>
      </c>
      <c r="H1966" s="3">
        <v>43053</v>
      </c>
      <c r="I1966" s="2" t="s">
        <v>19506</v>
      </c>
      <c r="J1966" s="2" t="s">
        <v>13904</v>
      </c>
      <c r="K1966" s="2" t="s">
        <v>19261</v>
      </c>
      <c r="L1966" s="2" t="s">
        <v>19512</v>
      </c>
    </row>
    <row r="1967" spans="1:12" ht="96" customHeight="1" x14ac:dyDescent="0.3">
      <c r="A1967" s="2">
        <v>1963</v>
      </c>
      <c r="B1967" s="66" t="s">
        <v>217</v>
      </c>
      <c r="C1967" s="66"/>
      <c r="D1967" s="11" t="s">
        <v>2192</v>
      </c>
      <c r="E1967" s="11">
        <v>4794</v>
      </c>
      <c r="F1967" s="3">
        <v>39078</v>
      </c>
      <c r="G1967" s="2" t="s">
        <v>2817</v>
      </c>
      <c r="H1967" s="3">
        <v>43053</v>
      </c>
      <c r="I1967" s="2" t="s">
        <v>19506</v>
      </c>
      <c r="J1967" s="2" t="s">
        <v>13904</v>
      </c>
      <c r="K1967" s="2" t="s">
        <v>19261</v>
      </c>
      <c r="L1967" s="2" t="s">
        <v>19512</v>
      </c>
    </row>
    <row r="1968" spans="1:12" ht="96" customHeight="1" x14ac:dyDescent="0.3">
      <c r="A1968" s="2">
        <v>1964</v>
      </c>
      <c r="B1968" s="66" t="s">
        <v>2169</v>
      </c>
      <c r="C1968" s="66" t="s">
        <v>12062</v>
      </c>
      <c r="D1968" s="11" t="s">
        <v>2193</v>
      </c>
      <c r="E1968" s="11">
        <v>8549.2999999999993</v>
      </c>
      <c r="F1968" s="3">
        <v>38155</v>
      </c>
      <c r="G1968" s="2" t="s">
        <v>2817</v>
      </c>
      <c r="H1968" s="3">
        <v>42335</v>
      </c>
      <c r="I1968" s="2" t="s">
        <v>12053</v>
      </c>
      <c r="J1968" s="2" t="s">
        <v>13904</v>
      </c>
      <c r="K1968" s="2" t="s">
        <v>19261</v>
      </c>
      <c r="L1968" s="2"/>
    </row>
    <row r="1969" spans="1:12" ht="96" customHeight="1" x14ac:dyDescent="0.3">
      <c r="A1969" s="2">
        <v>1965</v>
      </c>
      <c r="B1969" s="66" t="s">
        <v>2170</v>
      </c>
      <c r="C1969" s="66" t="s">
        <v>12063</v>
      </c>
      <c r="D1969" s="11" t="s">
        <v>2194</v>
      </c>
      <c r="E1969" s="11">
        <v>11872</v>
      </c>
      <c r="F1969" s="3">
        <v>38286</v>
      </c>
      <c r="G1969" s="2" t="s">
        <v>2817</v>
      </c>
      <c r="H1969" s="3">
        <v>42335</v>
      </c>
      <c r="I1969" s="2" t="s">
        <v>12053</v>
      </c>
      <c r="J1969" s="2" t="s">
        <v>13904</v>
      </c>
      <c r="K1969" s="2" t="s">
        <v>19261</v>
      </c>
      <c r="L1969" s="2"/>
    </row>
    <row r="1970" spans="1:12" ht="96" customHeight="1" x14ac:dyDescent="0.3">
      <c r="A1970" s="2">
        <v>1966</v>
      </c>
      <c r="B1970" s="66" t="s">
        <v>2171</v>
      </c>
      <c r="C1970" s="66"/>
      <c r="D1970" s="11" t="s">
        <v>2195</v>
      </c>
      <c r="E1970" s="11">
        <v>37537.58</v>
      </c>
      <c r="F1970" s="3">
        <v>39438</v>
      </c>
      <c r="G1970" s="2" t="s">
        <v>2817</v>
      </c>
      <c r="H1970" s="3">
        <v>43053</v>
      </c>
      <c r="I1970" s="2" t="s">
        <v>19506</v>
      </c>
      <c r="J1970" s="2" t="s">
        <v>13904</v>
      </c>
      <c r="K1970" s="2" t="s">
        <v>19261</v>
      </c>
      <c r="L1970" s="2" t="s">
        <v>19512</v>
      </c>
    </row>
    <row r="1971" spans="1:12" ht="96" customHeight="1" x14ac:dyDescent="0.3">
      <c r="A1971" s="2">
        <v>1967</v>
      </c>
      <c r="B1971" s="66" t="s">
        <v>2172</v>
      </c>
      <c r="C1971" s="66"/>
      <c r="D1971" s="11" t="s">
        <v>2196</v>
      </c>
      <c r="E1971" s="11">
        <v>27658.09</v>
      </c>
      <c r="F1971" s="3">
        <v>39445</v>
      </c>
      <c r="G1971" s="2" t="s">
        <v>2817</v>
      </c>
      <c r="H1971" s="3">
        <v>43053</v>
      </c>
      <c r="I1971" s="2" t="s">
        <v>19506</v>
      </c>
      <c r="J1971" s="2" t="s">
        <v>13904</v>
      </c>
      <c r="K1971" s="2" t="s">
        <v>19261</v>
      </c>
      <c r="L1971" s="2" t="s">
        <v>19512</v>
      </c>
    </row>
    <row r="1972" spans="1:12" ht="96" customHeight="1" x14ac:dyDescent="0.3">
      <c r="A1972" s="2">
        <v>1968</v>
      </c>
      <c r="B1972" s="66" t="s">
        <v>1097</v>
      </c>
      <c r="C1972" s="66"/>
      <c r="D1972" s="11" t="s">
        <v>1506</v>
      </c>
      <c r="E1972" s="11">
        <v>10000</v>
      </c>
      <c r="F1972" s="3">
        <v>39427</v>
      </c>
      <c r="G1972" s="2" t="s">
        <v>2817</v>
      </c>
      <c r="H1972" s="3">
        <v>43053</v>
      </c>
      <c r="I1972" s="2" t="s">
        <v>19506</v>
      </c>
      <c r="J1972" s="2" t="s">
        <v>13904</v>
      </c>
      <c r="K1972" s="2" t="s">
        <v>19261</v>
      </c>
      <c r="L1972" s="2" t="s">
        <v>19512</v>
      </c>
    </row>
    <row r="1973" spans="1:12" ht="96" customHeight="1" x14ac:dyDescent="0.3">
      <c r="A1973" s="2">
        <v>1969</v>
      </c>
      <c r="B1973" s="66" t="s">
        <v>2173</v>
      </c>
      <c r="C1973" s="66" t="s">
        <v>12064</v>
      </c>
      <c r="D1973" s="11" t="s">
        <v>2197</v>
      </c>
      <c r="E1973" s="11">
        <v>5995</v>
      </c>
      <c r="F1973" s="3">
        <v>39094</v>
      </c>
      <c r="G1973" s="2" t="s">
        <v>2817</v>
      </c>
      <c r="H1973" s="3">
        <v>42335</v>
      </c>
      <c r="I1973" s="2" t="s">
        <v>12053</v>
      </c>
      <c r="J1973" s="2" t="s">
        <v>13904</v>
      </c>
      <c r="K1973" s="2" t="s">
        <v>19261</v>
      </c>
      <c r="L1973" s="2"/>
    </row>
    <row r="1974" spans="1:12" ht="96" customHeight="1" x14ac:dyDescent="0.3">
      <c r="A1974" s="2">
        <v>1970</v>
      </c>
      <c r="B1974" s="66" t="s">
        <v>2174</v>
      </c>
      <c r="C1974" s="66" t="s">
        <v>12066</v>
      </c>
      <c r="D1974" s="11" t="s">
        <v>2198</v>
      </c>
      <c r="E1974" s="11">
        <v>42143.87</v>
      </c>
      <c r="F1974" s="3">
        <v>38502</v>
      </c>
      <c r="G1974" s="2" t="s">
        <v>2817</v>
      </c>
      <c r="H1974" s="3">
        <v>42335</v>
      </c>
      <c r="I1974" s="2" t="s">
        <v>12053</v>
      </c>
      <c r="J1974" s="2" t="s">
        <v>13904</v>
      </c>
      <c r="K1974" s="2" t="s">
        <v>19261</v>
      </c>
      <c r="L1974" s="2"/>
    </row>
    <row r="1975" spans="1:12" ht="96" customHeight="1" x14ac:dyDescent="0.3">
      <c r="A1975" s="2">
        <v>1971</v>
      </c>
      <c r="B1975" s="66" t="s">
        <v>2175</v>
      </c>
      <c r="C1975" s="66" t="s">
        <v>12065</v>
      </c>
      <c r="D1975" s="11" t="s">
        <v>1506</v>
      </c>
      <c r="E1975" s="11" t="s">
        <v>1506</v>
      </c>
      <c r="F1975" s="3">
        <v>39442</v>
      </c>
      <c r="G1975" s="2" t="s">
        <v>2817</v>
      </c>
      <c r="H1975" s="3">
        <v>42335</v>
      </c>
      <c r="I1975" s="2" t="s">
        <v>12053</v>
      </c>
      <c r="J1975" s="2" t="s">
        <v>13904</v>
      </c>
      <c r="K1975" s="2" t="s">
        <v>19261</v>
      </c>
      <c r="L1975" s="2"/>
    </row>
    <row r="1976" spans="1:12" ht="96" customHeight="1" x14ac:dyDescent="0.3">
      <c r="A1976" s="2">
        <v>1972</v>
      </c>
      <c r="B1976" s="66" t="s">
        <v>1343</v>
      </c>
      <c r="C1976" s="66"/>
      <c r="D1976" s="11" t="s">
        <v>2199</v>
      </c>
      <c r="E1976" s="11" t="s">
        <v>2199</v>
      </c>
      <c r="F1976" s="3">
        <v>39427</v>
      </c>
      <c r="G1976" s="2" t="s">
        <v>2817</v>
      </c>
      <c r="H1976" s="3">
        <v>43053</v>
      </c>
      <c r="I1976" s="2" t="s">
        <v>19506</v>
      </c>
      <c r="J1976" s="2" t="s">
        <v>13904</v>
      </c>
      <c r="K1976" s="2" t="s">
        <v>19261</v>
      </c>
      <c r="L1976" s="2" t="s">
        <v>19512</v>
      </c>
    </row>
    <row r="1977" spans="1:12" ht="96" customHeight="1" x14ac:dyDescent="0.3">
      <c r="A1977" s="2">
        <v>1973</v>
      </c>
      <c r="B1977" s="66" t="s">
        <v>2176</v>
      </c>
      <c r="C1977" s="66"/>
      <c r="D1977" s="11" t="s">
        <v>1487</v>
      </c>
      <c r="E1977" s="11" t="s">
        <v>1487</v>
      </c>
      <c r="F1977" s="3">
        <v>38715</v>
      </c>
      <c r="G1977" s="2" t="s">
        <v>2817</v>
      </c>
      <c r="H1977" s="3">
        <v>43053</v>
      </c>
      <c r="I1977" s="2" t="s">
        <v>19506</v>
      </c>
      <c r="J1977" s="2" t="s">
        <v>13904</v>
      </c>
      <c r="K1977" s="2" t="s">
        <v>19261</v>
      </c>
      <c r="L1977" s="2" t="s">
        <v>19512</v>
      </c>
    </row>
    <row r="1978" spans="1:12" ht="96" customHeight="1" x14ac:dyDescent="0.3">
      <c r="A1978" s="2">
        <v>1974</v>
      </c>
      <c r="B1978" s="66" t="s">
        <v>2176</v>
      </c>
      <c r="C1978" s="66"/>
      <c r="D1978" s="11" t="s">
        <v>1487</v>
      </c>
      <c r="E1978" s="11" t="s">
        <v>1487</v>
      </c>
      <c r="F1978" s="3">
        <v>38715</v>
      </c>
      <c r="G1978" s="2" t="s">
        <v>2817</v>
      </c>
      <c r="H1978" s="3">
        <v>43053</v>
      </c>
      <c r="I1978" s="2" t="s">
        <v>19506</v>
      </c>
      <c r="J1978" s="2" t="s">
        <v>13904</v>
      </c>
      <c r="K1978" s="2" t="s">
        <v>19261</v>
      </c>
      <c r="L1978" s="2" t="s">
        <v>19512</v>
      </c>
    </row>
    <row r="1979" spans="1:12" ht="96" customHeight="1" x14ac:dyDescent="0.3">
      <c r="A1979" s="2">
        <v>1975</v>
      </c>
      <c r="B1979" s="66" t="s">
        <v>2177</v>
      </c>
      <c r="C1979" s="66"/>
      <c r="D1979" s="11" t="s">
        <v>2200</v>
      </c>
      <c r="E1979" s="11" t="s">
        <v>2200</v>
      </c>
      <c r="F1979" s="3">
        <v>38439</v>
      </c>
      <c r="G1979" s="2" t="s">
        <v>2817</v>
      </c>
      <c r="H1979" s="3">
        <v>43053</v>
      </c>
      <c r="I1979" s="2" t="s">
        <v>19506</v>
      </c>
      <c r="J1979" s="2" t="s">
        <v>13904</v>
      </c>
      <c r="K1979" s="2" t="s">
        <v>19261</v>
      </c>
      <c r="L1979" s="2" t="s">
        <v>19512</v>
      </c>
    </row>
    <row r="1980" spans="1:12" ht="96" customHeight="1" x14ac:dyDescent="0.3">
      <c r="A1980" s="2">
        <v>1976</v>
      </c>
      <c r="B1980" s="66" t="s">
        <v>1922</v>
      </c>
      <c r="C1980" s="66"/>
      <c r="D1980" s="11" t="s">
        <v>2213</v>
      </c>
      <c r="E1980" s="11" t="s">
        <v>2213</v>
      </c>
      <c r="F1980" s="3">
        <v>41528</v>
      </c>
      <c r="G1980" s="2" t="s">
        <v>2817</v>
      </c>
      <c r="H1980" s="3">
        <v>43053</v>
      </c>
      <c r="I1980" s="2" t="s">
        <v>19506</v>
      </c>
      <c r="J1980" s="2" t="s">
        <v>13904</v>
      </c>
      <c r="K1980" s="2" t="s">
        <v>19261</v>
      </c>
      <c r="L1980" s="2" t="s">
        <v>19512</v>
      </c>
    </row>
    <row r="1981" spans="1:12" ht="96" customHeight="1" x14ac:dyDescent="0.3">
      <c r="A1981" s="2">
        <v>1977</v>
      </c>
      <c r="B1981" s="66" t="s">
        <v>2201</v>
      </c>
      <c r="C1981" s="66"/>
      <c r="D1981" s="11" t="s">
        <v>1257</v>
      </c>
      <c r="E1981" s="11" t="s">
        <v>1257</v>
      </c>
      <c r="F1981" s="3">
        <v>41086</v>
      </c>
      <c r="G1981" s="2" t="s">
        <v>2817</v>
      </c>
      <c r="H1981" s="3">
        <v>43053</v>
      </c>
      <c r="I1981" s="2" t="s">
        <v>19506</v>
      </c>
      <c r="J1981" s="2" t="s">
        <v>13904</v>
      </c>
      <c r="K1981" s="2" t="s">
        <v>19261</v>
      </c>
      <c r="L1981" s="2" t="s">
        <v>19512</v>
      </c>
    </row>
    <row r="1982" spans="1:12" ht="96" customHeight="1" x14ac:dyDescent="0.3">
      <c r="A1982" s="2">
        <v>1978</v>
      </c>
      <c r="B1982" s="66" t="s">
        <v>2202</v>
      </c>
      <c r="C1982" s="66"/>
      <c r="D1982" s="11" t="s">
        <v>1257</v>
      </c>
      <c r="E1982" s="11" t="s">
        <v>1257</v>
      </c>
      <c r="F1982" s="3">
        <v>41086</v>
      </c>
      <c r="G1982" s="2" t="s">
        <v>2817</v>
      </c>
      <c r="H1982" s="3">
        <v>43053</v>
      </c>
      <c r="I1982" s="2" t="s">
        <v>19506</v>
      </c>
      <c r="J1982" s="2" t="s">
        <v>13904</v>
      </c>
      <c r="K1982" s="2" t="s">
        <v>19261</v>
      </c>
      <c r="L1982" s="2" t="s">
        <v>19512</v>
      </c>
    </row>
    <row r="1983" spans="1:12" ht="96" customHeight="1" x14ac:dyDescent="0.3">
      <c r="A1983" s="2">
        <v>1979</v>
      </c>
      <c r="B1983" s="66" t="s">
        <v>2203</v>
      </c>
      <c r="C1983" s="66"/>
      <c r="D1983" s="11" t="s">
        <v>1999</v>
      </c>
      <c r="E1983" s="11" t="s">
        <v>1999</v>
      </c>
      <c r="F1983" s="3">
        <v>41086</v>
      </c>
      <c r="G1983" s="2" t="s">
        <v>2817</v>
      </c>
      <c r="H1983" s="3">
        <v>43053</v>
      </c>
      <c r="I1983" s="2" t="s">
        <v>19506</v>
      </c>
      <c r="J1983" s="2" t="s">
        <v>13904</v>
      </c>
      <c r="K1983" s="2" t="s">
        <v>19261</v>
      </c>
      <c r="L1983" s="2" t="s">
        <v>19512</v>
      </c>
    </row>
    <row r="1984" spans="1:12" ht="96" customHeight="1" x14ac:dyDescent="0.3">
      <c r="A1984" s="2">
        <v>1980</v>
      </c>
      <c r="B1984" s="66" t="s">
        <v>2204</v>
      </c>
      <c r="C1984" s="66"/>
      <c r="D1984" s="11" t="s">
        <v>1506</v>
      </c>
      <c r="E1984" s="11" t="s">
        <v>1506</v>
      </c>
      <c r="F1984" s="3">
        <v>41228</v>
      </c>
      <c r="G1984" s="2" t="s">
        <v>2817</v>
      </c>
      <c r="H1984" s="3">
        <v>43053</v>
      </c>
      <c r="I1984" s="2" t="s">
        <v>19506</v>
      </c>
      <c r="J1984" s="2" t="s">
        <v>13904</v>
      </c>
      <c r="K1984" s="2" t="s">
        <v>19261</v>
      </c>
      <c r="L1984" s="2" t="s">
        <v>19512</v>
      </c>
    </row>
    <row r="1985" spans="1:12" ht="96" customHeight="1" x14ac:dyDescent="0.3">
      <c r="A1985" s="2">
        <v>1981</v>
      </c>
      <c r="B1985" s="66" t="s">
        <v>1922</v>
      </c>
      <c r="C1985" s="66"/>
      <c r="D1985" s="11" t="s">
        <v>2213</v>
      </c>
      <c r="E1985" s="11" t="s">
        <v>2213</v>
      </c>
      <c r="F1985" s="3">
        <v>41603</v>
      </c>
      <c r="G1985" s="2" t="s">
        <v>2817</v>
      </c>
      <c r="H1985" s="3">
        <v>43053</v>
      </c>
      <c r="I1985" s="2" t="s">
        <v>19506</v>
      </c>
      <c r="J1985" s="2" t="s">
        <v>13904</v>
      </c>
      <c r="K1985" s="2" t="s">
        <v>19261</v>
      </c>
      <c r="L1985" s="2" t="s">
        <v>19512</v>
      </c>
    </row>
    <row r="1986" spans="1:12" ht="96" customHeight="1" x14ac:dyDescent="0.3">
      <c r="A1986" s="2">
        <v>1982</v>
      </c>
      <c r="B1986" s="66" t="s">
        <v>1922</v>
      </c>
      <c r="C1986" s="66"/>
      <c r="D1986" s="11" t="s">
        <v>2213</v>
      </c>
      <c r="E1986" s="11" t="s">
        <v>2213</v>
      </c>
      <c r="F1986" s="3">
        <v>41603</v>
      </c>
      <c r="G1986" s="2" t="s">
        <v>2817</v>
      </c>
      <c r="H1986" s="3">
        <v>43053</v>
      </c>
      <c r="I1986" s="2" t="s">
        <v>19506</v>
      </c>
      <c r="J1986" s="2" t="s">
        <v>13904</v>
      </c>
      <c r="K1986" s="2" t="s">
        <v>19261</v>
      </c>
      <c r="L1986" s="2" t="s">
        <v>19512</v>
      </c>
    </row>
    <row r="1987" spans="1:12" ht="96" customHeight="1" x14ac:dyDescent="0.3">
      <c r="A1987" s="2">
        <v>1983</v>
      </c>
      <c r="B1987" s="66" t="s">
        <v>883</v>
      </c>
      <c r="C1987" s="66"/>
      <c r="D1987" s="11" t="s">
        <v>2214</v>
      </c>
      <c r="E1987" s="11" t="s">
        <v>2214</v>
      </c>
      <c r="F1987" s="3">
        <v>38503</v>
      </c>
      <c r="G1987" s="2" t="s">
        <v>2817</v>
      </c>
      <c r="H1987" s="3">
        <v>43053</v>
      </c>
      <c r="I1987" s="2" t="s">
        <v>19506</v>
      </c>
      <c r="J1987" s="2" t="s">
        <v>13904</v>
      </c>
      <c r="K1987" s="2" t="s">
        <v>19261</v>
      </c>
      <c r="L1987" s="2" t="s">
        <v>19512</v>
      </c>
    </row>
    <row r="1988" spans="1:12" ht="96" customHeight="1" x14ac:dyDescent="0.3">
      <c r="A1988" s="2">
        <v>1984</v>
      </c>
      <c r="B1988" s="66" t="s">
        <v>1978</v>
      </c>
      <c r="C1988" s="66"/>
      <c r="D1988" s="11" t="s">
        <v>2041</v>
      </c>
      <c r="E1988" s="11" t="s">
        <v>2041</v>
      </c>
      <c r="F1988" s="3">
        <v>38503</v>
      </c>
      <c r="G1988" s="2" t="s">
        <v>2817</v>
      </c>
      <c r="H1988" s="3">
        <v>43053</v>
      </c>
      <c r="I1988" s="2" t="s">
        <v>19506</v>
      </c>
      <c r="J1988" s="2" t="s">
        <v>13904</v>
      </c>
      <c r="K1988" s="2" t="s">
        <v>19261</v>
      </c>
      <c r="L1988" s="2" t="s">
        <v>19512</v>
      </c>
    </row>
    <row r="1989" spans="1:12" ht="96" customHeight="1" x14ac:dyDescent="0.3">
      <c r="A1989" s="2">
        <v>1985</v>
      </c>
      <c r="B1989" s="66" t="s">
        <v>2205</v>
      </c>
      <c r="C1989" s="66"/>
      <c r="D1989" s="11" t="s">
        <v>2215</v>
      </c>
      <c r="E1989" s="11" t="s">
        <v>2215</v>
      </c>
      <c r="F1989" s="3">
        <v>38280</v>
      </c>
      <c r="G1989" s="2" t="s">
        <v>2817</v>
      </c>
      <c r="H1989" s="3">
        <v>43053</v>
      </c>
      <c r="I1989" s="2" t="s">
        <v>19506</v>
      </c>
      <c r="J1989" s="2" t="s">
        <v>13904</v>
      </c>
      <c r="K1989" s="2" t="s">
        <v>19261</v>
      </c>
      <c r="L1989" s="2" t="s">
        <v>19512</v>
      </c>
    </row>
    <row r="1990" spans="1:12" ht="96" customHeight="1" x14ac:dyDescent="0.3">
      <c r="A1990" s="2">
        <v>1986</v>
      </c>
      <c r="B1990" s="66" t="s">
        <v>263</v>
      </c>
      <c r="C1990" s="66"/>
      <c r="D1990" s="11" t="s">
        <v>2216</v>
      </c>
      <c r="E1990" s="11" t="s">
        <v>2216</v>
      </c>
      <c r="F1990" s="3">
        <v>38502</v>
      </c>
      <c r="G1990" s="2" t="s">
        <v>2817</v>
      </c>
      <c r="H1990" s="3">
        <v>43053</v>
      </c>
      <c r="I1990" s="2" t="s">
        <v>19506</v>
      </c>
      <c r="J1990" s="2" t="s">
        <v>13904</v>
      </c>
      <c r="K1990" s="2" t="s">
        <v>19261</v>
      </c>
      <c r="L1990" s="2" t="s">
        <v>19512</v>
      </c>
    </row>
    <row r="1991" spans="1:12" ht="96" customHeight="1" x14ac:dyDescent="0.3">
      <c r="A1991" s="2">
        <v>1987</v>
      </c>
      <c r="B1991" s="66" t="s">
        <v>2206</v>
      </c>
      <c r="C1991" s="66"/>
      <c r="D1991" s="11" t="s">
        <v>2217</v>
      </c>
      <c r="E1991" s="11" t="s">
        <v>2217</v>
      </c>
      <c r="F1991" s="3">
        <v>37144</v>
      </c>
      <c r="G1991" s="2" t="s">
        <v>2817</v>
      </c>
      <c r="H1991" s="3">
        <v>43053</v>
      </c>
      <c r="I1991" s="2" t="s">
        <v>19506</v>
      </c>
      <c r="J1991" s="2" t="s">
        <v>13904</v>
      </c>
      <c r="K1991" s="2" t="s">
        <v>19261</v>
      </c>
      <c r="L1991" s="2" t="s">
        <v>19512</v>
      </c>
    </row>
    <row r="1992" spans="1:12" ht="96" customHeight="1" x14ac:dyDescent="0.3">
      <c r="A1992" s="2">
        <v>1988</v>
      </c>
      <c r="B1992" s="66" t="s">
        <v>2207</v>
      </c>
      <c r="C1992" s="66"/>
      <c r="D1992" s="11" t="s">
        <v>2218</v>
      </c>
      <c r="E1992" s="11" t="s">
        <v>2218</v>
      </c>
      <c r="F1992" s="3">
        <v>37144</v>
      </c>
      <c r="G1992" s="2" t="s">
        <v>2817</v>
      </c>
      <c r="H1992" s="3">
        <v>43053</v>
      </c>
      <c r="I1992" s="2" t="s">
        <v>19506</v>
      </c>
      <c r="J1992" s="2" t="s">
        <v>13904</v>
      </c>
      <c r="K1992" s="2" t="s">
        <v>19261</v>
      </c>
      <c r="L1992" s="2" t="s">
        <v>19512</v>
      </c>
    </row>
    <row r="1993" spans="1:12" ht="96" customHeight="1" x14ac:dyDescent="0.3">
      <c r="A1993" s="2">
        <v>1989</v>
      </c>
      <c r="B1993" s="66" t="s">
        <v>885</v>
      </c>
      <c r="C1993" s="66"/>
      <c r="D1993" s="11" t="s">
        <v>2219</v>
      </c>
      <c r="E1993" s="11" t="s">
        <v>2219</v>
      </c>
      <c r="F1993" s="3">
        <v>38153</v>
      </c>
      <c r="G1993" s="2" t="s">
        <v>2817</v>
      </c>
      <c r="H1993" s="3">
        <v>43053</v>
      </c>
      <c r="I1993" s="2" t="s">
        <v>19506</v>
      </c>
      <c r="J1993" s="2" t="s">
        <v>13904</v>
      </c>
      <c r="K1993" s="2" t="s">
        <v>19261</v>
      </c>
      <c r="L1993" s="2" t="s">
        <v>19512</v>
      </c>
    </row>
    <row r="1994" spans="1:12" ht="96" customHeight="1" x14ac:dyDescent="0.3">
      <c r="A1994" s="2">
        <v>1990</v>
      </c>
      <c r="B1994" s="66" t="s">
        <v>1655</v>
      </c>
      <c r="C1994" s="66"/>
      <c r="D1994" s="11" t="s">
        <v>2220</v>
      </c>
      <c r="E1994" s="11" t="s">
        <v>2220</v>
      </c>
      <c r="F1994" s="3">
        <v>38605</v>
      </c>
      <c r="G1994" s="2" t="s">
        <v>2817</v>
      </c>
      <c r="H1994" s="3">
        <v>43053</v>
      </c>
      <c r="I1994" s="2" t="s">
        <v>19506</v>
      </c>
      <c r="J1994" s="2" t="s">
        <v>13904</v>
      </c>
      <c r="K1994" s="2" t="s">
        <v>19261</v>
      </c>
      <c r="L1994" s="2" t="s">
        <v>19512</v>
      </c>
    </row>
    <row r="1995" spans="1:12" ht="96" customHeight="1" x14ac:dyDescent="0.3">
      <c r="A1995" s="2">
        <v>1991</v>
      </c>
      <c r="B1995" s="66" t="s">
        <v>2208</v>
      </c>
      <c r="C1995" s="66"/>
      <c r="D1995" s="11" t="s">
        <v>1805</v>
      </c>
      <c r="E1995" s="11" t="s">
        <v>1805</v>
      </c>
      <c r="F1995" s="3">
        <v>39232</v>
      </c>
      <c r="G1995" s="2" t="s">
        <v>2817</v>
      </c>
      <c r="H1995" s="3">
        <v>43053</v>
      </c>
      <c r="I1995" s="2" t="s">
        <v>19506</v>
      </c>
      <c r="J1995" s="2" t="s">
        <v>13904</v>
      </c>
      <c r="K1995" s="2" t="s">
        <v>19261</v>
      </c>
      <c r="L1995" s="2" t="s">
        <v>19512</v>
      </c>
    </row>
    <row r="1996" spans="1:12" ht="96" customHeight="1" x14ac:dyDescent="0.3">
      <c r="A1996" s="2">
        <v>1992</v>
      </c>
      <c r="B1996" s="66" t="s">
        <v>2209</v>
      </c>
      <c r="C1996" s="66"/>
      <c r="D1996" s="11" t="s">
        <v>2027</v>
      </c>
      <c r="E1996" s="11" t="s">
        <v>2027</v>
      </c>
      <c r="F1996" s="3">
        <v>37966</v>
      </c>
      <c r="G1996" s="2" t="s">
        <v>2817</v>
      </c>
      <c r="H1996" s="3">
        <v>43053</v>
      </c>
      <c r="I1996" s="2" t="s">
        <v>19506</v>
      </c>
      <c r="J1996" s="2" t="s">
        <v>13904</v>
      </c>
      <c r="K1996" s="2" t="s">
        <v>19261</v>
      </c>
      <c r="L1996" s="2" t="s">
        <v>19512</v>
      </c>
    </row>
    <row r="1997" spans="1:12" ht="96" customHeight="1" x14ac:dyDescent="0.3">
      <c r="A1997" s="2">
        <v>1993</v>
      </c>
      <c r="B1997" s="66" t="s">
        <v>2210</v>
      </c>
      <c r="C1997" s="66"/>
      <c r="D1997" s="11" t="s">
        <v>2221</v>
      </c>
      <c r="E1997" s="11" t="s">
        <v>2221</v>
      </c>
      <c r="F1997" s="3">
        <v>39331</v>
      </c>
      <c r="G1997" s="2" t="s">
        <v>2817</v>
      </c>
      <c r="H1997" s="3">
        <v>43053</v>
      </c>
      <c r="I1997" s="2" t="s">
        <v>19506</v>
      </c>
      <c r="J1997" s="2" t="s">
        <v>13904</v>
      </c>
      <c r="K1997" s="2" t="s">
        <v>19261</v>
      </c>
      <c r="L1997" s="2" t="s">
        <v>19512</v>
      </c>
    </row>
    <row r="1998" spans="1:12" ht="96" customHeight="1" x14ac:dyDescent="0.3">
      <c r="A1998" s="2">
        <v>1994</v>
      </c>
      <c r="B1998" s="66" t="s">
        <v>2211</v>
      </c>
      <c r="C1998" s="66"/>
      <c r="D1998" s="11" t="s">
        <v>2222</v>
      </c>
      <c r="E1998" s="11" t="s">
        <v>2222</v>
      </c>
      <c r="F1998" s="3">
        <v>37144</v>
      </c>
      <c r="G1998" s="2" t="s">
        <v>2817</v>
      </c>
      <c r="H1998" s="3">
        <v>43053</v>
      </c>
      <c r="I1998" s="2" t="s">
        <v>19506</v>
      </c>
      <c r="J1998" s="2" t="s">
        <v>13904</v>
      </c>
      <c r="K1998" s="2" t="s">
        <v>19261</v>
      </c>
      <c r="L1998" s="2" t="s">
        <v>19512</v>
      </c>
    </row>
    <row r="1999" spans="1:12" ht="96" customHeight="1" x14ac:dyDescent="0.3">
      <c r="A1999" s="2">
        <v>1995</v>
      </c>
      <c r="B1999" s="66" t="s">
        <v>2212</v>
      </c>
      <c r="C1999" s="66"/>
      <c r="D1999" s="11" t="s">
        <v>2223</v>
      </c>
      <c r="E1999" s="11" t="s">
        <v>2223</v>
      </c>
      <c r="F1999" s="3">
        <v>37144</v>
      </c>
      <c r="G1999" s="2" t="s">
        <v>2817</v>
      </c>
      <c r="H1999" s="3">
        <v>43053</v>
      </c>
      <c r="I1999" s="2" t="s">
        <v>19506</v>
      </c>
      <c r="J1999" s="2" t="s">
        <v>13904</v>
      </c>
      <c r="K1999" s="2" t="s">
        <v>19261</v>
      </c>
      <c r="L1999" s="2" t="s">
        <v>19512</v>
      </c>
    </row>
    <row r="2000" spans="1:12" ht="96" customHeight="1" x14ac:dyDescent="0.3">
      <c r="A2000" s="2">
        <v>1996</v>
      </c>
      <c r="B2000" s="66" t="s">
        <v>1978</v>
      </c>
      <c r="C2000" s="66"/>
      <c r="D2000" s="11" t="s">
        <v>2041</v>
      </c>
      <c r="E2000" s="11" t="s">
        <v>2041</v>
      </c>
      <c r="F2000" s="3">
        <v>38503</v>
      </c>
      <c r="G2000" s="2" t="s">
        <v>2817</v>
      </c>
      <c r="H2000" s="3">
        <v>43053</v>
      </c>
      <c r="I2000" s="2" t="s">
        <v>19506</v>
      </c>
      <c r="J2000" s="2" t="s">
        <v>13904</v>
      </c>
      <c r="K2000" s="2" t="s">
        <v>19261</v>
      </c>
      <c r="L2000" s="2" t="s">
        <v>19512</v>
      </c>
    </row>
    <row r="2001" spans="1:15" ht="96" customHeight="1" x14ac:dyDescent="0.3">
      <c r="A2001" s="2">
        <v>1997</v>
      </c>
      <c r="B2001" s="66" t="s">
        <v>1978</v>
      </c>
      <c r="C2001" s="66"/>
      <c r="D2001" s="11" t="s">
        <v>2041</v>
      </c>
      <c r="E2001" s="11" t="s">
        <v>2041</v>
      </c>
      <c r="F2001" s="3">
        <v>38503</v>
      </c>
      <c r="G2001" s="2" t="s">
        <v>2817</v>
      </c>
      <c r="H2001" s="3">
        <v>43053</v>
      </c>
      <c r="I2001" s="2" t="s">
        <v>19506</v>
      </c>
      <c r="J2001" s="2" t="s">
        <v>13904</v>
      </c>
      <c r="K2001" s="2" t="s">
        <v>19261</v>
      </c>
      <c r="L2001" s="2" t="s">
        <v>19512</v>
      </c>
    </row>
    <row r="2002" spans="1:15" ht="96" customHeight="1" x14ac:dyDescent="0.3">
      <c r="A2002" s="2">
        <v>1998</v>
      </c>
      <c r="B2002" s="66" t="s">
        <v>1978</v>
      </c>
      <c r="C2002" s="66"/>
      <c r="D2002" s="11" t="s">
        <v>2041</v>
      </c>
      <c r="E2002" s="11" t="s">
        <v>2041</v>
      </c>
      <c r="F2002" s="3">
        <v>38503</v>
      </c>
      <c r="G2002" s="2" t="s">
        <v>2817</v>
      </c>
      <c r="H2002" s="3">
        <v>43053</v>
      </c>
      <c r="I2002" s="2" t="s">
        <v>19506</v>
      </c>
      <c r="J2002" s="2" t="s">
        <v>13904</v>
      </c>
      <c r="K2002" s="2" t="s">
        <v>19261</v>
      </c>
      <c r="L2002" s="2" t="s">
        <v>19512</v>
      </c>
    </row>
    <row r="2003" spans="1:15" ht="96" customHeight="1" x14ac:dyDescent="0.3">
      <c r="A2003" s="2">
        <v>1999</v>
      </c>
      <c r="B2003" s="66" t="s">
        <v>2210</v>
      </c>
      <c r="C2003" s="66"/>
      <c r="D2003" s="11" t="s">
        <v>2221</v>
      </c>
      <c r="E2003" s="11" t="s">
        <v>2221</v>
      </c>
      <c r="F2003" s="3">
        <v>39331</v>
      </c>
      <c r="G2003" s="2" t="s">
        <v>2817</v>
      </c>
      <c r="H2003" s="3">
        <v>43053</v>
      </c>
      <c r="I2003" s="2" t="s">
        <v>19506</v>
      </c>
      <c r="J2003" s="2" t="s">
        <v>13904</v>
      </c>
      <c r="K2003" s="2" t="s">
        <v>19261</v>
      </c>
      <c r="L2003" s="2" t="s">
        <v>19512</v>
      </c>
    </row>
    <row r="2004" spans="1:15" ht="96" customHeight="1" x14ac:dyDescent="0.3">
      <c r="A2004" s="2">
        <v>2000</v>
      </c>
      <c r="B2004" s="66" t="s">
        <v>2210</v>
      </c>
      <c r="C2004" s="66"/>
      <c r="D2004" s="11" t="s">
        <v>2221</v>
      </c>
      <c r="E2004" s="11" t="s">
        <v>2221</v>
      </c>
      <c r="F2004" s="3">
        <v>39331</v>
      </c>
      <c r="G2004" s="2" t="s">
        <v>2817</v>
      </c>
      <c r="H2004" s="3">
        <v>43053</v>
      </c>
      <c r="I2004" s="2" t="s">
        <v>19506</v>
      </c>
      <c r="J2004" s="2" t="s">
        <v>13904</v>
      </c>
      <c r="K2004" s="2" t="s">
        <v>19261</v>
      </c>
      <c r="L2004" s="2" t="s">
        <v>19512</v>
      </c>
    </row>
    <row r="2005" spans="1:15" ht="96" customHeight="1" x14ac:dyDescent="0.3">
      <c r="A2005" s="2">
        <v>2001</v>
      </c>
      <c r="B2005" s="66" t="s">
        <v>2210</v>
      </c>
      <c r="C2005" s="66"/>
      <c r="D2005" s="11" t="s">
        <v>2221</v>
      </c>
      <c r="E2005" s="11" t="s">
        <v>2221</v>
      </c>
      <c r="F2005" s="3">
        <v>39331</v>
      </c>
      <c r="G2005" s="2" t="s">
        <v>2817</v>
      </c>
      <c r="H2005" s="3">
        <v>43053</v>
      </c>
      <c r="I2005" s="2" t="s">
        <v>19506</v>
      </c>
      <c r="J2005" s="2" t="s">
        <v>13904</v>
      </c>
      <c r="K2005" s="2" t="s">
        <v>19261</v>
      </c>
      <c r="L2005" s="2" t="s">
        <v>19512</v>
      </c>
    </row>
    <row r="2006" spans="1:15" ht="96" customHeight="1" x14ac:dyDescent="0.3">
      <c r="A2006" s="2">
        <v>2002</v>
      </c>
      <c r="B2006" s="66" t="s">
        <v>1922</v>
      </c>
      <c r="C2006" s="66"/>
      <c r="D2006" s="11" t="s">
        <v>1049</v>
      </c>
      <c r="E2006" s="11" t="s">
        <v>1049</v>
      </c>
      <c r="F2006" s="3">
        <v>40772</v>
      </c>
      <c r="G2006" s="2" t="s">
        <v>2817</v>
      </c>
      <c r="H2006" s="3">
        <v>43053</v>
      </c>
      <c r="I2006" s="2" t="s">
        <v>19506</v>
      </c>
      <c r="J2006" s="2" t="s">
        <v>13904</v>
      </c>
      <c r="K2006" s="2" t="s">
        <v>19261</v>
      </c>
      <c r="L2006" s="2" t="s">
        <v>19512</v>
      </c>
    </row>
    <row r="2007" spans="1:15" ht="96" customHeight="1" x14ac:dyDescent="0.3">
      <c r="A2007" s="2">
        <v>2003</v>
      </c>
      <c r="B2007" s="66" t="s">
        <v>1922</v>
      </c>
      <c r="C2007" s="66"/>
      <c r="D2007" s="11" t="s">
        <v>1506</v>
      </c>
      <c r="E2007" s="11" t="s">
        <v>1506</v>
      </c>
      <c r="F2007" s="3">
        <v>41932</v>
      </c>
      <c r="G2007" s="2" t="s">
        <v>2817</v>
      </c>
      <c r="H2007" s="3">
        <v>43053</v>
      </c>
      <c r="I2007" s="2" t="s">
        <v>19506</v>
      </c>
      <c r="J2007" s="2" t="s">
        <v>13904</v>
      </c>
      <c r="K2007" s="2" t="s">
        <v>19261</v>
      </c>
      <c r="L2007" s="2" t="s">
        <v>19512</v>
      </c>
    </row>
    <row r="2008" spans="1:15" ht="96" customHeight="1" x14ac:dyDescent="0.3">
      <c r="A2008" s="2">
        <v>2004</v>
      </c>
      <c r="B2008" s="66" t="s">
        <v>1922</v>
      </c>
      <c r="C2008" s="66"/>
      <c r="D2008" s="11" t="s">
        <v>1506</v>
      </c>
      <c r="E2008" s="11" t="s">
        <v>1506</v>
      </c>
      <c r="F2008" s="3">
        <v>41932</v>
      </c>
      <c r="G2008" s="2" t="s">
        <v>2817</v>
      </c>
      <c r="H2008" s="3">
        <v>43053</v>
      </c>
      <c r="I2008" s="2" t="s">
        <v>19506</v>
      </c>
      <c r="J2008" s="2" t="s">
        <v>13904</v>
      </c>
      <c r="K2008" s="2" t="s">
        <v>19261</v>
      </c>
      <c r="L2008" s="2" t="s">
        <v>19512</v>
      </c>
    </row>
    <row r="2009" spans="1:15" ht="96" customHeight="1" x14ac:dyDescent="0.3">
      <c r="A2009" s="2">
        <v>2005</v>
      </c>
      <c r="B2009" s="66" t="s">
        <v>1922</v>
      </c>
      <c r="C2009" s="66"/>
      <c r="D2009" s="11" t="s">
        <v>2224</v>
      </c>
      <c r="E2009" s="11" t="s">
        <v>2224</v>
      </c>
      <c r="F2009" s="3">
        <v>41746</v>
      </c>
      <c r="G2009" s="2" t="s">
        <v>2817</v>
      </c>
      <c r="H2009" s="3">
        <v>43053</v>
      </c>
      <c r="I2009" s="2" t="s">
        <v>19506</v>
      </c>
      <c r="J2009" s="2" t="s">
        <v>13904</v>
      </c>
      <c r="K2009" s="2" t="s">
        <v>19261</v>
      </c>
      <c r="L2009" s="2" t="s">
        <v>19512</v>
      </c>
    </row>
    <row r="2010" spans="1:15" ht="96" customHeight="1" x14ac:dyDescent="0.3">
      <c r="A2010" s="2">
        <v>2006</v>
      </c>
      <c r="B2010" s="66" t="s">
        <v>1922</v>
      </c>
      <c r="C2010" s="66"/>
      <c r="D2010" s="11" t="s">
        <v>2225</v>
      </c>
      <c r="E2010" s="11" t="s">
        <v>2225</v>
      </c>
      <c r="F2010" s="3">
        <v>41746</v>
      </c>
      <c r="G2010" s="2" t="s">
        <v>2817</v>
      </c>
      <c r="H2010" s="3">
        <v>43053</v>
      </c>
      <c r="I2010" s="2" t="s">
        <v>19506</v>
      </c>
      <c r="J2010" s="2" t="s">
        <v>13904</v>
      </c>
      <c r="K2010" s="2" t="s">
        <v>19261</v>
      </c>
      <c r="L2010" s="2" t="s">
        <v>19512</v>
      </c>
    </row>
    <row r="2011" spans="1:15" ht="96" customHeight="1" x14ac:dyDescent="0.3">
      <c r="A2011" s="2">
        <v>2007</v>
      </c>
      <c r="B2011" s="66" t="s">
        <v>1922</v>
      </c>
      <c r="C2011" s="66"/>
      <c r="D2011" s="11" t="s">
        <v>2226</v>
      </c>
      <c r="E2011" s="11" t="s">
        <v>2226</v>
      </c>
      <c r="F2011" s="3">
        <v>41746</v>
      </c>
      <c r="G2011" s="2" t="s">
        <v>2817</v>
      </c>
      <c r="H2011" s="3">
        <v>43053</v>
      </c>
      <c r="I2011" s="2" t="s">
        <v>19506</v>
      </c>
      <c r="J2011" s="2" t="s">
        <v>13904</v>
      </c>
      <c r="K2011" s="2" t="s">
        <v>19261</v>
      </c>
      <c r="L2011" s="2" t="s">
        <v>19512</v>
      </c>
    </row>
    <row r="2012" spans="1:15" ht="96" customHeight="1" x14ac:dyDescent="0.3">
      <c r="A2012" s="2">
        <v>2008</v>
      </c>
      <c r="B2012" s="66" t="s">
        <v>1922</v>
      </c>
      <c r="C2012" s="66"/>
      <c r="D2012" s="11" t="s">
        <v>2213</v>
      </c>
      <c r="E2012" s="11" t="s">
        <v>2213</v>
      </c>
      <c r="F2012" s="3">
        <v>41879</v>
      </c>
      <c r="G2012" s="2" t="s">
        <v>2817</v>
      </c>
      <c r="H2012" s="3">
        <v>43053</v>
      </c>
      <c r="I2012" s="2" t="s">
        <v>19506</v>
      </c>
      <c r="J2012" s="2" t="s">
        <v>13904</v>
      </c>
      <c r="K2012" s="2" t="s">
        <v>19261</v>
      </c>
      <c r="L2012" s="2" t="s">
        <v>19512</v>
      </c>
    </row>
    <row r="2013" spans="1:15" ht="96" customHeight="1" x14ac:dyDescent="0.3">
      <c r="A2013" s="2">
        <v>2009</v>
      </c>
      <c r="B2013" s="66" t="s">
        <v>2227</v>
      </c>
      <c r="C2013" s="66"/>
      <c r="D2013" s="11" t="s">
        <v>2015</v>
      </c>
      <c r="E2013" s="11" t="s">
        <v>2015</v>
      </c>
      <c r="F2013" s="3">
        <v>39121</v>
      </c>
      <c r="G2013" s="2" t="s">
        <v>2817</v>
      </c>
      <c r="H2013" s="3">
        <v>43053</v>
      </c>
      <c r="I2013" s="2" t="s">
        <v>19506</v>
      </c>
      <c r="J2013" s="2" t="s">
        <v>13904</v>
      </c>
      <c r="K2013" s="2" t="s">
        <v>19261</v>
      </c>
      <c r="L2013" s="2" t="s">
        <v>19512</v>
      </c>
    </row>
    <row r="2014" spans="1:15" ht="96" customHeight="1" x14ac:dyDescent="0.3">
      <c r="A2014" s="2">
        <v>2010</v>
      </c>
      <c r="B2014" s="66" t="s">
        <v>2227</v>
      </c>
      <c r="C2014" s="66"/>
      <c r="D2014" s="11" t="s">
        <v>1583</v>
      </c>
      <c r="E2014" s="11" t="s">
        <v>1583</v>
      </c>
      <c r="F2014" s="3">
        <v>39121</v>
      </c>
      <c r="G2014" s="2" t="s">
        <v>2817</v>
      </c>
      <c r="H2014" s="3">
        <v>43053</v>
      </c>
      <c r="I2014" s="2" t="s">
        <v>19506</v>
      </c>
      <c r="J2014" s="2" t="s">
        <v>13904</v>
      </c>
      <c r="K2014" s="2" t="s">
        <v>19261</v>
      </c>
      <c r="L2014" s="2" t="s">
        <v>19512</v>
      </c>
    </row>
    <row r="2015" spans="1:15" ht="96" customHeight="1" x14ac:dyDescent="0.3">
      <c r="A2015" s="2">
        <v>2011</v>
      </c>
      <c r="B2015" s="66" t="s">
        <v>2228</v>
      </c>
      <c r="C2015" s="66"/>
      <c r="D2015" s="11" t="s">
        <v>2229</v>
      </c>
      <c r="E2015" s="11" t="s">
        <v>2229</v>
      </c>
      <c r="F2015" s="3">
        <v>40801</v>
      </c>
      <c r="G2015" s="2" t="s">
        <v>2817</v>
      </c>
      <c r="H2015" s="3">
        <v>43053</v>
      </c>
      <c r="I2015" s="2" t="s">
        <v>19506</v>
      </c>
      <c r="J2015" s="2" t="s">
        <v>13904</v>
      </c>
      <c r="K2015" s="2" t="s">
        <v>19261</v>
      </c>
      <c r="L2015" s="2" t="s">
        <v>19512</v>
      </c>
    </row>
    <row r="2016" spans="1:15" s="19" customFormat="1" ht="120" customHeight="1" x14ac:dyDescent="0.3">
      <c r="A2016" s="2">
        <v>2012</v>
      </c>
      <c r="B2016" s="66" t="s">
        <v>2230</v>
      </c>
      <c r="C2016" s="66" t="s">
        <v>19244</v>
      </c>
      <c r="D2016" s="11">
        <v>21229</v>
      </c>
      <c r="E2016" s="11">
        <v>19050.759999999998</v>
      </c>
      <c r="F2016" s="3" t="s">
        <v>2236</v>
      </c>
      <c r="G2016" s="2" t="s">
        <v>2817</v>
      </c>
      <c r="H2016" s="3">
        <v>43053</v>
      </c>
      <c r="I2016" s="2" t="s">
        <v>19506</v>
      </c>
      <c r="J2016" s="2" t="s">
        <v>13904</v>
      </c>
      <c r="K2016" s="14"/>
      <c r="L2016" s="2" t="s">
        <v>19512</v>
      </c>
      <c r="M2016" s="18"/>
      <c r="N2016" s="18"/>
      <c r="O2016" s="18"/>
    </row>
    <row r="2017" spans="1:12" ht="120" customHeight="1" x14ac:dyDescent="0.3">
      <c r="A2017" s="2">
        <v>2013</v>
      </c>
      <c r="B2017" s="66" t="s">
        <v>2230</v>
      </c>
      <c r="C2017" s="66" t="s">
        <v>19254</v>
      </c>
      <c r="D2017" s="11">
        <v>21229</v>
      </c>
      <c r="E2017" s="11">
        <v>19050.759999999998</v>
      </c>
      <c r="F2017" s="3" t="s">
        <v>2236</v>
      </c>
      <c r="G2017" s="2" t="s">
        <v>2817</v>
      </c>
      <c r="H2017" s="3">
        <v>43053</v>
      </c>
      <c r="I2017" s="2" t="s">
        <v>19506</v>
      </c>
      <c r="J2017" s="2" t="s">
        <v>13904</v>
      </c>
      <c r="K2017" s="14"/>
      <c r="L2017" s="2" t="s">
        <v>19512</v>
      </c>
    </row>
    <row r="2018" spans="1:12" ht="120" customHeight="1" x14ac:dyDescent="0.3">
      <c r="A2018" s="2">
        <v>2014</v>
      </c>
      <c r="B2018" s="66" t="s">
        <v>2230</v>
      </c>
      <c r="C2018" s="66" t="s">
        <v>19251</v>
      </c>
      <c r="D2018" s="11">
        <v>18354</v>
      </c>
      <c r="E2018" s="11">
        <v>18354</v>
      </c>
      <c r="F2018" s="3" t="s">
        <v>2236</v>
      </c>
      <c r="G2018" s="2" t="s">
        <v>2817</v>
      </c>
      <c r="H2018" s="3">
        <v>43053</v>
      </c>
      <c r="I2018" s="2" t="s">
        <v>19506</v>
      </c>
      <c r="J2018" s="2" t="s">
        <v>13904</v>
      </c>
      <c r="K2018" s="14"/>
      <c r="L2018" s="2" t="s">
        <v>19512</v>
      </c>
    </row>
    <row r="2019" spans="1:12" ht="120" customHeight="1" x14ac:dyDescent="0.3">
      <c r="A2019" s="2">
        <v>2015</v>
      </c>
      <c r="B2019" s="66" t="s">
        <v>2230</v>
      </c>
      <c r="C2019" s="66" t="s">
        <v>19256</v>
      </c>
      <c r="D2019" s="11">
        <v>18354</v>
      </c>
      <c r="E2019" s="11">
        <v>18354</v>
      </c>
      <c r="F2019" s="3" t="s">
        <v>2236</v>
      </c>
      <c r="G2019" s="2" t="s">
        <v>2817</v>
      </c>
      <c r="H2019" s="3">
        <v>43053</v>
      </c>
      <c r="I2019" s="2" t="s">
        <v>19506</v>
      </c>
      <c r="J2019" s="2" t="s">
        <v>13904</v>
      </c>
      <c r="K2019" s="14"/>
      <c r="L2019" s="2" t="s">
        <v>19512</v>
      </c>
    </row>
    <row r="2020" spans="1:12" ht="120" customHeight="1" x14ac:dyDescent="0.3">
      <c r="A2020" s="2">
        <v>2016</v>
      </c>
      <c r="B2020" s="66" t="s">
        <v>2230</v>
      </c>
      <c r="C2020" s="66" t="s">
        <v>19257</v>
      </c>
      <c r="D2020" s="11">
        <v>18354</v>
      </c>
      <c r="E2020" s="11">
        <v>18354</v>
      </c>
      <c r="F2020" s="3" t="s">
        <v>2236</v>
      </c>
      <c r="G2020" s="2" t="s">
        <v>2817</v>
      </c>
      <c r="H2020" s="3">
        <v>43053</v>
      </c>
      <c r="I2020" s="2" t="s">
        <v>19506</v>
      </c>
      <c r="J2020" s="2" t="s">
        <v>13904</v>
      </c>
      <c r="K2020" s="14"/>
      <c r="L2020" s="2" t="s">
        <v>19512</v>
      </c>
    </row>
    <row r="2021" spans="1:12" ht="120" customHeight="1" x14ac:dyDescent="0.3">
      <c r="A2021" s="2">
        <v>2017</v>
      </c>
      <c r="B2021" s="66" t="s">
        <v>2231</v>
      </c>
      <c r="C2021" s="66" t="s">
        <v>19247</v>
      </c>
      <c r="D2021" s="11">
        <v>2760</v>
      </c>
      <c r="E2021" s="11">
        <v>2760</v>
      </c>
      <c r="F2021" s="3" t="s">
        <v>864</v>
      </c>
      <c r="G2021" s="2" t="s">
        <v>2817</v>
      </c>
      <c r="H2021" s="3">
        <v>43053</v>
      </c>
      <c r="I2021" s="2" t="s">
        <v>19506</v>
      </c>
      <c r="J2021" s="2" t="s">
        <v>13904</v>
      </c>
      <c r="K2021" s="14"/>
      <c r="L2021" s="2" t="s">
        <v>19512</v>
      </c>
    </row>
    <row r="2022" spans="1:12" ht="120" customHeight="1" x14ac:dyDescent="0.3">
      <c r="A2022" s="2">
        <v>2018</v>
      </c>
      <c r="B2022" s="66" t="s">
        <v>218</v>
      </c>
      <c r="C2022" s="66"/>
      <c r="D2022" s="11">
        <v>22361.48</v>
      </c>
      <c r="E2022" s="11">
        <v>22361.48</v>
      </c>
      <c r="F2022" s="3" t="s">
        <v>2237</v>
      </c>
      <c r="G2022" s="2" t="s">
        <v>2817</v>
      </c>
      <c r="H2022" s="3">
        <v>42171</v>
      </c>
      <c r="I2022" s="2" t="s">
        <v>12157</v>
      </c>
      <c r="J2022" s="2" t="s">
        <v>13904</v>
      </c>
      <c r="K2022" s="14" t="s">
        <v>19245</v>
      </c>
      <c r="L2022" s="2"/>
    </row>
    <row r="2023" spans="1:12" ht="120" customHeight="1" x14ac:dyDescent="0.3">
      <c r="A2023" s="2">
        <v>2019</v>
      </c>
      <c r="B2023" s="66" t="s">
        <v>2232</v>
      </c>
      <c r="C2023" s="66" t="s">
        <v>19255</v>
      </c>
      <c r="D2023" s="11">
        <v>4032</v>
      </c>
      <c r="E2023" s="11">
        <v>4032</v>
      </c>
      <c r="F2023" s="3" t="s">
        <v>2238</v>
      </c>
      <c r="G2023" s="2" t="s">
        <v>2817</v>
      </c>
      <c r="H2023" s="3">
        <v>43053</v>
      </c>
      <c r="I2023" s="2" t="s">
        <v>19506</v>
      </c>
      <c r="J2023" s="2" t="s">
        <v>13904</v>
      </c>
      <c r="K2023" s="14" t="s">
        <v>19245</v>
      </c>
      <c r="L2023" s="2" t="s">
        <v>19512</v>
      </c>
    </row>
    <row r="2024" spans="1:12" ht="120" customHeight="1" x14ac:dyDescent="0.3">
      <c r="A2024" s="2">
        <v>2020</v>
      </c>
      <c r="B2024" s="66" t="s">
        <v>1324</v>
      </c>
      <c r="C2024" s="66" t="s">
        <v>19253</v>
      </c>
      <c r="D2024" s="11">
        <v>25904.13</v>
      </c>
      <c r="E2024" s="11">
        <v>25904.13</v>
      </c>
      <c r="F2024" s="3" t="s">
        <v>2239</v>
      </c>
      <c r="G2024" s="2" t="s">
        <v>2817</v>
      </c>
      <c r="H2024" s="3">
        <v>43053</v>
      </c>
      <c r="I2024" s="2" t="s">
        <v>19506</v>
      </c>
      <c r="J2024" s="2" t="s">
        <v>13904</v>
      </c>
      <c r="K2024" s="14" t="s">
        <v>19245</v>
      </c>
      <c r="L2024" s="2" t="s">
        <v>19512</v>
      </c>
    </row>
    <row r="2025" spans="1:12" ht="120" customHeight="1" x14ac:dyDescent="0.3">
      <c r="A2025" s="2">
        <v>2021</v>
      </c>
      <c r="B2025" s="66" t="s">
        <v>2233</v>
      </c>
      <c r="C2025" s="66" t="s">
        <v>19248</v>
      </c>
      <c r="D2025" s="11">
        <v>1328.25</v>
      </c>
      <c r="E2025" s="11">
        <v>1328.25</v>
      </c>
      <c r="F2025" s="3" t="s">
        <v>864</v>
      </c>
      <c r="G2025" s="2" t="s">
        <v>2817</v>
      </c>
      <c r="H2025" s="3">
        <v>43053</v>
      </c>
      <c r="I2025" s="2" t="s">
        <v>19506</v>
      </c>
      <c r="J2025" s="2" t="s">
        <v>13904</v>
      </c>
      <c r="K2025" s="14"/>
      <c r="L2025" s="2" t="s">
        <v>19512</v>
      </c>
    </row>
    <row r="2026" spans="1:12" ht="120" customHeight="1" x14ac:dyDescent="0.3">
      <c r="A2026" s="2">
        <v>2022</v>
      </c>
      <c r="B2026" s="66" t="s">
        <v>2233</v>
      </c>
      <c r="C2026" s="66" t="s">
        <v>19249</v>
      </c>
      <c r="D2026" s="11">
        <v>1328.25</v>
      </c>
      <c r="E2026" s="11">
        <v>1328.25</v>
      </c>
      <c r="F2026" s="3" t="s">
        <v>864</v>
      </c>
      <c r="G2026" s="2" t="s">
        <v>2817</v>
      </c>
      <c r="H2026" s="3">
        <v>43053</v>
      </c>
      <c r="I2026" s="2" t="s">
        <v>19506</v>
      </c>
      <c r="J2026" s="2" t="s">
        <v>13904</v>
      </c>
      <c r="K2026" s="14"/>
      <c r="L2026" s="2" t="s">
        <v>19512</v>
      </c>
    </row>
    <row r="2027" spans="1:12" ht="120" customHeight="1" x14ac:dyDescent="0.3">
      <c r="A2027" s="2">
        <v>2023</v>
      </c>
      <c r="B2027" s="66" t="s">
        <v>2233</v>
      </c>
      <c r="C2027" s="66" t="s">
        <v>19250</v>
      </c>
      <c r="D2027" s="11">
        <v>1328.25</v>
      </c>
      <c r="E2027" s="11">
        <v>1328.25</v>
      </c>
      <c r="F2027" s="3" t="s">
        <v>864</v>
      </c>
      <c r="G2027" s="2" t="s">
        <v>2817</v>
      </c>
      <c r="H2027" s="3">
        <v>43053</v>
      </c>
      <c r="I2027" s="2" t="s">
        <v>19506</v>
      </c>
      <c r="J2027" s="2" t="s">
        <v>13904</v>
      </c>
      <c r="K2027" s="14"/>
      <c r="L2027" s="2" t="s">
        <v>19512</v>
      </c>
    </row>
    <row r="2028" spans="1:12" ht="120" customHeight="1" x14ac:dyDescent="0.3">
      <c r="A2028" s="2">
        <v>2024</v>
      </c>
      <c r="B2028" s="66" t="s">
        <v>2233</v>
      </c>
      <c r="C2028" s="66" t="s">
        <v>19252</v>
      </c>
      <c r="D2028" s="11">
        <v>1328.25</v>
      </c>
      <c r="E2028" s="11">
        <v>1328.25</v>
      </c>
      <c r="F2028" s="3" t="s">
        <v>864</v>
      </c>
      <c r="G2028" s="2" t="s">
        <v>2817</v>
      </c>
      <c r="H2028" s="3">
        <v>43053</v>
      </c>
      <c r="I2028" s="2" t="s">
        <v>19506</v>
      </c>
      <c r="J2028" s="2" t="s">
        <v>13904</v>
      </c>
      <c r="K2028" s="14"/>
      <c r="L2028" s="2" t="s">
        <v>19512</v>
      </c>
    </row>
    <row r="2029" spans="1:12" ht="120" customHeight="1" x14ac:dyDescent="0.3">
      <c r="A2029" s="2">
        <v>2025</v>
      </c>
      <c r="B2029" s="66" t="s">
        <v>2233</v>
      </c>
      <c r="C2029" s="66" t="s">
        <v>19246</v>
      </c>
      <c r="D2029" s="11">
        <v>1328.25</v>
      </c>
      <c r="E2029" s="11">
        <v>1328.25</v>
      </c>
      <c r="F2029" s="3" t="s">
        <v>864</v>
      </c>
      <c r="G2029" s="2" t="s">
        <v>2817</v>
      </c>
      <c r="H2029" s="3">
        <v>43053</v>
      </c>
      <c r="I2029" s="2" t="s">
        <v>19506</v>
      </c>
      <c r="J2029" s="2" t="s">
        <v>13904</v>
      </c>
      <c r="K2029" s="14" t="s">
        <v>19245</v>
      </c>
      <c r="L2029" s="2" t="s">
        <v>19512</v>
      </c>
    </row>
    <row r="2030" spans="1:12" ht="120" customHeight="1" x14ac:dyDescent="0.3">
      <c r="A2030" s="2">
        <v>2026</v>
      </c>
      <c r="B2030" s="66" t="s">
        <v>2234</v>
      </c>
      <c r="C2030" s="66" t="s">
        <v>19258</v>
      </c>
      <c r="D2030" s="11">
        <v>3967.5</v>
      </c>
      <c r="E2030" s="11">
        <v>3967.5</v>
      </c>
      <c r="F2030" s="3" t="s">
        <v>864</v>
      </c>
      <c r="G2030" s="2" t="s">
        <v>2817</v>
      </c>
      <c r="H2030" s="3">
        <v>43053</v>
      </c>
      <c r="I2030" s="2" t="s">
        <v>19506</v>
      </c>
      <c r="J2030" s="2" t="s">
        <v>13904</v>
      </c>
      <c r="K2030" s="14" t="s">
        <v>19245</v>
      </c>
      <c r="L2030" s="2" t="s">
        <v>19512</v>
      </c>
    </row>
    <row r="2031" spans="1:12" ht="120" customHeight="1" x14ac:dyDescent="0.3">
      <c r="A2031" s="2">
        <v>2027</v>
      </c>
      <c r="B2031" s="66" t="s">
        <v>2235</v>
      </c>
      <c r="C2031" s="66" t="s">
        <v>19259</v>
      </c>
      <c r="D2031" s="11">
        <v>3050</v>
      </c>
      <c r="E2031" s="11">
        <v>3050</v>
      </c>
      <c r="F2031" s="3" t="s">
        <v>2240</v>
      </c>
      <c r="G2031" s="2" t="s">
        <v>2817</v>
      </c>
      <c r="H2031" s="3">
        <v>43053</v>
      </c>
      <c r="I2031" s="2" t="s">
        <v>19506</v>
      </c>
      <c r="J2031" s="2" t="s">
        <v>13904</v>
      </c>
      <c r="K2031" s="14" t="s">
        <v>19245</v>
      </c>
      <c r="L2031" s="2" t="s">
        <v>19512</v>
      </c>
    </row>
    <row r="2032" spans="1:12" ht="120" customHeight="1" x14ac:dyDescent="0.3">
      <c r="A2032" s="2">
        <v>2028</v>
      </c>
      <c r="B2032" s="66" t="s">
        <v>1027</v>
      </c>
      <c r="C2032" s="66" t="s">
        <v>19260</v>
      </c>
      <c r="D2032" s="11">
        <v>2878.3</v>
      </c>
      <c r="E2032" s="11">
        <v>2878.3</v>
      </c>
      <c r="F2032" s="3" t="s">
        <v>2241</v>
      </c>
      <c r="G2032" s="2" t="s">
        <v>2817</v>
      </c>
      <c r="H2032" s="3">
        <v>43053</v>
      </c>
      <c r="I2032" s="2" t="s">
        <v>19506</v>
      </c>
      <c r="J2032" s="2" t="s">
        <v>13904</v>
      </c>
      <c r="K2032" s="14" t="s">
        <v>19245</v>
      </c>
      <c r="L2032" s="2" t="s">
        <v>19512</v>
      </c>
    </row>
    <row r="2033" spans="1:15" s="19" customFormat="1" ht="108" customHeight="1" x14ac:dyDescent="0.3">
      <c r="A2033" s="2">
        <v>2029</v>
      </c>
      <c r="B2033" s="66" t="s">
        <v>1091</v>
      </c>
      <c r="C2033" s="66" t="s">
        <v>12337</v>
      </c>
      <c r="D2033" s="11" t="s">
        <v>2242</v>
      </c>
      <c r="E2033" s="11" t="s">
        <v>2242</v>
      </c>
      <c r="F2033" s="3">
        <v>39081</v>
      </c>
      <c r="G2033" s="2" t="s">
        <v>2817</v>
      </c>
      <c r="H2033" s="3">
        <v>43053</v>
      </c>
      <c r="I2033" s="2" t="s">
        <v>19506</v>
      </c>
      <c r="J2033" s="2" t="s">
        <v>13904</v>
      </c>
      <c r="K2033" s="14" t="s">
        <v>19236</v>
      </c>
      <c r="L2033" s="2" t="s">
        <v>19512</v>
      </c>
      <c r="M2033" s="18"/>
      <c r="N2033" s="18"/>
      <c r="O2033" s="18"/>
    </row>
    <row r="2034" spans="1:15" ht="108" customHeight="1" x14ac:dyDescent="0.3">
      <c r="A2034" s="2">
        <v>2030</v>
      </c>
      <c r="B2034" s="66" t="s">
        <v>1284</v>
      </c>
      <c r="C2034" s="66" t="s">
        <v>12338</v>
      </c>
      <c r="D2034" s="11" t="s">
        <v>2243</v>
      </c>
      <c r="E2034" s="11" t="s">
        <v>2243</v>
      </c>
      <c r="F2034" s="3">
        <v>39434</v>
      </c>
      <c r="G2034" s="2" t="s">
        <v>2817</v>
      </c>
      <c r="H2034" s="2"/>
      <c r="I2034" s="2"/>
      <c r="J2034" s="2" t="s">
        <v>13904</v>
      </c>
      <c r="K2034" s="14" t="s">
        <v>19236</v>
      </c>
      <c r="L2034" s="82"/>
    </row>
    <row r="2035" spans="1:15" ht="108" customHeight="1" x14ac:dyDescent="0.3">
      <c r="A2035" s="2">
        <v>2031</v>
      </c>
      <c r="B2035" s="66" t="s">
        <v>2244</v>
      </c>
      <c r="C2035" s="66" t="s">
        <v>12339</v>
      </c>
      <c r="D2035" s="11" t="s">
        <v>2273</v>
      </c>
      <c r="E2035" s="11" t="s">
        <v>2273</v>
      </c>
      <c r="F2035" s="3">
        <v>41346</v>
      </c>
      <c r="G2035" s="2" t="s">
        <v>2817</v>
      </c>
      <c r="H2035" s="3">
        <v>43053</v>
      </c>
      <c r="I2035" s="2" t="s">
        <v>19506</v>
      </c>
      <c r="J2035" s="2" t="s">
        <v>13904</v>
      </c>
      <c r="K2035" s="14" t="s">
        <v>19236</v>
      </c>
      <c r="L2035" s="2" t="s">
        <v>19512</v>
      </c>
    </row>
    <row r="2036" spans="1:15" ht="108" customHeight="1" x14ac:dyDescent="0.3">
      <c r="A2036" s="2">
        <v>2032</v>
      </c>
      <c r="B2036" s="66" t="s">
        <v>2245</v>
      </c>
      <c r="C2036" s="66" t="s">
        <v>12340</v>
      </c>
      <c r="D2036" s="11" t="s">
        <v>2274</v>
      </c>
      <c r="E2036" s="11" t="s">
        <v>2274</v>
      </c>
      <c r="F2036" s="3">
        <v>41346</v>
      </c>
      <c r="G2036" s="2" t="s">
        <v>2817</v>
      </c>
      <c r="H2036" s="3">
        <v>43053</v>
      </c>
      <c r="I2036" s="2" t="s">
        <v>19506</v>
      </c>
      <c r="J2036" s="2" t="s">
        <v>13904</v>
      </c>
      <c r="K2036" s="14" t="s">
        <v>19236</v>
      </c>
      <c r="L2036" s="2" t="s">
        <v>19512</v>
      </c>
    </row>
    <row r="2037" spans="1:15" ht="108" customHeight="1" x14ac:dyDescent="0.3">
      <c r="A2037" s="2">
        <v>2033</v>
      </c>
      <c r="B2037" s="66" t="s">
        <v>2245</v>
      </c>
      <c r="C2037" s="66" t="s">
        <v>12341</v>
      </c>
      <c r="D2037" s="11" t="s">
        <v>2274</v>
      </c>
      <c r="E2037" s="11" t="s">
        <v>2274</v>
      </c>
      <c r="F2037" s="3">
        <v>41346</v>
      </c>
      <c r="G2037" s="2" t="s">
        <v>2817</v>
      </c>
      <c r="H2037" s="3">
        <v>43053</v>
      </c>
      <c r="I2037" s="2" t="s">
        <v>19506</v>
      </c>
      <c r="J2037" s="2" t="s">
        <v>13904</v>
      </c>
      <c r="K2037" s="14" t="s">
        <v>19236</v>
      </c>
      <c r="L2037" s="2" t="s">
        <v>19512</v>
      </c>
    </row>
    <row r="2038" spans="1:15" ht="108" customHeight="1" x14ac:dyDescent="0.3">
      <c r="A2038" s="2">
        <v>2034</v>
      </c>
      <c r="B2038" s="66" t="s">
        <v>2245</v>
      </c>
      <c r="C2038" s="66" t="s">
        <v>12342</v>
      </c>
      <c r="D2038" s="11" t="s">
        <v>2274</v>
      </c>
      <c r="E2038" s="11" t="s">
        <v>2274</v>
      </c>
      <c r="F2038" s="3">
        <v>41346</v>
      </c>
      <c r="G2038" s="2" t="s">
        <v>2817</v>
      </c>
      <c r="H2038" s="3">
        <v>43053</v>
      </c>
      <c r="I2038" s="2" t="s">
        <v>19506</v>
      </c>
      <c r="J2038" s="2" t="s">
        <v>13904</v>
      </c>
      <c r="K2038" s="14" t="s">
        <v>19236</v>
      </c>
      <c r="L2038" s="2" t="s">
        <v>19512</v>
      </c>
    </row>
    <row r="2039" spans="1:15" ht="108" customHeight="1" x14ac:dyDescent="0.3">
      <c r="A2039" s="2">
        <v>2035</v>
      </c>
      <c r="B2039" s="66" t="s">
        <v>2245</v>
      </c>
      <c r="C2039" s="66" t="s">
        <v>12343</v>
      </c>
      <c r="D2039" s="11" t="s">
        <v>2274</v>
      </c>
      <c r="E2039" s="11" t="s">
        <v>2274</v>
      </c>
      <c r="F2039" s="3">
        <v>41346</v>
      </c>
      <c r="G2039" s="2" t="s">
        <v>2817</v>
      </c>
      <c r="H2039" s="3">
        <v>43053</v>
      </c>
      <c r="I2039" s="2" t="s">
        <v>19506</v>
      </c>
      <c r="J2039" s="2" t="s">
        <v>13904</v>
      </c>
      <c r="K2039" s="14" t="s">
        <v>19236</v>
      </c>
      <c r="L2039" s="2" t="s">
        <v>19512</v>
      </c>
    </row>
    <row r="2040" spans="1:15" ht="108" customHeight="1" x14ac:dyDescent="0.3">
      <c r="A2040" s="2">
        <v>2036</v>
      </c>
      <c r="B2040" s="66" t="s">
        <v>2245</v>
      </c>
      <c r="C2040" s="66" t="s">
        <v>12344</v>
      </c>
      <c r="D2040" s="11" t="s">
        <v>2274</v>
      </c>
      <c r="E2040" s="11" t="s">
        <v>2274</v>
      </c>
      <c r="F2040" s="3">
        <v>41346</v>
      </c>
      <c r="G2040" s="2" t="s">
        <v>2817</v>
      </c>
      <c r="H2040" s="3">
        <v>43053</v>
      </c>
      <c r="I2040" s="2" t="s">
        <v>19506</v>
      </c>
      <c r="J2040" s="2" t="s">
        <v>13904</v>
      </c>
      <c r="K2040" s="14" t="s">
        <v>19236</v>
      </c>
      <c r="L2040" s="2" t="s">
        <v>19512</v>
      </c>
    </row>
    <row r="2041" spans="1:15" ht="108" customHeight="1" x14ac:dyDescent="0.3">
      <c r="A2041" s="2">
        <v>2037</v>
      </c>
      <c r="B2041" s="66" t="s">
        <v>2245</v>
      </c>
      <c r="C2041" s="66" t="s">
        <v>12345</v>
      </c>
      <c r="D2041" s="11" t="s">
        <v>2274</v>
      </c>
      <c r="E2041" s="11" t="s">
        <v>2274</v>
      </c>
      <c r="F2041" s="3">
        <v>41346</v>
      </c>
      <c r="G2041" s="2" t="s">
        <v>2817</v>
      </c>
      <c r="H2041" s="3">
        <v>43053</v>
      </c>
      <c r="I2041" s="2" t="s">
        <v>19506</v>
      </c>
      <c r="J2041" s="2" t="s">
        <v>13904</v>
      </c>
      <c r="K2041" s="14" t="s">
        <v>19236</v>
      </c>
      <c r="L2041" s="2" t="s">
        <v>19512</v>
      </c>
    </row>
    <row r="2042" spans="1:15" ht="108" customHeight="1" x14ac:dyDescent="0.3">
      <c r="A2042" s="2">
        <v>2038</v>
      </c>
      <c r="B2042" s="66" t="s">
        <v>2245</v>
      </c>
      <c r="C2042" s="66" t="s">
        <v>12346</v>
      </c>
      <c r="D2042" s="11" t="s">
        <v>2274</v>
      </c>
      <c r="E2042" s="11" t="s">
        <v>2274</v>
      </c>
      <c r="F2042" s="3">
        <v>41346</v>
      </c>
      <c r="G2042" s="2" t="s">
        <v>2817</v>
      </c>
      <c r="H2042" s="3">
        <v>43053</v>
      </c>
      <c r="I2042" s="2" t="s">
        <v>19506</v>
      </c>
      <c r="J2042" s="2" t="s">
        <v>13904</v>
      </c>
      <c r="K2042" s="14" t="s">
        <v>19236</v>
      </c>
      <c r="L2042" s="2" t="s">
        <v>19512</v>
      </c>
    </row>
    <row r="2043" spans="1:15" ht="108" customHeight="1" x14ac:dyDescent="0.3">
      <c r="A2043" s="2">
        <v>2039</v>
      </c>
      <c r="B2043" s="66" t="s">
        <v>2245</v>
      </c>
      <c r="C2043" s="66" t="s">
        <v>12347</v>
      </c>
      <c r="D2043" s="11" t="s">
        <v>2274</v>
      </c>
      <c r="E2043" s="11" t="s">
        <v>2274</v>
      </c>
      <c r="F2043" s="3">
        <v>41346</v>
      </c>
      <c r="G2043" s="2" t="s">
        <v>2817</v>
      </c>
      <c r="H2043" s="3">
        <v>43053</v>
      </c>
      <c r="I2043" s="2" t="s">
        <v>19506</v>
      </c>
      <c r="J2043" s="2" t="s">
        <v>13904</v>
      </c>
      <c r="K2043" s="14" t="s">
        <v>19236</v>
      </c>
      <c r="L2043" s="2" t="s">
        <v>19512</v>
      </c>
    </row>
    <row r="2044" spans="1:15" ht="108" customHeight="1" x14ac:dyDescent="0.3">
      <c r="A2044" s="2">
        <v>2040</v>
      </c>
      <c r="B2044" s="66" t="s">
        <v>2245</v>
      </c>
      <c r="C2044" s="66" t="s">
        <v>12348</v>
      </c>
      <c r="D2044" s="11" t="s">
        <v>2274</v>
      </c>
      <c r="E2044" s="11" t="s">
        <v>2274</v>
      </c>
      <c r="F2044" s="3">
        <v>41346</v>
      </c>
      <c r="G2044" s="2" t="s">
        <v>2817</v>
      </c>
      <c r="H2044" s="3">
        <v>43053</v>
      </c>
      <c r="I2044" s="2" t="s">
        <v>19506</v>
      </c>
      <c r="J2044" s="2" t="s">
        <v>13904</v>
      </c>
      <c r="K2044" s="14" t="s">
        <v>19236</v>
      </c>
      <c r="L2044" s="2" t="s">
        <v>19512</v>
      </c>
    </row>
    <row r="2045" spans="1:15" ht="108" customHeight="1" x14ac:dyDescent="0.3">
      <c r="A2045" s="2">
        <v>2041</v>
      </c>
      <c r="B2045" s="66" t="s">
        <v>2245</v>
      </c>
      <c r="C2045" s="66" t="s">
        <v>12349</v>
      </c>
      <c r="D2045" s="11" t="s">
        <v>2274</v>
      </c>
      <c r="E2045" s="11" t="s">
        <v>2274</v>
      </c>
      <c r="F2045" s="3">
        <v>41346</v>
      </c>
      <c r="G2045" s="2" t="s">
        <v>2817</v>
      </c>
      <c r="H2045" s="3">
        <v>43053</v>
      </c>
      <c r="I2045" s="2" t="s">
        <v>19506</v>
      </c>
      <c r="J2045" s="2" t="s">
        <v>13904</v>
      </c>
      <c r="K2045" s="14" t="s">
        <v>19236</v>
      </c>
      <c r="L2045" s="2" t="s">
        <v>19512</v>
      </c>
    </row>
    <row r="2046" spans="1:15" ht="108" customHeight="1" x14ac:dyDescent="0.3">
      <c r="A2046" s="2">
        <v>2042</v>
      </c>
      <c r="B2046" s="66" t="s">
        <v>2246</v>
      </c>
      <c r="C2046" s="66" t="s">
        <v>12350</v>
      </c>
      <c r="D2046" s="11" t="s">
        <v>1459</v>
      </c>
      <c r="E2046" s="11" t="s">
        <v>1459</v>
      </c>
      <c r="F2046" s="3">
        <v>41346</v>
      </c>
      <c r="G2046" s="2" t="s">
        <v>2817</v>
      </c>
      <c r="H2046" s="3">
        <v>43053</v>
      </c>
      <c r="I2046" s="2" t="s">
        <v>19506</v>
      </c>
      <c r="J2046" s="2" t="s">
        <v>13904</v>
      </c>
      <c r="K2046" s="14" t="s">
        <v>19236</v>
      </c>
      <c r="L2046" s="2" t="s">
        <v>19512</v>
      </c>
    </row>
    <row r="2047" spans="1:15" ht="108" customHeight="1" x14ac:dyDescent="0.3">
      <c r="A2047" s="2">
        <v>2043</v>
      </c>
      <c r="B2047" s="66" t="s">
        <v>2247</v>
      </c>
      <c r="C2047" s="66" t="s">
        <v>12351</v>
      </c>
      <c r="D2047" s="11" t="s">
        <v>1278</v>
      </c>
      <c r="E2047" s="11" t="s">
        <v>1278</v>
      </c>
      <c r="F2047" s="3">
        <v>41346</v>
      </c>
      <c r="G2047" s="2" t="s">
        <v>2817</v>
      </c>
      <c r="H2047" s="3">
        <v>43053</v>
      </c>
      <c r="I2047" s="2" t="s">
        <v>19506</v>
      </c>
      <c r="J2047" s="2" t="s">
        <v>13904</v>
      </c>
      <c r="K2047" s="14" t="s">
        <v>19236</v>
      </c>
      <c r="L2047" s="2" t="s">
        <v>19512</v>
      </c>
    </row>
    <row r="2048" spans="1:15" ht="108" customHeight="1" x14ac:dyDescent="0.3">
      <c r="A2048" s="2">
        <v>2044</v>
      </c>
      <c r="B2048" s="66" t="s">
        <v>2247</v>
      </c>
      <c r="C2048" s="66" t="s">
        <v>12352</v>
      </c>
      <c r="D2048" s="11" t="s">
        <v>1278</v>
      </c>
      <c r="E2048" s="11" t="s">
        <v>1278</v>
      </c>
      <c r="F2048" s="3">
        <v>41346</v>
      </c>
      <c r="G2048" s="2" t="s">
        <v>2817</v>
      </c>
      <c r="H2048" s="3">
        <v>43053</v>
      </c>
      <c r="I2048" s="2" t="s">
        <v>19506</v>
      </c>
      <c r="J2048" s="2" t="s">
        <v>13904</v>
      </c>
      <c r="K2048" s="14" t="s">
        <v>19236</v>
      </c>
      <c r="L2048" s="2" t="s">
        <v>19512</v>
      </c>
    </row>
    <row r="2049" spans="1:12" ht="108" customHeight="1" x14ac:dyDescent="0.3">
      <c r="A2049" s="2">
        <v>2045</v>
      </c>
      <c r="B2049" s="66" t="s">
        <v>2247</v>
      </c>
      <c r="C2049" s="66" t="s">
        <v>12353</v>
      </c>
      <c r="D2049" s="11" t="s">
        <v>1278</v>
      </c>
      <c r="E2049" s="11" t="s">
        <v>1278</v>
      </c>
      <c r="F2049" s="3">
        <v>41346</v>
      </c>
      <c r="G2049" s="2" t="s">
        <v>2817</v>
      </c>
      <c r="H2049" s="3">
        <v>43053</v>
      </c>
      <c r="I2049" s="2" t="s">
        <v>19506</v>
      </c>
      <c r="J2049" s="2" t="s">
        <v>13904</v>
      </c>
      <c r="K2049" s="14" t="s">
        <v>19236</v>
      </c>
      <c r="L2049" s="2" t="s">
        <v>19512</v>
      </c>
    </row>
    <row r="2050" spans="1:12" ht="108" customHeight="1" x14ac:dyDescent="0.3">
      <c r="A2050" s="2">
        <v>2046</v>
      </c>
      <c r="B2050" s="66" t="s">
        <v>2248</v>
      </c>
      <c r="C2050" s="66" t="s">
        <v>12354</v>
      </c>
      <c r="D2050" s="11" t="s">
        <v>1999</v>
      </c>
      <c r="E2050" s="11" t="s">
        <v>1999</v>
      </c>
      <c r="F2050" s="3">
        <v>41346</v>
      </c>
      <c r="G2050" s="2" t="s">
        <v>2817</v>
      </c>
      <c r="H2050" s="3">
        <v>43053</v>
      </c>
      <c r="I2050" s="2" t="s">
        <v>19506</v>
      </c>
      <c r="J2050" s="2" t="s">
        <v>13904</v>
      </c>
      <c r="K2050" s="14" t="s">
        <v>19236</v>
      </c>
      <c r="L2050" s="2" t="s">
        <v>19512</v>
      </c>
    </row>
    <row r="2051" spans="1:12" ht="108" customHeight="1" x14ac:dyDescent="0.3">
      <c r="A2051" s="2">
        <v>2047</v>
      </c>
      <c r="B2051" s="66" t="s">
        <v>2248</v>
      </c>
      <c r="C2051" s="66" t="s">
        <v>12355</v>
      </c>
      <c r="D2051" s="11" t="s">
        <v>1999</v>
      </c>
      <c r="E2051" s="11" t="s">
        <v>1999</v>
      </c>
      <c r="F2051" s="3">
        <v>41346</v>
      </c>
      <c r="G2051" s="2" t="s">
        <v>2817</v>
      </c>
      <c r="H2051" s="3">
        <v>43053</v>
      </c>
      <c r="I2051" s="2" t="s">
        <v>19506</v>
      </c>
      <c r="J2051" s="2" t="s">
        <v>13904</v>
      </c>
      <c r="K2051" s="14" t="s">
        <v>19236</v>
      </c>
      <c r="L2051" s="2" t="s">
        <v>19512</v>
      </c>
    </row>
    <row r="2052" spans="1:12" ht="108" customHeight="1" x14ac:dyDescent="0.3">
      <c r="A2052" s="2">
        <v>2048</v>
      </c>
      <c r="B2052" s="66" t="s">
        <v>2248</v>
      </c>
      <c r="C2052" s="66" t="s">
        <v>12356</v>
      </c>
      <c r="D2052" s="11" t="s">
        <v>1999</v>
      </c>
      <c r="E2052" s="11" t="s">
        <v>1999</v>
      </c>
      <c r="F2052" s="3">
        <v>41346</v>
      </c>
      <c r="G2052" s="2" t="s">
        <v>2817</v>
      </c>
      <c r="H2052" s="3">
        <v>43053</v>
      </c>
      <c r="I2052" s="2" t="s">
        <v>19506</v>
      </c>
      <c r="J2052" s="2" t="s">
        <v>13904</v>
      </c>
      <c r="K2052" s="14" t="s">
        <v>19236</v>
      </c>
      <c r="L2052" s="2" t="s">
        <v>19512</v>
      </c>
    </row>
    <row r="2053" spans="1:12" ht="108" customHeight="1" x14ac:dyDescent="0.3">
      <c r="A2053" s="2">
        <v>2049</v>
      </c>
      <c r="B2053" s="66" t="s">
        <v>2249</v>
      </c>
      <c r="C2053" s="66" t="s">
        <v>12357</v>
      </c>
      <c r="D2053" s="11" t="s">
        <v>2275</v>
      </c>
      <c r="E2053" s="11" t="s">
        <v>2275</v>
      </c>
      <c r="F2053" s="3">
        <v>39434</v>
      </c>
      <c r="G2053" s="2" t="s">
        <v>2817</v>
      </c>
      <c r="H2053" s="3">
        <v>43053</v>
      </c>
      <c r="I2053" s="2" t="s">
        <v>19506</v>
      </c>
      <c r="J2053" s="2" t="s">
        <v>13904</v>
      </c>
      <c r="K2053" s="14" t="s">
        <v>19236</v>
      </c>
      <c r="L2053" s="2" t="s">
        <v>19512</v>
      </c>
    </row>
    <row r="2054" spans="1:12" ht="108" customHeight="1" x14ac:dyDescent="0.3">
      <c r="A2054" s="2">
        <v>2050</v>
      </c>
      <c r="B2054" s="66" t="s">
        <v>2250</v>
      </c>
      <c r="C2054" s="66" t="s">
        <v>12358</v>
      </c>
      <c r="D2054" s="11" t="s">
        <v>2276</v>
      </c>
      <c r="E2054" s="11" t="s">
        <v>2276</v>
      </c>
      <c r="F2054" s="3">
        <v>38471</v>
      </c>
      <c r="G2054" s="2" t="s">
        <v>2817</v>
      </c>
      <c r="H2054" s="3">
        <v>43053</v>
      </c>
      <c r="I2054" s="2" t="s">
        <v>19506</v>
      </c>
      <c r="J2054" s="2" t="s">
        <v>13904</v>
      </c>
      <c r="K2054" s="14" t="s">
        <v>19236</v>
      </c>
      <c r="L2054" s="2" t="s">
        <v>19512</v>
      </c>
    </row>
    <row r="2055" spans="1:12" ht="108" customHeight="1" x14ac:dyDescent="0.3">
      <c r="A2055" s="2">
        <v>2051</v>
      </c>
      <c r="B2055" s="66" t="s">
        <v>2250</v>
      </c>
      <c r="C2055" s="66" t="s">
        <v>12359</v>
      </c>
      <c r="D2055" s="11" t="s">
        <v>2276</v>
      </c>
      <c r="E2055" s="11" t="s">
        <v>2276</v>
      </c>
      <c r="F2055" s="3">
        <v>38464</v>
      </c>
      <c r="G2055" s="2" t="s">
        <v>2817</v>
      </c>
      <c r="H2055" s="3">
        <v>43053</v>
      </c>
      <c r="I2055" s="2" t="s">
        <v>19506</v>
      </c>
      <c r="J2055" s="2" t="s">
        <v>13904</v>
      </c>
      <c r="K2055" s="14" t="s">
        <v>19236</v>
      </c>
      <c r="L2055" s="2" t="s">
        <v>19512</v>
      </c>
    </row>
    <row r="2056" spans="1:12" ht="108" customHeight="1" x14ac:dyDescent="0.3">
      <c r="A2056" s="2">
        <v>2052</v>
      </c>
      <c r="B2056" s="66" t="s">
        <v>2250</v>
      </c>
      <c r="C2056" s="66" t="s">
        <v>12360</v>
      </c>
      <c r="D2056" s="11" t="s">
        <v>2276</v>
      </c>
      <c r="E2056" s="11" t="s">
        <v>2276</v>
      </c>
      <c r="F2056" s="3">
        <v>38471</v>
      </c>
      <c r="G2056" s="2" t="s">
        <v>2817</v>
      </c>
      <c r="H2056" s="3">
        <v>43053</v>
      </c>
      <c r="I2056" s="2" t="s">
        <v>19506</v>
      </c>
      <c r="J2056" s="2" t="s">
        <v>13904</v>
      </c>
      <c r="K2056" s="14" t="s">
        <v>19236</v>
      </c>
      <c r="L2056" s="2" t="s">
        <v>19512</v>
      </c>
    </row>
    <row r="2057" spans="1:12" ht="108" customHeight="1" x14ac:dyDescent="0.3">
      <c r="A2057" s="2">
        <v>2053</v>
      </c>
      <c r="B2057" s="66" t="s">
        <v>2250</v>
      </c>
      <c r="C2057" s="66" t="s">
        <v>12361</v>
      </c>
      <c r="D2057" s="11" t="s">
        <v>2276</v>
      </c>
      <c r="E2057" s="11" t="s">
        <v>2276</v>
      </c>
      <c r="F2057" s="3">
        <v>38471</v>
      </c>
      <c r="G2057" s="2" t="s">
        <v>2817</v>
      </c>
      <c r="H2057" s="3">
        <v>43053</v>
      </c>
      <c r="I2057" s="2" t="s">
        <v>19506</v>
      </c>
      <c r="J2057" s="2" t="s">
        <v>13904</v>
      </c>
      <c r="K2057" s="14" t="s">
        <v>19236</v>
      </c>
      <c r="L2057" s="2" t="s">
        <v>19512</v>
      </c>
    </row>
    <row r="2058" spans="1:12" ht="108" customHeight="1" x14ac:dyDescent="0.3">
      <c r="A2058" s="2">
        <v>2054</v>
      </c>
      <c r="B2058" s="66" t="s">
        <v>2250</v>
      </c>
      <c r="C2058" s="66" t="s">
        <v>12362</v>
      </c>
      <c r="D2058" s="11" t="s">
        <v>2276</v>
      </c>
      <c r="E2058" s="11" t="s">
        <v>2276</v>
      </c>
      <c r="F2058" s="3">
        <v>38471</v>
      </c>
      <c r="G2058" s="2" t="s">
        <v>2817</v>
      </c>
      <c r="H2058" s="3">
        <v>43053</v>
      </c>
      <c r="I2058" s="2" t="s">
        <v>19506</v>
      </c>
      <c r="J2058" s="2" t="s">
        <v>13904</v>
      </c>
      <c r="K2058" s="14" t="s">
        <v>19236</v>
      </c>
      <c r="L2058" s="2" t="s">
        <v>19512</v>
      </c>
    </row>
    <row r="2059" spans="1:12" ht="108" customHeight="1" x14ac:dyDescent="0.3">
      <c r="A2059" s="2">
        <v>2055</v>
      </c>
      <c r="B2059" s="66" t="s">
        <v>2250</v>
      </c>
      <c r="C2059" s="66" t="s">
        <v>12363</v>
      </c>
      <c r="D2059" s="11" t="s">
        <v>2276</v>
      </c>
      <c r="E2059" s="11" t="s">
        <v>2276</v>
      </c>
      <c r="F2059" s="3">
        <v>38471</v>
      </c>
      <c r="G2059" s="2" t="s">
        <v>2817</v>
      </c>
      <c r="H2059" s="3">
        <v>43053</v>
      </c>
      <c r="I2059" s="2" t="s">
        <v>19506</v>
      </c>
      <c r="J2059" s="2" t="s">
        <v>13904</v>
      </c>
      <c r="K2059" s="14" t="s">
        <v>19236</v>
      </c>
      <c r="L2059" s="2" t="s">
        <v>19512</v>
      </c>
    </row>
    <row r="2060" spans="1:12" ht="108" customHeight="1" x14ac:dyDescent="0.3">
      <c r="A2060" s="2">
        <v>2056</v>
      </c>
      <c r="B2060" s="66" t="s">
        <v>2250</v>
      </c>
      <c r="C2060" s="66" t="s">
        <v>12364</v>
      </c>
      <c r="D2060" s="11" t="s">
        <v>2276</v>
      </c>
      <c r="E2060" s="11" t="s">
        <v>2276</v>
      </c>
      <c r="F2060" s="3">
        <v>38471</v>
      </c>
      <c r="G2060" s="2" t="s">
        <v>2817</v>
      </c>
      <c r="H2060" s="3">
        <v>43053</v>
      </c>
      <c r="I2060" s="2" t="s">
        <v>19506</v>
      </c>
      <c r="J2060" s="2" t="s">
        <v>13904</v>
      </c>
      <c r="K2060" s="14" t="s">
        <v>19236</v>
      </c>
      <c r="L2060" s="2" t="s">
        <v>19512</v>
      </c>
    </row>
    <row r="2061" spans="1:12" ht="108" customHeight="1" x14ac:dyDescent="0.3">
      <c r="A2061" s="2">
        <v>2057</v>
      </c>
      <c r="B2061" s="66" t="s">
        <v>2250</v>
      </c>
      <c r="C2061" s="66" t="s">
        <v>12365</v>
      </c>
      <c r="D2061" s="11" t="s">
        <v>2276</v>
      </c>
      <c r="E2061" s="11" t="s">
        <v>2276</v>
      </c>
      <c r="F2061" s="3">
        <v>38471</v>
      </c>
      <c r="G2061" s="2" t="s">
        <v>2817</v>
      </c>
      <c r="H2061" s="3">
        <v>43053</v>
      </c>
      <c r="I2061" s="2" t="s">
        <v>19506</v>
      </c>
      <c r="J2061" s="2" t="s">
        <v>13904</v>
      </c>
      <c r="K2061" s="14" t="s">
        <v>19236</v>
      </c>
      <c r="L2061" s="2" t="s">
        <v>19512</v>
      </c>
    </row>
    <row r="2062" spans="1:12" ht="108" customHeight="1" x14ac:dyDescent="0.3">
      <c r="A2062" s="2">
        <v>2058</v>
      </c>
      <c r="B2062" s="66" t="s">
        <v>2251</v>
      </c>
      <c r="C2062" s="66" t="s">
        <v>12366</v>
      </c>
      <c r="D2062" s="11" t="s">
        <v>2277</v>
      </c>
      <c r="E2062" s="11" t="s">
        <v>2277</v>
      </c>
      <c r="F2062" s="3">
        <v>37556</v>
      </c>
      <c r="G2062" s="2" t="s">
        <v>2817</v>
      </c>
      <c r="H2062" s="3">
        <v>43053</v>
      </c>
      <c r="I2062" s="2" t="s">
        <v>19506</v>
      </c>
      <c r="J2062" s="2" t="s">
        <v>13904</v>
      </c>
      <c r="K2062" s="14" t="s">
        <v>19236</v>
      </c>
      <c r="L2062" s="2" t="s">
        <v>19512</v>
      </c>
    </row>
    <row r="2063" spans="1:12" ht="108" customHeight="1" x14ac:dyDescent="0.3">
      <c r="A2063" s="2">
        <v>2059</v>
      </c>
      <c r="B2063" s="66" t="s">
        <v>2251</v>
      </c>
      <c r="C2063" s="66" t="s">
        <v>12367</v>
      </c>
      <c r="D2063" s="11" t="s">
        <v>2277</v>
      </c>
      <c r="E2063" s="11" t="s">
        <v>2277</v>
      </c>
      <c r="F2063" s="3">
        <v>37556</v>
      </c>
      <c r="G2063" s="2" t="s">
        <v>2817</v>
      </c>
      <c r="H2063" s="3">
        <v>43053</v>
      </c>
      <c r="I2063" s="2" t="s">
        <v>19506</v>
      </c>
      <c r="J2063" s="2" t="s">
        <v>13904</v>
      </c>
      <c r="K2063" s="14" t="s">
        <v>19236</v>
      </c>
      <c r="L2063" s="2" t="s">
        <v>19512</v>
      </c>
    </row>
    <row r="2064" spans="1:12" ht="108" customHeight="1" x14ac:dyDescent="0.3">
      <c r="A2064" s="2">
        <v>2060</v>
      </c>
      <c r="B2064" s="66" t="s">
        <v>216</v>
      </c>
      <c r="C2064" s="66" t="s">
        <v>12368</v>
      </c>
      <c r="D2064" s="11" t="s">
        <v>2278</v>
      </c>
      <c r="E2064" s="11" t="s">
        <v>2278</v>
      </c>
      <c r="F2064" s="3">
        <v>39081</v>
      </c>
      <c r="G2064" s="2" t="s">
        <v>2817</v>
      </c>
      <c r="H2064" s="3">
        <v>43053</v>
      </c>
      <c r="I2064" s="2" t="s">
        <v>19506</v>
      </c>
      <c r="J2064" s="2" t="s">
        <v>13904</v>
      </c>
      <c r="K2064" s="14" t="s">
        <v>19236</v>
      </c>
      <c r="L2064" s="2" t="s">
        <v>19512</v>
      </c>
    </row>
    <row r="2065" spans="1:12" ht="108" customHeight="1" x14ac:dyDescent="0.3">
      <c r="A2065" s="2">
        <v>2061</v>
      </c>
      <c r="B2065" s="66" t="s">
        <v>2252</v>
      </c>
      <c r="C2065" s="66" t="s">
        <v>12369</v>
      </c>
      <c r="D2065" s="11" t="s">
        <v>2279</v>
      </c>
      <c r="E2065" s="11" t="s">
        <v>2279</v>
      </c>
      <c r="F2065" s="3">
        <v>38503</v>
      </c>
      <c r="G2065" s="2" t="s">
        <v>2817</v>
      </c>
      <c r="H2065" s="3">
        <v>43053</v>
      </c>
      <c r="I2065" s="2" t="s">
        <v>19506</v>
      </c>
      <c r="J2065" s="2" t="s">
        <v>13904</v>
      </c>
      <c r="K2065" s="14" t="s">
        <v>19236</v>
      </c>
      <c r="L2065" s="2" t="s">
        <v>19512</v>
      </c>
    </row>
    <row r="2066" spans="1:12" ht="108" customHeight="1" x14ac:dyDescent="0.3">
      <c r="A2066" s="2">
        <v>2062</v>
      </c>
      <c r="B2066" s="66" t="s">
        <v>2252</v>
      </c>
      <c r="C2066" s="66" t="s">
        <v>12370</v>
      </c>
      <c r="D2066" s="11" t="s">
        <v>2279</v>
      </c>
      <c r="E2066" s="11" t="s">
        <v>2279</v>
      </c>
      <c r="F2066" s="3">
        <v>38503</v>
      </c>
      <c r="G2066" s="2" t="s">
        <v>2817</v>
      </c>
      <c r="H2066" s="3">
        <v>43053</v>
      </c>
      <c r="I2066" s="2" t="s">
        <v>19506</v>
      </c>
      <c r="J2066" s="2" t="s">
        <v>13904</v>
      </c>
      <c r="K2066" s="14" t="s">
        <v>19236</v>
      </c>
      <c r="L2066" s="2" t="s">
        <v>19512</v>
      </c>
    </row>
    <row r="2067" spans="1:12" ht="108" customHeight="1" x14ac:dyDescent="0.3">
      <c r="A2067" s="2">
        <v>2063</v>
      </c>
      <c r="B2067" s="66" t="s">
        <v>2252</v>
      </c>
      <c r="C2067" s="66" t="s">
        <v>12371</v>
      </c>
      <c r="D2067" s="11" t="s">
        <v>2279</v>
      </c>
      <c r="E2067" s="11" t="s">
        <v>2279</v>
      </c>
      <c r="F2067" s="3">
        <v>38503</v>
      </c>
      <c r="G2067" s="2" t="s">
        <v>2817</v>
      </c>
      <c r="H2067" s="3">
        <v>43053</v>
      </c>
      <c r="I2067" s="2" t="s">
        <v>19506</v>
      </c>
      <c r="J2067" s="2" t="s">
        <v>13904</v>
      </c>
      <c r="K2067" s="14" t="s">
        <v>19236</v>
      </c>
      <c r="L2067" s="2" t="s">
        <v>19512</v>
      </c>
    </row>
    <row r="2068" spans="1:12" ht="108" customHeight="1" x14ac:dyDescent="0.3">
      <c r="A2068" s="2">
        <v>2064</v>
      </c>
      <c r="B2068" s="66" t="s">
        <v>2252</v>
      </c>
      <c r="C2068" s="66" t="s">
        <v>12372</v>
      </c>
      <c r="D2068" s="11" t="s">
        <v>2279</v>
      </c>
      <c r="E2068" s="11" t="s">
        <v>2279</v>
      </c>
      <c r="F2068" s="3">
        <v>38503</v>
      </c>
      <c r="G2068" s="2" t="s">
        <v>2817</v>
      </c>
      <c r="H2068" s="3">
        <v>43053</v>
      </c>
      <c r="I2068" s="2" t="s">
        <v>19506</v>
      </c>
      <c r="J2068" s="2" t="s">
        <v>13904</v>
      </c>
      <c r="K2068" s="14" t="s">
        <v>19236</v>
      </c>
      <c r="L2068" s="2" t="s">
        <v>19512</v>
      </c>
    </row>
    <row r="2069" spans="1:12" ht="108" customHeight="1" x14ac:dyDescent="0.3">
      <c r="A2069" s="2">
        <v>2065</v>
      </c>
      <c r="B2069" s="66" t="s">
        <v>2231</v>
      </c>
      <c r="C2069" s="66" t="s">
        <v>12373</v>
      </c>
      <c r="D2069" s="11" t="s">
        <v>2280</v>
      </c>
      <c r="E2069" s="11" t="s">
        <v>2280</v>
      </c>
      <c r="F2069" s="3">
        <v>39081</v>
      </c>
      <c r="G2069" s="2" t="s">
        <v>2817</v>
      </c>
      <c r="H2069" s="3">
        <v>43053</v>
      </c>
      <c r="I2069" s="2" t="s">
        <v>19506</v>
      </c>
      <c r="J2069" s="2" t="s">
        <v>13904</v>
      </c>
      <c r="K2069" s="14" t="s">
        <v>19236</v>
      </c>
      <c r="L2069" s="2" t="s">
        <v>19512</v>
      </c>
    </row>
    <row r="2070" spans="1:12" ht="108" customHeight="1" x14ac:dyDescent="0.3">
      <c r="A2070" s="2">
        <v>2066</v>
      </c>
      <c r="B2070" s="66" t="s">
        <v>2231</v>
      </c>
      <c r="C2070" s="66" t="s">
        <v>12374</v>
      </c>
      <c r="D2070" s="11" t="s">
        <v>2280</v>
      </c>
      <c r="E2070" s="11" t="s">
        <v>2280</v>
      </c>
      <c r="F2070" s="3">
        <v>39081</v>
      </c>
      <c r="G2070" s="2" t="s">
        <v>2817</v>
      </c>
      <c r="H2070" s="3">
        <v>43053</v>
      </c>
      <c r="I2070" s="2" t="s">
        <v>19506</v>
      </c>
      <c r="J2070" s="2" t="s">
        <v>13904</v>
      </c>
      <c r="K2070" s="14" t="s">
        <v>19236</v>
      </c>
      <c r="L2070" s="2" t="s">
        <v>19512</v>
      </c>
    </row>
    <row r="2071" spans="1:12" ht="108" customHeight="1" x14ac:dyDescent="0.3">
      <c r="A2071" s="2">
        <v>2067</v>
      </c>
      <c r="B2071" s="66" t="s">
        <v>2231</v>
      </c>
      <c r="C2071" s="66" t="s">
        <v>12375</v>
      </c>
      <c r="D2071" s="11" t="s">
        <v>2280</v>
      </c>
      <c r="E2071" s="11" t="s">
        <v>2280</v>
      </c>
      <c r="F2071" s="3">
        <v>39081</v>
      </c>
      <c r="G2071" s="2" t="s">
        <v>2817</v>
      </c>
      <c r="H2071" s="3">
        <v>43053</v>
      </c>
      <c r="I2071" s="2" t="s">
        <v>19506</v>
      </c>
      <c r="J2071" s="2" t="s">
        <v>13904</v>
      </c>
      <c r="K2071" s="14" t="s">
        <v>19236</v>
      </c>
      <c r="L2071" s="2" t="s">
        <v>19512</v>
      </c>
    </row>
    <row r="2072" spans="1:12" ht="108" customHeight="1" x14ac:dyDescent="0.3">
      <c r="A2072" s="2">
        <v>2068</v>
      </c>
      <c r="B2072" s="66" t="s">
        <v>2231</v>
      </c>
      <c r="C2072" s="66" t="s">
        <v>12376</v>
      </c>
      <c r="D2072" s="11" t="s">
        <v>2280</v>
      </c>
      <c r="E2072" s="11" t="s">
        <v>2280</v>
      </c>
      <c r="F2072" s="3">
        <v>39081</v>
      </c>
      <c r="G2072" s="2" t="s">
        <v>2817</v>
      </c>
      <c r="H2072" s="3">
        <v>43053</v>
      </c>
      <c r="I2072" s="2" t="s">
        <v>19506</v>
      </c>
      <c r="J2072" s="2" t="s">
        <v>13904</v>
      </c>
      <c r="K2072" s="14" t="s">
        <v>19236</v>
      </c>
      <c r="L2072" s="2" t="s">
        <v>19512</v>
      </c>
    </row>
    <row r="2073" spans="1:12" ht="108" customHeight="1" x14ac:dyDescent="0.3">
      <c r="A2073" s="2">
        <v>2069</v>
      </c>
      <c r="B2073" s="66" t="s">
        <v>2253</v>
      </c>
      <c r="C2073" s="66" t="s">
        <v>12377</v>
      </c>
      <c r="D2073" s="11" t="s">
        <v>2281</v>
      </c>
      <c r="E2073" s="11" t="s">
        <v>2281</v>
      </c>
      <c r="F2073" s="3">
        <v>38715</v>
      </c>
      <c r="G2073" s="2" t="s">
        <v>2817</v>
      </c>
      <c r="H2073" s="3">
        <v>43053</v>
      </c>
      <c r="I2073" s="2" t="s">
        <v>19506</v>
      </c>
      <c r="J2073" s="2" t="s">
        <v>13904</v>
      </c>
      <c r="K2073" s="14" t="s">
        <v>19236</v>
      </c>
      <c r="L2073" s="2" t="s">
        <v>19512</v>
      </c>
    </row>
    <row r="2074" spans="1:12" ht="108" customHeight="1" x14ac:dyDescent="0.3">
      <c r="A2074" s="2">
        <v>2070</v>
      </c>
      <c r="B2074" s="66" t="s">
        <v>2253</v>
      </c>
      <c r="C2074" s="66" t="s">
        <v>12378</v>
      </c>
      <c r="D2074" s="11" t="s">
        <v>2281</v>
      </c>
      <c r="E2074" s="11" t="s">
        <v>2281</v>
      </c>
      <c r="F2074" s="3">
        <v>38715</v>
      </c>
      <c r="G2074" s="2" t="s">
        <v>2817</v>
      </c>
      <c r="H2074" s="3">
        <v>43053</v>
      </c>
      <c r="I2074" s="2" t="s">
        <v>19506</v>
      </c>
      <c r="J2074" s="2" t="s">
        <v>13904</v>
      </c>
      <c r="K2074" s="14" t="s">
        <v>19236</v>
      </c>
      <c r="L2074" s="2" t="s">
        <v>19512</v>
      </c>
    </row>
    <row r="2075" spans="1:12" ht="108" customHeight="1" x14ac:dyDescent="0.3">
      <c r="A2075" s="2">
        <v>2071</v>
      </c>
      <c r="B2075" s="66" t="s">
        <v>2253</v>
      </c>
      <c r="C2075" s="66" t="s">
        <v>12379</v>
      </c>
      <c r="D2075" s="11" t="s">
        <v>2281</v>
      </c>
      <c r="E2075" s="11" t="s">
        <v>2281</v>
      </c>
      <c r="F2075" s="3">
        <v>38715</v>
      </c>
      <c r="G2075" s="2" t="s">
        <v>2817</v>
      </c>
      <c r="H2075" s="3">
        <v>43053</v>
      </c>
      <c r="I2075" s="2" t="s">
        <v>19506</v>
      </c>
      <c r="J2075" s="2" t="s">
        <v>13904</v>
      </c>
      <c r="K2075" s="14" t="s">
        <v>19236</v>
      </c>
      <c r="L2075" s="2" t="s">
        <v>19512</v>
      </c>
    </row>
    <row r="2076" spans="1:12" ht="108" customHeight="1" x14ac:dyDescent="0.3">
      <c r="A2076" s="2">
        <v>2072</v>
      </c>
      <c r="B2076" s="66" t="s">
        <v>2253</v>
      </c>
      <c r="C2076" s="66" t="s">
        <v>12380</v>
      </c>
      <c r="D2076" s="11" t="s">
        <v>2281</v>
      </c>
      <c r="E2076" s="11" t="s">
        <v>2281</v>
      </c>
      <c r="F2076" s="3">
        <v>38715</v>
      </c>
      <c r="G2076" s="2" t="s">
        <v>2817</v>
      </c>
      <c r="H2076" s="3">
        <v>43053</v>
      </c>
      <c r="I2076" s="2" t="s">
        <v>19506</v>
      </c>
      <c r="J2076" s="2" t="s">
        <v>13904</v>
      </c>
      <c r="K2076" s="14" t="s">
        <v>19236</v>
      </c>
      <c r="L2076" s="2" t="s">
        <v>19512</v>
      </c>
    </row>
    <row r="2077" spans="1:12" ht="108" customHeight="1" x14ac:dyDescent="0.3">
      <c r="A2077" s="2">
        <v>2073</v>
      </c>
      <c r="B2077" s="66" t="s">
        <v>2254</v>
      </c>
      <c r="C2077" s="66" t="s">
        <v>12381</v>
      </c>
      <c r="D2077" s="11" t="s">
        <v>2282</v>
      </c>
      <c r="E2077" s="11" t="s">
        <v>2282</v>
      </c>
      <c r="F2077" s="3">
        <v>37556</v>
      </c>
      <c r="G2077" s="2" t="s">
        <v>2817</v>
      </c>
      <c r="H2077" s="3">
        <v>43053</v>
      </c>
      <c r="I2077" s="2" t="s">
        <v>19506</v>
      </c>
      <c r="J2077" s="2" t="s">
        <v>13904</v>
      </c>
      <c r="K2077" s="14" t="s">
        <v>19236</v>
      </c>
      <c r="L2077" s="2" t="s">
        <v>19512</v>
      </c>
    </row>
    <row r="2078" spans="1:12" ht="108" customHeight="1" x14ac:dyDescent="0.3">
      <c r="A2078" s="2">
        <v>2074</v>
      </c>
      <c r="B2078" s="66" t="s">
        <v>2255</v>
      </c>
      <c r="C2078" s="66" t="s">
        <v>12382</v>
      </c>
      <c r="D2078" s="11" t="s">
        <v>1049</v>
      </c>
      <c r="E2078" s="11" t="s">
        <v>1049</v>
      </c>
      <c r="F2078" s="3">
        <v>39206</v>
      </c>
      <c r="G2078" s="2" t="s">
        <v>2817</v>
      </c>
      <c r="H2078" s="3">
        <v>43053</v>
      </c>
      <c r="I2078" s="2" t="s">
        <v>19506</v>
      </c>
      <c r="J2078" s="2" t="s">
        <v>13904</v>
      </c>
      <c r="K2078" s="14" t="s">
        <v>19236</v>
      </c>
      <c r="L2078" s="2" t="s">
        <v>19512</v>
      </c>
    </row>
    <row r="2079" spans="1:12" ht="108" customHeight="1" x14ac:dyDescent="0.3">
      <c r="A2079" s="2">
        <v>2075</v>
      </c>
      <c r="B2079" s="66" t="s">
        <v>2256</v>
      </c>
      <c r="C2079" s="66" t="s">
        <v>12383</v>
      </c>
      <c r="D2079" s="11" t="s">
        <v>2283</v>
      </c>
      <c r="E2079" s="11" t="s">
        <v>2283</v>
      </c>
      <c r="F2079" s="3">
        <v>39073</v>
      </c>
      <c r="G2079" s="2" t="s">
        <v>2817</v>
      </c>
      <c r="H2079" s="3">
        <v>43053</v>
      </c>
      <c r="I2079" s="2" t="s">
        <v>19506</v>
      </c>
      <c r="J2079" s="2" t="s">
        <v>13904</v>
      </c>
      <c r="K2079" s="14" t="s">
        <v>19236</v>
      </c>
      <c r="L2079" s="2" t="s">
        <v>19512</v>
      </c>
    </row>
    <row r="2080" spans="1:12" ht="108" customHeight="1" x14ac:dyDescent="0.3">
      <c r="A2080" s="2">
        <v>2076</v>
      </c>
      <c r="B2080" s="66" t="s">
        <v>2257</v>
      </c>
      <c r="C2080" s="66" t="s">
        <v>12384</v>
      </c>
      <c r="D2080" s="11" t="s">
        <v>2284</v>
      </c>
      <c r="E2080" s="11" t="s">
        <v>2284</v>
      </c>
      <c r="F2080" s="3">
        <v>37556</v>
      </c>
      <c r="G2080" s="2" t="s">
        <v>2817</v>
      </c>
      <c r="H2080" s="3">
        <v>43053</v>
      </c>
      <c r="I2080" s="2" t="s">
        <v>19506</v>
      </c>
      <c r="J2080" s="2" t="s">
        <v>13904</v>
      </c>
      <c r="K2080" s="14" t="s">
        <v>19236</v>
      </c>
      <c r="L2080" s="2" t="s">
        <v>19512</v>
      </c>
    </row>
    <row r="2081" spans="1:12" ht="108" customHeight="1" x14ac:dyDescent="0.3">
      <c r="A2081" s="2">
        <v>2077</v>
      </c>
      <c r="B2081" s="66" t="s">
        <v>2258</v>
      </c>
      <c r="C2081" s="66" t="s">
        <v>12385</v>
      </c>
      <c r="D2081" s="11" t="s">
        <v>2285</v>
      </c>
      <c r="E2081" s="11" t="s">
        <v>2285</v>
      </c>
      <c r="F2081" s="3">
        <v>37558</v>
      </c>
      <c r="G2081" s="2" t="s">
        <v>2817</v>
      </c>
      <c r="H2081" s="3">
        <v>43053</v>
      </c>
      <c r="I2081" s="2" t="s">
        <v>19506</v>
      </c>
      <c r="J2081" s="2" t="s">
        <v>13904</v>
      </c>
      <c r="K2081" s="14" t="s">
        <v>19236</v>
      </c>
      <c r="L2081" s="2" t="s">
        <v>19512</v>
      </c>
    </row>
    <row r="2082" spans="1:12" ht="108" customHeight="1" x14ac:dyDescent="0.3">
      <c r="A2082" s="2">
        <v>2078</v>
      </c>
      <c r="B2082" s="66" t="s">
        <v>2259</v>
      </c>
      <c r="C2082" s="66" t="s">
        <v>12420</v>
      </c>
      <c r="D2082" s="11" t="s">
        <v>1183</v>
      </c>
      <c r="E2082" s="11" t="s">
        <v>1183</v>
      </c>
      <c r="F2082" s="3">
        <v>39428</v>
      </c>
      <c r="G2082" s="2" t="s">
        <v>2817</v>
      </c>
      <c r="H2082" s="3">
        <v>42256</v>
      </c>
      <c r="I2082" s="2" t="s">
        <v>12419</v>
      </c>
      <c r="J2082" s="2" t="s">
        <v>13904</v>
      </c>
      <c r="K2082" s="14" t="s">
        <v>19236</v>
      </c>
      <c r="L2082" s="2"/>
    </row>
    <row r="2083" spans="1:12" ht="108" customHeight="1" x14ac:dyDescent="0.3">
      <c r="A2083" s="2">
        <v>2079</v>
      </c>
      <c r="B2083" s="66" t="s">
        <v>2260</v>
      </c>
      <c r="C2083" s="66" t="s">
        <v>12386</v>
      </c>
      <c r="D2083" s="11" t="s">
        <v>2286</v>
      </c>
      <c r="E2083" s="11" t="s">
        <v>2286</v>
      </c>
      <c r="F2083" s="3">
        <v>38652</v>
      </c>
      <c r="G2083" s="2" t="s">
        <v>2817</v>
      </c>
      <c r="H2083" s="3">
        <v>43053</v>
      </c>
      <c r="I2083" s="2" t="s">
        <v>19506</v>
      </c>
      <c r="J2083" s="2" t="s">
        <v>13904</v>
      </c>
      <c r="K2083" s="14" t="s">
        <v>19236</v>
      </c>
      <c r="L2083" s="2" t="s">
        <v>19512</v>
      </c>
    </row>
    <row r="2084" spans="1:12" ht="108" customHeight="1" x14ac:dyDescent="0.3">
      <c r="A2084" s="2">
        <v>2080</v>
      </c>
      <c r="B2084" s="66" t="s">
        <v>2261</v>
      </c>
      <c r="C2084" s="66" t="s">
        <v>12387</v>
      </c>
      <c r="D2084" s="11" t="s">
        <v>2287</v>
      </c>
      <c r="E2084" s="11" t="s">
        <v>2287</v>
      </c>
      <c r="F2084" s="3">
        <v>39717</v>
      </c>
      <c r="G2084" s="2" t="s">
        <v>2817</v>
      </c>
      <c r="H2084" s="3">
        <v>43053</v>
      </c>
      <c r="I2084" s="2" t="s">
        <v>19506</v>
      </c>
      <c r="J2084" s="2" t="s">
        <v>13904</v>
      </c>
      <c r="K2084" s="14" t="s">
        <v>19236</v>
      </c>
      <c r="L2084" s="2" t="s">
        <v>19512</v>
      </c>
    </row>
    <row r="2085" spans="1:12" ht="108" customHeight="1" x14ac:dyDescent="0.3">
      <c r="A2085" s="2">
        <v>2081</v>
      </c>
      <c r="B2085" s="66" t="s">
        <v>2262</v>
      </c>
      <c r="C2085" s="66" t="s">
        <v>12388</v>
      </c>
      <c r="D2085" s="11" t="s">
        <v>2288</v>
      </c>
      <c r="E2085" s="11" t="s">
        <v>2288</v>
      </c>
      <c r="F2085" s="3">
        <v>39081</v>
      </c>
      <c r="G2085" s="2" t="s">
        <v>2817</v>
      </c>
      <c r="H2085" s="3">
        <v>43053</v>
      </c>
      <c r="I2085" s="2" t="s">
        <v>19506</v>
      </c>
      <c r="J2085" s="2" t="s">
        <v>13904</v>
      </c>
      <c r="K2085" s="14" t="s">
        <v>19236</v>
      </c>
      <c r="L2085" s="2" t="s">
        <v>19512</v>
      </c>
    </row>
    <row r="2086" spans="1:12" ht="108" customHeight="1" x14ac:dyDescent="0.3">
      <c r="A2086" s="2">
        <v>2082</v>
      </c>
      <c r="B2086" s="66" t="s">
        <v>2262</v>
      </c>
      <c r="C2086" s="66" t="s">
        <v>12389</v>
      </c>
      <c r="D2086" s="11" t="s">
        <v>2288</v>
      </c>
      <c r="E2086" s="11" t="s">
        <v>2288</v>
      </c>
      <c r="F2086" s="3">
        <v>39081</v>
      </c>
      <c r="G2086" s="2" t="s">
        <v>2817</v>
      </c>
      <c r="H2086" s="3">
        <v>43053</v>
      </c>
      <c r="I2086" s="2" t="s">
        <v>19506</v>
      </c>
      <c r="J2086" s="2" t="s">
        <v>13904</v>
      </c>
      <c r="K2086" s="14" t="s">
        <v>19236</v>
      </c>
      <c r="L2086" s="2" t="s">
        <v>19512</v>
      </c>
    </row>
    <row r="2087" spans="1:12" ht="108" customHeight="1" x14ac:dyDescent="0.3">
      <c r="A2087" s="2">
        <v>2083</v>
      </c>
      <c r="B2087" s="66" t="s">
        <v>2263</v>
      </c>
      <c r="C2087" s="66" t="s">
        <v>12390</v>
      </c>
      <c r="D2087" s="11" t="s">
        <v>1476</v>
      </c>
      <c r="E2087" s="11" t="s">
        <v>1476</v>
      </c>
      <c r="F2087" s="3">
        <v>38715</v>
      </c>
      <c r="G2087" s="2" t="s">
        <v>2817</v>
      </c>
      <c r="H2087" s="3">
        <v>43053</v>
      </c>
      <c r="I2087" s="2" t="s">
        <v>19506</v>
      </c>
      <c r="J2087" s="2" t="s">
        <v>13904</v>
      </c>
      <c r="K2087" s="14" t="s">
        <v>19236</v>
      </c>
      <c r="L2087" s="2" t="s">
        <v>19512</v>
      </c>
    </row>
    <row r="2088" spans="1:12" ht="108" customHeight="1" x14ac:dyDescent="0.3">
      <c r="A2088" s="2">
        <v>2084</v>
      </c>
      <c r="B2088" s="66" t="s">
        <v>2264</v>
      </c>
      <c r="C2088" s="66" t="s">
        <v>12391</v>
      </c>
      <c r="D2088" s="11" t="s">
        <v>2289</v>
      </c>
      <c r="E2088" s="11" t="s">
        <v>2289</v>
      </c>
      <c r="F2088" s="3">
        <v>38439</v>
      </c>
      <c r="G2088" s="2" t="s">
        <v>2817</v>
      </c>
      <c r="H2088" s="3">
        <v>43053</v>
      </c>
      <c r="I2088" s="2" t="s">
        <v>19506</v>
      </c>
      <c r="J2088" s="2" t="s">
        <v>13904</v>
      </c>
      <c r="K2088" s="14" t="s">
        <v>19236</v>
      </c>
      <c r="L2088" s="2" t="s">
        <v>19512</v>
      </c>
    </row>
    <row r="2089" spans="1:12" ht="108" customHeight="1" x14ac:dyDescent="0.3">
      <c r="A2089" s="2">
        <v>2085</v>
      </c>
      <c r="B2089" s="66" t="s">
        <v>2264</v>
      </c>
      <c r="C2089" s="66" t="s">
        <v>12392</v>
      </c>
      <c r="D2089" s="11" t="s">
        <v>2289</v>
      </c>
      <c r="E2089" s="11" t="s">
        <v>2289</v>
      </c>
      <c r="F2089" s="3">
        <v>38439</v>
      </c>
      <c r="G2089" s="2" t="s">
        <v>2817</v>
      </c>
      <c r="H2089" s="3">
        <v>43053</v>
      </c>
      <c r="I2089" s="2" t="s">
        <v>19506</v>
      </c>
      <c r="J2089" s="2" t="s">
        <v>13904</v>
      </c>
      <c r="K2089" s="14" t="s">
        <v>19236</v>
      </c>
      <c r="L2089" s="2" t="s">
        <v>19512</v>
      </c>
    </row>
    <row r="2090" spans="1:12" ht="108" customHeight="1" x14ac:dyDescent="0.3">
      <c r="A2090" s="2">
        <v>2086</v>
      </c>
      <c r="B2090" s="66" t="s">
        <v>2265</v>
      </c>
      <c r="C2090" s="66" t="s">
        <v>12393</v>
      </c>
      <c r="D2090" s="11" t="s">
        <v>2290</v>
      </c>
      <c r="E2090" s="11" t="s">
        <v>2290</v>
      </c>
      <c r="F2090" s="3">
        <v>39081</v>
      </c>
      <c r="G2090" s="2" t="s">
        <v>2817</v>
      </c>
      <c r="H2090" s="3">
        <v>43053</v>
      </c>
      <c r="I2090" s="2" t="s">
        <v>19506</v>
      </c>
      <c r="J2090" s="2" t="s">
        <v>13904</v>
      </c>
      <c r="K2090" s="14" t="s">
        <v>19236</v>
      </c>
      <c r="L2090" s="2" t="s">
        <v>19512</v>
      </c>
    </row>
    <row r="2091" spans="1:12" ht="108" customHeight="1" x14ac:dyDescent="0.3">
      <c r="A2091" s="2">
        <v>2087</v>
      </c>
      <c r="B2091" s="66" t="s">
        <v>2266</v>
      </c>
      <c r="C2091" s="66" t="s">
        <v>12394</v>
      </c>
      <c r="D2091" s="11" t="s">
        <v>2291</v>
      </c>
      <c r="E2091" s="11" t="s">
        <v>2291</v>
      </c>
      <c r="F2091" s="3">
        <v>39167</v>
      </c>
      <c r="G2091" s="2" t="s">
        <v>2817</v>
      </c>
      <c r="H2091" s="3">
        <v>43053</v>
      </c>
      <c r="I2091" s="2" t="s">
        <v>19506</v>
      </c>
      <c r="J2091" s="2" t="s">
        <v>13904</v>
      </c>
      <c r="K2091" s="14" t="s">
        <v>19236</v>
      </c>
      <c r="L2091" s="2" t="s">
        <v>19512</v>
      </c>
    </row>
    <row r="2092" spans="1:12" ht="108" customHeight="1" x14ac:dyDescent="0.3">
      <c r="A2092" s="2">
        <v>2088</v>
      </c>
      <c r="B2092" s="66" t="s">
        <v>2266</v>
      </c>
      <c r="C2092" s="66" t="s">
        <v>12395</v>
      </c>
      <c r="D2092" s="11" t="s">
        <v>2292</v>
      </c>
      <c r="E2092" s="11" t="s">
        <v>2292</v>
      </c>
      <c r="F2092" s="3">
        <v>39407</v>
      </c>
      <c r="G2092" s="2" t="s">
        <v>2817</v>
      </c>
      <c r="H2092" s="3">
        <v>43053</v>
      </c>
      <c r="I2092" s="2" t="s">
        <v>19506</v>
      </c>
      <c r="J2092" s="2" t="s">
        <v>13904</v>
      </c>
      <c r="K2092" s="14" t="s">
        <v>19236</v>
      </c>
      <c r="L2092" s="2" t="s">
        <v>19512</v>
      </c>
    </row>
    <row r="2093" spans="1:12" ht="108" customHeight="1" x14ac:dyDescent="0.3">
      <c r="A2093" s="2">
        <v>2089</v>
      </c>
      <c r="B2093" s="66" t="s">
        <v>2267</v>
      </c>
      <c r="C2093" s="66" t="s">
        <v>12396</v>
      </c>
      <c r="D2093" s="11" t="s">
        <v>2293</v>
      </c>
      <c r="E2093" s="11" t="s">
        <v>2293</v>
      </c>
      <c r="F2093" s="3">
        <v>39168</v>
      </c>
      <c r="G2093" s="2" t="s">
        <v>2817</v>
      </c>
      <c r="H2093" s="3">
        <v>43053</v>
      </c>
      <c r="I2093" s="2" t="s">
        <v>19506</v>
      </c>
      <c r="J2093" s="2" t="s">
        <v>13904</v>
      </c>
      <c r="K2093" s="14" t="s">
        <v>19236</v>
      </c>
      <c r="L2093" s="2" t="s">
        <v>19512</v>
      </c>
    </row>
    <row r="2094" spans="1:12" ht="108" customHeight="1" x14ac:dyDescent="0.3">
      <c r="A2094" s="2">
        <v>2090</v>
      </c>
      <c r="B2094" s="66" t="s">
        <v>2268</v>
      </c>
      <c r="C2094" s="66" t="s">
        <v>12397</v>
      </c>
      <c r="D2094" s="11" t="s">
        <v>2294</v>
      </c>
      <c r="E2094" s="11" t="s">
        <v>2294</v>
      </c>
      <c r="F2094" s="3">
        <v>41156</v>
      </c>
      <c r="G2094" s="2" t="s">
        <v>2817</v>
      </c>
      <c r="H2094" s="3">
        <v>43053</v>
      </c>
      <c r="I2094" s="2" t="s">
        <v>19506</v>
      </c>
      <c r="J2094" s="2" t="s">
        <v>13904</v>
      </c>
      <c r="K2094" s="14" t="s">
        <v>19236</v>
      </c>
      <c r="L2094" s="2" t="s">
        <v>19512</v>
      </c>
    </row>
    <row r="2095" spans="1:12" ht="108" customHeight="1" x14ac:dyDescent="0.3">
      <c r="A2095" s="2">
        <v>2091</v>
      </c>
      <c r="B2095" s="66" t="s">
        <v>218</v>
      </c>
      <c r="C2095" s="66" t="s">
        <v>12398</v>
      </c>
      <c r="D2095" s="11" t="s">
        <v>2295</v>
      </c>
      <c r="E2095" s="11" t="s">
        <v>2295</v>
      </c>
      <c r="F2095" s="3">
        <v>41156</v>
      </c>
      <c r="G2095" s="2" t="s">
        <v>2817</v>
      </c>
      <c r="H2095" s="3">
        <v>43053</v>
      </c>
      <c r="I2095" s="2" t="s">
        <v>19506</v>
      </c>
      <c r="J2095" s="2" t="s">
        <v>13904</v>
      </c>
      <c r="K2095" s="14" t="s">
        <v>19236</v>
      </c>
      <c r="L2095" s="2" t="s">
        <v>19512</v>
      </c>
    </row>
    <row r="2096" spans="1:12" ht="108" customHeight="1" x14ac:dyDescent="0.3">
      <c r="A2096" s="2">
        <v>2092</v>
      </c>
      <c r="B2096" s="66" t="s">
        <v>2269</v>
      </c>
      <c r="C2096" s="66" t="s">
        <v>12399</v>
      </c>
      <c r="D2096" s="11" t="s">
        <v>2296</v>
      </c>
      <c r="E2096" s="11" t="s">
        <v>2296</v>
      </c>
      <c r="F2096" s="3">
        <v>41156</v>
      </c>
      <c r="G2096" s="2" t="s">
        <v>2817</v>
      </c>
      <c r="H2096" s="3">
        <v>43053</v>
      </c>
      <c r="I2096" s="2" t="s">
        <v>19506</v>
      </c>
      <c r="J2096" s="2" t="s">
        <v>13904</v>
      </c>
      <c r="K2096" s="14" t="s">
        <v>19236</v>
      </c>
      <c r="L2096" s="2" t="s">
        <v>19512</v>
      </c>
    </row>
    <row r="2097" spans="1:12" ht="108" customHeight="1" x14ac:dyDescent="0.3">
      <c r="A2097" s="2">
        <v>2093</v>
      </c>
      <c r="B2097" s="66" t="s">
        <v>2270</v>
      </c>
      <c r="C2097" s="66" t="s">
        <v>12400</v>
      </c>
      <c r="D2097" s="11" t="s">
        <v>2297</v>
      </c>
      <c r="E2097" s="11" t="s">
        <v>2297</v>
      </c>
      <c r="F2097" s="3">
        <v>41156</v>
      </c>
      <c r="G2097" s="2" t="s">
        <v>2817</v>
      </c>
      <c r="H2097" s="3">
        <v>43053</v>
      </c>
      <c r="I2097" s="2" t="s">
        <v>19506</v>
      </c>
      <c r="J2097" s="2" t="s">
        <v>13904</v>
      </c>
      <c r="K2097" s="14" t="s">
        <v>19236</v>
      </c>
      <c r="L2097" s="2" t="s">
        <v>19512</v>
      </c>
    </row>
    <row r="2098" spans="1:12" ht="108" customHeight="1" x14ac:dyDescent="0.3">
      <c r="A2098" s="2">
        <v>2094</v>
      </c>
      <c r="B2098" s="66" t="s">
        <v>2271</v>
      </c>
      <c r="C2098" s="66" t="s">
        <v>12401</v>
      </c>
      <c r="D2098" s="11" t="s">
        <v>1048</v>
      </c>
      <c r="E2098" s="11" t="s">
        <v>1048</v>
      </c>
      <c r="F2098" s="3">
        <v>41156</v>
      </c>
      <c r="G2098" s="2" t="s">
        <v>2817</v>
      </c>
      <c r="H2098" s="3">
        <v>43053</v>
      </c>
      <c r="I2098" s="2" t="s">
        <v>19506</v>
      </c>
      <c r="J2098" s="2" t="s">
        <v>13904</v>
      </c>
      <c r="K2098" s="14" t="s">
        <v>19236</v>
      </c>
      <c r="L2098" s="2" t="s">
        <v>19512</v>
      </c>
    </row>
    <row r="2099" spans="1:12" ht="108" customHeight="1" x14ac:dyDescent="0.3">
      <c r="A2099" s="2">
        <v>2095</v>
      </c>
      <c r="B2099" s="66" t="s">
        <v>2272</v>
      </c>
      <c r="C2099" s="66" t="s">
        <v>12402</v>
      </c>
      <c r="D2099" s="11" t="s">
        <v>2298</v>
      </c>
      <c r="E2099" s="11" t="s">
        <v>2298</v>
      </c>
      <c r="F2099" s="3">
        <v>41670</v>
      </c>
      <c r="G2099" s="2" t="s">
        <v>2817</v>
      </c>
      <c r="H2099" s="3">
        <v>43053</v>
      </c>
      <c r="I2099" s="2" t="s">
        <v>19506</v>
      </c>
      <c r="J2099" s="2" t="s">
        <v>13904</v>
      </c>
      <c r="K2099" s="14" t="s">
        <v>19236</v>
      </c>
      <c r="L2099" s="2" t="s">
        <v>19512</v>
      </c>
    </row>
    <row r="2100" spans="1:12" ht="108" customHeight="1" x14ac:dyDescent="0.3">
      <c r="A2100" s="2">
        <v>2096</v>
      </c>
      <c r="B2100" s="66" t="s">
        <v>2081</v>
      </c>
      <c r="C2100" s="66" t="s">
        <v>12403</v>
      </c>
      <c r="D2100" s="11" t="s">
        <v>2302</v>
      </c>
      <c r="E2100" s="11" t="s">
        <v>2302</v>
      </c>
      <c r="F2100" s="3">
        <v>39434</v>
      </c>
      <c r="G2100" s="2" t="s">
        <v>2817</v>
      </c>
      <c r="H2100" s="3">
        <v>43053</v>
      </c>
      <c r="I2100" s="2" t="s">
        <v>19506</v>
      </c>
      <c r="J2100" s="2" t="s">
        <v>13904</v>
      </c>
      <c r="K2100" s="14" t="s">
        <v>19236</v>
      </c>
      <c r="L2100" s="2" t="s">
        <v>19512</v>
      </c>
    </row>
    <row r="2101" spans="1:12" ht="108" customHeight="1" x14ac:dyDescent="0.3">
      <c r="A2101" s="2">
        <v>2097</v>
      </c>
      <c r="B2101" s="66" t="s">
        <v>2299</v>
      </c>
      <c r="C2101" s="66" t="s">
        <v>12404</v>
      </c>
      <c r="D2101" s="11" t="s">
        <v>2303</v>
      </c>
      <c r="E2101" s="11" t="s">
        <v>2303</v>
      </c>
      <c r="F2101" s="3">
        <v>39445</v>
      </c>
      <c r="G2101" s="2" t="s">
        <v>2817</v>
      </c>
      <c r="H2101" s="3">
        <v>43053</v>
      </c>
      <c r="I2101" s="2" t="s">
        <v>19506</v>
      </c>
      <c r="J2101" s="2" t="s">
        <v>13904</v>
      </c>
      <c r="K2101" s="14" t="s">
        <v>19236</v>
      </c>
      <c r="L2101" s="2" t="s">
        <v>19512</v>
      </c>
    </row>
    <row r="2102" spans="1:12" ht="108" customHeight="1" x14ac:dyDescent="0.3">
      <c r="A2102" s="2">
        <v>2098</v>
      </c>
      <c r="B2102" s="66" t="s">
        <v>2300</v>
      </c>
      <c r="C2102" s="66" t="s">
        <v>12405</v>
      </c>
      <c r="D2102" s="11" t="s">
        <v>2304</v>
      </c>
      <c r="E2102" s="11" t="s">
        <v>2304</v>
      </c>
      <c r="F2102" s="3">
        <v>39413</v>
      </c>
      <c r="G2102" s="2" t="s">
        <v>2817</v>
      </c>
      <c r="H2102" s="3">
        <v>43053</v>
      </c>
      <c r="I2102" s="2" t="s">
        <v>19506</v>
      </c>
      <c r="J2102" s="2" t="s">
        <v>13904</v>
      </c>
      <c r="K2102" s="14" t="s">
        <v>19236</v>
      </c>
      <c r="L2102" s="2" t="s">
        <v>19512</v>
      </c>
    </row>
    <row r="2103" spans="1:12" ht="108" customHeight="1" x14ac:dyDescent="0.3">
      <c r="A2103" s="2">
        <v>2099</v>
      </c>
      <c r="B2103" s="66" t="s">
        <v>259</v>
      </c>
      <c r="C2103" s="66" t="s">
        <v>12406</v>
      </c>
      <c r="D2103" s="11" t="s">
        <v>2305</v>
      </c>
      <c r="E2103" s="11" t="s">
        <v>2305</v>
      </c>
      <c r="F2103" s="3">
        <v>38153</v>
      </c>
      <c r="G2103" s="2" t="s">
        <v>2817</v>
      </c>
      <c r="H2103" s="3">
        <v>43053</v>
      </c>
      <c r="I2103" s="2" t="s">
        <v>19506</v>
      </c>
      <c r="J2103" s="2" t="s">
        <v>13904</v>
      </c>
      <c r="K2103" s="14" t="s">
        <v>19236</v>
      </c>
      <c r="L2103" s="2" t="s">
        <v>19512</v>
      </c>
    </row>
    <row r="2104" spans="1:12" ht="108" customHeight="1" x14ac:dyDescent="0.3">
      <c r="A2104" s="2">
        <v>2100</v>
      </c>
      <c r="B2104" s="66" t="s">
        <v>2301</v>
      </c>
      <c r="C2104" s="66" t="s">
        <v>12407</v>
      </c>
      <c r="D2104" s="11" t="s">
        <v>2085</v>
      </c>
      <c r="E2104" s="11" t="s">
        <v>2085</v>
      </c>
      <c r="F2104" s="3">
        <v>41156</v>
      </c>
      <c r="G2104" s="2" t="s">
        <v>2817</v>
      </c>
      <c r="H2104" s="3">
        <v>43053</v>
      </c>
      <c r="I2104" s="2" t="s">
        <v>19506</v>
      </c>
      <c r="J2104" s="2" t="s">
        <v>13904</v>
      </c>
      <c r="K2104" s="14" t="s">
        <v>19236</v>
      </c>
      <c r="L2104" s="2" t="s">
        <v>19512</v>
      </c>
    </row>
    <row r="2105" spans="1:12" ht="108" customHeight="1" x14ac:dyDescent="0.3">
      <c r="A2105" s="2">
        <v>2101</v>
      </c>
      <c r="B2105" s="66" t="s">
        <v>2301</v>
      </c>
      <c r="C2105" s="66" t="s">
        <v>12408</v>
      </c>
      <c r="D2105" s="11" t="s">
        <v>2085</v>
      </c>
      <c r="E2105" s="11" t="s">
        <v>2085</v>
      </c>
      <c r="F2105" s="3">
        <v>41156</v>
      </c>
      <c r="G2105" s="2" t="s">
        <v>2817</v>
      </c>
      <c r="H2105" s="3">
        <v>43053</v>
      </c>
      <c r="I2105" s="2" t="s">
        <v>19506</v>
      </c>
      <c r="J2105" s="2" t="s">
        <v>13904</v>
      </c>
      <c r="K2105" s="14" t="s">
        <v>19236</v>
      </c>
      <c r="L2105" s="2" t="s">
        <v>19512</v>
      </c>
    </row>
    <row r="2106" spans="1:12" ht="108" customHeight="1" x14ac:dyDescent="0.3">
      <c r="A2106" s="2">
        <v>2102</v>
      </c>
      <c r="B2106" s="66" t="s">
        <v>2301</v>
      </c>
      <c r="C2106" s="66" t="s">
        <v>12409</v>
      </c>
      <c r="D2106" s="11" t="s">
        <v>2085</v>
      </c>
      <c r="E2106" s="11" t="s">
        <v>2085</v>
      </c>
      <c r="F2106" s="3">
        <v>41156</v>
      </c>
      <c r="G2106" s="2" t="s">
        <v>2817</v>
      </c>
      <c r="H2106" s="3">
        <v>43053</v>
      </c>
      <c r="I2106" s="2" t="s">
        <v>19506</v>
      </c>
      <c r="J2106" s="2" t="s">
        <v>13904</v>
      </c>
      <c r="K2106" s="14" t="s">
        <v>19236</v>
      </c>
      <c r="L2106" s="2" t="s">
        <v>19512</v>
      </c>
    </row>
    <row r="2107" spans="1:12" ht="108" customHeight="1" x14ac:dyDescent="0.3">
      <c r="A2107" s="2">
        <v>2103</v>
      </c>
      <c r="B2107" s="66" t="s">
        <v>2301</v>
      </c>
      <c r="C2107" s="66" t="s">
        <v>12410</v>
      </c>
      <c r="D2107" s="11" t="s">
        <v>2085</v>
      </c>
      <c r="E2107" s="11" t="s">
        <v>2085</v>
      </c>
      <c r="F2107" s="3">
        <v>41156</v>
      </c>
      <c r="G2107" s="2" t="s">
        <v>2817</v>
      </c>
      <c r="H2107" s="3">
        <v>43053</v>
      </c>
      <c r="I2107" s="2" t="s">
        <v>19506</v>
      </c>
      <c r="J2107" s="2" t="s">
        <v>13904</v>
      </c>
      <c r="K2107" s="14" t="s">
        <v>19236</v>
      </c>
      <c r="L2107" s="2" t="s">
        <v>19512</v>
      </c>
    </row>
    <row r="2108" spans="1:12" ht="108" customHeight="1" x14ac:dyDescent="0.3">
      <c r="A2108" s="2">
        <v>2104</v>
      </c>
      <c r="B2108" s="66" t="s">
        <v>2301</v>
      </c>
      <c r="C2108" s="66" t="s">
        <v>12411</v>
      </c>
      <c r="D2108" s="11" t="s">
        <v>2085</v>
      </c>
      <c r="E2108" s="11" t="s">
        <v>2085</v>
      </c>
      <c r="F2108" s="3">
        <v>41156</v>
      </c>
      <c r="G2108" s="2" t="s">
        <v>2817</v>
      </c>
      <c r="H2108" s="3">
        <v>43053</v>
      </c>
      <c r="I2108" s="2" t="s">
        <v>19506</v>
      </c>
      <c r="J2108" s="2" t="s">
        <v>13904</v>
      </c>
      <c r="K2108" s="14" t="s">
        <v>19236</v>
      </c>
      <c r="L2108" s="2" t="s">
        <v>19512</v>
      </c>
    </row>
    <row r="2109" spans="1:12" ht="108" customHeight="1" x14ac:dyDescent="0.3">
      <c r="A2109" s="2">
        <v>2105</v>
      </c>
      <c r="B2109" s="66" t="s">
        <v>2301</v>
      </c>
      <c r="C2109" s="66" t="s">
        <v>12412</v>
      </c>
      <c r="D2109" s="11" t="s">
        <v>2085</v>
      </c>
      <c r="E2109" s="11" t="s">
        <v>2085</v>
      </c>
      <c r="F2109" s="3">
        <v>41156</v>
      </c>
      <c r="G2109" s="2" t="s">
        <v>2817</v>
      </c>
      <c r="H2109" s="3">
        <v>43053</v>
      </c>
      <c r="I2109" s="2" t="s">
        <v>19506</v>
      </c>
      <c r="J2109" s="2" t="s">
        <v>13904</v>
      </c>
      <c r="K2109" s="14" t="s">
        <v>19236</v>
      </c>
      <c r="L2109" s="2" t="s">
        <v>19512</v>
      </c>
    </row>
    <row r="2110" spans="1:12" ht="108" customHeight="1" x14ac:dyDescent="0.3">
      <c r="A2110" s="2">
        <v>2106</v>
      </c>
      <c r="B2110" s="66" t="s">
        <v>2301</v>
      </c>
      <c r="C2110" s="66" t="s">
        <v>12413</v>
      </c>
      <c r="D2110" s="11" t="s">
        <v>2085</v>
      </c>
      <c r="E2110" s="11" t="s">
        <v>2085</v>
      </c>
      <c r="F2110" s="3">
        <v>41156</v>
      </c>
      <c r="G2110" s="2" t="s">
        <v>2817</v>
      </c>
      <c r="H2110" s="3">
        <v>43053</v>
      </c>
      <c r="I2110" s="2" t="s">
        <v>19506</v>
      </c>
      <c r="J2110" s="2" t="s">
        <v>13904</v>
      </c>
      <c r="K2110" s="14" t="s">
        <v>19236</v>
      </c>
      <c r="L2110" s="2" t="s">
        <v>19512</v>
      </c>
    </row>
    <row r="2111" spans="1:12" ht="108" customHeight="1" x14ac:dyDescent="0.3">
      <c r="A2111" s="2">
        <v>2107</v>
      </c>
      <c r="B2111" s="66" t="s">
        <v>2301</v>
      </c>
      <c r="C2111" s="66" t="s">
        <v>12414</v>
      </c>
      <c r="D2111" s="11" t="s">
        <v>2085</v>
      </c>
      <c r="E2111" s="11" t="s">
        <v>2085</v>
      </c>
      <c r="F2111" s="3">
        <v>41156</v>
      </c>
      <c r="G2111" s="2" t="s">
        <v>2817</v>
      </c>
      <c r="H2111" s="3">
        <v>43053</v>
      </c>
      <c r="I2111" s="2" t="s">
        <v>19506</v>
      </c>
      <c r="J2111" s="2" t="s">
        <v>13904</v>
      </c>
      <c r="K2111" s="14" t="s">
        <v>19236</v>
      </c>
      <c r="L2111" s="2" t="s">
        <v>19512</v>
      </c>
    </row>
    <row r="2112" spans="1:12" ht="108" customHeight="1" x14ac:dyDescent="0.3">
      <c r="A2112" s="2">
        <v>2108</v>
      </c>
      <c r="B2112" s="66" t="s">
        <v>2301</v>
      </c>
      <c r="C2112" s="66" t="s">
        <v>12415</v>
      </c>
      <c r="D2112" s="11" t="s">
        <v>2085</v>
      </c>
      <c r="E2112" s="11" t="s">
        <v>2085</v>
      </c>
      <c r="F2112" s="3">
        <v>41156</v>
      </c>
      <c r="G2112" s="2" t="s">
        <v>2817</v>
      </c>
      <c r="H2112" s="3">
        <v>43053</v>
      </c>
      <c r="I2112" s="2" t="s">
        <v>19506</v>
      </c>
      <c r="J2112" s="2" t="s">
        <v>13904</v>
      </c>
      <c r="K2112" s="14" t="s">
        <v>19236</v>
      </c>
      <c r="L2112" s="2" t="s">
        <v>19512</v>
      </c>
    </row>
    <row r="2113" spans="1:15" s="19" customFormat="1" ht="120" customHeight="1" x14ac:dyDescent="0.3">
      <c r="A2113" s="2">
        <v>2109</v>
      </c>
      <c r="B2113" s="66" t="s">
        <v>2306</v>
      </c>
      <c r="C2113" s="66" t="s">
        <v>19005</v>
      </c>
      <c r="D2113" s="11" t="s">
        <v>2344</v>
      </c>
      <c r="E2113" s="11" t="s">
        <v>2344</v>
      </c>
      <c r="F2113" s="3">
        <v>41992</v>
      </c>
      <c r="G2113" s="2" t="s">
        <v>2817</v>
      </c>
      <c r="H2113" s="2"/>
      <c r="I2113" s="2"/>
      <c r="J2113" s="2" t="s">
        <v>13904</v>
      </c>
      <c r="K2113" s="2" t="s">
        <v>19241</v>
      </c>
      <c r="L2113" s="2" t="s">
        <v>19003</v>
      </c>
      <c r="M2113" s="18"/>
      <c r="N2113" s="18"/>
      <c r="O2113" s="18"/>
    </row>
    <row r="2114" spans="1:15" ht="120" customHeight="1" x14ac:dyDescent="0.3">
      <c r="A2114" s="2">
        <v>2110</v>
      </c>
      <c r="B2114" s="66" t="s">
        <v>1824</v>
      </c>
      <c r="C2114" s="66" t="s">
        <v>19006</v>
      </c>
      <c r="D2114" s="11" t="s">
        <v>2345</v>
      </c>
      <c r="E2114" s="11" t="s">
        <v>2345</v>
      </c>
      <c r="F2114" s="3">
        <v>41992</v>
      </c>
      <c r="G2114" s="2" t="s">
        <v>2817</v>
      </c>
      <c r="H2114" s="2"/>
      <c r="I2114" s="2"/>
      <c r="J2114" s="2" t="s">
        <v>13904</v>
      </c>
      <c r="K2114" s="2" t="s">
        <v>19241</v>
      </c>
      <c r="L2114" s="82" t="s">
        <v>19003</v>
      </c>
    </row>
    <row r="2115" spans="1:15" ht="120" customHeight="1" x14ac:dyDescent="0.3">
      <c r="A2115" s="2">
        <v>2111</v>
      </c>
      <c r="B2115" s="66" t="s">
        <v>1824</v>
      </c>
      <c r="C2115" s="66" t="s">
        <v>19007</v>
      </c>
      <c r="D2115" s="11" t="s">
        <v>2345</v>
      </c>
      <c r="E2115" s="11" t="s">
        <v>2345</v>
      </c>
      <c r="F2115" s="3">
        <v>41992</v>
      </c>
      <c r="G2115" s="2" t="s">
        <v>2817</v>
      </c>
      <c r="H2115" s="2"/>
      <c r="I2115" s="2"/>
      <c r="J2115" s="2" t="s">
        <v>13904</v>
      </c>
      <c r="K2115" s="2" t="s">
        <v>19241</v>
      </c>
      <c r="L2115" s="82" t="s">
        <v>19003</v>
      </c>
    </row>
    <row r="2116" spans="1:15" ht="120" customHeight="1" x14ac:dyDescent="0.3">
      <c r="A2116" s="2">
        <v>2112</v>
      </c>
      <c r="B2116" s="66" t="s">
        <v>2307</v>
      </c>
      <c r="C2116" s="66" t="s">
        <v>19008</v>
      </c>
      <c r="D2116" s="11" t="s">
        <v>2346</v>
      </c>
      <c r="E2116" s="11">
        <v>5468.16</v>
      </c>
      <c r="F2116" s="3">
        <v>41934</v>
      </c>
      <c r="G2116" s="2" t="s">
        <v>2817</v>
      </c>
      <c r="H2116" s="2"/>
      <c r="I2116" s="2"/>
      <c r="J2116" s="2" t="s">
        <v>13904</v>
      </c>
      <c r="K2116" s="2" t="s">
        <v>19241</v>
      </c>
      <c r="L2116" s="82" t="s">
        <v>19003</v>
      </c>
    </row>
    <row r="2117" spans="1:15" ht="120" customHeight="1" x14ac:dyDescent="0.3">
      <c r="A2117" s="2">
        <v>2113</v>
      </c>
      <c r="B2117" s="66" t="s">
        <v>19790</v>
      </c>
      <c r="C2117" s="66" t="s">
        <v>19791</v>
      </c>
      <c r="D2117" s="11">
        <v>480440.89</v>
      </c>
      <c r="E2117" s="11">
        <v>32029.439999999999</v>
      </c>
      <c r="F2117" s="3">
        <v>42650</v>
      </c>
      <c r="G2117" s="2" t="s">
        <v>2817</v>
      </c>
      <c r="H2117" s="3"/>
      <c r="I2117" s="2"/>
      <c r="J2117" s="2" t="s">
        <v>13904</v>
      </c>
      <c r="K2117" s="2" t="s">
        <v>19241</v>
      </c>
      <c r="L2117" s="82" t="s">
        <v>20496</v>
      </c>
    </row>
    <row r="2118" spans="1:15" ht="120" customHeight="1" x14ac:dyDescent="0.3">
      <c r="A2118" s="2">
        <v>2114</v>
      </c>
      <c r="B2118" s="66" t="s">
        <v>19792</v>
      </c>
      <c r="C2118" s="66" t="s">
        <v>19793</v>
      </c>
      <c r="D2118" s="11">
        <v>511706</v>
      </c>
      <c r="E2118" s="11">
        <v>34113.72</v>
      </c>
      <c r="F2118" s="3">
        <v>42650</v>
      </c>
      <c r="G2118" s="2" t="s">
        <v>2817</v>
      </c>
      <c r="H2118" s="3"/>
      <c r="I2118" s="2"/>
      <c r="J2118" s="2" t="s">
        <v>13904</v>
      </c>
      <c r="K2118" s="2" t="s">
        <v>19241</v>
      </c>
      <c r="L2118" s="82" t="s">
        <v>20496</v>
      </c>
    </row>
    <row r="2119" spans="1:15" ht="120" customHeight="1" x14ac:dyDescent="0.3">
      <c r="A2119" s="2">
        <v>2115</v>
      </c>
      <c r="B2119" s="66" t="s">
        <v>2309</v>
      </c>
      <c r="C2119" s="66"/>
      <c r="D2119" s="11" t="s">
        <v>2347</v>
      </c>
      <c r="E2119" s="11">
        <v>9369.98</v>
      </c>
      <c r="F2119" s="3">
        <v>39445</v>
      </c>
      <c r="G2119" s="2" t="s">
        <v>2817</v>
      </c>
      <c r="H2119" s="3">
        <v>43053</v>
      </c>
      <c r="I2119" s="2" t="s">
        <v>19506</v>
      </c>
      <c r="J2119" s="2" t="s">
        <v>13904</v>
      </c>
      <c r="K2119" s="2" t="s">
        <v>19241</v>
      </c>
      <c r="L2119" s="82" t="s">
        <v>19512</v>
      </c>
    </row>
    <row r="2120" spans="1:15" ht="120" customHeight="1" x14ac:dyDescent="0.3">
      <c r="A2120" s="2">
        <v>2116</v>
      </c>
      <c r="B2120" s="66" t="s">
        <v>23342</v>
      </c>
      <c r="C2120" s="66" t="s">
        <v>23341</v>
      </c>
      <c r="D2120" s="11">
        <v>85250</v>
      </c>
      <c r="E2120" s="11">
        <v>48308.22</v>
      </c>
      <c r="F2120" s="3">
        <v>43042</v>
      </c>
      <c r="G2120" s="2" t="s">
        <v>23343</v>
      </c>
      <c r="H2120" s="3"/>
      <c r="I2120" s="2"/>
      <c r="J2120" s="2" t="s">
        <v>13904</v>
      </c>
      <c r="K2120" s="2" t="s">
        <v>23344</v>
      </c>
      <c r="L2120" s="82" t="s">
        <v>23345</v>
      </c>
    </row>
    <row r="2121" spans="1:15" ht="120" customHeight="1" x14ac:dyDescent="0.3">
      <c r="A2121" s="2">
        <v>2117</v>
      </c>
      <c r="B2121" s="66" t="s">
        <v>2309</v>
      </c>
      <c r="C2121" s="66"/>
      <c r="D2121" s="11" t="s">
        <v>2347</v>
      </c>
      <c r="E2121" s="11">
        <v>9369.98</v>
      </c>
      <c r="F2121" s="3">
        <v>39445</v>
      </c>
      <c r="G2121" s="2" t="s">
        <v>2817</v>
      </c>
      <c r="H2121" s="3">
        <v>43053</v>
      </c>
      <c r="I2121" s="2" t="s">
        <v>19506</v>
      </c>
      <c r="J2121" s="2" t="s">
        <v>13904</v>
      </c>
      <c r="K2121" s="2" t="s">
        <v>19241</v>
      </c>
      <c r="L2121" s="82" t="s">
        <v>19512</v>
      </c>
    </row>
    <row r="2122" spans="1:15" ht="120" customHeight="1" x14ac:dyDescent="0.3">
      <c r="A2122" s="2">
        <v>2118</v>
      </c>
      <c r="B2122" s="66" t="s">
        <v>2309</v>
      </c>
      <c r="C2122" s="66"/>
      <c r="D2122" s="11" t="s">
        <v>2347</v>
      </c>
      <c r="E2122" s="11">
        <v>9369.98</v>
      </c>
      <c r="F2122" s="3">
        <v>39445</v>
      </c>
      <c r="G2122" s="2" t="s">
        <v>2817</v>
      </c>
      <c r="H2122" s="3">
        <v>43053</v>
      </c>
      <c r="I2122" s="2" t="s">
        <v>19506</v>
      </c>
      <c r="J2122" s="2" t="s">
        <v>13904</v>
      </c>
      <c r="K2122" s="2" t="s">
        <v>19241</v>
      </c>
      <c r="L2122" s="82" t="s">
        <v>19512</v>
      </c>
    </row>
    <row r="2123" spans="1:15" ht="120" customHeight="1" x14ac:dyDescent="0.3">
      <c r="A2123" s="2">
        <v>2119</v>
      </c>
      <c r="B2123" s="66" t="s">
        <v>2310</v>
      </c>
      <c r="C2123" s="66"/>
      <c r="D2123" s="11" t="s">
        <v>2348</v>
      </c>
      <c r="E2123" s="11">
        <v>42479</v>
      </c>
      <c r="F2123" s="3">
        <v>38608</v>
      </c>
      <c r="G2123" s="2" t="s">
        <v>2817</v>
      </c>
      <c r="H2123" s="3">
        <v>43053</v>
      </c>
      <c r="I2123" s="2" t="s">
        <v>19506</v>
      </c>
      <c r="J2123" s="2" t="s">
        <v>13904</v>
      </c>
      <c r="K2123" s="2" t="s">
        <v>19241</v>
      </c>
      <c r="L2123" s="82" t="s">
        <v>19512</v>
      </c>
    </row>
    <row r="2124" spans="1:15" ht="120" customHeight="1" x14ac:dyDescent="0.3">
      <c r="A2124" s="2">
        <v>2120</v>
      </c>
      <c r="B2124" s="66" t="s">
        <v>2311</v>
      </c>
      <c r="C2124" s="66"/>
      <c r="D2124" s="11" t="s">
        <v>2349</v>
      </c>
      <c r="E2124" s="11">
        <v>10618.5</v>
      </c>
      <c r="F2124" s="3">
        <v>39445</v>
      </c>
      <c r="G2124" s="2" t="s">
        <v>2817</v>
      </c>
      <c r="H2124" s="3">
        <v>43053</v>
      </c>
      <c r="I2124" s="2" t="s">
        <v>19506</v>
      </c>
      <c r="J2124" s="2" t="s">
        <v>13904</v>
      </c>
      <c r="K2124" s="2" t="s">
        <v>19241</v>
      </c>
      <c r="L2124" s="82" t="s">
        <v>19512</v>
      </c>
    </row>
    <row r="2125" spans="1:15" ht="120" customHeight="1" x14ac:dyDescent="0.3">
      <c r="A2125" s="2">
        <v>2121</v>
      </c>
      <c r="B2125" s="66" t="s">
        <v>2312</v>
      </c>
      <c r="C2125" s="66"/>
      <c r="D2125" s="11" t="s">
        <v>2350</v>
      </c>
      <c r="E2125" s="11">
        <v>15533.84</v>
      </c>
      <c r="F2125" s="3">
        <v>39445</v>
      </c>
      <c r="G2125" s="2" t="s">
        <v>2817</v>
      </c>
      <c r="H2125" s="3">
        <v>43053</v>
      </c>
      <c r="I2125" s="2" t="s">
        <v>19506</v>
      </c>
      <c r="J2125" s="2" t="s">
        <v>13904</v>
      </c>
      <c r="K2125" s="2" t="s">
        <v>19241</v>
      </c>
      <c r="L2125" s="82" t="s">
        <v>19512</v>
      </c>
    </row>
    <row r="2126" spans="1:15" ht="120" customHeight="1" x14ac:dyDescent="0.3">
      <c r="A2126" s="2">
        <v>2122</v>
      </c>
      <c r="B2126" s="66" t="s">
        <v>2313</v>
      </c>
      <c r="C2126" s="66"/>
      <c r="D2126" s="11" t="s">
        <v>2351</v>
      </c>
      <c r="E2126" s="11">
        <v>23860.21</v>
      </c>
      <c r="F2126" s="3">
        <v>39445</v>
      </c>
      <c r="G2126" s="2" t="s">
        <v>2817</v>
      </c>
      <c r="H2126" s="3">
        <v>43053</v>
      </c>
      <c r="I2126" s="2" t="s">
        <v>19506</v>
      </c>
      <c r="J2126" s="2" t="s">
        <v>13904</v>
      </c>
      <c r="K2126" s="2" t="s">
        <v>19241</v>
      </c>
      <c r="L2126" s="82" t="s">
        <v>19512</v>
      </c>
    </row>
    <row r="2127" spans="1:15" ht="120" customHeight="1" x14ac:dyDescent="0.3">
      <c r="A2127" s="2">
        <v>2123</v>
      </c>
      <c r="B2127" s="66" t="s">
        <v>2313</v>
      </c>
      <c r="C2127" s="66"/>
      <c r="D2127" s="11" t="s">
        <v>2351</v>
      </c>
      <c r="E2127" s="11">
        <v>23860.21</v>
      </c>
      <c r="F2127" s="3">
        <v>39445</v>
      </c>
      <c r="G2127" s="2" t="s">
        <v>2817</v>
      </c>
      <c r="H2127" s="3">
        <v>43053</v>
      </c>
      <c r="I2127" s="2" t="s">
        <v>19506</v>
      </c>
      <c r="J2127" s="2" t="s">
        <v>13904</v>
      </c>
      <c r="K2127" s="2" t="s">
        <v>19241</v>
      </c>
      <c r="L2127" s="82" t="s">
        <v>19512</v>
      </c>
    </row>
    <row r="2128" spans="1:15" ht="120" customHeight="1" x14ac:dyDescent="0.3">
      <c r="A2128" s="2">
        <v>2124</v>
      </c>
      <c r="B2128" s="66" t="s">
        <v>2313</v>
      </c>
      <c r="C2128" s="66"/>
      <c r="D2128" s="11" t="s">
        <v>2351</v>
      </c>
      <c r="E2128" s="11">
        <v>23860.21</v>
      </c>
      <c r="F2128" s="3">
        <v>39445</v>
      </c>
      <c r="G2128" s="2" t="s">
        <v>2817</v>
      </c>
      <c r="H2128" s="3">
        <v>43053</v>
      </c>
      <c r="I2128" s="2" t="s">
        <v>19506</v>
      </c>
      <c r="J2128" s="2" t="s">
        <v>13904</v>
      </c>
      <c r="K2128" s="2" t="s">
        <v>19241</v>
      </c>
      <c r="L2128" s="82" t="s">
        <v>19512</v>
      </c>
    </row>
    <row r="2129" spans="1:12" ht="120" customHeight="1" x14ac:dyDescent="0.3">
      <c r="A2129" s="2">
        <v>2125</v>
      </c>
      <c r="B2129" s="66" t="s">
        <v>2314</v>
      </c>
      <c r="C2129" s="66" t="s">
        <v>19009</v>
      </c>
      <c r="D2129" s="11" t="s">
        <v>2352</v>
      </c>
      <c r="E2129" s="11">
        <v>612246.9</v>
      </c>
      <c r="F2129" s="3">
        <v>37590</v>
      </c>
      <c r="G2129" s="2" t="s">
        <v>2817</v>
      </c>
      <c r="H2129" s="2"/>
      <c r="I2129" s="2"/>
      <c r="J2129" s="2" t="s">
        <v>13904</v>
      </c>
      <c r="K2129" s="2" t="s">
        <v>19241</v>
      </c>
      <c r="L2129" s="82" t="s">
        <v>19003</v>
      </c>
    </row>
    <row r="2130" spans="1:12" ht="120" customHeight="1" x14ac:dyDescent="0.3">
      <c r="A2130" s="2">
        <v>2126</v>
      </c>
      <c r="B2130" s="66" t="s">
        <v>2315</v>
      </c>
      <c r="C2130" s="66" t="s">
        <v>19010</v>
      </c>
      <c r="D2130" s="11" t="s">
        <v>2353</v>
      </c>
      <c r="E2130" s="11">
        <v>203138.31</v>
      </c>
      <c r="F2130" s="3">
        <v>39445</v>
      </c>
      <c r="G2130" s="2" t="s">
        <v>2817</v>
      </c>
      <c r="H2130" s="2"/>
      <c r="I2130" s="2"/>
      <c r="J2130" s="2" t="s">
        <v>13904</v>
      </c>
      <c r="K2130" s="2" t="s">
        <v>19241</v>
      </c>
      <c r="L2130" s="82" t="s">
        <v>19003</v>
      </c>
    </row>
    <row r="2131" spans="1:12" ht="120" customHeight="1" x14ac:dyDescent="0.3">
      <c r="A2131" s="2">
        <v>2127</v>
      </c>
      <c r="B2131" s="66" t="s">
        <v>2316</v>
      </c>
      <c r="C2131" s="66" t="s">
        <v>19002</v>
      </c>
      <c r="D2131" s="11" t="s">
        <v>2354</v>
      </c>
      <c r="E2131" s="11">
        <v>858872.35</v>
      </c>
      <c r="F2131" s="3">
        <v>39445</v>
      </c>
      <c r="G2131" s="2" t="s">
        <v>2817</v>
      </c>
      <c r="H2131" s="2"/>
      <c r="I2131" s="2"/>
      <c r="J2131" s="2" t="s">
        <v>13904</v>
      </c>
      <c r="K2131" s="2" t="s">
        <v>19241</v>
      </c>
      <c r="L2131" s="82" t="s">
        <v>19003</v>
      </c>
    </row>
    <row r="2132" spans="1:12" ht="120" customHeight="1" x14ac:dyDescent="0.3">
      <c r="A2132" s="2">
        <v>2128</v>
      </c>
      <c r="B2132" s="66" t="s">
        <v>225</v>
      </c>
      <c r="C2132" s="66" t="s">
        <v>19011</v>
      </c>
      <c r="D2132" s="11" t="s">
        <v>2355</v>
      </c>
      <c r="E2132" s="11">
        <v>87217.97</v>
      </c>
      <c r="F2132" s="3">
        <v>39445</v>
      </c>
      <c r="G2132" s="2" t="s">
        <v>2817</v>
      </c>
      <c r="H2132" s="2"/>
      <c r="I2132" s="2"/>
      <c r="J2132" s="2" t="s">
        <v>13904</v>
      </c>
      <c r="K2132" s="2" t="s">
        <v>19241</v>
      </c>
      <c r="L2132" s="82" t="s">
        <v>19003</v>
      </c>
    </row>
    <row r="2133" spans="1:12" ht="120" customHeight="1" x14ac:dyDescent="0.3">
      <c r="A2133" s="2">
        <v>2129</v>
      </c>
      <c r="B2133" s="66" t="s">
        <v>19013</v>
      </c>
      <c r="C2133" s="66" t="s">
        <v>19012</v>
      </c>
      <c r="D2133" s="11" t="s">
        <v>2356</v>
      </c>
      <c r="E2133" s="11">
        <v>53251.14</v>
      </c>
      <c r="F2133" s="3">
        <v>36461</v>
      </c>
      <c r="G2133" s="2" t="s">
        <v>2817</v>
      </c>
      <c r="H2133" s="2"/>
      <c r="I2133" s="2"/>
      <c r="J2133" s="2" t="s">
        <v>13904</v>
      </c>
      <c r="K2133" s="2" t="s">
        <v>19241</v>
      </c>
      <c r="L2133" s="82" t="s">
        <v>19003</v>
      </c>
    </row>
    <row r="2134" spans="1:12" ht="120" customHeight="1" x14ac:dyDescent="0.3">
      <c r="A2134" s="2">
        <v>2130</v>
      </c>
      <c r="B2134" s="66" t="s">
        <v>2318</v>
      </c>
      <c r="C2134" s="66"/>
      <c r="D2134" s="11" t="s">
        <v>2357</v>
      </c>
      <c r="E2134" s="11">
        <v>30564.42</v>
      </c>
      <c r="F2134" s="3">
        <v>39445</v>
      </c>
      <c r="G2134" s="2" t="s">
        <v>2817</v>
      </c>
      <c r="H2134" s="3">
        <v>43053</v>
      </c>
      <c r="I2134" s="2" t="s">
        <v>19506</v>
      </c>
      <c r="J2134" s="2" t="s">
        <v>13904</v>
      </c>
      <c r="K2134" s="2" t="s">
        <v>19241</v>
      </c>
      <c r="L2134" s="82" t="s">
        <v>19512</v>
      </c>
    </row>
    <row r="2135" spans="1:12" ht="120" customHeight="1" x14ac:dyDescent="0.3">
      <c r="A2135" s="2">
        <v>2131</v>
      </c>
      <c r="B2135" s="66" t="s">
        <v>2319</v>
      </c>
      <c r="C2135" s="66"/>
      <c r="D2135" s="11" t="s">
        <v>2358</v>
      </c>
      <c r="E2135" s="11">
        <v>11092.55</v>
      </c>
      <c r="F2135" s="3">
        <v>39445</v>
      </c>
      <c r="G2135" s="2" t="s">
        <v>2817</v>
      </c>
      <c r="H2135" s="3">
        <v>43053</v>
      </c>
      <c r="I2135" s="2" t="s">
        <v>19506</v>
      </c>
      <c r="J2135" s="2" t="s">
        <v>13904</v>
      </c>
      <c r="K2135" s="2" t="s">
        <v>19241</v>
      </c>
      <c r="L2135" s="82" t="s">
        <v>19512</v>
      </c>
    </row>
    <row r="2136" spans="1:12" ht="120" customHeight="1" x14ac:dyDescent="0.3">
      <c r="A2136" s="2">
        <v>2132</v>
      </c>
      <c r="B2136" s="66" t="s">
        <v>2320</v>
      </c>
      <c r="C2136" s="66"/>
      <c r="D2136" s="11" t="s">
        <v>2359</v>
      </c>
      <c r="E2136" s="11">
        <v>11624.45</v>
      </c>
      <c r="F2136" s="3">
        <v>39445</v>
      </c>
      <c r="G2136" s="2" t="s">
        <v>2817</v>
      </c>
      <c r="H2136" s="3">
        <v>43053</v>
      </c>
      <c r="I2136" s="2" t="s">
        <v>19506</v>
      </c>
      <c r="J2136" s="2" t="s">
        <v>13904</v>
      </c>
      <c r="K2136" s="2" t="s">
        <v>19241</v>
      </c>
      <c r="L2136" s="82" t="s">
        <v>19512</v>
      </c>
    </row>
    <row r="2137" spans="1:12" ht="120" customHeight="1" x14ac:dyDescent="0.3">
      <c r="A2137" s="2">
        <v>2133</v>
      </c>
      <c r="B2137" s="66" t="s">
        <v>2321</v>
      </c>
      <c r="C2137" s="66"/>
      <c r="D2137" s="11" t="s">
        <v>2360</v>
      </c>
      <c r="E2137" s="11">
        <v>15239.2</v>
      </c>
      <c r="F2137" s="3">
        <v>39445</v>
      </c>
      <c r="G2137" s="2" t="s">
        <v>2817</v>
      </c>
      <c r="H2137" s="3">
        <v>43053</v>
      </c>
      <c r="I2137" s="2" t="s">
        <v>19506</v>
      </c>
      <c r="J2137" s="2" t="s">
        <v>13904</v>
      </c>
      <c r="K2137" s="2" t="s">
        <v>19241</v>
      </c>
      <c r="L2137" s="82" t="s">
        <v>19512</v>
      </c>
    </row>
    <row r="2138" spans="1:12" ht="120" customHeight="1" x14ac:dyDescent="0.3">
      <c r="A2138" s="2">
        <v>2134</v>
      </c>
      <c r="B2138" s="66" t="s">
        <v>2322</v>
      </c>
      <c r="C2138" s="66"/>
      <c r="D2138" s="11" t="s">
        <v>2361</v>
      </c>
      <c r="E2138" s="11">
        <v>19602.27</v>
      </c>
      <c r="F2138" s="3">
        <v>38440</v>
      </c>
      <c r="G2138" s="2" t="s">
        <v>2817</v>
      </c>
      <c r="H2138" s="3">
        <v>43053</v>
      </c>
      <c r="I2138" s="2" t="s">
        <v>19506</v>
      </c>
      <c r="J2138" s="2" t="s">
        <v>13904</v>
      </c>
      <c r="K2138" s="2" t="s">
        <v>19241</v>
      </c>
      <c r="L2138" s="82" t="s">
        <v>19512</v>
      </c>
    </row>
    <row r="2139" spans="1:12" ht="120" customHeight="1" x14ac:dyDescent="0.3">
      <c r="A2139" s="2">
        <v>2135</v>
      </c>
      <c r="B2139" s="66" t="s">
        <v>2323</v>
      </c>
      <c r="C2139" s="66"/>
      <c r="D2139" s="11" t="s">
        <v>2362</v>
      </c>
      <c r="E2139" s="11">
        <v>13310.15</v>
      </c>
      <c r="F2139" s="3">
        <v>39445</v>
      </c>
      <c r="G2139" s="2" t="s">
        <v>2817</v>
      </c>
      <c r="H2139" s="3">
        <v>43053</v>
      </c>
      <c r="I2139" s="2" t="s">
        <v>19506</v>
      </c>
      <c r="J2139" s="2" t="s">
        <v>13904</v>
      </c>
      <c r="K2139" s="2" t="s">
        <v>19241</v>
      </c>
      <c r="L2139" s="82" t="s">
        <v>19512</v>
      </c>
    </row>
    <row r="2140" spans="1:12" ht="120" customHeight="1" x14ac:dyDescent="0.3">
      <c r="A2140" s="2">
        <v>2136</v>
      </c>
      <c r="B2140" s="66" t="s">
        <v>2324</v>
      </c>
      <c r="C2140" s="66"/>
      <c r="D2140" s="11" t="s">
        <v>2363</v>
      </c>
      <c r="E2140" s="11">
        <v>18025.560000000001</v>
      </c>
      <c r="F2140" s="3">
        <v>39445</v>
      </c>
      <c r="G2140" s="2" t="s">
        <v>2817</v>
      </c>
      <c r="H2140" s="3">
        <v>43053</v>
      </c>
      <c r="I2140" s="2" t="s">
        <v>19506</v>
      </c>
      <c r="J2140" s="2" t="s">
        <v>13904</v>
      </c>
      <c r="K2140" s="2" t="s">
        <v>19241</v>
      </c>
      <c r="L2140" s="82" t="s">
        <v>19512</v>
      </c>
    </row>
    <row r="2141" spans="1:12" ht="120" customHeight="1" x14ac:dyDescent="0.3">
      <c r="A2141" s="2">
        <v>2137</v>
      </c>
      <c r="B2141" s="66" t="s">
        <v>2325</v>
      </c>
      <c r="C2141" s="66"/>
      <c r="D2141" s="11" t="s">
        <v>2364</v>
      </c>
      <c r="E2141" s="11">
        <v>13437.87</v>
      </c>
      <c r="F2141" s="3">
        <v>39445</v>
      </c>
      <c r="G2141" s="2" t="s">
        <v>2817</v>
      </c>
      <c r="H2141" s="3">
        <v>43053</v>
      </c>
      <c r="I2141" s="2" t="s">
        <v>19506</v>
      </c>
      <c r="J2141" s="2" t="s">
        <v>13904</v>
      </c>
      <c r="K2141" s="2" t="s">
        <v>19241</v>
      </c>
      <c r="L2141" s="82" t="s">
        <v>19512</v>
      </c>
    </row>
    <row r="2142" spans="1:12" ht="120" customHeight="1" x14ac:dyDescent="0.3">
      <c r="A2142" s="2">
        <v>2138</v>
      </c>
      <c r="B2142" s="66" t="s">
        <v>2326</v>
      </c>
      <c r="C2142" s="66" t="s">
        <v>19014</v>
      </c>
      <c r="D2142" s="11" t="s">
        <v>2365</v>
      </c>
      <c r="E2142" s="11">
        <v>186094.3</v>
      </c>
      <c r="F2142" s="3">
        <v>39445</v>
      </c>
      <c r="G2142" s="2" t="s">
        <v>2817</v>
      </c>
      <c r="H2142" s="2"/>
      <c r="I2142" s="2"/>
      <c r="J2142" s="2" t="s">
        <v>13904</v>
      </c>
      <c r="K2142" s="2" t="s">
        <v>19241</v>
      </c>
      <c r="L2142" s="82" t="s">
        <v>19003</v>
      </c>
    </row>
    <row r="2143" spans="1:12" ht="120" customHeight="1" x14ac:dyDescent="0.3">
      <c r="A2143" s="2">
        <v>2139</v>
      </c>
      <c r="B2143" s="66" t="s">
        <v>19015</v>
      </c>
      <c r="C2143" s="66" t="s">
        <v>19016</v>
      </c>
      <c r="D2143" s="11" t="s">
        <v>2366</v>
      </c>
      <c r="E2143" s="11">
        <v>825013.77</v>
      </c>
      <c r="F2143" s="3">
        <v>39445</v>
      </c>
      <c r="G2143" s="2" t="s">
        <v>2817</v>
      </c>
      <c r="H2143" s="2"/>
      <c r="I2143" s="2"/>
      <c r="J2143" s="2" t="s">
        <v>13904</v>
      </c>
      <c r="K2143" s="2" t="s">
        <v>19241</v>
      </c>
      <c r="L2143" s="82" t="s">
        <v>19003</v>
      </c>
    </row>
    <row r="2144" spans="1:12" ht="120" customHeight="1" x14ac:dyDescent="0.3">
      <c r="A2144" s="2">
        <v>2140</v>
      </c>
      <c r="B2144" s="66" t="s">
        <v>2327</v>
      </c>
      <c r="C2144" s="66" t="s">
        <v>19017</v>
      </c>
      <c r="D2144" s="11" t="s">
        <v>2367</v>
      </c>
      <c r="E2144" s="11">
        <v>1778449.26</v>
      </c>
      <c r="F2144" s="3">
        <v>39445</v>
      </c>
      <c r="G2144" s="2" t="s">
        <v>2817</v>
      </c>
      <c r="H2144" s="2"/>
      <c r="I2144" s="2"/>
      <c r="J2144" s="2" t="s">
        <v>13904</v>
      </c>
      <c r="K2144" s="2" t="s">
        <v>19241</v>
      </c>
      <c r="L2144" s="82" t="s">
        <v>19003</v>
      </c>
    </row>
    <row r="2145" spans="1:12" ht="120" customHeight="1" x14ac:dyDescent="0.3">
      <c r="A2145" s="2">
        <v>2141</v>
      </c>
      <c r="B2145" s="66" t="s">
        <v>2328</v>
      </c>
      <c r="C2145" s="66" t="s">
        <v>19018</v>
      </c>
      <c r="D2145" s="11" t="s">
        <v>2368</v>
      </c>
      <c r="E2145" s="11">
        <v>417666.26</v>
      </c>
      <c r="F2145" s="3">
        <v>39445</v>
      </c>
      <c r="G2145" s="2" t="s">
        <v>2817</v>
      </c>
      <c r="H2145" s="2"/>
      <c r="I2145" s="2"/>
      <c r="J2145" s="2" t="s">
        <v>13904</v>
      </c>
      <c r="K2145" s="2" t="s">
        <v>19241</v>
      </c>
      <c r="L2145" s="82" t="s">
        <v>19003</v>
      </c>
    </row>
    <row r="2146" spans="1:12" ht="120" customHeight="1" x14ac:dyDescent="0.3">
      <c r="A2146" s="2">
        <v>2142</v>
      </c>
      <c r="B2146" s="66" t="s">
        <v>19019</v>
      </c>
      <c r="C2146" s="66" t="s">
        <v>19020</v>
      </c>
      <c r="D2146" s="11" t="s">
        <v>2369</v>
      </c>
      <c r="E2146" s="11">
        <v>291478.73</v>
      </c>
      <c r="F2146" s="3">
        <v>39445</v>
      </c>
      <c r="G2146" s="2" t="s">
        <v>2817</v>
      </c>
      <c r="H2146" s="2"/>
      <c r="I2146" s="2"/>
      <c r="J2146" s="2" t="s">
        <v>13904</v>
      </c>
      <c r="K2146" s="2" t="s">
        <v>19241</v>
      </c>
      <c r="L2146" s="82" t="s">
        <v>19003</v>
      </c>
    </row>
    <row r="2147" spans="1:12" ht="120" customHeight="1" x14ac:dyDescent="0.3">
      <c r="A2147" s="2">
        <v>2143</v>
      </c>
      <c r="B2147" s="66" t="s">
        <v>2329</v>
      </c>
      <c r="C2147" s="66"/>
      <c r="D2147" s="11" t="s">
        <v>2370</v>
      </c>
      <c r="E2147" s="11">
        <v>15106.57</v>
      </c>
      <c r="F2147" s="3">
        <v>39445</v>
      </c>
      <c r="G2147" s="2" t="s">
        <v>2817</v>
      </c>
      <c r="H2147" s="3">
        <v>43053</v>
      </c>
      <c r="I2147" s="2" t="s">
        <v>19506</v>
      </c>
      <c r="J2147" s="2" t="s">
        <v>13904</v>
      </c>
      <c r="K2147" s="2" t="s">
        <v>19241</v>
      </c>
      <c r="L2147" s="82" t="s">
        <v>19512</v>
      </c>
    </row>
    <row r="2148" spans="1:12" ht="120" customHeight="1" x14ac:dyDescent="0.3">
      <c r="A2148" s="2">
        <v>2144</v>
      </c>
      <c r="B2148" s="66" t="s">
        <v>2330</v>
      </c>
      <c r="C2148" s="66"/>
      <c r="D2148" s="11" t="s">
        <v>2371</v>
      </c>
      <c r="E2148" s="11">
        <v>18906.55</v>
      </c>
      <c r="F2148" s="3">
        <v>39539</v>
      </c>
      <c r="G2148" s="2" t="s">
        <v>2817</v>
      </c>
      <c r="H2148" s="3">
        <v>43053</v>
      </c>
      <c r="I2148" s="2" t="s">
        <v>19506</v>
      </c>
      <c r="J2148" s="2" t="s">
        <v>13904</v>
      </c>
      <c r="K2148" s="2" t="s">
        <v>19241</v>
      </c>
      <c r="L2148" s="82" t="s">
        <v>19512</v>
      </c>
    </row>
    <row r="2149" spans="1:12" ht="120" customHeight="1" x14ac:dyDescent="0.3">
      <c r="A2149" s="2">
        <v>2145</v>
      </c>
      <c r="B2149" s="66" t="s">
        <v>2331</v>
      </c>
      <c r="C2149" s="66"/>
      <c r="D2149" s="11" t="s">
        <v>2372</v>
      </c>
      <c r="E2149" s="11">
        <v>11874.98</v>
      </c>
      <c r="F2149" s="3">
        <v>39445</v>
      </c>
      <c r="G2149" s="2" t="s">
        <v>2817</v>
      </c>
      <c r="H2149" s="3">
        <v>43053</v>
      </c>
      <c r="I2149" s="2" t="s">
        <v>19506</v>
      </c>
      <c r="J2149" s="2" t="s">
        <v>13904</v>
      </c>
      <c r="K2149" s="2" t="s">
        <v>19241</v>
      </c>
      <c r="L2149" s="82" t="s">
        <v>19512</v>
      </c>
    </row>
    <row r="2150" spans="1:12" ht="120" customHeight="1" x14ac:dyDescent="0.3">
      <c r="A2150" s="2">
        <v>2146</v>
      </c>
      <c r="B2150" s="66" t="s">
        <v>2332</v>
      </c>
      <c r="C2150" s="66"/>
      <c r="D2150" s="11" t="s">
        <v>2373</v>
      </c>
      <c r="E2150" s="11">
        <v>13065.84</v>
      </c>
      <c r="F2150" s="3">
        <v>39445</v>
      </c>
      <c r="G2150" s="2" t="s">
        <v>2817</v>
      </c>
      <c r="H2150" s="3">
        <v>43053</v>
      </c>
      <c r="I2150" s="2" t="s">
        <v>19506</v>
      </c>
      <c r="J2150" s="2" t="s">
        <v>13904</v>
      </c>
      <c r="K2150" s="2" t="s">
        <v>19241</v>
      </c>
      <c r="L2150" s="82" t="s">
        <v>19512</v>
      </c>
    </row>
    <row r="2151" spans="1:12" ht="120" customHeight="1" x14ac:dyDescent="0.3">
      <c r="A2151" s="2">
        <v>2147</v>
      </c>
      <c r="B2151" s="66" t="s">
        <v>2332</v>
      </c>
      <c r="C2151" s="66"/>
      <c r="D2151" s="11" t="s">
        <v>2374</v>
      </c>
      <c r="E2151" s="11">
        <v>13515.66</v>
      </c>
      <c r="F2151" s="3">
        <v>39445</v>
      </c>
      <c r="G2151" s="2" t="s">
        <v>2817</v>
      </c>
      <c r="H2151" s="3">
        <v>43053</v>
      </c>
      <c r="I2151" s="2" t="s">
        <v>19506</v>
      </c>
      <c r="J2151" s="2" t="s">
        <v>13904</v>
      </c>
      <c r="K2151" s="2" t="s">
        <v>19241</v>
      </c>
      <c r="L2151" s="82" t="s">
        <v>19512</v>
      </c>
    </row>
    <row r="2152" spans="1:12" ht="120" customHeight="1" x14ac:dyDescent="0.3">
      <c r="A2152" s="2">
        <v>2148</v>
      </c>
      <c r="B2152" s="66" t="s">
        <v>2332</v>
      </c>
      <c r="C2152" s="66"/>
      <c r="D2152" s="11" t="s">
        <v>2375</v>
      </c>
      <c r="E2152" s="11">
        <v>19823.669999999998</v>
      </c>
      <c r="F2152" s="3">
        <v>39445</v>
      </c>
      <c r="G2152" s="2" t="s">
        <v>2817</v>
      </c>
      <c r="H2152" s="3">
        <v>43053</v>
      </c>
      <c r="I2152" s="2" t="s">
        <v>19506</v>
      </c>
      <c r="J2152" s="2" t="s">
        <v>13904</v>
      </c>
      <c r="K2152" s="2" t="s">
        <v>19241</v>
      </c>
      <c r="L2152" s="82" t="s">
        <v>19512</v>
      </c>
    </row>
    <row r="2153" spans="1:12" ht="120" customHeight="1" x14ac:dyDescent="0.3">
      <c r="A2153" s="2">
        <v>2149</v>
      </c>
      <c r="B2153" s="66" t="s">
        <v>2332</v>
      </c>
      <c r="C2153" s="66"/>
      <c r="D2153" s="11" t="s">
        <v>2376</v>
      </c>
      <c r="E2153" s="11">
        <v>16212.37</v>
      </c>
      <c r="F2153" s="3">
        <v>39445</v>
      </c>
      <c r="G2153" s="2" t="s">
        <v>2817</v>
      </c>
      <c r="H2153" s="3">
        <v>43053</v>
      </c>
      <c r="I2153" s="2" t="s">
        <v>19506</v>
      </c>
      <c r="J2153" s="2" t="s">
        <v>13904</v>
      </c>
      <c r="K2153" s="2" t="s">
        <v>19241</v>
      </c>
      <c r="L2153" s="82" t="s">
        <v>19512</v>
      </c>
    </row>
    <row r="2154" spans="1:12" ht="120" customHeight="1" x14ac:dyDescent="0.3">
      <c r="A2154" s="2">
        <v>2150</v>
      </c>
      <c r="B2154" s="66" t="s">
        <v>2333</v>
      </c>
      <c r="C2154" s="66"/>
      <c r="D2154" s="11" t="s">
        <v>2377</v>
      </c>
      <c r="E2154" s="11">
        <v>11324.1</v>
      </c>
      <c r="F2154" s="3">
        <v>38608</v>
      </c>
      <c r="G2154" s="2" t="s">
        <v>2817</v>
      </c>
      <c r="H2154" s="3">
        <v>43053</v>
      </c>
      <c r="I2154" s="2" t="s">
        <v>19506</v>
      </c>
      <c r="J2154" s="2" t="s">
        <v>13904</v>
      </c>
      <c r="K2154" s="2" t="s">
        <v>19241</v>
      </c>
      <c r="L2154" s="82" t="s">
        <v>19512</v>
      </c>
    </row>
    <row r="2155" spans="1:12" ht="120" customHeight="1" x14ac:dyDescent="0.3">
      <c r="A2155" s="2">
        <v>2151</v>
      </c>
      <c r="B2155" s="66" t="s">
        <v>2334</v>
      </c>
      <c r="C2155" s="66"/>
      <c r="D2155" s="11" t="s">
        <v>2378</v>
      </c>
      <c r="E2155" s="11">
        <v>34240.639999999999</v>
      </c>
      <c r="F2155" s="3">
        <v>39112</v>
      </c>
      <c r="G2155" s="2" t="s">
        <v>2817</v>
      </c>
      <c r="H2155" s="3">
        <v>43053</v>
      </c>
      <c r="I2155" s="2" t="s">
        <v>19506</v>
      </c>
      <c r="J2155" s="2" t="s">
        <v>13904</v>
      </c>
      <c r="K2155" s="2" t="s">
        <v>19241</v>
      </c>
      <c r="L2155" s="82" t="s">
        <v>19512</v>
      </c>
    </row>
    <row r="2156" spans="1:12" ht="120" customHeight="1" x14ac:dyDescent="0.3">
      <c r="A2156" s="2">
        <v>2152</v>
      </c>
      <c r="B2156" s="66" t="s">
        <v>2335</v>
      </c>
      <c r="C2156" s="66"/>
      <c r="D2156" s="11" t="s">
        <v>2379</v>
      </c>
      <c r="E2156" s="11">
        <v>16672.5</v>
      </c>
      <c r="F2156" s="3">
        <v>40395</v>
      </c>
      <c r="G2156" s="2" t="s">
        <v>2817</v>
      </c>
      <c r="H2156" s="3">
        <v>43053</v>
      </c>
      <c r="I2156" s="2" t="s">
        <v>19506</v>
      </c>
      <c r="J2156" s="2" t="s">
        <v>13904</v>
      </c>
      <c r="K2156" s="2" t="s">
        <v>19241</v>
      </c>
      <c r="L2156" s="82" t="s">
        <v>19512</v>
      </c>
    </row>
    <row r="2157" spans="1:12" ht="120" customHeight="1" x14ac:dyDescent="0.3">
      <c r="A2157" s="2">
        <v>2153</v>
      </c>
      <c r="B2157" s="66" t="s">
        <v>2336</v>
      </c>
      <c r="C2157" s="66"/>
      <c r="D2157" s="11" t="s">
        <v>2380</v>
      </c>
      <c r="E2157" s="11">
        <v>26978.49</v>
      </c>
      <c r="F2157" s="3">
        <v>40918</v>
      </c>
      <c r="G2157" s="2" t="s">
        <v>2817</v>
      </c>
      <c r="H2157" s="3">
        <v>43053</v>
      </c>
      <c r="I2157" s="2" t="s">
        <v>19506</v>
      </c>
      <c r="J2157" s="2" t="s">
        <v>13904</v>
      </c>
      <c r="K2157" s="2" t="s">
        <v>19241</v>
      </c>
      <c r="L2157" s="82" t="s">
        <v>19512</v>
      </c>
    </row>
    <row r="2158" spans="1:12" ht="120" customHeight="1" x14ac:dyDescent="0.3">
      <c r="A2158" s="2">
        <v>2154</v>
      </c>
      <c r="B2158" s="66" t="s">
        <v>19024</v>
      </c>
      <c r="C2158" s="66" t="s">
        <v>19021</v>
      </c>
      <c r="D2158" s="11" t="s">
        <v>2381</v>
      </c>
      <c r="E2158" s="11">
        <v>54514.23</v>
      </c>
      <c r="F2158" s="3">
        <v>40918</v>
      </c>
      <c r="G2158" s="2" t="s">
        <v>2817</v>
      </c>
      <c r="H2158" s="2"/>
      <c r="I2158" s="2"/>
      <c r="J2158" s="2" t="s">
        <v>13904</v>
      </c>
      <c r="K2158" s="2" t="s">
        <v>19241</v>
      </c>
      <c r="L2158" s="82" t="s">
        <v>19003</v>
      </c>
    </row>
    <row r="2159" spans="1:12" ht="120" customHeight="1" x14ac:dyDescent="0.3">
      <c r="A2159" s="2">
        <v>2155</v>
      </c>
      <c r="B2159" s="66" t="s">
        <v>19024</v>
      </c>
      <c r="C2159" s="66" t="s">
        <v>19022</v>
      </c>
      <c r="D2159" s="11" t="s">
        <v>2381</v>
      </c>
      <c r="E2159" s="11">
        <v>10520.4</v>
      </c>
      <c r="F2159" s="3">
        <v>40918</v>
      </c>
      <c r="G2159" s="2" t="s">
        <v>2817</v>
      </c>
      <c r="H2159" s="2"/>
      <c r="I2159" s="2"/>
      <c r="J2159" s="2" t="s">
        <v>13904</v>
      </c>
      <c r="K2159" s="2" t="s">
        <v>19241</v>
      </c>
      <c r="L2159" s="82" t="s">
        <v>19003</v>
      </c>
    </row>
    <row r="2160" spans="1:12" ht="120" customHeight="1" x14ac:dyDescent="0.3">
      <c r="A2160" s="2">
        <v>2156</v>
      </c>
      <c r="B2160" s="66" t="s">
        <v>2336</v>
      </c>
      <c r="C2160" s="66"/>
      <c r="D2160" s="11" t="s">
        <v>2380</v>
      </c>
      <c r="E2160" s="11">
        <v>26978.49</v>
      </c>
      <c r="F2160" s="3">
        <v>40918</v>
      </c>
      <c r="G2160" s="2" t="s">
        <v>2817</v>
      </c>
      <c r="H2160" s="3">
        <v>43053</v>
      </c>
      <c r="I2160" s="2" t="s">
        <v>19506</v>
      </c>
      <c r="J2160" s="2" t="s">
        <v>13904</v>
      </c>
      <c r="K2160" s="2" t="s">
        <v>19241</v>
      </c>
      <c r="L2160" s="82" t="s">
        <v>19512</v>
      </c>
    </row>
    <row r="2161" spans="1:12" ht="120" customHeight="1" x14ac:dyDescent="0.3">
      <c r="A2161" s="2">
        <v>2157</v>
      </c>
      <c r="B2161" s="66" t="s">
        <v>2336</v>
      </c>
      <c r="C2161" s="66"/>
      <c r="D2161" s="11" t="s">
        <v>2380</v>
      </c>
      <c r="E2161" s="11">
        <v>26978.49</v>
      </c>
      <c r="F2161" s="3">
        <v>40918</v>
      </c>
      <c r="G2161" s="2" t="s">
        <v>2817</v>
      </c>
      <c r="H2161" s="3">
        <v>43053</v>
      </c>
      <c r="I2161" s="2" t="s">
        <v>19506</v>
      </c>
      <c r="J2161" s="2" t="s">
        <v>13904</v>
      </c>
      <c r="K2161" s="2" t="s">
        <v>19241</v>
      </c>
      <c r="L2161" s="82" t="s">
        <v>19512</v>
      </c>
    </row>
    <row r="2162" spans="1:12" ht="120" customHeight="1" x14ac:dyDescent="0.3">
      <c r="A2162" s="2">
        <v>2158</v>
      </c>
      <c r="B2162" s="66" t="s">
        <v>2336</v>
      </c>
      <c r="C2162" s="66"/>
      <c r="D2162" s="11" t="s">
        <v>2380</v>
      </c>
      <c r="E2162" s="11">
        <v>26978.49</v>
      </c>
      <c r="F2162" s="3">
        <v>40918</v>
      </c>
      <c r="G2162" s="2" t="s">
        <v>2817</v>
      </c>
      <c r="H2162" s="3">
        <v>43053</v>
      </c>
      <c r="I2162" s="2" t="s">
        <v>19506</v>
      </c>
      <c r="J2162" s="2" t="s">
        <v>13904</v>
      </c>
      <c r="K2162" s="2" t="s">
        <v>19241</v>
      </c>
      <c r="L2162" s="82" t="s">
        <v>19512</v>
      </c>
    </row>
    <row r="2163" spans="1:12" ht="120" customHeight="1" x14ac:dyDescent="0.3">
      <c r="A2163" s="2">
        <v>2159</v>
      </c>
      <c r="B2163" s="66" t="s">
        <v>19024</v>
      </c>
      <c r="C2163" s="66" t="s">
        <v>19023</v>
      </c>
      <c r="D2163" s="11" t="s">
        <v>2381</v>
      </c>
      <c r="E2163" s="11">
        <v>31560.87</v>
      </c>
      <c r="F2163" s="3">
        <v>40918</v>
      </c>
      <c r="G2163" s="2" t="s">
        <v>2817</v>
      </c>
      <c r="H2163" s="2"/>
      <c r="I2163" s="2"/>
      <c r="J2163" s="2" t="s">
        <v>13904</v>
      </c>
      <c r="K2163" s="2" t="s">
        <v>19241</v>
      </c>
      <c r="L2163" s="82" t="s">
        <v>19003</v>
      </c>
    </row>
    <row r="2164" spans="1:12" ht="120" customHeight="1" x14ac:dyDescent="0.3">
      <c r="A2164" s="2">
        <v>2160</v>
      </c>
      <c r="B2164" s="66" t="s">
        <v>19024</v>
      </c>
      <c r="C2164" s="66" t="s">
        <v>19025</v>
      </c>
      <c r="D2164" s="11" t="s">
        <v>2381</v>
      </c>
      <c r="E2164" s="11">
        <v>31560.87</v>
      </c>
      <c r="F2164" s="3">
        <v>40918</v>
      </c>
      <c r="G2164" s="2" t="s">
        <v>2817</v>
      </c>
      <c r="H2164" s="2"/>
      <c r="I2164" s="2"/>
      <c r="J2164" s="2" t="s">
        <v>13904</v>
      </c>
      <c r="K2164" s="2" t="s">
        <v>19241</v>
      </c>
      <c r="L2164" s="82" t="s">
        <v>19003</v>
      </c>
    </row>
    <row r="2165" spans="1:12" ht="120" customHeight="1" x14ac:dyDescent="0.3">
      <c r="A2165" s="2">
        <v>2161</v>
      </c>
      <c r="B2165" s="66" t="s">
        <v>1091</v>
      </c>
      <c r="C2165" s="66"/>
      <c r="D2165" s="11" t="s">
        <v>2382</v>
      </c>
      <c r="E2165" s="11">
        <v>5678.43</v>
      </c>
      <c r="F2165" s="3">
        <v>40918</v>
      </c>
      <c r="G2165" s="2" t="s">
        <v>2817</v>
      </c>
      <c r="H2165" s="3">
        <v>43053</v>
      </c>
      <c r="I2165" s="2" t="s">
        <v>19506</v>
      </c>
      <c r="J2165" s="2" t="s">
        <v>13904</v>
      </c>
      <c r="K2165" s="2" t="s">
        <v>19241</v>
      </c>
      <c r="L2165" s="82" t="s">
        <v>19512</v>
      </c>
    </row>
    <row r="2166" spans="1:12" ht="120" customHeight="1" x14ac:dyDescent="0.3">
      <c r="A2166" s="2">
        <v>2162</v>
      </c>
      <c r="B2166" s="66" t="s">
        <v>1091</v>
      </c>
      <c r="C2166" s="66" t="s">
        <v>19026</v>
      </c>
      <c r="D2166" s="11" t="s">
        <v>2383</v>
      </c>
      <c r="E2166" s="11">
        <v>21315.72</v>
      </c>
      <c r="F2166" s="3">
        <v>40918</v>
      </c>
      <c r="G2166" s="2" t="s">
        <v>2817</v>
      </c>
      <c r="H2166" s="2"/>
      <c r="I2166" s="2"/>
      <c r="J2166" s="2" t="s">
        <v>13904</v>
      </c>
      <c r="K2166" s="2" t="s">
        <v>19241</v>
      </c>
      <c r="L2166" s="82" t="s">
        <v>19003</v>
      </c>
    </row>
    <row r="2167" spans="1:12" ht="120" customHeight="1" x14ac:dyDescent="0.3">
      <c r="A2167" s="2">
        <v>2163</v>
      </c>
      <c r="B2167" s="66" t="s">
        <v>2337</v>
      </c>
      <c r="C2167" s="66"/>
      <c r="D2167" s="11" t="s">
        <v>2384</v>
      </c>
      <c r="E2167" s="11">
        <v>27129.84</v>
      </c>
      <c r="F2167" s="3">
        <v>40918</v>
      </c>
      <c r="G2167" s="2" t="s">
        <v>2817</v>
      </c>
      <c r="H2167" s="3">
        <v>43053</v>
      </c>
      <c r="I2167" s="2" t="s">
        <v>19506</v>
      </c>
      <c r="J2167" s="2" t="s">
        <v>13904</v>
      </c>
      <c r="K2167" s="2" t="s">
        <v>19241</v>
      </c>
      <c r="L2167" s="82" t="s">
        <v>19512</v>
      </c>
    </row>
    <row r="2168" spans="1:12" ht="120" customHeight="1" x14ac:dyDescent="0.3">
      <c r="A2168" s="2">
        <v>2164</v>
      </c>
      <c r="B2168" s="66" t="s">
        <v>2337</v>
      </c>
      <c r="C2168" s="66"/>
      <c r="D2168" s="11" t="s">
        <v>2384</v>
      </c>
      <c r="E2168" s="11">
        <v>27129.84</v>
      </c>
      <c r="F2168" s="3">
        <v>40918</v>
      </c>
      <c r="G2168" s="2" t="s">
        <v>2817</v>
      </c>
      <c r="H2168" s="3">
        <v>43053</v>
      </c>
      <c r="I2168" s="2" t="s">
        <v>19506</v>
      </c>
      <c r="J2168" s="2" t="s">
        <v>13904</v>
      </c>
      <c r="K2168" s="2" t="s">
        <v>19241</v>
      </c>
      <c r="L2168" s="82" t="s">
        <v>19512</v>
      </c>
    </row>
    <row r="2169" spans="1:12" ht="120" customHeight="1" x14ac:dyDescent="0.3">
      <c r="A2169" s="2">
        <v>2165</v>
      </c>
      <c r="B2169" s="66" t="s">
        <v>2337</v>
      </c>
      <c r="C2169" s="66"/>
      <c r="D2169" s="11" t="s">
        <v>2384</v>
      </c>
      <c r="E2169" s="11">
        <v>27129.84</v>
      </c>
      <c r="F2169" s="3">
        <v>40918</v>
      </c>
      <c r="G2169" s="2" t="s">
        <v>2817</v>
      </c>
      <c r="H2169" s="3">
        <v>43053</v>
      </c>
      <c r="I2169" s="2" t="s">
        <v>19506</v>
      </c>
      <c r="J2169" s="2" t="s">
        <v>13904</v>
      </c>
      <c r="K2169" s="2" t="s">
        <v>19241</v>
      </c>
      <c r="L2169" s="82" t="s">
        <v>19512</v>
      </c>
    </row>
    <row r="2170" spans="1:12" ht="120" customHeight="1" x14ac:dyDescent="0.3">
      <c r="A2170" s="2">
        <v>2166</v>
      </c>
      <c r="B2170" s="66" t="s">
        <v>2338</v>
      </c>
      <c r="C2170" s="66"/>
      <c r="D2170" s="11" t="s">
        <v>2385</v>
      </c>
      <c r="E2170" s="11">
        <v>17482.009999999998</v>
      </c>
      <c r="F2170" s="3">
        <v>40918</v>
      </c>
      <c r="G2170" s="2" t="s">
        <v>2817</v>
      </c>
      <c r="H2170" s="3">
        <v>43053</v>
      </c>
      <c r="I2170" s="2" t="s">
        <v>19506</v>
      </c>
      <c r="J2170" s="2" t="s">
        <v>13904</v>
      </c>
      <c r="K2170" s="2" t="s">
        <v>19241</v>
      </c>
      <c r="L2170" s="82" t="s">
        <v>19512</v>
      </c>
    </row>
    <row r="2171" spans="1:12" ht="120" customHeight="1" x14ac:dyDescent="0.3">
      <c r="A2171" s="2">
        <v>2167</v>
      </c>
      <c r="B2171" s="66" t="s">
        <v>2339</v>
      </c>
      <c r="C2171" s="66"/>
      <c r="D2171" s="11" t="s">
        <v>2386</v>
      </c>
      <c r="E2171" s="11">
        <v>9387</v>
      </c>
      <c r="F2171" s="3">
        <v>40918</v>
      </c>
      <c r="G2171" s="2" t="s">
        <v>2817</v>
      </c>
      <c r="H2171" s="3">
        <v>43053</v>
      </c>
      <c r="I2171" s="2" t="s">
        <v>19506</v>
      </c>
      <c r="J2171" s="2" t="s">
        <v>13904</v>
      </c>
      <c r="K2171" s="2" t="s">
        <v>19241</v>
      </c>
      <c r="L2171" s="82" t="s">
        <v>19512</v>
      </c>
    </row>
    <row r="2172" spans="1:12" ht="120" customHeight="1" x14ac:dyDescent="0.3">
      <c r="A2172" s="2">
        <v>2168</v>
      </c>
      <c r="B2172" s="66" t="s">
        <v>2339</v>
      </c>
      <c r="C2172" s="66"/>
      <c r="D2172" s="11" t="s">
        <v>2386</v>
      </c>
      <c r="E2172" s="11">
        <v>9387</v>
      </c>
      <c r="F2172" s="3">
        <v>40918</v>
      </c>
      <c r="G2172" s="2" t="s">
        <v>2817</v>
      </c>
      <c r="H2172" s="3">
        <v>43053</v>
      </c>
      <c r="I2172" s="2" t="s">
        <v>19506</v>
      </c>
      <c r="J2172" s="2" t="s">
        <v>13904</v>
      </c>
      <c r="K2172" s="2" t="s">
        <v>19241</v>
      </c>
      <c r="L2172" s="82" t="s">
        <v>19512</v>
      </c>
    </row>
    <row r="2173" spans="1:12" ht="120" customHeight="1" x14ac:dyDescent="0.3">
      <c r="A2173" s="2">
        <v>2169</v>
      </c>
      <c r="B2173" s="66" t="s">
        <v>2339</v>
      </c>
      <c r="C2173" s="66"/>
      <c r="D2173" s="11" t="s">
        <v>2386</v>
      </c>
      <c r="E2173" s="11">
        <v>9387</v>
      </c>
      <c r="F2173" s="3">
        <v>40918</v>
      </c>
      <c r="G2173" s="2" t="s">
        <v>2817</v>
      </c>
      <c r="H2173" s="3">
        <v>43053</v>
      </c>
      <c r="I2173" s="2" t="s">
        <v>19506</v>
      </c>
      <c r="J2173" s="2" t="s">
        <v>13904</v>
      </c>
      <c r="K2173" s="2" t="s">
        <v>19241</v>
      </c>
      <c r="L2173" s="82" t="s">
        <v>19512</v>
      </c>
    </row>
    <row r="2174" spans="1:12" ht="120" customHeight="1" x14ac:dyDescent="0.3">
      <c r="A2174" s="2">
        <v>2170</v>
      </c>
      <c r="B2174" s="66" t="s">
        <v>2339</v>
      </c>
      <c r="C2174" s="66"/>
      <c r="D2174" s="11" t="s">
        <v>2386</v>
      </c>
      <c r="E2174" s="11">
        <v>9387</v>
      </c>
      <c r="F2174" s="3">
        <v>40918</v>
      </c>
      <c r="G2174" s="2" t="s">
        <v>2817</v>
      </c>
      <c r="H2174" s="3">
        <v>43053</v>
      </c>
      <c r="I2174" s="2" t="s">
        <v>19506</v>
      </c>
      <c r="J2174" s="2" t="s">
        <v>13904</v>
      </c>
      <c r="K2174" s="2" t="s">
        <v>19241</v>
      </c>
      <c r="L2174" s="82" t="s">
        <v>19512</v>
      </c>
    </row>
    <row r="2175" spans="1:12" ht="120" customHeight="1" x14ac:dyDescent="0.3">
      <c r="A2175" s="2">
        <v>2171</v>
      </c>
      <c r="B2175" s="66" t="s">
        <v>2339</v>
      </c>
      <c r="C2175" s="66"/>
      <c r="D2175" s="11" t="s">
        <v>2386</v>
      </c>
      <c r="E2175" s="11">
        <v>9387</v>
      </c>
      <c r="F2175" s="3">
        <v>40918</v>
      </c>
      <c r="G2175" s="2" t="s">
        <v>2817</v>
      </c>
      <c r="H2175" s="3">
        <v>43053</v>
      </c>
      <c r="I2175" s="2" t="s">
        <v>19506</v>
      </c>
      <c r="J2175" s="2" t="s">
        <v>13904</v>
      </c>
      <c r="K2175" s="2" t="s">
        <v>19241</v>
      </c>
      <c r="L2175" s="82" t="s">
        <v>19512</v>
      </c>
    </row>
    <row r="2176" spans="1:12" ht="120" customHeight="1" x14ac:dyDescent="0.3">
      <c r="A2176" s="2">
        <v>2172</v>
      </c>
      <c r="B2176" s="66" t="s">
        <v>2339</v>
      </c>
      <c r="C2176" s="66"/>
      <c r="D2176" s="11" t="s">
        <v>2386</v>
      </c>
      <c r="E2176" s="11">
        <v>9387</v>
      </c>
      <c r="F2176" s="3">
        <v>40918</v>
      </c>
      <c r="G2176" s="2" t="s">
        <v>2817</v>
      </c>
      <c r="H2176" s="3">
        <v>43053</v>
      </c>
      <c r="I2176" s="2" t="s">
        <v>19506</v>
      </c>
      <c r="J2176" s="2" t="s">
        <v>13904</v>
      </c>
      <c r="K2176" s="2" t="s">
        <v>19241</v>
      </c>
      <c r="L2176" s="82" t="s">
        <v>19512</v>
      </c>
    </row>
    <row r="2177" spans="1:12" ht="120" customHeight="1" x14ac:dyDescent="0.3">
      <c r="A2177" s="2">
        <v>2173</v>
      </c>
      <c r="B2177" s="66" t="s">
        <v>2340</v>
      </c>
      <c r="C2177" s="66" t="s">
        <v>19027</v>
      </c>
      <c r="D2177" s="11" t="s">
        <v>2387</v>
      </c>
      <c r="E2177" s="11">
        <v>90489.78</v>
      </c>
      <c r="F2177" s="3">
        <v>40918</v>
      </c>
      <c r="G2177" s="2" t="s">
        <v>2817</v>
      </c>
      <c r="H2177" s="2"/>
      <c r="I2177" s="2"/>
      <c r="J2177" s="2" t="s">
        <v>13904</v>
      </c>
      <c r="K2177" s="2" t="s">
        <v>19241</v>
      </c>
      <c r="L2177" s="82" t="s">
        <v>19003</v>
      </c>
    </row>
    <row r="2178" spans="1:12" ht="120" customHeight="1" x14ac:dyDescent="0.3">
      <c r="A2178" s="2">
        <v>2174</v>
      </c>
      <c r="B2178" s="66" t="s">
        <v>2341</v>
      </c>
      <c r="C2178" s="66" t="s">
        <v>19028</v>
      </c>
      <c r="D2178" s="11" t="s">
        <v>2388</v>
      </c>
      <c r="E2178" s="11">
        <v>16066.02</v>
      </c>
      <c r="F2178" s="3">
        <v>40918</v>
      </c>
      <c r="G2178" s="2" t="s">
        <v>2817</v>
      </c>
      <c r="H2178" s="2"/>
      <c r="I2178" s="2"/>
      <c r="J2178" s="2" t="s">
        <v>13904</v>
      </c>
      <c r="K2178" s="2" t="s">
        <v>19241</v>
      </c>
      <c r="L2178" s="82" t="s">
        <v>19003</v>
      </c>
    </row>
    <row r="2179" spans="1:12" ht="120" customHeight="1" x14ac:dyDescent="0.3">
      <c r="A2179" s="2">
        <v>2175</v>
      </c>
      <c r="B2179" s="66" t="s">
        <v>2342</v>
      </c>
      <c r="C2179" s="66" t="s">
        <v>19004</v>
      </c>
      <c r="D2179" s="11" t="s">
        <v>2389</v>
      </c>
      <c r="E2179" s="11">
        <v>36337.5</v>
      </c>
      <c r="F2179" s="3">
        <v>40918</v>
      </c>
      <c r="G2179" s="2" t="s">
        <v>2817</v>
      </c>
      <c r="H2179" s="2"/>
      <c r="I2179" s="2"/>
      <c r="J2179" s="2" t="s">
        <v>13904</v>
      </c>
      <c r="K2179" s="2" t="s">
        <v>19241</v>
      </c>
      <c r="L2179" s="82" t="s">
        <v>19003</v>
      </c>
    </row>
    <row r="2180" spans="1:12" ht="120" customHeight="1" x14ac:dyDescent="0.3">
      <c r="A2180" s="2">
        <v>2176</v>
      </c>
      <c r="B2180" s="66" t="s">
        <v>2342</v>
      </c>
      <c r="C2180" s="66" t="s">
        <v>19029</v>
      </c>
      <c r="D2180" s="11" t="s">
        <v>2389</v>
      </c>
      <c r="E2180" s="11">
        <v>36337.5</v>
      </c>
      <c r="F2180" s="3">
        <v>40918</v>
      </c>
      <c r="G2180" s="2" t="s">
        <v>2817</v>
      </c>
      <c r="H2180" s="2"/>
      <c r="I2180" s="2"/>
      <c r="J2180" s="2" t="s">
        <v>13904</v>
      </c>
      <c r="K2180" s="2" t="s">
        <v>19241</v>
      </c>
      <c r="L2180" s="82" t="s">
        <v>19003</v>
      </c>
    </row>
    <row r="2181" spans="1:12" ht="120" customHeight="1" x14ac:dyDescent="0.3">
      <c r="A2181" s="2">
        <v>2177</v>
      </c>
      <c r="B2181" s="66" t="s">
        <v>2343</v>
      </c>
      <c r="C2181" s="66" t="s">
        <v>19030</v>
      </c>
      <c r="D2181" s="11" t="s">
        <v>2389</v>
      </c>
      <c r="E2181" s="11">
        <v>36337.5</v>
      </c>
      <c r="F2181" s="3">
        <v>40918</v>
      </c>
      <c r="G2181" s="2" t="s">
        <v>2817</v>
      </c>
      <c r="H2181" s="2"/>
      <c r="I2181" s="2"/>
      <c r="J2181" s="2" t="s">
        <v>13904</v>
      </c>
      <c r="K2181" s="2" t="s">
        <v>19241</v>
      </c>
      <c r="L2181" s="82" t="s">
        <v>19003</v>
      </c>
    </row>
    <row r="2182" spans="1:12" ht="120" customHeight="1" x14ac:dyDescent="0.3">
      <c r="A2182" s="2">
        <v>2178</v>
      </c>
      <c r="B2182" s="66" t="s">
        <v>2343</v>
      </c>
      <c r="C2182" s="66" t="s">
        <v>19031</v>
      </c>
      <c r="D2182" s="11" t="s">
        <v>2389</v>
      </c>
      <c r="E2182" s="11">
        <v>36337.5</v>
      </c>
      <c r="F2182" s="3">
        <v>40918</v>
      </c>
      <c r="G2182" s="2" t="s">
        <v>2817</v>
      </c>
      <c r="H2182" s="2"/>
      <c r="I2182" s="2"/>
      <c r="J2182" s="2" t="s">
        <v>13904</v>
      </c>
      <c r="K2182" s="2" t="s">
        <v>19241</v>
      </c>
      <c r="L2182" s="82" t="s">
        <v>19003</v>
      </c>
    </row>
    <row r="2183" spans="1:12" ht="120" customHeight="1" x14ac:dyDescent="0.3">
      <c r="A2183" s="2">
        <v>2179</v>
      </c>
      <c r="B2183" s="66" t="s">
        <v>2343</v>
      </c>
      <c r="C2183" s="66" t="s">
        <v>19032</v>
      </c>
      <c r="D2183" s="11" t="s">
        <v>2389</v>
      </c>
      <c r="E2183" s="11">
        <v>36337.5</v>
      </c>
      <c r="F2183" s="3">
        <v>40918</v>
      </c>
      <c r="G2183" s="2" t="s">
        <v>2817</v>
      </c>
      <c r="H2183" s="2"/>
      <c r="I2183" s="2"/>
      <c r="J2183" s="2" t="s">
        <v>13904</v>
      </c>
      <c r="K2183" s="2" t="s">
        <v>19241</v>
      </c>
      <c r="L2183" s="82" t="s">
        <v>19003</v>
      </c>
    </row>
    <row r="2184" spans="1:12" ht="120" customHeight="1" x14ac:dyDescent="0.3">
      <c r="A2184" s="2">
        <v>2180</v>
      </c>
      <c r="B2184" s="66" t="s">
        <v>2343</v>
      </c>
      <c r="C2184" s="66" t="s">
        <v>19033</v>
      </c>
      <c r="D2184" s="11" t="s">
        <v>2389</v>
      </c>
      <c r="E2184" s="11">
        <v>36337.5</v>
      </c>
      <c r="F2184" s="3">
        <v>40918</v>
      </c>
      <c r="G2184" s="2" t="s">
        <v>2817</v>
      </c>
      <c r="H2184" s="2"/>
      <c r="I2184" s="2"/>
      <c r="J2184" s="2" t="s">
        <v>13904</v>
      </c>
      <c r="K2184" s="2" t="s">
        <v>19241</v>
      </c>
      <c r="L2184" s="82" t="s">
        <v>19003</v>
      </c>
    </row>
    <row r="2185" spans="1:12" ht="120" customHeight="1" x14ac:dyDescent="0.3">
      <c r="A2185" s="2">
        <v>2181</v>
      </c>
      <c r="B2185" s="66" t="s">
        <v>2390</v>
      </c>
      <c r="C2185" s="66"/>
      <c r="D2185" s="11" t="s">
        <v>2526</v>
      </c>
      <c r="E2185" s="11">
        <v>6490</v>
      </c>
      <c r="F2185" s="3">
        <v>41838</v>
      </c>
      <c r="G2185" s="2" t="s">
        <v>2817</v>
      </c>
      <c r="H2185" s="3">
        <v>43053</v>
      </c>
      <c r="I2185" s="2" t="s">
        <v>19506</v>
      </c>
      <c r="J2185" s="2" t="s">
        <v>13904</v>
      </c>
      <c r="K2185" s="2" t="s">
        <v>19241</v>
      </c>
      <c r="L2185" s="82" t="s">
        <v>19512</v>
      </c>
    </row>
    <row r="2186" spans="1:12" ht="120" customHeight="1" x14ac:dyDescent="0.3">
      <c r="A2186" s="2">
        <v>2182</v>
      </c>
      <c r="B2186" s="66" t="s">
        <v>2391</v>
      </c>
      <c r="C2186" s="66"/>
      <c r="D2186" s="11" t="s">
        <v>2527</v>
      </c>
      <c r="E2186" s="11">
        <v>26883.54</v>
      </c>
      <c r="F2186" s="3">
        <v>41621</v>
      </c>
      <c r="G2186" s="2" t="s">
        <v>2817</v>
      </c>
      <c r="H2186" s="3">
        <v>43053</v>
      </c>
      <c r="I2186" s="2" t="s">
        <v>19506</v>
      </c>
      <c r="J2186" s="2" t="s">
        <v>13904</v>
      </c>
      <c r="K2186" s="2" t="s">
        <v>19241</v>
      </c>
      <c r="L2186" s="82" t="s">
        <v>19512</v>
      </c>
    </row>
    <row r="2187" spans="1:12" ht="120" customHeight="1" x14ac:dyDescent="0.3">
      <c r="A2187" s="2">
        <v>2183</v>
      </c>
      <c r="B2187" s="66" t="s">
        <v>2392</v>
      </c>
      <c r="C2187" s="66"/>
      <c r="D2187" s="11" t="s">
        <v>2528</v>
      </c>
      <c r="E2187" s="11">
        <v>11474.68</v>
      </c>
      <c r="F2187" s="3">
        <v>41621</v>
      </c>
      <c r="G2187" s="2" t="s">
        <v>2817</v>
      </c>
      <c r="H2187" s="3">
        <v>43053</v>
      </c>
      <c r="I2187" s="2" t="s">
        <v>19506</v>
      </c>
      <c r="J2187" s="2" t="s">
        <v>13904</v>
      </c>
      <c r="K2187" s="2" t="s">
        <v>19241</v>
      </c>
      <c r="L2187" s="82" t="s">
        <v>19512</v>
      </c>
    </row>
    <row r="2188" spans="1:12" ht="120" customHeight="1" x14ac:dyDescent="0.3">
      <c r="A2188" s="2">
        <v>2184</v>
      </c>
      <c r="B2188" s="66" t="s">
        <v>2393</v>
      </c>
      <c r="C2188" s="66"/>
      <c r="D2188" s="11" t="s">
        <v>1984</v>
      </c>
      <c r="E2188" s="11">
        <v>8600</v>
      </c>
      <c r="F2188" s="3">
        <v>41208</v>
      </c>
      <c r="G2188" s="2" t="s">
        <v>2817</v>
      </c>
      <c r="H2188" s="3">
        <v>43053</v>
      </c>
      <c r="I2188" s="2" t="s">
        <v>19506</v>
      </c>
      <c r="J2188" s="2" t="s">
        <v>13904</v>
      </c>
      <c r="K2188" s="2" t="s">
        <v>19241</v>
      </c>
      <c r="L2188" s="82" t="s">
        <v>19512</v>
      </c>
    </row>
    <row r="2189" spans="1:12" ht="120" customHeight="1" x14ac:dyDescent="0.3">
      <c r="A2189" s="2">
        <v>2185</v>
      </c>
      <c r="B2189" s="66" t="s">
        <v>2394</v>
      </c>
      <c r="C2189" s="66"/>
      <c r="D2189" s="11" t="s">
        <v>2529</v>
      </c>
      <c r="E2189" s="11">
        <v>23858.76</v>
      </c>
      <c r="F2189" s="3">
        <v>41417</v>
      </c>
      <c r="G2189" s="2" t="s">
        <v>2817</v>
      </c>
      <c r="H2189" s="3">
        <v>43053</v>
      </c>
      <c r="I2189" s="2" t="s">
        <v>19506</v>
      </c>
      <c r="J2189" s="2" t="s">
        <v>13904</v>
      </c>
      <c r="K2189" s="2" t="s">
        <v>19241</v>
      </c>
      <c r="L2189" s="82" t="s">
        <v>19512</v>
      </c>
    </row>
    <row r="2190" spans="1:12" ht="120" customHeight="1" x14ac:dyDescent="0.3">
      <c r="A2190" s="2">
        <v>2186</v>
      </c>
      <c r="B2190" s="66" t="s">
        <v>2395</v>
      </c>
      <c r="C2190" s="66"/>
      <c r="D2190" s="11" t="s">
        <v>2530</v>
      </c>
      <c r="E2190" s="11">
        <v>24170</v>
      </c>
      <c r="F2190" s="3">
        <v>41452</v>
      </c>
      <c r="G2190" s="2" t="s">
        <v>2817</v>
      </c>
      <c r="H2190" s="3">
        <v>43053</v>
      </c>
      <c r="I2190" s="2" t="s">
        <v>19506</v>
      </c>
      <c r="J2190" s="2" t="s">
        <v>13904</v>
      </c>
      <c r="K2190" s="2" t="s">
        <v>19241</v>
      </c>
      <c r="L2190" s="82" t="s">
        <v>19512</v>
      </c>
    </row>
    <row r="2191" spans="1:12" ht="120" customHeight="1" x14ac:dyDescent="0.3">
      <c r="A2191" s="2">
        <v>2187</v>
      </c>
      <c r="B2191" s="66" t="s">
        <v>2396</v>
      </c>
      <c r="C2191" s="66"/>
      <c r="D2191" s="11" t="s">
        <v>956</v>
      </c>
      <c r="E2191" s="11">
        <v>3550</v>
      </c>
      <c r="F2191" s="3">
        <v>41487</v>
      </c>
      <c r="G2191" s="2" t="s">
        <v>2817</v>
      </c>
      <c r="H2191" s="3">
        <v>43053</v>
      </c>
      <c r="I2191" s="2" t="s">
        <v>19506</v>
      </c>
      <c r="J2191" s="2" t="s">
        <v>13904</v>
      </c>
      <c r="K2191" s="2" t="s">
        <v>19241</v>
      </c>
      <c r="L2191" s="82" t="s">
        <v>19512</v>
      </c>
    </row>
    <row r="2192" spans="1:12" ht="120" customHeight="1" x14ac:dyDescent="0.3">
      <c r="A2192" s="2">
        <v>2188</v>
      </c>
      <c r="B2192" s="66" t="s">
        <v>2397</v>
      </c>
      <c r="C2192" s="66"/>
      <c r="D2192" s="11" t="s">
        <v>2531</v>
      </c>
      <c r="E2192" s="11">
        <v>9900</v>
      </c>
      <c r="F2192" s="3">
        <v>41470</v>
      </c>
      <c r="G2192" s="2" t="s">
        <v>2817</v>
      </c>
      <c r="H2192" s="3">
        <v>43053</v>
      </c>
      <c r="I2192" s="2" t="s">
        <v>19506</v>
      </c>
      <c r="J2192" s="2" t="s">
        <v>13904</v>
      </c>
      <c r="K2192" s="2" t="s">
        <v>19241</v>
      </c>
      <c r="L2192" s="82" t="s">
        <v>19512</v>
      </c>
    </row>
    <row r="2193" spans="1:12" ht="120" customHeight="1" x14ac:dyDescent="0.3">
      <c r="A2193" s="2">
        <v>2189</v>
      </c>
      <c r="B2193" s="66" t="s">
        <v>2398</v>
      </c>
      <c r="C2193" s="66"/>
      <c r="D2193" s="11" t="s">
        <v>1253</v>
      </c>
      <c r="E2193" s="11">
        <v>4200</v>
      </c>
      <c r="F2193" s="3">
        <v>41025</v>
      </c>
      <c r="G2193" s="2" t="s">
        <v>2817</v>
      </c>
      <c r="H2193" s="3">
        <v>43053</v>
      </c>
      <c r="I2193" s="2" t="s">
        <v>19506</v>
      </c>
      <c r="J2193" s="2" t="s">
        <v>13904</v>
      </c>
      <c r="K2193" s="2" t="s">
        <v>19241</v>
      </c>
      <c r="L2193" s="82" t="s">
        <v>19512</v>
      </c>
    </row>
    <row r="2194" spans="1:12" ht="120" customHeight="1" x14ac:dyDescent="0.3">
      <c r="A2194" s="2">
        <v>2190</v>
      </c>
      <c r="B2194" s="66" t="s">
        <v>2399</v>
      </c>
      <c r="C2194" s="66"/>
      <c r="D2194" s="11" t="s">
        <v>2532</v>
      </c>
      <c r="E2194" s="11">
        <v>4179.96</v>
      </c>
      <c r="F2194" s="3">
        <v>41180</v>
      </c>
      <c r="G2194" s="2" t="s">
        <v>2817</v>
      </c>
      <c r="H2194" s="3">
        <v>43053</v>
      </c>
      <c r="I2194" s="2" t="s">
        <v>19506</v>
      </c>
      <c r="J2194" s="2" t="s">
        <v>13904</v>
      </c>
      <c r="K2194" s="2" t="s">
        <v>19241</v>
      </c>
      <c r="L2194" s="82" t="s">
        <v>19512</v>
      </c>
    </row>
    <row r="2195" spans="1:12" ht="120" customHeight="1" x14ac:dyDescent="0.3">
      <c r="A2195" s="2">
        <v>2191</v>
      </c>
      <c r="B2195" s="66" t="s">
        <v>2400</v>
      </c>
      <c r="C2195" s="66"/>
      <c r="D2195" s="11" t="s">
        <v>2012</v>
      </c>
      <c r="E2195" s="11">
        <v>3100</v>
      </c>
      <c r="F2195" s="3">
        <v>40654</v>
      </c>
      <c r="G2195" s="2" t="s">
        <v>2817</v>
      </c>
      <c r="H2195" s="3">
        <v>43053</v>
      </c>
      <c r="I2195" s="2" t="s">
        <v>19506</v>
      </c>
      <c r="J2195" s="2" t="s">
        <v>13904</v>
      </c>
      <c r="K2195" s="2" t="s">
        <v>19241</v>
      </c>
      <c r="L2195" s="82" t="s">
        <v>19512</v>
      </c>
    </row>
    <row r="2196" spans="1:12" ht="120" customHeight="1" x14ac:dyDescent="0.3">
      <c r="A2196" s="2">
        <v>2192</v>
      </c>
      <c r="B2196" s="66" t="s">
        <v>2401</v>
      </c>
      <c r="C2196" s="66"/>
      <c r="D2196" s="11" t="s">
        <v>2533</v>
      </c>
      <c r="E2196" s="11">
        <v>5400</v>
      </c>
      <c r="F2196" s="3">
        <v>40634</v>
      </c>
      <c r="G2196" s="2" t="s">
        <v>2817</v>
      </c>
      <c r="H2196" s="3">
        <v>43053</v>
      </c>
      <c r="I2196" s="2" t="s">
        <v>19506</v>
      </c>
      <c r="J2196" s="2" t="s">
        <v>13904</v>
      </c>
      <c r="K2196" s="2" t="s">
        <v>19241</v>
      </c>
      <c r="L2196" s="82" t="s">
        <v>19512</v>
      </c>
    </row>
    <row r="2197" spans="1:12" ht="120" customHeight="1" x14ac:dyDescent="0.3">
      <c r="A2197" s="2">
        <v>2193</v>
      </c>
      <c r="B2197" s="66" t="s">
        <v>2402</v>
      </c>
      <c r="C2197" s="66"/>
      <c r="D2197" s="11" t="s">
        <v>2534</v>
      </c>
      <c r="E2197" s="11">
        <v>5700</v>
      </c>
      <c r="F2197" s="3">
        <v>40634</v>
      </c>
      <c r="G2197" s="2" t="s">
        <v>2817</v>
      </c>
      <c r="H2197" s="3">
        <v>43053</v>
      </c>
      <c r="I2197" s="2" t="s">
        <v>19506</v>
      </c>
      <c r="J2197" s="2" t="s">
        <v>13904</v>
      </c>
      <c r="K2197" s="2" t="s">
        <v>19241</v>
      </c>
      <c r="L2197" s="82" t="s">
        <v>19512</v>
      </c>
    </row>
    <row r="2198" spans="1:12" ht="120" customHeight="1" x14ac:dyDescent="0.3">
      <c r="A2198" s="2">
        <v>2194</v>
      </c>
      <c r="B2198" s="66" t="s">
        <v>2402</v>
      </c>
      <c r="C2198" s="66"/>
      <c r="D2198" s="11" t="s">
        <v>2534</v>
      </c>
      <c r="E2198" s="11">
        <v>5700</v>
      </c>
      <c r="F2198" s="3">
        <v>40634</v>
      </c>
      <c r="G2198" s="2" t="s">
        <v>2817</v>
      </c>
      <c r="H2198" s="3">
        <v>43053</v>
      </c>
      <c r="I2198" s="2" t="s">
        <v>19506</v>
      </c>
      <c r="J2198" s="2" t="s">
        <v>13904</v>
      </c>
      <c r="K2198" s="2" t="s">
        <v>19241</v>
      </c>
      <c r="L2198" s="82" t="s">
        <v>19512</v>
      </c>
    </row>
    <row r="2199" spans="1:12" ht="120" customHeight="1" x14ac:dyDescent="0.3">
      <c r="A2199" s="2">
        <v>2195</v>
      </c>
      <c r="B2199" s="66" t="s">
        <v>2403</v>
      </c>
      <c r="C2199" s="66"/>
      <c r="D2199" s="11" t="s">
        <v>2535</v>
      </c>
      <c r="E2199" s="11">
        <v>7100</v>
      </c>
      <c r="F2199" s="3">
        <v>40634</v>
      </c>
      <c r="G2199" s="2" t="s">
        <v>2817</v>
      </c>
      <c r="H2199" s="3">
        <v>43053</v>
      </c>
      <c r="I2199" s="2" t="s">
        <v>19506</v>
      </c>
      <c r="J2199" s="2" t="s">
        <v>13904</v>
      </c>
      <c r="K2199" s="2" t="s">
        <v>19241</v>
      </c>
      <c r="L2199" s="82" t="s">
        <v>19512</v>
      </c>
    </row>
    <row r="2200" spans="1:12" ht="120" customHeight="1" x14ac:dyDescent="0.3">
      <c r="A2200" s="2">
        <v>2196</v>
      </c>
      <c r="B2200" s="66" t="s">
        <v>2404</v>
      </c>
      <c r="C2200" s="66"/>
      <c r="D2200" s="11" t="s">
        <v>2056</v>
      </c>
      <c r="E2200" s="11">
        <v>4240</v>
      </c>
      <c r="F2200" s="3">
        <v>40001</v>
      </c>
      <c r="G2200" s="2" t="s">
        <v>2817</v>
      </c>
      <c r="H2200" s="3">
        <v>43053</v>
      </c>
      <c r="I2200" s="2" t="s">
        <v>19506</v>
      </c>
      <c r="J2200" s="2" t="s">
        <v>13904</v>
      </c>
      <c r="K2200" s="2" t="s">
        <v>19241</v>
      </c>
      <c r="L2200" s="82" t="s">
        <v>19512</v>
      </c>
    </row>
    <row r="2201" spans="1:12" ht="120" customHeight="1" x14ac:dyDescent="0.3">
      <c r="A2201" s="2">
        <v>2197</v>
      </c>
      <c r="B2201" s="66" t="s">
        <v>2405</v>
      </c>
      <c r="C2201" s="66"/>
      <c r="D2201" s="11" t="s">
        <v>2536</v>
      </c>
      <c r="E2201" s="11">
        <v>3340.54</v>
      </c>
      <c r="F2201" s="3">
        <v>38806</v>
      </c>
      <c r="G2201" s="2" t="s">
        <v>2817</v>
      </c>
      <c r="H2201" s="3">
        <v>43053</v>
      </c>
      <c r="I2201" s="2" t="s">
        <v>19506</v>
      </c>
      <c r="J2201" s="2" t="s">
        <v>13904</v>
      </c>
      <c r="K2201" s="2" t="s">
        <v>19241</v>
      </c>
      <c r="L2201" s="82" t="s">
        <v>19512</v>
      </c>
    </row>
    <row r="2202" spans="1:12" ht="120" customHeight="1" x14ac:dyDescent="0.3">
      <c r="A2202" s="2">
        <v>2198</v>
      </c>
      <c r="B2202" s="66" t="s">
        <v>2406</v>
      </c>
      <c r="C2202" s="66"/>
      <c r="D2202" s="11" t="s">
        <v>2537</v>
      </c>
      <c r="E2202" s="11">
        <v>9430</v>
      </c>
      <c r="F2202" s="3">
        <v>39994</v>
      </c>
      <c r="G2202" s="2" t="s">
        <v>2817</v>
      </c>
      <c r="H2202" s="3">
        <v>43053</v>
      </c>
      <c r="I2202" s="2" t="s">
        <v>19506</v>
      </c>
      <c r="J2202" s="2" t="s">
        <v>13904</v>
      </c>
      <c r="K2202" s="2" t="s">
        <v>19241</v>
      </c>
      <c r="L2202" s="82" t="s">
        <v>19512</v>
      </c>
    </row>
    <row r="2203" spans="1:12" ht="120" customHeight="1" x14ac:dyDescent="0.3">
      <c r="A2203" s="2">
        <v>2199</v>
      </c>
      <c r="B2203" s="66" t="s">
        <v>2407</v>
      </c>
      <c r="C2203" s="66"/>
      <c r="D2203" s="11" t="s">
        <v>2538</v>
      </c>
      <c r="E2203" s="11">
        <v>3650</v>
      </c>
      <c r="F2203" s="3">
        <v>40450</v>
      </c>
      <c r="G2203" s="2" t="s">
        <v>2817</v>
      </c>
      <c r="H2203" s="3">
        <v>43053</v>
      </c>
      <c r="I2203" s="2" t="s">
        <v>19506</v>
      </c>
      <c r="J2203" s="2" t="s">
        <v>13904</v>
      </c>
      <c r="K2203" s="2" t="s">
        <v>19241</v>
      </c>
      <c r="L2203" s="82" t="s">
        <v>19512</v>
      </c>
    </row>
    <row r="2204" spans="1:12" ht="120" customHeight="1" x14ac:dyDescent="0.3">
      <c r="A2204" s="2">
        <v>2200</v>
      </c>
      <c r="B2204" s="66" t="s">
        <v>2407</v>
      </c>
      <c r="C2204" s="66"/>
      <c r="D2204" s="11" t="s">
        <v>2538</v>
      </c>
      <c r="E2204" s="11">
        <v>3650</v>
      </c>
      <c r="F2204" s="3">
        <v>40450</v>
      </c>
      <c r="G2204" s="2" t="s">
        <v>2817</v>
      </c>
      <c r="H2204" s="3">
        <v>43053</v>
      </c>
      <c r="I2204" s="2" t="s">
        <v>19506</v>
      </c>
      <c r="J2204" s="2" t="s">
        <v>13904</v>
      </c>
      <c r="K2204" s="2" t="s">
        <v>19241</v>
      </c>
      <c r="L2204" s="82" t="s">
        <v>19512</v>
      </c>
    </row>
    <row r="2205" spans="1:12" ht="120" customHeight="1" x14ac:dyDescent="0.3">
      <c r="A2205" s="2">
        <v>2201</v>
      </c>
      <c r="B2205" s="66" t="s">
        <v>2408</v>
      </c>
      <c r="C2205" s="66"/>
      <c r="D2205" s="11" t="s">
        <v>997</v>
      </c>
      <c r="E2205" s="11">
        <v>10200</v>
      </c>
      <c r="F2205" s="3">
        <v>40270</v>
      </c>
      <c r="G2205" s="2" t="s">
        <v>2817</v>
      </c>
      <c r="H2205" s="3">
        <v>43053</v>
      </c>
      <c r="I2205" s="2" t="s">
        <v>19506</v>
      </c>
      <c r="J2205" s="2" t="s">
        <v>13904</v>
      </c>
      <c r="K2205" s="2" t="s">
        <v>19241</v>
      </c>
      <c r="L2205" s="82" t="s">
        <v>19512</v>
      </c>
    </row>
    <row r="2206" spans="1:12" ht="120" customHeight="1" x14ac:dyDescent="0.3">
      <c r="A2206" s="2">
        <v>2202</v>
      </c>
      <c r="B2206" s="66" t="s">
        <v>2409</v>
      </c>
      <c r="C2206" s="66"/>
      <c r="D2206" s="11" t="s">
        <v>2539</v>
      </c>
      <c r="E2206" s="11">
        <v>8560</v>
      </c>
      <c r="F2206" s="3">
        <v>40177</v>
      </c>
      <c r="G2206" s="2" t="s">
        <v>2817</v>
      </c>
      <c r="H2206" s="3">
        <v>43053</v>
      </c>
      <c r="I2206" s="2" t="s">
        <v>19506</v>
      </c>
      <c r="J2206" s="2" t="s">
        <v>13904</v>
      </c>
      <c r="K2206" s="2" t="s">
        <v>19241</v>
      </c>
      <c r="L2206" s="82" t="s">
        <v>19512</v>
      </c>
    </row>
    <row r="2207" spans="1:12" ht="120" customHeight="1" x14ac:dyDescent="0.3">
      <c r="A2207" s="2">
        <v>2203</v>
      </c>
      <c r="B2207" s="66" t="s">
        <v>2410</v>
      </c>
      <c r="C2207" s="66"/>
      <c r="D2207" s="11" t="s">
        <v>2213</v>
      </c>
      <c r="E2207" s="11">
        <v>7500</v>
      </c>
      <c r="F2207" s="3">
        <v>39444</v>
      </c>
      <c r="G2207" s="2" t="s">
        <v>2817</v>
      </c>
      <c r="H2207" s="3">
        <v>43053</v>
      </c>
      <c r="I2207" s="2" t="s">
        <v>19506</v>
      </c>
      <c r="J2207" s="2" t="s">
        <v>13904</v>
      </c>
      <c r="K2207" s="2" t="s">
        <v>19241</v>
      </c>
      <c r="L2207" s="82" t="s">
        <v>19512</v>
      </c>
    </row>
    <row r="2208" spans="1:12" ht="120" customHeight="1" x14ac:dyDescent="0.3">
      <c r="A2208" s="2">
        <v>2204</v>
      </c>
      <c r="B2208" s="66" t="s">
        <v>2411</v>
      </c>
      <c r="C2208" s="66"/>
      <c r="D2208" s="11" t="s">
        <v>2540</v>
      </c>
      <c r="E2208" s="11">
        <v>9250</v>
      </c>
      <c r="F2208" s="3">
        <v>40270</v>
      </c>
      <c r="G2208" s="2" t="s">
        <v>2817</v>
      </c>
      <c r="H2208" s="3">
        <v>43053</v>
      </c>
      <c r="I2208" s="2" t="s">
        <v>19506</v>
      </c>
      <c r="J2208" s="2" t="s">
        <v>13904</v>
      </c>
      <c r="K2208" s="2" t="s">
        <v>19241</v>
      </c>
      <c r="L2208" s="82" t="s">
        <v>19512</v>
      </c>
    </row>
    <row r="2209" spans="1:12" ht="120" customHeight="1" x14ac:dyDescent="0.3">
      <c r="A2209" s="2">
        <v>2205</v>
      </c>
      <c r="B2209" s="66" t="s">
        <v>2412</v>
      </c>
      <c r="C2209" s="66"/>
      <c r="D2209" s="11" t="s">
        <v>1448</v>
      </c>
      <c r="E2209" s="11">
        <v>11638.14</v>
      </c>
      <c r="F2209" s="3">
        <v>40541</v>
      </c>
      <c r="G2209" s="2" t="s">
        <v>2817</v>
      </c>
      <c r="H2209" s="3">
        <v>43053</v>
      </c>
      <c r="I2209" s="2" t="s">
        <v>19506</v>
      </c>
      <c r="J2209" s="2" t="s">
        <v>13904</v>
      </c>
      <c r="K2209" s="2" t="s">
        <v>19241</v>
      </c>
      <c r="L2209" s="82" t="s">
        <v>19512</v>
      </c>
    </row>
    <row r="2210" spans="1:12" ht="120" customHeight="1" x14ac:dyDescent="0.3">
      <c r="A2210" s="2">
        <v>2206</v>
      </c>
      <c r="B2210" s="66" t="s">
        <v>2413</v>
      </c>
      <c r="C2210" s="66"/>
      <c r="D2210" s="11" t="s">
        <v>2541</v>
      </c>
      <c r="E2210" s="11">
        <v>36668</v>
      </c>
      <c r="F2210" s="3">
        <v>40303</v>
      </c>
      <c r="G2210" s="2" t="s">
        <v>2817</v>
      </c>
      <c r="H2210" s="3">
        <v>43053</v>
      </c>
      <c r="I2210" s="2" t="s">
        <v>19506</v>
      </c>
      <c r="J2210" s="2" t="s">
        <v>13904</v>
      </c>
      <c r="K2210" s="2" t="s">
        <v>19241</v>
      </c>
      <c r="L2210" s="82" t="s">
        <v>19512</v>
      </c>
    </row>
    <row r="2211" spans="1:12" ht="120" customHeight="1" x14ac:dyDescent="0.3">
      <c r="A2211" s="2">
        <v>2207</v>
      </c>
      <c r="B2211" s="66" t="s">
        <v>2414</v>
      </c>
      <c r="C2211" s="66"/>
      <c r="D2211" s="11" t="s">
        <v>2542</v>
      </c>
      <c r="E2211" s="11">
        <v>27800</v>
      </c>
      <c r="F2211" s="3">
        <v>40309</v>
      </c>
      <c r="G2211" s="2" t="s">
        <v>2817</v>
      </c>
      <c r="H2211" s="3">
        <v>43053</v>
      </c>
      <c r="I2211" s="2" t="s">
        <v>19506</v>
      </c>
      <c r="J2211" s="2" t="s">
        <v>13904</v>
      </c>
      <c r="K2211" s="2" t="s">
        <v>19241</v>
      </c>
      <c r="L2211" s="82" t="s">
        <v>19512</v>
      </c>
    </row>
    <row r="2212" spans="1:12" ht="120" customHeight="1" x14ac:dyDescent="0.3">
      <c r="A2212" s="2">
        <v>2208</v>
      </c>
      <c r="B2212" s="66" t="s">
        <v>1209</v>
      </c>
      <c r="C2212" s="66"/>
      <c r="D2212" s="11" t="s">
        <v>2543</v>
      </c>
      <c r="E2212" s="11">
        <v>9324</v>
      </c>
      <c r="F2212" s="3">
        <v>39196</v>
      </c>
      <c r="G2212" s="2" t="s">
        <v>2817</v>
      </c>
      <c r="H2212" s="3">
        <v>43053</v>
      </c>
      <c r="I2212" s="2" t="s">
        <v>19506</v>
      </c>
      <c r="J2212" s="2" t="s">
        <v>13904</v>
      </c>
      <c r="K2212" s="2" t="s">
        <v>19241</v>
      </c>
      <c r="L2212" s="82" t="s">
        <v>19512</v>
      </c>
    </row>
    <row r="2213" spans="1:12" ht="120" customHeight="1" x14ac:dyDescent="0.3">
      <c r="A2213" s="2">
        <v>2209</v>
      </c>
      <c r="B2213" s="66" t="s">
        <v>2415</v>
      </c>
      <c r="C2213" s="66"/>
      <c r="D2213" s="11" t="s">
        <v>2287</v>
      </c>
      <c r="E2213" s="11">
        <v>20000</v>
      </c>
      <c r="F2213" s="3">
        <v>39639</v>
      </c>
      <c r="G2213" s="2" t="s">
        <v>2817</v>
      </c>
      <c r="H2213" s="3">
        <v>43053</v>
      </c>
      <c r="I2213" s="2" t="s">
        <v>19506</v>
      </c>
      <c r="J2213" s="2" t="s">
        <v>13904</v>
      </c>
      <c r="K2213" s="2" t="s">
        <v>19241</v>
      </c>
      <c r="L2213" s="82" t="s">
        <v>19512</v>
      </c>
    </row>
    <row r="2214" spans="1:12" ht="120" customHeight="1" x14ac:dyDescent="0.3">
      <c r="A2214" s="2">
        <v>2210</v>
      </c>
      <c r="B2214" s="66" t="s">
        <v>2416</v>
      </c>
      <c r="C2214" s="66"/>
      <c r="D2214" s="11" t="s">
        <v>2544</v>
      </c>
      <c r="E2214" s="11">
        <v>4952</v>
      </c>
      <c r="F2214" s="3">
        <v>39534</v>
      </c>
      <c r="G2214" s="2" t="s">
        <v>2817</v>
      </c>
      <c r="H2214" s="3">
        <v>43053</v>
      </c>
      <c r="I2214" s="2" t="s">
        <v>19506</v>
      </c>
      <c r="J2214" s="2" t="s">
        <v>13904</v>
      </c>
      <c r="K2214" s="2" t="s">
        <v>19241</v>
      </c>
      <c r="L2214" s="82" t="s">
        <v>19512</v>
      </c>
    </row>
    <row r="2215" spans="1:12" ht="120" customHeight="1" x14ac:dyDescent="0.3">
      <c r="A2215" s="2">
        <v>2211</v>
      </c>
      <c r="B2215" s="66" t="s">
        <v>2417</v>
      </c>
      <c r="C2215" s="66"/>
      <c r="D2215" s="11" t="s">
        <v>2545</v>
      </c>
      <c r="E2215" s="11">
        <v>4725</v>
      </c>
      <c r="F2215" s="3">
        <v>39534</v>
      </c>
      <c r="G2215" s="2" t="s">
        <v>2817</v>
      </c>
      <c r="H2215" s="3">
        <v>43053</v>
      </c>
      <c r="I2215" s="2" t="s">
        <v>19506</v>
      </c>
      <c r="J2215" s="2" t="s">
        <v>13904</v>
      </c>
      <c r="K2215" s="2" t="s">
        <v>19241</v>
      </c>
      <c r="L2215" s="82" t="s">
        <v>19512</v>
      </c>
    </row>
    <row r="2216" spans="1:12" ht="120" customHeight="1" x14ac:dyDescent="0.3">
      <c r="A2216" s="2">
        <v>2212</v>
      </c>
      <c r="B2216" s="66" t="s">
        <v>2418</v>
      </c>
      <c r="C2216" s="66"/>
      <c r="D2216" s="11" t="s">
        <v>2546</v>
      </c>
      <c r="E2216" s="11">
        <v>4040.32</v>
      </c>
      <c r="F2216" s="3">
        <v>38806</v>
      </c>
      <c r="G2216" s="2" t="s">
        <v>2817</v>
      </c>
      <c r="H2216" s="3">
        <v>43053</v>
      </c>
      <c r="I2216" s="2" t="s">
        <v>19506</v>
      </c>
      <c r="J2216" s="2" t="s">
        <v>13904</v>
      </c>
      <c r="K2216" s="2" t="s">
        <v>19241</v>
      </c>
      <c r="L2216" s="82" t="s">
        <v>19512</v>
      </c>
    </row>
    <row r="2217" spans="1:12" ht="120" customHeight="1" x14ac:dyDescent="0.3">
      <c r="A2217" s="2">
        <v>2213</v>
      </c>
      <c r="B2217" s="66" t="s">
        <v>2419</v>
      </c>
      <c r="C2217" s="66"/>
      <c r="D2217" s="11" t="s">
        <v>2547</v>
      </c>
      <c r="E2217" s="11">
        <v>15895</v>
      </c>
      <c r="F2217" s="3">
        <v>39842</v>
      </c>
      <c r="G2217" s="2" t="s">
        <v>2817</v>
      </c>
      <c r="H2217" s="3">
        <v>43053</v>
      </c>
      <c r="I2217" s="2" t="s">
        <v>19506</v>
      </c>
      <c r="J2217" s="2" t="s">
        <v>13904</v>
      </c>
      <c r="K2217" s="2" t="s">
        <v>19241</v>
      </c>
      <c r="L2217" s="82" t="s">
        <v>19512</v>
      </c>
    </row>
    <row r="2218" spans="1:12" ht="120" customHeight="1" x14ac:dyDescent="0.3">
      <c r="A2218" s="2">
        <v>2214</v>
      </c>
      <c r="B2218" s="66" t="s">
        <v>1095</v>
      </c>
      <c r="C2218" s="66"/>
      <c r="D2218" s="11" t="s">
        <v>1486</v>
      </c>
      <c r="E2218" s="11">
        <v>22405.67</v>
      </c>
      <c r="F2218" s="3">
        <v>40306</v>
      </c>
      <c r="G2218" s="2" t="s">
        <v>2817</v>
      </c>
      <c r="H2218" s="3">
        <v>43053</v>
      </c>
      <c r="I2218" s="2" t="s">
        <v>19506</v>
      </c>
      <c r="J2218" s="2" t="s">
        <v>13904</v>
      </c>
      <c r="K2218" s="2" t="s">
        <v>19241</v>
      </c>
      <c r="L2218" s="82" t="s">
        <v>19512</v>
      </c>
    </row>
    <row r="2219" spans="1:12" ht="120" customHeight="1" x14ac:dyDescent="0.3">
      <c r="A2219" s="2">
        <v>2215</v>
      </c>
      <c r="B2219" s="66" t="s">
        <v>2420</v>
      </c>
      <c r="C2219" s="66"/>
      <c r="D2219" s="11" t="s">
        <v>2548</v>
      </c>
      <c r="E2219" s="11">
        <v>3300</v>
      </c>
      <c r="F2219" s="3">
        <v>39534</v>
      </c>
      <c r="G2219" s="2" t="s">
        <v>2817</v>
      </c>
      <c r="H2219" s="3">
        <v>43053</v>
      </c>
      <c r="I2219" s="2" t="s">
        <v>19506</v>
      </c>
      <c r="J2219" s="2" t="s">
        <v>13904</v>
      </c>
      <c r="K2219" s="2" t="s">
        <v>19241</v>
      </c>
      <c r="L2219" s="82" t="s">
        <v>19512</v>
      </c>
    </row>
    <row r="2220" spans="1:12" ht="120" customHeight="1" x14ac:dyDescent="0.3">
      <c r="A2220" s="2">
        <v>2216</v>
      </c>
      <c r="B2220" s="66" t="s">
        <v>2421</v>
      </c>
      <c r="C2220" s="66"/>
      <c r="D2220" s="11" t="s">
        <v>2549</v>
      </c>
      <c r="E2220" s="11">
        <v>7023</v>
      </c>
      <c r="F2220" s="3">
        <v>39534</v>
      </c>
      <c r="G2220" s="2" t="s">
        <v>2817</v>
      </c>
      <c r="H2220" s="3">
        <v>43053</v>
      </c>
      <c r="I2220" s="2" t="s">
        <v>19506</v>
      </c>
      <c r="J2220" s="2" t="s">
        <v>13904</v>
      </c>
      <c r="K2220" s="2" t="s">
        <v>19241</v>
      </c>
      <c r="L2220" s="82" t="s">
        <v>19512</v>
      </c>
    </row>
    <row r="2221" spans="1:12" ht="120" customHeight="1" x14ac:dyDescent="0.3">
      <c r="A2221" s="2">
        <v>2217</v>
      </c>
      <c r="B2221" s="66" t="s">
        <v>2422</v>
      </c>
      <c r="C2221" s="66"/>
      <c r="D2221" s="11" t="s">
        <v>2550</v>
      </c>
      <c r="E2221" s="11">
        <v>10468.57</v>
      </c>
      <c r="F2221" s="3">
        <v>40217</v>
      </c>
      <c r="G2221" s="2" t="s">
        <v>2817</v>
      </c>
      <c r="H2221" s="3">
        <v>43053</v>
      </c>
      <c r="I2221" s="2" t="s">
        <v>19506</v>
      </c>
      <c r="J2221" s="2" t="s">
        <v>13904</v>
      </c>
      <c r="K2221" s="2" t="s">
        <v>19241</v>
      </c>
      <c r="L2221" s="82" t="s">
        <v>19512</v>
      </c>
    </row>
    <row r="2222" spans="1:12" ht="120" customHeight="1" x14ac:dyDescent="0.3">
      <c r="A2222" s="2">
        <v>2218</v>
      </c>
      <c r="B2222" s="66" t="s">
        <v>2423</v>
      </c>
      <c r="C2222" s="66"/>
      <c r="D2222" s="11" t="s">
        <v>2024</v>
      </c>
      <c r="E2222" s="11">
        <v>3050</v>
      </c>
      <c r="F2222" s="3">
        <v>40096</v>
      </c>
      <c r="G2222" s="2" t="s">
        <v>2817</v>
      </c>
      <c r="H2222" s="3">
        <v>43053</v>
      </c>
      <c r="I2222" s="2" t="s">
        <v>19506</v>
      </c>
      <c r="J2222" s="2" t="s">
        <v>13904</v>
      </c>
      <c r="K2222" s="2" t="s">
        <v>19241</v>
      </c>
      <c r="L2222" s="82" t="s">
        <v>19512</v>
      </c>
    </row>
    <row r="2223" spans="1:12" ht="120" customHeight="1" x14ac:dyDescent="0.3">
      <c r="A2223" s="2">
        <v>2219</v>
      </c>
      <c r="B2223" s="66" t="s">
        <v>2424</v>
      </c>
      <c r="C2223" s="66"/>
      <c r="D2223" s="11" t="s">
        <v>2302</v>
      </c>
      <c r="E2223" s="11">
        <v>6400</v>
      </c>
      <c r="F2223" s="3">
        <v>40532</v>
      </c>
      <c r="G2223" s="2" t="s">
        <v>2817</v>
      </c>
      <c r="H2223" s="3">
        <v>43053</v>
      </c>
      <c r="I2223" s="2" t="s">
        <v>19506</v>
      </c>
      <c r="J2223" s="2" t="s">
        <v>13904</v>
      </c>
      <c r="K2223" s="2" t="s">
        <v>19241</v>
      </c>
      <c r="L2223" s="82" t="s">
        <v>19512</v>
      </c>
    </row>
    <row r="2224" spans="1:12" ht="120" customHeight="1" x14ac:dyDescent="0.3">
      <c r="A2224" s="2">
        <v>2220</v>
      </c>
      <c r="B2224" s="66" t="s">
        <v>2425</v>
      </c>
      <c r="C2224" s="66"/>
      <c r="D2224" s="11" t="s">
        <v>2551</v>
      </c>
      <c r="E2224" s="11">
        <v>15020</v>
      </c>
      <c r="F2224" s="3">
        <v>40737</v>
      </c>
      <c r="G2224" s="2" t="s">
        <v>2817</v>
      </c>
      <c r="H2224" s="3">
        <v>43053</v>
      </c>
      <c r="I2224" s="2" t="s">
        <v>19506</v>
      </c>
      <c r="J2224" s="2" t="s">
        <v>13904</v>
      </c>
      <c r="K2224" s="2" t="s">
        <v>19241</v>
      </c>
      <c r="L2224" s="82" t="s">
        <v>19512</v>
      </c>
    </row>
    <row r="2225" spans="1:12" ht="120" customHeight="1" x14ac:dyDescent="0.3">
      <c r="A2225" s="2">
        <v>2221</v>
      </c>
      <c r="B2225" s="66" t="s">
        <v>2426</v>
      </c>
      <c r="C2225" s="66"/>
      <c r="D2225" s="11" t="s">
        <v>2552</v>
      </c>
      <c r="E2225" s="11">
        <v>24425</v>
      </c>
      <c r="F2225" s="3">
        <v>40737</v>
      </c>
      <c r="G2225" s="2" t="s">
        <v>2817</v>
      </c>
      <c r="H2225" s="3">
        <v>43053</v>
      </c>
      <c r="I2225" s="2" t="s">
        <v>19506</v>
      </c>
      <c r="J2225" s="2" t="s">
        <v>13904</v>
      </c>
      <c r="K2225" s="2" t="s">
        <v>19241</v>
      </c>
      <c r="L2225" s="82" t="s">
        <v>19512</v>
      </c>
    </row>
    <row r="2226" spans="1:12" ht="120" customHeight="1" x14ac:dyDescent="0.3">
      <c r="A2226" s="2">
        <v>2222</v>
      </c>
      <c r="B2226" s="66" t="s">
        <v>2427</v>
      </c>
      <c r="C2226" s="66"/>
      <c r="D2226" s="11" t="s">
        <v>2553</v>
      </c>
      <c r="E2226" s="11">
        <v>29000</v>
      </c>
      <c r="F2226" s="3">
        <v>40786</v>
      </c>
      <c r="G2226" s="2" t="s">
        <v>2817</v>
      </c>
      <c r="H2226" s="3">
        <v>43053</v>
      </c>
      <c r="I2226" s="2" t="s">
        <v>19506</v>
      </c>
      <c r="J2226" s="2" t="s">
        <v>13904</v>
      </c>
      <c r="K2226" s="2" t="s">
        <v>19241</v>
      </c>
      <c r="L2226" s="82" t="s">
        <v>19512</v>
      </c>
    </row>
    <row r="2227" spans="1:12" ht="120" customHeight="1" x14ac:dyDescent="0.3">
      <c r="A2227" s="2">
        <v>2223</v>
      </c>
      <c r="B2227" s="66" t="s">
        <v>2428</v>
      </c>
      <c r="C2227" s="66"/>
      <c r="D2227" s="11" t="s">
        <v>1256</v>
      </c>
      <c r="E2227" s="11">
        <v>3200</v>
      </c>
      <c r="F2227" s="3">
        <v>40835</v>
      </c>
      <c r="G2227" s="2" t="s">
        <v>2817</v>
      </c>
      <c r="H2227" s="3">
        <v>43053</v>
      </c>
      <c r="I2227" s="2" t="s">
        <v>19506</v>
      </c>
      <c r="J2227" s="2" t="s">
        <v>13904</v>
      </c>
      <c r="K2227" s="2" t="s">
        <v>19241</v>
      </c>
      <c r="L2227" s="82" t="s">
        <v>19512</v>
      </c>
    </row>
    <row r="2228" spans="1:12" ht="120" customHeight="1" x14ac:dyDescent="0.3">
      <c r="A2228" s="2">
        <v>2224</v>
      </c>
      <c r="B2228" s="66" t="s">
        <v>2429</v>
      </c>
      <c r="C2228" s="66"/>
      <c r="D2228" s="11" t="s">
        <v>2554</v>
      </c>
      <c r="E2228" s="11">
        <v>16115.76</v>
      </c>
      <c r="F2228" s="3">
        <v>40865</v>
      </c>
      <c r="G2228" s="2" t="s">
        <v>2817</v>
      </c>
      <c r="H2228" s="2"/>
      <c r="I2228" s="2"/>
      <c r="J2228" s="2" t="s">
        <v>13904</v>
      </c>
      <c r="K2228" s="2" t="s">
        <v>19241</v>
      </c>
      <c r="L2228" s="82" t="s">
        <v>19227</v>
      </c>
    </row>
    <row r="2229" spans="1:12" ht="120" customHeight="1" x14ac:dyDescent="0.3">
      <c r="A2229" s="2">
        <v>2225</v>
      </c>
      <c r="B2229" s="66" t="s">
        <v>2430</v>
      </c>
      <c r="C2229" s="66"/>
      <c r="D2229" s="11" t="s">
        <v>2555</v>
      </c>
      <c r="E2229" s="11">
        <v>4806</v>
      </c>
      <c r="F2229" s="3">
        <v>40904</v>
      </c>
      <c r="G2229" s="2" t="s">
        <v>2817</v>
      </c>
      <c r="H2229" s="3">
        <v>43053</v>
      </c>
      <c r="I2229" s="2" t="s">
        <v>19506</v>
      </c>
      <c r="J2229" s="2" t="s">
        <v>13904</v>
      </c>
      <c r="K2229" s="2" t="s">
        <v>19241</v>
      </c>
      <c r="L2229" s="82" t="s">
        <v>19512</v>
      </c>
    </row>
    <row r="2230" spans="1:12" ht="120" customHeight="1" x14ac:dyDescent="0.3">
      <c r="A2230" s="2">
        <v>2226</v>
      </c>
      <c r="B2230" s="66" t="s">
        <v>2431</v>
      </c>
      <c r="C2230" s="66"/>
      <c r="D2230" s="11" t="s">
        <v>2556</v>
      </c>
      <c r="E2230" s="11">
        <v>21600</v>
      </c>
      <c r="F2230" s="3">
        <v>40974</v>
      </c>
      <c r="G2230" s="2" t="s">
        <v>2817</v>
      </c>
      <c r="H2230" s="3">
        <v>43053</v>
      </c>
      <c r="I2230" s="2" t="s">
        <v>19506</v>
      </c>
      <c r="J2230" s="2" t="s">
        <v>13904</v>
      </c>
      <c r="K2230" s="2" t="s">
        <v>19241</v>
      </c>
      <c r="L2230" s="82" t="s">
        <v>19512</v>
      </c>
    </row>
    <row r="2231" spans="1:12" ht="120" customHeight="1" x14ac:dyDescent="0.3">
      <c r="A2231" s="2">
        <v>2227</v>
      </c>
      <c r="B2231" s="66" t="s">
        <v>2432</v>
      </c>
      <c r="C2231" s="66"/>
      <c r="D2231" s="11" t="s">
        <v>2557</v>
      </c>
      <c r="E2231" s="11">
        <v>24290</v>
      </c>
      <c r="F2231" s="3">
        <v>41033</v>
      </c>
      <c r="G2231" s="2" t="s">
        <v>2817</v>
      </c>
      <c r="H2231" s="3">
        <v>43053</v>
      </c>
      <c r="I2231" s="2" t="s">
        <v>19506</v>
      </c>
      <c r="J2231" s="2" t="s">
        <v>13904</v>
      </c>
      <c r="K2231" s="2" t="s">
        <v>19241</v>
      </c>
      <c r="L2231" s="82" t="s">
        <v>19512</v>
      </c>
    </row>
    <row r="2232" spans="1:12" ht="120" customHeight="1" x14ac:dyDescent="0.3">
      <c r="A2232" s="2">
        <v>2228</v>
      </c>
      <c r="B2232" s="66" t="s">
        <v>2433</v>
      </c>
      <c r="C2232" s="66"/>
      <c r="D2232" s="11" t="s">
        <v>2558</v>
      </c>
      <c r="E2232" s="11">
        <v>37305.9</v>
      </c>
      <c r="F2232" s="3">
        <v>41033</v>
      </c>
      <c r="G2232" s="2" t="s">
        <v>2817</v>
      </c>
      <c r="H2232" s="2"/>
      <c r="I2232" s="2"/>
      <c r="J2232" s="2" t="s">
        <v>13904</v>
      </c>
      <c r="K2232" s="2" t="s">
        <v>19241</v>
      </c>
      <c r="L2232" s="82" t="s">
        <v>19227</v>
      </c>
    </row>
    <row r="2233" spans="1:12" ht="120" customHeight="1" x14ac:dyDescent="0.3">
      <c r="A2233" s="2">
        <v>2229</v>
      </c>
      <c r="B2233" s="66" t="s">
        <v>2434</v>
      </c>
      <c r="C2233" s="66"/>
      <c r="D2233" s="11" t="s">
        <v>2559</v>
      </c>
      <c r="E2233" s="11">
        <v>26300</v>
      </c>
      <c r="F2233" s="3">
        <v>41181</v>
      </c>
      <c r="G2233" s="2" t="s">
        <v>2817</v>
      </c>
      <c r="H2233" s="3">
        <v>43053</v>
      </c>
      <c r="I2233" s="2" t="s">
        <v>19506</v>
      </c>
      <c r="J2233" s="2" t="s">
        <v>13904</v>
      </c>
      <c r="K2233" s="2" t="s">
        <v>19241</v>
      </c>
      <c r="L2233" s="82" t="s">
        <v>19512</v>
      </c>
    </row>
    <row r="2234" spans="1:12" ht="120" customHeight="1" x14ac:dyDescent="0.3">
      <c r="A2234" s="2">
        <v>2230</v>
      </c>
      <c r="B2234" s="66" t="s">
        <v>218</v>
      </c>
      <c r="C2234" s="66"/>
      <c r="D2234" s="11" t="s">
        <v>2560</v>
      </c>
      <c r="E2234" s="11">
        <v>33485</v>
      </c>
      <c r="F2234" s="3">
        <v>41543</v>
      </c>
      <c r="G2234" s="2" t="s">
        <v>2817</v>
      </c>
      <c r="H2234" s="3">
        <v>43053</v>
      </c>
      <c r="I2234" s="2" t="s">
        <v>19506</v>
      </c>
      <c r="J2234" s="2" t="s">
        <v>13904</v>
      </c>
      <c r="K2234" s="2" t="s">
        <v>19241</v>
      </c>
      <c r="L2234" s="82" t="s">
        <v>19512</v>
      </c>
    </row>
    <row r="2235" spans="1:12" ht="120" customHeight="1" x14ac:dyDescent="0.3">
      <c r="A2235" s="2">
        <v>2231</v>
      </c>
      <c r="B2235" s="66" t="s">
        <v>2435</v>
      </c>
      <c r="C2235" s="66"/>
      <c r="D2235" s="11" t="s">
        <v>954</v>
      </c>
      <c r="E2235" s="11">
        <v>10100</v>
      </c>
      <c r="F2235" s="3">
        <v>41960</v>
      </c>
      <c r="G2235" s="2" t="s">
        <v>2817</v>
      </c>
      <c r="H2235" s="3">
        <v>43053</v>
      </c>
      <c r="I2235" s="2" t="s">
        <v>19506</v>
      </c>
      <c r="J2235" s="2" t="s">
        <v>13904</v>
      </c>
      <c r="K2235" s="2" t="s">
        <v>19241</v>
      </c>
      <c r="L2235" s="82" t="s">
        <v>19512</v>
      </c>
    </row>
    <row r="2236" spans="1:12" ht="120" customHeight="1" x14ac:dyDescent="0.3">
      <c r="A2236" s="2">
        <v>2232</v>
      </c>
      <c r="B2236" s="66" t="s">
        <v>2436</v>
      </c>
      <c r="C2236" s="66"/>
      <c r="D2236" s="11" t="s">
        <v>1057</v>
      </c>
      <c r="E2236" s="11">
        <v>7900</v>
      </c>
      <c r="F2236" s="3">
        <v>41638</v>
      </c>
      <c r="G2236" s="2" t="s">
        <v>2817</v>
      </c>
      <c r="H2236" s="3">
        <v>43053</v>
      </c>
      <c r="I2236" s="2" t="s">
        <v>19506</v>
      </c>
      <c r="J2236" s="2" t="s">
        <v>13904</v>
      </c>
      <c r="K2236" s="2" t="s">
        <v>19241</v>
      </c>
      <c r="L2236" s="82" t="s">
        <v>19512</v>
      </c>
    </row>
    <row r="2237" spans="1:12" ht="120" customHeight="1" x14ac:dyDescent="0.3">
      <c r="A2237" s="2">
        <v>2233</v>
      </c>
      <c r="B2237" s="66" t="s">
        <v>2437</v>
      </c>
      <c r="C2237" s="66"/>
      <c r="D2237" s="11" t="s">
        <v>1278</v>
      </c>
      <c r="E2237" s="11">
        <v>4500</v>
      </c>
      <c r="F2237" s="3">
        <v>41638</v>
      </c>
      <c r="G2237" s="2" t="s">
        <v>2817</v>
      </c>
      <c r="H2237" s="3">
        <v>43053</v>
      </c>
      <c r="I2237" s="2" t="s">
        <v>19506</v>
      </c>
      <c r="J2237" s="2" t="s">
        <v>13904</v>
      </c>
      <c r="K2237" s="2" t="s">
        <v>19241</v>
      </c>
      <c r="L2237" s="82" t="s">
        <v>19512</v>
      </c>
    </row>
    <row r="2238" spans="1:12" ht="120" customHeight="1" x14ac:dyDescent="0.3">
      <c r="A2238" s="2">
        <v>2234</v>
      </c>
      <c r="B2238" s="66" t="s">
        <v>2413</v>
      </c>
      <c r="C2238" s="66"/>
      <c r="D2238" s="11" t="s">
        <v>2561</v>
      </c>
      <c r="E2238" s="11">
        <v>39120</v>
      </c>
      <c r="F2238" s="3">
        <v>41992</v>
      </c>
      <c r="G2238" s="2" t="s">
        <v>2817</v>
      </c>
      <c r="H2238" s="3">
        <v>43053</v>
      </c>
      <c r="I2238" s="2" t="s">
        <v>19506</v>
      </c>
      <c r="J2238" s="2" t="s">
        <v>13904</v>
      </c>
      <c r="K2238" s="2" t="s">
        <v>19241</v>
      </c>
      <c r="L2238" s="82" t="s">
        <v>19512</v>
      </c>
    </row>
    <row r="2239" spans="1:12" ht="120" customHeight="1" x14ac:dyDescent="0.3">
      <c r="A2239" s="2">
        <v>2235</v>
      </c>
      <c r="B2239" s="66" t="s">
        <v>2308</v>
      </c>
      <c r="C2239" s="66"/>
      <c r="D2239" s="11" t="s">
        <v>2562</v>
      </c>
      <c r="E2239" s="11">
        <v>15727.93</v>
      </c>
      <c r="F2239" s="3">
        <v>39445</v>
      </c>
      <c r="G2239" s="2" t="s">
        <v>2817</v>
      </c>
      <c r="H2239" s="3">
        <v>43053</v>
      </c>
      <c r="I2239" s="2" t="s">
        <v>19506</v>
      </c>
      <c r="J2239" s="2" t="s">
        <v>13904</v>
      </c>
      <c r="K2239" s="2" t="s">
        <v>19241</v>
      </c>
      <c r="L2239" s="82" t="s">
        <v>19512</v>
      </c>
    </row>
    <row r="2240" spans="1:12" ht="120" customHeight="1" x14ac:dyDescent="0.3">
      <c r="A2240" s="2">
        <v>2236</v>
      </c>
      <c r="B2240" s="66" t="s">
        <v>2438</v>
      </c>
      <c r="C2240" s="66"/>
      <c r="D2240" s="11" t="s">
        <v>2563</v>
      </c>
      <c r="E2240" s="11">
        <v>12060.16</v>
      </c>
      <c r="F2240" s="3">
        <v>38168</v>
      </c>
      <c r="G2240" s="2" t="s">
        <v>2817</v>
      </c>
      <c r="H2240" s="3">
        <v>43053</v>
      </c>
      <c r="I2240" s="2" t="s">
        <v>19506</v>
      </c>
      <c r="J2240" s="2" t="s">
        <v>13904</v>
      </c>
      <c r="K2240" s="2" t="s">
        <v>19241</v>
      </c>
      <c r="L2240" s="82" t="s">
        <v>19512</v>
      </c>
    </row>
    <row r="2241" spans="1:12" ht="120" customHeight="1" x14ac:dyDescent="0.3">
      <c r="A2241" s="2">
        <v>2237</v>
      </c>
      <c r="B2241" s="66" t="s">
        <v>2439</v>
      </c>
      <c r="C2241" s="66" t="s">
        <v>19802</v>
      </c>
      <c r="D2241" s="11" t="s">
        <v>2564</v>
      </c>
      <c r="E2241" s="11">
        <v>121099.88</v>
      </c>
      <c r="F2241" s="3">
        <v>38715</v>
      </c>
      <c r="G2241" s="2" t="s">
        <v>2817</v>
      </c>
      <c r="H2241" s="2"/>
      <c r="I2241" s="2"/>
      <c r="J2241" s="2" t="s">
        <v>13904</v>
      </c>
      <c r="K2241" s="2" t="s">
        <v>19241</v>
      </c>
      <c r="L2241" s="82" t="s">
        <v>19783</v>
      </c>
    </row>
    <row r="2242" spans="1:12" ht="120" customHeight="1" x14ac:dyDescent="0.3">
      <c r="A2242" s="2">
        <v>2238</v>
      </c>
      <c r="B2242" s="66" t="s">
        <v>2440</v>
      </c>
      <c r="C2242" s="66"/>
      <c r="D2242" s="11" t="s">
        <v>2565</v>
      </c>
      <c r="E2242" s="11">
        <v>19764</v>
      </c>
      <c r="F2242" s="3">
        <v>39645</v>
      </c>
      <c r="G2242" s="2" t="s">
        <v>2817</v>
      </c>
      <c r="H2242" s="3">
        <v>43252</v>
      </c>
      <c r="I2242" s="2" t="s">
        <v>20478</v>
      </c>
      <c r="J2242" s="2" t="s">
        <v>13904</v>
      </c>
      <c r="K2242" s="2" t="s">
        <v>19241</v>
      </c>
      <c r="L2242" s="82" t="s">
        <v>19512</v>
      </c>
    </row>
    <row r="2243" spans="1:12" ht="120" customHeight="1" x14ac:dyDescent="0.3">
      <c r="A2243" s="2">
        <v>2239</v>
      </c>
      <c r="B2243" s="66" t="s">
        <v>2440</v>
      </c>
      <c r="C2243" s="66"/>
      <c r="D2243" s="11" t="s">
        <v>2565</v>
      </c>
      <c r="E2243" s="11">
        <v>19764</v>
      </c>
      <c r="F2243" s="3">
        <v>39645</v>
      </c>
      <c r="G2243" s="2" t="s">
        <v>2817</v>
      </c>
      <c r="H2243" s="3">
        <v>43252</v>
      </c>
      <c r="I2243" s="2" t="s">
        <v>20478</v>
      </c>
      <c r="J2243" s="2" t="s">
        <v>13904</v>
      </c>
      <c r="K2243" s="2" t="s">
        <v>19241</v>
      </c>
      <c r="L2243" s="82" t="s">
        <v>19512</v>
      </c>
    </row>
    <row r="2244" spans="1:12" ht="120" customHeight="1" x14ac:dyDescent="0.3">
      <c r="A2244" s="2">
        <v>2240</v>
      </c>
      <c r="B2244" s="66" t="s">
        <v>2441</v>
      </c>
      <c r="C2244" s="66"/>
      <c r="D2244" s="11" t="s">
        <v>2566</v>
      </c>
      <c r="E2244" s="11">
        <v>9587.2800000000007</v>
      </c>
      <c r="F2244" s="3">
        <v>37052</v>
      </c>
      <c r="G2244" s="2" t="s">
        <v>2817</v>
      </c>
      <c r="H2244" s="3">
        <v>43252</v>
      </c>
      <c r="I2244" s="2" t="s">
        <v>20478</v>
      </c>
      <c r="J2244" s="2" t="s">
        <v>13904</v>
      </c>
      <c r="K2244" s="2" t="s">
        <v>19241</v>
      </c>
      <c r="L2244" s="82" t="s">
        <v>19512</v>
      </c>
    </row>
    <row r="2245" spans="1:12" ht="120" customHeight="1" x14ac:dyDescent="0.3">
      <c r="A2245" s="2">
        <v>2241</v>
      </c>
      <c r="B2245" s="66" t="s">
        <v>2441</v>
      </c>
      <c r="C2245" s="66"/>
      <c r="D2245" s="11" t="s">
        <v>2567</v>
      </c>
      <c r="E2245" s="11">
        <v>11437.14</v>
      </c>
      <c r="F2245" s="3">
        <v>37620</v>
      </c>
      <c r="G2245" s="2" t="s">
        <v>2817</v>
      </c>
      <c r="H2245" s="3">
        <v>43252</v>
      </c>
      <c r="I2245" s="2" t="s">
        <v>20478</v>
      </c>
      <c r="J2245" s="2" t="s">
        <v>13904</v>
      </c>
      <c r="K2245" s="2" t="s">
        <v>19241</v>
      </c>
      <c r="L2245" s="82" t="s">
        <v>19512</v>
      </c>
    </row>
    <row r="2246" spans="1:12" ht="120" customHeight="1" x14ac:dyDescent="0.3">
      <c r="A2246" s="2">
        <v>2242</v>
      </c>
      <c r="B2246" s="66" t="s">
        <v>2441</v>
      </c>
      <c r="C2246" s="66"/>
      <c r="D2246" s="11" t="s">
        <v>2567</v>
      </c>
      <c r="E2246" s="11">
        <v>11437.14</v>
      </c>
      <c r="F2246" s="3">
        <v>37620</v>
      </c>
      <c r="G2246" s="2" t="s">
        <v>2817</v>
      </c>
      <c r="H2246" s="3">
        <v>43252</v>
      </c>
      <c r="I2246" s="2" t="s">
        <v>20478</v>
      </c>
      <c r="J2246" s="2" t="s">
        <v>13904</v>
      </c>
      <c r="K2246" s="2" t="s">
        <v>19241</v>
      </c>
      <c r="L2246" s="82" t="s">
        <v>19512</v>
      </c>
    </row>
    <row r="2247" spans="1:12" ht="120" customHeight="1" x14ac:dyDescent="0.3">
      <c r="A2247" s="2">
        <v>2243</v>
      </c>
      <c r="B2247" s="66" t="s">
        <v>2441</v>
      </c>
      <c r="C2247" s="66"/>
      <c r="D2247" s="11" t="s">
        <v>2566</v>
      </c>
      <c r="E2247" s="11">
        <v>9587.2800000000007</v>
      </c>
      <c r="F2247" s="3">
        <v>37058</v>
      </c>
      <c r="G2247" s="2" t="s">
        <v>2817</v>
      </c>
      <c r="H2247" s="3">
        <v>43252</v>
      </c>
      <c r="I2247" s="2" t="s">
        <v>20478</v>
      </c>
      <c r="J2247" s="2" t="s">
        <v>13904</v>
      </c>
      <c r="K2247" s="2" t="s">
        <v>19241</v>
      </c>
      <c r="L2247" s="82" t="s">
        <v>19512</v>
      </c>
    </row>
    <row r="2248" spans="1:12" ht="120" customHeight="1" x14ac:dyDescent="0.3">
      <c r="A2248" s="2">
        <v>2244</v>
      </c>
      <c r="B2248" s="66" t="s">
        <v>19833</v>
      </c>
      <c r="C2248" s="66" t="s">
        <v>19834</v>
      </c>
      <c r="D2248" s="11" t="s">
        <v>2568</v>
      </c>
      <c r="E2248" s="11">
        <v>60219.89</v>
      </c>
      <c r="F2248" s="3">
        <v>39445</v>
      </c>
      <c r="G2248" s="2" t="s">
        <v>2817</v>
      </c>
      <c r="H2248" s="2"/>
      <c r="I2248" s="2"/>
      <c r="J2248" s="2" t="s">
        <v>13904</v>
      </c>
      <c r="K2248" s="2" t="s">
        <v>19241</v>
      </c>
      <c r="L2248" s="82" t="s">
        <v>19783</v>
      </c>
    </row>
    <row r="2249" spans="1:12" ht="120" customHeight="1" x14ac:dyDescent="0.3">
      <c r="A2249" s="2">
        <v>2245</v>
      </c>
      <c r="B2249" s="66" t="s">
        <v>19833</v>
      </c>
      <c r="C2249" s="66" t="s">
        <v>19835</v>
      </c>
      <c r="D2249" s="11" t="s">
        <v>2568</v>
      </c>
      <c r="E2249" s="11">
        <v>60219.89</v>
      </c>
      <c r="F2249" s="3">
        <v>39445</v>
      </c>
      <c r="G2249" s="2" t="s">
        <v>2817</v>
      </c>
      <c r="H2249" s="2"/>
      <c r="I2249" s="2"/>
      <c r="J2249" s="2" t="s">
        <v>13904</v>
      </c>
      <c r="K2249" s="2" t="s">
        <v>19241</v>
      </c>
      <c r="L2249" s="82" t="s">
        <v>19783</v>
      </c>
    </row>
    <row r="2250" spans="1:12" ht="120" customHeight="1" x14ac:dyDescent="0.3">
      <c r="A2250" s="2">
        <v>2246</v>
      </c>
      <c r="B2250" s="66" t="s">
        <v>19833</v>
      </c>
      <c r="C2250" s="66" t="s">
        <v>19836</v>
      </c>
      <c r="D2250" s="11" t="s">
        <v>2568</v>
      </c>
      <c r="E2250" s="11">
        <v>60219.89</v>
      </c>
      <c r="F2250" s="3">
        <v>39445</v>
      </c>
      <c r="G2250" s="2" t="s">
        <v>2817</v>
      </c>
      <c r="H2250" s="2"/>
      <c r="I2250" s="2"/>
      <c r="J2250" s="2" t="s">
        <v>13904</v>
      </c>
      <c r="K2250" s="2" t="s">
        <v>19241</v>
      </c>
      <c r="L2250" s="82" t="s">
        <v>19783</v>
      </c>
    </row>
    <row r="2251" spans="1:12" ht="120" customHeight="1" x14ac:dyDescent="0.3">
      <c r="A2251" s="2">
        <v>2247</v>
      </c>
      <c r="B2251" s="66" t="s">
        <v>19833</v>
      </c>
      <c r="C2251" s="66" t="s">
        <v>19798</v>
      </c>
      <c r="D2251" s="11" t="s">
        <v>2568</v>
      </c>
      <c r="E2251" s="11">
        <v>60219.89</v>
      </c>
      <c r="F2251" s="3">
        <v>39445</v>
      </c>
      <c r="G2251" s="2" t="s">
        <v>2817</v>
      </c>
      <c r="H2251" s="2"/>
      <c r="I2251" s="2"/>
      <c r="J2251" s="2" t="s">
        <v>13904</v>
      </c>
      <c r="K2251" s="2" t="s">
        <v>19241</v>
      </c>
      <c r="L2251" s="82" t="s">
        <v>19783</v>
      </c>
    </row>
    <row r="2252" spans="1:12" ht="120" customHeight="1" x14ac:dyDescent="0.3">
      <c r="A2252" s="2">
        <v>2248</v>
      </c>
      <c r="B2252" s="66" t="s">
        <v>2442</v>
      </c>
      <c r="C2252" s="66"/>
      <c r="D2252" s="11" t="s">
        <v>2569</v>
      </c>
      <c r="E2252" s="11">
        <v>5187</v>
      </c>
      <c r="F2252" s="3">
        <v>39445</v>
      </c>
      <c r="G2252" s="2" t="s">
        <v>2817</v>
      </c>
      <c r="H2252" s="3">
        <v>43053</v>
      </c>
      <c r="I2252" s="2" t="s">
        <v>19506</v>
      </c>
      <c r="J2252" s="2" t="s">
        <v>13904</v>
      </c>
      <c r="K2252" s="2" t="s">
        <v>19241</v>
      </c>
      <c r="L2252" s="82" t="s">
        <v>19512</v>
      </c>
    </row>
    <row r="2253" spans="1:12" ht="120" customHeight="1" x14ac:dyDescent="0.3">
      <c r="A2253" s="2">
        <v>2249</v>
      </c>
      <c r="B2253" s="66" t="s">
        <v>2443</v>
      </c>
      <c r="C2253" s="66"/>
      <c r="D2253" s="11" t="s">
        <v>2570</v>
      </c>
      <c r="E2253" s="11">
        <v>10416.75</v>
      </c>
      <c r="F2253" s="3">
        <v>36461</v>
      </c>
      <c r="G2253" s="2" t="s">
        <v>2817</v>
      </c>
      <c r="H2253" s="3">
        <v>43053</v>
      </c>
      <c r="I2253" s="2" t="s">
        <v>19506</v>
      </c>
      <c r="J2253" s="2" t="s">
        <v>13904</v>
      </c>
      <c r="K2253" s="2" t="s">
        <v>19241</v>
      </c>
      <c r="L2253" s="82" t="s">
        <v>19512</v>
      </c>
    </row>
    <row r="2254" spans="1:12" ht="120" customHeight="1" x14ac:dyDescent="0.3">
      <c r="A2254" s="2">
        <v>2250</v>
      </c>
      <c r="B2254" s="66" t="s">
        <v>1082</v>
      </c>
      <c r="C2254" s="66"/>
      <c r="D2254" s="11" t="s">
        <v>2571</v>
      </c>
      <c r="E2254" s="11">
        <v>10320</v>
      </c>
      <c r="F2254" s="3">
        <v>37255</v>
      </c>
      <c r="G2254" s="2" t="s">
        <v>2817</v>
      </c>
      <c r="H2254" s="3">
        <v>43053</v>
      </c>
      <c r="I2254" s="2" t="s">
        <v>19506</v>
      </c>
      <c r="J2254" s="2" t="s">
        <v>13904</v>
      </c>
      <c r="K2254" s="2" t="s">
        <v>19241</v>
      </c>
      <c r="L2254" s="82" t="s">
        <v>19512</v>
      </c>
    </row>
    <row r="2255" spans="1:12" ht="120" customHeight="1" x14ac:dyDescent="0.3">
      <c r="A2255" s="2">
        <v>2251</v>
      </c>
      <c r="B2255" s="66" t="s">
        <v>2308</v>
      </c>
      <c r="C2255" s="66"/>
      <c r="D2255" s="11" t="s">
        <v>2562</v>
      </c>
      <c r="E2255" s="11">
        <v>15727.93</v>
      </c>
      <c r="F2255" s="3">
        <v>39445</v>
      </c>
      <c r="G2255" s="2" t="s">
        <v>2817</v>
      </c>
      <c r="H2255" s="3">
        <v>43053</v>
      </c>
      <c r="I2255" s="2" t="s">
        <v>19506</v>
      </c>
      <c r="J2255" s="2" t="s">
        <v>13904</v>
      </c>
      <c r="K2255" s="2" t="s">
        <v>19241</v>
      </c>
      <c r="L2255" s="82" t="s">
        <v>19512</v>
      </c>
    </row>
    <row r="2256" spans="1:12" ht="120" customHeight="1" x14ac:dyDescent="0.3">
      <c r="A2256" s="2">
        <v>2252</v>
      </c>
      <c r="B2256" s="66" t="s">
        <v>2444</v>
      </c>
      <c r="C2256" s="66" t="s">
        <v>19789</v>
      </c>
      <c r="D2256" s="11" t="s">
        <v>2572</v>
      </c>
      <c r="E2256" s="11">
        <v>76098.399999999994</v>
      </c>
      <c r="F2256" s="3">
        <v>38608</v>
      </c>
      <c r="G2256" s="2" t="s">
        <v>2817</v>
      </c>
      <c r="H2256" s="2"/>
      <c r="I2256" s="2"/>
      <c r="J2256" s="2" t="s">
        <v>13904</v>
      </c>
      <c r="K2256" s="2" t="s">
        <v>19241</v>
      </c>
      <c r="L2256" s="82" t="s">
        <v>19783</v>
      </c>
    </row>
    <row r="2257" spans="1:12" ht="120" customHeight="1" x14ac:dyDescent="0.3">
      <c r="A2257" s="2">
        <v>2253</v>
      </c>
      <c r="B2257" s="66" t="s">
        <v>2445</v>
      </c>
      <c r="C2257" s="66"/>
      <c r="D2257" s="11" t="s">
        <v>2573</v>
      </c>
      <c r="E2257" s="11">
        <v>39516.33</v>
      </c>
      <c r="F2257" s="3">
        <v>37118</v>
      </c>
      <c r="G2257" s="2" t="s">
        <v>2817</v>
      </c>
      <c r="H2257" s="3">
        <v>43053</v>
      </c>
      <c r="I2257" s="2" t="s">
        <v>19506</v>
      </c>
      <c r="J2257" s="2" t="s">
        <v>13904</v>
      </c>
      <c r="K2257" s="2" t="s">
        <v>19241</v>
      </c>
      <c r="L2257" s="82" t="s">
        <v>19512</v>
      </c>
    </row>
    <row r="2258" spans="1:12" ht="120" customHeight="1" x14ac:dyDescent="0.3">
      <c r="A2258" s="2">
        <v>2254</v>
      </c>
      <c r="B2258" s="66" t="s">
        <v>2446</v>
      </c>
      <c r="C2258" s="66"/>
      <c r="D2258" s="11" t="s">
        <v>1476</v>
      </c>
      <c r="E2258" s="11">
        <v>16478</v>
      </c>
      <c r="F2258" s="3">
        <v>38594</v>
      </c>
      <c r="G2258" s="2" t="s">
        <v>2817</v>
      </c>
      <c r="H2258" s="3">
        <v>43053</v>
      </c>
      <c r="I2258" s="2" t="s">
        <v>19506</v>
      </c>
      <c r="J2258" s="2" t="s">
        <v>13904</v>
      </c>
      <c r="K2258" s="2" t="s">
        <v>19241</v>
      </c>
      <c r="L2258" s="82" t="s">
        <v>19512</v>
      </c>
    </row>
    <row r="2259" spans="1:12" ht="120" customHeight="1" x14ac:dyDescent="0.3">
      <c r="A2259" s="2">
        <v>2255</v>
      </c>
      <c r="B2259" s="66" t="s">
        <v>2446</v>
      </c>
      <c r="C2259" s="66"/>
      <c r="D2259" s="11" t="s">
        <v>1476</v>
      </c>
      <c r="E2259" s="11">
        <v>16478</v>
      </c>
      <c r="F2259" s="3">
        <v>38594</v>
      </c>
      <c r="G2259" s="2" t="s">
        <v>2817</v>
      </c>
      <c r="H2259" s="3">
        <v>43053</v>
      </c>
      <c r="I2259" s="2" t="s">
        <v>19506</v>
      </c>
      <c r="J2259" s="2" t="s">
        <v>13904</v>
      </c>
      <c r="K2259" s="2" t="s">
        <v>19241</v>
      </c>
      <c r="L2259" s="82" t="s">
        <v>19512</v>
      </c>
    </row>
    <row r="2260" spans="1:12" ht="120" customHeight="1" x14ac:dyDescent="0.3">
      <c r="A2260" s="2">
        <v>2256</v>
      </c>
      <c r="B2260" s="66" t="s">
        <v>2447</v>
      </c>
      <c r="C2260" s="66" t="s">
        <v>19786</v>
      </c>
      <c r="D2260" s="11" t="s">
        <v>2574</v>
      </c>
      <c r="E2260" s="11">
        <v>137273.18</v>
      </c>
      <c r="F2260" s="3">
        <v>39445</v>
      </c>
      <c r="G2260" s="2" t="s">
        <v>2817</v>
      </c>
      <c r="H2260" s="2"/>
      <c r="I2260" s="2"/>
      <c r="J2260" s="2" t="s">
        <v>13904</v>
      </c>
      <c r="K2260" s="2" t="s">
        <v>19241</v>
      </c>
      <c r="L2260" s="82" t="s">
        <v>19783</v>
      </c>
    </row>
    <row r="2261" spans="1:12" ht="120" customHeight="1" x14ac:dyDescent="0.3">
      <c r="A2261" s="2">
        <v>2257</v>
      </c>
      <c r="B2261" s="66" t="s">
        <v>2448</v>
      </c>
      <c r="C2261" s="66"/>
      <c r="D2261" s="11" t="s">
        <v>2575</v>
      </c>
      <c r="E2261" s="11">
        <v>13496.49</v>
      </c>
      <c r="F2261" s="3">
        <v>38716</v>
      </c>
      <c r="G2261" s="2" t="s">
        <v>2817</v>
      </c>
      <c r="H2261" s="3">
        <v>43053</v>
      </c>
      <c r="I2261" s="2" t="s">
        <v>19506</v>
      </c>
      <c r="J2261" s="2" t="s">
        <v>13904</v>
      </c>
      <c r="K2261" s="2" t="s">
        <v>19241</v>
      </c>
      <c r="L2261" s="82" t="s">
        <v>19512</v>
      </c>
    </row>
    <row r="2262" spans="1:12" ht="120" customHeight="1" x14ac:dyDescent="0.3">
      <c r="A2262" s="2">
        <v>2258</v>
      </c>
      <c r="B2262" s="66" t="s">
        <v>2449</v>
      </c>
      <c r="C2262" s="66"/>
      <c r="D2262" s="11" t="s">
        <v>2576</v>
      </c>
      <c r="E2262" s="11">
        <v>8520</v>
      </c>
      <c r="F2262" s="3">
        <v>39531</v>
      </c>
      <c r="G2262" s="2" t="s">
        <v>2817</v>
      </c>
      <c r="H2262" s="3">
        <v>43053</v>
      </c>
      <c r="I2262" s="2" t="s">
        <v>19506</v>
      </c>
      <c r="J2262" s="2" t="s">
        <v>13904</v>
      </c>
      <c r="K2262" s="2" t="s">
        <v>19241</v>
      </c>
      <c r="L2262" s="82" t="s">
        <v>19512</v>
      </c>
    </row>
    <row r="2263" spans="1:12" ht="120" customHeight="1" x14ac:dyDescent="0.3">
      <c r="A2263" s="2">
        <v>2259</v>
      </c>
      <c r="B2263" s="66" t="s">
        <v>2450</v>
      </c>
      <c r="C2263" s="66"/>
      <c r="D2263" s="11" t="s">
        <v>2577</v>
      </c>
      <c r="E2263" s="11">
        <v>9539.0400000000009</v>
      </c>
      <c r="F2263" s="3">
        <v>37087</v>
      </c>
      <c r="G2263" s="2" t="s">
        <v>2817</v>
      </c>
      <c r="H2263" s="3">
        <v>43053</v>
      </c>
      <c r="I2263" s="2" t="s">
        <v>19506</v>
      </c>
      <c r="J2263" s="2" t="s">
        <v>13904</v>
      </c>
      <c r="K2263" s="2" t="s">
        <v>19241</v>
      </c>
      <c r="L2263" s="82" t="s">
        <v>19512</v>
      </c>
    </row>
    <row r="2264" spans="1:12" ht="120" customHeight="1" x14ac:dyDescent="0.3">
      <c r="A2264" s="2">
        <v>2260</v>
      </c>
      <c r="B2264" s="66" t="s">
        <v>2313</v>
      </c>
      <c r="C2264" s="66"/>
      <c r="D2264" s="11" t="s">
        <v>2351</v>
      </c>
      <c r="E2264" s="11">
        <v>23860.21</v>
      </c>
      <c r="F2264" s="3">
        <v>39445</v>
      </c>
      <c r="G2264" s="2" t="s">
        <v>2817</v>
      </c>
      <c r="H2264" s="3">
        <v>43053</v>
      </c>
      <c r="I2264" s="2" t="s">
        <v>19506</v>
      </c>
      <c r="J2264" s="2" t="s">
        <v>13904</v>
      </c>
      <c r="K2264" s="2" t="s">
        <v>19241</v>
      </c>
      <c r="L2264" s="82" t="s">
        <v>19512</v>
      </c>
    </row>
    <row r="2265" spans="1:12" ht="120" customHeight="1" x14ac:dyDescent="0.3">
      <c r="A2265" s="2">
        <v>2261</v>
      </c>
      <c r="B2265" s="66" t="s">
        <v>2451</v>
      </c>
      <c r="C2265" s="66"/>
      <c r="D2265" s="11" t="s">
        <v>2578</v>
      </c>
      <c r="E2265" s="11">
        <v>13365.05</v>
      </c>
      <c r="F2265" s="3">
        <v>39445</v>
      </c>
      <c r="G2265" s="2" t="s">
        <v>2817</v>
      </c>
      <c r="H2265" s="3">
        <v>43053</v>
      </c>
      <c r="I2265" s="2" t="s">
        <v>19506</v>
      </c>
      <c r="J2265" s="2" t="s">
        <v>13904</v>
      </c>
      <c r="K2265" s="2" t="s">
        <v>19241</v>
      </c>
      <c r="L2265" s="82" t="s">
        <v>19512</v>
      </c>
    </row>
    <row r="2266" spans="1:12" ht="120" customHeight="1" x14ac:dyDescent="0.3">
      <c r="A2266" s="2">
        <v>2262</v>
      </c>
      <c r="B2266" s="66" t="s">
        <v>2451</v>
      </c>
      <c r="C2266" s="66"/>
      <c r="D2266" s="11" t="s">
        <v>2578</v>
      </c>
      <c r="E2266" s="11">
        <v>13365.05</v>
      </c>
      <c r="F2266" s="3">
        <v>39445</v>
      </c>
      <c r="G2266" s="2" t="s">
        <v>2817</v>
      </c>
      <c r="H2266" s="3">
        <v>43053</v>
      </c>
      <c r="I2266" s="2" t="s">
        <v>19506</v>
      </c>
      <c r="J2266" s="2" t="s">
        <v>13904</v>
      </c>
      <c r="K2266" s="2" t="s">
        <v>19241</v>
      </c>
      <c r="L2266" s="82" t="s">
        <v>19512</v>
      </c>
    </row>
    <row r="2267" spans="1:12" ht="120" customHeight="1" x14ac:dyDescent="0.3">
      <c r="A2267" s="2">
        <v>2263</v>
      </c>
      <c r="B2267" s="66" t="s">
        <v>2451</v>
      </c>
      <c r="C2267" s="66"/>
      <c r="D2267" s="11" t="s">
        <v>2578</v>
      </c>
      <c r="E2267" s="11">
        <v>13365.05</v>
      </c>
      <c r="F2267" s="3">
        <v>39445</v>
      </c>
      <c r="G2267" s="2" t="s">
        <v>2817</v>
      </c>
      <c r="H2267" s="3">
        <v>43053</v>
      </c>
      <c r="I2267" s="2" t="s">
        <v>19506</v>
      </c>
      <c r="J2267" s="2" t="s">
        <v>13904</v>
      </c>
      <c r="K2267" s="2" t="s">
        <v>19241</v>
      </c>
      <c r="L2267" s="82" t="s">
        <v>19512</v>
      </c>
    </row>
    <row r="2268" spans="1:12" ht="120" customHeight="1" x14ac:dyDescent="0.3">
      <c r="A2268" s="2">
        <v>2264</v>
      </c>
      <c r="B2268" s="66" t="s">
        <v>2451</v>
      </c>
      <c r="C2268" s="66"/>
      <c r="D2268" s="11" t="s">
        <v>2578</v>
      </c>
      <c r="E2268" s="11">
        <v>13365.05</v>
      </c>
      <c r="F2268" s="3">
        <v>39445</v>
      </c>
      <c r="G2268" s="2" t="s">
        <v>2817</v>
      </c>
      <c r="H2268" s="3">
        <v>43053</v>
      </c>
      <c r="I2268" s="2" t="s">
        <v>19506</v>
      </c>
      <c r="J2268" s="2" t="s">
        <v>13904</v>
      </c>
      <c r="K2268" s="2" t="s">
        <v>19241</v>
      </c>
      <c r="L2268" s="82" t="s">
        <v>19512</v>
      </c>
    </row>
    <row r="2269" spans="1:12" ht="120" customHeight="1" x14ac:dyDescent="0.3">
      <c r="A2269" s="2">
        <v>2265</v>
      </c>
      <c r="B2269" s="66" t="s">
        <v>2452</v>
      </c>
      <c r="C2269" s="66"/>
      <c r="D2269" s="11" t="s">
        <v>2579</v>
      </c>
      <c r="E2269" s="11">
        <v>13538.55</v>
      </c>
      <c r="F2269" s="3">
        <v>35185</v>
      </c>
      <c r="G2269" s="2" t="s">
        <v>2817</v>
      </c>
      <c r="H2269" s="3">
        <v>43053</v>
      </c>
      <c r="I2269" s="2" t="s">
        <v>19506</v>
      </c>
      <c r="J2269" s="2" t="s">
        <v>13904</v>
      </c>
      <c r="K2269" s="2" t="s">
        <v>19241</v>
      </c>
      <c r="L2269" s="82" t="s">
        <v>19512</v>
      </c>
    </row>
    <row r="2270" spans="1:12" ht="120" customHeight="1" x14ac:dyDescent="0.3">
      <c r="A2270" s="2">
        <v>2266</v>
      </c>
      <c r="B2270" s="66" t="s">
        <v>2453</v>
      </c>
      <c r="C2270" s="66"/>
      <c r="D2270" s="11" t="s">
        <v>2580</v>
      </c>
      <c r="E2270" s="11">
        <v>3093.42</v>
      </c>
      <c r="F2270" s="3">
        <v>37243</v>
      </c>
      <c r="G2270" s="2" t="s">
        <v>2817</v>
      </c>
      <c r="H2270" s="3">
        <v>43053</v>
      </c>
      <c r="I2270" s="2" t="s">
        <v>19506</v>
      </c>
      <c r="J2270" s="2" t="s">
        <v>13904</v>
      </c>
      <c r="K2270" s="2" t="s">
        <v>19241</v>
      </c>
      <c r="L2270" s="82" t="s">
        <v>19512</v>
      </c>
    </row>
    <row r="2271" spans="1:12" ht="120" customHeight="1" x14ac:dyDescent="0.3">
      <c r="A2271" s="2">
        <v>2267</v>
      </c>
      <c r="B2271" s="66" t="s">
        <v>2454</v>
      </c>
      <c r="C2271" s="66"/>
      <c r="D2271" s="11" t="s">
        <v>2581</v>
      </c>
      <c r="E2271" s="11">
        <v>11580.33</v>
      </c>
      <c r="F2271" s="3">
        <v>34318</v>
      </c>
      <c r="G2271" s="2" t="s">
        <v>2817</v>
      </c>
      <c r="H2271" s="3">
        <v>43053</v>
      </c>
      <c r="I2271" s="2" t="s">
        <v>19506</v>
      </c>
      <c r="J2271" s="2" t="s">
        <v>13904</v>
      </c>
      <c r="K2271" s="2" t="s">
        <v>19241</v>
      </c>
      <c r="L2271" s="82" t="s">
        <v>19512</v>
      </c>
    </row>
    <row r="2272" spans="1:12" ht="120" customHeight="1" x14ac:dyDescent="0.3">
      <c r="A2272" s="2">
        <v>2268</v>
      </c>
      <c r="B2272" s="66" t="s">
        <v>2454</v>
      </c>
      <c r="C2272" s="66"/>
      <c r="D2272" s="11" t="s">
        <v>2581</v>
      </c>
      <c r="E2272" s="11">
        <v>11580.33</v>
      </c>
      <c r="F2272" s="3">
        <v>34318</v>
      </c>
      <c r="G2272" s="2" t="s">
        <v>2817</v>
      </c>
      <c r="H2272" s="3">
        <v>43053</v>
      </c>
      <c r="I2272" s="2" t="s">
        <v>19506</v>
      </c>
      <c r="J2272" s="2" t="s">
        <v>13904</v>
      </c>
      <c r="K2272" s="2" t="s">
        <v>19241</v>
      </c>
      <c r="L2272" s="82" t="s">
        <v>19512</v>
      </c>
    </row>
    <row r="2273" spans="1:12" ht="120" customHeight="1" x14ac:dyDescent="0.3">
      <c r="A2273" s="2">
        <v>2269</v>
      </c>
      <c r="B2273" s="66" t="s">
        <v>2454</v>
      </c>
      <c r="C2273" s="66"/>
      <c r="D2273" s="11" t="s">
        <v>2582</v>
      </c>
      <c r="E2273" s="11">
        <v>3921.6</v>
      </c>
      <c r="F2273" s="3">
        <v>34132</v>
      </c>
      <c r="G2273" s="2" t="s">
        <v>2817</v>
      </c>
      <c r="H2273" s="3">
        <v>43053</v>
      </c>
      <c r="I2273" s="2" t="s">
        <v>19506</v>
      </c>
      <c r="J2273" s="2" t="s">
        <v>13904</v>
      </c>
      <c r="K2273" s="2" t="s">
        <v>19241</v>
      </c>
      <c r="L2273" s="82" t="s">
        <v>19512</v>
      </c>
    </row>
    <row r="2274" spans="1:12" ht="120" customHeight="1" x14ac:dyDescent="0.3">
      <c r="A2274" s="2">
        <v>2270</v>
      </c>
      <c r="B2274" s="66" t="s">
        <v>2454</v>
      </c>
      <c r="C2274" s="66"/>
      <c r="D2274" s="11" t="s">
        <v>2582</v>
      </c>
      <c r="E2274" s="11">
        <v>3921.6</v>
      </c>
      <c r="F2274" s="3">
        <v>34132</v>
      </c>
      <c r="G2274" s="2" t="s">
        <v>2817</v>
      </c>
      <c r="H2274" s="3">
        <v>43053</v>
      </c>
      <c r="I2274" s="2" t="s">
        <v>19506</v>
      </c>
      <c r="J2274" s="2" t="s">
        <v>13904</v>
      </c>
      <c r="K2274" s="2" t="s">
        <v>19241</v>
      </c>
      <c r="L2274" s="82" t="s">
        <v>19512</v>
      </c>
    </row>
    <row r="2275" spans="1:12" ht="120" customHeight="1" x14ac:dyDescent="0.3">
      <c r="A2275" s="2">
        <v>2271</v>
      </c>
      <c r="B2275" s="66" t="s">
        <v>2455</v>
      </c>
      <c r="C2275" s="66" t="s">
        <v>19828</v>
      </c>
      <c r="D2275" s="11" t="s">
        <v>2583</v>
      </c>
      <c r="E2275" s="11">
        <v>51322.65</v>
      </c>
      <c r="F2275" s="3">
        <v>34877</v>
      </c>
      <c r="G2275" s="2" t="s">
        <v>2817</v>
      </c>
      <c r="H2275" s="2"/>
      <c r="I2275" s="2"/>
      <c r="J2275" s="2" t="s">
        <v>13904</v>
      </c>
      <c r="K2275" s="2" t="s">
        <v>19241</v>
      </c>
      <c r="L2275" s="82" t="s">
        <v>19783</v>
      </c>
    </row>
    <row r="2276" spans="1:12" ht="120" customHeight="1" x14ac:dyDescent="0.3">
      <c r="A2276" s="2">
        <v>2272</v>
      </c>
      <c r="B2276" s="66" t="s">
        <v>2456</v>
      </c>
      <c r="C2276" s="66"/>
      <c r="D2276" s="11" t="s">
        <v>2584</v>
      </c>
      <c r="E2276" s="11">
        <v>39605.58</v>
      </c>
      <c r="F2276" s="3">
        <v>34319</v>
      </c>
      <c r="G2276" s="2" t="s">
        <v>2817</v>
      </c>
      <c r="H2276" s="3">
        <v>43053</v>
      </c>
      <c r="I2276" s="2" t="s">
        <v>19506</v>
      </c>
      <c r="J2276" s="2" t="s">
        <v>13904</v>
      </c>
      <c r="K2276" s="2" t="s">
        <v>19241</v>
      </c>
      <c r="L2276" s="82" t="s">
        <v>19512</v>
      </c>
    </row>
    <row r="2277" spans="1:12" ht="120" customHeight="1" x14ac:dyDescent="0.3">
      <c r="A2277" s="2">
        <v>2273</v>
      </c>
      <c r="B2277" s="66" t="s">
        <v>2457</v>
      </c>
      <c r="C2277" s="66"/>
      <c r="D2277" s="11" t="s">
        <v>1049</v>
      </c>
      <c r="E2277" s="11">
        <v>15000</v>
      </c>
      <c r="F2277" s="3">
        <v>39077</v>
      </c>
      <c r="G2277" s="2" t="s">
        <v>2817</v>
      </c>
      <c r="H2277" s="3">
        <v>43053</v>
      </c>
      <c r="I2277" s="2" t="s">
        <v>19506</v>
      </c>
      <c r="J2277" s="2" t="s">
        <v>13904</v>
      </c>
      <c r="K2277" s="2" t="s">
        <v>19241</v>
      </c>
      <c r="L2277" s="82" t="s">
        <v>19512</v>
      </c>
    </row>
    <row r="2278" spans="1:12" ht="120" customHeight="1" x14ac:dyDescent="0.3">
      <c r="A2278" s="2">
        <v>2274</v>
      </c>
      <c r="B2278" s="66" t="s">
        <v>2458</v>
      </c>
      <c r="C2278" s="66"/>
      <c r="D2278" s="11" t="s">
        <v>2585</v>
      </c>
      <c r="E2278" s="11">
        <v>29196.57</v>
      </c>
      <c r="F2278" s="3">
        <v>34086</v>
      </c>
      <c r="G2278" s="2" t="s">
        <v>2817</v>
      </c>
      <c r="H2278" s="3">
        <v>43053</v>
      </c>
      <c r="I2278" s="2" t="s">
        <v>19506</v>
      </c>
      <c r="J2278" s="2" t="s">
        <v>13904</v>
      </c>
      <c r="K2278" s="2" t="s">
        <v>19241</v>
      </c>
      <c r="L2278" s="82" t="s">
        <v>19512</v>
      </c>
    </row>
    <row r="2279" spans="1:12" ht="120" customHeight="1" x14ac:dyDescent="0.3">
      <c r="A2279" s="2">
        <v>2275</v>
      </c>
      <c r="B2279" s="66" t="s">
        <v>2459</v>
      </c>
      <c r="C2279" s="66"/>
      <c r="D2279" s="11" t="s">
        <v>2586</v>
      </c>
      <c r="E2279" s="11">
        <v>13964.25</v>
      </c>
      <c r="F2279" s="3">
        <v>34530</v>
      </c>
      <c r="G2279" s="2" t="s">
        <v>2817</v>
      </c>
      <c r="H2279" s="3">
        <v>43053</v>
      </c>
      <c r="I2279" s="2" t="s">
        <v>19506</v>
      </c>
      <c r="J2279" s="2" t="s">
        <v>13904</v>
      </c>
      <c r="K2279" s="2" t="s">
        <v>19241</v>
      </c>
      <c r="L2279" s="82" t="s">
        <v>19512</v>
      </c>
    </row>
    <row r="2280" spans="1:12" ht="120" customHeight="1" x14ac:dyDescent="0.3">
      <c r="A2280" s="2">
        <v>2276</v>
      </c>
      <c r="B2280" s="66" t="s">
        <v>2459</v>
      </c>
      <c r="C2280" s="66"/>
      <c r="D2280" s="11" t="s">
        <v>2587</v>
      </c>
      <c r="E2280" s="11">
        <v>11989.26</v>
      </c>
      <c r="F2280" s="3">
        <v>34956</v>
      </c>
      <c r="G2280" s="2" t="s">
        <v>2817</v>
      </c>
      <c r="H2280" s="3">
        <v>43053</v>
      </c>
      <c r="I2280" s="2" t="s">
        <v>19506</v>
      </c>
      <c r="J2280" s="2" t="s">
        <v>13904</v>
      </c>
      <c r="K2280" s="2" t="s">
        <v>19241</v>
      </c>
      <c r="L2280" s="82" t="s">
        <v>19512</v>
      </c>
    </row>
    <row r="2281" spans="1:12" ht="120" customHeight="1" x14ac:dyDescent="0.3">
      <c r="A2281" s="2">
        <v>2277</v>
      </c>
      <c r="B2281" s="66" t="s">
        <v>2317</v>
      </c>
      <c r="C2281" s="66" t="s">
        <v>19807</v>
      </c>
      <c r="D2281" s="11" t="s">
        <v>2356</v>
      </c>
      <c r="E2281" s="11">
        <v>53251.199999999997</v>
      </c>
      <c r="F2281" s="3">
        <v>36461</v>
      </c>
      <c r="G2281" s="2" t="s">
        <v>2817</v>
      </c>
      <c r="H2281" s="2"/>
      <c r="I2281" s="2"/>
      <c r="J2281" s="2" t="s">
        <v>13904</v>
      </c>
      <c r="K2281" s="2" t="s">
        <v>19241</v>
      </c>
      <c r="L2281" s="82" t="s">
        <v>19783</v>
      </c>
    </row>
    <row r="2282" spans="1:12" ht="120" customHeight="1" x14ac:dyDescent="0.3">
      <c r="A2282" s="2">
        <v>2278</v>
      </c>
      <c r="B2282" s="66" t="s">
        <v>2317</v>
      </c>
      <c r="C2282" s="66" t="s">
        <v>19808</v>
      </c>
      <c r="D2282" s="11" t="s">
        <v>2356</v>
      </c>
      <c r="E2282" s="11">
        <v>53251.14</v>
      </c>
      <c r="F2282" s="3">
        <v>36461</v>
      </c>
      <c r="G2282" s="2" t="s">
        <v>2817</v>
      </c>
      <c r="H2282" s="2"/>
      <c r="I2282" s="2"/>
      <c r="J2282" s="2" t="s">
        <v>13904</v>
      </c>
      <c r="K2282" s="2" t="s">
        <v>19241</v>
      </c>
      <c r="L2282" s="82" t="s">
        <v>19783</v>
      </c>
    </row>
    <row r="2283" spans="1:12" ht="120" customHeight="1" x14ac:dyDescent="0.3">
      <c r="A2283" s="2">
        <v>2279</v>
      </c>
      <c r="B2283" s="66" t="s">
        <v>2317</v>
      </c>
      <c r="C2283" s="66" t="s">
        <v>19809</v>
      </c>
      <c r="D2283" s="11" t="s">
        <v>2356</v>
      </c>
      <c r="E2283" s="11">
        <v>53251.14</v>
      </c>
      <c r="F2283" s="3">
        <v>36461</v>
      </c>
      <c r="G2283" s="2" t="s">
        <v>2817</v>
      </c>
      <c r="H2283" s="2"/>
      <c r="I2283" s="2"/>
      <c r="J2283" s="2" t="s">
        <v>13904</v>
      </c>
      <c r="K2283" s="2" t="s">
        <v>19241</v>
      </c>
      <c r="L2283" s="82" t="s">
        <v>19783</v>
      </c>
    </row>
    <row r="2284" spans="1:12" ht="120" customHeight="1" x14ac:dyDescent="0.3">
      <c r="A2284" s="2">
        <v>2280</v>
      </c>
      <c r="B2284" s="66" t="s">
        <v>2460</v>
      </c>
      <c r="C2284" s="66"/>
      <c r="D2284" s="11" t="s">
        <v>2588</v>
      </c>
      <c r="E2284" s="11">
        <v>5356.08</v>
      </c>
      <c r="F2284" s="3">
        <v>34420</v>
      </c>
      <c r="G2284" s="2" t="s">
        <v>2817</v>
      </c>
      <c r="H2284" s="3">
        <v>43053</v>
      </c>
      <c r="I2284" s="2" t="s">
        <v>19506</v>
      </c>
      <c r="J2284" s="2" t="s">
        <v>13904</v>
      </c>
      <c r="K2284" s="2" t="s">
        <v>19241</v>
      </c>
      <c r="L2284" s="82" t="s">
        <v>19512</v>
      </c>
    </row>
    <row r="2285" spans="1:12" ht="120" customHeight="1" x14ac:dyDescent="0.3">
      <c r="A2285" s="2">
        <v>2281</v>
      </c>
      <c r="B2285" s="66" t="s">
        <v>2461</v>
      </c>
      <c r="C2285" s="66"/>
      <c r="D2285" s="11" t="s">
        <v>2589</v>
      </c>
      <c r="E2285" s="11">
        <v>3479.13</v>
      </c>
      <c r="F2285" s="3">
        <v>34423</v>
      </c>
      <c r="G2285" s="2" t="s">
        <v>2817</v>
      </c>
      <c r="H2285" s="3">
        <v>43053</v>
      </c>
      <c r="I2285" s="2" t="s">
        <v>19506</v>
      </c>
      <c r="J2285" s="2" t="s">
        <v>13904</v>
      </c>
      <c r="K2285" s="2" t="s">
        <v>19241</v>
      </c>
      <c r="L2285" s="82" t="s">
        <v>19512</v>
      </c>
    </row>
    <row r="2286" spans="1:12" ht="120" customHeight="1" x14ac:dyDescent="0.3">
      <c r="A2286" s="2">
        <v>2282</v>
      </c>
      <c r="B2286" s="66" t="s">
        <v>2461</v>
      </c>
      <c r="C2286" s="66"/>
      <c r="D2286" s="11" t="s">
        <v>2589</v>
      </c>
      <c r="E2286" s="11">
        <v>3479.13</v>
      </c>
      <c r="F2286" s="3">
        <v>34423</v>
      </c>
      <c r="G2286" s="2" t="s">
        <v>2817</v>
      </c>
      <c r="H2286" s="3">
        <v>43053</v>
      </c>
      <c r="I2286" s="2" t="s">
        <v>19506</v>
      </c>
      <c r="J2286" s="2" t="s">
        <v>13904</v>
      </c>
      <c r="K2286" s="2" t="s">
        <v>19241</v>
      </c>
      <c r="L2286" s="82" t="s">
        <v>19512</v>
      </c>
    </row>
    <row r="2287" spans="1:12" ht="120" customHeight="1" x14ac:dyDescent="0.3">
      <c r="A2287" s="2">
        <v>2283</v>
      </c>
      <c r="B2287" s="66" t="s">
        <v>2462</v>
      </c>
      <c r="C2287" s="66"/>
      <c r="D2287" s="11" t="s">
        <v>2590</v>
      </c>
      <c r="E2287" s="11">
        <v>4140.8999999999996</v>
      </c>
      <c r="F2287" s="3">
        <v>35030</v>
      </c>
      <c r="G2287" s="2" t="s">
        <v>2817</v>
      </c>
      <c r="H2287" s="3">
        <v>43053</v>
      </c>
      <c r="I2287" s="2" t="s">
        <v>19506</v>
      </c>
      <c r="J2287" s="2" t="s">
        <v>13904</v>
      </c>
      <c r="K2287" s="2" t="s">
        <v>19241</v>
      </c>
      <c r="L2287" s="82" t="s">
        <v>19512</v>
      </c>
    </row>
    <row r="2288" spans="1:12" ht="120" customHeight="1" x14ac:dyDescent="0.3">
      <c r="A2288" s="2">
        <v>2284</v>
      </c>
      <c r="B2288" s="66" t="s">
        <v>2462</v>
      </c>
      <c r="C2288" s="66"/>
      <c r="D2288" s="11" t="s">
        <v>2590</v>
      </c>
      <c r="E2288" s="11">
        <v>4140.8999999999996</v>
      </c>
      <c r="F2288" s="3">
        <v>35030</v>
      </c>
      <c r="G2288" s="2" t="s">
        <v>2817</v>
      </c>
      <c r="H2288" s="3">
        <v>43053</v>
      </c>
      <c r="I2288" s="2" t="s">
        <v>19506</v>
      </c>
      <c r="J2288" s="2" t="s">
        <v>13904</v>
      </c>
      <c r="K2288" s="2" t="s">
        <v>19241</v>
      </c>
      <c r="L2288" s="82" t="s">
        <v>19512</v>
      </c>
    </row>
    <row r="2289" spans="1:12" ht="120" customHeight="1" x14ac:dyDescent="0.3">
      <c r="A2289" s="2">
        <v>2285</v>
      </c>
      <c r="B2289" s="66" t="s">
        <v>19810</v>
      </c>
      <c r="C2289" s="66" t="s">
        <v>19811</v>
      </c>
      <c r="D2289" s="11" t="s">
        <v>2591</v>
      </c>
      <c r="E2289" s="11">
        <v>78877.05</v>
      </c>
      <c r="F2289" s="3">
        <v>36460</v>
      </c>
      <c r="G2289" s="2" t="s">
        <v>2817</v>
      </c>
      <c r="H2289" s="2"/>
      <c r="I2289" s="2"/>
      <c r="J2289" s="2" t="s">
        <v>13904</v>
      </c>
      <c r="K2289" s="2" t="s">
        <v>19241</v>
      </c>
      <c r="L2289" s="82" t="s">
        <v>19783</v>
      </c>
    </row>
    <row r="2290" spans="1:12" ht="120" customHeight="1" x14ac:dyDescent="0.3">
      <c r="A2290" s="2">
        <v>2286</v>
      </c>
      <c r="B2290" s="66" t="s">
        <v>19810</v>
      </c>
      <c r="C2290" s="66" t="s">
        <v>19829</v>
      </c>
      <c r="D2290" s="11" t="s">
        <v>2591</v>
      </c>
      <c r="E2290" s="11">
        <v>78877.05</v>
      </c>
      <c r="F2290" s="3">
        <v>36461</v>
      </c>
      <c r="G2290" s="2" t="s">
        <v>2817</v>
      </c>
      <c r="H2290" s="2"/>
      <c r="I2290" s="2"/>
      <c r="J2290" s="2" t="s">
        <v>13904</v>
      </c>
      <c r="K2290" s="2" t="s">
        <v>19241</v>
      </c>
      <c r="L2290" s="82" t="s">
        <v>19783</v>
      </c>
    </row>
    <row r="2291" spans="1:12" ht="120" customHeight="1" x14ac:dyDescent="0.3">
      <c r="A2291" s="2">
        <v>2287</v>
      </c>
      <c r="B2291" s="66" t="s">
        <v>2318</v>
      </c>
      <c r="C2291" s="66" t="s">
        <v>19812</v>
      </c>
      <c r="D2291" s="11" t="s">
        <v>2592</v>
      </c>
      <c r="E2291" s="11">
        <v>38205.53</v>
      </c>
      <c r="F2291" s="3">
        <v>39445</v>
      </c>
      <c r="G2291" s="2" t="s">
        <v>2817</v>
      </c>
      <c r="H2291" s="2"/>
      <c r="I2291" s="2"/>
      <c r="J2291" s="2" t="s">
        <v>13904</v>
      </c>
      <c r="K2291" s="2" t="s">
        <v>19241</v>
      </c>
      <c r="L2291" s="82" t="s">
        <v>19783</v>
      </c>
    </row>
    <row r="2292" spans="1:12" ht="120" customHeight="1" x14ac:dyDescent="0.3">
      <c r="A2292" s="2">
        <v>2288</v>
      </c>
      <c r="B2292" s="66" t="s">
        <v>2463</v>
      </c>
      <c r="C2292" s="66"/>
      <c r="D2292" s="11" t="s">
        <v>2593</v>
      </c>
      <c r="E2292" s="11">
        <v>23128.41</v>
      </c>
      <c r="F2292" s="3">
        <v>35669</v>
      </c>
      <c r="G2292" s="2" t="s">
        <v>2817</v>
      </c>
      <c r="H2292" s="3">
        <v>43053</v>
      </c>
      <c r="I2292" s="2" t="s">
        <v>19506</v>
      </c>
      <c r="J2292" s="2" t="s">
        <v>13904</v>
      </c>
      <c r="K2292" s="2" t="s">
        <v>19241</v>
      </c>
      <c r="L2292" s="82" t="s">
        <v>19512</v>
      </c>
    </row>
    <row r="2293" spans="1:12" ht="120" customHeight="1" x14ac:dyDescent="0.3">
      <c r="A2293" s="2">
        <v>2289</v>
      </c>
      <c r="B2293" s="66" t="s">
        <v>19814</v>
      </c>
      <c r="C2293" s="66" t="s">
        <v>19815</v>
      </c>
      <c r="D2293" s="11" t="s">
        <v>2594</v>
      </c>
      <c r="E2293" s="11">
        <v>116857.26</v>
      </c>
      <c r="F2293" s="3">
        <v>37954</v>
      </c>
      <c r="G2293" s="2" t="s">
        <v>2817</v>
      </c>
      <c r="H2293" s="2"/>
      <c r="I2293" s="2"/>
      <c r="J2293" s="2" t="s">
        <v>13904</v>
      </c>
      <c r="K2293" s="2" t="s">
        <v>19241</v>
      </c>
      <c r="L2293" s="82" t="s">
        <v>19783</v>
      </c>
    </row>
    <row r="2294" spans="1:12" ht="120" customHeight="1" x14ac:dyDescent="0.3">
      <c r="A2294" s="2">
        <v>2290</v>
      </c>
      <c r="B2294" s="66" t="s">
        <v>218</v>
      </c>
      <c r="C2294" s="66"/>
      <c r="D2294" s="11" t="s">
        <v>2595</v>
      </c>
      <c r="E2294" s="11">
        <v>26120</v>
      </c>
      <c r="F2294" s="3">
        <v>39721</v>
      </c>
      <c r="G2294" s="2" t="s">
        <v>2817</v>
      </c>
      <c r="H2294" s="3">
        <v>43053</v>
      </c>
      <c r="I2294" s="2" t="s">
        <v>19506</v>
      </c>
      <c r="J2294" s="2" t="s">
        <v>13904</v>
      </c>
      <c r="K2294" s="2" t="s">
        <v>19241</v>
      </c>
      <c r="L2294" s="82" t="s">
        <v>19512</v>
      </c>
    </row>
    <row r="2295" spans="1:12" ht="120" customHeight="1" x14ac:dyDescent="0.3">
      <c r="A2295" s="2">
        <v>2291</v>
      </c>
      <c r="B2295" s="66" t="s">
        <v>2464</v>
      </c>
      <c r="C2295" s="66" t="s">
        <v>19796</v>
      </c>
      <c r="D2295" s="11" t="s">
        <v>2596</v>
      </c>
      <c r="E2295" s="11">
        <v>123529</v>
      </c>
      <c r="F2295" s="3">
        <v>39445</v>
      </c>
      <c r="G2295" s="2" t="s">
        <v>2817</v>
      </c>
      <c r="H2295" s="2"/>
      <c r="I2295" s="2"/>
      <c r="J2295" s="2" t="s">
        <v>13904</v>
      </c>
      <c r="K2295" s="2" t="s">
        <v>19241</v>
      </c>
      <c r="L2295" s="82" t="s">
        <v>19783</v>
      </c>
    </row>
    <row r="2296" spans="1:12" ht="120" customHeight="1" x14ac:dyDescent="0.3">
      <c r="A2296" s="2">
        <v>2292</v>
      </c>
      <c r="B2296" s="66" t="s">
        <v>2465</v>
      </c>
      <c r="C2296" s="66"/>
      <c r="D2296" s="11" t="s">
        <v>2597</v>
      </c>
      <c r="E2296" s="11">
        <v>29471</v>
      </c>
      <c r="F2296" s="3">
        <v>39582</v>
      </c>
      <c r="G2296" s="2" t="s">
        <v>2817</v>
      </c>
      <c r="H2296" s="3">
        <v>43053</v>
      </c>
      <c r="I2296" s="2" t="s">
        <v>19506</v>
      </c>
      <c r="J2296" s="2" t="s">
        <v>13904</v>
      </c>
      <c r="K2296" s="2" t="s">
        <v>19241</v>
      </c>
      <c r="L2296" s="82" t="s">
        <v>19512</v>
      </c>
    </row>
    <row r="2297" spans="1:12" ht="120" customHeight="1" x14ac:dyDescent="0.3">
      <c r="A2297" s="2">
        <v>2293</v>
      </c>
      <c r="B2297" s="66" t="s">
        <v>1313</v>
      </c>
      <c r="C2297" s="66" t="s">
        <v>19799</v>
      </c>
      <c r="D2297" s="11" t="s">
        <v>2598</v>
      </c>
      <c r="E2297" s="11">
        <v>86466.7</v>
      </c>
      <c r="F2297" s="3">
        <v>38608</v>
      </c>
      <c r="G2297" s="2" t="s">
        <v>2817</v>
      </c>
      <c r="H2297" s="2"/>
      <c r="I2297" s="2"/>
      <c r="J2297" s="2" t="s">
        <v>13904</v>
      </c>
      <c r="K2297" s="2" t="s">
        <v>19241</v>
      </c>
      <c r="L2297" s="82" t="s">
        <v>19783</v>
      </c>
    </row>
    <row r="2298" spans="1:12" ht="120" customHeight="1" x14ac:dyDescent="0.3">
      <c r="A2298" s="2">
        <v>2294</v>
      </c>
      <c r="B2298" s="66" t="s">
        <v>2466</v>
      </c>
      <c r="C2298" s="66"/>
      <c r="D2298" s="11" t="s">
        <v>2599</v>
      </c>
      <c r="E2298" s="11">
        <v>11891.22</v>
      </c>
      <c r="F2298" s="3">
        <v>35182</v>
      </c>
      <c r="G2298" s="2" t="s">
        <v>2817</v>
      </c>
      <c r="H2298" s="3">
        <v>43053</v>
      </c>
      <c r="I2298" s="2" t="s">
        <v>19506</v>
      </c>
      <c r="J2298" s="2" t="s">
        <v>13904</v>
      </c>
      <c r="K2298" s="2" t="s">
        <v>19241</v>
      </c>
      <c r="L2298" s="82" t="s">
        <v>19512</v>
      </c>
    </row>
    <row r="2299" spans="1:12" ht="120" customHeight="1" x14ac:dyDescent="0.3">
      <c r="A2299" s="2">
        <v>2295</v>
      </c>
      <c r="B2299" s="66" t="s">
        <v>2467</v>
      </c>
      <c r="C2299" s="66"/>
      <c r="D2299" s="11" t="s">
        <v>2600</v>
      </c>
      <c r="E2299" s="11">
        <v>7128.1</v>
      </c>
      <c r="F2299" s="3">
        <v>38595</v>
      </c>
      <c r="G2299" s="2" t="s">
        <v>2817</v>
      </c>
      <c r="H2299" s="3">
        <v>43252</v>
      </c>
      <c r="I2299" s="2" t="s">
        <v>20478</v>
      </c>
      <c r="J2299" s="2" t="s">
        <v>13904</v>
      </c>
      <c r="K2299" s="2" t="s">
        <v>19241</v>
      </c>
      <c r="L2299" s="82" t="s">
        <v>19512</v>
      </c>
    </row>
    <row r="2300" spans="1:12" ht="120" customHeight="1" x14ac:dyDescent="0.3">
      <c r="A2300" s="2">
        <v>2296</v>
      </c>
      <c r="B2300" s="66" t="s">
        <v>2467</v>
      </c>
      <c r="C2300" s="66" t="s">
        <v>19800</v>
      </c>
      <c r="D2300" s="11" t="s">
        <v>2601</v>
      </c>
      <c r="E2300" s="11">
        <v>85000</v>
      </c>
      <c r="F2300" s="3">
        <v>40029</v>
      </c>
      <c r="G2300" s="2" t="s">
        <v>2817</v>
      </c>
      <c r="H2300" s="2"/>
      <c r="I2300" s="2"/>
      <c r="J2300" s="2" t="s">
        <v>13904</v>
      </c>
      <c r="K2300" s="2" t="s">
        <v>19241</v>
      </c>
      <c r="L2300" s="82" t="s">
        <v>19783</v>
      </c>
    </row>
    <row r="2301" spans="1:12" ht="120" customHeight="1" x14ac:dyDescent="0.3">
      <c r="A2301" s="2">
        <v>2297</v>
      </c>
      <c r="B2301" s="66" t="s">
        <v>2269</v>
      </c>
      <c r="C2301" s="66"/>
      <c r="D2301" s="11" t="s">
        <v>2602</v>
      </c>
      <c r="E2301" s="11">
        <v>41088.35</v>
      </c>
      <c r="F2301" s="3">
        <v>38594</v>
      </c>
      <c r="G2301" s="2" t="s">
        <v>2817</v>
      </c>
      <c r="H2301" s="3">
        <v>43053</v>
      </c>
      <c r="I2301" s="2" t="s">
        <v>19506</v>
      </c>
      <c r="J2301" s="2" t="s">
        <v>13904</v>
      </c>
      <c r="K2301" s="2" t="s">
        <v>19241</v>
      </c>
      <c r="L2301" s="82" t="s">
        <v>19512</v>
      </c>
    </row>
    <row r="2302" spans="1:12" ht="120" customHeight="1" x14ac:dyDescent="0.3">
      <c r="A2302" s="2">
        <v>2298</v>
      </c>
      <c r="B2302" s="66" t="s">
        <v>2411</v>
      </c>
      <c r="C2302" s="66"/>
      <c r="D2302" s="11" t="s">
        <v>2603</v>
      </c>
      <c r="E2302" s="11">
        <v>13715.28</v>
      </c>
      <c r="F2302" s="3">
        <v>36461</v>
      </c>
      <c r="G2302" s="2" t="s">
        <v>2817</v>
      </c>
      <c r="H2302" s="3">
        <v>43053</v>
      </c>
      <c r="I2302" s="2" t="s">
        <v>19506</v>
      </c>
      <c r="J2302" s="2" t="s">
        <v>13904</v>
      </c>
      <c r="K2302" s="2" t="s">
        <v>19241</v>
      </c>
      <c r="L2302" s="82" t="s">
        <v>19512</v>
      </c>
    </row>
    <row r="2303" spans="1:12" ht="120" customHeight="1" x14ac:dyDescent="0.3">
      <c r="A2303" s="2">
        <v>2299</v>
      </c>
      <c r="B2303" s="66" t="s">
        <v>2468</v>
      </c>
      <c r="C2303" s="66"/>
      <c r="D2303" s="11" t="s">
        <v>2604</v>
      </c>
      <c r="E2303" s="11">
        <v>21118.59</v>
      </c>
      <c r="F2303" s="3">
        <v>37253</v>
      </c>
      <c r="G2303" s="2" t="s">
        <v>2817</v>
      </c>
      <c r="H2303" s="3">
        <v>43053</v>
      </c>
      <c r="I2303" s="2" t="s">
        <v>19506</v>
      </c>
      <c r="J2303" s="2" t="s">
        <v>13904</v>
      </c>
      <c r="K2303" s="2" t="s">
        <v>19241</v>
      </c>
      <c r="L2303" s="82" t="s">
        <v>19512</v>
      </c>
    </row>
    <row r="2304" spans="1:12" ht="120" customHeight="1" x14ac:dyDescent="0.3">
      <c r="A2304" s="2">
        <v>2300</v>
      </c>
      <c r="B2304" s="66" t="s">
        <v>2469</v>
      </c>
      <c r="C2304" s="66"/>
      <c r="D2304" s="11" t="s">
        <v>2605</v>
      </c>
      <c r="E2304" s="11">
        <v>5548.29</v>
      </c>
      <c r="F2304" s="3">
        <v>37556</v>
      </c>
      <c r="G2304" s="2" t="s">
        <v>2817</v>
      </c>
      <c r="H2304" s="3">
        <v>43053</v>
      </c>
      <c r="I2304" s="2" t="s">
        <v>19506</v>
      </c>
      <c r="J2304" s="2" t="s">
        <v>13904</v>
      </c>
      <c r="K2304" s="2" t="s">
        <v>19241</v>
      </c>
      <c r="L2304" s="82" t="s">
        <v>19512</v>
      </c>
    </row>
    <row r="2305" spans="1:12" ht="120" customHeight="1" x14ac:dyDescent="0.3">
      <c r="A2305" s="2">
        <v>2301</v>
      </c>
      <c r="B2305" s="66" t="s">
        <v>2470</v>
      </c>
      <c r="C2305" s="66"/>
      <c r="D2305" s="11" t="s">
        <v>1192</v>
      </c>
      <c r="E2305" s="11">
        <v>4164.12</v>
      </c>
      <c r="F2305" s="3">
        <v>34319</v>
      </c>
      <c r="G2305" s="2" t="s">
        <v>2817</v>
      </c>
      <c r="H2305" s="3">
        <v>43053</v>
      </c>
      <c r="I2305" s="2" t="s">
        <v>19506</v>
      </c>
      <c r="J2305" s="2" t="s">
        <v>13904</v>
      </c>
      <c r="K2305" s="2" t="s">
        <v>19241</v>
      </c>
      <c r="L2305" s="82" t="s">
        <v>19512</v>
      </c>
    </row>
    <row r="2306" spans="1:12" ht="120" customHeight="1" x14ac:dyDescent="0.3">
      <c r="A2306" s="2">
        <v>2302</v>
      </c>
      <c r="B2306" s="66" t="s">
        <v>2471</v>
      </c>
      <c r="C2306" s="66"/>
      <c r="D2306" s="11" t="s">
        <v>2606</v>
      </c>
      <c r="E2306" s="11">
        <v>4654.5</v>
      </c>
      <c r="F2306" s="3">
        <v>38498</v>
      </c>
      <c r="G2306" s="2" t="s">
        <v>2817</v>
      </c>
      <c r="H2306" s="3">
        <v>43053</v>
      </c>
      <c r="I2306" s="2" t="s">
        <v>19506</v>
      </c>
      <c r="J2306" s="2" t="s">
        <v>13904</v>
      </c>
      <c r="K2306" s="2" t="s">
        <v>19241</v>
      </c>
      <c r="L2306" s="82" t="s">
        <v>19512</v>
      </c>
    </row>
    <row r="2307" spans="1:12" ht="120" customHeight="1" x14ac:dyDescent="0.3">
      <c r="A2307" s="2">
        <v>2303</v>
      </c>
      <c r="B2307" s="66" t="s">
        <v>2472</v>
      </c>
      <c r="C2307" s="66"/>
      <c r="D2307" s="11" t="s">
        <v>2607</v>
      </c>
      <c r="E2307" s="11">
        <v>5150</v>
      </c>
      <c r="F2307" s="3">
        <v>38860</v>
      </c>
      <c r="G2307" s="2" t="s">
        <v>2817</v>
      </c>
      <c r="H2307" s="3">
        <v>43053</v>
      </c>
      <c r="I2307" s="2" t="s">
        <v>19506</v>
      </c>
      <c r="J2307" s="2" t="s">
        <v>13904</v>
      </c>
      <c r="K2307" s="2" t="s">
        <v>19241</v>
      </c>
      <c r="L2307" s="82" t="s">
        <v>19512</v>
      </c>
    </row>
    <row r="2308" spans="1:12" ht="120" customHeight="1" x14ac:dyDescent="0.3">
      <c r="A2308" s="2">
        <v>2304</v>
      </c>
      <c r="B2308" s="66" t="s">
        <v>2473</v>
      </c>
      <c r="C2308" s="66"/>
      <c r="D2308" s="11" t="s">
        <v>2608</v>
      </c>
      <c r="E2308" s="11">
        <v>4910.6400000000003</v>
      </c>
      <c r="F2308" s="3">
        <v>38502</v>
      </c>
      <c r="G2308" s="2" t="s">
        <v>2817</v>
      </c>
      <c r="H2308" s="3">
        <v>43053</v>
      </c>
      <c r="I2308" s="2" t="s">
        <v>19506</v>
      </c>
      <c r="J2308" s="2" t="s">
        <v>13904</v>
      </c>
      <c r="K2308" s="2" t="s">
        <v>19241</v>
      </c>
      <c r="L2308" s="82" t="s">
        <v>19512</v>
      </c>
    </row>
    <row r="2309" spans="1:12" ht="120" customHeight="1" x14ac:dyDescent="0.3">
      <c r="A2309" s="2">
        <v>2305</v>
      </c>
      <c r="B2309" s="66" t="s">
        <v>2473</v>
      </c>
      <c r="C2309" s="66"/>
      <c r="D2309" s="11" t="s">
        <v>2609</v>
      </c>
      <c r="E2309" s="11">
        <v>4411.8</v>
      </c>
      <c r="F2309" s="3">
        <v>37620</v>
      </c>
      <c r="G2309" s="2" t="s">
        <v>2817</v>
      </c>
      <c r="H2309" s="3">
        <v>43053</v>
      </c>
      <c r="I2309" s="2" t="s">
        <v>19506</v>
      </c>
      <c r="J2309" s="2" t="s">
        <v>13904</v>
      </c>
      <c r="K2309" s="2" t="s">
        <v>19241</v>
      </c>
      <c r="L2309" s="82" t="s">
        <v>19512</v>
      </c>
    </row>
    <row r="2310" spans="1:12" ht="120" customHeight="1" x14ac:dyDescent="0.3">
      <c r="A2310" s="2">
        <v>2306</v>
      </c>
      <c r="B2310" s="66" t="s">
        <v>2473</v>
      </c>
      <c r="C2310" s="66"/>
      <c r="D2310" s="11" t="s">
        <v>2610</v>
      </c>
      <c r="E2310" s="11">
        <v>5574.24</v>
      </c>
      <c r="F2310" s="3">
        <v>37964</v>
      </c>
      <c r="G2310" s="2" t="s">
        <v>2817</v>
      </c>
      <c r="H2310" s="3">
        <v>43053</v>
      </c>
      <c r="I2310" s="2" t="s">
        <v>19506</v>
      </c>
      <c r="J2310" s="2" t="s">
        <v>13904</v>
      </c>
      <c r="K2310" s="2" t="s">
        <v>19241</v>
      </c>
      <c r="L2310" s="82" t="s">
        <v>19512</v>
      </c>
    </row>
    <row r="2311" spans="1:12" ht="120" customHeight="1" x14ac:dyDescent="0.3">
      <c r="A2311" s="2">
        <v>2307</v>
      </c>
      <c r="B2311" s="66" t="s">
        <v>2474</v>
      </c>
      <c r="C2311" s="66"/>
      <c r="D2311" s="11" t="s">
        <v>2611</v>
      </c>
      <c r="E2311" s="11">
        <v>13427.61</v>
      </c>
      <c r="F2311" s="3">
        <v>37118</v>
      </c>
      <c r="G2311" s="2" t="s">
        <v>2817</v>
      </c>
      <c r="H2311" s="3">
        <v>43053</v>
      </c>
      <c r="I2311" s="2" t="s">
        <v>19506</v>
      </c>
      <c r="J2311" s="2" t="s">
        <v>13904</v>
      </c>
      <c r="K2311" s="2" t="s">
        <v>19241</v>
      </c>
      <c r="L2311" s="82" t="s">
        <v>19512</v>
      </c>
    </row>
    <row r="2312" spans="1:12" ht="120" customHeight="1" x14ac:dyDescent="0.3">
      <c r="A2312" s="2">
        <v>2308</v>
      </c>
      <c r="B2312" s="66" t="s">
        <v>2475</v>
      </c>
      <c r="C2312" s="66"/>
      <c r="D2312" s="11" t="s">
        <v>2612</v>
      </c>
      <c r="E2312" s="11">
        <v>6016.92</v>
      </c>
      <c r="F2312" s="3">
        <v>39445</v>
      </c>
      <c r="G2312" s="2" t="s">
        <v>2817</v>
      </c>
      <c r="H2312" s="3">
        <v>43053</v>
      </c>
      <c r="I2312" s="2" t="s">
        <v>19506</v>
      </c>
      <c r="J2312" s="2" t="s">
        <v>13904</v>
      </c>
      <c r="K2312" s="2" t="s">
        <v>19241</v>
      </c>
      <c r="L2312" s="82" t="s">
        <v>19512</v>
      </c>
    </row>
    <row r="2313" spans="1:12" ht="120" customHeight="1" x14ac:dyDescent="0.3">
      <c r="A2313" s="2">
        <v>2309</v>
      </c>
      <c r="B2313" s="66" t="s">
        <v>2475</v>
      </c>
      <c r="C2313" s="66"/>
      <c r="D2313" s="11" t="s">
        <v>2612</v>
      </c>
      <c r="E2313" s="11">
        <v>6016.92</v>
      </c>
      <c r="F2313" s="3">
        <v>39445</v>
      </c>
      <c r="G2313" s="2" t="s">
        <v>2817</v>
      </c>
      <c r="H2313" s="3">
        <v>43053</v>
      </c>
      <c r="I2313" s="2" t="s">
        <v>19506</v>
      </c>
      <c r="J2313" s="2" t="s">
        <v>13904</v>
      </c>
      <c r="K2313" s="2" t="s">
        <v>19241</v>
      </c>
      <c r="L2313" s="82" t="s">
        <v>19512</v>
      </c>
    </row>
    <row r="2314" spans="1:12" ht="120" customHeight="1" x14ac:dyDescent="0.3">
      <c r="A2314" s="2">
        <v>2310</v>
      </c>
      <c r="B2314" s="66" t="s">
        <v>2475</v>
      </c>
      <c r="C2314" s="66"/>
      <c r="D2314" s="11" t="s">
        <v>2612</v>
      </c>
      <c r="E2314" s="11">
        <v>6016.92</v>
      </c>
      <c r="F2314" s="3">
        <v>39445</v>
      </c>
      <c r="G2314" s="2" t="s">
        <v>2817</v>
      </c>
      <c r="H2314" s="3">
        <v>43053</v>
      </c>
      <c r="I2314" s="2" t="s">
        <v>19506</v>
      </c>
      <c r="J2314" s="2" t="s">
        <v>13904</v>
      </c>
      <c r="K2314" s="2" t="s">
        <v>19241</v>
      </c>
      <c r="L2314" s="82" t="s">
        <v>19512</v>
      </c>
    </row>
    <row r="2315" spans="1:12" ht="120" customHeight="1" x14ac:dyDescent="0.3">
      <c r="A2315" s="2">
        <v>2311</v>
      </c>
      <c r="B2315" s="66" t="s">
        <v>2475</v>
      </c>
      <c r="C2315" s="66"/>
      <c r="D2315" s="11" t="s">
        <v>2612</v>
      </c>
      <c r="E2315" s="11">
        <v>6016.92</v>
      </c>
      <c r="F2315" s="3">
        <v>39445</v>
      </c>
      <c r="G2315" s="2" t="s">
        <v>2817</v>
      </c>
      <c r="H2315" s="3">
        <v>43053</v>
      </c>
      <c r="I2315" s="2" t="s">
        <v>19506</v>
      </c>
      <c r="J2315" s="2" t="s">
        <v>13904</v>
      </c>
      <c r="K2315" s="2" t="s">
        <v>19241</v>
      </c>
      <c r="L2315" s="82" t="s">
        <v>19512</v>
      </c>
    </row>
    <row r="2316" spans="1:12" ht="120" customHeight="1" x14ac:dyDescent="0.3">
      <c r="A2316" s="2">
        <v>2312</v>
      </c>
      <c r="B2316" s="66" t="s">
        <v>2323</v>
      </c>
      <c r="C2316" s="66"/>
      <c r="D2316" s="11" t="s">
        <v>2613</v>
      </c>
      <c r="E2316" s="11">
        <v>4297.8</v>
      </c>
      <c r="F2316" s="3">
        <v>39445</v>
      </c>
      <c r="G2316" s="2" t="s">
        <v>2817</v>
      </c>
      <c r="H2316" s="3">
        <v>43053</v>
      </c>
      <c r="I2316" s="2" t="s">
        <v>19506</v>
      </c>
      <c r="J2316" s="2" t="s">
        <v>13904</v>
      </c>
      <c r="K2316" s="2" t="s">
        <v>19241</v>
      </c>
      <c r="L2316" s="82" t="s">
        <v>19512</v>
      </c>
    </row>
    <row r="2317" spans="1:12" ht="120" customHeight="1" x14ac:dyDescent="0.3">
      <c r="A2317" s="2">
        <v>2313</v>
      </c>
      <c r="B2317" s="66" t="s">
        <v>2476</v>
      </c>
      <c r="C2317" s="66"/>
      <c r="D2317" s="11" t="s">
        <v>2614</v>
      </c>
      <c r="E2317" s="11">
        <v>21489</v>
      </c>
      <c r="F2317" s="3">
        <v>39445</v>
      </c>
      <c r="G2317" s="2" t="s">
        <v>2817</v>
      </c>
      <c r="H2317" s="3">
        <v>43053</v>
      </c>
      <c r="I2317" s="2" t="s">
        <v>19506</v>
      </c>
      <c r="J2317" s="2" t="s">
        <v>13904</v>
      </c>
      <c r="K2317" s="2" t="s">
        <v>19241</v>
      </c>
      <c r="L2317" s="82" t="s">
        <v>19512</v>
      </c>
    </row>
    <row r="2318" spans="1:12" ht="120" customHeight="1" x14ac:dyDescent="0.3">
      <c r="A2318" s="2">
        <v>2314</v>
      </c>
      <c r="B2318" s="66" t="s">
        <v>2477</v>
      </c>
      <c r="C2318" s="66"/>
      <c r="D2318" s="11" t="s">
        <v>2615</v>
      </c>
      <c r="E2318" s="11">
        <v>10005.24</v>
      </c>
      <c r="F2318" s="3">
        <v>37057</v>
      </c>
      <c r="G2318" s="2" t="s">
        <v>2817</v>
      </c>
      <c r="H2318" s="3">
        <v>43053</v>
      </c>
      <c r="I2318" s="2" t="s">
        <v>19506</v>
      </c>
      <c r="J2318" s="2" t="s">
        <v>13904</v>
      </c>
      <c r="K2318" s="2" t="s">
        <v>19241</v>
      </c>
      <c r="L2318" s="82" t="s">
        <v>19512</v>
      </c>
    </row>
    <row r="2319" spans="1:12" ht="120" customHeight="1" x14ac:dyDescent="0.3">
      <c r="A2319" s="2">
        <v>2315</v>
      </c>
      <c r="B2319" s="66" t="s">
        <v>1091</v>
      </c>
      <c r="C2319" s="66"/>
      <c r="D2319" s="11" t="s">
        <v>2616</v>
      </c>
      <c r="E2319" s="11">
        <v>25085.34</v>
      </c>
      <c r="F2319" s="3">
        <v>37620</v>
      </c>
      <c r="G2319" s="2" t="s">
        <v>2817</v>
      </c>
      <c r="H2319" s="3">
        <v>43053</v>
      </c>
      <c r="I2319" s="2" t="s">
        <v>19506</v>
      </c>
      <c r="J2319" s="2" t="s">
        <v>13904</v>
      </c>
      <c r="K2319" s="2" t="s">
        <v>19241</v>
      </c>
      <c r="L2319" s="82" t="s">
        <v>19512</v>
      </c>
    </row>
    <row r="2320" spans="1:12" ht="120" customHeight="1" x14ac:dyDescent="0.3">
      <c r="A2320" s="2">
        <v>2316</v>
      </c>
      <c r="B2320" s="66" t="s">
        <v>2478</v>
      </c>
      <c r="C2320" s="66" t="s">
        <v>19813</v>
      </c>
      <c r="D2320" s="11" t="s">
        <v>2617</v>
      </c>
      <c r="E2320" s="11">
        <v>62372.79</v>
      </c>
      <c r="F2320" s="3">
        <v>37072</v>
      </c>
      <c r="G2320" s="2" t="s">
        <v>2817</v>
      </c>
      <c r="H2320" s="2"/>
      <c r="I2320" s="2"/>
      <c r="J2320" s="2" t="s">
        <v>13904</v>
      </c>
      <c r="K2320" s="2" t="s">
        <v>19241</v>
      </c>
      <c r="L2320" s="82" t="s">
        <v>19783</v>
      </c>
    </row>
    <row r="2321" spans="1:12" ht="120" customHeight="1" x14ac:dyDescent="0.3">
      <c r="A2321" s="2">
        <v>2317</v>
      </c>
      <c r="B2321" s="66" t="s">
        <v>222</v>
      </c>
      <c r="C2321" s="66"/>
      <c r="D2321" s="11" t="s">
        <v>2618</v>
      </c>
      <c r="E2321" s="11">
        <v>10429.5</v>
      </c>
      <c r="F2321" s="3">
        <v>39078</v>
      </c>
      <c r="G2321" s="2" t="s">
        <v>2817</v>
      </c>
      <c r="H2321" s="3">
        <v>43053</v>
      </c>
      <c r="I2321" s="2" t="s">
        <v>19506</v>
      </c>
      <c r="J2321" s="2" t="s">
        <v>13904</v>
      </c>
      <c r="K2321" s="2" t="s">
        <v>19241</v>
      </c>
      <c r="L2321" s="82" t="s">
        <v>19512</v>
      </c>
    </row>
    <row r="2322" spans="1:12" ht="120" customHeight="1" x14ac:dyDescent="0.3">
      <c r="A2322" s="2">
        <v>2318</v>
      </c>
      <c r="B2322" s="66" t="s">
        <v>2479</v>
      </c>
      <c r="C2322" s="66"/>
      <c r="D2322" s="11" t="s">
        <v>2619</v>
      </c>
      <c r="E2322" s="11">
        <v>5630.34</v>
      </c>
      <c r="F2322" s="3">
        <v>38625</v>
      </c>
      <c r="G2322" s="2" t="s">
        <v>2817</v>
      </c>
      <c r="H2322" s="3">
        <v>43053</v>
      </c>
      <c r="I2322" s="2" t="s">
        <v>19506</v>
      </c>
      <c r="J2322" s="2" t="s">
        <v>13904</v>
      </c>
      <c r="K2322" s="2" t="s">
        <v>19241</v>
      </c>
      <c r="L2322" s="82" t="s">
        <v>19512</v>
      </c>
    </row>
    <row r="2323" spans="1:12" ht="120" customHeight="1" x14ac:dyDescent="0.3">
      <c r="A2323" s="2">
        <v>2319</v>
      </c>
      <c r="B2323" s="66" t="s">
        <v>227</v>
      </c>
      <c r="C2323" s="66"/>
      <c r="D2323" s="11" t="s">
        <v>2620</v>
      </c>
      <c r="E2323" s="11">
        <v>5599.92</v>
      </c>
      <c r="F2323" s="3">
        <v>39445</v>
      </c>
      <c r="G2323" s="2" t="s">
        <v>2817</v>
      </c>
      <c r="H2323" s="3">
        <v>43053</v>
      </c>
      <c r="I2323" s="2" t="s">
        <v>19506</v>
      </c>
      <c r="J2323" s="2" t="s">
        <v>13904</v>
      </c>
      <c r="K2323" s="2" t="s">
        <v>19241</v>
      </c>
      <c r="L2323" s="82" t="s">
        <v>19512</v>
      </c>
    </row>
    <row r="2324" spans="1:12" ht="120" customHeight="1" x14ac:dyDescent="0.3">
      <c r="A2324" s="2">
        <v>2320</v>
      </c>
      <c r="B2324" s="66" t="s">
        <v>1322</v>
      </c>
      <c r="C2324" s="66"/>
      <c r="D2324" s="11" t="s">
        <v>1463</v>
      </c>
      <c r="E2324" s="11">
        <v>14669.7</v>
      </c>
      <c r="F2324" s="3">
        <v>38501</v>
      </c>
      <c r="G2324" s="2" t="s">
        <v>2817</v>
      </c>
      <c r="H2324" s="3">
        <v>43053</v>
      </c>
      <c r="I2324" s="2" t="s">
        <v>19506</v>
      </c>
      <c r="J2324" s="2" t="s">
        <v>13904</v>
      </c>
      <c r="K2324" s="2" t="s">
        <v>19241</v>
      </c>
      <c r="L2324" s="82" t="s">
        <v>19512</v>
      </c>
    </row>
    <row r="2325" spans="1:12" ht="120" customHeight="1" x14ac:dyDescent="0.3">
      <c r="A2325" s="2">
        <v>2321</v>
      </c>
      <c r="B2325" s="66" t="s">
        <v>1080</v>
      </c>
      <c r="C2325" s="66"/>
      <c r="D2325" s="11" t="s">
        <v>2621</v>
      </c>
      <c r="E2325" s="11">
        <v>3420.06</v>
      </c>
      <c r="F2325" s="3">
        <v>34318</v>
      </c>
      <c r="G2325" s="2" t="s">
        <v>2817</v>
      </c>
      <c r="H2325" s="3">
        <v>43053</v>
      </c>
      <c r="I2325" s="2" t="s">
        <v>19506</v>
      </c>
      <c r="J2325" s="2" t="s">
        <v>13904</v>
      </c>
      <c r="K2325" s="2" t="s">
        <v>19241</v>
      </c>
      <c r="L2325" s="82" t="s">
        <v>19512</v>
      </c>
    </row>
    <row r="2326" spans="1:12" ht="120" customHeight="1" x14ac:dyDescent="0.3">
      <c r="A2326" s="2">
        <v>2322</v>
      </c>
      <c r="B2326" s="66" t="s">
        <v>2480</v>
      </c>
      <c r="C2326" s="66"/>
      <c r="D2326" s="11" t="s">
        <v>2593</v>
      </c>
      <c r="E2326" s="11">
        <v>23128.41</v>
      </c>
      <c r="F2326" s="3">
        <v>35669</v>
      </c>
      <c r="G2326" s="2" t="s">
        <v>2817</v>
      </c>
      <c r="H2326" s="3">
        <v>43053</v>
      </c>
      <c r="I2326" s="2" t="s">
        <v>19506</v>
      </c>
      <c r="J2326" s="2" t="s">
        <v>13904</v>
      </c>
      <c r="K2326" s="2" t="s">
        <v>19241</v>
      </c>
      <c r="L2326" s="82" t="s">
        <v>19512</v>
      </c>
    </row>
    <row r="2327" spans="1:12" ht="120" customHeight="1" x14ac:dyDescent="0.3">
      <c r="A2327" s="2">
        <v>2323</v>
      </c>
      <c r="B2327" s="66" t="s">
        <v>2481</v>
      </c>
      <c r="C2327" s="66"/>
      <c r="D2327" s="11" t="s">
        <v>2622</v>
      </c>
      <c r="E2327" s="11">
        <v>34493.040000000001</v>
      </c>
      <c r="F2327" s="3">
        <v>39445</v>
      </c>
      <c r="G2327" s="2" t="s">
        <v>2817</v>
      </c>
      <c r="H2327" s="3">
        <v>43053</v>
      </c>
      <c r="I2327" s="2" t="s">
        <v>19506</v>
      </c>
      <c r="J2327" s="2" t="s">
        <v>13904</v>
      </c>
      <c r="K2327" s="2" t="s">
        <v>19241</v>
      </c>
      <c r="L2327" s="82" t="s">
        <v>19512</v>
      </c>
    </row>
    <row r="2328" spans="1:12" ht="120" customHeight="1" x14ac:dyDescent="0.3">
      <c r="A2328" s="2">
        <v>2324</v>
      </c>
      <c r="B2328" s="66" t="s">
        <v>217</v>
      </c>
      <c r="C2328" s="66"/>
      <c r="D2328" s="11" t="s">
        <v>2623</v>
      </c>
      <c r="E2328" s="11">
        <v>7548</v>
      </c>
      <c r="F2328" s="3">
        <v>39078</v>
      </c>
      <c r="G2328" s="2" t="s">
        <v>2817</v>
      </c>
      <c r="H2328" s="3">
        <v>43053</v>
      </c>
      <c r="I2328" s="2" t="s">
        <v>19506</v>
      </c>
      <c r="J2328" s="2" t="s">
        <v>13904</v>
      </c>
      <c r="K2328" s="2" t="s">
        <v>19241</v>
      </c>
      <c r="L2328" s="82" t="s">
        <v>19512</v>
      </c>
    </row>
    <row r="2329" spans="1:12" ht="120" customHeight="1" x14ac:dyDescent="0.3">
      <c r="A2329" s="2">
        <v>2325</v>
      </c>
      <c r="B2329" s="66" t="s">
        <v>2482</v>
      </c>
      <c r="C2329" s="66"/>
      <c r="D2329" s="11" t="s">
        <v>2624</v>
      </c>
      <c r="E2329" s="11">
        <v>4435.47</v>
      </c>
      <c r="F2329" s="3">
        <v>37973</v>
      </c>
      <c r="G2329" s="2" t="s">
        <v>2817</v>
      </c>
      <c r="H2329" s="3">
        <v>43053</v>
      </c>
      <c r="I2329" s="2" t="s">
        <v>19506</v>
      </c>
      <c r="J2329" s="2" t="s">
        <v>13904</v>
      </c>
      <c r="K2329" s="2" t="s">
        <v>19241</v>
      </c>
      <c r="L2329" s="82" t="s">
        <v>19512</v>
      </c>
    </row>
    <row r="2330" spans="1:12" ht="120" customHeight="1" x14ac:dyDescent="0.3">
      <c r="A2330" s="2">
        <v>2326</v>
      </c>
      <c r="B2330" s="66" t="s">
        <v>2483</v>
      </c>
      <c r="C2330" s="66" t="s">
        <v>19801</v>
      </c>
      <c r="D2330" s="11" t="s">
        <v>2625</v>
      </c>
      <c r="E2330" s="11">
        <v>39743.31</v>
      </c>
      <c r="F2330" s="3">
        <v>39445</v>
      </c>
      <c r="G2330" s="2" t="s">
        <v>2817</v>
      </c>
      <c r="H2330" s="2"/>
      <c r="I2330" s="2"/>
      <c r="J2330" s="2" t="s">
        <v>13904</v>
      </c>
      <c r="K2330" s="2" t="s">
        <v>19241</v>
      </c>
      <c r="L2330" s="82" t="s">
        <v>19783</v>
      </c>
    </row>
    <row r="2331" spans="1:12" ht="120" customHeight="1" x14ac:dyDescent="0.3">
      <c r="A2331" s="2">
        <v>2327</v>
      </c>
      <c r="B2331" s="66" t="s">
        <v>2484</v>
      </c>
      <c r="C2331" s="66"/>
      <c r="D2331" s="11" t="s">
        <v>2626</v>
      </c>
      <c r="E2331" s="11">
        <v>18473.560000000001</v>
      </c>
      <c r="F2331" s="3">
        <v>35652</v>
      </c>
      <c r="G2331" s="2" t="s">
        <v>2817</v>
      </c>
      <c r="H2331" s="3">
        <v>43053</v>
      </c>
      <c r="I2331" s="2" t="s">
        <v>19506</v>
      </c>
      <c r="J2331" s="2" t="s">
        <v>13904</v>
      </c>
      <c r="K2331" s="2" t="s">
        <v>19241</v>
      </c>
      <c r="L2331" s="82" t="s">
        <v>19512</v>
      </c>
    </row>
    <row r="2332" spans="1:12" ht="120" customHeight="1" x14ac:dyDescent="0.3">
      <c r="A2332" s="2">
        <v>2328</v>
      </c>
      <c r="B2332" s="66" t="s">
        <v>2485</v>
      </c>
      <c r="C2332" s="66"/>
      <c r="D2332" s="11" t="s">
        <v>2627</v>
      </c>
      <c r="E2332" s="11">
        <v>23059.82</v>
      </c>
      <c r="F2332" s="3">
        <v>35713</v>
      </c>
      <c r="G2332" s="2" t="s">
        <v>2817</v>
      </c>
      <c r="H2332" s="3">
        <v>43053</v>
      </c>
      <c r="I2332" s="2" t="s">
        <v>19506</v>
      </c>
      <c r="J2332" s="2" t="s">
        <v>13904</v>
      </c>
      <c r="K2332" s="2" t="s">
        <v>19241</v>
      </c>
      <c r="L2332" s="82" t="s">
        <v>19512</v>
      </c>
    </row>
    <row r="2333" spans="1:12" ht="120" customHeight="1" x14ac:dyDescent="0.3">
      <c r="A2333" s="2">
        <v>2329</v>
      </c>
      <c r="B2333" s="66" t="s">
        <v>2486</v>
      </c>
      <c r="C2333" s="66"/>
      <c r="D2333" s="11" t="s">
        <v>2628</v>
      </c>
      <c r="E2333" s="11">
        <v>4430.87</v>
      </c>
      <c r="F2333" s="3">
        <v>37174</v>
      </c>
      <c r="G2333" s="2" t="s">
        <v>2817</v>
      </c>
      <c r="H2333" s="3">
        <v>43053</v>
      </c>
      <c r="I2333" s="2" t="s">
        <v>19506</v>
      </c>
      <c r="J2333" s="2" t="s">
        <v>13904</v>
      </c>
      <c r="K2333" s="2" t="s">
        <v>19241</v>
      </c>
      <c r="L2333" s="82" t="s">
        <v>19512</v>
      </c>
    </row>
    <row r="2334" spans="1:12" ht="120" customHeight="1" x14ac:dyDescent="0.3">
      <c r="A2334" s="2">
        <v>2330</v>
      </c>
      <c r="B2334" s="66" t="s">
        <v>2487</v>
      </c>
      <c r="C2334" s="66"/>
      <c r="D2334" s="11" t="s">
        <v>2629</v>
      </c>
      <c r="E2334" s="11">
        <v>39115.300000000003</v>
      </c>
      <c r="F2334" s="3">
        <v>35713</v>
      </c>
      <c r="G2334" s="2" t="s">
        <v>2817</v>
      </c>
      <c r="H2334" s="3">
        <v>43053</v>
      </c>
      <c r="I2334" s="2" t="s">
        <v>19506</v>
      </c>
      <c r="J2334" s="2" t="s">
        <v>13904</v>
      </c>
      <c r="K2334" s="2" t="s">
        <v>19241</v>
      </c>
      <c r="L2334" s="82" t="s">
        <v>19512</v>
      </c>
    </row>
    <row r="2335" spans="1:12" ht="120" customHeight="1" x14ac:dyDescent="0.3">
      <c r="A2335" s="2">
        <v>2331</v>
      </c>
      <c r="B2335" s="66" t="s">
        <v>2488</v>
      </c>
      <c r="C2335" s="66"/>
      <c r="D2335" s="11" t="s">
        <v>2630</v>
      </c>
      <c r="E2335" s="11">
        <v>8760</v>
      </c>
      <c r="F2335" s="3">
        <v>39531</v>
      </c>
      <c r="G2335" s="2" t="s">
        <v>2817</v>
      </c>
      <c r="H2335" s="3">
        <v>43053</v>
      </c>
      <c r="I2335" s="2" t="s">
        <v>19506</v>
      </c>
      <c r="J2335" s="2" t="s">
        <v>13904</v>
      </c>
      <c r="K2335" s="2" t="s">
        <v>19241</v>
      </c>
      <c r="L2335" s="82" t="s">
        <v>19512</v>
      </c>
    </row>
    <row r="2336" spans="1:12" ht="120" customHeight="1" x14ac:dyDescent="0.3">
      <c r="A2336" s="2">
        <v>2332</v>
      </c>
      <c r="B2336" s="66" t="s">
        <v>2489</v>
      </c>
      <c r="C2336" s="66"/>
      <c r="D2336" s="11" t="s">
        <v>2631</v>
      </c>
      <c r="E2336" s="11">
        <v>43066.65</v>
      </c>
      <c r="F2336" s="3">
        <v>34750</v>
      </c>
      <c r="G2336" s="2" t="s">
        <v>2817</v>
      </c>
      <c r="H2336" s="3">
        <v>43053</v>
      </c>
      <c r="I2336" s="2" t="s">
        <v>19506</v>
      </c>
      <c r="J2336" s="2" t="s">
        <v>13904</v>
      </c>
      <c r="K2336" s="2" t="s">
        <v>19241</v>
      </c>
      <c r="L2336" s="82" t="s">
        <v>19512</v>
      </c>
    </row>
    <row r="2337" spans="1:12" ht="120" customHeight="1" x14ac:dyDescent="0.3">
      <c r="A2337" s="2">
        <v>2333</v>
      </c>
      <c r="B2337" s="66" t="s">
        <v>2490</v>
      </c>
      <c r="C2337" s="66"/>
      <c r="D2337" s="11" t="s">
        <v>2632</v>
      </c>
      <c r="E2337" s="11">
        <v>8011.65</v>
      </c>
      <c r="F2337" s="3">
        <v>39445</v>
      </c>
      <c r="G2337" s="2" t="s">
        <v>2817</v>
      </c>
      <c r="H2337" s="3">
        <v>43053</v>
      </c>
      <c r="I2337" s="2" t="s">
        <v>19506</v>
      </c>
      <c r="J2337" s="2" t="s">
        <v>13904</v>
      </c>
      <c r="K2337" s="2" t="s">
        <v>19241</v>
      </c>
      <c r="L2337" s="82" t="s">
        <v>19512</v>
      </c>
    </row>
    <row r="2338" spans="1:12" ht="120" customHeight="1" x14ac:dyDescent="0.3">
      <c r="A2338" s="2">
        <v>2334</v>
      </c>
      <c r="B2338" s="66" t="s">
        <v>2490</v>
      </c>
      <c r="C2338" s="66"/>
      <c r="D2338" s="11" t="s">
        <v>2632</v>
      </c>
      <c r="E2338" s="11">
        <v>8011.65</v>
      </c>
      <c r="F2338" s="3">
        <v>39445</v>
      </c>
      <c r="G2338" s="2" t="s">
        <v>2817</v>
      </c>
      <c r="H2338" s="3">
        <v>43053</v>
      </c>
      <c r="I2338" s="2" t="s">
        <v>19506</v>
      </c>
      <c r="J2338" s="2" t="s">
        <v>13904</v>
      </c>
      <c r="K2338" s="2" t="s">
        <v>19241</v>
      </c>
      <c r="L2338" s="82" t="s">
        <v>19512</v>
      </c>
    </row>
    <row r="2339" spans="1:12" ht="120" customHeight="1" x14ac:dyDescent="0.3">
      <c r="A2339" s="2">
        <v>2335</v>
      </c>
      <c r="B2339" s="66" t="s">
        <v>2490</v>
      </c>
      <c r="C2339" s="66"/>
      <c r="D2339" s="11" t="s">
        <v>2632</v>
      </c>
      <c r="E2339" s="11">
        <v>8011.65</v>
      </c>
      <c r="F2339" s="3">
        <v>39445</v>
      </c>
      <c r="G2339" s="2" t="s">
        <v>2817</v>
      </c>
      <c r="H2339" s="3">
        <v>43053</v>
      </c>
      <c r="I2339" s="2" t="s">
        <v>19506</v>
      </c>
      <c r="J2339" s="2" t="s">
        <v>13904</v>
      </c>
      <c r="K2339" s="2" t="s">
        <v>19241</v>
      </c>
      <c r="L2339" s="82" t="s">
        <v>19512</v>
      </c>
    </row>
    <row r="2340" spans="1:12" ht="120" customHeight="1" x14ac:dyDescent="0.3">
      <c r="A2340" s="2">
        <v>2336</v>
      </c>
      <c r="B2340" s="66" t="s">
        <v>2491</v>
      </c>
      <c r="C2340" s="66" t="s">
        <v>19795</v>
      </c>
      <c r="D2340" s="11" t="s">
        <v>2633</v>
      </c>
      <c r="E2340" s="11">
        <v>172285.06</v>
      </c>
      <c r="F2340" s="3">
        <v>39445</v>
      </c>
      <c r="G2340" s="2" t="s">
        <v>2817</v>
      </c>
      <c r="H2340" s="2"/>
      <c r="I2340" s="2"/>
      <c r="J2340" s="2" t="s">
        <v>13904</v>
      </c>
      <c r="K2340" s="2" t="s">
        <v>19241</v>
      </c>
      <c r="L2340" s="82" t="s">
        <v>19783</v>
      </c>
    </row>
    <row r="2341" spans="1:12" ht="120" customHeight="1" x14ac:dyDescent="0.3">
      <c r="A2341" s="2">
        <v>2337</v>
      </c>
      <c r="B2341" s="66" t="s">
        <v>2138</v>
      </c>
      <c r="C2341" s="66"/>
      <c r="D2341" s="11" t="s">
        <v>2634</v>
      </c>
      <c r="E2341" s="11">
        <v>4190</v>
      </c>
      <c r="F2341" s="3">
        <v>39094</v>
      </c>
      <c r="G2341" s="2" t="s">
        <v>2817</v>
      </c>
      <c r="H2341" s="3">
        <v>43053</v>
      </c>
      <c r="I2341" s="2" t="s">
        <v>19506</v>
      </c>
      <c r="J2341" s="2" t="s">
        <v>13904</v>
      </c>
      <c r="K2341" s="2" t="s">
        <v>19241</v>
      </c>
      <c r="L2341" s="82" t="s">
        <v>19512</v>
      </c>
    </row>
    <row r="2342" spans="1:12" ht="120" customHeight="1" x14ac:dyDescent="0.3">
      <c r="A2342" s="2">
        <v>2338</v>
      </c>
      <c r="B2342" s="66" t="s">
        <v>2492</v>
      </c>
      <c r="C2342" s="66"/>
      <c r="D2342" s="11" t="s">
        <v>2635</v>
      </c>
      <c r="E2342" s="11">
        <v>8998.42</v>
      </c>
      <c r="F2342" s="3">
        <v>39445</v>
      </c>
      <c r="G2342" s="2" t="s">
        <v>2817</v>
      </c>
      <c r="H2342" s="3">
        <v>43053</v>
      </c>
      <c r="I2342" s="2" t="s">
        <v>19506</v>
      </c>
      <c r="J2342" s="2" t="s">
        <v>13904</v>
      </c>
      <c r="K2342" s="2" t="s">
        <v>19241</v>
      </c>
      <c r="L2342" s="82" t="s">
        <v>19512</v>
      </c>
    </row>
    <row r="2343" spans="1:12" ht="120" customHeight="1" x14ac:dyDescent="0.3">
      <c r="A2343" s="2">
        <v>2339</v>
      </c>
      <c r="B2343" s="66" t="s">
        <v>2493</v>
      </c>
      <c r="C2343" s="66"/>
      <c r="D2343" s="11" t="s">
        <v>2636</v>
      </c>
      <c r="E2343" s="11">
        <v>6882.75</v>
      </c>
      <c r="F2343" s="3">
        <v>39445</v>
      </c>
      <c r="G2343" s="2" t="s">
        <v>2817</v>
      </c>
      <c r="H2343" s="3">
        <v>43053</v>
      </c>
      <c r="I2343" s="2" t="s">
        <v>19506</v>
      </c>
      <c r="J2343" s="2" t="s">
        <v>13904</v>
      </c>
      <c r="K2343" s="2" t="s">
        <v>19241</v>
      </c>
      <c r="L2343" s="82" t="s">
        <v>19512</v>
      </c>
    </row>
    <row r="2344" spans="1:12" ht="120" customHeight="1" x14ac:dyDescent="0.3">
      <c r="A2344" s="2">
        <v>2340</v>
      </c>
      <c r="B2344" s="66" t="s">
        <v>2493</v>
      </c>
      <c r="C2344" s="66"/>
      <c r="D2344" s="11" t="s">
        <v>2636</v>
      </c>
      <c r="E2344" s="11">
        <v>6882.75</v>
      </c>
      <c r="F2344" s="3">
        <v>39445</v>
      </c>
      <c r="G2344" s="2" t="s">
        <v>2817</v>
      </c>
      <c r="H2344" s="3">
        <v>43053</v>
      </c>
      <c r="I2344" s="2" t="s">
        <v>19506</v>
      </c>
      <c r="J2344" s="2" t="s">
        <v>13904</v>
      </c>
      <c r="K2344" s="2" t="s">
        <v>19241</v>
      </c>
      <c r="L2344" s="82" t="s">
        <v>19512</v>
      </c>
    </row>
    <row r="2345" spans="1:12" ht="120" customHeight="1" x14ac:dyDescent="0.3">
      <c r="A2345" s="2">
        <v>2341</v>
      </c>
      <c r="B2345" s="66" t="s">
        <v>2494</v>
      </c>
      <c r="C2345" s="66"/>
      <c r="D2345" s="11" t="s">
        <v>2637</v>
      </c>
      <c r="E2345" s="11">
        <v>6910.06</v>
      </c>
      <c r="F2345" s="3">
        <v>38518</v>
      </c>
      <c r="G2345" s="2" t="s">
        <v>2817</v>
      </c>
      <c r="H2345" s="3">
        <v>43053</v>
      </c>
      <c r="I2345" s="2" t="s">
        <v>19506</v>
      </c>
      <c r="J2345" s="2" t="s">
        <v>13904</v>
      </c>
      <c r="K2345" s="2" t="s">
        <v>19241</v>
      </c>
      <c r="L2345" s="82" t="s">
        <v>19512</v>
      </c>
    </row>
    <row r="2346" spans="1:12" ht="120" customHeight="1" x14ac:dyDescent="0.3">
      <c r="A2346" s="2">
        <v>2342</v>
      </c>
      <c r="B2346" s="66" t="s">
        <v>2494</v>
      </c>
      <c r="C2346" s="66"/>
      <c r="D2346" s="11" t="s">
        <v>2637</v>
      </c>
      <c r="E2346" s="11">
        <v>6910.06</v>
      </c>
      <c r="F2346" s="3">
        <v>37057</v>
      </c>
      <c r="G2346" s="2" t="s">
        <v>2817</v>
      </c>
      <c r="H2346" s="3">
        <v>43053</v>
      </c>
      <c r="I2346" s="2" t="s">
        <v>19506</v>
      </c>
      <c r="J2346" s="2" t="s">
        <v>13904</v>
      </c>
      <c r="K2346" s="2" t="s">
        <v>19241</v>
      </c>
      <c r="L2346" s="82" t="s">
        <v>19512</v>
      </c>
    </row>
    <row r="2347" spans="1:12" ht="120" customHeight="1" x14ac:dyDescent="0.3">
      <c r="A2347" s="2">
        <v>2343</v>
      </c>
      <c r="B2347" s="66" t="s">
        <v>2495</v>
      </c>
      <c r="C2347" s="66" t="s">
        <v>19782</v>
      </c>
      <c r="D2347" s="11" t="s">
        <v>2638</v>
      </c>
      <c r="E2347" s="11">
        <v>60132.639999999999</v>
      </c>
      <c r="F2347" s="3">
        <v>39445</v>
      </c>
      <c r="G2347" s="2" t="s">
        <v>2817</v>
      </c>
      <c r="H2347" s="2"/>
      <c r="I2347" s="2"/>
      <c r="J2347" s="2" t="s">
        <v>13904</v>
      </c>
      <c r="K2347" s="2" t="s">
        <v>19241</v>
      </c>
      <c r="L2347" s="82" t="s">
        <v>19783</v>
      </c>
    </row>
    <row r="2348" spans="1:12" ht="120" customHeight="1" x14ac:dyDescent="0.3">
      <c r="A2348" s="2">
        <v>2344</v>
      </c>
      <c r="B2348" s="66" t="s">
        <v>2495</v>
      </c>
      <c r="C2348" s="66" t="s">
        <v>19784</v>
      </c>
      <c r="D2348" s="11" t="s">
        <v>2638</v>
      </c>
      <c r="E2348" s="11">
        <v>41564.92</v>
      </c>
      <c r="F2348" s="3">
        <v>39445</v>
      </c>
      <c r="G2348" s="2" t="s">
        <v>2817</v>
      </c>
      <c r="H2348" s="2"/>
      <c r="I2348" s="2"/>
      <c r="J2348" s="2" t="s">
        <v>13904</v>
      </c>
      <c r="K2348" s="2" t="s">
        <v>19241</v>
      </c>
      <c r="L2348" s="82" t="s">
        <v>19783</v>
      </c>
    </row>
    <row r="2349" spans="1:12" ht="120" customHeight="1" x14ac:dyDescent="0.3">
      <c r="A2349" s="2">
        <v>2345</v>
      </c>
      <c r="B2349" s="66" t="s">
        <v>2495</v>
      </c>
      <c r="C2349" s="66" t="s">
        <v>19785</v>
      </c>
      <c r="D2349" s="11" t="s">
        <v>2638</v>
      </c>
      <c r="E2349" s="11">
        <v>41564.92</v>
      </c>
      <c r="F2349" s="3">
        <v>39445</v>
      </c>
      <c r="G2349" s="2" t="s">
        <v>2817</v>
      </c>
      <c r="H2349" s="2"/>
      <c r="I2349" s="2"/>
      <c r="J2349" s="2" t="s">
        <v>13904</v>
      </c>
      <c r="K2349" s="2" t="s">
        <v>19241</v>
      </c>
      <c r="L2349" s="82" t="s">
        <v>19783</v>
      </c>
    </row>
    <row r="2350" spans="1:12" ht="120" customHeight="1" x14ac:dyDescent="0.3">
      <c r="A2350" s="2">
        <v>2346</v>
      </c>
      <c r="B2350" s="66" t="s">
        <v>2495</v>
      </c>
      <c r="C2350" s="66" t="s">
        <v>19794</v>
      </c>
      <c r="D2350" s="11" t="s">
        <v>2638</v>
      </c>
      <c r="E2350" s="11">
        <v>60132.639999999999</v>
      </c>
      <c r="F2350" s="3">
        <v>39445</v>
      </c>
      <c r="G2350" s="2" t="s">
        <v>2817</v>
      </c>
      <c r="H2350" s="2"/>
      <c r="I2350" s="2"/>
      <c r="J2350" s="2" t="s">
        <v>13904</v>
      </c>
      <c r="K2350" s="2" t="s">
        <v>19241</v>
      </c>
      <c r="L2350" s="82" t="s">
        <v>19783</v>
      </c>
    </row>
    <row r="2351" spans="1:12" ht="120" customHeight="1" x14ac:dyDescent="0.3">
      <c r="A2351" s="2">
        <v>2347</v>
      </c>
      <c r="B2351" s="66" t="s">
        <v>2496</v>
      </c>
      <c r="C2351" s="66"/>
      <c r="D2351" s="11" t="s">
        <v>2639</v>
      </c>
      <c r="E2351" s="11">
        <v>53164.57</v>
      </c>
      <c r="F2351" s="3">
        <v>39445</v>
      </c>
      <c r="G2351" s="2" t="s">
        <v>2817</v>
      </c>
      <c r="H2351" s="3">
        <v>43053</v>
      </c>
      <c r="I2351" s="2" t="s">
        <v>19506</v>
      </c>
      <c r="J2351" s="2" t="s">
        <v>13904</v>
      </c>
      <c r="K2351" s="2" t="s">
        <v>19241</v>
      </c>
      <c r="L2351" s="82" t="s">
        <v>19512</v>
      </c>
    </row>
    <row r="2352" spans="1:12" ht="120" customHeight="1" x14ac:dyDescent="0.3">
      <c r="A2352" s="2">
        <v>2348</v>
      </c>
      <c r="B2352" s="66" t="s">
        <v>2497</v>
      </c>
      <c r="C2352" s="66" t="s">
        <v>19806</v>
      </c>
      <c r="D2352" s="11" t="s">
        <v>2640</v>
      </c>
      <c r="E2352" s="11">
        <v>52038.5</v>
      </c>
      <c r="F2352" s="3">
        <v>39445</v>
      </c>
      <c r="G2352" s="2" t="s">
        <v>2817</v>
      </c>
      <c r="H2352" s="2"/>
      <c r="I2352" s="2"/>
      <c r="J2352" s="2" t="s">
        <v>13904</v>
      </c>
      <c r="K2352" s="2" t="s">
        <v>19241</v>
      </c>
      <c r="L2352" s="82" t="s">
        <v>19783</v>
      </c>
    </row>
    <row r="2353" spans="1:12" ht="120" customHeight="1" x14ac:dyDescent="0.3">
      <c r="A2353" s="2">
        <v>2349</v>
      </c>
      <c r="B2353" s="66" t="s">
        <v>2498</v>
      </c>
      <c r="C2353" s="66" t="s">
        <v>19804</v>
      </c>
      <c r="D2353" s="11" t="s">
        <v>2641</v>
      </c>
      <c r="E2353" s="11">
        <v>80255.789999999994</v>
      </c>
      <c r="F2353" s="3">
        <v>39445</v>
      </c>
      <c r="G2353" s="2" t="s">
        <v>2817</v>
      </c>
      <c r="H2353" s="2"/>
      <c r="I2353" s="2"/>
      <c r="J2353" s="2" t="s">
        <v>13904</v>
      </c>
      <c r="K2353" s="2" t="s">
        <v>19241</v>
      </c>
      <c r="L2353" s="82" t="s">
        <v>19783</v>
      </c>
    </row>
    <row r="2354" spans="1:12" ht="120" customHeight="1" x14ac:dyDescent="0.3">
      <c r="A2354" s="2">
        <v>2350</v>
      </c>
      <c r="B2354" s="66" t="s">
        <v>2498</v>
      </c>
      <c r="C2354" s="15" t="s">
        <v>19816</v>
      </c>
      <c r="D2354" s="11" t="s">
        <v>2641</v>
      </c>
      <c r="E2354" s="11">
        <v>80255.789999999994</v>
      </c>
      <c r="F2354" s="3">
        <v>39447</v>
      </c>
      <c r="G2354" s="2" t="s">
        <v>2817</v>
      </c>
      <c r="H2354" s="2"/>
      <c r="I2354" s="2"/>
      <c r="J2354" s="2" t="s">
        <v>13904</v>
      </c>
      <c r="K2354" s="2" t="s">
        <v>19241</v>
      </c>
      <c r="L2354" s="82" t="s">
        <v>19783</v>
      </c>
    </row>
    <row r="2355" spans="1:12" ht="120" customHeight="1" x14ac:dyDescent="0.3">
      <c r="A2355" s="2">
        <v>2351</v>
      </c>
      <c r="B2355" s="66" t="s">
        <v>2498</v>
      </c>
      <c r="C2355" s="66" t="s">
        <v>19805</v>
      </c>
      <c r="D2355" s="11" t="s">
        <v>2641</v>
      </c>
      <c r="E2355" s="11">
        <v>80255.789999999994</v>
      </c>
      <c r="F2355" s="3">
        <v>39445</v>
      </c>
      <c r="G2355" s="2" t="s">
        <v>2817</v>
      </c>
      <c r="H2355" s="2"/>
      <c r="I2355" s="2"/>
      <c r="J2355" s="2" t="s">
        <v>13904</v>
      </c>
      <c r="K2355" s="2" t="s">
        <v>19241</v>
      </c>
      <c r="L2355" s="82" t="s">
        <v>19783</v>
      </c>
    </row>
    <row r="2356" spans="1:12" ht="120" customHeight="1" x14ac:dyDescent="0.3">
      <c r="A2356" s="2">
        <v>2352</v>
      </c>
      <c r="B2356" s="66" t="s">
        <v>2498</v>
      </c>
      <c r="C2356" s="66" t="s">
        <v>19823</v>
      </c>
      <c r="D2356" s="11" t="s">
        <v>2641</v>
      </c>
      <c r="E2356" s="11">
        <v>80255.789999999994</v>
      </c>
      <c r="F2356" s="3">
        <v>39445</v>
      </c>
      <c r="G2356" s="2" t="s">
        <v>2817</v>
      </c>
      <c r="H2356" s="2"/>
      <c r="I2356" s="2"/>
      <c r="J2356" s="2" t="s">
        <v>13904</v>
      </c>
      <c r="K2356" s="2" t="s">
        <v>19241</v>
      </c>
      <c r="L2356" s="82" t="s">
        <v>19783</v>
      </c>
    </row>
    <row r="2357" spans="1:12" ht="120" customHeight="1" x14ac:dyDescent="0.3">
      <c r="A2357" s="2">
        <v>2353</v>
      </c>
      <c r="B2357" s="66" t="s">
        <v>2498</v>
      </c>
      <c r="C2357" s="66" t="s">
        <v>19824</v>
      </c>
      <c r="D2357" s="11" t="s">
        <v>2641</v>
      </c>
      <c r="E2357" s="11">
        <v>80255.789999999994</v>
      </c>
      <c r="F2357" s="3">
        <v>39445</v>
      </c>
      <c r="G2357" s="2" t="s">
        <v>2817</v>
      </c>
      <c r="H2357" s="2"/>
      <c r="I2357" s="2"/>
      <c r="J2357" s="2" t="s">
        <v>13904</v>
      </c>
      <c r="K2357" s="2" t="s">
        <v>19241</v>
      </c>
      <c r="L2357" s="82" t="s">
        <v>19783</v>
      </c>
    </row>
    <row r="2358" spans="1:12" ht="120" customHeight="1" x14ac:dyDescent="0.3">
      <c r="A2358" s="2">
        <v>2354</v>
      </c>
      <c r="B2358" s="66" t="s">
        <v>2498</v>
      </c>
      <c r="C2358" s="66" t="s">
        <v>19830</v>
      </c>
      <c r="D2358" s="11" t="s">
        <v>2641</v>
      </c>
      <c r="E2358" s="11">
        <v>80255.789999999994</v>
      </c>
      <c r="F2358" s="3">
        <v>39445</v>
      </c>
      <c r="G2358" s="2" t="s">
        <v>2817</v>
      </c>
      <c r="H2358" s="2"/>
      <c r="I2358" s="2"/>
      <c r="J2358" s="2" t="s">
        <v>13904</v>
      </c>
      <c r="K2358" s="2" t="s">
        <v>19241</v>
      </c>
      <c r="L2358" s="82" t="s">
        <v>19783</v>
      </c>
    </row>
    <row r="2359" spans="1:12" ht="120" customHeight="1" x14ac:dyDescent="0.3">
      <c r="A2359" s="2">
        <v>2355</v>
      </c>
      <c r="B2359" s="66" t="s">
        <v>2499</v>
      </c>
      <c r="C2359" s="66" t="s">
        <v>19787</v>
      </c>
      <c r="D2359" s="11" t="s">
        <v>2642</v>
      </c>
      <c r="E2359" s="11">
        <v>64497.72</v>
      </c>
      <c r="F2359" s="3">
        <v>39445</v>
      </c>
      <c r="G2359" s="2" t="s">
        <v>2817</v>
      </c>
      <c r="H2359" s="2"/>
      <c r="I2359" s="2"/>
      <c r="J2359" s="2" t="s">
        <v>13904</v>
      </c>
      <c r="K2359" s="2" t="s">
        <v>19241</v>
      </c>
      <c r="L2359" s="82" t="s">
        <v>19783</v>
      </c>
    </row>
    <row r="2360" spans="1:12" ht="120" customHeight="1" x14ac:dyDescent="0.3">
      <c r="A2360" s="2">
        <v>2356</v>
      </c>
      <c r="B2360" s="66" t="s">
        <v>2499</v>
      </c>
      <c r="C2360" s="66" t="s">
        <v>19817</v>
      </c>
      <c r="D2360" s="11" t="s">
        <v>2642</v>
      </c>
      <c r="E2360" s="11">
        <v>64497.72</v>
      </c>
      <c r="F2360" s="3">
        <v>39445</v>
      </c>
      <c r="G2360" s="2" t="s">
        <v>2817</v>
      </c>
      <c r="H2360" s="2"/>
      <c r="I2360" s="2"/>
      <c r="J2360" s="2" t="s">
        <v>13904</v>
      </c>
      <c r="K2360" s="2" t="s">
        <v>19241</v>
      </c>
      <c r="L2360" s="82" t="s">
        <v>19783</v>
      </c>
    </row>
    <row r="2361" spans="1:12" ht="120" customHeight="1" x14ac:dyDescent="0.3">
      <c r="A2361" s="2">
        <v>2357</v>
      </c>
      <c r="B2361" s="66" t="s">
        <v>2499</v>
      </c>
      <c r="C2361" s="66" t="s">
        <v>19818</v>
      </c>
      <c r="D2361" s="11" t="s">
        <v>2642</v>
      </c>
      <c r="E2361" s="11">
        <v>64497.72</v>
      </c>
      <c r="F2361" s="3">
        <v>39445</v>
      </c>
      <c r="G2361" s="2" t="s">
        <v>2817</v>
      </c>
      <c r="H2361" s="2"/>
      <c r="I2361" s="2"/>
      <c r="J2361" s="2" t="s">
        <v>13904</v>
      </c>
      <c r="K2361" s="2" t="s">
        <v>19241</v>
      </c>
      <c r="L2361" s="82" t="s">
        <v>19783</v>
      </c>
    </row>
    <row r="2362" spans="1:12" ht="120" customHeight="1" x14ac:dyDescent="0.3">
      <c r="A2362" s="2">
        <v>2358</v>
      </c>
      <c r="B2362" s="66" t="s">
        <v>2499</v>
      </c>
      <c r="C2362" s="66" t="s">
        <v>19819</v>
      </c>
      <c r="D2362" s="11" t="s">
        <v>2642</v>
      </c>
      <c r="E2362" s="11">
        <v>64497.72</v>
      </c>
      <c r="F2362" s="3">
        <v>39445</v>
      </c>
      <c r="G2362" s="2" t="s">
        <v>2817</v>
      </c>
      <c r="H2362" s="2"/>
      <c r="I2362" s="2"/>
      <c r="J2362" s="2" t="s">
        <v>13904</v>
      </c>
      <c r="K2362" s="2" t="s">
        <v>19241</v>
      </c>
      <c r="L2362" s="82" t="s">
        <v>19783</v>
      </c>
    </row>
    <row r="2363" spans="1:12" ht="120" customHeight="1" x14ac:dyDescent="0.3">
      <c r="A2363" s="2">
        <v>2359</v>
      </c>
      <c r="B2363" s="66" t="s">
        <v>2499</v>
      </c>
      <c r="C2363" s="66" t="s">
        <v>19820</v>
      </c>
      <c r="D2363" s="11" t="s">
        <v>2642</v>
      </c>
      <c r="E2363" s="11">
        <v>64497.72</v>
      </c>
      <c r="F2363" s="3">
        <v>39445</v>
      </c>
      <c r="G2363" s="2" t="s">
        <v>2817</v>
      </c>
      <c r="H2363" s="2"/>
      <c r="I2363" s="2"/>
      <c r="J2363" s="2" t="s">
        <v>13904</v>
      </c>
      <c r="K2363" s="2" t="s">
        <v>19241</v>
      </c>
      <c r="L2363" s="82" t="s">
        <v>19783</v>
      </c>
    </row>
    <row r="2364" spans="1:12" ht="120" customHeight="1" x14ac:dyDescent="0.3">
      <c r="A2364" s="2">
        <v>2360</v>
      </c>
      <c r="B2364" s="66" t="s">
        <v>2499</v>
      </c>
      <c r="C2364" s="66" t="s">
        <v>19821</v>
      </c>
      <c r="D2364" s="11" t="s">
        <v>2642</v>
      </c>
      <c r="E2364" s="11">
        <v>64497.919999999998</v>
      </c>
      <c r="F2364" s="3">
        <v>39445</v>
      </c>
      <c r="G2364" s="2" t="s">
        <v>2817</v>
      </c>
      <c r="H2364" s="2"/>
      <c r="I2364" s="2"/>
      <c r="J2364" s="2" t="s">
        <v>13904</v>
      </c>
      <c r="K2364" s="2" t="s">
        <v>19241</v>
      </c>
      <c r="L2364" s="82" t="s">
        <v>19783</v>
      </c>
    </row>
    <row r="2365" spans="1:12" ht="120" customHeight="1" x14ac:dyDescent="0.3">
      <c r="A2365" s="2">
        <v>2361</v>
      </c>
      <c r="B2365" s="66" t="s">
        <v>2499</v>
      </c>
      <c r="C2365" s="66" t="s">
        <v>19822</v>
      </c>
      <c r="D2365" s="11" t="s">
        <v>2642</v>
      </c>
      <c r="E2365" s="11">
        <v>64497.72</v>
      </c>
      <c r="F2365" s="3">
        <v>39445</v>
      </c>
      <c r="G2365" s="2" t="s">
        <v>2817</v>
      </c>
      <c r="H2365" s="2"/>
      <c r="I2365" s="2"/>
      <c r="J2365" s="2" t="s">
        <v>13904</v>
      </c>
      <c r="K2365" s="2" t="s">
        <v>19241</v>
      </c>
      <c r="L2365" s="82" t="s">
        <v>19783</v>
      </c>
    </row>
    <row r="2366" spans="1:12" ht="120" customHeight="1" x14ac:dyDescent="0.3">
      <c r="A2366" s="2">
        <v>2362</v>
      </c>
      <c r="B2366" s="66" t="s">
        <v>2499</v>
      </c>
      <c r="C2366" s="66" t="s">
        <v>19825</v>
      </c>
      <c r="D2366" s="11" t="s">
        <v>2642</v>
      </c>
      <c r="E2366" s="11">
        <v>64497.72</v>
      </c>
      <c r="F2366" s="3">
        <v>39445</v>
      </c>
      <c r="G2366" s="2" t="s">
        <v>2817</v>
      </c>
      <c r="H2366" s="2"/>
      <c r="I2366" s="2"/>
      <c r="J2366" s="2" t="s">
        <v>13904</v>
      </c>
      <c r="K2366" s="2" t="s">
        <v>19241</v>
      </c>
      <c r="L2366" s="82" t="s">
        <v>19783</v>
      </c>
    </row>
    <row r="2367" spans="1:12" ht="120" customHeight="1" x14ac:dyDescent="0.3">
      <c r="A2367" s="2">
        <v>2363</v>
      </c>
      <c r="B2367" s="66" t="s">
        <v>2499</v>
      </c>
      <c r="C2367" s="66" t="s">
        <v>19831</v>
      </c>
      <c r="D2367" s="11" t="s">
        <v>2642</v>
      </c>
      <c r="E2367" s="11">
        <v>64497.72</v>
      </c>
      <c r="F2367" s="3">
        <v>39445</v>
      </c>
      <c r="G2367" s="2" t="s">
        <v>2817</v>
      </c>
      <c r="H2367" s="2"/>
      <c r="I2367" s="2"/>
      <c r="J2367" s="2" t="s">
        <v>13904</v>
      </c>
      <c r="K2367" s="2" t="s">
        <v>19241</v>
      </c>
      <c r="L2367" s="82" t="s">
        <v>19783</v>
      </c>
    </row>
    <row r="2368" spans="1:12" ht="120" customHeight="1" x14ac:dyDescent="0.3">
      <c r="A2368" s="2">
        <v>2364</v>
      </c>
      <c r="B2368" s="66" t="s">
        <v>2499</v>
      </c>
      <c r="C2368" s="66" t="s">
        <v>19832</v>
      </c>
      <c r="D2368" s="11" t="s">
        <v>2642</v>
      </c>
      <c r="E2368" s="11">
        <v>64497.72</v>
      </c>
      <c r="F2368" s="3">
        <v>39445</v>
      </c>
      <c r="G2368" s="2" t="s">
        <v>2817</v>
      </c>
      <c r="H2368" s="2"/>
      <c r="I2368" s="2"/>
      <c r="J2368" s="2" t="s">
        <v>13904</v>
      </c>
      <c r="K2368" s="2" t="s">
        <v>19241</v>
      </c>
      <c r="L2368" s="82" t="s">
        <v>19783</v>
      </c>
    </row>
    <row r="2369" spans="1:12" ht="120" customHeight="1" x14ac:dyDescent="0.3">
      <c r="A2369" s="2">
        <v>2365</v>
      </c>
      <c r="B2369" s="66" t="s">
        <v>2500</v>
      </c>
      <c r="C2369" s="66"/>
      <c r="D2369" s="11" t="s">
        <v>2643</v>
      </c>
      <c r="E2369" s="11">
        <v>17573.919999999998</v>
      </c>
      <c r="F2369" s="3">
        <v>39445</v>
      </c>
      <c r="G2369" s="2" t="s">
        <v>2817</v>
      </c>
      <c r="H2369" s="3">
        <v>43053</v>
      </c>
      <c r="I2369" s="2" t="s">
        <v>19506</v>
      </c>
      <c r="J2369" s="2" t="s">
        <v>13904</v>
      </c>
      <c r="K2369" s="2" t="s">
        <v>19241</v>
      </c>
      <c r="L2369" s="82" t="s">
        <v>19512</v>
      </c>
    </row>
    <row r="2370" spans="1:12" ht="120" customHeight="1" x14ac:dyDescent="0.3">
      <c r="A2370" s="2">
        <v>2366</v>
      </c>
      <c r="B2370" s="66" t="s">
        <v>2500</v>
      </c>
      <c r="C2370" s="66"/>
      <c r="D2370" s="11" t="s">
        <v>2643</v>
      </c>
      <c r="E2370" s="11">
        <v>17573.919999999998</v>
      </c>
      <c r="F2370" s="3">
        <v>39445</v>
      </c>
      <c r="G2370" s="2" t="s">
        <v>2817</v>
      </c>
      <c r="H2370" s="3">
        <v>43053</v>
      </c>
      <c r="I2370" s="2" t="s">
        <v>19506</v>
      </c>
      <c r="J2370" s="2" t="s">
        <v>13904</v>
      </c>
      <c r="K2370" s="2" t="s">
        <v>19241</v>
      </c>
      <c r="L2370" s="82" t="s">
        <v>19512</v>
      </c>
    </row>
    <row r="2371" spans="1:12" ht="120" customHeight="1" x14ac:dyDescent="0.3">
      <c r="A2371" s="2">
        <v>2367</v>
      </c>
      <c r="B2371" s="66" t="s">
        <v>2500</v>
      </c>
      <c r="C2371" s="66"/>
      <c r="D2371" s="11" t="s">
        <v>2643</v>
      </c>
      <c r="E2371" s="11">
        <v>17573.919999999998</v>
      </c>
      <c r="F2371" s="3">
        <v>39445</v>
      </c>
      <c r="G2371" s="2" t="s">
        <v>2817</v>
      </c>
      <c r="H2371" s="3">
        <v>43053</v>
      </c>
      <c r="I2371" s="2" t="s">
        <v>19506</v>
      </c>
      <c r="J2371" s="2" t="s">
        <v>13904</v>
      </c>
      <c r="K2371" s="2" t="s">
        <v>19241</v>
      </c>
      <c r="L2371" s="82" t="s">
        <v>19512</v>
      </c>
    </row>
    <row r="2372" spans="1:12" ht="120" customHeight="1" x14ac:dyDescent="0.3">
      <c r="A2372" s="2">
        <v>2368</v>
      </c>
      <c r="B2372" s="66" t="s">
        <v>2501</v>
      </c>
      <c r="C2372" s="66"/>
      <c r="D2372" s="11" t="s">
        <v>2644</v>
      </c>
      <c r="E2372" s="11">
        <v>37867.949999999997</v>
      </c>
      <c r="F2372" s="3">
        <v>37194</v>
      </c>
      <c r="G2372" s="2" t="s">
        <v>2817</v>
      </c>
      <c r="H2372" s="3">
        <v>43053</v>
      </c>
      <c r="I2372" s="2" t="s">
        <v>19506</v>
      </c>
      <c r="J2372" s="2" t="s">
        <v>13904</v>
      </c>
      <c r="K2372" s="2" t="s">
        <v>19241</v>
      </c>
      <c r="L2372" s="82" t="s">
        <v>19512</v>
      </c>
    </row>
    <row r="2373" spans="1:12" ht="120" customHeight="1" x14ac:dyDescent="0.3">
      <c r="A2373" s="2">
        <v>2369</v>
      </c>
      <c r="B2373" s="66" t="s">
        <v>2502</v>
      </c>
      <c r="C2373" s="66"/>
      <c r="D2373" s="11" t="s">
        <v>2645</v>
      </c>
      <c r="E2373" s="11">
        <v>3366.63</v>
      </c>
      <c r="F2373" s="3">
        <v>33681</v>
      </c>
      <c r="G2373" s="2" t="s">
        <v>2817</v>
      </c>
      <c r="H2373" s="3">
        <v>43053</v>
      </c>
      <c r="I2373" s="2" t="s">
        <v>19506</v>
      </c>
      <c r="J2373" s="2" t="s">
        <v>13904</v>
      </c>
      <c r="K2373" s="2" t="s">
        <v>19241</v>
      </c>
      <c r="L2373" s="82" t="s">
        <v>19512</v>
      </c>
    </row>
    <row r="2374" spans="1:12" ht="120" customHeight="1" x14ac:dyDescent="0.3">
      <c r="A2374" s="2">
        <v>2370</v>
      </c>
      <c r="B2374" s="66" t="s">
        <v>2503</v>
      </c>
      <c r="C2374" s="66">
        <v>13</v>
      </c>
      <c r="D2374" s="11" t="s">
        <v>2646</v>
      </c>
      <c r="E2374" s="11">
        <v>52997.1</v>
      </c>
      <c r="F2374" s="3">
        <v>38607</v>
      </c>
      <c r="G2374" s="2" t="s">
        <v>2817</v>
      </c>
      <c r="H2374" s="2"/>
      <c r="I2374" s="2"/>
      <c r="J2374" s="2" t="s">
        <v>13904</v>
      </c>
      <c r="K2374" s="2" t="s">
        <v>19241</v>
      </c>
      <c r="L2374" s="82" t="s">
        <v>19783</v>
      </c>
    </row>
    <row r="2375" spans="1:12" ht="120" customHeight="1" x14ac:dyDescent="0.3">
      <c r="A2375" s="2">
        <v>2371</v>
      </c>
      <c r="B2375" s="66" t="s">
        <v>2504</v>
      </c>
      <c r="C2375" s="66" t="s">
        <v>19788</v>
      </c>
      <c r="D2375" s="11" t="s">
        <v>2647</v>
      </c>
      <c r="E2375" s="11">
        <v>51140.63</v>
      </c>
      <c r="F2375" s="3">
        <v>39445</v>
      </c>
      <c r="G2375" s="2" t="s">
        <v>2817</v>
      </c>
      <c r="H2375" s="2"/>
      <c r="I2375" s="2"/>
      <c r="J2375" s="2" t="s">
        <v>13904</v>
      </c>
      <c r="K2375" s="2" t="s">
        <v>19241</v>
      </c>
      <c r="L2375" s="82" t="s">
        <v>19783</v>
      </c>
    </row>
    <row r="2376" spans="1:12" ht="120" customHeight="1" x14ac:dyDescent="0.3">
      <c r="A2376" s="2">
        <v>2372</v>
      </c>
      <c r="B2376" s="66" t="s">
        <v>2504</v>
      </c>
      <c r="C2376" s="66" t="s">
        <v>19803</v>
      </c>
      <c r="D2376" s="11" t="s">
        <v>2647</v>
      </c>
      <c r="E2376" s="11">
        <v>51140.63</v>
      </c>
      <c r="F2376" s="3">
        <v>39445</v>
      </c>
      <c r="G2376" s="2" t="s">
        <v>2817</v>
      </c>
      <c r="H2376" s="2"/>
      <c r="I2376" s="2"/>
      <c r="J2376" s="2" t="s">
        <v>13904</v>
      </c>
      <c r="K2376" s="2" t="s">
        <v>19241</v>
      </c>
      <c r="L2376" s="82" t="s">
        <v>19783</v>
      </c>
    </row>
    <row r="2377" spans="1:12" ht="120" customHeight="1" x14ac:dyDescent="0.3">
      <c r="A2377" s="2">
        <v>2373</v>
      </c>
      <c r="B2377" s="66" t="s">
        <v>223</v>
      </c>
      <c r="C2377" s="66"/>
      <c r="D2377" s="11" t="s">
        <v>2648</v>
      </c>
      <c r="E2377" s="11">
        <v>17227.8</v>
      </c>
      <c r="F2377" s="3">
        <v>39078</v>
      </c>
      <c r="G2377" s="2" t="s">
        <v>2817</v>
      </c>
      <c r="H2377" s="3">
        <v>43053</v>
      </c>
      <c r="I2377" s="2" t="s">
        <v>19506</v>
      </c>
      <c r="J2377" s="2" t="s">
        <v>13904</v>
      </c>
      <c r="K2377" s="2" t="s">
        <v>19241</v>
      </c>
      <c r="L2377" s="82" t="s">
        <v>19512</v>
      </c>
    </row>
    <row r="2378" spans="1:12" ht="120" customHeight="1" x14ac:dyDescent="0.3">
      <c r="A2378" s="2">
        <v>2374</v>
      </c>
      <c r="B2378" s="66" t="s">
        <v>2505</v>
      </c>
      <c r="C2378" s="66"/>
      <c r="D2378" s="11" t="s">
        <v>2649</v>
      </c>
      <c r="E2378" s="11">
        <v>11928</v>
      </c>
      <c r="F2378" s="3">
        <v>39445</v>
      </c>
      <c r="G2378" s="2" t="s">
        <v>2817</v>
      </c>
      <c r="H2378" s="3">
        <v>43053</v>
      </c>
      <c r="I2378" s="2" t="s">
        <v>19506</v>
      </c>
      <c r="J2378" s="2" t="s">
        <v>13904</v>
      </c>
      <c r="K2378" s="2" t="s">
        <v>19241</v>
      </c>
      <c r="L2378" s="82" t="s">
        <v>19512</v>
      </c>
    </row>
    <row r="2379" spans="1:12" ht="120" customHeight="1" x14ac:dyDescent="0.3">
      <c r="A2379" s="2">
        <v>2375</v>
      </c>
      <c r="B2379" s="66" t="s">
        <v>2506</v>
      </c>
      <c r="C2379" s="66"/>
      <c r="D2379" s="11" t="s">
        <v>2650</v>
      </c>
      <c r="E2379" s="11">
        <v>5727.6</v>
      </c>
      <c r="F2379" s="3">
        <v>37052</v>
      </c>
      <c r="G2379" s="2" t="s">
        <v>2817</v>
      </c>
      <c r="H2379" s="3">
        <v>43053</v>
      </c>
      <c r="I2379" s="2" t="s">
        <v>19506</v>
      </c>
      <c r="J2379" s="2" t="s">
        <v>13904</v>
      </c>
      <c r="K2379" s="2" t="s">
        <v>19241</v>
      </c>
      <c r="L2379" s="82" t="s">
        <v>19512</v>
      </c>
    </row>
    <row r="2380" spans="1:12" ht="120" customHeight="1" x14ac:dyDescent="0.3">
      <c r="A2380" s="2">
        <v>2376</v>
      </c>
      <c r="B2380" s="66" t="s">
        <v>2506</v>
      </c>
      <c r="C2380" s="66"/>
      <c r="D2380" s="11" t="s">
        <v>2650</v>
      </c>
      <c r="E2380" s="11">
        <v>5727.6</v>
      </c>
      <c r="F2380" s="3">
        <v>37052</v>
      </c>
      <c r="G2380" s="2" t="s">
        <v>2817</v>
      </c>
      <c r="H2380" s="3">
        <v>43053</v>
      </c>
      <c r="I2380" s="2" t="s">
        <v>19506</v>
      </c>
      <c r="J2380" s="2" t="s">
        <v>13904</v>
      </c>
      <c r="K2380" s="2" t="s">
        <v>19241</v>
      </c>
      <c r="L2380" s="82" t="s">
        <v>19512</v>
      </c>
    </row>
    <row r="2381" spans="1:12" ht="120" customHeight="1" x14ac:dyDescent="0.3">
      <c r="A2381" s="2">
        <v>2377</v>
      </c>
      <c r="B2381" s="66" t="s">
        <v>2507</v>
      </c>
      <c r="C2381" s="66"/>
      <c r="D2381" s="11" t="s">
        <v>2651</v>
      </c>
      <c r="E2381" s="11">
        <v>14002.95</v>
      </c>
      <c r="F2381" s="3">
        <v>36461</v>
      </c>
      <c r="G2381" s="2" t="s">
        <v>2817</v>
      </c>
      <c r="H2381" s="3">
        <v>43053</v>
      </c>
      <c r="I2381" s="2" t="s">
        <v>19506</v>
      </c>
      <c r="J2381" s="2" t="s">
        <v>13904</v>
      </c>
      <c r="K2381" s="2" t="s">
        <v>19241</v>
      </c>
      <c r="L2381" s="82" t="s">
        <v>19512</v>
      </c>
    </row>
    <row r="2382" spans="1:12" ht="120" customHeight="1" x14ac:dyDescent="0.3">
      <c r="A2382" s="2">
        <v>2378</v>
      </c>
      <c r="B2382" s="66" t="s">
        <v>2508</v>
      </c>
      <c r="C2382" s="66"/>
      <c r="D2382" s="11" t="s">
        <v>2652</v>
      </c>
      <c r="E2382" s="11">
        <v>5564</v>
      </c>
      <c r="F2382" s="3">
        <v>38168</v>
      </c>
      <c r="G2382" s="2" t="s">
        <v>2817</v>
      </c>
      <c r="H2382" s="3">
        <v>43053</v>
      </c>
      <c r="I2382" s="2" t="s">
        <v>19506</v>
      </c>
      <c r="J2382" s="2" t="s">
        <v>13904</v>
      </c>
      <c r="K2382" s="2" t="s">
        <v>19241</v>
      </c>
      <c r="L2382" s="82" t="s">
        <v>19512</v>
      </c>
    </row>
    <row r="2383" spans="1:12" ht="120" customHeight="1" x14ac:dyDescent="0.3">
      <c r="A2383" s="2">
        <v>2379</v>
      </c>
      <c r="B2383" s="66" t="s">
        <v>2509</v>
      </c>
      <c r="C2383" s="66"/>
      <c r="D2383" s="11" t="s">
        <v>2653</v>
      </c>
      <c r="E2383" s="11">
        <v>8990</v>
      </c>
      <c r="F2383" s="3">
        <v>39414</v>
      </c>
      <c r="G2383" s="2" t="s">
        <v>2817</v>
      </c>
      <c r="H2383" s="3">
        <v>43053</v>
      </c>
      <c r="I2383" s="2" t="s">
        <v>19506</v>
      </c>
      <c r="J2383" s="2" t="s">
        <v>13904</v>
      </c>
      <c r="K2383" s="2" t="s">
        <v>19241</v>
      </c>
      <c r="L2383" s="82" t="s">
        <v>19512</v>
      </c>
    </row>
    <row r="2384" spans="1:12" ht="120" customHeight="1" x14ac:dyDescent="0.3">
      <c r="A2384" s="2">
        <v>2380</v>
      </c>
      <c r="B2384" s="66" t="s">
        <v>2509</v>
      </c>
      <c r="C2384" s="66"/>
      <c r="D2384" s="11" t="s">
        <v>2653</v>
      </c>
      <c r="E2384" s="11">
        <v>8990</v>
      </c>
      <c r="F2384" s="3">
        <v>39444</v>
      </c>
      <c r="G2384" s="2" t="s">
        <v>2817</v>
      </c>
      <c r="H2384" s="3">
        <v>43053</v>
      </c>
      <c r="I2384" s="2" t="s">
        <v>19506</v>
      </c>
      <c r="J2384" s="2" t="s">
        <v>13904</v>
      </c>
      <c r="K2384" s="2" t="s">
        <v>19241</v>
      </c>
      <c r="L2384" s="82" t="s">
        <v>19512</v>
      </c>
    </row>
    <row r="2385" spans="1:12" ht="120" customHeight="1" x14ac:dyDescent="0.3">
      <c r="A2385" s="2">
        <v>2381</v>
      </c>
      <c r="B2385" s="66" t="s">
        <v>2509</v>
      </c>
      <c r="C2385" s="66"/>
      <c r="D2385" s="11" t="s">
        <v>2654</v>
      </c>
      <c r="E2385" s="11">
        <v>5190</v>
      </c>
      <c r="F2385" s="3">
        <v>39414</v>
      </c>
      <c r="G2385" s="2" t="s">
        <v>2817</v>
      </c>
      <c r="H2385" s="3">
        <v>43053</v>
      </c>
      <c r="I2385" s="2" t="s">
        <v>19506</v>
      </c>
      <c r="J2385" s="2" t="s">
        <v>13904</v>
      </c>
      <c r="K2385" s="2" t="s">
        <v>19241</v>
      </c>
      <c r="L2385" s="82" t="s">
        <v>19512</v>
      </c>
    </row>
    <row r="2386" spans="1:12" ht="120" customHeight="1" x14ac:dyDescent="0.3">
      <c r="A2386" s="2">
        <v>2382</v>
      </c>
      <c r="B2386" s="66" t="s">
        <v>2509</v>
      </c>
      <c r="C2386" s="66"/>
      <c r="D2386" s="11" t="s">
        <v>2654</v>
      </c>
      <c r="E2386" s="11">
        <v>5190</v>
      </c>
      <c r="F2386" s="3">
        <v>39414</v>
      </c>
      <c r="G2386" s="2" t="s">
        <v>2817</v>
      </c>
      <c r="H2386" s="3">
        <v>43053</v>
      </c>
      <c r="I2386" s="2" t="s">
        <v>19506</v>
      </c>
      <c r="J2386" s="2" t="s">
        <v>13904</v>
      </c>
      <c r="K2386" s="2" t="s">
        <v>19241</v>
      </c>
      <c r="L2386" s="82" t="s">
        <v>19512</v>
      </c>
    </row>
    <row r="2387" spans="1:12" ht="120" customHeight="1" x14ac:dyDescent="0.3">
      <c r="A2387" s="2">
        <v>2383</v>
      </c>
      <c r="B2387" s="66" t="s">
        <v>2510</v>
      </c>
      <c r="C2387" s="66"/>
      <c r="D2387" s="11" t="s">
        <v>2655</v>
      </c>
      <c r="E2387" s="11">
        <v>11097.73</v>
      </c>
      <c r="F2387" s="3">
        <v>37060</v>
      </c>
      <c r="G2387" s="2" t="s">
        <v>2817</v>
      </c>
      <c r="H2387" s="3">
        <v>43053</v>
      </c>
      <c r="I2387" s="2" t="s">
        <v>19506</v>
      </c>
      <c r="J2387" s="2" t="s">
        <v>13904</v>
      </c>
      <c r="K2387" s="2" t="s">
        <v>19241</v>
      </c>
      <c r="L2387" s="82" t="s">
        <v>19512</v>
      </c>
    </row>
    <row r="2388" spans="1:12" ht="120" customHeight="1" x14ac:dyDescent="0.3">
      <c r="A2388" s="2">
        <v>2384</v>
      </c>
      <c r="B2388" s="66" t="s">
        <v>2510</v>
      </c>
      <c r="C2388" s="66"/>
      <c r="D2388" s="11" t="s">
        <v>2655</v>
      </c>
      <c r="E2388" s="11">
        <v>11097.73</v>
      </c>
      <c r="F2388" s="3">
        <v>37060</v>
      </c>
      <c r="G2388" s="2" t="s">
        <v>2817</v>
      </c>
      <c r="H2388" s="3">
        <v>43053</v>
      </c>
      <c r="I2388" s="2" t="s">
        <v>19506</v>
      </c>
      <c r="J2388" s="2" t="s">
        <v>13904</v>
      </c>
      <c r="K2388" s="2" t="s">
        <v>19241</v>
      </c>
      <c r="L2388" s="82" t="s">
        <v>19512</v>
      </c>
    </row>
    <row r="2389" spans="1:12" ht="120" customHeight="1" x14ac:dyDescent="0.3">
      <c r="A2389" s="2">
        <v>2385</v>
      </c>
      <c r="B2389" s="66" t="s">
        <v>2511</v>
      </c>
      <c r="C2389" s="66"/>
      <c r="D2389" s="11" t="s">
        <v>2656</v>
      </c>
      <c r="E2389" s="11">
        <v>8480.4</v>
      </c>
      <c r="F2389" s="3">
        <v>32258</v>
      </c>
      <c r="G2389" s="2" t="s">
        <v>2817</v>
      </c>
      <c r="H2389" s="3">
        <v>43053</v>
      </c>
      <c r="I2389" s="2" t="s">
        <v>19506</v>
      </c>
      <c r="J2389" s="2" t="s">
        <v>13904</v>
      </c>
      <c r="K2389" s="2" t="s">
        <v>19241</v>
      </c>
      <c r="L2389" s="82" t="s">
        <v>19512</v>
      </c>
    </row>
    <row r="2390" spans="1:12" ht="120" customHeight="1" x14ac:dyDescent="0.3">
      <c r="A2390" s="2">
        <v>2386</v>
      </c>
      <c r="B2390" s="66" t="s">
        <v>2512</v>
      </c>
      <c r="C2390" s="66"/>
      <c r="D2390" s="11" t="s">
        <v>2657</v>
      </c>
      <c r="E2390" s="11">
        <v>6379.17</v>
      </c>
      <c r="F2390" s="3">
        <v>38625</v>
      </c>
      <c r="G2390" s="2" t="s">
        <v>2817</v>
      </c>
      <c r="H2390" s="3">
        <v>43053</v>
      </c>
      <c r="I2390" s="2" t="s">
        <v>19506</v>
      </c>
      <c r="J2390" s="2" t="s">
        <v>13904</v>
      </c>
      <c r="K2390" s="2" t="s">
        <v>19241</v>
      </c>
      <c r="L2390" s="82" t="s">
        <v>19512</v>
      </c>
    </row>
    <row r="2391" spans="1:12" ht="120" customHeight="1" x14ac:dyDescent="0.3">
      <c r="A2391" s="2">
        <v>2387</v>
      </c>
      <c r="B2391" s="66" t="s">
        <v>2512</v>
      </c>
      <c r="C2391" s="66"/>
      <c r="D2391" s="11" t="s">
        <v>2658</v>
      </c>
      <c r="E2391" s="11">
        <v>29128.2</v>
      </c>
      <c r="F2391" s="3">
        <v>36462</v>
      </c>
      <c r="G2391" s="2" t="s">
        <v>2817</v>
      </c>
      <c r="H2391" s="3">
        <v>43053</v>
      </c>
      <c r="I2391" s="2" t="s">
        <v>19506</v>
      </c>
      <c r="J2391" s="2" t="s">
        <v>13904</v>
      </c>
      <c r="K2391" s="2" t="s">
        <v>19241</v>
      </c>
      <c r="L2391" s="82" t="s">
        <v>19512</v>
      </c>
    </row>
    <row r="2392" spans="1:12" ht="120" customHeight="1" x14ac:dyDescent="0.3">
      <c r="A2392" s="2">
        <v>2388</v>
      </c>
      <c r="B2392" s="66" t="s">
        <v>2512</v>
      </c>
      <c r="C2392" s="66"/>
      <c r="D2392" s="11" t="s">
        <v>2658</v>
      </c>
      <c r="E2392" s="11">
        <v>29128.2</v>
      </c>
      <c r="F2392" s="3">
        <v>36462</v>
      </c>
      <c r="G2392" s="2" t="s">
        <v>2817</v>
      </c>
      <c r="H2392" s="3">
        <v>43053</v>
      </c>
      <c r="I2392" s="2" t="s">
        <v>19506</v>
      </c>
      <c r="J2392" s="2" t="s">
        <v>13904</v>
      </c>
      <c r="K2392" s="2" t="s">
        <v>19241</v>
      </c>
      <c r="L2392" s="82" t="s">
        <v>19512</v>
      </c>
    </row>
    <row r="2393" spans="1:12" ht="120" customHeight="1" x14ac:dyDescent="0.3">
      <c r="A2393" s="2">
        <v>2389</v>
      </c>
      <c r="B2393" s="66" t="s">
        <v>2513</v>
      </c>
      <c r="C2393" s="66"/>
      <c r="D2393" s="11" t="s">
        <v>2659</v>
      </c>
      <c r="E2393" s="11">
        <v>3589.74</v>
      </c>
      <c r="F2393" s="3">
        <v>37657</v>
      </c>
      <c r="G2393" s="2" t="s">
        <v>2817</v>
      </c>
      <c r="H2393" s="3">
        <v>43053</v>
      </c>
      <c r="I2393" s="2" t="s">
        <v>19506</v>
      </c>
      <c r="J2393" s="2" t="s">
        <v>13904</v>
      </c>
      <c r="K2393" s="2" t="s">
        <v>19241</v>
      </c>
      <c r="L2393" s="82" t="s">
        <v>19512</v>
      </c>
    </row>
    <row r="2394" spans="1:12" ht="120" customHeight="1" x14ac:dyDescent="0.3">
      <c r="A2394" s="2">
        <v>2390</v>
      </c>
      <c r="B2394" s="66" t="s">
        <v>2332</v>
      </c>
      <c r="C2394" s="66" t="s">
        <v>19826</v>
      </c>
      <c r="D2394" s="11" t="s">
        <v>2660</v>
      </c>
      <c r="E2394" s="11">
        <v>46526.53</v>
      </c>
      <c r="F2394" s="3">
        <v>39445</v>
      </c>
      <c r="G2394" s="2" t="s">
        <v>2817</v>
      </c>
      <c r="H2394" s="2"/>
      <c r="I2394" s="2"/>
      <c r="J2394" s="2" t="s">
        <v>13904</v>
      </c>
      <c r="K2394" s="2" t="s">
        <v>19241</v>
      </c>
      <c r="L2394" s="82" t="s">
        <v>19783</v>
      </c>
    </row>
    <row r="2395" spans="1:12" ht="120" customHeight="1" x14ac:dyDescent="0.3">
      <c r="A2395" s="2">
        <v>2391</v>
      </c>
      <c r="B2395" s="66" t="s">
        <v>2514</v>
      </c>
      <c r="C2395" s="66" t="s">
        <v>19797</v>
      </c>
      <c r="D2395" s="11" t="s">
        <v>2661</v>
      </c>
      <c r="E2395" s="11">
        <v>82090.44</v>
      </c>
      <c r="F2395" s="3">
        <v>36462</v>
      </c>
      <c r="G2395" s="2" t="s">
        <v>2817</v>
      </c>
      <c r="H2395" s="2"/>
      <c r="I2395" s="2"/>
      <c r="J2395" s="2" t="s">
        <v>13904</v>
      </c>
      <c r="K2395" s="2" t="s">
        <v>19241</v>
      </c>
      <c r="L2395" s="82" t="s">
        <v>19783</v>
      </c>
    </row>
    <row r="2396" spans="1:12" ht="120" customHeight="1" x14ac:dyDescent="0.3">
      <c r="A2396" s="2">
        <v>2392</v>
      </c>
      <c r="B2396" s="66" t="s">
        <v>2515</v>
      </c>
      <c r="C2396" s="66"/>
      <c r="D2396" s="11" t="s">
        <v>2662</v>
      </c>
      <c r="E2396" s="11">
        <v>13278.72</v>
      </c>
      <c r="F2396" s="3">
        <v>39445</v>
      </c>
      <c r="G2396" s="2" t="s">
        <v>2817</v>
      </c>
      <c r="H2396" s="3">
        <v>43053</v>
      </c>
      <c r="I2396" s="2" t="s">
        <v>19506</v>
      </c>
      <c r="J2396" s="2" t="s">
        <v>13904</v>
      </c>
      <c r="K2396" s="2" t="s">
        <v>19241</v>
      </c>
      <c r="L2396" s="82" t="s">
        <v>19512</v>
      </c>
    </row>
    <row r="2397" spans="1:12" ht="120" customHeight="1" x14ac:dyDescent="0.3">
      <c r="A2397" s="2">
        <v>2393</v>
      </c>
      <c r="B2397" s="66" t="s">
        <v>2515</v>
      </c>
      <c r="C2397" s="66"/>
      <c r="D2397" s="11" t="s">
        <v>2662</v>
      </c>
      <c r="E2397" s="11">
        <v>13278.72</v>
      </c>
      <c r="F2397" s="3">
        <v>39445</v>
      </c>
      <c r="G2397" s="2" t="s">
        <v>2817</v>
      </c>
      <c r="H2397" s="3">
        <v>43053</v>
      </c>
      <c r="I2397" s="2" t="s">
        <v>19506</v>
      </c>
      <c r="J2397" s="2" t="s">
        <v>13904</v>
      </c>
      <c r="K2397" s="2" t="s">
        <v>19241</v>
      </c>
      <c r="L2397" s="82" t="s">
        <v>19512</v>
      </c>
    </row>
    <row r="2398" spans="1:12" ht="120" customHeight="1" x14ac:dyDescent="0.3">
      <c r="A2398" s="2">
        <v>2394</v>
      </c>
      <c r="B2398" s="66" t="s">
        <v>2516</v>
      </c>
      <c r="C2398" s="66" t="s">
        <v>19827</v>
      </c>
      <c r="D2398" s="11" t="s">
        <v>2663</v>
      </c>
      <c r="E2398" s="11">
        <v>146276.97</v>
      </c>
      <c r="F2398" s="3">
        <v>35670</v>
      </c>
      <c r="G2398" s="2" t="s">
        <v>2817</v>
      </c>
      <c r="H2398" s="2"/>
      <c r="I2398" s="2"/>
      <c r="J2398" s="2" t="s">
        <v>13904</v>
      </c>
      <c r="K2398" s="2" t="s">
        <v>19241</v>
      </c>
      <c r="L2398" s="82" t="s">
        <v>19783</v>
      </c>
    </row>
    <row r="2399" spans="1:12" ht="120" customHeight="1" x14ac:dyDescent="0.3">
      <c r="A2399" s="2">
        <v>2395</v>
      </c>
      <c r="B2399" s="66" t="s">
        <v>2517</v>
      </c>
      <c r="C2399" s="66"/>
      <c r="D2399" s="11" t="s">
        <v>2664</v>
      </c>
      <c r="E2399" s="11">
        <v>5405</v>
      </c>
      <c r="F2399" s="3">
        <v>38958</v>
      </c>
      <c r="G2399" s="2" t="s">
        <v>2817</v>
      </c>
      <c r="H2399" s="3">
        <v>43053</v>
      </c>
      <c r="I2399" s="2" t="s">
        <v>19506</v>
      </c>
      <c r="J2399" s="2" t="s">
        <v>13904</v>
      </c>
      <c r="K2399" s="2" t="s">
        <v>19241</v>
      </c>
      <c r="L2399" s="82" t="s">
        <v>19512</v>
      </c>
    </row>
    <row r="2400" spans="1:12" ht="120" customHeight="1" x14ac:dyDescent="0.3">
      <c r="A2400" s="2">
        <v>2396</v>
      </c>
      <c r="B2400" s="66" t="s">
        <v>2518</v>
      </c>
      <c r="C2400" s="66"/>
      <c r="D2400" s="11" t="s">
        <v>1157</v>
      </c>
      <c r="E2400" s="11">
        <v>16800</v>
      </c>
      <c r="F2400" s="3">
        <v>38168</v>
      </c>
      <c r="G2400" s="2" t="s">
        <v>2817</v>
      </c>
      <c r="H2400" s="3">
        <v>43053</v>
      </c>
      <c r="I2400" s="2" t="s">
        <v>19506</v>
      </c>
      <c r="J2400" s="2" t="s">
        <v>13904</v>
      </c>
      <c r="K2400" s="2" t="s">
        <v>19241</v>
      </c>
      <c r="L2400" s="82" t="s">
        <v>19512</v>
      </c>
    </row>
    <row r="2401" spans="1:12" ht="120" customHeight="1" x14ac:dyDescent="0.3">
      <c r="A2401" s="2">
        <v>2397</v>
      </c>
      <c r="B2401" s="66" t="s">
        <v>2519</v>
      </c>
      <c r="C2401" s="66"/>
      <c r="D2401" s="11" t="s">
        <v>2665</v>
      </c>
      <c r="E2401" s="11">
        <v>16452.66</v>
      </c>
      <c r="F2401" s="3">
        <v>37195</v>
      </c>
      <c r="G2401" s="2" t="s">
        <v>2817</v>
      </c>
      <c r="H2401" s="3">
        <v>43053</v>
      </c>
      <c r="I2401" s="2" t="s">
        <v>19506</v>
      </c>
      <c r="J2401" s="2" t="s">
        <v>13904</v>
      </c>
      <c r="K2401" s="2" t="s">
        <v>19241</v>
      </c>
      <c r="L2401" s="82" t="s">
        <v>19512</v>
      </c>
    </row>
    <row r="2402" spans="1:12" ht="120" customHeight="1" x14ac:dyDescent="0.3">
      <c r="A2402" s="2">
        <v>2398</v>
      </c>
      <c r="B2402" s="66" t="s">
        <v>2519</v>
      </c>
      <c r="C2402" s="66"/>
      <c r="D2402" s="11" t="s">
        <v>2666</v>
      </c>
      <c r="E2402" s="11">
        <v>6798.75</v>
      </c>
      <c r="F2402" s="3">
        <v>37194</v>
      </c>
      <c r="G2402" s="2" t="s">
        <v>2817</v>
      </c>
      <c r="H2402" s="3">
        <v>43053</v>
      </c>
      <c r="I2402" s="2" t="s">
        <v>19506</v>
      </c>
      <c r="J2402" s="2" t="s">
        <v>13904</v>
      </c>
      <c r="K2402" s="2" t="s">
        <v>19241</v>
      </c>
      <c r="L2402" s="82" t="s">
        <v>19512</v>
      </c>
    </row>
    <row r="2403" spans="1:12" ht="120" customHeight="1" x14ac:dyDescent="0.3">
      <c r="A2403" s="2">
        <v>2399</v>
      </c>
      <c r="B2403" s="66" t="s">
        <v>2519</v>
      </c>
      <c r="C2403" s="66"/>
      <c r="D2403" s="11" t="s">
        <v>2666</v>
      </c>
      <c r="E2403" s="11">
        <v>6798.75</v>
      </c>
      <c r="F2403" s="3">
        <v>37194</v>
      </c>
      <c r="G2403" s="2" t="s">
        <v>2817</v>
      </c>
      <c r="H2403" s="3">
        <v>43053</v>
      </c>
      <c r="I2403" s="2" t="s">
        <v>19506</v>
      </c>
      <c r="J2403" s="2" t="s">
        <v>13904</v>
      </c>
      <c r="K2403" s="2" t="s">
        <v>19241</v>
      </c>
      <c r="L2403" s="82" t="s">
        <v>19512</v>
      </c>
    </row>
    <row r="2404" spans="1:12" ht="120" customHeight="1" x14ac:dyDescent="0.3">
      <c r="A2404" s="2">
        <v>2400</v>
      </c>
      <c r="B2404" s="66" t="s">
        <v>2520</v>
      </c>
      <c r="C2404" s="66"/>
      <c r="D2404" s="11" t="s">
        <v>2667</v>
      </c>
      <c r="E2404" s="11">
        <v>7953.15</v>
      </c>
      <c r="F2404" s="3">
        <v>34392</v>
      </c>
      <c r="G2404" s="2" t="s">
        <v>2817</v>
      </c>
      <c r="H2404" s="3">
        <v>43053</v>
      </c>
      <c r="I2404" s="2" t="s">
        <v>19506</v>
      </c>
      <c r="J2404" s="2" t="s">
        <v>13904</v>
      </c>
      <c r="K2404" s="2" t="s">
        <v>19241</v>
      </c>
      <c r="L2404" s="82" t="s">
        <v>19512</v>
      </c>
    </row>
    <row r="2405" spans="1:12" ht="120" customHeight="1" x14ac:dyDescent="0.3">
      <c r="A2405" s="2">
        <v>2401</v>
      </c>
      <c r="B2405" s="66" t="s">
        <v>2521</v>
      </c>
      <c r="C2405" s="66"/>
      <c r="D2405" s="11" t="s">
        <v>2668</v>
      </c>
      <c r="E2405" s="11">
        <v>13202</v>
      </c>
      <c r="F2405" s="3">
        <v>37266</v>
      </c>
      <c r="G2405" s="2" t="s">
        <v>2817</v>
      </c>
      <c r="H2405" s="3">
        <v>43053</v>
      </c>
      <c r="I2405" s="2" t="s">
        <v>19506</v>
      </c>
      <c r="J2405" s="2" t="s">
        <v>13904</v>
      </c>
      <c r="K2405" s="2" t="s">
        <v>19241</v>
      </c>
      <c r="L2405" s="82" t="s">
        <v>19512</v>
      </c>
    </row>
    <row r="2406" spans="1:12" ht="120" customHeight="1" x14ac:dyDescent="0.3">
      <c r="A2406" s="2">
        <v>2402</v>
      </c>
      <c r="B2406" s="66" t="s">
        <v>2522</v>
      </c>
      <c r="C2406" s="66"/>
      <c r="D2406" s="11" t="s">
        <v>2669</v>
      </c>
      <c r="E2406" s="11">
        <v>6100</v>
      </c>
      <c r="F2406" s="3">
        <v>37970</v>
      </c>
      <c r="G2406" s="2" t="s">
        <v>2817</v>
      </c>
      <c r="H2406" s="3">
        <v>43053</v>
      </c>
      <c r="I2406" s="2" t="s">
        <v>19506</v>
      </c>
      <c r="J2406" s="2" t="s">
        <v>13904</v>
      </c>
      <c r="K2406" s="2" t="s">
        <v>19241</v>
      </c>
      <c r="L2406" s="82" t="s">
        <v>19512</v>
      </c>
    </row>
    <row r="2407" spans="1:12" ht="120" customHeight="1" x14ac:dyDescent="0.3">
      <c r="A2407" s="2">
        <v>2403</v>
      </c>
      <c r="B2407" s="66" t="s">
        <v>2523</v>
      </c>
      <c r="C2407" s="66"/>
      <c r="D2407" s="11" t="s">
        <v>2670</v>
      </c>
      <c r="E2407" s="11">
        <v>7197</v>
      </c>
      <c r="F2407" s="3">
        <v>40388</v>
      </c>
      <c r="G2407" s="2" t="s">
        <v>2817</v>
      </c>
      <c r="H2407" s="3">
        <v>43053</v>
      </c>
      <c r="I2407" s="2" t="s">
        <v>19506</v>
      </c>
      <c r="J2407" s="2" t="s">
        <v>13904</v>
      </c>
      <c r="K2407" s="2" t="s">
        <v>19241</v>
      </c>
      <c r="L2407" s="82" t="s">
        <v>19512</v>
      </c>
    </row>
    <row r="2408" spans="1:12" ht="120" customHeight="1" x14ac:dyDescent="0.3">
      <c r="A2408" s="2">
        <v>2404</v>
      </c>
      <c r="B2408" s="66" t="s">
        <v>2524</v>
      </c>
      <c r="C2408" s="66"/>
      <c r="D2408" s="11" t="s">
        <v>2671</v>
      </c>
      <c r="E2408" s="11">
        <v>33333.300000000003</v>
      </c>
      <c r="F2408" s="3">
        <v>41267</v>
      </c>
      <c r="G2408" s="2" t="s">
        <v>2817</v>
      </c>
      <c r="H2408" s="3">
        <v>43053</v>
      </c>
      <c r="I2408" s="2" t="s">
        <v>19506</v>
      </c>
      <c r="J2408" s="2" t="s">
        <v>13904</v>
      </c>
      <c r="K2408" s="2" t="s">
        <v>19241</v>
      </c>
      <c r="L2408" s="82" t="s">
        <v>19512</v>
      </c>
    </row>
    <row r="2409" spans="1:12" ht="120" customHeight="1" x14ac:dyDescent="0.3">
      <c r="A2409" s="2">
        <v>2405</v>
      </c>
      <c r="B2409" s="66" t="s">
        <v>2524</v>
      </c>
      <c r="C2409" s="66"/>
      <c r="D2409" s="11" t="s">
        <v>2671</v>
      </c>
      <c r="E2409" s="11">
        <v>33333.300000000003</v>
      </c>
      <c r="F2409" s="3">
        <v>41267</v>
      </c>
      <c r="G2409" s="2" t="s">
        <v>2817</v>
      </c>
      <c r="H2409" s="3">
        <v>43053</v>
      </c>
      <c r="I2409" s="2" t="s">
        <v>19506</v>
      </c>
      <c r="J2409" s="2" t="s">
        <v>13904</v>
      </c>
      <c r="K2409" s="2" t="s">
        <v>19241</v>
      </c>
      <c r="L2409" s="82" t="s">
        <v>19512</v>
      </c>
    </row>
    <row r="2410" spans="1:12" ht="120" customHeight="1" x14ac:dyDescent="0.3">
      <c r="A2410" s="2">
        <v>2406</v>
      </c>
      <c r="B2410" s="66" t="s">
        <v>2524</v>
      </c>
      <c r="C2410" s="66"/>
      <c r="D2410" s="11" t="s">
        <v>2672</v>
      </c>
      <c r="E2410" s="11">
        <v>33333.4</v>
      </c>
      <c r="F2410" s="3">
        <v>41267</v>
      </c>
      <c r="G2410" s="2" t="s">
        <v>2817</v>
      </c>
      <c r="H2410" s="3">
        <v>43053</v>
      </c>
      <c r="I2410" s="2" t="s">
        <v>19506</v>
      </c>
      <c r="J2410" s="2" t="s">
        <v>13904</v>
      </c>
      <c r="K2410" s="2" t="s">
        <v>19241</v>
      </c>
      <c r="L2410" s="82" t="s">
        <v>19512</v>
      </c>
    </row>
    <row r="2411" spans="1:12" ht="120" customHeight="1" x14ac:dyDescent="0.3">
      <c r="A2411" s="2">
        <v>2407</v>
      </c>
      <c r="B2411" s="66" t="s">
        <v>2525</v>
      </c>
      <c r="C2411" s="66"/>
      <c r="D2411" s="11" t="s">
        <v>2673</v>
      </c>
      <c r="E2411" s="11">
        <v>11500</v>
      </c>
      <c r="F2411" s="3">
        <v>41891</v>
      </c>
      <c r="G2411" s="2" t="s">
        <v>2817</v>
      </c>
      <c r="H2411" s="3">
        <v>43053</v>
      </c>
      <c r="I2411" s="2" t="s">
        <v>19506</v>
      </c>
      <c r="J2411" s="2" t="s">
        <v>13904</v>
      </c>
      <c r="K2411" s="2" t="s">
        <v>19241</v>
      </c>
      <c r="L2411" s="82" t="s">
        <v>19512</v>
      </c>
    </row>
    <row r="2412" spans="1:12" ht="120" customHeight="1" x14ac:dyDescent="0.3">
      <c r="A2412" s="2">
        <v>2408</v>
      </c>
      <c r="B2412" s="66" t="s">
        <v>266</v>
      </c>
      <c r="C2412" s="66"/>
      <c r="D2412" s="11" t="s">
        <v>2732</v>
      </c>
      <c r="E2412" s="11">
        <v>10756</v>
      </c>
      <c r="F2412" s="3">
        <v>41457</v>
      </c>
      <c r="G2412" s="2" t="s">
        <v>2817</v>
      </c>
      <c r="H2412" s="3">
        <v>43053</v>
      </c>
      <c r="I2412" s="2" t="s">
        <v>19506</v>
      </c>
      <c r="J2412" s="2" t="s">
        <v>13904</v>
      </c>
      <c r="K2412" s="2" t="s">
        <v>19241</v>
      </c>
      <c r="L2412" s="82" t="s">
        <v>19512</v>
      </c>
    </row>
    <row r="2413" spans="1:12" ht="120" customHeight="1" x14ac:dyDescent="0.3">
      <c r="A2413" s="2">
        <v>2409</v>
      </c>
      <c r="B2413" s="66" t="s">
        <v>2674</v>
      </c>
      <c r="C2413" s="66"/>
      <c r="D2413" s="11" t="s">
        <v>2733</v>
      </c>
      <c r="E2413" s="11"/>
      <c r="F2413" s="3">
        <v>41992</v>
      </c>
      <c r="G2413" s="2" t="s">
        <v>2817</v>
      </c>
      <c r="H2413" s="2"/>
      <c r="I2413" s="2"/>
      <c r="J2413" s="2" t="s">
        <v>13904</v>
      </c>
      <c r="K2413" s="2" t="s">
        <v>19241</v>
      </c>
      <c r="L2413" s="82" t="s">
        <v>19227</v>
      </c>
    </row>
    <row r="2414" spans="1:12" ht="120" customHeight="1" x14ac:dyDescent="0.3">
      <c r="A2414" s="2">
        <v>2410</v>
      </c>
      <c r="B2414" s="66" t="s">
        <v>2675</v>
      </c>
      <c r="C2414" s="66"/>
      <c r="D2414" s="11" t="s">
        <v>2734</v>
      </c>
      <c r="E2414" s="11">
        <v>9000</v>
      </c>
      <c r="F2414" s="3">
        <v>39421</v>
      </c>
      <c r="G2414" s="2" t="s">
        <v>2817</v>
      </c>
      <c r="H2414" s="3">
        <v>43053</v>
      </c>
      <c r="I2414" s="2" t="s">
        <v>19506</v>
      </c>
      <c r="J2414" s="2" t="s">
        <v>13904</v>
      </c>
      <c r="K2414" s="2" t="s">
        <v>19241</v>
      </c>
      <c r="L2414" s="82" t="s">
        <v>19512</v>
      </c>
    </row>
    <row r="2415" spans="1:12" ht="120" customHeight="1" x14ac:dyDescent="0.3">
      <c r="A2415" s="2">
        <v>2411</v>
      </c>
      <c r="B2415" s="66" t="s">
        <v>2676</v>
      </c>
      <c r="C2415" s="66"/>
      <c r="D2415" s="11" t="s">
        <v>2034</v>
      </c>
      <c r="E2415" s="11">
        <v>5600</v>
      </c>
      <c r="F2415" s="3">
        <v>39618</v>
      </c>
      <c r="G2415" s="2" t="s">
        <v>2817</v>
      </c>
      <c r="H2415" s="3">
        <v>43053</v>
      </c>
      <c r="I2415" s="2" t="s">
        <v>19506</v>
      </c>
      <c r="J2415" s="2" t="s">
        <v>13904</v>
      </c>
      <c r="K2415" s="2" t="s">
        <v>19241</v>
      </c>
      <c r="L2415" s="82" t="s">
        <v>19512</v>
      </c>
    </row>
    <row r="2416" spans="1:12" ht="120" customHeight="1" x14ac:dyDescent="0.3">
      <c r="A2416" s="2">
        <v>2412</v>
      </c>
      <c r="B2416" s="66" t="s">
        <v>2677</v>
      </c>
      <c r="C2416" s="66"/>
      <c r="D2416" s="11" t="s">
        <v>2735</v>
      </c>
      <c r="E2416" s="11">
        <v>5220</v>
      </c>
      <c r="F2416" s="3">
        <v>39846</v>
      </c>
      <c r="G2416" s="2" t="s">
        <v>2817</v>
      </c>
      <c r="H2416" s="3">
        <v>43053</v>
      </c>
      <c r="I2416" s="2" t="s">
        <v>19506</v>
      </c>
      <c r="J2416" s="2" t="s">
        <v>13904</v>
      </c>
      <c r="K2416" s="2" t="s">
        <v>19241</v>
      </c>
      <c r="L2416" s="82" t="s">
        <v>19512</v>
      </c>
    </row>
    <row r="2417" spans="1:12" ht="120" customHeight="1" x14ac:dyDescent="0.3">
      <c r="A2417" s="2">
        <v>2413</v>
      </c>
      <c r="B2417" s="66" t="s">
        <v>2678</v>
      </c>
      <c r="C2417" s="66"/>
      <c r="D2417" s="11" t="s">
        <v>2736</v>
      </c>
      <c r="E2417" s="11">
        <v>12000</v>
      </c>
      <c r="F2417" s="3">
        <v>40085</v>
      </c>
      <c r="G2417" s="2" t="s">
        <v>2817</v>
      </c>
      <c r="H2417" s="3">
        <v>43053</v>
      </c>
      <c r="I2417" s="2" t="s">
        <v>19506</v>
      </c>
      <c r="J2417" s="2" t="s">
        <v>13904</v>
      </c>
      <c r="K2417" s="2" t="s">
        <v>19241</v>
      </c>
      <c r="L2417" s="82" t="s">
        <v>19512</v>
      </c>
    </row>
    <row r="2418" spans="1:12" ht="120" customHeight="1" x14ac:dyDescent="0.3">
      <c r="A2418" s="2">
        <v>2414</v>
      </c>
      <c r="B2418" s="66" t="s">
        <v>2679</v>
      </c>
      <c r="C2418" s="66"/>
      <c r="D2418" s="11" t="s">
        <v>1257</v>
      </c>
      <c r="E2418" s="11">
        <v>8000</v>
      </c>
      <c r="F2418" s="3">
        <v>40086</v>
      </c>
      <c r="G2418" s="2" t="s">
        <v>2817</v>
      </c>
      <c r="H2418" s="3">
        <v>43053</v>
      </c>
      <c r="I2418" s="2" t="s">
        <v>19506</v>
      </c>
      <c r="J2418" s="2" t="s">
        <v>13904</v>
      </c>
      <c r="K2418" s="2" t="s">
        <v>19241</v>
      </c>
      <c r="L2418" s="82" t="s">
        <v>19512</v>
      </c>
    </row>
    <row r="2419" spans="1:12" ht="120" customHeight="1" x14ac:dyDescent="0.3">
      <c r="A2419" s="2">
        <v>2415</v>
      </c>
      <c r="B2419" s="66" t="s">
        <v>2680</v>
      </c>
      <c r="C2419" s="66"/>
      <c r="D2419" s="11" t="s">
        <v>1052</v>
      </c>
      <c r="E2419" s="11">
        <v>6800</v>
      </c>
      <c r="F2419" s="3">
        <v>39805</v>
      </c>
      <c r="G2419" s="2" t="s">
        <v>2817</v>
      </c>
      <c r="H2419" s="3">
        <v>43053</v>
      </c>
      <c r="I2419" s="2" t="s">
        <v>19506</v>
      </c>
      <c r="J2419" s="2" t="s">
        <v>13904</v>
      </c>
      <c r="K2419" s="2" t="s">
        <v>19241</v>
      </c>
      <c r="L2419" s="82" t="s">
        <v>19512</v>
      </c>
    </row>
    <row r="2420" spans="1:12" ht="120" customHeight="1" x14ac:dyDescent="0.3">
      <c r="A2420" s="2">
        <v>2416</v>
      </c>
      <c r="B2420" s="66" t="s">
        <v>2681</v>
      </c>
      <c r="C2420" s="66"/>
      <c r="D2420" s="11" t="s">
        <v>2737</v>
      </c>
      <c r="E2420" s="11">
        <v>6018</v>
      </c>
      <c r="F2420" s="3">
        <v>39080</v>
      </c>
      <c r="G2420" s="2" t="s">
        <v>2817</v>
      </c>
      <c r="H2420" s="3">
        <v>43053</v>
      </c>
      <c r="I2420" s="2" t="s">
        <v>19506</v>
      </c>
      <c r="J2420" s="2" t="s">
        <v>13904</v>
      </c>
      <c r="K2420" s="2" t="s">
        <v>19241</v>
      </c>
      <c r="L2420" s="82" t="s">
        <v>19512</v>
      </c>
    </row>
    <row r="2421" spans="1:12" ht="120" customHeight="1" x14ac:dyDescent="0.3">
      <c r="A2421" s="2">
        <v>2417</v>
      </c>
      <c r="B2421" s="66" t="s">
        <v>2682</v>
      </c>
      <c r="C2421" s="66"/>
      <c r="D2421" s="11" t="s">
        <v>1712</v>
      </c>
      <c r="E2421" s="11">
        <v>16714.36</v>
      </c>
      <c r="F2421" s="3">
        <v>40372</v>
      </c>
      <c r="G2421" s="2" t="s">
        <v>2817</v>
      </c>
      <c r="H2421" s="3">
        <v>43053</v>
      </c>
      <c r="I2421" s="2" t="s">
        <v>19506</v>
      </c>
      <c r="J2421" s="2" t="s">
        <v>13904</v>
      </c>
      <c r="K2421" s="2" t="s">
        <v>19241</v>
      </c>
      <c r="L2421" s="82" t="s">
        <v>19512</v>
      </c>
    </row>
    <row r="2422" spans="1:12" ht="120" customHeight="1" x14ac:dyDescent="0.3">
      <c r="A2422" s="2">
        <v>2418</v>
      </c>
      <c r="B2422" s="66" t="s">
        <v>2683</v>
      </c>
      <c r="C2422" s="66"/>
      <c r="D2422" s="11" t="s">
        <v>2287</v>
      </c>
      <c r="E2422" s="11">
        <v>20000</v>
      </c>
      <c r="F2422" s="3">
        <v>40086</v>
      </c>
      <c r="G2422" s="2" t="s">
        <v>2817</v>
      </c>
      <c r="H2422" s="3">
        <v>43053</v>
      </c>
      <c r="I2422" s="2" t="s">
        <v>19506</v>
      </c>
      <c r="J2422" s="2" t="s">
        <v>13904</v>
      </c>
      <c r="K2422" s="2" t="s">
        <v>19241</v>
      </c>
      <c r="L2422" s="82" t="s">
        <v>19512</v>
      </c>
    </row>
    <row r="2423" spans="1:12" ht="120" customHeight="1" x14ac:dyDescent="0.3">
      <c r="A2423" s="2">
        <v>2419</v>
      </c>
      <c r="B2423" s="66" t="s">
        <v>2684</v>
      </c>
      <c r="C2423" s="66"/>
      <c r="D2423" s="11" t="s">
        <v>2738</v>
      </c>
      <c r="E2423" s="11">
        <v>9477</v>
      </c>
      <c r="F2423" s="3">
        <v>39445</v>
      </c>
      <c r="G2423" s="2" t="s">
        <v>2817</v>
      </c>
      <c r="H2423" s="3">
        <v>43053</v>
      </c>
      <c r="I2423" s="2" t="s">
        <v>19506</v>
      </c>
      <c r="J2423" s="2" t="s">
        <v>13904</v>
      </c>
      <c r="K2423" s="2" t="s">
        <v>19241</v>
      </c>
      <c r="L2423" s="82" t="s">
        <v>19512</v>
      </c>
    </row>
    <row r="2424" spans="1:12" ht="120" customHeight="1" x14ac:dyDescent="0.3">
      <c r="A2424" s="2">
        <v>2420</v>
      </c>
      <c r="B2424" s="66" t="s">
        <v>2685</v>
      </c>
      <c r="C2424" s="66"/>
      <c r="D2424" s="11" t="s">
        <v>2739</v>
      </c>
      <c r="E2424" s="11">
        <v>10034</v>
      </c>
      <c r="F2424" s="3">
        <v>40224</v>
      </c>
      <c r="G2424" s="2" t="s">
        <v>2817</v>
      </c>
      <c r="H2424" s="3">
        <v>43053</v>
      </c>
      <c r="I2424" s="2" t="s">
        <v>19506</v>
      </c>
      <c r="J2424" s="2" t="s">
        <v>13904</v>
      </c>
      <c r="K2424" s="2" t="s">
        <v>19241</v>
      </c>
      <c r="L2424" s="82" t="s">
        <v>19512</v>
      </c>
    </row>
    <row r="2425" spans="1:12" ht="120" customHeight="1" x14ac:dyDescent="0.3">
      <c r="A2425" s="2">
        <v>2421</v>
      </c>
      <c r="B2425" s="66" t="s">
        <v>2686</v>
      </c>
      <c r="C2425" s="66"/>
      <c r="D2425" s="11" t="s">
        <v>1183</v>
      </c>
      <c r="E2425" s="11">
        <v>3500</v>
      </c>
      <c r="F2425" s="3">
        <v>40434</v>
      </c>
      <c r="G2425" s="2" t="s">
        <v>2817</v>
      </c>
      <c r="H2425" s="3">
        <v>43053</v>
      </c>
      <c r="I2425" s="2" t="s">
        <v>19506</v>
      </c>
      <c r="J2425" s="2" t="s">
        <v>13904</v>
      </c>
      <c r="K2425" s="2" t="s">
        <v>19241</v>
      </c>
      <c r="L2425" s="82" t="s">
        <v>19512</v>
      </c>
    </row>
    <row r="2426" spans="1:12" ht="120" customHeight="1" x14ac:dyDescent="0.3">
      <c r="A2426" s="2">
        <v>2422</v>
      </c>
      <c r="B2426" s="66" t="s">
        <v>2687</v>
      </c>
      <c r="C2426" s="66"/>
      <c r="D2426" s="11" t="s">
        <v>2740</v>
      </c>
      <c r="E2426" s="11">
        <v>3250</v>
      </c>
      <c r="F2426" s="3">
        <v>40532</v>
      </c>
      <c r="G2426" s="2" t="s">
        <v>2817</v>
      </c>
      <c r="H2426" s="3">
        <v>43053</v>
      </c>
      <c r="I2426" s="2" t="s">
        <v>19506</v>
      </c>
      <c r="J2426" s="2" t="s">
        <v>13904</v>
      </c>
      <c r="K2426" s="2" t="s">
        <v>19241</v>
      </c>
      <c r="L2426" s="82" t="s">
        <v>19512</v>
      </c>
    </row>
    <row r="2427" spans="1:12" ht="120" customHeight="1" x14ac:dyDescent="0.3">
      <c r="A2427" s="2">
        <v>2423</v>
      </c>
      <c r="B2427" s="66" t="s">
        <v>2688</v>
      </c>
      <c r="C2427" s="66"/>
      <c r="D2427" s="11" t="s">
        <v>2741</v>
      </c>
      <c r="E2427" s="11">
        <v>5950</v>
      </c>
      <c r="F2427" s="3">
        <v>40786</v>
      </c>
      <c r="G2427" s="2" t="s">
        <v>2817</v>
      </c>
      <c r="H2427" s="3">
        <v>43053</v>
      </c>
      <c r="I2427" s="2" t="s">
        <v>19506</v>
      </c>
      <c r="J2427" s="2" t="s">
        <v>13904</v>
      </c>
      <c r="K2427" s="2" t="s">
        <v>19241</v>
      </c>
      <c r="L2427" s="82" t="s">
        <v>19512</v>
      </c>
    </row>
    <row r="2428" spans="1:12" ht="120" customHeight="1" x14ac:dyDescent="0.3">
      <c r="A2428" s="2">
        <v>2424</v>
      </c>
      <c r="B2428" s="66" t="s">
        <v>2689</v>
      </c>
      <c r="C2428" s="66"/>
      <c r="D2428" s="11" t="s">
        <v>2742</v>
      </c>
      <c r="E2428" s="11">
        <v>29995</v>
      </c>
      <c r="F2428" s="3">
        <v>41928</v>
      </c>
      <c r="G2428" s="2" t="s">
        <v>2817</v>
      </c>
      <c r="H2428" s="3">
        <v>43053</v>
      </c>
      <c r="I2428" s="2" t="s">
        <v>19506</v>
      </c>
      <c r="J2428" s="2" t="s">
        <v>13904</v>
      </c>
      <c r="K2428" s="2" t="s">
        <v>19241</v>
      </c>
      <c r="L2428" s="82" t="s">
        <v>19512</v>
      </c>
    </row>
    <row r="2429" spans="1:12" ht="120" customHeight="1" x14ac:dyDescent="0.3">
      <c r="A2429" s="2">
        <v>2425</v>
      </c>
      <c r="B2429" s="66" t="s">
        <v>2689</v>
      </c>
      <c r="C2429" s="66"/>
      <c r="D2429" s="11" t="s">
        <v>2743</v>
      </c>
      <c r="E2429" s="11">
        <v>33005</v>
      </c>
      <c r="F2429" s="3">
        <v>41928</v>
      </c>
      <c r="G2429" s="2" t="s">
        <v>2817</v>
      </c>
      <c r="H2429" s="3">
        <v>43053</v>
      </c>
      <c r="I2429" s="2" t="s">
        <v>19506</v>
      </c>
      <c r="J2429" s="2" t="s">
        <v>13904</v>
      </c>
      <c r="K2429" s="2" t="s">
        <v>19241</v>
      </c>
      <c r="L2429" s="82" t="s">
        <v>19512</v>
      </c>
    </row>
    <row r="2430" spans="1:12" ht="120" customHeight="1" x14ac:dyDescent="0.3">
      <c r="A2430" s="2">
        <v>2426</v>
      </c>
      <c r="B2430" s="66" t="s">
        <v>2690</v>
      </c>
      <c r="C2430" s="66"/>
      <c r="D2430" s="11" t="s">
        <v>2744</v>
      </c>
      <c r="E2430" s="11">
        <v>37400</v>
      </c>
      <c r="F2430" s="3">
        <v>41102</v>
      </c>
      <c r="G2430" s="2" t="s">
        <v>2817</v>
      </c>
      <c r="H2430" s="3">
        <v>43053</v>
      </c>
      <c r="I2430" s="2" t="s">
        <v>19506</v>
      </c>
      <c r="J2430" s="2" t="s">
        <v>13904</v>
      </c>
      <c r="K2430" s="2" t="s">
        <v>19241</v>
      </c>
      <c r="L2430" s="82" t="s">
        <v>19512</v>
      </c>
    </row>
    <row r="2431" spans="1:12" ht="120" customHeight="1" x14ac:dyDescent="0.3">
      <c r="A2431" s="2">
        <v>2427</v>
      </c>
      <c r="B2431" s="66" t="s">
        <v>2691</v>
      </c>
      <c r="C2431" s="66"/>
      <c r="D2431" s="11" t="s">
        <v>2745</v>
      </c>
      <c r="E2431" s="11"/>
      <c r="F2431" s="3">
        <v>41982</v>
      </c>
      <c r="G2431" s="2" t="s">
        <v>2817</v>
      </c>
      <c r="H2431" s="3">
        <v>43053</v>
      </c>
      <c r="I2431" s="2" t="s">
        <v>19506</v>
      </c>
      <c r="J2431" s="2" t="s">
        <v>13904</v>
      </c>
      <c r="K2431" s="2" t="s">
        <v>19241</v>
      </c>
      <c r="L2431" s="82" t="s">
        <v>19512</v>
      </c>
    </row>
    <row r="2432" spans="1:12" ht="120" customHeight="1" x14ac:dyDescent="0.3">
      <c r="A2432" s="2">
        <v>2428</v>
      </c>
      <c r="B2432" s="66" t="s">
        <v>2692</v>
      </c>
      <c r="C2432" s="66"/>
      <c r="D2432" s="11" t="s">
        <v>1884</v>
      </c>
      <c r="E2432" s="11">
        <v>9800</v>
      </c>
      <c r="F2432" s="3">
        <v>41992</v>
      </c>
      <c r="G2432" s="2" t="s">
        <v>2817</v>
      </c>
      <c r="H2432" s="3">
        <v>43053</v>
      </c>
      <c r="I2432" s="2" t="s">
        <v>19506</v>
      </c>
      <c r="J2432" s="2" t="s">
        <v>13904</v>
      </c>
      <c r="K2432" s="2" t="s">
        <v>19241</v>
      </c>
      <c r="L2432" s="82" t="s">
        <v>19512</v>
      </c>
    </row>
    <row r="2433" spans="1:12" ht="120" customHeight="1" x14ac:dyDescent="0.3">
      <c r="A2433" s="2">
        <v>2429</v>
      </c>
      <c r="B2433" s="66" t="s">
        <v>2693</v>
      </c>
      <c r="C2433" s="66"/>
      <c r="D2433" s="11" t="s">
        <v>2746</v>
      </c>
      <c r="E2433" s="11">
        <v>22948</v>
      </c>
      <c r="F2433" s="3">
        <v>41992</v>
      </c>
      <c r="G2433" s="2" t="s">
        <v>2817</v>
      </c>
      <c r="H2433" s="3">
        <v>43053</v>
      </c>
      <c r="I2433" s="2" t="s">
        <v>19506</v>
      </c>
      <c r="J2433" s="2" t="s">
        <v>13904</v>
      </c>
      <c r="K2433" s="2" t="s">
        <v>19241</v>
      </c>
      <c r="L2433" s="82" t="s">
        <v>19512</v>
      </c>
    </row>
    <row r="2434" spans="1:12" ht="120" customHeight="1" x14ac:dyDescent="0.3">
      <c r="A2434" s="2">
        <v>2430</v>
      </c>
      <c r="B2434" s="66" t="s">
        <v>2693</v>
      </c>
      <c r="C2434" s="66"/>
      <c r="D2434" s="11" t="s">
        <v>2746</v>
      </c>
      <c r="E2434" s="11">
        <v>22948</v>
      </c>
      <c r="F2434" s="3">
        <v>41992</v>
      </c>
      <c r="G2434" s="2" t="s">
        <v>2817</v>
      </c>
      <c r="H2434" s="3">
        <v>43053</v>
      </c>
      <c r="I2434" s="2" t="s">
        <v>19506</v>
      </c>
      <c r="J2434" s="2" t="s">
        <v>13904</v>
      </c>
      <c r="K2434" s="2" t="s">
        <v>19241</v>
      </c>
      <c r="L2434" s="82" t="s">
        <v>19512</v>
      </c>
    </row>
    <row r="2435" spans="1:12" ht="120" customHeight="1" x14ac:dyDescent="0.3">
      <c r="A2435" s="2">
        <v>2431</v>
      </c>
      <c r="B2435" s="66" t="s">
        <v>2694</v>
      </c>
      <c r="C2435" s="66"/>
      <c r="D2435" s="11" t="s">
        <v>2747</v>
      </c>
      <c r="E2435" s="11">
        <v>26000</v>
      </c>
      <c r="F2435" s="3">
        <v>41892</v>
      </c>
      <c r="G2435" s="2" t="s">
        <v>2817</v>
      </c>
      <c r="H2435" s="3">
        <v>43053</v>
      </c>
      <c r="I2435" s="2" t="s">
        <v>19506</v>
      </c>
      <c r="J2435" s="2" t="s">
        <v>13904</v>
      </c>
      <c r="K2435" s="2" t="s">
        <v>19241</v>
      </c>
      <c r="L2435" s="82" t="s">
        <v>19512</v>
      </c>
    </row>
    <row r="2436" spans="1:12" ht="120" customHeight="1" x14ac:dyDescent="0.3">
      <c r="A2436" s="2">
        <v>2432</v>
      </c>
      <c r="B2436" s="66" t="s">
        <v>2695</v>
      </c>
      <c r="C2436" s="66"/>
      <c r="D2436" s="11" t="s">
        <v>2748</v>
      </c>
      <c r="E2436" s="11">
        <v>31000</v>
      </c>
      <c r="F2436" s="3">
        <v>41892</v>
      </c>
      <c r="G2436" s="2" t="s">
        <v>2817</v>
      </c>
      <c r="H2436" s="3">
        <v>43053</v>
      </c>
      <c r="I2436" s="2" t="s">
        <v>19506</v>
      </c>
      <c r="J2436" s="2" t="s">
        <v>13904</v>
      </c>
      <c r="K2436" s="2" t="s">
        <v>19241</v>
      </c>
      <c r="L2436" s="82" t="s">
        <v>19512</v>
      </c>
    </row>
    <row r="2437" spans="1:12" ht="120" customHeight="1" x14ac:dyDescent="0.3">
      <c r="A2437" s="2">
        <v>2433</v>
      </c>
      <c r="B2437" s="66" t="s">
        <v>2696</v>
      </c>
      <c r="C2437" s="66"/>
      <c r="D2437" s="11" t="s">
        <v>1894</v>
      </c>
      <c r="E2437" s="11">
        <v>6730</v>
      </c>
      <c r="F2437" s="3">
        <v>39479</v>
      </c>
      <c r="G2437" s="2" t="s">
        <v>2817</v>
      </c>
      <c r="H2437" s="3">
        <v>43053</v>
      </c>
      <c r="I2437" s="2" t="s">
        <v>19506</v>
      </c>
      <c r="J2437" s="2" t="s">
        <v>13904</v>
      </c>
      <c r="K2437" s="2" t="s">
        <v>19241</v>
      </c>
      <c r="L2437" s="82" t="s">
        <v>19512</v>
      </c>
    </row>
    <row r="2438" spans="1:12" ht="120" customHeight="1" x14ac:dyDescent="0.3">
      <c r="A2438" s="2">
        <v>2434</v>
      </c>
      <c r="B2438" s="66" t="s">
        <v>2697</v>
      </c>
      <c r="C2438" s="66"/>
      <c r="D2438" s="11" t="s">
        <v>1024</v>
      </c>
      <c r="E2438" s="11">
        <v>7759.7</v>
      </c>
      <c r="F2438" s="3">
        <v>36875</v>
      </c>
      <c r="G2438" s="2" t="s">
        <v>2817</v>
      </c>
      <c r="H2438" s="3">
        <v>43053</v>
      </c>
      <c r="I2438" s="2" t="s">
        <v>19506</v>
      </c>
      <c r="J2438" s="2" t="s">
        <v>13904</v>
      </c>
      <c r="K2438" s="2" t="s">
        <v>19241</v>
      </c>
      <c r="L2438" s="82" t="s">
        <v>19512</v>
      </c>
    </row>
    <row r="2439" spans="1:12" ht="120" customHeight="1" x14ac:dyDescent="0.3">
      <c r="A2439" s="2">
        <v>2435</v>
      </c>
      <c r="B2439" s="66" t="s">
        <v>2698</v>
      </c>
      <c r="C2439" s="66"/>
      <c r="D2439" s="11" t="s">
        <v>2749</v>
      </c>
      <c r="E2439" s="11">
        <v>6030</v>
      </c>
      <c r="F2439" s="3">
        <v>39266</v>
      </c>
      <c r="G2439" s="2" t="s">
        <v>2817</v>
      </c>
      <c r="H2439" s="3">
        <v>43053</v>
      </c>
      <c r="I2439" s="2" t="s">
        <v>19506</v>
      </c>
      <c r="J2439" s="2" t="s">
        <v>13904</v>
      </c>
      <c r="K2439" s="2" t="s">
        <v>19241</v>
      </c>
      <c r="L2439" s="82" t="s">
        <v>19512</v>
      </c>
    </row>
    <row r="2440" spans="1:12" ht="120" customHeight="1" x14ac:dyDescent="0.3">
      <c r="A2440" s="2">
        <v>2436</v>
      </c>
      <c r="B2440" s="66" t="s">
        <v>2699</v>
      </c>
      <c r="C2440" s="66"/>
      <c r="D2440" s="11" t="s">
        <v>2014</v>
      </c>
      <c r="E2440" s="11">
        <v>13300</v>
      </c>
      <c r="F2440" s="3">
        <v>39266</v>
      </c>
      <c r="G2440" s="2" t="s">
        <v>2817</v>
      </c>
      <c r="H2440" s="3">
        <v>43053</v>
      </c>
      <c r="I2440" s="2" t="s">
        <v>19506</v>
      </c>
      <c r="J2440" s="2" t="s">
        <v>13904</v>
      </c>
      <c r="K2440" s="2" t="s">
        <v>19241</v>
      </c>
      <c r="L2440" s="82" t="s">
        <v>19512</v>
      </c>
    </row>
    <row r="2441" spans="1:12" ht="120" customHeight="1" x14ac:dyDescent="0.3">
      <c r="A2441" s="2">
        <v>2437</v>
      </c>
      <c r="B2441" s="66" t="s">
        <v>2700</v>
      </c>
      <c r="C2441" s="66"/>
      <c r="D2441" s="11" t="s">
        <v>2750</v>
      </c>
      <c r="E2441" s="11">
        <v>6700</v>
      </c>
      <c r="F2441" s="3">
        <v>39205</v>
      </c>
      <c r="G2441" s="2" t="s">
        <v>2817</v>
      </c>
      <c r="H2441" s="3">
        <v>43053</v>
      </c>
      <c r="I2441" s="2" t="s">
        <v>19506</v>
      </c>
      <c r="J2441" s="2" t="s">
        <v>13904</v>
      </c>
      <c r="K2441" s="2" t="s">
        <v>19241</v>
      </c>
      <c r="L2441" s="82" t="s">
        <v>19512</v>
      </c>
    </row>
    <row r="2442" spans="1:12" ht="120" customHeight="1" x14ac:dyDescent="0.3">
      <c r="A2442" s="2">
        <v>2438</v>
      </c>
      <c r="B2442" s="66" t="s">
        <v>2701</v>
      </c>
      <c r="C2442" s="66"/>
      <c r="D2442" s="11" t="s">
        <v>2751</v>
      </c>
      <c r="E2442" s="11">
        <v>53638.2</v>
      </c>
      <c r="F2442" s="3">
        <v>37601</v>
      </c>
      <c r="G2442" s="2" t="s">
        <v>2817</v>
      </c>
      <c r="H2442" s="3">
        <v>43053</v>
      </c>
      <c r="I2442" s="2" t="s">
        <v>19506</v>
      </c>
      <c r="J2442" s="2" t="s">
        <v>13904</v>
      </c>
      <c r="K2442" s="2" t="s">
        <v>19241</v>
      </c>
      <c r="L2442" s="82" t="s">
        <v>19512</v>
      </c>
    </row>
    <row r="2443" spans="1:12" ht="120" customHeight="1" x14ac:dyDescent="0.3">
      <c r="A2443" s="2">
        <v>2439</v>
      </c>
      <c r="B2443" s="66" t="s">
        <v>2702</v>
      </c>
      <c r="C2443" s="66"/>
      <c r="D2443" s="11" t="s">
        <v>2752</v>
      </c>
      <c r="E2443" s="11">
        <v>7920</v>
      </c>
      <c r="F2443" s="3">
        <v>40067</v>
      </c>
      <c r="G2443" s="2" t="s">
        <v>2817</v>
      </c>
      <c r="H2443" s="3">
        <v>43053</v>
      </c>
      <c r="I2443" s="2" t="s">
        <v>19506</v>
      </c>
      <c r="J2443" s="2" t="s">
        <v>13904</v>
      </c>
      <c r="K2443" s="2" t="s">
        <v>19241</v>
      </c>
      <c r="L2443" s="82" t="s">
        <v>19512</v>
      </c>
    </row>
    <row r="2444" spans="1:12" ht="120" customHeight="1" x14ac:dyDescent="0.3">
      <c r="A2444" s="2">
        <v>2440</v>
      </c>
      <c r="B2444" s="66" t="s">
        <v>2703</v>
      </c>
      <c r="C2444" s="66"/>
      <c r="D2444" s="11" t="s">
        <v>2753</v>
      </c>
      <c r="E2444" s="11">
        <v>24985</v>
      </c>
      <c r="F2444" s="3">
        <v>39722</v>
      </c>
      <c r="G2444" s="2" t="s">
        <v>2817</v>
      </c>
      <c r="H2444" s="3">
        <v>43053</v>
      </c>
      <c r="I2444" s="2" t="s">
        <v>19506</v>
      </c>
      <c r="J2444" s="2" t="s">
        <v>13904</v>
      </c>
      <c r="K2444" s="2" t="s">
        <v>19241</v>
      </c>
      <c r="L2444" s="82" t="s">
        <v>19512</v>
      </c>
    </row>
    <row r="2445" spans="1:12" ht="120" customHeight="1" x14ac:dyDescent="0.3">
      <c r="A2445" s="2">
        <v>2441</v>
      </c>
      <c r="B2445" s="66" t="s">
        <v>2704</v>
      </c>
      <c r="C2445" s="66"/>
      <c r="D2445" s="11" t="s">
        <v>2754</v>
      </c>
      <c r="E2445" s="11">
        <v>15240</v>
      </c>
      <c r="F2445" s="3">
        <v>36889</v>
      </c>
      <c r="G2445" s="2" t="s">
        <v>2817</v>
      </c>
      <c r="H2445" s="3">
        <v>43053</v>
      </c>
      <c r="I2445" s="2" t="s">
        <v>19506</v>
      </c>
      <c r="J2445" s="2" t="s">
        <v>13904</v>
      </c>
      <c r="K2445" s="2" t="s">
        <v>19241</v>
      </c>
      <c r="L2445" s="82" t="s">
        <v>19512</v>
      </c>
    </row>
    <row r="2446" spans="1:12" ht="120" customHeight="1" x14ac:dyDescent="0.3">
      <c r="A2446" s="2">
        <v>2442</v>
      </c>
      <c r="B2446" s="66" t="s">
        <v>2705</v>
      </c>
      <c r="C2446" s="66"/>
      <c r="D2446" s="11" t="s">
        <v>2755</v>
      </c>
      <c r="E2446" s="11">
        <v>6554</v>
      </c>
      <c r="F2446" s="3">
        <v>38439</v>
      </c>
      <c r="G2446" s="2" t="s">
        <v>2817</v>
      </c>
      <c r="H2446" s="3">
        <v>43053</v>
      </c>
      <c r="I2446" s="2" t="s">
        <v>19506</v>
      </c>
      <c r="J2446" s="2" t="s">
        <v>13904</v>
      </c>
      <c r="K2446" s="2" t="s">
        <v>19241</v>
      </c>
      <c r="L2446" s="82" t="s">
        <v>19512</v>
      </c>
    </row>
    <row r="2447" spans="1:12" ht="120" customHeight="1" x14ac:dyDescent="0.3">
      <c r="A2447" s="2">
        <v>2443</v>
      </c>
      <c r="B2447" s="66" t="s">
        <v>2706</v>
      </c>
      <c r="C2447" s="66"/>
      <c r="D2447" s="11" t="s">
        <v>2756</v>
      </c>
      <c r="E2447" s="11">
        <v>21920</v>
      </c>
      <c r="F2447" s="3">
        <v>39784</v>
      </c>
      <c r="G2447" s="2" t="s">
        <v>2817</v>
      </c>
      <c r="H2447" s="3">
        <v>43053</v>
      </c>
      <c r="I2447" s="2" t="s">
        <v>19506</v>
      </c>
      <c r="J2447" s="2" t="s">
        <v>13904</v>
      </c>
      <c r="K2447" s="2" t="s">
        <v>19241</v>
      </c>
      <c r="L2447" s="82" t="s">
        <v>19512</v>
      </c>
    </row>
    <row r="2448" spans="1:12" ht="120" customHeight="1" x14ac:dyDescent="0.3">
      <c r="A2448" s="2">
        <v>2444</v>
      </c>
      <c r="B2448" s="66" t="s">
        <v>2707</v>
      </c>
      <c r="C2448" s="66"/>
      <c r="D2448" s="11" t="s">
        <v>2757</v>
      </c>
      <c r="E2448" s="11">
        <v>10440</v>
      </c>
      <c r="F2448" s="3">
        <v>39784</v>
      </c>
      <c r="G2448" s="2" t="s">
        <v>2817</v>
      </c>
      <c r="H2448" s="3">
        <v>43053</v>
      </c>
      <c r="I2448" s="2" t="s">
        <v>19506</v>
      </c>
      <c r="J2448" s="2" t="s">
        <v>13904</v>
      </c>
      <c r="K2448" s="2" t="s">
        <v>19241</v>
      </c>
      <c r="L2448" s="82" t="s">
        <v>19512</v>
      </c>
    </row>
    <row r="2449" spans="1:12" ht="120" customHeight="1" x14ac:dyDescent="0.3">
      <c r="A2449" s="2">
        <v>2445</v>
      </c>
      <c r="B2449" s="66" t="s">
        <v>2708</v>
      </c>
      <c r="C2449" s="66"/>
      <c r="D2449" s="11" t="s">
        <v>2758</v>
      </c>
      <c r="E2449" s="11">
        <v>40880</v>
      </c>
      <c r="F2449" s="3">
        <v>39784</v>
      </c>
      <c r="G2449" s="2" t="s">
        <v>2817</v>
      </c>
      <c r="H2449" s="3">
        <v>43053</v>
      </c>
      <c r="I2449" s="2" t="s">
        <v>19506</v>
      </c>
      <c r="J2449" s="2" t="s">
        <v>13904</v>
      </c>
      <c r="K2449" s="2" t="s">
        <v>19241</v>
      </c>
      <c r="L2449" s="82" t="s">
        <v>19512</v>
      </c>
    </row>
    <row r="2450" spans="1:12" ht="120" customHeight="1" x14ac:dyDescent="0.3">
      <c r="A2450" s="2">
        <v>2446</v>
      </c>
      <c r="B2450" s="66" t="s">
        <v>2709</v>
      </c>
      <c r="C2450" s="66"/>
      <c r="D2450" s="11" t="s">
        <v>2759</v>
      </c>
      <c r="E2450" s="11">
        <v>6180</v>
      </c>
      <c r="F2450" s="3">
        <v>39784</v>
      </c>
      <c r="G2450" s="2" t="s">
        <v>2817</v>
      </c>
      <c r="H2450" s="3">
        <v>43053</v>
      </c>
      <c r="I2450" s="2" t="s">
        <v>19506</v>
      </c>
      <c r="J2450" s="2" t="s">
        <v>13904</v>
      </c>
      <c r="K2450" s="2" t="s">
        <v>19241</v>
      </c>
      <c r="L2450" s="82" t="s">
        <v>19512</v>
      </c>
    </row>
    <row r="2451" spans="1:12" ht="120" customHeight="1" x14ac:dyDescent="0.3">
      <c r="A2451" s="2">
        <v>2447</v>
      </c>
      <c r="B2451" s="66" t="s">
        <v>2710</v>
      </c>
      <c r="C2451" s="66"/>
      <c r="D2451" s="11" t="s">
        <v>2760</v>
      </c>
      <c r="E2451" s="11">
        <v>19560</v>
      </c>
      <c r="F2451" s="3">
        <v>39784</v>
      </c>
      <c r="G2451" s="2" t="s">
        <v>2817</v>
      </c>
      <c r="H2451" s="3">
        <v>43053</v>
      </c>
      <c r="I2451" s="2" t="s">
        <v>19506</v>
      </c>
      <c r="J2451" s="2" t="s">
        <v>13904</v>
      </c>
      <c r="K2451" s="2" t="s">
        <v>19241</v>
      </c>
      <c r="L2451" s="82" t="s">
        <v>19512</v>
      </c>
    </row>
    <row r="2452" spans="1:12" ht="120" customHeight="1" x14ac:dyDescent="0.3">
      <c r="A2452" s="2">
        <v>2448</v>
      </c>
      <c r="B2452" s="66" t="s">
        <v>2711</v>
      </c>
      <c r="C2452" s="66"/>
      <c r="D2452" s="11" t="s">
        <v>2761</v>
      </c>
      <c r="E2452" s="11">
        <v>102963.12</v>
      </c>
      <c r="F2452" s="3">
        <v>37945</v>
      </c>
      <c r="G2452" s="2" t="s">
        <v>2817</v>
      </c>
      <c r="H2452" s="3">
        <v>43053</v>
      </c>
      <c r="I2452" s="2" t="s">
        <v>19506</v>
      </c>
      <c r="J2452" s="2" t="s">
        <v>13904</v>
      </c>
      <c r="K2452" s="2" t="s">
        <v>19241</v>
      </c>
      <c r="L2452" s="82" t="s">
        <v>19512</v>
      </c>
    </row>
    <row r="2453" spans="1:12" ht="120" customHeight="1" x14ac:dyDescent="0.3">
      <c r="A2453" s="2">
        <v>2449</v>
      </c>
      <c r="B2453" s="66" t="s">
        <v>2712</v>
      </c>
      <c r="C2453" s="66"/>
      <c r="D2453" s="11" t="s">
        <v>2762</v>
      </c>
      <c r="E2453" s="11">
        <v>2529599.14</v>
      </c>
      <c r="F2453" s="3">
        <v>39445</v>
      </c>
      <c r="G2453" s="2" t="s">
        <v>2817</v>
      </c>
      <c r="H2453" s="3">
        <v>43053</v>
      </c>
      <c r="I2453" s="2" t="s">
        <v>19506</v>
      </c>
      <c r="J2453" s="2" t="s">
        <v>13904</v>
      </c>
      <c r="K2453" s="2" t="s">
        <v>19241</v>
      </c>
      <c r="L2453" s="82" t="s">
        <v>19512</v>
      </c>
    </row>
    <row r="2454" spans="1:12" ht="120" customHeight="1" x14ac:dyDescent="0.3">
      <c r="A2454" s="2">
        <v>2450</v>
      </c>
      <c r="B2454" s="66" t="s">
        <v>277</v>
      </c>
      <c r="C2454" s="66"/>
      <c r="D2454" s="11" t="s">
        <v>2763</v>
      </c>
      <c r="E2454" s="11">
        <v>3369.64</v>
      </c>
      <c r="F2454" s="3">
        <v>37769</v>
      </c>
      <c r="G2454" s="2" t="s">
        <v>2817</v>
      </c>
      <c r="H2454" s="3">
        <v>43053</v>
      </c>
      <c r="I2454" s="2" t="s">
        <v>19506</v>
      </c>
      <c r="J2454" s="2" t="s">
        <v>13904</v>
      </c>
      <c r="K2454" s="2" t="s">
        <v>19241</v>
      </c>
      <c r="L2454" s="82" t="s">
        <v>19512</v>
      </c>
    </row>
    <row r="2455" spans="1:12" ht="120" customHeight="1" x14ac:dyDescent="0.3">
      <c r="A2455" s="2">
        <v>2451</v>
      </c>
      <c r="B2455" s="66" t="s">
        <v>1217</v>
      </c>
      <c r="C2455" s="66"/>
      <c r="D2455" s="11" t="s">
        <v>2764</v>
      </c>
      <c r="E2455" s="11">
        <v>4600.82</v>
      </c>
      <c r="F2455" s="3">
        <v>39288</v>
      </c>
      <c r="G2455" s="2" t="s">
        <v>2817</v>
      </c>
      <c r="H2455" s="3">
        <v>43053</v>
      </c>
      <c r="I2455" s="2" t="s">
        <v>19506</v>
      </c>
      <c r="J2455" s="2" t="s">
        <v>13904</v>
      </c>
      <c r="K2455" s="2" t="s">
        <v>19241</v>
      </c>
      <c r="L2455" s="82" t="s">
        <v>19512</v>
      </c>
    </row>
    <row r="2456" spans="1:12" ht="120" customHeight="1" x14ac:dyDescent="0.3">
      <c r="A2456" s="2">
        <v>2452</v>
      </c>
      <c r="B2456" s="66" t="s">
        <v>2713</v>
      </c>
      <c r="C2456" s="66"/>
      <c r="D2456" s="11" t="s">
        <v>2765</v>
      </c>
      <c r="E2456" s="11">
        <v>5476.26</v>
      </c>
      <c r="F2456" s="3">
        <v>38715</v>
      </c>
      <c r="G2456" s="2" t="s">
        <v>2817</v>
      </c>
      <c r="H2456" s="3">
        <v>43053</v>
      </c>
      <c r="I2456" s="2" t="s">
        <v>19506</v>
      </c>
      <c r="J2456" s="2" t="s">
        <v>13904</v>
      </c>
      <c r="K2456" s="2" t="s">
        <v>19241</v>
      </c>
      <c r="L2456" s="82" t="s">
        <v>19512</v>
      </c>
    </row>
    <row r="2457" spans="1:12" ht="120" customHeight="1" x14ac:dyDescent="0.3">
      <c r="A2457" s="2">
        <v>2453</v>
      </c>
      <c r="B2457" s="66" t="s">
        <v>1641</v>
      </c>
      <c r="C2457" s="66"/>
      <c r="D2457" s="11" t="s">
        <v>1729</v>
      </c>
      <c r="E2457" s="11">
        <v>4446</v>
      </c>
      <c r="F2457" s="3">
        <v>38117</v>
      </c>
      <c r="G2457" s="2" t="s">
        <v>2817</v>
      </c>
      <c r="H2457" s="3">
        <v>43053</v>
      </c>
      <c r="I2457" s="2" t="s">
        <v>19506</v>
      </c>
      <c r="J2457" s="2" t="s">
        <v>13904</v>
      </c>
      <c r="K2457" s="2" t="s">
        <v>19241</v>
      </c>
      <c r="L2457" s="82" t="s">
        <v>19512</v>
      </c>
    </row>
    <row r="2458" spans="1:12" ht="120" customHeight="1" x14ac:dyDescent="0.3">
      <c r="A2458" s="2">
        <v>2454</v>
      </c>
      <c r="B2458" s="66" t="s">
        <v>2714</v>
      </c>
      <c r="C2458" s="66"/>
      <c r="D2458" s="11" t="s">
        <v>2766</v>
      </c>
      <c r="E2458" s="11">
        <v>4555.4799999999996</v>
      </c>
      <c r="F2458" s="3">
        <v>37769</v>
      </c>
      <c r="G2458" s="2" t="s">
        <v>2817</v>
      </c>
      <c r="H2458" s="3">
        <v>43053</v>
      </c>
      <c r="I2458" s="2" t="s">
        <v>19506</v>
      </c>
      <c r="J2458" s="2" t="s">
        <v>13904</v>
      </c>
      <c r="K2458" s="2" t="s">
        <v>19241</v>
      </c>
      <c r="L2458" s="82" t="s">
        <v>19512</v>
      </c>
    </row>
    <row r="2459" spans="1:12" ht="120" customHeight="1" x14ac:dyDescent="0.3">
      <c r="A2459" s="2">
        <v>2455</v>
      </c>
      <c r="B2459" s="66" t="s">
        <v>2715</v>
      </c>
      <c r="C2459" s="66"/>
      <c r="D2459" s="11" t="s">
        <v>2767</v>
      </c>
      <c r="E2459" s="11">
        <v>3912</v>
      </c>
      <c r="F2459" s="3">
        <v>39479</v>
      </c>
      <c r="G2459" s="2" t="s">
        <v>2817</v>
      </c>
      <c r="H2459" s="3">
        <v>43053</v>
      </c>
      <c r="I2459" s="2" t="s">
        <v>19506</v>
      </c>
      <c r="J2459" s="2" t="s">
        <v>13904</v>
      </c>
      <c r="K2459" s="2" t="s">
        <v>19241</v>
      </c>
      <c r="L2459" s="82" t="s">
        <v>19512</v>
      </c>
    </row>
    <row r="2460" spans="1:12" ht="120" customHeight="1" x14ac:dyDescent="0.3">
      <c r="A2460" s="2">
        <v>2456</v>
      </c>
      <c r="B2460" s="66" t="s">
        <v>2716</v>
      </c>
      <c r="C2460" s="66"/>
      <c r="D2460" s="11" t="s">
        <v>2768</v>
      </c>
      <c r="E2460" s="11">
        <v>3171.48</v>
      </c>
      <c r="F2460" s="3">
        <v>38502</v>
      </c>
      <c r="G2460" s="2" t="s">
        <v>2817</v>
      </c>
      <c r="H2460" s="3">
        <v>43053</v>
      </c>
      <c r="I2460" s="2" t="s">
        <v>19506</v>
      </c>
      <c r="J2460" s="2" t="s">
        <v>13904</v>
      </c>
      <c r="K2460" s="2" t="s">
        <v>19241</v>
      </c>
      <c r="L2460" s="82" t="s">
        <v>19512</v>
      </c>
    </row>
    <row r="2461" spans="1:12" ht="120" customHeight="1" x14ac:dyDescent="0.3">
      <c r="A2461" s="2">
        <v>2457</v>
      </c>
      <c r="B2461" s="66" t="s">
        <v>2717</v>
      </c>
      <c r="C2461" s="66"/>
      <c r="D2461" s="11" t="s">
        <v>2769</v>
      </c>
      <c r="E2461" s="11">
        <v>14280</v>
      </c>
      <c r="F2461" s="3">
        <v>38959</v>
      </c>
      <c r="G2461" s="2" t="s">
        <v>2817</v>
      </c>
      <c r="H2461" s="3">
        <v>43053</v>
      </c>
      <c r="I2461" s="2" t="s">
        <v>19506</v>
      </c>
      <c r="J2461" s="2" t="s">
        <v>13904</v>
      </c>
      <c r="K2461" s="2" t="s">
        <v>19241</v>
      </c>
      <c r="L2461" s="82" t="s">
        <v>19512</v>
      </c>
    </row>
    <row r="2462" spans="1:12" ht="120" customHeight="1" x14ac:dyDescent="0.3">
      <c r="A2462" s="2">
        <v>2458</v>
      </c>
      <c r="B2462" s="66" t="s">
        <v>2718</v>
      </c>
      <c r="C2462" s="66"/>
      <c r="D2462" s="11" t="s">
        <v>2770</v>
      </c>
      <c r="E2462" s="11">
        <v>9461.5</v>
      </c>
      <c r="F2462" s="3">
        <v>36480</v>
      </c>
      <c r="G2462" s="2" t="s">
        <v>2817</v>
      </c>
      <c r="H2462" s="3">
        <v>43053</v>
      </c>
      <c r="I2462" s="2" t="s">
        <v>19506</v>
      </c>
      <c r="J2462" s="2" t="s">
        <v>13904</v>
      </c>
      <c r="K2462" s="2" t="s">
        <v>19241</v>
      </c>
      <c r="L2462" s="82" t="s">
        <v>19512</v>
      </c>
    </row>
    <row r="2463" spans="1:12" ht="120" customHeight="1" x14ac:dyDescent="0.3">
      <c r="A2463" s="2">
        <v>2459</v>
      </c>
      <c r="B2463" s="66" t="s">
        <v>2719</v>
      </c>
      <c r="C2463" s="66"/>
      <c r="D2463" s="11" t="s">
        <v>2771</v>
      </c>
      <c r="E2463" s="11">
        <v>6349.25</v>
      </c>
      <c r="F2463" s="3">
        <v>40067</v>
      </c>
      <c r="G2463" s="2" t="s">
        <v>2817</v>
      </c>
      <c r="H2463" s="3">
        <v>43053</v>
      </c>
      <c r="I2463" s="2" t="s">
        <v>19506</v>
      </c>
      <c r="J2463" s="2" t="s">
        <v>13904</v>
      </c>
      <c r="K2463" s="2" t="s">
        <v>19241</v>
      </c>
      <c r="L2463" s="82" t="s">
        <v>19512</v>
      </c>
    </row>
    <row r="2464" spans="1:12" ht="120" customHeight="1" x14ac:dyDescent="0.3">
      <c r="A2464" s="2">
        <v>2460</v>
      </c>
      <c r="B2464" s="66" t="s">
        <v>2719</v>
      </c>
      <c r="C2464" s="66"/>
      <c r="D2464" s="11" t="s">
        <v>2772</v>
      </c>
      <c r="E2464" s="11">
        <v>4617.71</v>
      </c>
      <c r="F2464" s="3">
        <v>40067</v>
      </c>
      <c r="G2464" s="2" t="s">
        <v>2817</v>
      </c>
      <c r="H2464" s="3">
        <v>43053</v>
      </c>
      <c r="I2464" s="2" t="s">
        <v>19506</v>
      </c>
      <c r="J2464" s="2" t="s">
        <v>13904</v>
      </c>
      <c r="K2464" s="2" t="s">
        <v>19241</v>
      </c>
      <c r="L2464" s="82" t="s">
        <v>19512</v>
      </c>
    </row>
    <row r="2465" spans="1:12" ht="120" customHeight="1" x14ac:dyDescent="0.3">
      <c r="A2465" s="2">
        <v>2461</v>
      </c>
      <c r="B2465" s="66" t="s">
        <v>2720</v>
      </c>
      <c r="C2465" s="66"/>
      <c r="D2465" s="11" t="s">
        <v>2773</v>
      </c>
      <c r="E2465" s="11">
        <v>25585.89</v>
      </c>
      <c r="F2465" s="3">
        <v>39445</v>
      </c>
      <c r="G2465" s="2" t="s">
        <v>2817</v>
      </c>
      <c r="H2465" s="3">
        <v>43053</v>
      </c>
      <c r="I2465" s="2" t="s">
        <v>19506</v>
      </c>
      <c r="J2465" s="2" t="s">
        <v>13904</v>
      </c>
      <c r="K2465" s="2" t="s">
        <v>19241</v>
      </c>
      <c r="L2465" s="82" t="s">
        <v>19512</v>
      </c>
    </row>
    <row r="2466" spans="1:12" ht="120" customHeight="1" x14ac:dyDescent="0.3">
      <c r="A2466" s="2">
        <v>2462</v>
      </c>
      <c r="B2466" s="66" t="s">
        <v>2721</v>
      </c>
      <c r="C2466" s="66"/>
      <c r="D2466" s="11" t="s">
        <v>2774</v>
      </c>
      <c r="E2466" s="11">
        <v>30325.06</v>
      </c>
      <c r="F2466" s="3">
        <v>37032</v>
      </c>
      <c r="G2466" s="2" t="s">
        <v>2817</v>
      </c>
      <c r="H2466" s="3">
        <v>43053</v>
      </c>
      <c r="I2466" s="2" t="s">
        <v>19506</v>
      </c>
      <c r="J2466" s="2" t="s">
        <v>13904</v>
      </c>
      <c r="K2466" s="2" t="s">
        <v>19241</v>
      </c>
      <c r="L2466" s="82" t="s">
        <v>19512</v>
      </c>
    </row>
    <row r="2467" spans="1:12" ht="120" customHeight="1" x14ac:dyDescent="0.3">
      <c r="A2467" s="2">
        <v>2463</v>
      </c>
      <c r="B2467" s="66" t="s">
        <v>885</v>
      </c>
      <c r="C2467" s="66"/>
      <c r="D2467" s="11" t="s">
        <v>2775</v>
      </c>
      <c r="E2467" s="11">
        <v>3618.52</v>
      </c>
      <c r="F2467" s="3">
        <v>37790</v>
      </c>
      <c r="G2467" s="2" t="s">
        <v>2817</v>
      </c>
      <c r="H2467" s="3">
        <v>43053</v>
      </c>
      <c r="I2467" s="2" t="s">
        <v>19506</v>
      </c>
      <c r="J2467" s="2" t="s">
        <v>13904</v>
      </c>
      <c r="K2467" s="2" t="s">
        <v>19241</v>
      </c>
      <c r="L2467" s="82" t="s">
        <v>19512</v>
      </c>
    </row>
    <row r="2468" spans="1:12" ht="120" customHeight="1" x14ac:dyDescent="0.3">
      <c r="A2468" s="2">
        <v>2464</v>
      </c>
      <c r="B2468" s="66" t="s">
        <v>2722</v>
      </c>
      <c r="C2468" s="66"/>
      <c r="D2468" s="11" t="s">
        <v>2776</v>
      </c>
      <c r="E2468" s="11">
        <v>18111.599999999999</v>
      </c>
      <c r="F2468" s="3">
        <v>39489</v>
      </c>
      <c r="G2468" s="2" t="s">
        <v>2817</v>
      </c>
      <c r="H2468" s="3">
        <v>43053</v>
      </c>
      <c r="I2468" s="2" t="s">
        <v>19506</v>
      </c>
      <c r="J2468" s="2" t="s">
        <v>13904</v>
      </c>
      <c r="K2468" s="2" t="s">
        <v>19241</v>
      </c>
      <c r="L2468" s="82" t="s">
        <v>19512</v>
      </c>
    </row>
    <row r="2469" spans="1:12" ht="120" customHeight="1" x14ac:dyDescent="0.3">
      <c r="A2469" s="2">
        <v>2465</v>
      </c>
      <c r="B2469" s="66" t="s">
        <v>2723</v>
      </c>
      <c r="C2469" s="66"/>
      <c r="D2469" s="11" t="s">
        <v>2777</v>
      </c>
      <c r="E2469" s="11">
        <v>6600</v>
      </c>
      <c r="F2469" s="3">
        <v>38713</v>
      </c>
      <c r="G2469" s="2" t="s">
        <v>2817</v>
      </c>
      <c r="H2469" s="3">
        <v>43053</v>
      </c>
      <c r="I2469" s="2" t="s">
        <v>19506</v>
      </c>
      <c r="J2469" s="2" t="s">
        <v>13904</v>
      </c>
      <c r="K2469" s="2" t="s">
        <v>19241</v>
      </c>
      <c r="L2469" s="82" t="s">
        <v>19512</v>
      </c>
    </row>
    <row r="2470" spans="1:12" ht="120" customHeight="1" x14ac:dyDescent="0.3">
      <c r="A2470" s="2">
        <v>2466</v>
      </c>
      <c r="B2470" s="66" t="s">
        <v>2724</v>
      </c>
      <c r="C2470" s="66"/>
      <c r="D2470" s="11" t="s">
        <v>1985</v>
      </c>
      <c r="E2470" s="11">
        <v>5500</v>
      </c>
      <c r="F2470" s="3">
        <v>38499</v>
      </c>
      <c r="G2470" s="2" t="s">
        <v>2817</v>
      </c>
      <c r="H2470" s="3">
        <v>43053</v>
      </c>
      <c r="I2470" s="2" t="s">
        <v>19506</v>
      </c>
      <c r="J2470" s="2" t="s">
        <v>13904</v>
      </c>
      <c r="K2470" s="2" t="s">
        <v>19241</v>
      </c>
      <c r="L2470" s="82" t="s">
        <v>19512</v>
      </c>
    </row>
    <row r="2471" spans="1:12" ht="120" customHeight="1" x14ac:dyDescent="0.3">
      <c r="A2471" s="2">
        <v>2467</v>
      </c>
      <c r="B2471" s="66" t="s">
        <v>2725</v>
      </c>
      <c r="C2471" s="66"/>
      <c r="D2471" s="11" t="s">
        <v>2778</v>
      </c>
      <c r="E2471" s="11">
        <v>27200</v>
      </c>
      <c r="F2471" s="3">
        <v>40666</v>
      </c>
      <c r="G2471" s="2" t="s">
        <v>2817</v>
      </c>
      <c r="H2471" s="3">
        <v>43053</v>
      </c>
      <c r="I2471" s="2" t="s">
        <v>19506</v>
      </c>
      <c r="J2471" s="2" t="s">
        <v>13904</v>
      </c>
      <c r="K2471" s="2" t="s">
        <v>19241</v>
      </c>
      <c r="L2471" s="82" t="s">
        <v>19512</v>
      </c>
    </row>
    <row r="2472" spans="1:12" ht="120" customHeight="1" x14ac:dyDescent="0.3">
      <c r="A2472" s="2">
        <v>2468</v>
      </c>
      <c r="B2472" s="66" t="s">
        <v>2726</v>
      </c>
      <c r="C2472" s="66"/>
      <c r="D2472" s="11" t="s">
        <v>2779</v>
      </c>
      <c r="E2472" s="11">
        <v>40460</v>
      </c>
      <c r="F2472" s="3">
        <v>39489</v>
      </c>
      <c r="G2472" s="2" t="s">
        <v>2817</v>
      </c>
      <c r="H2472" s="3">
        <v>43053</v>
      </c>
      <c r="I2472" s="2" t="s">
        <v>19506</v>
      </c>
      <c r="J2472" s="2" t="s">
        <v>13904</v>
      </c>
      <c r="K2472" s="2" t="s">
        <v>19241</v>
      </c>
      <c r="L2472" s="82" t="s">
        <v>19512</v>
      </c>
    </row>
    <row r="2473" spans="1:12" ht="120" customHeight="1" x14ac:dyDescent="0.3">
      <c r="A2473" s="2">
        <v>2469</v>
      </c>
      <c r="B2473" s="66" t="s">
        <v>2727</v>
      </c>
      <c r="C2473" s="66" t="s">
        <v>19837</v>
      </c>
      <c r="D2473" s="11" t="s">
        <v>2780</v>
      </c>
      <c r="E2473" s="11">
        <v>195275</v>
      </c>
      <c r="F2473" s="3">
        <v>38502</v>
      </c>
      <c r="G2473" s="2" t="s">
        <v>2817</v>
      </c>
      <c r="H2473" s="2"/>
      <c r="I2473" s="2"/>
      <c r="J2473" s="2" t="s">
        <v>13904</v>
      </c>
      <c r="K2473" s="2" t="s">
        <v>19241</v>
      </c>
      <c r="L2473" s="82" t="s">
        <v>19783</v>
      </c>
    </row>
    <row r="2474" spans="1:12" ht="120" customHeight="1" x14ac:dyDescent="0.3">
      <c r="A2474" s="2">
        <v>2470</v>
      </c>
      <c r="B2474" s="66" t="s">
        <v>2728</v>
      </c>
      <c r="C2474" s="66"/>
      <c r="D2474" s="11" t="s">
        <v>2738</v>
      </c>
      <c r="E2474" s="11">
        <v>9477</v>
      </c>
      <c r="F2474" s="3">
        <v>39445</v>
      </c>
      <c r="G2474" s="2" t="s">
        <v>2817</v>
      </c>
      <c r="H2474" s="3">
        <v>43053</v>
      </c>
      <c r="I2474" s="2" t="s">
        <v>19506</v>
      </c>
      <c r="J2474" s="2" t="s">
        <v>13904</v>
      </c>
      <c r="K2474" s="2" t="s">
        <v>19241</v>
      </c>
      <c r="L2474" s="82" t="s">
        <v>19512</v>
      </c>
    </row>
    <row r="2475" spans="1:12" ht="120" customHeight="1" x14ac:dyDescent="0.3">
      <c r="A2475" s="2">
        <v>2471</v>
      </c>
      <c r="B2475" s="66" t="s">
        <v>2729</v>
      </c>
      <c r="C2475" s="66"/>
      <c r="D2475" s="11" t="s">
        <v>2781</v>
      </c>
      <c r="E2475" s="11">
        <v>13260</v>
      </c>
      <c r="F2475" s="3">
        <v>39601</v>
      </c>
      <c r="G2475" s="2" t="s">
        <v>2817</v>
      </c>
      <c r="H2475" s="3">
        <v>43053</v>
      </c>
      <c r="I2475" s="2" t="s">
        <v>19506</v>
      </c>
      <c r="J2475" s="2" t="s">
        <v>13904</v>
      </c>
      <c r="K2475" s="2" t="s">
        <v>19241</v>
      </c>
      <c r="L2475" s="82" t="s">
        <v>19512</v>
      </c>
    </row>
    <row r="2476" spans="1:12" ht="120" customHeight="1" x14ac:dyDescent="0.3">
      <c r="A2476" s="2">
        <v>2472</v>
      </c>
      <c r="B2476" s="66" t="s">
        <v>2730</v>
      </c>
      <c r="C2476" s="66"/>
      <c r="D2476" s="11" t="s">
        <v>2782</v>
      </c>
      <c r="E2476" s="11">
        <v>4888.83</v>
      </c>
      <c r="F2476" s="3">
        <v>38503</v>
      </c>
      <c r="G2476" s="2" t="s">
        <v>2817</v>
      </c>
      <c r="H2476" s="3">
        <v>43053</v>
      </c>
      <c r="I2476" s="2" t="s">
        <v>19506</v>
      </c>
      <c r="J2476" s="2" t="s">
        <v>13904</v>
      </c>
      <c r="K2476" s="2" t="s">
        <v>19241</v>
      </c>
      <c r="L2476" s="82" t="s">
        <v>19512</v>
      </c>
    </row>
    <row r="2477" spans="1:12" ht="120" customHeight="1" x14ac:dyDescent="0.3">
      <c r="A2477" s="2">
        <v>2473</v>
      </c>
      <c r="B2477" s="66" t="s">
        <v>2731</v>
      </c>
      <c r="C2477" s="66"/>
      <c r="D2477" s="11" t="s">
        <v>2783</v>
      </c>
      <c r="E2477" s="11">
        <v>71282.16</v>
      </c>
      <c r="F2477" s="3">
        <v>37945</v>
      </c>
      <c r="G2477" s="2" t="s">
        <v>2817</v>
      </c>
      <c r="H2477" s="3">
        <v>43053</v>
      </c>
      <c r="I2477" s="2" t="s">
        <v>19506</v>
      </c>
      <c r="J2477" s="2" t="s">
        <v>13904</v>
      </c>
      <c r="K2477" s="2" t="s">
        <v>19241</v>
      </c>
      <c r="L2477" s="82" t="s">
        <v>19512</v>
      </c>
    </row>
    <row r="2478" spans="1:12" ht="120" customHeight="1" x14ac:dyDescent="0.3">
      <c r="A2478" s="2">
        <v>2474</v>
      </c>
      <c r="B2478" s="66" t="s">
        <v>2784</v>
      </c>
      <c r="C2478" s="66"/>
      <c r="D2478" s="11" t="s">
        <v>2803</v>
      </c>
      <c r="E2478" s="11">
        <v>35490</v>
      </c>
      <c r="F2478" s="3">
        <v>41991</v>
      </c>
      <c r="G2478" s="2" t="s">
        <v>2817</v>
      </c>
      <c r="H2478" s="2"/>
      <c r="I2478" s="2"/>
      <c r="J2478" s="2" t="s">
        <v>13904</v>
      </c>
      <c r="K2478" s="2" t="s">
        <v>19241</v>
      </c>
      <c r="L2478" s="82" t="s">
        <v>19227</v>
      </c>
    </row>
    <row r="2479" spans="1:12" ht="120" customHeight="1" x14ac:dyDescent="0.3">
      <c r="A2479" s="2">
        <v>2475</v>
      </c>
      <c r="B2479" s="66" t="s">
        <v>2785</v>
      </c>
      <c r="C2479" s="66"/>
      <c r="D2479" s="11" t="s">
        <v>1486</v>
      </c>
      <c r="E2479" s="11">
        <v>25000</v>
      </c>
      <c r="F2479" s="3">
        <v>41600</v>
      </c>
      <c r="G2479" s="2" t="s">
        <v>2817</v>
      </c>
      <c r="H2479" s="3">
        <v>43053</v>
      </c>
      <c r="I2479" s="2" t="s">
        <v>19506</v>
      </c>
      <c r="J2479" s="2" t="s">
        <v>13904</v>
      </c>
      <c r="K2479" s="2" t="s">
        <v>19241</v>
      </c>
      <c r="L2479" s="82" t="s">
        <v>19512</v>
      </c>
    </row>
    <row r="2480" spans="1:12" ht="120" customHeight="1" x14ac:dyDescent="0.3">
      <c r="A2480" s="2">
        <v>2476</v>
      </c>
      <c r="B2480" s="66" t="s">
        <v>2786</v>
      </c>
      <c r="C2480" s="66"/>
      <c r="D2480" s="11" t="s">
        <v>1985</v>
      </c>
      <c r="E2480" s="11" t="s">
        <v>1985</v>
      </c>
      <c r="F2480" s="3">
        <v>41487</v>
      </c>
      <c r="G2480" s="2" t="s">
        <v>2817</v>
      </c>
      <c r="H2480" s="3">
        <v>43053</v>
      </c>
      <c r="I2480" s="2" t="s">
        <v>19506</v>
      </c>
      <c r="J2480" s="2" t="s">
        <v>13904</v>
      </c>
      <c r="K2480" s="2" t="s">
        <v>19241</v>
      </c>
      <c r="L2480" s="82" t="s">
        <v>19512</v>
      </c>
    </row>
    <row r="2481" spans="1:12" ht="120" customHeight="1" x14ac:dyDescent="0.3">
      <c r="A2481" s="2">
        <v>2477</v>
      </c>
      <c r="B2481" s="66" t="s">
        <v>2787</v>
      </c>
      <c r="C2481" s="66"/>
      <c r="D2481" s="11" t="s">
        <v>1151</v>
      </c>
      <c r="E2481" s="11" t="s">
        <v>1151</v>
      </c>
      <c r="F2481" s="3">
        <v>41974</v>
      </c>
      <c r="G2481" s="2" t="s">
        <v>2817</v>
      </c>
      <c r="H2481" s="3">
        <v>43053</v>
      </c>
      <c r="I2481" s="2" t="s">
        <v>19506</v>
      </c>
      <c r="J2481" s="2" t="s">
        <v>13904</v>
      </c>
      <c r="K2481" s="2" t="s">
        <v>19241</v>
      </c>
      <c r="L2481" s="82" t="s">
        <v>19512</v>
      </c>
    </row>
    <row r="2482" spans="1:12" ht="120" customHeight="1" x14ac:dyDescent="0.3">
      <c r="A2482" s="2">
        <v>2478</v>
      </c>
      <c r="B2482" s="66" t="s">
        <v>2788</v>
      </c>
      <c r="C2482" s="66"/>
      <c r="D2482" s="11" t="s">
        <v>2804</v>
      </c>
      <c r="E2482" s="11">
        <v>11150</v>
      </c>
      <c r="F2482" s="3">
        <v>41233</v>
      </c>
      <c r="G2482" s="2" t="s">
        <v>2817</v>
      </c>
      <c r="H2482" s="3">
        <v>43053</v>
      </c>
      <c r="I2482" s="2" t="s">
        <v>19506</v>
      </c>
      <c r="J2482" s="2" t="s">
        <v>13904</v>
      </c>
      <c r="K2482" s="2" t="s">
        <v>19241</v>
      </c>
      <c r="L2482" s="82" t="s">
        <v>19512</v>
      </c>
    </row>
    <row r="2483" spans="1:12" ht="120" customHeight="1" x14ac:dyDescent="0.3">
      <c r="A2483" s="2">
        <v>2479</v>
      </c>
      <c r="B2483" s="66" t="s">
        <v>2788</v>
      </c>
      <c r="C2483" s="66"/>
      <c r="D2483" s="11" t="s">
        <v>2804</v>
      </c>
      <c r="E2483" s="11">
        <v>11150</v>
      </c>
      <c r="F2483" s="3">
        <v>41233</v>
      </c>
      <c r="G2483" s="2" t="s">
        <v>2817</v>
      </c>
      <c r="H2483" s="3">
        <v>43053</v>
      </c>
      <c r="I2483" s="2" t="s">
        <v>19506</v>
      </c>
      <c r="J2483" s="2" t="s">
        <v>13904</v>
      </c>
      <c r="K2483" s="2" t="s">
        <v>19241</v>
      </c>
      <c r="L2483" s="82" t="s">
        <v>19512</v>
      </c>
    </row>
    <row r="2484" spans="1:12" ht="120" customHeight="1" x14ac:dyDescent="0.3">
      <c r="A2484" s="2">
        <v>2480</v>
      </c>
      <c r="B2484" s="66" t="s">
        <v>2788</v>
      </c>
      <c r="C2484" s="66"/>
      <c r="D2484" s="11" t="s">
        <v>2804</v>
      </c>
      <c r="E2484" s="11">
        <v>11150</v>
      </c>
      <c r="F2484" s="3">
        <v>41233</v>
      </c>
      <c r="G2484" s="2" t="s">
        <v>2817</v>
      </c>
      <c r="H2484" s="3">
        <v>43053</v>
      </c>
      <c r="I2484" s="2" t="s">
        <v>19506</v>
      </c>
      <c r="J2484" s="2" t="s">
        <v>13904</v>
      </c>
      <c r="K2484" s="2" t="s">
        <v>19241</v>
      </c>
      <c r="L2484" s="82" t="s">
        <v>19512</v>
      </c>
    </row>
    <row r="2485" spans="1:12" ht="120" customHeight="1" x14ac:dyDescent="0.3">
      <c r="A2485" s="2">
        <v>2481</v>
      </c>
      <c r="B2485" s="66" t="s">
        <v>2788</v>
      </c>
      <c r="C2485" s="66"/>
      <c r="D2485" s="11" t="s">
        <v>2804</v>
      </c>
      <c r="E2485" s="11">
        <v>11150</v>
      </c>
      <c r="F2485" s="3">
        <v>41233</v>
      </c>
      <c r="G2485" s="2" t="s">
        <v>2817</v>
      </c>
      <c r="H2485" s="3">
        <v>43053</v>
      </c>
      <c r="I2485" s="2" t="s">
        <v>19506</v>
      </c>
      <c r="J2485" s="2" t="s">
        <v>13904</v>
      </c>
      <c r="K2485" s="2" t="s">
        <v>19241</v>
      </c>
      <c r="L2485" s="82" t="s">
        <v>19512</v>
      </c>
    </row>
    <row r="2486" spans="1:12" ht="120" customHeight="1" x14ac:dyDescent="0.3">
      <c r="A2486" s="2">
        <v>2482</v>
      </c>
      <c r="B2486" s="66" t="s">
        <v>2788</v>
      </c>
      <c r="C2486" s="66"/>
      <c r="D2486" s="11" t="s">
        <v>2804</v>
      </c>
      <c r="E2486" s="11">
        <v>11150</v>
      </c>
      <c r="F2486" s="3">
        <v>41233</v>
      </c>
      <c r="G2486" s="2" t="s">
        <v>2817</v>
      </c>
      <c r="H2486" s="3">
        <v>43053</v>
      </c>
      <c r="I2486" s="2" t="s">
        <v>19506</v>
      </c>
      <c r="J2486" s="2" t="s">
        <v>13904</v>
      </c>
      <c r="K2486" s="2" t="s">
        <v>19241</v>
      </c>
      <c r="L2486" s="82" t="s">
        <v>19512</v>
      </c>
    </row>
    <row r="2487" spans="1:12" ht="120" customHeight="1" x14ac:dyDescent="0.3">
      <c r="A2487" s="2">
        <v>2483</v>
      </c>
      <c r="B2487" s="66" t="s">
        <v>2788</v>
      </c>
      <c r="C2487" s="66"/>
      <c r="D2487" s="11" t="s">
        <v>2804</v>
      </c>
      <c r="E2487" s="11">
        <v>11150</v>
      </c>
      <c r="F2487" s="3">
        <v>41233</v>
      </c>
      <c r="G2487" s="2" t="s">
        <v>2817</v>
      </c>
      <c r="H2487" s="3">
        <v>43053</v>
      </c>
      <c r="I2487" s="2" t="s">
        <v>19506</v>
      </c>
      <c r="J2487" s="2" t="s">
        <v>13904</v>
      </c>
      <c r="K2487" s="2" t="s">
        <v>19241</v>
      </c>
      <c r="L2487" s="82" t="s">
        <v>19512</v>
      </c>
    </row>
    <row r="2488" spans="1:12" ht="120" customHeight="1" x14ac:dyDescent="0.3">
      <c r="A2488" s="2">
        <v>2484</v>
      </c>
      <c r="B2488" s="66" t="s">
        <v>2789</v>
      </c>
      <c r="C2488" s="66"/>
      <c r="D2488" s="11" t="s">
        <v>2805</v>
      </c>
      <c r="E2488" s="11">
        <v>4335.3</v>
      </c>
      <c r="F2488" s="3">
        <v>41233</v>
      </c>
      <c r="G2488" s="2" t="s">
        <v>2817</v>
      </c>
      <c r="H2488" s="3">
        <v>43053</v>
      </c>
      <c r="I2488" s="2" t="s">
        <v>19506</v>
      </c>
      <c r="J2488" s="2" t="s">
        <v>13904</v>
      </c>
      <c r="K2488" s="2" t="s">
        <v>19241</v>
      </c>
      <c r="L2488" s="82" t="s">
        <v>19512</v>
      </c>
    </row>
    <row r="2489" spans="1:12" ht="120" customHeight="1" x14ac:dyDescent="0.3">
      <c r="A2489" s="2">
        <v>2485</v>
      </c>
      <c r="B2489" s="66" t="s">
        <v>2789</v>
      </c>
      <c r="C2489" s="66"/>
      <c r="D2489" s="11" t="s">
        <v>2805</v>
      </c>
      <c r="E2489" s="11">
        <v>4335.3</v>
      </c>
      <c r="F2489" s="3">
        <v>41233</v>
      </c>
      <c r="G2489" s="2" t="s">
        <v>2817</v>
      </c>
      <c r="H2489" s="3">
        <v>43053</v>
      </c>
      <c r="I2489" s="2" t="s">
        <v>19506</v>
      </c>
      <c r="J2489" s="2" t="s">
        <v>13904</v>
      </c>
      <c r="K2489" s="2" t="s">
        <v>19241</v>
      </c>
      <c r="L2489" s="82" t="s">
        <v>19512</v>
      </c>
    </row>
    <row r="2490" spans="1:12" ht="120" customHeight="1" x14ac:dyDescent="0.3">
      <c r="A2490" s="2">
        <v>2486</v>
      </c>
      <c r="B2490" s="66" t="s">
        <v>2789</v>
      </c>
      <c r="C2490" s="66"/>
      <c r="D2490" s="11" t="s">
        <v>2805</v>
      </c>
      <c r="E2490" s="11">
        <v>4335.3</v>
      </c>
      <c r="F2490" s="3">
        <v>41233</v>
      </c>
      <c r="G2490" s="2" t="s">
        <v>2817</v>
      </c>
      <c r="H2490" s="3">
        <v>43053</v>
      </c>
      <c r="I2490" s="2" t="s">
        <v>19506</v>
      </c>
      <c r="J2490" s="2" t="s">
        <v>13904</v>
      </c>
      <c r="K2490" s="2" t="s">
        <v>19241</v>
      </c>
      <c r="L2490" s="82" t="s">
        <v>19512</v>
      </c>
    </row>
    <row r="2491" spans="1:12" ht="120" customHeight="1" x14ac:dyDescent="0.3">
      <c r="A2491" s="2">
        <v>2487</v>
      </c>
      <c r="B2491" s="66" t="s">
        <v>2789</v>
      </c>
      <c r="C2491" s="66"/>
      <c r="D2491" s="11" t="s">
        <v>2805</v>
      </c>
      <c r="E2491" s="11">
        <v>4335.3</v>
      </c>
      <c r="F2491" s="3">
        <v>41233</v>
      </c>
      <c r="G2491" s="2" t="s">
        <v>2817</v>
      </c>
      <c r="H2491" s="3">
        <v>43053</v>
      </c>
      <c r="I2491" s="2" t="s">
        <v>19506</v>
      </c>
      <c r="J2491" s="2" t="s">
        <v>13904</v>
      </c>
      <c r="K2491" s="2" t="s">
        <v>19241</v>
      </c>
      <c r="L2491" s="82" t="s">
        <v>19512</v>
      </c>
    </row>
    <row r="2492" spans="1:12" ht="120" customHeight="1" x14ac:dyDescent="0.3">
      <c r="A2492" s="2">
        <v>2488</v>
      </c>
      <c r="B2492" s="66" t="s">
        <v>2789</v>
      </c>
      <c r="C2492" s="66"/>
      <c r="D2492" s="11" t="s">
        <v>2805</v>
      </c>
      <c r="E2492" s="11">
        <v>4335.3</v>
      </c>
      <c r="F2492" s="3">
        <v>41233</v>
      </c>
      <c r="G2492" s="2" t="s">
        <v>2817</v>
      </c>
      <c r="H2492" s="3">
        <v>43053</v>
      </c>
      <c r="I2492" s="2" t="s">
        <v>19506</v>
      </c>
      <c r="J2492" s="2" t="s">
        <v>13904</v>
      </c>
      <c r="K2492" s="2" t="s">
        <v>19241</v>
      </c>
      <c r="L2492" s="82" t="s">
        <v>19512</v>
      </c>
    </row>
    <row r="2493" spans="1:12" ht="120" customHeight="1" x14ac:dyDescent="0.3">
      <c r="A2493" s="2">
        <v>2489</v>
      </c>
      <c r="B2493" s="66" t="s">
        <v>2789</v>
      </c>
      <c r="C2493" s="66"/>
      <c r="D2493" s="11" t="s">
        <v>2805</v>
      </c>
      <c r="E2493" s="11">
        <v>4335.3</v>
      </c>
      <c r="F2493" s="3">
        <v>41233</v>
      </c>
      <c r="G2493" s="2" t="s">
        <v>2817</v>
      </c>
      <c r="H2493" s="3">
        <v>43053</v>
      </c>
      <c r="I2493" s="2" t="s">
        <v>19506</v>
      </c>
      <c r="J2493" s="2" t="s">
        <v>13904</v>
      </c>
      <c r="K2493" s="2" t="s">
        <v>19241</v>
      </c>
      <c r="L2493" s="82" t="s">
        <v>19512</v>
      </c>
    </row>
    <row r="2494" spans="1:12" ht="120" customHeight="1" x14ac:dyDescent="0.3">
      <c r="A2494" s="2">
        <v>2490</v>
      </c>
      <c r="B2494" s="66" t="s">
        <v>2789</v>
      </c>
      <c r="C2494" s="66"/>
      <c r="D2494" s="11" t="s">
        <v>2805</v>
      </c>
      <c r="E2494" s="11">
        <v>4335.3</v>
      </c>
      <c r="F2494" s="3">
        <v>41233</v>
      </c>
      <c r="G2494" s="2" t="s">
        <v>2817</v>
      </c>
      <c r="H2494" s="3">
        <v>43053</v>
      </c>
      <c r="I2494" s="2" t="s">
        <v>19506</v>
      </c>
      <c r="J2494" s="2" t="s">
        <v>13904</v>
      </c>
      <c r="K2494" s="2" t="s">
        <v>19241</v>
      </c>
      <c r="L2494" s="82" t="s">
        <v>19512</v>
      </c>
    </row>
    <row r="2495" spans="1:12" ht="120" customHeight="1" x14ac:dyDescent="0.3">
      <c r="A2495" s="2">
        <v>2491</v>
      </c>
      <c r="B2495" s="66" t="s">
        <v>2789</v>
      </c>
      <c r="C2495" s="66"/>
      <c r="D2495" s="11" t="s">
        <v>2805</v>
      </c>
      <c r="E2495" s="11">
        <v>4335.3</v>
      </c>
      <c r="F2495" s="3">
        <v>41233</v>
      </c>
      <c r="G2495" s="2" t="s">
        <v>2817</v>
      </c>
      <c r="H2495" s="3">
        <v>43053</v>
      </c>
      <c r="I2495" s="2" t="s">
        <v>19506</v>
      </c>
      <c r="J2495" s="2" t="s">
        <v>13904</v>
      </c>
      <c r="K2495" s="2" t="s">
        <v>19241</v>
      </c>
      <c r="L2495" s="82" t="s">
        <v>19512</v>
      </c>
    </row>
    <row r="2496" spans="1:12" ht="120" customHeight="1" x14ac:dyDescent="0.3">
      <c r="A2496" s="2">
        <v>2492</v>
      </c>
      <c r="B2496" s="66" t="s">
        <v>2789</v>
      </c>
      <c r="C2496" s="66"/>
      <c r="D2496" s="11" t="s">
        <v>2805</v>
      </c>
      <c r="E2496" s="11">
        <v>4335.3</v>
      </c>
      <c r="F2496" s="3">
        <v>41233</v>
      </c>
      <c r="G2496" s="2" t="s">
        <v>2817</v>
      </c>
      <c r="H2496" s="3">
        <v>43053</v>
      </c>
      <c r="I2496" s="2" t="s">
        <v>19506</v>
      </c>
      <c r="J2496" s="2" t="s">
        <v>13904</v>
      </c>
      <c r="K2496" s="2" t="s">
        <v>19241</v>
      </c>
      <c r="L2496" s="82" t="s">
        <v>19512</v>
      </c>
    </row>
    <row r="2497" spans="1:12" ht="120" customHeight="1" x14ac:dyDescent="0.3">
      <c r="A2497" s="2">
        <v>2493</v>
      </c>
      <c r="B2497" s="66" t="s">
        <v>2789</v>
      </c>
      <c r="C2497" s="66"/>
      <c r="D2497" s="11" t="s">
        <v>2805</v>
      </c>
      <c r="E2497" s="11">
        <v>4335.3</v>
      </c>
      <c r="F2497" s="3">
        <v>41233</v>
      </c>
      <c r="G2497" s="2" t="s">
        <v>2817</v>
      </c>
      <c r="H2497" s="3">
        <v>43053</v>
      </c>
      <c r="I2497" s="2" t="s">
        <v>19506</v>
      </c>
      <c r="J2497" s="2" t="s">
        <v>13904</v>
      </c>
      <c r="K2497" s="2" t="s">
        <v>19241</v>
      </c>
      <c r="L2497" s="82" t="s">
        <v>19512</v>
      </c>
    </row>
    <row r="2498" spans="1:12" ht="120" customHeight="1" x14ac:dyDescent="0.3">
      <c r="A2498" s="2">
        <v>2494</v>
      </c>
      <c r="B2498" s="66" t="s">
        <v>2789</v>
      </c>
      <c r="C2498" s="66"/>
      <c r="D2498" s="11" t="s">
        <v>2805</v>
      </c>
      <c r="E2498" s="11">
        <v>4335.3</v>
      </c>
      <c r="F2498" s="3">
        <v>41233</v>
      </c>
      <c r="G2498" s="2" t="s">
        <v>2817</v>
      </c>
      <c r="H2498" s="3">
        <v>43053</v>
      </c>
      <c r="I2498" s="2" t="s">
        <v>19506</v>
      </c>
      <c r="J2498" s="2" t="s">
        <v>13904</v>
      </c>
      <c r="K2498" s="2" t="s">
        <v>19241</v>
      </c>
      <c r="L2498" s="82" t="s">
        <v>19512</v>
      </c>
    </row>
    <row r="2499" spans="1:12" ht="120" customHeight="1" x14ac:dyDescent="0.3">
      <c r="A2499" s="2">
        <v>2495</v>
      </c>
      <c r="B2499" s="66" t="s">
        <v>2789</v>
      </c>
      <c r="C2499" s="66"/>
      <c r="D2499" s="11" t="s">
        <v>2805</v>
      </c>
      <c r="E2499" s="11">
        <v>4335.3</v>
      </c>
      <c r="F2499" s="3">
        <v>41233</v>
      </c>
      <c r="G2499" s="2" t="s">
        <v>2817</v>
      </c>
      <c r="H2499" s="3">
        <v>43053</v>
      </c>
      <c r="I2499" s="2" t="s">
        <v>19506</v>
      </c>
      <c r="J2499" s="2" t="s">
        <v>13904</v>
      </c>
      <c r="K2499" s="2" t="s">
        <v>19241</v>
      </c>
      <c r="L2499" s="82" t="s">
        <v>19512</v>
      </c>
    </row>
    <row r="2500" spans="1:12" ht="120" customHeight="1" x14ac:dyDescent="0.3">
      <c r="A2500" s="2">
        <v>2496</v>
      </c>
      <c r="B2500" s="66" t="s">
        <v>2789</v>
      </c>
      <c r="C2500" s="66"/>
      <c r="D2500" s="11" t="s">
        <v>2805</v>
      </c>
      <c r="E2500" s="11">
        <v>4335.3</v>
      </c>
      <c r="F2500" s="3">
        <v>41233</v>
      </c>
      <c r="G2500" s="2" t="s">
        <v>2817</v>
      </c>
      <c r="H2500" s="3">
        <v>43053</v>
      </c>
      <c r="I2500" s="2" t="s">
        <v>19506</v>
      </c>
      <c r="J2500" s="2" t="s">
        <v>13904</v>
      </c>
      <c r="K2500" s="2" t="s">
        <v>19241</v>
      </c>
      <c r="L2500" s="82" t="s">
        <v>19512</v>
      </c>
    </row>
    <row r="2501" spans="1:12" ht="120" customHeight="1" x14ac:dyDescent="0.3">
      <c r="A2501" s="2">
        <v>2497</v>
      </c>
      <c r="B2501" s="66" t="s">
        <v>2789</v>
      </c>
      <c r="C2501" s="66"/>
      <c r="D2501" s="11" t="s">
        <v>2805</v>
      </c>
      <c r="E2501" s="11">
        <v>4335.3</v>
      </c>
      <c r="F2501" s="3">
        <v>41233</v>
      </c>
      <c r="G2501" s="2" t="s">
        <v>2817</v>
      </c>
      <c r="H2501" s="3">
        <v>43053</v>
      </c>
      <c r="I2501" s="2" t="s">
        <v>19506</v>
      </c>
      <c r="J2501" s="2" t="s">
        <v>13904</v>
      </c>
      <c r="K2501" s="2" t="s">
        <v>19241</v>
      </c>
      <c r="L2501" s="82" t="s">
        <v>19512</v>
      </c>
    </row>
    <row r="2502" spans="1:12" ht="120" customHeight="1" x14ac:dyDescent="0.3">
      <c r="A2502" s="2">
        <v>2498</v>
      </c>
      <c r="B2502" s="66" t="s">
        <v>2789</v>
      </c>
      <c r="C2502" s="66"/>
      <c r="D2502" s="11" t="s">
        <v>2805</v>
      </c>
      <c r="E2502" s="11">
        <v>4335.3</v>
      </c>
      <c r="F2502" s="3">
        <v>41233</v>
      </c>
      <c r="G2502" s="2" t="s">
        <v>2817</v>
      </c>
      <c r="H2502" s="3">
        <v>43053</v>
      </c>
      <c r="I2502" s="2" t="s">
        <v>19506</v>
      </c>
      <c r="J2502" s="2" t="s">
        <v>13904</v>
      </c>
      <c r="K2502" s="2" t="s">
        <v>19241</v>
      </c>
      <c r="L2502" s="82" t="s">
        <v>19512</v>
      </c>
    </row>
    <row r="2503" spans="1:12" ht="120" customHeight="1" x14ac:dyDescent="0.3">
      <c r="A2503" s="2">
        <v>2499</v>
      </c>
      <c r="B2503" s="66" t="s">
        <v>2789</v>
      </c>
      <c r="C2503" s="66"/>
      <c r="D2503" s="11" t="s">
        <v>2805</v>
      </c>
      <c r="E2503" s="11">
        <v>4335.3</v>
      </c>
      <c r="F2503" s="3">
        <v>41233</v>
      </c>
      <c r="G2503" s="2" t="s">
        <v>2817</v>
      </c>
      <c r="H2503" s="3">
        <v>43053</v>
      </c>
      <c r="I2503" s="2" t="s">
        <v>19506</v>
      </c>
      <c r="J2503" s="2" t="s">
        <v>13904</v>
      </c>
      <c r="K2503" s="2" t="s">
        <v>19241</v>
      </c>
      <c r="L2503" s="82" t="s">
        <v>19512</v>
      </c>
    </row>
    <row r="2504" spans="1:12" ht="120" customHeight="1" x14ac:dyDescent="0.3">
      <c r="A2504" s="2">
        <v>2500</v>
      </c>
      <c r="B2504" s="66" t="s">
        <v>2789</v>
      </c>
      <c r="C2504" s="66"/>
      <c r="D2504" s="11" t="s">
        <v>2805</v>
      </c>
      <c r="E2504" s="11">
        <v>4335.3</v>
      </c>
      <c r="F2504" s="3">
        <v>41233</v>
      </c>
      <c r="G2504" s="2" t="s">
        <v>2817</v>
      </c>
      <c r="H2504" s="3">
        <v>43053</v>
      </c>
      <c r="I2504" s="2" t="s">
        <v>19506</v>
      </c>
      <c r="J2504" s="2" t="s">
        <v>13904</v>
      </c>
      <c r="K2504" s="2" t="s">
        <v>19241</v>
      </c>
      <c r="L2504" s="82" t="s">
        <v>19512</v>
      </c>
    </row>
    <row r="2505" spans="1:12" ht="120" customHeight="1" x14ac:dyDescent="0.3">
      <c r="A2505" s="2">
        <v>2501</v>
      </c>
      <c r="B2505" s="66" t="s">
        <v>2790</v>
      </c>
      <c r="C2505" s="66"/>
      <c r="D2505" s="11" t="s">
        <v>2806</v>
      </c>
      <c r="E2505" s="11">
        <v>4450</v>
      </c>
      <c r="F2505" s="3">
        <v>41233</v>
      </c>
      <c r="G2505" s="2" t="s">
        <v>2817</v>
      </c>
      <c r="H2505" s="3">
        <v>43053</v>
      </c>
      <c r="I2505" s="2" t="s">
        <v>19506</v>
      </c>
      <c r="J2505" s="2" t="s">
        <v>13904</v>
      </c>
      <c r="K2505" s="2" t="s">
        <v>19241</v>
      </c>
      <c r="L2505" s="82" t="s">
        <v>19512</v>
      </c>
    </row>
    <row r="2506" spans="1:12" ht="120" customHeight="1" x14ac:dyDescent="0.3">
      <c r="A2506" s="2">
        <v>2502</v>
      </c>
      <c r="B2506" s="66" t="s">
        <v>2790</v>
      </c>
      <c r="C2506" s="66"/>
      <c r="D2506" s="11" t="s">
        <v>2806</v>
      </c>
      <c r="E2506" s="11">
        <v>4450</v>
      </c>
      <c r="F2506" s="3">
        <v>41233</v>
      </c>
      <c r="G2506" s="2" t="s">
        <v>2817</v>
      </c>
      <c r="H2506" s="3">
        <v>43053</v>
      </c>
      <c r="I2506" s="2" t="s">
        <v>19506</v>
      </c>
      <c r="J2506" s="2" t="s">
        <v>13904</v>
      </c>
      <c r="K2506" s="2" t="s">
        <v>19241</v>
      </c>
      <c r="L2506" s="82" t="s">
        <v>19512</v>
      </c>
    </row>
    <row r="2507" spans="1:12" ht="120" customHeight="1" x14ac:dyDescent="0.3">
      <c r="A2507" s="2">
        <v>2503</v>
      </c>
      <c r="B2507" s="66" t="s">
        <v>2791</v>
      </c>
      <c r="C2507" s="66"/>
      <c r="D2507" s="11" t="s">
        <v>2807</v>
      </c>
      <c r="E2507" s="11">
        <v>7876</v>
      </c>
      <c r="F2507" s="3">
        <v>41233</v>
      </c>
      <c r="G2507" s="2" t="s">
        <v>2817</v>
      </c>
      <c r="H2507" s="3">
        <v>43053</v>
      </c>
      <c r="I2507" s="2" t="s">
        <v>19506</v>
      </c>
      <c r="J2507" s="2" t="s">
        <v>13904</v>
      </c>
      <c r="K2507" s="2" t="s">
        <v>19241</v>
      </c>
      <c r="L2507" s="82" t="s">
        <v>19512</v>
      </c>
    </row>
    <row r="2508" spans="1:12" ht="120" customHeight="1" x14ac:dyDescent="0.3">
      <c r="A2508" s="2">
        <v>2504</v>
      </c>
      <c r="B2508" s="66" t="s">
        <v>2791</v>
      </c>
      <c r="C2508" s="66"/>
      <c r="D2508" s="11" t="s">
        <v>2808</v>
      </c>
      <c r="E2508" s="11">
        <v>7889.9</v>
      </c>
      <c r="F2508" s="3">
        <v>41233</v>
      </c>
      <c r="G2508" s="2" t="s">
        <v>2817</v>
      </c>
      <c r="H2508" s="3">
        <v>43053</v>
      </c>
      <c r="I2508" s="2" t="s">
        <v>19506</v>
      </c>
      <c r="J2508" s="2" t="s">
        <v>13904</v>
      </c>
      <c r="K2508" s="2" t="s">
        <v>19241</v>
      </c>
      <c r="L2508" s="82" t="s">
        <v>19512</v>
      </c>
    </row>
    <row r="2509" spans="1:12" ht="120" customHeight="1" x14ac:dyDescent="0.3">
      <c r="A2509" s="2">
        <v>2505</v>
      </c>
      <c r="B2509" s="66" t="s">
        <v>2792</v>
      </c>
      <c r="C2509" s="66"/>
      <c r="D2509" s="11" t="s">
        <v>1278</v>
      </c>
      <c r="E2509" s="11">
        <v>4500</v>
      </c>
      <c r="F2509" s="3">
        <v>41891</v>
      </c>
      <c r="G2509" s="2" t="s">
        <v>2817</v>
      </c>
      <c r="H2509" s="3">
        <v>43053</v>
      </c>
      <c r="I2509" s="2" t="s">
        <v>19506</v>
      </c>
      <c r="J2509" s="2" t="s">
        <v>13904</v>
      </c>
      <c r="K2509" s="2" t="s">
        <v>19241</v>
      </c>
      <c r="L2509" s="82" t="s">
        <v>19512</v>
      </c>
    </row>
    <row r="2510" spans="1:12" ht="120" customHeight="1" x14ac:dyDescent="0.3">
      <c r="A2510" s="2">
        <v>2506</v>
      </c>
      <c r="B2510" s="66" t="s">
        <v>2525</v>
      </c>
      <c r="C2510" s="66"/>
      <c r="D2510" s="11" t="s">
        <v>2673</v>
      </c>
      <c r="E2510" s="11">
        <v>11500</v>
      </c>
      <c r="F2510" s="3">
        <v>41891</v>
      </c>
      <c r="G2510" s="2" t="s">
        <v>2817</v>
      </c>
      <c r="H2510" s="3">
        <v>43053</v>
      </c>
      <c r="I2510" s="2" t="s">
        <v>19506</v>
      </c>
      <c r="J2510" s="2" t="s">
        <v>13904</v>
      </c>
      <c r="K2510" s="2" t="s">
        <v>19241</v>
      </c>
      <c r="L2510" s="82" t="s">
        <v>19512</v>
      </c>
    </row>
    <row r="2511" spans="1:12" ht="120" customHeight="1" x14ac:dyDescent="0.3">
      <c r="A2511" s="2">
        <v>2507</v>
      </c>
      <c r="B2511" s="66" t="s">
        <v>2793</v>
      </c>
      <c r="C2511" s="66"/>
      <c r="D2511" s="11" t="s">
        <v>2809</v>
      </c>
      <c r="E2511" s="11">
        <v>5736</v>
      </c>
      <c r="F2511" s="3">
        <v>41891</v>
      </c>
      <c r="G2511" s="2" t="s">
        <v>2817</v>
      </c>
      <c r="H2511" s="3">
        <v>43053</v>
      </c>
      <c r="I2511" s="2" t="s">
        <v>19506</v>
      </c>
      <c r="J2511" s="2" t="s">
        <v>13904</v>
      </c>
      <c r="K2511" s="2" t="s">
        <v>19241</v>
      </c>
      <c r="L2511" s="82" t="s">
        <v>19512</v>
      </c>
    </row>
    <row r="2512" spans="1:12" ht="120" customHeight="1" x14ac:dyDescent="0.3">
      <c r="A2512" s="2">
        <v>2508</v>
      </c>
      <c r="B2512" s="66" t="s">
        <v>2792</v>
      </c>
      <c r="C2512" s="66"/>
      <c r="D2512" s="11" t="s">
        <v>1278</v>
      </c>
      <c r="E2512" s="11">
        <v>4500</v>
      </c>
      <c r="F2512" s="3">
        <v>41891</v>
      </c>
      <c r="G2512" s="2" t="s">
        <v>2817</v>
      </c>
      <c r="H2512" s="3">
        <v>43053</v>
      </c>
      <c r="I2512" s="2" t="s">
        <v>19506</v>
      </c>
      <c r="J2512" s="2" t="s">
        <v>13904</v>
      </c>
      <c r="K2512" s="2" t="s">
        <v>19241</v>
      </c>
      <c r="L2512" s="82" t="s">
        <v>19512</v>
      </c>
    </row>
    <row r="2513" spans="1:12" ht="120" customHeight="1" x14ac:dyDescent="0.3">
      <c r="A2513" s="2">
        <v>2509</v>
      </c>
      <c r="B2513" s="66" t="s">
        <v>2793</v>
      </c>
      <c r="C2513" s="66"/>
      <c r="D2513" s="11" t="s">
        <v>2809</v>
      </c>
      <c r="E2513" s="11">
        <v>5736</v>
      </c>
      <c r="F2513" s="3">
        <v>41891</v>
      </c>
      <c r="G2513" s="2" t="s">
        <v>2817</v>
      </c>
      <c r="H2513" s="3">
        <v>43053</v>
      </c>
      <c r="I2513" s="2" t="s">
        <v>19506</v>
      </c>
      <c r="J2513" s="2" t="s">
        <v>13904</v>
      </c>
      <c r="K2513" s="2" t="s">
        <v>19241</v>
      </c>
      <c r="L2513" s="82" t="s">
        <v>19512</v>
      </c>
    </row>
    <row r="2514" spans="1:12" ht="120" customHeight="1" x14ac:dyDescent="0.3">
      <c r="A2514" s="2">
        <v>2510</v>
      </c>
      <c r="B2514" s="66" t="s">
        <v>2794</v>
      </c>
      <c r="C2514" s="66"/>
      <c r="D2514" s="11" t="s">
        <v>2734</v>
      </c>
      <c r="E2514" s="11">
        <v>9000</v>
      </c>
      <c r="F2514" s="3">
        <v>41891</v>
      </c>
      <c r="G2514" s="2" t="s">
        <v>2817</v>
      </c>
      <c r="H2514" s="3">
        <v>43053</v>
      </c>
      <c r="I2514" s="2" t="s">
        <v>19506</v>
      </c>
      <c r="J2514" s="2" t="s">
        <v>13904</v>
      </c>
      <c r="K2514" s="2" t="s">
        <v>19241</v>
      </c>
      <c r="L2514" s="82" t="s">
        <v>19512</v>
      </c>
    </row>
    <row r="2515" spans="1:12" ht="120" customHeight="1" x14ac:dyDescent="0.3">
      <c r="A2515" s="2">
        <v>2511</v>
      </c>
      <c r="B2515" s="66" t="s">
        <v>2794</v>
      </c>
      <c r="C2515" s="66"/>
      <c r="D2515" s="11" t="s">
        <v>2734</v>
      </c>
      <c r="E2515" s="11">
        <v>9000</v>
      </c>
      <c r="F2515" s="3">
        <v>41891</v>
      </c>
      <c r="G2515" s="2" t="s">
        <v>2817</v>
      </c>
      <c r="H2515" s="3">
        <v>43053</v>
      </c>
      <c r="I2515" s="2" t="s">
        <v>19506</v>
      </c>
      <c r="J2515" s="2" t="s">
        <v>13904</v>
      </c>
      <c r="K2515" s="2" t="s">
        <v>19241</v>
      </c>
      <c r="L2515" s="82" t="s">
        <v>19512</v>
      </c>
    </row>
    <row r="2516" spans="1:12" ht="120" customHeight="1" x14ac:dyDescent="0.3">
      <c r="A2516" s="2">
        <v>2512</v>
      </c>
      <c r="B2516" s="66" t="s">
        <v>2795</v>
      </c>
      <c r="C2516" s="66"/>
      <c r="D2516" s="11" t="s">
        <v>2810</v>
      </c>
      <c r="E2516" s="11">
        <v>39730</v>
      </c>
      <c r="F2516" s="3">
        <v>41891</v>
      </c>
      <c r="G2516" s="2" t="s">
        <v>2817</v>
      </c>
      <c r="H2516" s="3">
        <v>43053</v>
      </c>
      <c r="I2516" s="2" t="s">
        <v>19506</v>
      </c>
      <c r="J2516" s="2" t="s">
        <v>13904</v>
      </c>
      <c r="K2516" s="2" t="s">
        <v>19241</v>
      </c>
      <c r="L2516" s="82" t="s">
        <v>19512</v>
      </c>
    </row>
    <row r="2517" spans="1:12" ht="120" customHeight="1" x14ac:dyDescent="0.3">
      <c r="A2517" s="2">
        <v>2513</v>
      </c>
      <c r="B2517" s="66" t="s">
        <v>2796</v>
      </c>
      <c r="C2517" s="66"/>
      <c r="D2517" s="11" t="s">
        <v>2811</v>
      </c>
      <c r="E2517" s="11">
        <v>1769.28</v>
      </c>
      <c r="F2517" s="3">
        <v>41891</v>
      </c>
      <c r="G2517" s="2" t="s">
        <v>2817</v>
      </c>
      <c r="H2517" s="3">
        <v>43053</v>
      </c>
      <c r="I2517" s="2" t="s">
        <v>19506</v>
      </c>
      <c r="J2517" s="2" t="s">
        <v>13904</v>
      </c>
      <c r="K2517" s="2" t="s">
        <v>19241</v>
      </c>
      <c r="L2517" s="82" t="s">
        <v>19512</v>
      </c>
    </row>
    <row r="2518" spans="1:12" ht="120" customHeight="1" x14ac:dyDescent="0.3">
      <c r="A2518" s="2">
        <v>2514</v>
      </c>
      <c r="B2518" s="66" t="s">
        <v>2797</v>
      </c>
      <c r="C2518" s="66"/>
      <c r="D2518" s="11" t="s">
        <v>2275</v>
      </c>
      <c r="E2518" s="11">
        <v>13400</v>
      </c>
      <c r="F2518" s="3">
        <v>41891</v>
      </c>
      <c r="G2518" s="2" t="s">
        <v>2817</v>
      </c>
      <c r="H2518" s="3">
        <v>43053</v>
      </c>
      <c r="I2518" s="2" t="s">
        <v>19506</v>
      </c>
      <c r="J2518" s="2" t="s">
        <v>13904</v>
      </c>
      <c r="K2518" s="2" t="s">
        <v>19241</v>
      </c>
      <c r="L2518" s="82" t="s">
        <v>19512</v>
      </c>
    </row>
    <row r="2519" spans="1:12" ht="120" customHeight="1" x14ac:dyDescent="0.3">
      <c r="A2519" s="2">
        <v>2515</v>
      </c>
      <c r="B2519" s="66" t="s">
        <v>2798</v>
      </c>
      <c r="C2519" s="66"/>
      <c r="D2519" s="11" t="s">
        <v>2812</v>
      </c>
      <c r="E2519" s="11">
        <v>12360</v>
      </c>
      <c r="F2519" s="3">
        <v>41891</v>
      </c>
      <c r="G2519" s="2" t="s">
        <v>2817</v>
      </c>
      <c r="H2519" s="3">
        <v>43053</v>
      </c>
      <c r="I2519" s="2" t="s">
        <v>19506</v>
      </c>
      <c r="J2519" s="2" t="s">
        <v>13904</v>
      </c>
      <c r="K2519" s="2" t="s">
        <v>19241</v>
      </c>
      <c r="L2519" s="82" t="s">
        <v>19512</v>
      </c>
    </row>
    <row r="2520" spans="1:12" ht="120" customHeight="1" x14ac:dyDescent="0.3">
      <c r="A2520" s="2">
        <v>2516</v>
      </c>
      <c r="B2520" s="66" t="s">
        <v>2799</v>
      </c>
      <c r="C2520" s="66"/>
      <c r="D2520" s="11" t="s">
        <v>2813</v>
      </c>
      <c r="E2520" s="11">
        <v>8499</v>
      </c>
      <c r="F2520" s="3">
        <v>41891</v>
      </c>
      <c r="G2520" s="2" t="s">
        <v>2817</v>
      </c>
      <c r="H2520" s="3">
        <v>43053</v>
      </c>
      <c r="I2520" s="2" t="s">
        <v>19506</v>
      </c>
      <c r="J2520" s="2" t="s">
        <v>13904</v>
      </c>
      <c r="K2520" s="2" t="s">
        <v>19241</v>
      </c>
      <c r="L2520" s="82" t="s">
        <v>19512</v>
      </c>
    </row>
    <row r="2521" spans="1:12" ht="120" customHeight="1" x14ac:dyDescent="0.3">
      <c r="A2521" s="2">
        <v>2517</v>
      </c>
      <c r="B2521" s="66" t="s">
        <v>2800</v>
      </c>
      <c r="C2521" s="66"/>
      <c r="D2521" s="11" t="s">
        <v>2814</v>
      </c>
      <c r="E2521" s="11">
        <v>26999</v>
      </c>
      <c r="F2521" s="3">
        <v>41891</v>
      </c>
      <c r="G2521" s="2" t="s">
        <v>2817</v>
      </c>
      <c r="H2521" s="3">
        <v>43053</v>
      </c>
      <c r="I2521" s="2" t="s">
        <v>19506</v>
      </c>
      <c r="J2521" s="2" t="s">
        <v>13904</v>
      </c>
      <c r="K2521" s="2" t="s">
        <v>19241</v>
      </c>
      <c r="L2521" s="82" t="s">
        <v>19512</v>
      </c>
    </row>
    <row r="2522" spans="1:12" ht="120" customHeight="1" x14ac:dyDescent="0.3">
      <c r="A2522" s="2">
        <v>2518</v>
      </c>
      <c r="B2522" s="66" t="s">
        <v>2801</v>
      </c>
      <c r="C2522" s="66"/>
      <c r="D2522" s="11" t="s">
        <v>2815</v>
      </c>
      <c r="E2522" s="11">
        <v>5116.6000000000004</v>
      </c>
      <c r="F2522" s="3">
        <v>41207</v>
      </c>
      <c r="G2522" s="2" t="s">
        <v>2817</v>
      </c>
      <c r="H2522" s="3">
        <v>43053</v>
      </c>
      <c r="I2522" s="2" t="s">
        <v>19506</v>
      </c>
      <c r="J2522" s="2" t="s">
        <v>13904</v>
      </c>
      <c r="K2522" s="2" t="s">
        <v>19241</v>
      </c>
      <c r="L2522" s="82" t="s">
        <v>19512</v>
      </c>
    </row>
    <row r="2523" spans="1:12" ht="120" customHeight="1" x14ac:dyDescent="0.3">
      <c r="A2523" s="2">
        <v>2519</v>
      </c>
      <c r="B2523" s="66" t="s">
        <v>2801</v>
      </c>
      <c r="C2523" s="66"/>
      <c r="D2523" s="11" t="s">
        <v>2815</v>
      </c>
      <c r="E2523" s="11">
        <v>5116.6000000000004</v>
      </c>
      <c r="F2523" s="3">
        <v>41207</v>
      </c>
      <c r="G2523" s="2" t="s">
        <v>2817</v>
      </c>
      <c r="H2523" s="3">
        <v>43053</v>
      </c>
      <c r="I2523" s="2" t="s">
        <v>19506</v>
      </c>
      <c r="J2523" s="2" t="s">
        <v>13904</v>
      </c>
      <c r="K2523" s="2" t="s">
        <v>19241</v>
      </c>
      <c r="L2523" s="82" t="s">
        <v>19512</v>
      </c>
    </row>
    <row r="2524" spans="1:12" ht="120" customHeight="1" x14ac:dyDescent="0.3">
      <c r="A2524" s="2">
        <v>2520</v>
      </c>
      <c r="B2524" s="66" t="s">
        <v>2801</v>
      </c>
      <c r="C2524" s="66"/>
      <c r="D2524" s="11" t="s">
        <v>2815</v>
      </c>
      <c r="E2524" s="11">
        <v>5116.6000000000004</v>
      </c>
      <c r="F2524" s="3">
        <v>41207</v>
      </c>
      <c r="G2524" s="2" t="s">
        <v>2817</v>
      </c>
      <c r="H2524" s="3">
        <v>43053</v>
      </c>
      <c r="I2524" s="2" t="s">
        <v>19506</v>
      </c>
      <c r="J2524" s="2" t="s">
        <v>13904</v>
      </c>
      <c r="K2524" s="2" t="s">
        <v>19241</v>
      </c>
      <c r="L2524" s="82" t="s">
        <v>19512</v>
      </c>
    </row>
    <row r="2525" spans="1:12" ht="120" customHeight="1" x14ac:dyDescent="0.3">
      <c r="A2525" s="2">
        <v>2521</v>
      </c>
      <c r="B2525" s="66" t="s">
        <v>2801</v>
      </c>
      <c r="C2525" s="66"/>
      <c r="D2525" s="11" t="s">
        <v>2815</v>
      </c>
      <c r="E2525" s="11">
        <v>5116.6000000000004</v>
      </c>
      <c r="F2525" s="3">
        <v>41207</v>
      </c>
      <c r="G2525" s="2" t="s">
        <v>2817</v>
      </c>
      <c r="H2525" s="3">
        <v>43053</v>
      </c>
      <c r="I2525" s="2" t="s">
        <v>19506</v>
      </c>
      <c r="J2525" s="2" t="s">
        <v>13904</v>
      </c>
      <c r="K2525" s="2" t="s">
        <v>19241</v>
      </c>
      <c r="L2525" s="82" t="s">
        <v>19512</v>
      </c>
    </row>
    <row r="2526" spans="1:12" ht="120" customHeight="1" x14ac:dyDescent="0.3">
      <c r="A2526" s="2">
        <v>2522</v>
      </c>
      <c r="B2526" s="66" t="s">
        <v>2801</v>
      </c>
      <c r="C2526" s="66"/>
      <c r="D2526" s="11" t="s">
        <v>2815</v>
      </c>
      <c r="E2526" s="11">
        <v>5116.6000000000004</v>
      </c>
      <c r="F2526" s="3">
        <v>41207</v>
      </c>
      <c r="G2526" s="2" t="s">
        <v>2817</v>
      </c>
      <c r="H2526" s="3">
        <v>43053</v>
      </c>
      <c r="I2526" s="2" t="s">
        <v>19506</v>
      </c>
      <c r="J2526" s="2" t="s">
        <v>13904</v>
      </c>
      <c r="K2526" s="2" t="s">
        <v>19241</v>
      </c>
      <c r="L2526" s="82" t="s">
        <v>19512</v>
      </c>
    </row>
    <row r="2527" spans="1:12" ht="120" customHeight="1" x14ac:dyDescent="0.3">
      <c r="A2527" s="2">
        <v>2523</v>
      </c>
      <c r="B2527" s="66" t="s">
        <v>2801</v>
      </c>
      <c r="C2527" s="66"/>
      <c r="D2527" s="11" t="s">
        <v>2815</v>
      </c>
      <c r="E2527" s="11">
        <v>5116.6000000000004</v>
      </c>
      <c r="F2527" s="3">
        <v>41207</v>
      </c>
      <c r="G2527" s="2" t="s">
        <v>2817</v>
      </c>
      <c r="H2527" s="3">
        <v>43053</v>
      </c>
      <c r="I2527" s="2" t="s">
        <v>19506</v>
      </c>
      <c r="J2527" s="2" t="s">
        <v>13904</v>
      </c>
      <c r="K2527" s="2" t="s">
        <v>19241</v>
      </c>
      <c r="L2527" s="82" t="s">
        <v>19512</v>
      </c>
    </row>
    <row r="2528" spans="1:12" ht="120" customHeight="1" x14ac:dyDescent="0.3">
      <c r="A2528" s="2">
        <v>2524</v>
      </c>
      <c r="B2528" s="66" t="s">
        <v>2801</v>
      </c>
      <c r="C2528" s="66"/>
      <c r="D2528" s="11" t="s">
        <v>2815</v>
      </c>
      <c r="E2528" s="11">
        <v>5116.6000000000004</v>
      </c>
      <c r="F2528" s="3">
        <v>41207</v>
      </c>
      <c r="G2528" s="2" t="s">
        <v>2817</v>
      </c>
      <c r="H2528" s="3">
        <v>43053</v>
      </c>
      <c r="I2528" s="2" t="s">
        <v>19506</v>
      </c>
      <c r="J2528" s="2" t="s">
        <v>13904</v>
      </c>
      <c r="K2528" s="2" t="s">
        <v>19241</v>
      </c>
      <c r="L2528" s="82" t="s">
        <v>19512</v>
      </c>
    </row>
    <row r="2529" spans="1:15" ht="120" customHeight="1" x14ac:dyDescent="0.3">
      <c r="A2529" s="2">
        <v>2525</v>
      </c>
      <c r="B2529" s="66" t="s">
        <v>2801</v>
      </c>
      <c r="C2529" s="66"/>
      <c r="D2529" s="11" t="s">
        <v>2815</v>
      </c>
      <c r="E2529" s="11">
        <v>5116.6000000000004</v>
      </c>
      <c r="F2529" s="3">
        <v>41207</v>
      </c>
      <c r="G2529" s="2" t="s">
        <v>2817</v>
      </c>
      <c r="H2529" s="3">
        <v>43053</v>
      </c>
      <c r="I2529" s="2" t="s">
        <v>19506</v>
      </c>
      <c r="J2529" s="2" t="s">
        <v>13904</v>
      </c>
      <c r="K2529" s="2" t="s">
        <v>19241</v>
      </c>
      <c r="L2529" s="82" t="s">
        <v>19512</v>
      </c>
    </row>
    <row r="2530" spans="1:15" ht="120" customHeight="1" x14ac:dyDescent="0.3">
      <c r="A2530" s="2">
        <v>2526</v>
      </c>
      <c r="B2530" s="66" t="s">
        <v>2801</v>
      </c>
      <c r="C2530" s="66"/>
      <c r="D2530" s="11" t="s">
        <v>2815</v>
      </c>
      <c r="E2530" s="11">
        <v>5116.6000000000004</v>
      </c>
      <c r="F2530" s="3">
        <v>41207</v>
      </c>
      <c r="G2530" s="2" t="s">
        <v>2817</v>
      </c>
      <c r="H2530" s="3">
        <v>43053</v>
      </c>
      <c r="I2530" s="2" t="s">
        <v>19506</v>
      </c>
      <c r="J2530" s="2" t="s">
        <v>13904</v>
      </c>
      <c r="K2530" s="2" t="s">
        <v>19241</v>
      </c>
      <c r="L2530" s="82" t="s">
        <v>19512</v>
      </c>
    </row>
    <row r="2531" spans="1:15" ht="120" customHeight="1" x14ac:dyDescent="0.3">
      <c r="A2531" s="2">
        <v>2527</v>
      </c>
      <c r="B2531" s="66" t="s">
        <v>2801</v>
      </c>
      <c r="C2531" s="66"/>
      <c r="D2531" s="11" t="s">
        <v>2815</v>
      </c>
      <c r="E2531" s="11">
        <v>5116.6000000000004</v>
      </c>
      <c r="F2531" s="3">
        <v>41207</v>
      </c>
      <c r="G2531" s="2" t="s">
        <v>2817</v>
      </c>
      <c r="H2531" s="3">
        <v>43053</v>
      </c>
      <c r="I2531" s="2" t="s">
        <v>19506</v>
      </c>
      <c r="J2531" s="2" t="s">
        <v>13904</v>
      </c>
      <c r="K2531" s="2" t="s">
        <v>19241</v>
      </c>
      <c r="L2531" s="82" t="s">
        <v>19512</v>
      </c>
    </row>
    <row r="2532" spans="1:15" ht="120" customHeight="1" x14ac:dyDescent="0.3">
      <c r="A2532" s="2">
        <v>2528</v>
      </c>
      <c r="B2532" s="66" t="s">
        <v>2801</v>
      </c>
      <c r="C2532" s="66"/>
      <c r="D2532" s="11" t="s">
        <v>2815</v>
      </c>
      <c r="E2532" s="11">
        <v>5116.6000000000004</v>
      </c>
      <c r="F2532" s="3">
        <v>41207</v>
      </c>
      <c r="G2532" s="2" t="s">
        <v>2817</v>
      </c>
      <c r="H2532" s="3">
        <v>43053</v>
      </c>
      <c r="I2532" s="2" t="s">
        <v>19506</v>
      </c>
      <c r="J2532" s="2" t="s">
        <v>13904</v>
      </c>
      <c r="K2532" s="2" t="s">
        <v>19241</v>
      </c>
      <c r="L2532" s="82" t="s">
        <v>19512</v>
      </c>
    </row>
    <row r="2533" spans="1:15" ht="120" customHeight="1" x14ac:dyDescent="0.3">
      <c r="A2533" s="2">
        <v>2529</v>
      </c>
      <c r="B2533" s="66" t="s">
        <v>2801</v>
      </c>
      <c r="C2533" s="66"/>
      <c r="D2533" s="11" t="s">
        <v>2815</v>
      </c>
      <c r="E2533" s="11">
        <v>5116.6000000000004</v>
      </c>
      <c r="F2533" s="3">
        <v>41207</v>
      </c>
      <c r="G2533" s="2" t="s">
        <v>2817</v>
      </c>
      <c r="H2533" s="3">
        <v>43053</v>
      </c>
      <c r="I2533" s="2" t="s">
        <v>19506</v>
      </c>
      <c r="J2533" s="2" t="s">
        <v>13904</v>
      </c>
      <c r="K2533" s="2" t="s">
        <v>19241</v>
      </c>
      <c r="L2533" s="82" t="s">
        <v>19512</v>
      </c>
    </row>
    <row r="2534" spans="1:15" ht="120" customHeight="1" x14ac:dyDescent="0.3">
      <c r="A2534" s="2">
        <v>2530</v>
      </c>
      <c r="B2534" s="66" t="s">
        <v>2802</v>
      </c>
      <c r="C2534" s="66"/>
      <c r="D2534" s="11" t="s">
        <v>2816</v>
      </c>
      <c r="E2534" s="11">
        <v>3220</v>
      </c>
      <c r="F2534" s="3">
        <v>41207</v>
      </c>
      <c r="G2534" s="2" t="s">
        <v>2817</v>
      </c>
      <c r="H2534" s="3">
        <v>43053</v>
      </c>
      <c r="I2534" s="2" t="s">
        <v>19506</v>
      </c>
      <c r="J2534" s="2" t="s">
        <v>13904</v>
      </c>
      <c r="K2534" s="2" t="s">
        <v>19241</v>
      </c>
      <c r="L2534" s="82" t="s">
        <v>19512</v>
      </c>
    </row>
    <row r="2535" spans="1:15" ht="120" customHeight="1" x14ac:dyDescent="0.3">
      <c r="A2535" s="2">
        <v>2531</v>
      </c>
      <c r="B2535" s="66" t="s">
        <v>2802</v>
      </c>
      <c r="C2535" s="66"/>
      <c r="D2535" s="11" t="s">
        <v>2816</v>
      </c>
      <c r="E2535" s="11">
        <v>3220</v>
      </c>
      <c r="F2535" s="3">
        <v>41207</v>
      </c>
      <c r="G2535" s="2" t="s">
        <v>2817</v>
      </c>
      <c r="H2535" s="3">
        <v>43053</v>
      </c>
      <c r="I2535" s="2" t="s">
        <v>19506</v>
      </c>
      <c r="J2535" s="2" t="s">
        <v>13904</v>
      </c>
      <c r="K2535" s="2" t="s">
        <v>19241</v>
      </c>
      <c r="L2535" s="82" t="s">
        <v>19512</v>
      </c>
    </row>
    <row r="2536" spans="1:15" ht="120" customHeight="1" x14ac:dyDescent="0.3">
      <c r="A2536" s="2">
        <v>2532</v>
      </c>
      <c r="B2536" s="66" t="s">
        <v>2802</v>
      </c>
      <c r="C2536" s="66"/>
      <c r="D2536" s="11" t="s">
        <v>2816</v>
      </c>
      <c r="E2536" s="11">
        <v>3220</v>
      </c>
      <c r="F2536" s="3">
        <v>41207</v>
      </c>
      <c r="G2536" s="2" t="s">
        <v>2817</v>
      </c>
      <c r="H2536" s="3">
        <v>43053</v>
      </c>
      <c r="I2536" s="2" t="s">
        <v>19506</v>
      </c>
      <c r="J2536" s="2" t="s">
        <v>13904</v>
      </c>
      <c r="K2536" s="2" t="s">
        <v>19241</v>
      </c>
      <c r="L2536" s="82" t="s">
        <v>19512</v>
      </c>
    </row>
    <row r="2537" spans="1:15" ht="120" customHeight="1" x14ac:dyDescent="0.3">
      <c r="A2537" s="2">
        <v>2533</v>
      </c>
      <c r="B2537" s="66" t="s">
        <v>2802</v>
      </c>
      <c r="C2537" s="66"/>
      <c r="D2537" s="11" t="s">
        <v>2816</v>
      </c>
      <c r="E2537" s="11">
        <v>3220</v>
      </c>
      <c r="F2537" s="3">
        <v>41207</v>
      </c>
      <c r="G2537" s="2" t="s">
        <v>2817</v>
      </c>
      <c r="H2537" s="3">
        <v>43053</v>
      </c>
      <c r="I2537" s="2" t="s">
        <v>19506</v>
      </c>
      <c r="J2537" s="2" t="s">
        <v>13904</v>
      </c>
      <c r="K2537" s="2" t="s">
        <v>19241</v>
      </c>
      <c r="L2537" s="82" t="s">
        <v>19512</v>
      </c>
    </row>
    <row r="2538" spans="1:15" ht="120" customHeight="1" x14ac:dyDescent="0.3">
      <c r="A2538" s="2">
        <v>2534</v>
      </c>
      <c r="B2538" s="66" t="s">
        <v>2802</v>
      </c>
      <c r="C2538" s="66"/>
      <c r="D2538" s="11" t="s">
        <v>2816</v>
      </c>
      <c r="E2538" s="11">
        <v>3220</v>
      </c>
      <c r="F2538" s="3">
        <v>41207</v>
      </c>
      <c r="G2538" s="2" t="s">
        <v>2817</v>
      </c>
      <c r="H2538" s="3">
        <v>43053</v>
      </c>
      <c r="I2538" s="2" t="s">
        <v>19506</v>
      </c>
      <c r="J2538" s="2" t="s">
        <v>13904</v>
      </c>
      <c r="K2538" s="2" t="s">
        <v>19241</v>
      </c>
      <c r="L2538" s="82" t="s">
        <v>19512</v>
      </c>
    </row>
    <row r="2539" spans="1:15" ht="120" customHeight="1" x14ac:dyDescent="0.3">
      <c r="A2539" s="2">
        <v>2535</v>
      </c>
      <c r="B2539" s="66" t="s">
        <v>2802</v>
      </c>
      <c r="C2539" s="66"/>
      <c r="D2539" s="11" t="s">
        <v>2816</v>
      </c>
      <c r="E2539" s="11">
        <v>3220</v>
      </c>
      <c r="F2539" s="3">
        <v>41207</v>
      </c>
      <c r="G2539" s="2" t="s">
        <v>2817</v>
      </c>
      <c r="H2539" s="3">
        <v>43053</v>
      </c>
      <c r="I2539" s="2" t="s">
        <v>19506</v>
      </c>
      <c r="J2539" s="2" t="s">
        <v>13904</v>
      </c>
      <c r="K2539" s="2" t="s">
        <v>19241</v>
      </c>
      <c r="L2539" s="82" t="s">
        <v>19512</v>
      </c>
    </row>
    <row r="2540" spans="1:15" ht="120" customHeight="1" x14ac:dyDescent="0.3">
      <c r="A2540" s="2">
        <v>2536</v>
      </c>
      <c r="B2540" s="66" t="s">
        <v>2802</v>
      </c>
      <c r="C2540" s="66"/>
      <c r="D2540" s="11" t="s">
        <v>2816</v>
      </c>
      <c r="E2540" s="11">
        <v>3220</v>
      </c>
      <c r="F2540" s="3">
        <v>41207</v>
      </c>
      <c r="G2540" s="2" t="s">
        <v>2817</v>
      </c>
      <c r="H2540" s="3">
        <v>43053</v>
      </c>
      <c r="I2540" s="2" t="s">
        <v>19506</v>
      </c>
      <c r="J2540" s="2" t="s">
        <v>13904</v>
      </c>
      <c r="K2540" s="2" t="s">
        <v>19241</v>
      </c>
      <c r="L2540" s="82" t="s">
        <v>19512</v>
      </c>
    </row>
    <row r="2541" spans="1:15" ht="120" customHeight="1" x14ac:dyDescent="0.3">
      <c r="A2541" s="2">
        <v>2537</v>
      </c>
      <c r="B2541" s="66" t="s">
        <v>2802</v>
      </c>
      <c r="C2541" s="66"/>
      <c r="D2541" s="11" t="s">
        <v>2816</v>
      </c>
      <c r="E2541" s="11">
        <v>3220</v>
      </c>
      <c r="F2541" s="3">
        <v>41207</v>
      </c>
      <c r="G2541" s="2" t="s">
        <v>2817</v>
      </c>
      <c r="H2541" s="3">
        <v>43053</v>
      </c>
      <c r="I2541" s="2" t="s">
        <v>19506</v>
      </c>
      <c r="J2541" s="2" t="s">
        <v>13904</v>
      </c>
      <c r="K2541" s="2" t="s">
        <v>19241</v>
      </c>
      <c r="L2541" s="82" t="s">
        <v>19512</v>
      </c>
    </row>
    <row r="2542" spans="1:15" ht="120" customHeight="1" x14ac:dyDescent="0.3">
      <c r="A2542" s="2">
        <v>2538</v>
      </c>
      <c r="B2542" s="66" t="s">
        <v>2802</v>
      </c>
      <c r="C2542" s="66"/>
      <c r="D2542" s="11" t="s">
        <v>2816</v>
      </c>
      <c r="E2542" s="11">
        <v>3220</v>
      </c>
      <c r="F2542" s="3">
        <v>41207</v>
      </c>
      <c r="G2542" s="2" t="s">
        <v>2817</v>
      </c>
      <c r="H2542" s="3">
        <v>43053</v>
      </c>
      <c r="I2542" s="2" t="s">
        <v>19506</v>
      </c>
      <c r="J2542" s="2" t="s">
        <v>13904</v>
      </c>
      <c r="K2542" s="2" t="s">
        <v>19241</v>
      </c>
      <c r="L2542" s="82" t="s">
        <v>19512</v>
      </c>
    </row>
    <row r="2543" spans="1:15" ht="120" customHeight="1" x14ac:dyDescent="0.3">
      <c r="A2543" s="2">
        <v>2539</v>
      </c>
      <c r="B2543" s="66" t="s">
        <v>2802</v>
      </c>
      <c r="C2543" s="66"/>
      <c r="D2543" s="11" t="s">
        <v>2816</v>
      </c>
      <c r="E2543" s="11">
        <v>3220</v>
      </c>
      <c r="F2543" s="3">
        <v>41207</v>
      </c>
      <c r="G2543" s="2" t="s">
        <v>2817</v>
      </c>
      <c r="H2543" s="3">
        <v>43053</v>
      </c>
      <c r="I2543" s="2" t="s">
        <v>19506</v>
      </c>
      <c r="J2543" s="2" t="s">
        <v>13904</v>
      </c>
      <c r="K2543" s="2" t="s">
        <v>19241</v>
      </c>
      <c r="L2543" s="82" t="s">
        <v>19512</v>
      </c>
    </row>
    <row r="2544" spans="1:15" s="19" customFormat="1" ht="108" customHeight="1" x14ac:dyDescent="0.3">
      <c r="A2544" s="2">
        <v>2540</v>
      </c>
      <c r="B2544" s="66" t="s">
        <v>2413</v>
      </c>
      <c r="C2544" s="66"/>
      <c r="D2544" s="11" t="s">
        <v>2821</v>
      </c>
      <c r="E2544" s="11" t="s">
        <v>2821</v>
      </c>
      <c r="F2544" s="3" t="s">
        <v>2822</v>
      </c>
      <c r="G2544" s="2" t="s">
        <v>2817</v>
      </c>
      <c r="H2544" s="3">
        <v>43053</v>
      </c>
      <c r="I2544" s="2" t="s">
        <v>19506</v>
      </c>
      <c r="J2544" s="2" t="s">
        <v>13904</v>
      </c>
      <c r="K2544" s="2" t="s">
        <v>19264</v>
      </c>
      <c r="L2544" s="82" t="s">
        <v>19512</v>
      </c>
      <c r="M2544" s="18"/>
      <c r="N2544" s="18"/>
      <c r="O2544" s="18"/>
    </row>
    <row r="2545" spans="1:12" ht="108" customHeight="1" x14ac:dyDescent="0.3">
      <c r="A2545" s="2">
        <v>2541</v>
      </c>
      <c r="B2545" s="66" t="s">
        <v>1280</v>
      </c>
      <c r="C2545" s="66"/>
      <c r="D2545" s="11" t="s">
        <v>2823</v>
      </c>
      <c r="E2545" s="11" t="s">
        <v>2824</v>
      </c>
      <c r="F2545" s="3" t="s">
        <v>866</v>
      </c>
      <c r="G2545" s="2" t="s">
        <v>2817</v>
      </c>
      <c r="H2545" s="3">
        <v>43053</v>
      </c>
      <c r="I2545" s="2" t="s">
        <v>19506</v>
      </c>
      <c r="J2545" s="2" t="s">
        <v>13904</v>
      </c>
      <c r="K2545" s="2" t="s">
        <v>19264</v>
      </c>
      <c r="L2545" s="82" t="s">
        <v>19512</v>
      </c>
    </row>
    <row r="2546" spans="1:12" ht="108" customHeight="1" x14ac:dyDescent="0.3">
      <c r="A2546" s="2">
        <v>2542</v>
      </c>
      <c r="B2546" s="66" t="s">
        <v>847</v>
      </c>
      <c r="C2546" s="66"/>
      <c r="D2546" s="11" t="s">
        <v>2825</v>
      </c>
      <c r="E2546" s="11" t="s">
        <v>2825</v>
      </c>
      <c r="F2546" s="3" t="s">
        <v>2826</v>
      </c>
      <c r="G2546" s="2" t="s">
        <v>2817</v>
      </c>
      <c r="H2546" s="3">
        <v>43053</v>
      </c>
      <c r="I2546" s="2" t="s">
        <v>19506</v>
      </c>
      <c r="J2546" s="2" t="s">
        <v>13904</v>
      </c>
      <c r="K2546" s="2" t="s">
        <v>19264</v>
      </c>
      <c r="L2546" s="82" t="s">
        <v>19512</v>
      </c>
    </row>
    <row r="2547" spans="1:12" ht="108" customHeight="1" x14ac:dyDescent="0.3">
      <c r="A2547" s="2">
        <v>2543</v>
      </c>
      <c r="B2547" s="66" t="s">
        <v>2818</v>
      </c>
      <c r="C2547" s="66"/>
      <c r="D2547" s="11" t="s">
        <v>2827</v>
      </c>
      <c r="E2547" s="11" t="s">
        <v>2827</v>
      </c>
      <c r="F2547" s="3" t="s">
        <v>2826</v>
      </c>
      <c r="G2547" s="2" t="s">
        <v>2817</v>
      </c>
      <c r="H2547" s="3">
        <v>43053</v>
      </c>
      <c r="I2547" s="2" t="s">
        <v>19506</v>
      </c>
      <c r="J2547" s="2" t="s">
        <v>13904</v>
      </c>
      <c r="K2547" s="2" t="s">
        <v>19264</v>
      </c>
      <c r="L2547" s="82" t="s">
        <v>19512</v>
      </c>
    </row>
    <row r="2548" spans="1:12" ht="108" customHeight="1" x14ac:dyDescent="0.3">
      <c r="A2548" s="2">
        <v>2544</v>
      </c>
      <c r="B2548" s="66" t="s">
        <v>2819</v>
      </c>
      <c r="C2548" s="66"/>
      <c r="D2548" s="11" t="s">
        <v>2828</v>
      </c>
      <c r="E2548" s="11" t="s">
        <v>2828</v>
      </c>
      <c r="F2548" s="3" t="s">
        <v>2829</v>
      </c>
      <c r="G2548" s="2" t="s">
        <v>2817</v>
      </c>
      <c r="H2548" s="3">
        <v>43053</v>
      </c>
      <c r="I2548" s="2" t="s">
        <v>19506</v>
      </c>
      <c r="J2548" s="2" t="s">
        <v>13904</v>
      </c>
      <c r="K2548" s="2" t="s">
        <v>19264</v>
      </c>
      <c r="L2548" s="82" t="s">
        <v>19512</v>
      </c>
    </row>
    <row r="2549" spans="1:12" ht="108" customHeight="1" x14ac:dyDescent="0.3">
      <c r="A2549" s="2">
        <v>2545</v>
      </c>
      <c r="B2549" s="66" t="s">
        <v>223</v>
      </c>
      <c r="C2549" s="66"/>
      <c r="D2549" s="11" t="s">
        <v>2830</v>
      </c>
      <c r="E2549" s="11" t="s">
        <v>2830</v>
      </c>
      <c r="F2549" s="3" t="s">
        <v>2826</v>
      </c>
      <c r="G2549" s="2" t="s">
        <v>2817</v>
      </c>
      <c r="H2549" s="3">
        <v>43053</v>
      </c>
      <c r="I2549" s="2" t="s">
        <v>19506</v>
      </c>
      <c r="J2549" s="2" t="s">
        <v>13904</v>
      </c>
      <c r="K2549" s="2" t="s">
        <v>19264</v>
      </c>
      <c r="L2549" s="82" t="s">
        <v>19512</v>
      </c>
    </row>
    <row r="2550" spans="1:12" ht="108" customHeight="1" x14ac:dyDescent="0.3">
      <c r="A2550" s="2">
        <v>2546</v>
      </c>
      <c r="B2550" s="66" t="s">
        <v>2820</v>
      </c>
      <c r="C2550" s="66"/>
      <c r="D2550" s="11" t="s">
        <v>2831</v>
      </c>
      <c r="E2550" s="11" t="s">
        <v>2831</v>
      </c>
      <c r="F2550" s="3" t="s">
        <v>866</v>
      </c>
      <c r="G2550" s="2" t="s">
        <v>2817</v>
      </c>
      <c r="H2550" s="3">
        <v>43053</v>
      </c>
      <c r="I2550" s="2" t="s">
        <v>19506</v>
      </c>
      <c r="J2550" s="2" t="s">
        <v>13904</v>
      </c>
      <c r="K2550" s="2" t="s">
        <v>19264</v>
      </c>
      <c r="L2550" s="82" t="s">
        <v>19512</v>
      </c>
    </row>
    <row r="2551" spans="1:12" ht="108" customHeight="1" x14ac:dyDescent="0.3">
      <c r="A2551" s="2">
        <v>2547</v>
      </c>
      <c r="B2551" s="66" t="s">
        <v>1978</v>
      </c>
      <c r="C2551" s="66"/>
      <c r="D2551" s="11" t="s">
        <v>2041</v>
      </c>
      <c r="E2551" s="11" t="s">
        <v>2041</v>
      </c>
      <c r="F2551" s="3" t="s">
        <v>2835</v>
      </c>
      <c r="G2551" s="2" t="s">
        <v>2817</v>
      </c>
      <c r="H2551" s="3">
        <v>43053</v>
      </c>
      <c r="I2551" s="2" t="s">
        <v>19506</v>
      </c>
      <c r="J2551" s="2" t="s">
        <v>13904</v>
      </c>
      <c r="K2551" s="2" t="s">
        <v>19264</v>
      </c>
      <c r="L2551" s="82" t="s">
        <v>19512</v>
      </c>
    </row>
    <row r="2552" spans="1:12" ht="108" customHeight="1" x14ac:dyDescent="0.3">
      <c r="A2552" s="2">
        <v>2548</v>
      </c>
      <c r="B2552" s="66" t="s">
        <v>1978</v>
      </c>
      <c r="C2552" s="66"/>
      <c r="D2552" s="11" t="s">
        <v>2041</v>
      </c>
      <c r="E2552" s="11" t="s">
        <v>2041</v>
      </c>
      <c r="F2552" s="3" t="s">
        <v>2835</v>
      </c>
      <c r="G2552" s="2" t="s">
        <v>2817</v>
      </c>
      <c r="H2552" s="3">
        <v>43053</v>
      </c>
      <c r="I2552" s="2" t="s">
        <v>19506</v>
      </c>
      <c r="J2552" s="2" t="s">
        <v>13904</v>
      </c>
      <c r="K2552" s="2" t="s">
        <v>19264</v>
      </c>
      <c r="L2552" s="82" t="s">
        <v>19512</v>
      </c>
    </row>
    <row r="2553" spans="1:12" ht="108" customHeight="1" x14ac:dyDescent="0.3">
      <c r="A2553" s="2">
        <v>2549</v>
      </c>
      <c r="B2553" s="66" t="s">
        <v>1978</v>
      </c>
      <c r="C2553" s="66"/>
      <c r="D2553" s="11" t="s">
        <v>2041</v>
      </c>
      <c r="E2553" s="11" t="s">
        <v>2041</v>
      </c>
      <c r="F2553" s="3" t="s">
        <v>2835</v>
      </c>
      <c r="G2553" s="2" t="s">
        <v>2817</v>
      </c>
      <c r="H2553" s="3">
        <v>43053</v>
      </c>
      <c r="I2553" s="2" t="s">
        <v>19506</v>
      </c>
      <c r="J2553" s="2" t="s">
        <v>13904</v>
      </c>
      <c r="K2553" s="2" t="s">
        <v>19264</v>
      </c>
      <c r="L2553" s="82" t="s">
        <v>19512</v>
      </c>
    </row>
    <row r="2554" spans="1:12" ht="108" customHeight="1" x14ac:dyDescent="0.3">
      <c r="A2554" s="2">
        <v>2550</v>
      </c>
      <c r="B2554" s="66" t="s">
        <v>1978</v>
      </c>
      <c r="C2554" s="66"/>
      <c r="D2554" s="11" t="s">
        <v>2041</v>
      </c>
      <c r="E2554" s="11" t="s">
        <v>2041</v>
      </c>
      <c r="F2554" s="3" t="s">
        <v>2835</v>
      </c>
      <c r="G2554" s="2" t="s">
        <v>2817</v>
      </c>
      <c r="H2554" s="3">
        <v>43053</v>
      </c>
      <c r="I2554" s="2" t="s">
        <v>19506</v>
      </c>
      <c r="J2554" s="2" t="s">
        <v>13904</v>
      </c>
      <c r="K2554" s="2" t="s">
        <v>19264</v>
      </c>
      <c r="L2554" s="82" t="s">
        <v>19512</v>
      </c>
    </row>
    <row r="2555" spans="1:12" ht="108" customHeight="1" x14ac:dyDescent="0.3">
      <c r="A2555" s="2">
        <v>2551</v>
      </c>
      <c r="B2555" s="66" t="s">
        <v>1978</v>
      </c>
      <c r="C2555" s="66"/>
      <c r="D2555" s="11" t="s">
        <v>2041</v>
      </c>
      <c r="E2555" s="11" t="s">
        <v>2041</v>
      </c>
      <c r="F2555" s="3" t="s">
        <v>2835</v>
      </c>
      <c r="G2555" s="2" t="s">
        <v>2817</v>
      </c>
      <c r="H2555" s="3">
        <v>43053</v>
      </c>
      <c r="I2555" s="2" t="s">
        <v>19506</v>
      </c>
      <c r="J2555" s="2" t="s">
        <v>13904</v>
      </c>
      <c r="K2555" s="2" t="s">
        <v>19264</v>
      </c>
      <c r="L2555" s="82" t="s">
        <v>19512</v>
      </c>
    </row>
    <row r="2556" spans="1:12" ht="108" customHeight="1" x14ac:dyDescent="0.3">
      <c r="A2556" s="2">
        <v>2552</v>
      </c>
      <c r="B2556" s="66" t="s">
        <v>1978</v>
      </c>
      <c r="C2556" s="66"/>
      <c r="D2556" s="11" t="s">
        <v>2041</v>
      </c>
      <c r="E2556" s="11" t="s">
        <v>2041</v>
      </c>
      <c r="F2556" s="3" t="s">
        <v>2835</v>
      </c>
      <c r="G2556" s="2" t="s">
        <v>2817</v>
      </c>
      <c r="H2556" s="3">
        <v>43053</v>
      </c>
      <c r="I2556" s="2" t="s">
        <v>19506</v>
      </c>
      <c r="J2556" s="2" t="s">
        <v>13904</v>
      </c>
      <c r="K2556" s="2" t="s">
        <v>19264</v>
      </c>
      <c r="L2556" s="82" t="s">
        <v>19512</v>
      </c>
    </row>
    <row r="2557" spans="1:12" ht="108" customHeight="1" x14ac:dyDescent="0.3">
      <c r="A2557" s="2">
        <v>2553</v>
      </c>
      <c r="B2557" s="66" t="s">
        <v>1978</v>
      </c>
      <c r="C2557" s="66"/>
      <c r="D2557" s="11" t="s">
        <v>2041</v>
      </c>
      <c r="E2557" s="11" t="s">
        <v>2041</v>
      </c>
      <c r="F2557" s="3" t="s">
        <v>2835</v>
      </c>
      <c r="G2557" s="2" t="s">
        <v>2817</v>
      </c>
      <c r="H2557" s="3">
        <v>43053</v>
      </c>
      <c r="I2557" s="2" t="s">
        <v>19506</v>
      </c>
      <c r="J2557" s="2" t="s">
        <v>13904</v>
      </c>
      <c r="K2557" s="2" t="s">
        <v>19264</v>
      </c>
      <c r="L2557" s="82" t="s">
        <v>19512</v>
      </c>
    </row>
    <row r="2558" spans="1:12" ht="108" customHeight="1" x14ac:dyDescent="0.3">
      <c r="A2558" s="2">
        <v>2554</v>
      </c>
      <c r="B2558" s="66" t="s">
        <v>1978</v>
      </c>
      <c r="C2558" s="66"/>
      <c r="D2558" s="11" t="s">
        <v>2041</v>
      </c>
      <c r="E2558" s="11" t="s">
        <v>2041</v>
      </c>
      <c r="F2558" s="3" t="s">
        <v>2835</v>
      </c>
      <c r="G2558" s="2" t="s">
        <v>2817</v>
      </c>
      <c r="H2558" s="3">
        <v>43053</v>
      </c>
      <c r="I2558" s="2" t="s">
        <v>19506</v>
      </c>
      <c r="J2558" s="2" t="s">
        <v>13904</v>
      </c>
      <c r="K2558" s="2" t="s">
        <v>19264</v>
      </c>
      <c r="L2558" s="82" t="s">
        <v>19512</v>
      </c>
    </row>
    <row r="2559" spans="1:12" ht="108" customHeight="1" x14ac:dyDescent="0.3">
      <c r="A2559" s="2">
        <v>2555</v>
      </c>
      <c r="B2559" s="66" t="s">
        <v>1978</v>
      </c>
      <c r="C2559" s="66"/>
      <c r="D2559" s="11" t="s">
        <v>1999</v>
      </c>
      <c r="E2559" s="11" t="s">
        <v>1999</v>
      </c>
      <c r="F2559" s="3" t="s">
        <v>2836</v>
      </c>
      <c r="G2559" s="2" t="s">
        <v>2817</v>
      </c>
      <c r="H2559" s="3">
        <v>43053</v>
      </c>
      <c r="I2559" s="2" t="s">
        <v>19506</v>
      </c>
      <c r="J2559" s="2" t="s">
        <v>13904</v>
      </c>
      <c r="K2559" s="2" t="s">
        <v>19264</v>
      </c>
      <c r="L2559" s="82" t="s">
        <v>19512</v>
      </c>
    </row>
    <row r="2560" spans="1:12" ht="108" customHeight="1" x14ac:dyDescent="0.3">
      <c r="A2560" s="2">
        <v>2556</v>
      </c>
      <c r="B2560" s="66" t="s">
        <v>1978</v>
      </c>
      <c r="C2560" s="66"/>
      <c r="D2560" s="11" t="s">
        <v>1999</v>
      </c>
      <c r="E2560" s="11" t="s">
        <v>1999</v>
      </c>
      <c r="F2560" s="3" t="s">
        <v>2836</v>
      </c>
      <c r="G2560" s="2" t="s">
        <v>2817</v>
      </c>
      <c r="H2560" s="3">
        <v>43053</v>
      </c>
      <c r="I2560" s="2" t="s">
        <v>19506</v>
      </c>
      <c r="J2560" s="2" t="s">
        <v>13904</v>
      </c>
      <c r="K2560" s="2" t="s">
        <v>19264</v>
      </c>
      <c r="L2560" s="82" t="s">
        <v>19512</v>
      </c>
    </row>
    <row r="2561" spans="1:15" ht="108" customHeight="1" x14ac:dyDescent="0.3">
      <c r="A2561" s="2">
        <v>2557</v>
      </c>
      <c r="B2561" s="66" t="s">
        <v>2832</v>
      </c>
      <c r="C2561" s="66"/>
      <c r="D2561" s="11" t="s">
        <v>2287</v>
      </c>
      <c r="E2561" s="11" t="s">
        <v>2287</v>
      </c>
      <c r="F2561" s="3" t="s">
        <v>2836</v>
      </c>
      <c r="G2561" s="2" t="s">
        <v>2817</v>
      </c>
      <c r="H2561" s="3">
        <v>43053</v>
      </c>
      <c r="I2561" s="2" t="s">
        <v>19506</v>
      </c>
      <c r="J2561" s="2" t="s">
        <v>13904</v>
      </c>
      <c r="K2561" s="2" t="s">
        <v>19264</v>
      </c>
      <c r="L2561" s="82" t="s">
        <v>19512</v>
      </c>
    </row>
    <row r="2562" spans="1:15" ht="108" customHeight="1" x14ac:dyDescent="0.3">
      <c r="A2562" s="2">
        <v>2558</v>
      </c>
      <c r="B2562" s="66" t="s">
        <v>1944</v>
      </c>
      <c r="C2562" s="66"/>
      <c r="D2562" s="11" t="s">
        <v>2837</v>
      </c>
      <c r="E2562" s="11" t="s">
        <v>2837</v>
      </c>
      <c r="F2562" s="3" t="s">
        <v>2838</v>
      </c>
      <c r="G2562" s="2" t="s">
        <v>2817</v>
      </c>
      <c r="H2562" s="3">
        <v>43053</v>
      </c>
      <c r="I2562" s="2" t="s">
        <v>19506</v>
      </c>
      <c r="J2562" s="2" t="s">
        <v>13904</v>
      </c>
      <c r="K2562" s="2" t="s">
        <v>19264</v>
      </c>
      <c r="L2562" s="82" t="s">
        <v>19512</v>
      </c>
    </row>
    <row r="2563" spans="1:15" ht="108" customHeight="1" x14ac:dyDescent="0.3">
      <c r="A2563" s="2">
        <v>2559</v>
      </c>
      <c r="B2563" s="66" t="s">
        <v>2833</v>
      </c>
      <c r="C2563" s="66"/>
      <c r="D2563" s="11" t="s">
        <v>2839</v>
      </c>
      <c r="E2563" s="11" t="s">
        <v>2839</v>
      </c>
      <c r="F2563" s="3" t="s">
        <v>2840</v>
      </c>
      <c r="G2563" s="2" t="s">
        <v>2817</v>
      </c>
      <c r="H2563" s="3">
        <v>43053</v>
      </c>
      <c r="I2563" s="2" t="s">
        <v>19506</v>
      </c>
      <c r="J2563" s="2" t="s">
        <v>13904</v>
      </c>
      <c r="K2563" s="2" t="s">
        <v>19264</v>
      </c>
      <c r="L2563" s="82" t="s">
        <v>19512</v>
      </c>
    </row>
    <row r="2564" spans="1:15" ht="108" customHeight="1" x14ac:dyDescent="0.3">
      <c r="A2564" s="2">
        <v>2560</v>
      </c>
      <c r="B2564" s="66" t="s">
        <v>2834</v>
      </c>
      <c r="C2564" s="66"/>
      <c r="D2564" s="11" t="s">
        <v>2841</v>
      </c>
      <c r="E2564" s="11" t="s">
        <v>2841</v>
      </c>
      <c r="F2564" s="3" t="s">
        <v>2840</v>
      </c>
      <c r="G2564" s="2" t="s">
        <v>2817</v>
      </c>
      <c r="H2564" s="3">
        <v>43053</v>
      </c>
      <c r="I2564" s="2" t="s">
        <v>19506</v>
      </c>
      <c r="J2564" s="2" t="s">
        <v>13904</v>
      </c>
      <c r="K2564" s="2" t="s">
        <v>19264</v>
      </c>
      <c r="L2564" s="82" t="s">
        <v>19512</v>
      </c>
    </row>
    <row r="2565" spans="1:15" ht="84" customHeight="1" x14ac:dyDescent="0.3">
      <c r="A2565" s="2">
        <v>2561</v>
      </c>
      <c r="B2565" s="66" t="s">
        <v>1939</v>
      </c>
      <c r="C2565" s="66"/>
      <c r="D2565" s="11" t="s">
        <v>2842</v>
      </c>
      <c r="E2565" s="11" t="s">
        <v>2842</v>
      </c>
      <c r="F2565" s="3" t="s">
        <v>2843</v>
      </c>
      <c r="G2565" s="2" t="s">
        <v>2817</v>
      </c>
      <c r="H2565" s="3">
        <v>43053</v>
      </c>
      <c r="I2565" s="2" t="s">
        <v>19506</v>
      </c>
      <c r="J2565" s="2" t="s">
        <v>13904</v>
      </c>
      <c r="K2565" s="2" t="s">
        <v>19841</v>
      </c>
      <c r="L2565" s="82" t="s">
        <v>19512</v>
      </c>
    </row>
    <row r="2566" spans="1:15" s="19" customFormat="1" ht="84" customHeight="1" x14ac:dyDescent="0.3">
      <c r="A2566" s="2">
        <v>2562</v>
      </c>
      <c r="B2566" s="66" t="s">
        <v>2845</v>
      </c>
      <c r="C2566" s="66" t="s">
        <v>12156</v>
      </c>
      <c r="D2566" s="11" t="s">
        <v>2860</v>
      </c>
      <c r="E2566" s="11">
        <v>47982.55</v>
      </c>
      <c r="F2566" s="3" t="s">
        <v>2861</v>
      </c>
      <c r="G2566" s="2" t="s">
        <v>12155</v>
      </c>
      <c r="H2566" s="2"/>
      <c r="I2566" s="2"/>
      <c r="J2566" s="2" t="s">
        <v>13904</v>
      </c>
      <c r="K2566" s="2" t="s">
        <v>19230</v>
      </c>
      <c r="L2566" s="2" t="s">
        <v>18915</v>
      </c>
      <c r="M2566" s="18"/>
      <c r="N2566" s="18"/>
      <c r="O2566" s="18"/>
    </row>
    <row r="2567" spans="1:15" ht="84" customHeight="1" x14ac:dyDescent="0.3">
      <c r="A2567" s="2">
        <v>2563</v>
      </c>
      <c r="B2567" s="66" t="s">
        <v>1066</v>
      </c>
      <c r="C2567" s="66" t="s">
        <v>12077</v>
      </c>
      <c r="D2567" s="11" t="s">
        <v>2862</v>
      </c>
      <c r="E2567" s="11">
        <v>24208.45</v>
      </c>
      <c r="F2567" s="3" t="s">
        <v>2861</v>
      </c>
      <c r="G2567" s="2" t="s">
        <v>12155</v>
      </c>
      <c r="H2567" s="2"/>
      <c r="I2567" s="2"/>
      <c r="J2567" s="2" t="s">
        <v>13904</v>
      </c>
      <c r="K2567" s="2" t="s">
        <v>19230</v>
      </c>
      <c r="L2567" s="2" t="s">
        <v>18915</v>
      </c>
    </row>
    <row r="2568" spans="1:15" ht="84" customHeight="1" x14ac:dyDescent="0.3">
      <c r="A2568" s="2">
        <v>2564</v>
      </c>
      <c r="B2568" s="66" t="s">
        <v>2846</v>
      </c>
      <c r="C2568" s="66" t="s">
        <v>12078</v>
      </c>
      <c r="D2568" s="11" t="s">
        <v>2863</v>
      </c>
      <c r="E2568" s="11">
        <v>102522.86</v>
      </c>
      <c r="F2568" s="3" t="s">
        <v>2861</v>
      </c>
      <c r="G2568" s="2" t="s">
        <v>12155</v>
      </c>
      <c r="H2568" s="2"/>
      <c r="I2568" s="2"/>
      <c r="J2568" s="2" t="s">
        <v>13904</v>
      </c>
      <c r="K2568" s="2" t="s">
        <v>19230</v>
      </c>
      <c r="L2568" s="2" t="s">
        <v>18915</v>
      </c>
    </row>
    <row r="2569" spans="1:15" ht="84" customHeight="1" x14ac:dyDescent="0.3">
      <c r="A2569" s="2">
        <v>2565</v>
      </c>
      <c r="B2569" s="66" t="s">
        <v>22681</v>
      </c>
      <c r="C2569" s="66" t="s">
        <v>22680</v>
      </c>
      <c r="D2569" s="11">
        <v>99105.88</v>
      </c>
      <c r="E2569" s="11">
        <v>99105.88</v>
      </c>
      <c r="F2569" s="3">
        <v>43446</v>
      </c>
      <c r="G2569" s="2" t="s">
        <v>22682</v>
      </c>
      <c r="H2569" s="3"/>
      <c r="I2569" s="2"/>
      <c r="J2569" s="2" t="s">
        <v>13904</v>
      </c>
      <c r="K2569" s="2" t="s">
        <v>22679</v>
      </c>
      <c r="L2569" s="242" t="s">
        <v>22683</v>
      </c>
    </row>
    <row r="2570" spans="1:15" ht="84" customHeight="1" x14ac:dyDescent="0.3">
      <c r="A2570" s="2">
        <v>2566</v>
      </c>
      <c r="B2570" s="66" t="s">
        <v>2847</v>
      </c>
      <c r="C2570" s="66" t="s">
        <v>12079</v>
      </c>
      <c r="D2570" s="11" t="s">
        <v>947</v>
      </c>
      <c r="E2570" s="11">
        <v>23072</v>
      </c>
      <c r="F2570" s="3" t="s">
        <v>2861</v>
      </c>
      <c r="G2570" s="2" t="s">
        <v>12155</v>
      </c>
      <c r="H2570" s="3">
        <v>43053</v>
      </c>
      <c r="I2570" s="2" t="s">
        <v>19506</v>
      </c>
      <c r="J2570" s="2" t="s">
        <v>13904</v>
      </c>
      <c r="K2570" s="2" t="s">
        <v>19230</v>
      </c>
      <c r="L2570" s="82" t="s">
        <v>19512</v>
      </c>
    </row>
    <row r="2571" spans="1:15" ht="84" customHeight="1" x14ac:dyDescent="0.3">
      <c r="A2571" s="2">
        <v>2567</v>
      </c>
      <c r="B2571" s="66" t="s">
        <v>2848</v>
      </c>
      <c r="C2571" s="66" t="s">
        <v>12080</v>
      </c>
      <c r="D2571" s="11" t="s">
        <v>2864</v>
      </c>
      <c r="E2571" s="11">
        <v>20000</v>
      </c>
      <c r="F2571" s="3" t="s">
        <v>2861</v>
      </c>
      <c r="G2571" s="2" t="s">
        <v>12155</v>
      </c>
      <c r="H2571" s="3">
        <v>43053</v>
      </c>
      <c r="I2571" s="2" t="s">
        <v>19506</v>
      </c>
      <c r="J2571" s="2" t="s">
        <v>13904</v>
      </c>
      <c r="K2571" s="2" t="s">
        <v>19230</v>
      </c>
      <c r="L2571" s="82" t="s">
        <v>19512</v>
      </c>
    </row>
    <row r="2572" spans="1:15" ht="84" customHeight="1" x14ac:dyDescent="0.3">
      <c r="A2572" s="2">
        <v>2568</v>
      </c>
      <c r="B2572" s="66" t="s">
        <v>1064</v>
      </c>
      <c r="C2572" s="66" t="s">
        <v>12081</v>
      </c>
      <c r="D2572" s="11" t="s">
        <v>2865</v>
      </c>
      <c r="E2572" s="11">
        <v>8000</v>
      </c>
      <c r="F2572" s="3" t="s">
        <v>2861</v>
      </c>
      <c r="G2572" s="2" t="s">
        <v>12155</v>
      </c>
      <c r="H2572" s="3">
        <v>43053</v>
      </c>
      <c r="I2572" s="2" t="s">
        <v>19506</v>
      </c>
      <c r="J2572" s="2" t="s">
        <v>13904</v>
      </c>
      <c r="K2572" s="2" t="s">
        <v>19230</v>
      </c>
      <c r="L2572" s="82" t="s">
        <v>19512</v>
      </c>
    </row>
    <row r="2573" spans="1:15" ht="84" customHeight="1" x14ac:dyDescent="0.3">
      <c r="A2573" s="2">
        <v>2569</v>
      </c>
      <c r="B2573" s="66" t="s">
        <v>2849</v>
      </c>
      <c r="C2573" s="66" t="s">
        <v>12082</v>
      </c>
      <c r="D2573" s="11" t="s">
        <v>2287</v>
      </c>
      <c r="E2573" s="11">
        <v>8000</v>
      </c>
      <c r="F2573" s="3" t="s">
        <v>2861</v>
      </c>
      <c r="G2573" s="2" t="s">
        <v>12155</v>
      </c>
      <c r="H2573" s="3">
        <v>43053</v>
      </c>
      <c r="I2573" s="2" t="s">
        <v>19506</v>
      </c>
      <c r="J2573" s="2" t="s">
        <v>13904</v>
      </c>
      <c r="K2573" s="2" t="s">
        <v>19230</v>
      </c>
      <c r="L2573" s="82" t="s">
        <v>19512</v>
      </c>
    </row>
    <row r="2574" spans="1:15" ht="84" customHeight="1" x14ac:dyDescent="0.3">
      <c r="A2574" s="2">
        <v>2570</v>
      </c>
      <c r="B2574" s="66" t="s">
        <v>2850</v>
      </c>
      <c r="C2574" s="66" t="s">
        <v>12083</v>
      </c>
      <c r="D2574" s="11" t="s">
        <v>1588</v>
      </c>
      <c r="E2574" s="11">
        <v>18910</v>
      </c>
      <c r="F2574" s="3" t="s">
        <v>2861</v>
      </c>
      <c r="G2574" s="2" t="s">
        <v>12155</v>
      </c>
      <c r="H2574" s="3">
        <v>43053</v>
      </c>
      <c r="I2574" s="2" t="s">
        <v>19506</v>
      </c>
      <c r="J2574" s="2" t="s">
        <v>13904</v>
      </c>
      <c r="K2574" s="2" t="s">
        <v>19230</v>
      </c>
      <c r="L2574" s="82" t="s">
        <v>19512</v>
      </c>
    </row>
    <row r="2575" spans="1:15" ht="84" customHeight="1" x14ac:dyDescent="0.3">
      <c r="A2575" s="2">
        <v>2571</v>
      </c>
      <c r="B2575" s="66" t="s">
        <v>2851</v>
      </c>
      <c r="C2575" s="66" t="s">
        <v>12084</v>
      </c>
      <c r="D2575" s="11" t="s">
        <v>1257</v>
      </c>
      <c r="E2575" s="11">
        <v>17479</v>
      </c>
      <c r="F2575" s="3" t="s">
        <v>2861</v>
      </c>
      <c r="G2575" s="2" t="s">
        <v>12155</v>
      </c>
      <c r="H2575" s="3">
        <v>43053</v>
      </c>
      <c r="I2575" s="2" t="s">
        <v>19506</v>
      </c>
      <c r="J2575" s="2" t="s">
        <v>13904</v>
      </c>
      <c r="K2575" s="2" t="s">
        <v>19230</v>
      </c>
      <c r="L2575" s="82" t="s">
        <v>19512</v>
      </c>
    </row>
    <row r="2576" spans="1:15" ht="84" customHeight="1" x14ac:dyDescent="0.3">
      <c r="A2576" s="2">
        <v>2572</v>
      </c>
      <c r="B2576" s="66" t="s">
        <v>908</v>
      </c>
      <c r="C2576" s="66" t="s">
        <v>12085</v>
      </c>
      <c r="D2576" s="11" t="s">
        <v>2866</v>
      </c>
      <c r="E2576" s="11">
        <v>91235.96</v>
      </c>
      <c r="F2576" s="3" t="s">
        <v>2861</v>
      </c>
      <c r="G2576" s="2" t="s">
        <v>12155</v>
      </c>
      <c r="H2576" s="3">
        <v>43053</v>
      </c>
      <c r="I2576" s="2" t="s">
        <v>19506</v>
      </c>
      <c r="J2576" s="2" t="s">
        <v>13904</v>
      </c>
      <c r="K2576" s="2" t="s">
        <v>19230</v>
      </c>
      <c r="L2576" s="82" t="s">
        <v>19512</v>
      </c>
    </row>
    <row r="2577" spans="1:12" ht="84" customHeight="1" x14ac:dyDescent="0.3">
      <c r="A2577" s="2">
        <v>2573</v>
      </c>
      <c r="B2577" s="66" t="s">
        <v>2113</v>
      </c>
      <c r="C2577" s="66" t="s">
        <v>12086</v>
      </c>
      <c r="D2577" s="11" t="s">
        <v>2867</v>
      </c>
      <c r="E2577" s="11">
        <v>7095</v>
      </c>
      <c r="F2577" s="3" t="s">
        <v>2861</v>
      </c>
      <c r="G2577" s="2" t="s">
        <v>12155</v>
      </c>
      <c r="H2577" s="3">
        <v>43053</v>
      </c>
      <c r="I2577" s="2" t="s">
        <v>19506</v>
      </c>
      <c r="J2577" s="2" t="s">
        <v>13904</v>
      </c>
      <c r="K2577" s="2" t="s">
        <v>19230</v>
      </c>
      <c r="L2577" s="82" t="s">
        <v>19512</v>
      </c>
    </row>
    <row r="2578" spans="1:12" ht="84" customHeight="1" x14ac:dyDescent="0.3">
      <c r="A2578" s="2">
        <v>2574</v>
      </c>
      <c r="B2578" s="66" t="s">
        <v>1324</v>
      </c>
      <c r="C2578" s="66" t="s">
        <v>12087</v>
      </c>
      <c r="D2578" s="11" t="s">
        <v>2868</v>
      </c>
      <c r="E2578" s="11">
        <v>12000</v>
      </c>
      <c r="F2578" s="3" t="s">
        <v>2861</v>
      </c>
      <c r="G2578" s="2" t="s">
        <v>12155</v>
      </c>
      <c r="H2578" s="3">
        <v>43053</v>
      </c>
      <c r="I2578" s="2" t="s">
        <v>19506</v>
      </c>
      <c r="J2578" s="2" t="s">
        <v>13904</v>
      </c>
      <c r="K2578" s="2" t="s">
        <v>19230</v>
      </c>
      <c r="L2578" s="82" t="s">
        <v>19512</v>
      </c>
    </row>
    <row r="2579" spans="1:12" ht="84" customHeight="1" x14ac:dyDescent="0.3">
      <c r="A2579" s="2">
        <v>2575</v>
      </c>
      <c r="B2579" s="66" t="s">
        <v>929</v>
      </c>
      <c r="C2579" s="66" t="s">
        <v>12088</v>
      </c>
      <c r="D2579" s="11" t="s">
        <v>2869</v>
      </c>
      <c r="E2579" s="11"/>
      <c r="F2579" s="3" t="s">
        <v>2861</v>
      </c>
      <c r="G2579" s="2" t="s">
        <v>12155</v>
      </c>
      <c r="H2579" s="3">
        <v>43053</v>
      </c>
      <c r="I2579" s="2" t="s">
        <v>19506</v>
      </c>
      <c r="J2579" s="2" t="s">
        <v>13904</v>
      </c>
      <c r="K2579" s="2" t="s">
        <v>19230</v>
      </c>
      <c r="L2579" s="82" t="s">
        <v>19512</v>
      </c>
    </row>
    <row r="2580" spans="1:12" ht="84" customHeight="1" x14ac:dyDescent="0.3">
      <c r="A2580" s="2">
        <v>2576</v>
      </c>
      <c r="B2580" s="66" t="s">
        <v>2852</v>
      </c>
      <c r="C2580" s="66" t="s">
        <v>12089</v>
      </c>
      <c r="D2580" s="11" t="s">
        <v>2870</v>
      </c>
      <c r="E2580" s="11">
        <v>11330</v>
      </c>
      <c r="F2580" s="3" t="s">
        <v>2861</v>
      </c>
      <c r="G2580" s="2" t="s">
        <v>12155</v>
      </c>
      <c r="H2580" s="3">
        <v>43053</v>
      </c>
      <c r="I2580" s="2" t="s">
        <v>19506</v>
      </c>
      <c r="J2580" s="2" t="s">
        <v>13904</v>
      </c>
      <c r="K2580" s="2" t="s">
        <v>19230</v>
      </c>
      <c r="L2580" s="82" t="s">
        <v>19512</v>
      </c>
    </row>
    <row r="2581" spans="1:12" ht="84" customHeight="1" x14ac:dyDescent="0.3">
      <c r="A2581" s="2">
        <v>2577</v>
      </c>
      <c r="B2581" s="66" t="s">
        <v>2853</v>
      </c>
      <c r="C2581" s="66" t="s">
        <v>12090</v>
      </c>
      <c r="D2581" s="11" t="s">
        <v>2736</v>
      </c>
      <c r="E2581" s="11"/>
      <c r="F2581" s="3" t="s">
        <v>2861</v>
      </c>
      <c r="G2581" s="2" t="s">
        <v>12155</v>
      </c>
      <c r="H2581" s="3">
        <v>43053</v>
      </c>
      <c r="I2581" s="2" t="s">
        <v>19506</v>
      </c>
      <c r="J2581" s="2" t="s">
        <v>13904</v>
      </c>
      <c r="K2581" s="2" t="s">
        <v>19230</v>
      </c>
      <c r="L2581" s="82" t="s">
        <v>19512</v>
      </c>
    </row>
    <row r="2582" spans="1:12" ht="84" customHeight="1" x14ac:dyDescent="0.3">
      <c r="A2582" s="2">
        <v>2578</v>
      </c>
      <c r="B2582" s="66" t="s">
        <v>2853</v>
      </c>
      <c r="C2582" s="66" t="s">
        <v>12091</v>
      </c>
      <c r="D2582" s="11" t="s">
        <v>2736</v>
      </c>
      <c r="E2582" s="11"/>
      <c r="F2582" s="3" t="s">
        <v>2861</v>
      </c>
      <c r="G2582" s="2" t="s">
        <v>12155</v>
      </c>
      <c r="H2582" s="3">
        <v>43053</v>
      </c>
      <c r="I2582" s="2" t="s">
        <v>19506</v>
      </c>
      <c r="J2582" s="2" t="s">
        <v>13904</v>
      </c>
      <c r="K2582" s="2" t="s">
        <v>19230</v>
      </c>
      <c r="L2582" s="82" t="s">
        <v>19512</v>
      </c>
    </row>
    <row r="2583" spans="1:12" ht="84" customHeight="1" x14ac:dyDescent="0.3">
      <c r="A2583" s="2">
        <v>2579</v>
      </c>
      <c r="B2583" s="66" t="s">
        <v>2854</v>
      </c>
      <c r="C2583" s="66" t="s">
        <v>12092</v>
      </c>
      <c r="D2583" s="11" t="s">
        <v>2871</v>
      </c>
      <c r="E2583" s="11"/>
      <c r="F2583" s="3" t="s">
        <v>2861</v>
      </c>
      <c r="G2583" s="2" t="s">
        <v>12155</v>
      </c>
      <c r="H2583" s="3">
        <v>43053</v>
      </c>
      <c r="I2583" s="2" t="s">
        <v>19506</v>
      </c>
      <c r="J2583" s="2" t="s">
        <v>13904</v>
      </c>
      <c r="K2583" s="2" t="s">
        <v>19230</v>
      </c>
      <c r="L2583" s="82" t="s">
        <v>19512</v>
      </c>
    </row>
    <row r="2584" spans="1:12" ht="84" customHeight="1" x14ac:dyDescent="0.3">
      <c r="A2584" s="2">
        <v>2580</v>
      </c>
      <c r="B2584" s="66" t="s">
        <v>2335</v>
      </c>
      <c r="C2584" s="66" t="s">
        <v>12093</v>
      </c>
      <c r="D2584" s="11" t="s">
        <v>2872</v>
      </c>
      <c r="E2584" s="11">
        <v>9990</v>
      </c>
      <c r="F2584" s="3" t="s">
        <v>2861</v>
      </c>
      <c r="G2584" s="2" t="s">
        <v>12155</v>
      </c>
      <c r="H2584" s="3">
        <v>43053</v>
      </c>
      <c r="I2584" s="2" t="s">
        <v>19506</v>
      </c>
      <c r="J2584" s="2" t="s">
        <v>13904</v>
      </c>
      <c r="K2584" s="2" t="s">
        <v>19230</v>
      </c>
      <c r="L2584" s="82" t="s">
        <v>19512</v>
      </c>
    </row>
    <row r="2585" spans="1:12" ht="84" customHeight="1" x14ac:dyDescent="0.3">
      <c r="A2585" s="2">
        <v>2581</v>
      </c>
      <c r="B2585" s="66" t="s">
        <v>2855</v>
      </c>
      <c r="C2585" s="66" t="s">
        <v>12094</v>
      </c>
      <c r="D2585" s="11" t="s">
        <v>2873</v>
      </c>
      <c r="E2585" s="11">
        <v>18396</v>
      </c>
      <c r="F2585" s="3" t="s">
        <v>2861</v>
      </c>
      <c r="G2585" s="2" t="s">
        <v>12155</v>
      </c>
      <c r="H2585" s="3">
        <v>43053</v>
      </c>
      <c r="I2585" s="2" t="s">
        <v>19506</v>
      </c>
      <c r="J2585" s="2" t="s">
        <v>13904</v>
      </c>
      <c r="K2585" s="2" t="s">
        <v>19230</v>
      </c>
      <c r="L2585" s="82" t="s">
        <v>19512</v>
      </c>
    </row>
    <row r="2586" spans="1:12" ht="84" customHeight="1" x14ac:dyDescent="0.3">
      <c r="A2586" s="2">
        <v>2582</v>
      </c>
      <c r="B2586" s="66" t="s">
        <v>2855</v>
      </c>
      <c r="C2586" s="66" t="s">
        <v>12095</v>
      </c>
      <c r="D2586" s="11" t="s">
        <v>2874</v>
      </c>
      <c r="E2586" s="11">
        <v>21800</v>
      </c>
      <c r="F2586" s="3" t="s">
        <v>2861</v>
      </c>
      <c r="G2586" s="2" t="s">
        <v>12155</v>
      </c>
      <c r="H2586" s="3">
        <v>43053</v>
      </c>
      <c r="I2586" s="2" t="s">
        <v>19506</v>
      </c>
      <c r="J2586" s="2" t="s">
        <v>13904</v>
      </c>
      <c r="K2586" s="2" t="s">
        <v>19230</v>
      </c>
      <c r="L2586" s="82" t="s">
        <v>19512</v>
      </c>
    </row>
    <row r="2587" spans="1:12" ht="84" customHeight="1" x14ac:dyDescent="0.3">
      <c r="A2587" s="2">
        <v>2583</v>
      </c>
      <c r="B2587" s="66" t="s">
        <v>2856</v>
      </c>
      <c r="C2587" s="66" t="s">
        <v>12096</v>
      </c>
      <c r="D2587" s="11" t="s">
        <v>2875</v>
      </c>
      <c r="E2587" s="11">
        <v>11200</v>
      </c>
      <c r="F2587" s="3" t="s">
        <v>2861</v>
      </c>
      <c r="G2587" s="2" t="s">
        <v>12155</v>
      </c>
      <c r="H2587" s="3">
        <v>43053</v>
      </c>
      <c r="I2587" s="2" t="s">
        <v>19506</v>
      </c>
      <c r="J2587" s="2" t="s">
        <v>13904</v>
      </c>
      <c r="K2587" s="2" t="s">
        <v>19230</v>
      </c>
      <c r="L2587" s="82" t="s">
        <v>19512</v>
      </c>
    </row>
    <row r="2588" spans="1:12" ht="84" customHeight="1" x14ac:dyDescent="0.3">
      <c r="A2588" s="2">
        <v>2584</v>
      </c>
      <c r="B2588" s="66" t="s">
        <v>2857</v>
      </c>
      <c r="C2588" s="66" t="s">
        <v>12097</v>
      </c>
      <c r="D2588" s="11" t="s">
        <v>2875</v>
      </c>
      <c r="E2588" s="11">
        <v>23240</v>
      </c>
      <c r="F2588" s="3" t="s">
        <v>2861</v>
      </c>
      <c r="G2588" s="2" t="s">
        <v>12155</v>
      </c>
      <c r="H2588" s="3">
        <v>43053</v>
      </c>
      <c r="I2588" s="2" t="s">
        <v>19506</v>
      </c>
      <c r="J2588" s="2" t="s">
        <v>13904</v>
      </c>
      <c r="K2588" s="2" t="s">
        <v>19230</v>
      </c>
      <c r="L2588" s="82" t="s">
        <v>19512</v>
      </c>
    </row>
    <row r="2589" spans="1:12" ht="84" customHeight="1" x14ac:dyDescent="0.3">
      <c r="A2589" s="2">
        <v>2585</v>
      </c>
      <c r="B2589" s="66" t="s">
        <v>2857</v>
      </c>
      <c r="C2589" s="66" t="s">
        <v>12098</v>
      </c>
      <c r="D2589" s="11" t="s">
        <v>2876</v>
      </c>
      <c r="E2589" s="11">
        <v>13390</v>
      </c>
      <c r="F2589" s="3" t="s">
        <v>2861</v>
      </c>
      <c r="G2589" s="2" t="s">
        <v>12155</v>
      </c>
      <c r="H2589" s="3">
        <v>43053</v>
      </c>
      <c r="I2589" s="2" t="s">
        <v>19506</v>
      </c>
      <c r="J2589" s="2" t="s">
        <v>13904</v>
      </c>
      <c r="K2589" s="2" t="s">
        <v>19230</v>
      </c>
      <c r="L2589" s="82" t="s">
        <v>19512</v>
      </c>
    </row>
    <row r="2590" spans="1:12" ht="84" customHeight="1" x14ac:dyDescent="0.3">
      <c r="A2590" s="2">
        <v>2586</v>
      </c>
      <c r="B2590" s="66" t="s">
        <v>2858</v>
      </c>
      <c r="C2590" s="66" t="s">
        <v>12099</v>
      </c>
      <c r="D2590" s="11" t="s">
        <v>2877</v>
      </c>
      <c r="E2590" s="11">
        <v>18900</v>
      </c>
      <c r="F2590" s="3" t="s">
        <v>2861</v>
      </c>
      <c r="G2590" s="2" t="s">
        <v>12155</v>
      </c>
      <c r="H2590" s="3">
        <v>43053</v>
      </c>
      <c r="I2590" s="2" t="s">
        <v>19506</v>
      </c>
      <c r="J2590" s="2" t="s">
        <v>13904</v>
      </c>
      <c r="K2590" s="2" t="s">
        <v>19230</v>
      </c>
      <c r="L2590" s="82" t="s">
        <v>19512</v>
      </c>
    </row>
    <row r="2591" spans="1:12" ht="84" customHeight="1" x14ac:dyDescent="0.3">
      <c r="A2591" s="2">
        <v>2587</v>
      </c>
      <c r="B2591" s="66" t="s">
        <v>2859</v>
      </c>
      <c r="C2591" s="66" t="s">
        <v>12100</v>
      </c>
      <c r="D2591" s="11" t="s">
        <v>2878</v>
      </c>
      <c r="E2591" s="11">
        <v>18900</v>
      </c>
      <c r="F2591" s="3" t="s">
        <v>2861</v>
      </c>
      <c r="G2591" s="2" t="s">
        <v>12155</v>
      </c>
      <c r="H2591" s="3">
        <v>43053</v>
      </c>
      <c r="I2591" s="2" t="s">
        <v>19506</v>
      </c>
      <c r="J2591" s="2" t="s">
        <v>13904</v>
      </c>
      <c r="K2591" s="2" t="s">
        <v>19230</v>
      </c>
      <c r="L2591" s="82" t="s">
        <v>19512</v>
      </c>
    </row>
    <row r="2592" spans="1:12" ht="84" customHeight="1" x14ac:dyDescent="0.3">
      <c r="A2592" s="2">
        <v>2588</v>
      </c>
      <c r="B2592" s="66" t="s">
        <v>2851</v>
      </c>
      <c r="C2592" s="66" t="s">
        <v>12101</v>
      </c>
      <c r="D2592" s="11" t="s">
        <v>1257</v>
      </c>
      <c r="E2592" s="11">
        <v>24100</v>
      </c>
      <c r="F2592" s="3" t="s">
        <v>2861</v>
      </c>
      <c r="G2592" s="2" t="s">
        <v>12155</v>
      </c>
      <c r="H2592" s="3">
        <v>43053</v>
      </c>
      <c r="I2592" s="2" t="s">
        <v>19506</v>
      </c>
      <c r="J2592" s="2" t="s">
        <v>13904</v>
      </c>
      <c r="K2592" s="2" t="s">
        <v>19230</v>
      </c>
      <c r="L2592" s="82" t="s">
        <v>19512</v>
      </c>
    </row>
    <row r="2593" spans="1:12" ht="84" customHeight="1" x14ac:dyDescent="0.3">
      <c r="A2593" s="2">
        <v>2589</v>
      </c>
      <c r="B2593" s="66" t="s">
        <v>218</v>
      </c>
      <c r="C2593" s="66" t="s">
        <v>12102</v>
      </c>
      <c r="D2593" s="11" t="s">
        <v>2879</v>
      </c>
      <c r="E2593" s="11">
        <v>31130</v>
      </c>
      <c r="F2593" s="3" t="s">
        <v>2861</v>
      </c>
      <c r="G2593" s="2" t="s">
        <v>12155</v>
      </c>
      <c r="H2593" s="3">
        <v>43053</v>
      </c>
      <c r="I2593" s="2" t="s">
        <v>19506</v>
      </c>
      <c r="J2593" s="2" t="s">
        <v>13904</v>
      </c>
      <c r="K2593" s="2" t="s">
        <v>19230</v>
      </c>
      <c r="L2593" s="82" t="s">
        <v>19512</v>
      </c>
    </row>
    <row r="2594" spans="1:12" ht="84" customHeight="1" x14ac:dyDescent="0.3">
      <c r="A2594" s="2">
        <v>2590</v>
      </c>
      <c r="B2594" s="66" t="s">
        <v>2880</v>
      </c>
      <c r="C2594" s="66" t="s">
        <v>12103</v>
      </c>
      <c r="D2594" s="11" t="s">
        <v>1167</v>
      </c>
      <c r="E2594" s="11">
        <v>14500</v>
      </c>
      <c r="F2594" s="3" t="s">
        <v>2861</v>
      </c>
      <c r="G2594" s="2" t="s">
        <v>12155</v>
      </c>
      <c r="H2594" s="3">
        <v>43053</v>
      </c>
      <c r="I2594" s="2" t="s">
        <v>19506</v>
      </c>
      <c r="J2594" s="2" t="s">
        <v>13904</v>
      </c>
      <c r="K2594" s="2" t="s">
        <v>19230</v>
      </c>
      <c r="L2594" s="82" t="s">
        <v>19512</v>
      </c>
    </row>
    <row r="2595" spans="1:12" ht="84" customHeight="1" x14ac:dyDescent="0.3">
      <c r="A2595" s="2">
        <v>2591</v>
      </c>
      <c r="B2595" s="66" t="s">
        <v>2881</v>
      </c>
      <c r="C2595" s="66" t="s">
        <v>12104</v>
      </c>
      <c r="D2595" s="11" t="s">
        <v>2911</v>
      </c>
      <c r="E2595" s="11">
        <v>18200</v>
      </c>
      <c r="F2595" s="3" t="s">
        <v>2861</v>
      </c>
      <c r="G2595" s="2" t="s">
        <v>12155</v>
      </c>
      <c r="H2595" s="3">
        <v>43053</v>
      </c>
      <c r="I2595" s="2" t="s">
        <v>19506</v>
      </c>
      <c r="J2595" s="2" t="s">
        <v>13904</v>
      </c>
      <c r="K2595" s="2" t="s">
        <v>19230</v>
      </c>
      <c r="L2595" s="82" t="s">
        <v>19512</v>
      </c>
    </row>
    <row r="2596" spans="1:12" ht="84" customHeight="1" x14ac:dyDescent="0.3">
      <c r="A2596" s="2">
        <v>2592</v>
      </c>
      <c r="B2596" s="66" t="s">
        <v>2882</v>
      </c>
      <c r="C2596" s="66" t="s">
        <v>12105</v>
      </c>
      <c r="D2596" s="11" t="s">
        <v>2734</v>
      </c>
      <c r="E2596" s="11">
        <v>9000</v>
      </c>
      <c r="F2596" s="3" t="s">
        <v>2861</v>
      </c>
      <c r="G2596" s="2" t="s">
        <v>12155</v>
      </c>
      <c r="H2596" s="3">
        <v>43053</v>
      </c>
      <c r="I2596" s="2" t="s">
        <v>19506</v>
      </c>
      <c r="J2596" s="2" t="s">
        <v>13904</v>
      </c>
      <c r="K2596" s="2" t="s">
        <v>19230</v>
      </c>
      <c r="L2596" s="82" t="s">
        <v>19512</v>
      </c>
    </row>
    <row r="2597" spans="1:12" ht="84" customHeight="1" x14ac:dyDescent="0.3">
      <c r="A2597" s="2">
        <v>2593</v>
      </c>
      <c r="B2597" s="66" t="s">
        <v>2883</v>
      </c>
      <c r="C2597" s="66" t="s">
        <v>12106</v>
      </c>
      <c r="D2597" s="11" t="s">
        <v>1486</v>
      </c>
      <c r="E2597" s="11">
        <v>25000</v>
      </c>
      <c r="F2597" s="3" t="s">
        <v>2861</v>
      </c>
      <c r="G2597" s="2" t="s">
        <v>12155</v>
      </c>
      <c r="H2597" s="3">
        <v>43053</v>
      </c>
      <c r="I2597" s="2" t="s">
        <v>19506</v>
      </c>
      <c r="J2597" s="2" t="s">
        <v>13904</v>
      </c>
      <c r="K2597" s="2" t="s">
        <v>19230</v>
      </c>
      <c r="L2597" s="82" t="s">
        <v>19512</v>
      </c>
    </row>
    <row r="2598" spans="1:12" ht="84" customHeight="1" x14ac:dyDescent="0.3">
      <c r="A2598" s="2">
        <v>2594</v>
      </c>
      <c r="B2598" s="66" t="s">
        <v>2884</v>
      </c>
      <c r="C2598" s="66" t="s">
        <v>12107</v>
      </c>
      <c r="D2598" s="11" t="s">
        <v>2912</v>
      </c>
      <c r="E2598" s="11">
        <v>8401.02</v>
      </c>
      <c r="F2598" s="3" t="s">
        <v>2861</v>
      </c>
      <c r="G2598" s="2" t="s">
        <v>12155</v>
      </c>
      <c r="H2598" s="3">
        <v>43053</v>
      </c>
      <c r="I2598" s="2" t="s">
        <v>19506</v>
      </c>
      <c r="J2598" s="2" t="s">
        <v>13904</v>
      </c>
      <c r="K2598" s="2" t="s">
        <v>19230</v>
      </c>
      <c r="L2598" s="82" t="s">
        <v>19512</v>
      </c>
    </row>
    <row r="2599" spans="1:12" ht="84" customHeight="1" x14ac:dyDescent="0.3">
      <c r="A2599" s="2">
        <v>2595</v>
      </c>
      <c r="B2599" s="66" t="s">
        <v>217</v>
      </c>
      <c r="C2599" s="66" t="s">
        <v>12108</v>
      </c>
      <c r="D2599" s="11" t="s">
        <v>1891</v>
      </c>
      <c r="E2599" s="11">
        <v>7000</v>
      </c>
      <c r="F2599" s="3" t="s">
        <v>2861</v>
      </c>
      <c r="G2599" s="2" t="s">
        <v>12155</v>
      </c>
      <c r="H2599" s="3">
        <v>43053</v>
      </c>
      <c r="I2599" s="2" t="s">
        <v>19506</v>
      </c>
      <c r="J2599" s="2" t="s">
        <v>13904</v>
      </c>
      <c r="K2599" s="2" t="s">
        <v>19230</v>
      </c>
      <c r="L2599" s="82" t="s">
        <v>19512</v>
      </c>
    </row>
    <row r="2600" spans="1:12" ht="84" customHeight="1" x14ac:dyDescent="0.3">
      <c r="A2600" s="2">
        <v>2596</v>
      </c>
      <c r="B2600" s="66" t="s">
        <v>2885</v>
      </c>
      <c r="C2600" s="66" t="s">
        <v>12109</v>
      </c>
      <c r="D2600" s="11" t="s">
        <v>2092</v>
      </c>
      <c r="E2600" s="11">
        <v>10450</v>
      </c>
      <c r="F2600" s="3" t="s">
        <v>2861</v>
      </c>
      <c r="G2600" s="2" t="s">
        <v>12155</v>
      </c>
      <c r="H2600" s="3">
        <v>43053</v>
      </c>
      <c r="I2600" s="2" t="s">
        <v>19506</v>
      </c>
      <c r="J2600" s="2" t="s">
        <v>13904</v>
      </c>
      <c r="K2600" s="2" t="s">
        <v>19230</v>
      </c>
      <c r="L2600" s="82" t="s">
        <v>19512</v>
      </c>
    </row>
    <row r="2601" spans="1:12" ht="84" customHeight="1" x14ac:dyDescent="0.3">
      <c r="A2601" s="2">
        <v>2597</v>
      </c>
      <c r="B2601" s="66" t="s">
        <v>2886</v>
      </c>
      <c r="C2601" s="66" t="s">
        <v>12110</v>
      </c>
      <c r="D2601" s="11" t="s">
        <v>2913</v>
      </c>
      <c r="E2601" s="11">
        <v>4300</v>
      </c>
      <c r="F2601" s="3" t="s">
        <v>2861</v>
      </c>
      <c r="G2601" s="2" t="s">
        <v>12155</v>
      </c>
      <c r="H2601" s="3">
        <v>43053</v>
      </c>
      <c r="I2601" s="2" t="s">
        <v>19506</v>
      </c>
      <c r="J2601" s="2" t="s">
        <v>13904</v>
      </c>
      <c r="K2601" s="2" t="s">
        <v>19230</v>
      </c>
      <c r="L2601" s="82" t="s">
        <v>19512</v>
      </c>
    </row>
    <row r="2602" spans="1:12" ht="84" customHeight="1" x14ac:dyDescent="0.3">
      <c r="A2602" s="2">
        <v>2598</v>
      </c>
      <c r="B2602" s="66" t="s">
        <v>2887</v>
      </c>
      <c r="C2602" s="66" t="s">
        <v>12111</v>
      </c>
      <c r="D2602" s="11" t="s">
        <v>2914</v>
      </c>
      <c r="E2602" s="11">
        <v>28990</v>
      </c>
      <c r="F2602" s="3" t="s">
        <v>2861</v>
      </c>
      <c r="G2602" s="2" t="s">
        <v>12155</v>
      </c>
      <c r="H2602" s="3">
        <v>43053</v>
      </c>
      <c r="I2602" s="2" t="s">
        <v>19506</v>
      </c>
      <c r="J2602" s="2" t="s">
        <v>13904</v>
      </c>
      <c r="K2602" s="2" t="s">
        <v>19230</v>
      </c>
      <c r="L2602" s="82" t="s">
        <v>19512</v>
      </c>
    </row>
    <row r="2603" spans="1:12" ht="84" customHeight="1" x14ac:dyDescent="0.3">
      <c r="A2603" s="2">
        <v>2599</v>
      </c>
      <c r="B2603" s="66" t="s">
        <v>2888</v>
      </c>
      <c r="C2603" s="66" t="s">
        <v>12112</v>
      </c>
      <c r="D2603" s="11" t="s">
        <v>2915</v>
      </c>
      <c r="E2603" s="11">
        <v>7416.66</v>
      </c>
      <c r="F2603" s="3" t="s">
        <v>2861</v>
      </c>
      <c r="G2603" s="2" t="s">
        <v>12155</v>
      </c>
      <c r="H2603" s="3">
        <v>43053</v>
      </c>
      <c r="I2603" s="2" t="s">
        <v>19506</v>
      </c>
      <c r="J2603" s="2" t="s">
        <v>13904</v>
      </c>
      <c r="K2603" s="2" t="s">
        <v>19230</v>
      </c>
      <c r="L2603" s="82" t="s">
        <v>19512</v>
      </c>
    </row>
    <row r="2604" spans="1:12" ht="84" customHeight="1" x14ac:dyDescent="0.3">
      <c r="A2604" s="2">
        <v>2600</v>
      </c>
      <c r="B2604" s="66" t="s">
        <v>2889</v>
      </c>
      <c r="C2604" s="66" t="s">
        <v>12113</v>
      </c>
      <c r="D2604" s="11" t="s">
        <v>1882</v>
      </c>
      <c r="E2604" s="11">
        <v>16500</v>
      </c>
      <c r="F2604" s="3" t="s">
        <v>2861</v>
      </c>
      <c r="G2604" s="2" t="s">
        <v>12155</v>
      </c>
      <c r="H2604" s="3">
        <v>43053</v>
      </c>
      <c r="I2604" s="2" t="s">
        <v>19506</v>
      </c>
      <c r="J2604" s="2" t="s">
        <v>13904</v>
      </c>
      <c r="K2604" s="2" t="s">
        <v>19230</v>
      </c>
      <c r="L2604" s="82" t="s">
        <v>19512</v>
      </c>
    </row>
    <row r="2605" spans="1:12" ht="84" customHeight="1" x14ac:dyDescent="0.3">
      <c r="A2605" s="2">
        <v>2601</v>
      </c>
      <c r="B2605" s="66" t="s">
        <v>2890</v>
      </c>
      <c r="C2605" s="66" t="s">
        <v>12114</v>
      </c>
      <c r="D2605" s="11" t="s">
        <v>2916</v>
      </c>
      <c r="E2605" s="11">
        <v>23980</v>
      </c>
      <c r="F2605" s="3" t="s">
        <v>2861</v>
      </c>
      <c r="G2605" s="2" t="s">
        <v>12155</v>
      </c>
      <c r="H2605" s="3">
        <v>43053</v>
      </c>
      <c r="I2605" s="2" t="s">
        <v>19506</v>
      </c>
      <c r="J2605" s="2" t="s">
        <v>13904</v>
      </c>
      <c r="K2605" s="2" t="s">
        <v>19230</v>
      </c>
      <c r="L2605" s="82" t="s">
        <v>19512</v>
      </c>
    </row>
    <row r="2606" spans="1:12" ht="84" customHeight="1" x14ac:dyDescent="0.3">
      <c r="A2606" s="2">
        <v>2602</v>
      </c>
      <c r="B2606" s="66" t="s">
        <v>2891</v>
      </c>
      <c r="C2606" s="66" t="s">
        <v>12115</v>
      </c>
      <c r="D2606" s="11" t="s">
        <v>2063</v>
      </c>
      <c r="E2606" s="11">
        <v>5800</v>
      </c>
      <c r="F2606" s="3" t="s">
        <v>2861</v>
      </c>
      <c r="G2606" s="2" t="s">
        <v>12155</v>
      </c>
      <c r="H2606" s="3">
        <v>43053</v>
      </c>
      <c r="I2606" s="2" t="s">
        <v>19506</v>
      </c>
      <c r="J2606" s="2" t="s">
        <v>13904</v>
      </c>
      <c r="K2606" s="2" t="s">
        <v>19230</v>
      </c>
      <c r="L2606" s="82" t="s">
        <v>19512</v>
      </c>
    </row>
    <row r="2607" spans="1:12" ht="84" customHeight="1" x14ac:dyDescent="0.3">
      <c r="A2607" s="2">
        <v>2603</v>
      </c>
      <c r="B2607" s="66" t="s">
        <v>259</v>
      </c>
      <c r="C2607" s="66" t="s">
        <v>12116</v>
      </c>
      <c r="D2607" s="11" t="s">
        <v>2917</v>
      </c>
      <c r="E2607" s="11">
        <v>6598.01</v>
      </c>
      <c r="F2607" s="3" t="s">
        <v>2861</v>
      </c>
      <c r="G2607" s="2" t="s">
        <v>12155</v>
      </c>
      <c r="H2607" s="3">
        <v>43053</v>
      </c>
      <c r="I2607" s="2" t="s">
        <v>19506</v>
      </c>
      <c r="J2607" s="2" t="s">
        <v>13904</v>
      </c>
      <c r="K2607" s="2" t="s">
        <v>19230</v>
      </c>
      <c r="L2607" s="82" t="s">
        <v>19512</v>
      </c>
    </row>
    <row r="2608" spans="1:12" ht="84" customHeight="1" x14ac:dyDescent="0.3">
      <c r="A2608" s="2">
        <v>2604</v>
      </c>
      <c r="B2608" s="66" t="s">
        <v>2881</v>
      </c>
      <c r="C2608" s="66" t="s">
        <v>12117</v>
      </c>
      <c r="D2608" s="11" t="s">
        <v>2918</v>
      </c>
      <c r="E2608" s="11">
        <v>21100</v>
      </c>
      <c r="F2608" s="3" t="s">
        <v>2861</v>
      </c>
      <c r="G2608" s="2" t="s">
        <v>12155</v>
      </c>
      <c r="H2608" s="3">
        <v>43053</v>
      </c>
      <c r="I2608" s="2" t="s">
        <v>19506</v>
      </c>
      <c r="J2608" s="2" t="s">
        <v>13904</v>
      </c>
      <c r="K2608" s="2" t="s">
        <v>19230</v>
      </c>
      <c r="L2608" s="82" t="s">
        <v>19512</v>
      </c>
    </row>
    <row r="2609" spans="1:12" ht="84" customHeight="1" x14ac:dyDescent="0.3">
      <c r="A2609" s="2">
        <v>2605</v>
      </c>
      <c r="B2609" s="66" t="s">
        <v>2892</v>
      </c>
      <c r="C2609" s="66" t="s">
        <v>12118</v>
      </c>
      <c r="D2609" s="11" t="s">
        <v>2919</v>
      </c>
      <c r="E2609" s="11">
        <v>3289.5</v>
      </c>
      <c r="F2609" s="3" t="s">
        <v>2861</v>
      </c>
      <c r="G2609" s="2" t="s">
        <v>12155</v>
      </c>
      <c r="H2609" s="3">
        <v>43053</v>
      </c>
      <c r="I2609" s="2" t="s">
        <v>19506</v>
      </c>
      <c r="J2609" s="2" t="s">
        <v>13904</v>
      </c>
      <c r="K2609" s="2" t="s">
        <v>19230</v>
      </c>
      <c r="L2609" s="82" t="s">
        <v>19512</v>
      </c>
    </row>
    <row r="2610" spans="1:12" ht="84" customHeight="1" x14ac:dyDescent="0.3">
      <c r="A2610" s="2">
        <v>2606</v>
      </c>
      <c r="B2610" s="66" t="s">
        <v>1082</v>
      </c>
      <c r="C2610" s="66" t="s">
        <v>12119</v>
      </c>
      <c r="D2610" s="11" t="s">
        <v>2919</v>
      </c>
      <c r="E2610" s="11">
        <v>3289.5</v>
      </c>
      <c r="F2610" s="3" t="s">
        <v>2861</v>
      </c>
      <c r="G2610" s="2" t="s">
        <v>12155</v>
      </c>
      <c r="H2610" s="3">
        <v>43053</v>
      </c>
      <c r="I2610" s="2" t="s">
        <v>19506</v>
      </c>
      <c r="J2610" s="2" t="s">
        <v>13904</v>
      </c>
      <c r="K2610" s="2" t="s">
        <v>19230</v>
      </c>
      <c r="L2610" s="82" t="s">
        <v>19512</v>
      </c>
    </row>
    <row r="2611" spans="1:12" ht="84" customHeight="1" x14ac:dyDescent="0.3">
      <c r="A2611" s="2">
        <v>2607</v>
      </c>
      <c r="B2611" s="66" t="s">
        <v>2893</v>
      </c>
      <c r="C2611" s="66" t="s">
        <v>12120</v>
      </c>
      <c r="D2611" s="11" t="s">
        <v>2920</v>
      </c>
      <c r="E2611" s="11">
        <v>8892</v>
      </c>
      <c r="F2611" s="3" t="s">
        <v>2861</v>
      </c>
      <c r="G2611" s="2" t="s">
        <v>12155</v>
      </c>
      <c r="H2611" s="3">
        <v>43053</v>
      </c>
      <c r="I2611" s="2" t="s">
        <v>19506</v>
      </c>
      <c r="J2611" s="2" t="s">
        <v>13904</v>
      </c>
      <c r="K2611" s="2" t="s">
        <v>19230</v>
      </c>
      <c r="L2611" s="82" t="s">
        <v>19512</v>
      </c>
    </row>
    <row r="2612" spans="1:12" ht="84" customHeight="1" x14ac:dyDescent="0.3">
      <c r="A2612" s="2">
        <v>2608</v>
      </c>
      <c r="B2612" s="66" t="s">
        <v>2894</v>
      </c>
      <c r="C2612" s="66" t="s">
        <v>12121</v>
      </c>
      <c r="D2612" s="11" t="s">
        <v>2921</v>
      </c>
      <c r="E2612" s="11">
        <v>6184.6</v>
      </c>
      <c r="F2612" s="3" t="s">
        <v>2861</v>
      </c>
      <c r="G2612" s="2" t="s">
        <v>12155</v>
      </c>
      <c r="H2612" s="3">
        <v>43053</v>
      </c>
      <c r="I2612" s="2" t="s">
        <v>19506</v>
      </c>
      <c r="J2612" s="2" t="s">
        <v>13904</v>
      </c>
      <c r="K2612" s="2" t="s">
        <v>19230</v>
      </c>
      <c r="L2612" s="82" t="s">
        <v>19512</v>
      </c>
    </row>
    <row r="2613" spans="1:12" ht="84" customHeight="1" x14ac:dyDescent="0.3">
      <c r="A2613" s="2">
        <v>2609</v>
      </c>
      <c r="B2613" s="66" t="s">
        <v>2895</v>
      </c>
      <c r="C2613" s="66" t="s">
        <v>12122</v>
      </c>
      <c r="D2613" s="11" t="s">
        <v>1253</v>
      </c>
      <c r="E2613" s="11">
        <v>6364.86</v>
      </c>
      <c r="F2613" s="3" t="s">
        <v>2861</v>
      </c>
      <c r="G2613" s="2" t="s">
        <v>12155</v>
      </c>
      <c r="H2613" s="3">
        <v>43053</v>
      </c>
      <c r="I2613" s="2" t="s">
        <v>19506</v>
      </c>
      <c r="J2613" s="2" t="s">
        <v>13904</v>
      </c>
      <c r="K2613" s="2" t="s">
        <v>19230</v>
      </c>
      <c r="L2613" s="82" t="s">
        <v>19512</v>
      </c>
    </row>
    <row r="2614" spans="1:12" ht="84" customHeight="1" x14ac:dyDescent="0.3">
      <c r="A2614" s="2">
        <v>2610</v>
      </c>
      <c r="B2614" s="66" t="s">
        <v>2896</v>
      </c>
      <c r="C2614" s="66" t="s">
        <v>12123</v>
      </c>
      <c r="D2614" s="11" t="s">
        <v>2922</v>
      </c>
      <c r="E2614" s="11">
        <v>6366.15</v>
      </c>
      <c r="F2614" s="3" t="s">
        <v>2861</v>
      </c>
      <c r="G2614" s="2" t="s">
        <v>12155</v>
      </c>
      <c r="H2614" s="3">
        <v>43053</v>
      </c>
      <c r="I2614" s="2" t="s">
        <v>19506</v>
      </c>
      <c r="J2614" s="2" t="s">
        <v>13904</v>
      </c>
      <c r="K2614" s="2" t="s">
        <v>19230</v>
      </c>
      <c r="L2614" s="82" t="s">
        <v>19512</v>
      </c>
    </row>
    <row r="2615" spans="1:12" ht="84" customHeight="1" x14ac:dyDescent="0.3">
      <c r="A2615" s="2">
        <v>2611</v>
      </c>
      <c r="B2615" s="66" t="s">
        <v>2897</v>
      </c>
      <c r="C2615" s="66" t="s">
        <v>12124</v>
      </c>
      <c r="D2615" s="11" t="s">
        <v>2923</v>
      </c>
      <c r="E2615" s="11">
        <v>7095</v>
      </c>
      <c r="F2615" s="3" t="s">
        <v>2861</v>
      </c>
      <c r="G2615" s="2" t="s">
        <v>12155</v>
      </c>
      <c r="H2615" s="3">
        <v>43053</v>
      </c>
      <c r="I2615" s="2" t="s">
        <v>19506</v>
      </c>
      <c r="J2615" s="2" t="s">
        <v>13904</v>
      </c>
      <c r="K2615" s="2" t="s">
        <v>19230</v>
      </c>
      <c r="L2615" s="82" t="s">
        <v>19512</v>
      </c>
    </row>
    <row r="2616" spans="1:12" ht="84" customHeight="1" x14ac:dyDescent="0.3">
      <c r="A2616" s="2">
        <v>2612</v>
      </c>
      <c r="B2616" s="66" t="s">
        <v>847</v>
      </c>
      <c r="C2616" s="66" t="s">
        <v>12125</v>
      </c>
      <c r="D2616" s="11" t="s">
        <v>2924</v>
      </c>
      <c r="E2616" s="11">
        <v>5420.58</v>
      </c>
      <c r="F2616" s="3" t="s">
        <v>2861</v>
      </c>
      <c r="G2616" s="2" t="s">
        <v>12155</v>
      </c>
      <c r="H2616" s="3">
        <v>43053</v>
      </c>
      <c r="I2616" s="2" t="s">
        <v>19506</v>
      </c>
      <c r="J2616" s="2" t="s">
        <v>13904</v>
      </c>
      <c r="K2616" s="2" t="s">
        <v>19230</v>
      </c>
      <c r="L2616" s="82" t="s">
        <v>19512</v>
      </c>
    </row>
    <row r="2617" spans="1:12" ht="84" customHeight="1" x14ac:dyDescent="0.3">
      <c r="A2617" s="2">
        <v>2613</v>
      </c>
      <c r="B2617" s="66" t="s">
        <v>2898</v>
      </c>
      <c r="C2617" s="66" t="s">
        <v>12126</v>
      </c>
      <c r="D2617" s="11" t="s">
        <v>2925</v>
      </c>
      <c r="E2617" s="11">
        <v>5184.51</v>
      </c>
      <c r="F2617" s="3" t="s">
        <v>2861</v>
      </c>
      <c r="G2617" s="2" t="s">
        <v>12155</v>
      </c>
      <c r="H2617" s="3">
        <v>43053</v>
      </c>
      <c r="I2617" s="2" t="s">
        <v>19506</v>
      </c>
      <c r="J2617" s="2" t="s">
        <v>13904</v>
      </c>
      <c r="K2617" s="2" t="s">
        <v>19230</v>
      </c>
      <c r="L2617" s="82" t="s">
        <v>19512</v>
      </c>
    </row>
    <row r="2618" spans="1:12" ht="84" customHeight="1" x14ac:dyDescent="0.3">
      <c r="A2618" s="2">
        <v>2614</v>
      </c>
      <c r="B2618" s="66" t="s">
        <v>2471</v>
      </c>
      <c r="C2618" s="66" t="s">
        <v>12127</v>
      </c>
      <c r="D2618" s="11" t="s">
        <v>2926</v>
      </c>
      <c r="E2618" s="11">
        <v>9000</v>
      </c>
      <c r="F2618" s="3" t="s">
        <v>2861</v>
      </c>
      <c r="G2618" s="2" t="s">
        <v>12155</v>
      </c>
      <c r="H2618" s="3">
        <v>43053</v>
      </c>
      <c r="I2618" s="2" t="s">
        <v>19506</v>
      </c>
      <c r="J2618" s="2" t="s">
        <v>13904</v>
      </c>
      <c r="K2618" s="2" t="s">
        <v>19230</v>
      </c>
      <c r="L2618" s="82" t="s">
        <v>19512</v>
      </c>
    </row>
    <row r="2619" spans="1:12" ht="84" customHeight="1" x14ac:dyDescent="0.3">
      <c r="A2619" s="2">
        <v>2615</v>
      </c>
      <c r="B2619" s="66" t="s">
        <v>2899</v>
      </c>
      <c r="C2619" s="66" t="s">
        <v>12128</v>
      </c>
      <c r="D2619" s="11" t="s">
        <v>1190</v>
      </c>
      <c r="E2619" s="11">
        <v>9000</v>
      </c>
      <c r="F2619" s="3" t="s">
        <v>2861</v>
      </c>
      <c r="G2619" s="2" t="s">
        <v>12155</v>
      </c>
      <c r="H2619" s="3">
        <v>43053</v>
      </c>
      <c r="I2619" s="2" t="s">
        <v>19506</v>
      </c>
      <c r="J2619" s="2" t="s">
        <v>13904</v>
      </c>
      <c r="K2619" s="2" t="s">
        <v>19230</v>
      </c>
      <c r="L2619" s="82" t="s">
        <v>19512</v>
      </c>
    </row>
    <row r="2620" spans="1:12" ht="84" customHeight="1" x14ac:dyDescent="0.3">
      <c r="A2620" s="2">
        <v>2616</v>
      </c>
      <c r="B2620" s="66" t="s">
        <v>929</v>
      </c>
      <c r="C2620" s="66" t="s">
        <v>12129</v>
      </c>
      <c r="D2620" s="11" t="s">
        <v>1187</v>
      </c>
      <c r="E2620" s="11">
        <v>9000</v>
      </c>
      <c r="F2620" s="3" t="s">
        <v>2861</v>
      </c>
      <c r="G2620" s="2" t="s">
        <v>12155</v>
      </c>
      <c r="H2620" s="3">
        <v>43053</v>
      </c>
      <c r="I2620" s="2" t="s">
        <v>19506</v>
      </c>
      <c r="J2620" s="2" t="s">
        <v>13904</v>
      </c>
      <c r="K2620" s="2" t="s">
        <v>19230</v>
      </c>
      <c r="L2620" s="82" t="s">
        <v>19512</v>
      </c>
    </row>
    <row r="2621" spans="1:12" ht="84" customHeight="1" x14ac:dyDescent="0.3">
      <c r="A2621" s="2">
        <v>2617</v>
      </c>
      <c r="B2621" s="66" t="s">
        <v>929</v>
      </c>
      <c r="C2621" s="66" t="s">
        <v>12130</v>
      </c>
      <c r="D2621" s="11" t="s">
        <v>1189</v>
      </c>
      <c r="E2621" s="11">
        <v>9000</v>
      </c>
      <c r="F2621" s="3" t="s">
        <v>2861</v>
      </c>
      <c r="G2621" s="2" t="s">
        <v>12155</v>
      </c>
      <c r="H2621" s="3">
        <v>43053</v>
      </c>
      <c r="I2621" s="2" t="s">
        <v>19506</v>
      </c>
      <c r="J2621" s="2" t="s">
        <v>13904</v>
      </c>
      <c r="K2621" s="2" t="s">
        <v>19230</v>
      </c>
      <c r="L2621" s="82" t="s">
        <v>19512</v>
      </c>
    </row>
    <row r="2622" spans="1:12" ht="84" customHeight="1" x14ac:dyDescent="0.3">
      <c r="A2622" s="2">
        <v>2618</v>
      </c>
      <c r="B2622" s="66" t="s">
        <v>929</v>
      </c>
      <c r="C2622" s="66" t="s">
        <v>12131</v>
      </c>
      <c r="D2622" s="11" t="s">
        <v>2869</v>
      </c>
      <c r="E2622" s="11">
        <v>6427.2</v>
      </c>
      <c r="F2622" s="3" t="s">
        <v>2861</v>
      </c>
      <c r="G2622" s="2" t="s">
        <v>12155</v>
      </c>
      <c r="H2622" s="3">
        <v>43053</v>
      </c>
      <c r="I2622" s="2" t="s">
        <v>19506</v>
      </c>
      <c r="J2622" s="2" t="s">
        <v>13904</v>
      </c>
      <c r="K2622" s="2" t="s">
        <v>19230</v>
      </c>
      <c r="L2622" s="82" t="s">
        <v>19512</v>
      </c>
    </row>
    <row r="2623" spans="1:12" ht="84" customHeight="1" x14ac:dyDescent="0.3">
      <c r="A2623" s="2">
        <v>2619</v>
      </c>
      <c r="B2623" s="66" t="s">
        <v>1124</v>
      </c>
      <c r="C2623" s="66" t="s">
        <v>12132</v>
      </c>
      <c r="D2623" s="11" t="s">
        <v>1191</v>
      </c>
      <c r="E2623" s="11"/>
      <c r="F2623" s="3" t="s">
        <v>2861</v>
      </c>
      <c r="G2623" s="2" t="s">
        <v>12155</v>
      </c>
      <c r="H2623" s="3">
        <v>43053</v>
      </c>
      <c r="I2623" s="2" t="s">
        <v>19506</v>
      </c>
      <c r="J2623" s="2" t="s">
        <v>13904</v>
      </c>
      <c r="K2623" s="2" t="s">
        <v>19230</v>
      </c>
      <c r="L2623" s="82" t="s">
        <v>19512</v>
      </c>
    </row>
    <row r="2624" spans="1:12" ht="84" customHeight="1" x14ac:dyDescent="0.3">
      <c r="A2624" s="2">
        <v>2620</v>
      </c>
      <c r="B2624" s="66" t="s">
        <v>2854</v>
      </c>
      <c r="C2624" s="66" t="s">
        <v>12133</v>
      </c>
      <c r="D2624" s="11" t="s">
        <v>2927</v>
      </c>
      <c r="E2624" s="11"/>
      <c r="F2624" s="3" t="s">
        <v>2861</v>
      </c>
      <c r="G2624" s="2" t="s">
        <v>12155</v>
      </c>
      <c r="H2624" s="3">
        <v>43053</v>
      </c>
      <c r="I2624" s="2" t="s">
        <v>19506</v>
      </c>
      <c r="J2624" s="2" t="s">
        <v>13904</v>
      </c>
      <c r="K2624" s="2" t="s">
        <v>19230</v>
      </c>
      <c r="L2624" s="82" t="s">
        <v>19512</v>
      </c>
    </row>
    <row r="2625" spans="1:15" ht="84" customHeight="1" x14ac:dyDescent="0.3">
      <c r="A2625" s="2">
        <v>2621</v>
      </c>
      <c r="B2625" s="66" t="s">
        <v>2900</v>
      </c>
      <c r="C2625" s="66" t="s">
        <v>12134</v>
      </c>
      <c r="D2625" s="11" t="s">
        <v>2734</v>
      </c>
      <c r="E2625" s="11">
        <v>3330</v>
      </c>
      <c r="F2625" s="3" t="s">
        <v>2861</v>
      </c>
      <c r="G2625" s="2" t="s">
        <v>12155</v>
      </c>
      <c r="H2625" s="3">
        <v>43053</v>
      </c>
      <c r="I2625" s="2" t="s">
        <v>19506</v>
      </c>
      <c r="J2625" s="2" t="s">
        <v>13904</v>
      </c>
      <c r="K2625" s="2" t="s">
        <v>19230</v>
      </c>
      <c r="L2625" s="82" t="s">
        <v>19512</v>
      </c>
    </row>
    <row r="2626" spans="1:15" ht="84" customHeight="1" x14ac:dyDescent="0.3">
      <c r="A2626" s="2">
        <v>2622</v>
      </c>
      <c r="B2626" s="66" t="s">
        <v>2900</v>
      </c>
      <c r="C2626" s="66" t="s">
        <v>12135</v>
      </c>
      <c r="D2626" s="11" t="s">
        <v>2734</v>
      </c>
      <c r="E2626" s="11">
        <v>4331.1499999999996</v>
      </c>
      <c r="F2626" s="3" t="s">
        <v>2861</v>
      </c>
      <c r="G2626" s="2" t="s">
        <v>12155</v>
      </c>
      <c r="H2626" s="3">
        <v>43053</v>
      </c>
      <c r="I2626" s="2" t="s">
        <v>19506</v>
      </c>
      <c r="J2626" s="2" t="s">
        <v>13904</v>
      </c>
      <c r="K2626" s="2" t="s">
        <v>19230</v>
      </c>
      <c r="L2626" s="82" t="s">
        <v>19512</v>
      </c>
    </row>
    <row r="2627" spans="1:15" ht="84" customHeight="1" x14ac:dyDescent="0.3">
      <c r="A2627" s="2">
        <v>2623</v>
      </c>
      <c r="B2627" s="66" t="s">
        <v>2900</v>
      </c>
      <c r="C2627" s="66" t="s">
        <v>12136</v>
      </c>
      <c r="D2627" s="11" t="s">
        <v>2734</v>
      </c>
      <c r="E2627" s="11">
        <v>4200</v>
      </c>
      <c r="F2627" s="3" t="s">
        <v>2861</v>
      </c>
      <c r="G2627" s="2" t="s">
        <v>12155</v>
      </c>
      <c r="H2627" s="3">
        <v>43053</v>
      </c>
      <c r="I2627" s="2" t="s">
        <v>19506</v>
      </c>
      <c r="J2627" s="2" t="s">
        <v>13904</v>
      </c>
      <c r="K2627" s="2" t="s">
        <v>19230</v>
      </c>
      <c r="L2627" s="82" t="s">
        <v>19512</v>
      </c>
    </row>
    <row r="2628" spans="1:15" ht="84" customHeight="1" x14ac:dyDescent="0.3">
      <c r="A2628" s="2">
        <v>2624</v>
      </c>
      <c r="B2628" s="66" t="s">
        <v>2900</v>
      </c>
      <c r="C2628" s="66" t="s">
        <v>12137</v>
      </c>
      <c r="D2628" s="11" t="s">
        <v>2734</v>
      </c>
      <c r="E2628" s="11">
        <v>6926.4</v>
      </c>
      <c r="F2628" s="3" t="s">
        <v>2861</v>
      </c>
      <c r="G2628" s="2" t="s">
        <v>12155</v>
      </c>
      <c r="H2628" s="3">
        <v>43053</v>
      </c>
      <c r="I2628" s="2" t="s">
        <v>19506</v>
      </c>
      <c r="J2628" s="2" t="s">
        <v>13904</v>
      </c>
      <c r="K2628" s="2" t="s">
        <v>19230</v>
      </c>
      <c r="L2628" s="82" t="s">
        <v>19512</v>
      </c>
    </row>
    <row r="2629" spans="1:15" ht="84" customHeight="1" x14ac:dyDescent="0.3">
      <c r="A2629" s="2">
        <v>2625</v>
      </c>
      <c r="B2629" s="66" t="s">
        <v>2901</v>
      </c>
      <c r="C2629" s="66" t="s">
        <v>12138</v>
      </c>
      <c r="D2629" s="11" t="s">
        <v>2928</v>
      </c>
      <c r="E2629" s="11">
        <v>3663</v>
      </c>
      <c r="F2629" s="3" t="s">
        <v>2861</v>
      </c>
      <c r="G2629" s="2" t="s">
        <v>12155</v>
      </c>
      <c r="H2629" s="3">
        <v>43053</v>
      </c>
      <c r="I2629" s="2" t="s">
        <v>19506</v>
      </c>
      <c r="J2629" s="2" t="s">
        <v>13904</v>
      </c>
      <c r="K2629" s="2" t="s">
        <v>19230</v>
      </c>
      <c r="L2629" s="82" t="s">
        <v>19512</v>
      </c>
    </row>
    <row r="2630" spans="1:15" ht="84" customHeight="1" x14ac:dyDescent="0.3">
      <c r="A2630" s="2">
        <v>2626</v>
      </c>
      <c r="B2630" s="66" t="s">
        <v>2901</v>
      </c>
      <c r="C2630" s="66" t="s">
        <v>12139</v>
      </c>
      <c r="D2630" s="11" t="s">
        <v>2928</v>
      </c>
      <c r="E2630" s="11"/>
      <c r="F2630" s="3" t="s">
        <v>2861</v>
      </c>
      <c r="G2630" s="2" t="s">
        <v>12155</v>
      </c>
      <c r="H2630" s="3">
        <v>43053</v>
      </c>
      <c r="I2630" s="2" t="s">
        <v>19506</v>
      </c>
      <c r="J2630" s="2" t="s">
        <v>13904</v>
      </c>
      <c r="K2630" s="2" t="s">
        <v>19230</v>
      </c>
      <c r="L2630" s="82" t="s">
        <v>19512</v>
      </c>
    </row>
    <row r="2631" spans="1:15" ht="84" customHeight="1" x14ac:dyDescent="0.3">
      <c r="A2631" s="2">
        <v>2627</v>
      </c>
      <c r="B2631" s="66" t="s">
        <v>2902</v>
      </c>
      <c r="C2631" s="66" t="s">
        <v>12140</v>
      </c>
      <c r="D2631" s="11" t="s">
        <v>2929</v>
      </c>
      <c r="E2631" s="11">
        <v>4251.3</v>
      </c>
      <c r="F2631" s="3" t="s">
        <v>2861</v>
      </c>
      <c r="G2631" s="2" t="s">
        <v>12155</v>
      </c>
      <c r="H2631" s="3">
        <v>43053</v>
      </c>
      <c r="I2631" s="2" t="s">
        <v>19506</v>
      </c>
      <c r="J2631" s="2" t="s">
        <v>13904</v>
      </c>
      <c r="K2631" s="2" t="s">
        <v>19230</v>
      </c>
      <c r="L2631" s="82" t="s">
        <v>19512</v>
      </c>
    </row>
    <row r="2632" spans="1:15" ht="84" customHeight="1" x14ac:dyDescent="0.3">
      <c r="A2632" s="2">
        <v>2628</v>
      </c>
      <c r="B2632" s="66" t="s">
        <v>2903</v>
      </c>
      <c r="C2632" s="66" t="s">
        <v>12141</v>
      </c>
      <c r="D2632" s="11" t="s">
        <v>2930</v>
      </c>
      <c r="E2632" s="11">
        <v>3885</v>
      </c>
      <c r="F2632" s="3" t="s">
        <v>2861</v>
      </c>
      <c r="G2632" s="2" t="s">
        <v>12155</v>
      </c>
      <c r="H2632" s="3">
        <v>43053</v>
      </c>
      <c r="I2632" s="2" t="s">
        <v>19506</v>
      </c>
      <c r="J2632" s="2" t="s">
        <v>13904</v>
      </c>
      <c r="K2632" s="2" t="s">
        <v>19230</v>
      </c>
      <c r="L2632" s="82" t="s">
        <v>19512</v>
      </c>
    </row>
    <row r="2633" spans="1:15" ht="84" customHeight="1" x14ac:dyDescent="0.3">
      <c r="A2633" s="2">
        <v>2629</v>
      </c>
      <c r="B2633" s="66" t="s">
        <v>2903</v>
      </c>
      <c r="C2633" s="66" t="s">
        <v>12142</v>
      </c>
      <c r="D2633" s="11" t="s">
        <v>2930</v>
      </c>
      <c r="E2633" s="11">
        <v>3885</v>
      </c>
      <c r="F2633" s="3" t="s">
        <v>2861</v>
      </c>
      <c r="G2633" s="2" t="s">
        <v>12155</v>
      </c>
      <c r="H2633" s="3">
        <v>43053</v>
      </c>
      <c r="I2633" s="2" t="s">
        <v>19506</v>
      </c>
      <c r="J2633" s="2" t="s">
        <v>13904</v>
      </c>
      <c r="K2633" s="2" t="s">
        <v>19230</v>
      </c>
      <c r="L2633" s="82" t="s">
        <v>19512</v>
      </c>
    </row>
    <row r="2634" spans="1:15" ht="84" customHeight="1" x14ac:dyDescent="0.3">
      <c r="A2634" s="2">
        <v>2630</v>
      </c>
      <c r="B2634" s="66" t="s">
        <v>1098</v>
      </c>
      <c r="C2634" s="66" t="s">
        <v>12143</v>
      </c>
      <c r="D2634" s="11" t="s">
        <v>2931</v>
      </c>
      <c r="E2634" s="11"/>
      <c r="F2634" s="3" t="s">
        <v>2861</v>
      </c>
      <c r="G2634" s="2" t="s">
        <v>12155</v>
      </c>
      <c r="H2634" s="3">
        <v>43053</v>
      </c>
      <c r="I2634" s="2" t="s">
        <v>19506</v>
      </c>
      <c r="J2634" s="2" t="s">
        <v>13904</v>
      </c>
      <c r="K2634" s="2" t="s">
        <v>19230</v>
      </c>
      <c r="L2634" s="82" t="s">
        <v>19512</v>
      </c>
    </row>
    <row r="2635" spans="1:15" ht="84" customHeight="1" x14ac:dyDescent="0.3">
      <c r="A2635" s="2">
        <v>2631</v>
      </c>
      <c r="B2635" s="66" t="s">
        <v>2904</v>
      </c>
      <c r="C2635" s="66" t="s">
        <v>12144</v>
      </c>
      <c r="D2635" s="11" t="s">
        <v>2932</v>
      </c>
      <c r="E2635" s="11"/>
      <c r="F2635" s="3" t="s">
        <v>2861</v>
      </c>
      <c r="G2635" s="2" t="s">
        <v>12155</v>
      </c>
      <c r="H2635" s="3">
        <v>43053</v>
      </c>
      <c r="I2635" s="2" t="s">
        <v>19506</v>
      </c>
      <c r="J2635" s="2" t="s">
        <v>13904</v>
      </c>
      <c r="K2635" s="2" t="s">
        <v>19230</v>
      </c>
      <c r="L2635" s="82" t="s">
        <v>19512</v>
      </c>
    </row>
    <row r="2636" spans="1:15" ht="84" customHeight="1" x14ac:dyDescent="0.3">
      <c r="A2636" s="2">
        <v>2632</v>
      </c>
      <c r="B2636" s="66" t="s">
        <v>2904</v>
      </c>
      <c r="C2636" s="66" t="s">
        <v>12145</v>
      </c>
      <c r="D2636" s="11" t="s">
        <v>2932</v>
      </c>
      <c r="E2636" s="11"/>
      <c r="F2636" s="3" t="s">
        <v>2861</v>
      </c>
      <c r="G2636" s="2" t="s">
        <v>12155</v>
      </c>
      <c r="H2636" s="3">
        <v>43053</v>
      </c>
      <c r="I2636" s="2" t="s">
        <v>19506</v>
      </c>
      <c r="J2636" s="2" t="s">
        <v>13904</v>
      </c>
      <c r="K2636" s="2" t="s">
        <v>19230</v>
      </c>
      <c r="L2636" s="82" t="s">
        <v>19512</v>
      </c>
    </row>
    <row r="2637" spans="1:15" ht="84" customHeight="1" x14ac:dyDescent="0.3">
      <c r="A2637" s="2">
        <v>2633</v>
      </c>
      <c r="B2637" s="66" t="s">
        <v>2905</v>
      </c>
      <c r="C2637" s="66" t="s">
        <v>12146</v>
      </c>
      <c r="D2637" s="11" t="s">
        <v>2922</v>
      </c>
      <c r="E2637" s="11"/>
      <c r="F2637" s="3" t="s">
        <v>2861</v>
      </c>
      <c r="G2637" s="2" t="s">
        <v>12155</v>
      </c>
      <c r="H2637" s="3">
        <v>43053</v>
      </c>
      <c r="I2637" s="2" t="s">
        <v>19506</v>
      </c>
      <c r="J2637" s="2" t="s">
        <v>13904</v>
      </c>
      <c r="K2637" s="2" t="s">
        <v>19230</v>
      </c>
      <c r="L2637" s="82" t="s">
        <v>19512</v>
      </c>
    </row>
    <row r="2638" spans="1:15" ht="84" customHeight="1" x14ac:dyDescent="0.3">
      <c r="A2638" s="2">
        <v>2634</v>
      </c>
      <c r="B2638" s="66" t="s">
        <v>2906</v>
      </c>
      <c r="C2638" s="66" t="s">
        <v>12147</v>
      </c>
      <c r="D2638" s="11" t="s">
        <v>2922</v>
      </c>
      <c r="E2638" s="11"/>
      <c r="F2638" s="3" t="s">
        <v>2861</v>
      </c>
      <c r="G2638" s="2" t="s">
        <v>12155</v>
      </c>
      <c r="H2638" s="3">
        <v>43053</v>
      </c>
      <c r="I2638" s="2" t="s">
        <v>19506</v>
      </c>
      <c r="J2638" s="2" t="s">
        <v>13904</v>
      </c>
      <c r="K2638" s="2" t="s">
        <v>19230</v>
      </c>
      <c r="L2638" s="82" t="s">
        <v>19512</v>
      </c>
    </row>
    <row r="2639" spans="1:15" ht="84" customHeight="1" x14ac:dyDescent="0.3">
      <c r="A2639" s="2">
        <v>2635</v>
      </c>
      <c r="B2639" s="66" t="s">
        <v>2907</v>
      </c>
      <c r="C2639" s="66" t="s">
        <v>12148</v>
      </c>
      <c r="D2639" s="11" t="s">
        <v>2933</v>
      </c>
      <c r="E2639" s="11">
        <v>6926.4</v>
      </c>
      <c r="F2639" s="3" t="s">
        <v>2861</v>
      </c>
      <c r="G2639" s="2" t="s">
        <v>12155</v>
      </c>
      <c r="H2639" s="3">
        <v>43053</v>
      </c>
      <c r="I2639" s="2" t="s">
        <v>19506</v>
      </c>
      <c r="J2639" s="2" t="s">
        <v>13904</v>
      </c>
      <c r="K2639" s="2" t="s">
        <v>19230</v>
      </c>
      <c r="L2639" s="82" t="s">
        <v>19512</v>
      </c>
      <c r="M2639" s="18"/>
      <c r="N2639" s="18"/>
      <c r="O2639" s="18"/>
    </row>
    <row r="2640" spans="1:15" ht="84" customHeight="1" x14ac:dyDescent="0.3">
      <c r="A2640" s="2">
        <v>2636</v>
      </c>
      <c r="B2640" s="66" t="s">
        <v>2908</v>
      </c>
      <c r="C2640" s="66" t="s">
        <v>12149</v>
      </c>
      <c r="D2640" s="11" t="s">
        <v>2531</v>
      </c>
      <c r="E2640" s="11">
        <v>6926.4</v>
      </c>
      <c r="F2640" s="3" t="s">
        <v>2861</v>
      </c>
      <c r="G2640" s="2" t="s">
        <v>12155</v>
      </c>
      <c r="H2640" s="3">
        <v>43053</v>
      </c>
      <c r="I2640" s="2" t="s">
        <v>19506</v>
      </c>
      <c r="J2640" s="2" t="s">
        <v>13904</v>
      </c>
      <c r="K2640" s="2" t="s">
        <v>19230</v>
      </c>
      <c r="L2640" s="82" t="s">
        <v>19512</v>
      </c>
    </row>
    <row r="2641" spans="1:15" ht="84" customHeight="1" x14ac:dyDescent="0.3">
      <c r="A2641" s="2">
        <v>2637</v>
      </c>
      <c r="B2641" s="66" t="s">
        <v>2909</v>
      </c>
      <c r="C2641" s="66" t="s">
        <v>12150</v>
      </c>
      <c r="D2641" s="11" t="s">
        <v>2934</v>
      </c>
      <c r="E2641" s="11"/>
      <c r="F2641" s="3" t="s">
        <v>2861</v>
      </c>
      <c r="G2641" s="2" t="s">
        <v>12155</v>
      </c>
      <c r="H2641" s="3">
        <v>43053</v>
      </c>
      <c r="I2641" s="2" t="s">
        <v>19506</v>
      </c>
      <c r="J2641" s="2" t="s">
        <v>13904</v>
      </c>
      <c r="K2641" s="2" t="s">
        <v>19230</v>
      </c>
      <c r="L2641" s="82" t="s">
        <v>19512</v>
      </c>
    </row>
    <row r="2642" spans="1:15" ht="84" customHeight="1" x14ac:dyDescent="0.3">
      <c r="A2642" s="2">
        <v>2638</v>
      </c>
      <c r="B2642" s="66" t="s">
        <v>2910</v>
      </c>
      <c r="C2642" s="66" t="s">
        <v>12151</v>
      </c>
      <c r="D2642" s="11" t="s">
        <v>1891</v>
      </c>
      <c r="E2642" s="11">
        <v>7000</v>
      </c>
      <c r="F2642" s="3" t="s">
        <v>2861</v>
      </c>
      <c r="G2642" s="2" t="s">
        <v>12155</v>
      </c>
      <c r="H2642" s="3">
        <v>43053</v>
      </c>
      <c r="I2642" s="2" t="s">
        <v>19506</v>
      </c>
      <c r="J2642" s="2" t="s">
        <v>13904</v>
      </c>
      <c r="K2642" s="2" t="s">
        <v>19230</v>
      </c>
      <c r="L2642" s="82" t="s">
        <v>19512</v>
      </c>
    </row>
    <row r="2643" spans="1:15" ht="84" customHeight="1" x14ac:dyDescent="0.3">
      <c r="A2643" s="2">
        <v>2639</v>
      </c>
      <c r="B2643" s="66" t="s">
        <v>2935</v>
      </c>
      <c r="C2643" s="66" t="s">
        <v>12152</v>
      </c>
      <c r="D2643" s="11" t="s">
        <v>2937</v>
      </c>
      <c r="E2643" s="11">
        <v>4230.8999999999996</v>
      </c>
      <c r="F2643" s="3" t="s">
        <v>2861</v>
      </c>
      <c r="G2643" s="2" t="s">
        <v>12155</v>
      </c>
      <c r="H2643" s="3">
        <v>43053</v>
      </c>
      <c r="I2643" s="2" t="s">
        <v>19506</v>
      </c>
      <c r="J2643" s="2" t="s">
        <v>13904</v>
      </c>
      <c r="K2643" s="2" t="s">
        <v>19230</v>
      </c>
      <c r="L2643" s="82" t="s">
        <v>19512</v>
      </c>
    </row>
    <row r="2644" spans="1:15" ht="84" customHeight="1" x14ac:dyDescent="0.3">
      <c r="A2644" s="2">
        <v>2640</v>
      </c>
      <c r="B2644" s="66" t="s">
        <v>2936</v>
      </c>
      <c r="C2644" s="66" t="s">
        <v>12153</v>
      </c>
      <c r="D2644" s="11" t="s">
        <v>1981</v>
      </c>
      <c r="E2644" s="11">
        <v>4453</v>
      </c>
      <c r="F2644" s="3" t="s">
        <v>2861</v>
      </c>
      <c r="G2644" s="2" t="s">
        <v>12155</v>
      </c>
      <c r="H2644" s="3">
        <v>43053</v>
      </c>
      <c r="I2644" s="2" t="s">
        <v>19506</v>
      </c>
      <c r="J2644" s="2" t="s">
        <v>13904</v>
      </c>
      <c r="K2644" s="2" t="s">
        <v>19230</v>
      </c>
      <c r="L2644" s="82" t="s">
        <v>19512</v>
      </c>
    </row>
    <row r="2645" spans="1:15" ht="84" customHeight="1" x14ac:dyDescent="0.3">
      <c r="A2645" s="2">
        <v>2641</v>
      </c>
      <c r="B2645" s="66" t="s">
        <v>885</v>
      </c>
      <c r="C2645" s="66" t="s">
        <v>12154</v>
      </c>
      <c r="D2645" s="11" t="s">
        <v>2938</v>
      </c>
      <c r="E2645" s="11">
        <v>4600</v>
      </c>
      <c r="F2645" s="3" t="s">
        <v>2861</v>
      </c>
      <c r="G2645" s="2" t="s">
        <v>12155</v>
      </c>
      <c r="H2645" s="3">
        <v>43053</v>
      </c>
      <c r="I2645" s="2" t="s">
        <v>19506</v>
      </c>
      <c r="J2645" s="2" t="s">
        <v>13904</v>
      </c>
      <c r="K2645" s="2" t="s">
        <v>19230</v>
      </c>
      <c r="L2645" s="82" t="s">
        <v>19512</v>
      </c>
    </row>
    <row r="2646" spans="1:15" s="19" customFormat="1" ht="108" customHeight="1" x14ac:dyDescent="0.3">
      <c r="A2646" s="2">
        <v>2642</v>
      </c>
      <c r="B2646" s="66" t="s">
        <v>2939</v>
      </c>
      <c r="C2646" s="66"/>
      <c r="D2646" s="11" t="s">
        <v>2941</v>
      </c>
      <c r="E2646" s="11" t="s">
        <v>2941</v>
      </c>
      <c r="F2646" s="3">
        <v>37559</v>
      </c>
      <c r="G2646" s="2" t="s">
        <v>2844</v>
      </c>
      <c r="H2646" s="3">
        <v>43053</v>
      </c>
      <c r="I2646" s="2" t="s">
        <v>19506</v>
      </c>
      <c r="J2646" s="2" t="s">
        <v>13904</v>
      </c>
      <c r="K2646" s="2" t="s">
        <v>19233</v>
      </c>
      <c r="L2646" s="82" t="s">
        <v>19512</v>
      </c>
      <c r="M2646" s="18"/>
      <c r="N2646" s="18"/>
      <c r="O2646" s="18"/>
    </row>
    <row r="2647" spans="1:15" ht="108" customHeight="1" x14ac:dyDescent="0.3">
      <c r="A2647" s="2">
        <v>2643</v>
      </c>
      <c r="B2647" s="66" t="s">
        <v>2940</v>
      </c>
      <c r="C2647" s="66"/>
      <c r="D2647" s="11" t="s">
        <v>2942</v>
      </c>
      <c r="E2647" s="11">
        <v>17032.5</v>
      </c>
      <c r="F2647" s="3">
        <v>40619</v>
      </c>
      <c r="G2647" s="2" t="s">
        <v>2844</v>
      </c>
      <c r="H2647" s="3">
        <v>43053</v>
      </c>
      <c r="I2647" s="2" t="s">
        <v>19506</v>
      </c>
      <c r="J2647" s="2" t="s">
        <v>13904</v>
      </c>
      <c r="K2647" s="2" t="s">
        <v>19233</v>
      </c>
      <c r="L2647" s="82" t="s">
        <v>19512</v>
      </c>
    </row>
    <row r="2648" spans="1:15" ht="108" customHeight="1" x14ac:dyDescent="0.3">
      <c r="A2648" s="2">
        <v>2644</v>
      </c>
      <c r="B2648" s="66" t="s">
        <v>1833</v>
      </c>
      <c r="C2648" s="66" t="s">
        <v>18862</v>
      </c>
      <c r="D2648" s="11" t="s">
        <v>1885</v>
      </c>
      <c r="E2648" s="11">
        <v>22304.880000000001</v>
      </c>
      <c r="F2648" s="3">
        <v>41627</v>
      </c>
      <c r="G2648" s="2" t="s">
        <v>2844</v>
      </c>
      <c r="H2648" s="2"/>
      <c r="I2648" s="2"/>
      <c r="J2648" s="2" t="s">
        <v>13904</v>
      </c>
      <c r="K2648" s="2" t="s">
        <v>19233</v>
      </c>
      <c r="L2648" s="82" t="s">
        <v>18861</v>
      </c>
    </row>
    <row r="2649" spans="1:15" ht="108" customHeight="1" x14ac:dyDescent="0.3">
      <c r="A2649" s="2">
        <v>2645</v>
      </c>
      <c r="B2649" s="66" t="s">
        <v>2943</v>
      </c>
      <c r="C2649" s="66"/>
      <c r="D2649" s="11" t="s">
        <v>2944</v>
      </c>
      <c r="E2649" s="11" t="s">
        <v>2944</v>
      </c>
      <c r="F2649" s="3">
        <v>40520</v>
      </c>
      <c r="G2649" s="2" t="s">
        <v>2844</v>
      </c>
      <c r="H2649" s="2"/>
      <c r="I2649" s="2"/>
      <c r="J2649" s="2" t="s">
        <v>13904</v>
      </c>
      <c r="K2649" s="2" t="s">
        <v>19233</v>
      </c>
      <c r="L2649" s="82" t="s">
        <v>19714</v>
      </c>
    </row>
    <row r="2650" spans="1:15" ht="108" customHeight="1" x14ac:dyDescent="0.3">
      <c r="A2650" s="2">
        <v>2646</v>
      </c>
      <c r="B2650" s="66" t="s">
        <v>2945</v>
      </c>
      <c r="C2650" s="66" t="s">
        <v>18864</v>
      </c>
      <c r="D2650" s="11" t="s">
        <v>2948</v>
      </c>
      <c r="E2650" s="11">
        <v>74849.850000000006</v>
      </c>
      <c r="F2650" s="3">
        <v>41351</v>
      </c>
      <c r="G2650" s="2" t="s">
        <v>2844</v>
      </c>
      <c r="H2650" s="2"/>
      <c r="I2650" s="2"/>
      <c r="J2650" s="2" t="s">
        <v>13904</v>
      </c>
      <c r="K2650" s="2" t="s">
        <v>19233</v>
      </c>
      <c r="L2650" s="82" t="s">
        <v>18861</v>
      </c>
    </row>
    <row r="2651" spans="1:15" ht="108" customHeight="1" x14ac:dyDescent="0.3">
      <c r="A2651" s="2">
        <v>2647</v>
      </c>
      <c r="B2651" s="66" t="s">
        <v>2946</v>
      </c>
      <c r="C2651" s="66"/>
      <c r="D2651" s="11" t="s">
        <v>2949</v>
      </c>
      <c r="E2651" s="11" t="s">
        <v>2949</v>
      </c>
      <c r="F2651" s="3">
        <v>37876</v>
      </c>
      <c r="G2651" s="2" t="s">
        <v>2844</v>
      </c>
      <c r="H2651" s="3">
        <v>43053</v>
      </c>
      <c r="I2651" s="2" t="s">
        <v>19506</v>
      </c>
      <c r="J2651" s="2" t="s">
        <v>13904</v>
      </c>
      <c r="K2651" s="2" t="s">
        <v>19233</v>
      </c>
      <c r="L2651" s="82" t="s">
        <v>19512</v>
      </c>
    </row>
    <row r="2652" spans="1:15" ht="108" customHeight="1" x14ac:dyDescent="0.3">
      <c r="A2652" s="2">
        <v>2648</v>
      </c>
      <c r="B2652" s="66" t="s">
        <v>2947</v>
      </c>
      <c r="C2652" s="66"/>
      <c r="D2652" s="11" t="s">
        <v>2950</v>
      </c>
      <c r="E2652" s="11" t="s">
        <v>2950</v>
      </c>
      <c r="F2652" s="3">
        <v>39507</v>
      </c>
      <c r="G2652" s="2" t="s">
        <v>2844</v>
      </c>
      <c r="H2652" s="3">
        <v>43053</v>
      </c>
      <c r="I2652" s="2" t="s">
        <v>19506</v>
      </c>
      <c r="J2652" s="2" t="s">
        <v>13904</v>
      </c>
      <c r="K2652" s="2" t="s">
        <v>19233</v>
      </c>
      <c r="L2652" s="82" t="s">
        <v>19512</v>
      </c>
    </row>
    <row r="2653" spans="1:15" ht="108" customHeight="1" x14ac:dyDescent="0.3">
      <c r="A2653" s="2">
        <v>2649</v>
      </c>
      <c r="B2653" s="66" t="s">
        <v>18857</v>
      </c>
      <c r="C2653" s="66" t="s">
        <v>18858</v>
      </c>
      <c r="D2653" s="11">
        <v>99000</v>
      </c>
      <c r="E2653" s="11">
        <v>21450</v>
      </c>
      <c r="F2653" s="3">
        <v>42686</v>
      </c>
      <c r="G2653" s="2" t="s">
        <v>2844</v>
      </c>
      <c r="H2653" s="2"/>
      <c r="I2653" s="2"/>
      <c r="J2653" s="2" t="s">
        <v>13904</v>
      </c>
      <c r="K2653" s="2" t="s">
        <v>19233</v>
      </c>
      <c r="L2653" s="82" t="s">
        <v>19034</v>
      </c>
    </row>
    <row r="2654" spans="1:15" ht="108" customHeight="1" x14ac:dyDescent="0.3">
      <c r="A2654" s="2">
        <v>2650</v>
      </c>
      <c r="B2654" s="66" t="s">
        <v>2951</v>
      </c>
      <c r="C2654" s="66"/>
      <c r="D2654" s="11" t="s">
        <v>2964</v>
      </c>
      <c r="E2654" s="11" t="s">
        <v>2964</v>
      </c>
      <c r="F2654" s="3">
        <v>41548</v>
      </c>
      <c r="G2654" s="2" t="s">
        <v>2844</v>
      </c>
      <c r="H2654" s="3">
        <v>43053</v>
      </c>
      <c r="I2654" s="2" t="s">
        <v>19506</v>
      </c>
      <c r="J2654" s="2" t="s">
        <v>13904</v>
      </c>
      <c r="K2654" s="2" t="s">
        <v>19233</v>
      </c>
      <c r="L2654" s="82" t="s">
        <v>19512</v>
      </c>
    </row>
    <row r="2655" spans="1:15" ht="108" customHeight="1" x14ac:dyDescent="0.3">
      <c r="A2655" s="2">
        <v>2651</v>
      </c>
      <c r="B2655" s="66" t="s">
        <v>18859</v>
      </c>
      <c r="C2655" s="66" t="s">
        <v>18860</v>
      </c>
      <c r="D2655" s="11">
        <v>99800</v>
      </c>
      <c r="E2655" s="11">
        <v>52672.18</v>
      </c>
      <c r="F2655" s="3">
        <v>42498</v>
      </c>
      <c r="G2655" s="2" t="s">
        <v>2844</v>
      </c>
      <c r="H2655" s="2"/>
      <c r="I2655" s="2"/>
      <c r="J2655" s="2" t="s">
        <v>13904</v>
      </c>
      <c r="K2655" s="2" t="s">
        <v>19233</v>
      </c>
      <c r="L2655" s="82" t="s">
        <v>18861</v>
      </c>
    </row>
    <row r="2656" spans="1:15" ht="108" customHeight="1" x14ac:dyDescent="0.3">
      <c r="A2656" s="2">
        <v>2652</v>
      </c>
      <c r="B2656" s="66" t="s">
        <v>2952</v>
      </c>
      <c r="C2656" s="66"/>
      <c r="D2656" s="11" t="s">
        <v>2965</v>
      </c>
      <c r="E2656" s="11" t="s">
        <v>2965</v>
      </c>
      <c r="F2656" s="3">
        <v>39624</v>
      </c>
      <c r="G2656" s="2" t="s">
        <v>2844</v>
      </c>
      <c r="H2656" s="3">
        <v>43053</v>
      </c>
      <c r="I2656" s="2" t="s">
        <v>19506</v>
      </c>
      <c r="J2656" s="2" t="s">
        <v>13904</v>
      </c>
      <c r="K2656" s="2" t="s">
        <v>19233</v>
      </c>
      <c r="L2656" s="82" t="s">
        <v>19512</v>
      </c>
    </row>
    <row r="2657" spans="1:12" ht="108" customHeight="1" x14ac:dyDescent="0.3">
      <c r="A2657" s="2">
        <v>2653</v>
      </c>
      <c r="B2657" s="66" t="s">
        <v>2953</v>
      </c>
      <c r="C2657" s="66"/>
      <c r="D2657" s="11" t="s">
        <v>2966</v>
      </c>
      <c r="E2657" s="11" t="s">
        <v>2966</v>
      </c>
      <c r="F2657" s="3">
        <v>39554</v>
      </c>
      <c r="G2657" s="2" t="s">
        <v>2844</v>
      </c>
      <c r="H2657" s="3">
        <v>43053</v>
      </c>
      <c r="I2657" s="2" t="s">
        <v>19506</v>
      </c>
      <c r="J2657" s="2" t="s">
        <v>13904</v>
      </c>
      <c r="K2657" s="2" t="s">
        <v>19233</v>
      </c>
      <c r="L2657" s="82" t="s">
        <v>19512</v>
      </c>
    </row>
    <row r="2658" spans="1:12" ht="108" customHeight="1" x14ac:dyDescent="0.3">
      <c r="A2658" s="2">
        <v>2654</v>
      </c>
      <c r="B2658" s="66" t="s">
        <v>1316</v>
      </c>
      <c r="C2658" s="66"/>
      <c r="D2658" s="11" t="s">
        <v>2967</v>
      </c>
      <c r="E2658" s="11" t="s">
        <v>2967</v>
      </c>
      <c r="F2658" s="3">
        <v>39174</v>
      </c>
      <c r="G2658" s="2" t="s">
        <v>2844</v>
      </c>
      <c r="H2658" s="3">
        <v>43053</v>
      </c>
      <c r="I2658" s="2" t="s">
        <v>19506</v>
      </c>
      <c r="J2658" s="2" t="s">
        <v>13904</v>
      </c>
      <c r="K2658" s="2" t="s">
        <v>19233</v>
      </c>
      <c r="L2658" s="82" t="s">
        <v>19512</v>
      </c>
    </row>
    <row r="2659" spans="1:12" ht="108" customHeight="1" x14ac:dyDescent="0.3">
      <c r="A2659" s="2">
        <v>2655</v>
      </c>
      <c r="B2659" s="66" t="s">
        <v>17945</v>
      </c>
      <c r="C2659" s="66" t="s">
        <v>18863</v>
      </c>
      <c r="D2659" s="11">
        <v>92338</v>
      </c>
      <c r="E2659" s="11">
        <v>33344.22</v>
      </c>
      <c r="F2659" s="3">
        <v>42686</v>
      </c>
      <c r="G2659" s="2" t="s">
        <v>2844</v>
      </c>
      <c r="H2659" s="2"/>
      <c r="I2659" s="2"/>
      <c r="J2659" s="2" t="s">
        <v>13904</v>
      </c>
      <c r="K2659" s="2" t="s">
        <v>19233</v>
      </c>
      <c r="L2659" s="82" t="s">
        <v>18861</v>
      </c>
    </row>
    <row r="2660" spans="1:12" ht="108" customHeight="1" x14ac:dyDescent="0.3">
      <c r="A2660" s="2">
        <v>2656</v>
      </c>
      <c r="B2660" s="66" t="s">
        <v>1812</v>
      </c>
      <c r="C2660" s="66"/>
      <c r="D2660" s="11" t="s">
        <v>2968</v>
      </c>
      <c r="E2660" s="11" t="s">
        <v>2968</v>
      </c>
      <c r="F2660" s="3">
        <v>38896</v>
      </c>
      <c r="G2660" s="2" t="s">
        <v>2844</v>
      </c>
      <c r="H2660" s="3">
        <v>43252</v>
      </c>
      <c r="I2660" s="2" t="s">
        <v>20478</v>
      </c>
      <c r="J2660" s="2" t="s">
        <v>13904</v>
      </c>
      <c r="K2660" s="2" t="s">
        <v>19233</v>
      </c>
      <c r="L2660" s="82" t="s">
        <v>19512</v>
      </c>
    </row>
    <row r="2661" spans="1:12" ht="108" customHeight="1" x14ac:dyDescent="0.3">
      <c r="A2661" s="2">
        <v>2657</v>
      </c>
      <c r="B2661" s="66" t="s">
        <v>2954</v>
      </c>
      <c r="C2661" s="66"/>
      <c r="D2661" s="11" t="s">
        <v>2969</v>
      </c>
      <c r="E2661" s="11" t="s">
        <v>2969</v>
      </c>
      <c r="F2661" s="3">
        <v>39539</v>
      </c>
      <c r="G2661" s="2" t="s">
        <v>2844</v>
      </c>
      <c r="H2661" s="3">
        <v>43053</v>
      </c>
      <c r="I2661" s="2" t="s">
        <v>19506</v>
      </c>
      <c r="J2661" s="2" t="s">
        <v>13904</v>
      </c>
      <c r="K2661" s="2" t="s">
        <v>19233</v>
      </c>
      <c r="L2661" s="82" t="s">
        <v>19512</v>
      </c>
    </row>
    <row r="2662" spans="1:12" ht="108" customHeight="1" x14ac:dyDescent="0.3">
      <c r="A2662" s="2">
        <v>2658</v>
      </c>
      <c r="B2662" s="66" t="s">
        <v>2684</v>
      </c>
      <c r="C2662" s="66"/>
      <c r="D2662" s="11" t="s">
        <v>2738</v>
      </c>
      <c r="E2662" s="11" t="s">
        <v>2738</v>
      </c>
      <c r="F2662" s="3">
        <v>39443</v>
      </c>
      <c r="G2662" s="2" t="s">
        <v>2844</v>
      </c>
      <c r="H2662" s="3">
        <v>43053</v>
      </c>
      <c r="I2662" s="2" t="s">
        <v>19506</v>
      </c>
      <c r="J2662" s="2" t="s">
        <v>13904</v>
      </c>
      <c r="K2662" s="2" t="s">
        <v>19233</v>
      </c>
      <c r="L2662" s="82" t="s">
        <v>19512</v>
      </c>
    </row>
    <row r="2663" spans="1:12" ht="108" customHeight="1" x14ac:dyDescent="0.3">
      <c r="A2663" s="2">
        <v>2659</v>
      </c>
      <c r="B2663" s="66" t="s">
        <v>2955</v>
      </c>
      <c r="C2663" s="66"/>
      <c r="D2663" s="11" t="s">
        <v>1805</v>
      </c>
      <c r="E2663" s="11" t="s">
        <v>1805</v>
      </c>
      <c r="F2663" s="3">
        <v>40142</v>
      </c>
      <c r="G2663" s="2" t="s">
        <v>2844</v>
      </c>
      <c r="H2663" s="3">
        <v>43053</v>
      </c>
      <c r="I2663" s="2" t="s">
        <v>19506</v>
      </c>
      <c r="J2663" s="2" t="s">
        <v>13904</v>
      </c>
      <c r="K2663" s="2" t="s">
        <v>19233</v>
      </c>
      <c r="L2663" s="82" t="s">
        <v>19512</v>
      </c>
    </row>
    <row r="2664" spans="1:12" ht="108" customHeight="1" x14ac:dyDescent="0.3">
      <c r="A2664" s="2">
        <v>2660</v>
      </c>
      <c r="B2664" s="66" t="s">
        <v>2956</v>
      </c>
      <c r="C2664" s="66"/>
      <c r="D2664" s="11" t="s">
        <v>2970</v>
      </c>
      <c r="E2664" s="11" t="s">
        <v>2970</v>
      </c>
      <c r="F2664" s="3">
        <v>41954</v>
      </c>
      <c r="G2664" s="2" t="s">
        <v>2844</v>
      </c>
      <c r="H2664" s="3">
        <v>43053</v>
      </c>
      <c r="I2664" s="2" t="s">
        <v>19506</v>
      </c>
      <c r="J2664" s="2" t="s">
        <v>13904</v>
      </c>
      <c r="K2664" s="2" t="s">
        <v>19233</v>
      </c>
      <c r="L2664" s="82" t="s">
        <v>19512</v>
      </c>
    </row>
    <row r="2665" spans="1:12" ht="108" customHeight="1" x14ac:dyDescent="0.3">
      <c r="A2665" s="2">
        <v>2661</v>
      </c>
      <c r="B2665" s="66" t="s">
        <v>2957</v>
      </c>
      <c r="C2665" s="66"/>
      <c r="D2665" s="11" t="s">
        <v>2971</v>
      </c>
      <c r="E2665" s="11" t="s">
        <v>2971</v>
      </c>
      <c r="F2665" s="3">
        <v>41996</v>
      </c>
      <c r="G2665" s="2" t="s">
        <v>2844</v>
      </c>
      <c r="H2665" s="3">
        <v>43053</v>
      </c>
      <c r="I2665" s="2" t="s">
        <v>19506</v>
      </c>
      <c r="J2665" s="2" t="s">
        <v>13904</v>
      </c>
      <c r="K2665" s="2" t="s">
        <v>19233</v>
      </c>
      <c r="L2665" s="82" t="s">
        <v>19512</v>
      </c>
    </row>
    <row r="2666" spans="1:12" ht="108" customHeight="1" x14ac:dyDescent="0.3">
      <c r="A2666" s="2">
        <v>2662</v>
      </c>
      <c r="B2666" s="66" t="s">
        <v>2958</v>
      </c>
      <c r="C2666" s="66"/>
      <c r="D2666" s="11" t="s">
        <v>2972</v>
      </c>
      <c r="E2666" s="11" t="s">
        <v>2972</v>
      </c>
      <c r="F2666" s="3">
        <v>40435</v>
      </c>
      <c r="G2666" s="2" t="s">
        <v>2844</v>
      </c>
      <c r="H2666" s="3">
        <v>43053</v>
      </c>
      <c r="I2666" s="2" t="s">
        <v>19506</v>
      </c>
      <c r="J2666" s="2" t="s">
        <v>13904</v>
      </c>
      <c r="K2666" s="2" t="s">
        <v>19233</v>
      </c>
      <c r="L2666" s="82" t="s">
        <v>19512</v>
      </c>
    </row>
    <row r="2667" spans="1:12" ht="108" customHeight="1" x14ac:dyDescent="0.3">
      <c r="A2667" s="2">
        <v>2663</v>
      </c>
      <c r="B2667" s="66" t="s">
        <v>2437</v>
      </c>
      <c r="C2667" s="66"/>
      <c r="D2667" s="11" t="s">
        <v>2973</v>
      </c>
      <c r="E2667" s="11" t="s">
        <v>2973</v>
      </c>
      <c r="F2667" s="3">
        <v>38709</v>
      </c>
      <c r="G2667" s="2" t="s">
        <v>2844</v>
      </c>
      <c r="H2667" s="3">
        <v>43053</v>
      </c>
      <c r="I2667" s="2" t="s">
        <v>19506</v>
      </c>
      <c r="J2667" s="2" t="s">
        <v>13904</v>
      </c>
      <c r="K2667" s="2" t="s">
        <v>19233</v>
      </c>
      <c r="L2667" s="82" t="s">
        <v>19512</v>
      </c>
    </row>
    <row r="2668" spans="1:12" ht="108" customHeight="1" x14ac:dyDescent="0.3">
      <c r="A2668" s="2">
        <v>2664</v>
      </c>
      <c r="B2668" s="66" t="s">
        <v>2959</v>
      </c>
      <c r="C2668" s="66"/>
      <c r="D2668" s="11" t="s">
        <v>2974</v>
      </c>
      <c r="E2668" s="11" t="s">
        <v>2974</v>
      </c>
      <c r="F2668" s="3">
        <v>40091</v>
      </c>
      <c r="G2668" s="2" t="s">
        <v>2844</v>
      </c>
      <c r="H2668" s="3">
        <v>43053</v>
      </c>
      <c r="I2668" s="2" t="s">
        <v>19506</v>
      </c>
      <c r="J2668" s="2" t="s">
        <v>13904</v>
      </c>
      <c r="K2668" s="2" t="s">
        <v>19233</v>
      </c>
      <c r="L2668" s="82" t="s">
        <v>19512</v>
      </c>
    </row>
    <row r="2669" spans="1:12" ht="108" customHeight="1" x14ac:dyDescent="0.3">
      <c r="A2669" s="2">
        <v>2665</v>
      </c>
      <c r="B2669" s="66" t="s">
        <v>2960</v>
      </c>
      <c r="C2669" s="66"/>
      <c r="D2669" s="11" t="s">
        <v>2975</v>
      </c>
      <c r="E2669" s="11" t="s">
        <v>2975</v>
      </c>
      <c r="F2669" s="3">
        <v>38533</v>
      </c>
      <c r="G2669" s="2" t="s">
        <v>2844</v>
      </c>
      <c r="H2669" s="3">
        <v>43053</v>
      </c>
      <c r="I2669" s="2" t="s">
        <v>19506</v>
      </c>
      <c r="J2669" s="2" t="s">
        <v>13904</v>
      </c>
      <c r="K2669" s="2" t="s">
        <v>19233</v>
      </c>
      <c r="L2669" s="82" t="s">
        <v>19512</v>
      </c>
    </row>
    <row r="2670" spans="1:12" ht="108" customHeight="1" x14ac:dyDescent="0.3">
      <c r="A2670" s="2">
        <v>2666</v>
      </c>
      <c r="B2670" s="66" t="s">
        <v>2961</v>
      </c>
      <c r="C2670" s="66"/>
      <c r="D2670" s="11" t="s">
        <v>2976</v>
      </c>
      <c r="E2670" s="11" t="s">
        <v>2976</v>
      </c>
      <c r="F2670" s="3">
        <v>39080</v>
      </c>
      <c r="G2670" s="2" t="s">
        <v>2844</v>
      </c>
      <c r="H2670" s="3">
        <v>43053</v>
      </c>
      <c r="I2670" s="2" t="s">
        <v>19506</v>
      </c>
      <c r="J2670" s="2" t="s">
        <v>13904</v>
      </c>
      <c r="K2670" s="2" t="s">
        <v>19233</v>
      </c>
      <c r="L2670" s="82" t="s">
        <v>19512</v>
      </c>
    </row>
    <row r="2671" spans="1:12" ht="108" customHeight="1" x14ac:dyDescent="0.3">
      <c r="A2671" s="2">
        <v>2667</v>
      </c>
      <c r="B2671" s="66" t="s">
        <v>2909</v>
      </c>
      <c r="C2671" s="66"/>
      <c r="D2671" s="11" t="s">
        <v>1195</v>
      </c>
      <c r="E2671" s="11" t="s">
        <v>1195</v>
      </c>
      <c r="F2671" s="3">
        <v>39445</v>
      </c>
      <c r="G2671" s="2" t="s">
        <v>2844</v>
      </c>
      <c r="H2671" s="3">
        <v>43053</v>
      </c>
      <c r="I2671" s="2" t="s">
        <v>19506</v>
      </c>
      <c r="J2671" s="2" t="s">
        <v>13904</v>
      </c>
      <c r="K2671" s="2" t="s">
        <v>19233</v>
      </c>
      <c r="L2671" s="82" t="s">
        <v>19512</v>
      </c>
    </row>
    <row r="2672" spans="1:12" ht="108" customHeight="1" x14ac:dyDescent="0.3">
      <c r="A2672" s="2">
        <v>2668</v>
      </c>
      <c r="B2672" s="66" t="s">
        <v>2962</v>
      </c>
      <c r="C2672" s="66"/>
      <c r="D2672" s="11" t="s">
        <v>2977</v>
      </c>
      <c r="E2672" s="11" t="s">
        <v>2977</v>
      </c>
      <c r="F2672" s="3">
        <v>36769</v>
      </c>
      <c r="G2672" s="2" t="s">
        <v>2844</v>
      </c>
      <c r="H2672" s="3">
        <v>43053</v>
      </c>
      <c r="I2672" s="2" t="s">
        <v>19506</v>
      </c>
      <c r="J2672" s="2" t="s">
        <v>13904</v>
      </c>
      <c r="K2672" s="2" t="s">
        <v>19233</v>
      </c>
      <c r="L2672" s="82" t="s">
        <v>19512</v>
      </c>
    </row>
    <row r="2673" spans="1:12" ht="108" customHeight="1" x14ac:dyDescent="0.3">
      <c r="A2673" s="2">
        <v>2669</v>
      </c>
      <c r="B2673" s="66" t="s">
        <v>2962</v>
      </c>
      <c r="C2673" s="66"/>
      <c r="D2673" s="11" t="s">
        <v>2977</v>
      </c>
      <c r="E2673" s="11" t="s">
        <v>2977</v>
      </c>
      <c r="F2673" s="3">
        <v>36769</v>
      </c>
      <c r="G2673" s="2" t="s">
        <v>2844</v>
      </c>
      <c r="H2673" s="3">
        <v>43053</v>
      </c>
      <c r="I2673" s="2" t="s">
        <v>19506</v>
      </c>
      <c r="J2673" s="2" t="s">
        <v>13904</v>
      </c>
      <c r="K2673" s="2" t="s">
        <v>19233</v>
      </c>
      <c r="L2673" s="82" t="s">
        <v>19512</v>
      </c>
    </row>
    <row r="2674" spans="1:12" ht="108" customHeight="1" x14ac:dyDescent="0.3">
      <c r="A2674" s="2">
        <v>2670</v>
      </c>
      <c r="B2674" s="66" t="s">
        <v>2963</v>
      </c>
      <c r="C2674" s="66"/>
      <c r="D2674" s="11" t="s">
        <v>2978</v>
      </c>
      <c r="E2674" s="11" t="s">
        <v>2978</v>
      </c>
      <c r="F2674" s="3">
        <v>41554</v>
      </c>
      <c r="G2674" s="2" t="s">
        <v>2844</v>
      </c>
      <c r="H2674" s="3">
        <v>43053</v>
      </c>
      <c r="I2674" s="2" t="s">
        <v>19506</v>
      </c>
      <c r="J2674" s="2" t="s">
        <v>13904</v>
      </c>
      <c r="K2674" s="2" t="s">
        <v>19233</v>
      </c>
      <c r="L2674" s="82" t="s">
        <v>19512</v>
      </c>
    </row>
    <row r="2675" spans="1:12" ht="108" customHeight="1" x14ac:dyDescent="0.3">
      <c r="A2675" s="2">
        <v>2671</v>
      </c>
      <c r="B2675" s="66" t="s">
        <v>1939</v>
      </c>
      <c r="C2675" s="66"/>
      <c r="D2675" s="11" t="s">
        <v>2996</v>
      </c>
      <c r="E2675" s="11" t="s">
        <v>2996</v>
      </c>
      <c r="F2675" s="3">
        <v>41000</v>
      </c>
      <c r="G2675" s="2" t="s">
        <v>2844</v>
      </c>
      <c r="H2675" s="3">
        <v>43053</v>
      </c>
      <c r="I2675" s="2" t="s">
        <v>19506</v>
      </c>
      <c r="J2675" s="2" t="s">
        <v>13904</v>
      </c>
      <c r="K2675" s="2" t="s">
        <v>19233</v>
      </c>
      <c r="L2675" s="82" t="s">
        <v>19512</v>
      </c>
    </row>
    <row r="2676" spans="1:12" ht="108" customHeight="1" x14ac:dyDescent="0.3">
      <c r="A2676" s="2">
        <v>2672</v>
      </c>
      <c r="B2676" s="66" t="s">
        <v>266</v>
      </c>
      <c r="C2676" s="66"/>
      <c r="D2676" s="11" t="s">
        <v>1999</v>
      </c>
      <c r="E2676" s="11" t="s">
        <v>1999</v>
      </c>
      <c r="F2676" s="3">
        <v>41228</v>
      </c>
      <c r="G2676" s="2" t="s">
        <v>2844</v>
      </c>
      <c r="H2676" s="3">
        <v>43053</v>
      </c>
      <c r="I2676" s="2" t="s">
        <v>19506</v>
      </c>
      <c r="J2676" s="2" t="s">
        <v>13904</v>
      </c>
      <c r="K2676" s="2" t="s">
        <v>19233</v>
      </c>
      <c r="L2676" s="82" t="s">
        <v>19512</v>
      </c>
    </row>
    <row r="2677" spans="1:12" ht="108" customHeight="1" x14ac:dyDescent="0.3">
      <c r="A2677" s="2">
        <v>2673</v>
      </c>
      <c r="B2677" s="66" t="s">
        <v>269</v>
      </c>
      <c r="C2677" s="66"/>
      <c r="D2677" s="11" t="s">
        <v>2997</v>
      </c>
      <c r="E2677" s="11" t="s">
        <v>2997</v>
      </c>
      <c r="F2677" s="3">
        <v>38498</v>
      </c>
      <c r="G2677" s="2" t="s">
        <v>2844</v>
      </c>
      <c r="H2677" s="3">
        <v>43053</v>
      </c>
      <c r="I2677" s="2" t="s">
        <v>19506</v>
      </c>
      <c r="J2677" s="2" t="s">
        <v>13904</v>
      </c>
      <c r="K2677" s="2" t="s">
        <v>19233</v>
      </c>
      <c r="L2677" s="82" t="s">
        <v>19512</v>
      </c>
    </row>
    <row r="2678" spans="1:12" ht="108" customHeight="1" x14ac:dyDescent="0.3">
      <c r="A2678" s="2">
        <v>2674</v>
      </c>
      <c r="B2678" s="66" t="s">
        <v>2979</v>
      </c>
      <c r="C2678" s="66"/>
      <c r="D2678" s="11" t="s">
        <v>1250</v>
      </c>
      <c r="E2678" s="11" t="s">
        <v>1250</v>
      </c>
      <c r="F2678" s="3">
        <v>39178</v>
      </c>
      <c r="G2678" s="2" t="s">
        <v>2844</v>
      </c>
      <c r="H2678" s="3">
        <v>43053</v>
      </c>
      <c r="I2678" s="2" t="s">
        <v>19506</v>
      </c>
      <c r="J2678" s="2" t="s">
        <v>13904</v>
      </c>
      <c r="K2678" s="2" t="s">
        <v>19233</v>
      </c>
      <c r="L2678" s="82" t="s">
        <v>19512</v>
      </c>
    </row>
    <row r="2679" spans="1:12" ht="108" customHeight="1" x14ac:dyDescent="0.3">
      <c r="A2679" s="2">
        <v>2675</v>
      </c>
      <c r="B2679" s="66" t="s">
        <v>2980</v>
      </c>
      <c r="C2679" s="66"/>
      <c r="D2679" s="11" t="s">
        <v>2056</v>
      </c>
      <c r="E2679" s="11" t="s">
        <v>2056</v>
      </c>
      <c r="F2679" s="3">
        <v>39079</v>
      </c>
      <c r="G2679" s="2" t="s">
        <v>2844</v>
      </c>
      <c r="H2679" s="3">
        <v>43053</v>
      </c>
      <c r="I2679" s="2" t="s">
        <v>19506</v>
      </c>
      <c r="J2679" s="2" t="s">
        <v>13904</v>
      </c>
      <c r="K2679" s="2" t="s">
        <v>19233</v>
      </c>
      <c r="L2679" s="82" t="s">
        <v>19512</v>
      </c>
    </row>
    <row r="2680" spans="1:12" ht="108" customHeight="1" x14ac:dyDescent="0.3">
      <c r="A2680" s="2">
        <v>2676</v>
      </c>
      <c r="B2680" s="66" t="s">
        <v>2721</v>
      </c>
      <c r="C2680" s="66"/>
      <c r="D2680" s="11" t="s">
        <v>2998</v>
      </c>
      <c r="E2680" s="11" t="s">
        <v>2998</v>
      </c>
      <c r="F2680" s="3">
        <v>37937</v>
      </c>
      <c r="G2680" s="2" t="s">
        <v>2844</v>
      </c>
      <c r="H2680" s="3">
        <v>43053</v>
      </c>
      <c r="I2680" s="2" t="s">
        <v>19506</v>
      </c>
      <c r="J2680" s="2" t="s">
        <v>13904</v>
      </c>
      <c r="K2680" s="2" t="s">
        <v>19233</v>
      </c>
      <c r="L2680" s="82" t="s">
        <v>19512</v>
      </c>
    </row>
    <row r="2681" spans="1:12" ht="108" customHeight="1" x14ac:dyDescent="0.3">
      <c r="A2681" s="2">
        <v>2677</v>
      </c>
      <c r="B2681" s="66" t="s">
        <v>2684</v>
      </c>
      <c r="C2681" s="66"/>
      <c r="D2681" s="11" t="s">
        <v>2999</v>
      </c>
      <c r="E2681" s="11" t="s">
        <v>2999</v>
      </c>
      <c r="F2681" s="3">
        <v>39079</v>
      </c>
      <c r="G2681" s="2" t="s">
        <v>2844</v>
      </c>
      <c r="H2681" s="3">
        <v>43053</v>
      </c>
      <c r="I2681" s="2" t="s">
        <v>19506</v>
      </c>
      <c r="J2681" s="2" t="s">
        <v>13904</v>
      </c>
      <c r="K2681" s="2" t="s">
        <v>19233</v>
      </c>
      <c r="L2681" s="82" t="s">
        <v>19512</v>
      </c>
    </row>
    <row r="2682" spans="1:12" ht="108" customHeight="1" x14ac:dyDescent="0.3">
      <c r="A2682" s="2">
        <v>2678</v>
      </c>
      <c r="B2682" s="66" t="s">
        <v>2981</v>
      </c>
      <c r="C2682" s="66"/>
      <c r="D2682" s="11" t="s">
        <v>3000</v>
      </c>
      <c r="E2682" s="11" t="s">
        <v>3000</v>
      </c>
      <c r="F2682" s="3">
        <v>39811</v>
      </c>
      <c r="G2682" s="2" t="s">
        <v>2844</v>
      </c>
      <c r="H2682" s="3">
        <v>43053</v>
      </c>
      <c r="I2682" s="2" t="s">
        <v>19506</v>
      </c>
      <c r="J2682" s="2" t="s">
        <v>13904</v>
      </c>
      <c r="K2682" s="2" t="s">
        <v>19233</v>
      </c>
      <c r="L2682" s="82" t="s">
        <v>19512</v>
      </c>
    </row>
    <row r="2683" spans="1:12" ht="108" customHeight="1" x14ac:dyDescent="0.3">
      <c r="A2683" s="2">
        <v>2679</v>
      </c>
      <c r="B2683" s="66" t="s">
        <v>2982</v>
      </c>
      <c r="C2683" s="66"/>
      <c r="D2683" s="11" t="s">
        <v>3001</v>
      </c>
      <c r="E2683" s="11" t="s">
        <v>3001</v>
      </c>
      <c r="F2683" s="3">
        <v>37846</v>
      </c>
      <c r="G2683" s="2" t="s">
        <v>2844</v>
      </c>
      <c r="H2683" s="3">
        <v>43053</v>
      </c>
      <c r="I2683" s="2" t="s">
        <v>19506</v>
      </c>
      <c r="J2683" s="2" t="s">
        <v>13904</v>
      </c>
      <c r="K2683" s="2" t="s">
        <v>19233</v>
      </c>
      <c r="L2683" s="82" t="s">
        <v>19512</v>
      </c>
    </row>
    <row r="2684" spans="1:12" ht="108" customHeight="1" x14ac:dyDescent="0.3">
      <c r="A2684" s="2">
        <v>2680</v>
      </c>
      <c r="B2684" s="66" t="s">
        <v>253</v>
      </c>
      <c r="C2684" s="66"/>
      <c r="D2684" s="11" t="s">
        <v>3002</v>
      </c>
      <c r="E2684" s="11" t="s">
        <v>3002</v>
      </c>
      <c r="F2684" s="3">
        <v>41724</v>
      </c>
      <c r="G2684" s="2" t="s">
        <v>2844</v>
      </c>
      <c r="H2684" s="3">
        <v>43053</v>
      </c>
      <c r="I2684" s="2" t="s">
        <v>19506</v>
      </c>
      <c r="J2684" s="2" t="s">
        <v>13904</v>
      </c>
      <c r="K2684" s="2" t="s">
        <v>19233</v>
      </c>
      <c r="L2684" s="82" t="s">
        <v>19512</v>
      </c>
    </row>
    <row r="2685" spans="1:12" ht="108" customHeight="1" x14ac:dyDescent="0.3">
      <c r="A2685" s="2">
        <v>2681</v>
      </c>
      <c r="B2685" s="66" t="s">
        <v>2983</v>
      </c>
      <c r="C2685" s="66"/>
      <c r="D2685" s="11" t="s">
        <v>3003</v>
      </c>
      <c r="E2685" s="11" t="s">
        <v>3003</v>
      </c>
      <c r="F2685" s="3">
        <v>41724</v>
      </c>
      <c r="G2685" s="2" t="s">
        <v>2844</v>
      </c>
      <c r="H2685" s="3">
        <v>43053</v>
      </c>
      <c r="I2685" s="2" t="s">
        <v>19506</v>
      </c>
      <c r="J2685" s="2" t="s">
        <v>13904</v>
      </c>
      <c r="K2685" s="2" t="s">
        <v>19233</v>
      </c>
      <c r="L2685" s="82" t="s">
        <v>19512</v>
      </c>
    </row>
    <row r="2686" spans="1:12" ht="108" customHeight="1" x14ac:dyDescent="0.3">
      <c r="A2686" s="2">
        <v>2682</v>
      </c>
      <c r="B2686" s="66" t="s">
        <v>1922</v>
      </c>
      <c r="C2686" s="66"/>
      <c r="D2686" s="11" t="s">
        <v>3004</v>
      </c>
      <c r="E2686" s="11" t="s">
        <v>3004</v>
      </c>
      <c r="F2686" s="3">
        <v>41681</v>
      </c>
      <c r="G2686" s="2" t="s">
        <v>2844</v>
      </c>
      <c r="H2686" s="3">
        <v>43053</v>
      </c>
      <c r="I2686" s="2" t="s">
        <v>19506</v>
      </c>
      <c r="J2686" s="2" t="s">
        <v>13904</v>
      </c>
      <c r="K2686" s="2" t="s">
        <v>19233</v>
      </c>
      <c r="L2686" s="82" t="s">
        <v>19512</v>
      </c>
    </row>
    <row r="2687" spans="1:12" ht="108" customHeight="1" x14ac:dyDescent="0.3">
      <c r="A2687" s="2">
        <v>2683</v>
      </c>
      <c r="B2687" s="66" t="s">
        <v>2984</v>
      </c>
      <c r="C2687" s="66"/>
      <c r="D2687" s="11" t="s">
        <v>1999</v>
      </c>
      <c r="E2687" s="11" t="s">
        <v>1999</v>
      </c>
      <c r="F2687" s="3">
        <v>41619</v>
      </c>
      <c r="G2687" s="2" t="s">
        <v>2844</v>
      </c>
      <c r="H2687" s="3">
        <v>43053</v>
      </c>
      <c r="I2687" s="2" t="s">
        <v>19506</v>
      </c>
      <c r="J2687" s="2" t="s">
        <v>13904</v>
      </c>
      <c r="K2687" s="2" t="s">
        <v>19233</v>
      </c>
      <c r="L2687" s="82" t="s">
        <v>19512</v>
      </c>
    </row>
    <row r="2688" spans="1:12" ht="108" customHeight="1" x14ac:dyDescent="0.3">
      <c r="A2688" s="2">
        <v>2684</v>
      </c>
      <c r="B2688" s="66" t="s">
        <v>2984</v>
      </c>
      <c r="C2688" s="66"/>
      <c r="D2688" s="11" t="s">
        <v>1999</v>
      </c>
      <c r="E2688" s="11" t="s">
        <v>1999</v>
      </c>
      <c r="F2688" s="3">
        <v>41619</v>
      </c>
      <c r="G2688" s="2" t="s">
        <v>2844</v>
      </c>
      <c r="H2688" s="3">
        <v>43053</v>
      </c>
      <c r="I2688" s="2" t="s">
        <v>19506</v>
      </c>
      <c r="J2688" s="2" t="s">
        <v>13904</v>
      </c>
      <c r="K2688" s="2" t="s">
        <v>19233</v>
      </c>
      <c r="L2688" s="82" t="s">
        <v>19512</v>
      </c>
    </row>
    <row r="2689" spans="1:15" ht="108" customHeight="1" x14ac:dyDescent="0.3">
      <c r="A2689" s="2">
        <v>2685</v>
      </c>
      <c r="B2689" s="66" t="s">
        <v>253</v>
      </c>
      <c r="C2689" s="66"/>
      <c r="D2689" s="11" t="s">
        <v>3002</v>
      </c>
      <c r="E2689" s="11" t="s">
        <v>3002</v>
      </c>
      <c r="F2689" s="3">
        <v>41724</v>
      </c>
      <c r="G2689" s="2" t="s">
        <v>2844</v>
      </c>
      <c r="H2689" s="3">
        <v>43053</v>
      </c>
      <c r="I2689" s="2" t="s">
        <v>19506</v>
      </c>
      <c r="J2689" s="2" t="s">
        <v>13904</v>
      </c>
      <c r="K2689" s="2" t="s">
        <v>19233</v>
      </c>
      <c r="L2689" s="82" t="s">
        <v>19512</v>
      </c>
    </row>
    <row r="2690" spans="1:15" ht="108" customHeight="1" x14ac:dyDescent="0.3">
      <c r="A2690" s="2">
        <v>2686</v>
      </c>
      <c r="B2690" s="66" t="s">
        <v>1619</v>
      </c>
      <c r="C2690" s="66"/>
      <c r="D2690" s="11" t="s">
        <v>3005</v>
      </c>
      <c r="E2690" s="11" t="s">
        <v>3005</v>
      </c>
      <c r="F2690" s="3">
        <v>38311</v>
      </c>
      <c r="G2690" s="2" t="s">
        <v>2844</v>
      </c>
      <c r="H2690" s="3">
        <v>43053</v>
      </c>
      <c r="I2690" s="2" t="s">
        <v>19506</v>
      </c>
      <c r="J2690" s="2" t="s">
        <v>13904</v>
      </c>
      <c r="K2690" s="2" t="s">
        <v>19233</v>
      </c>
      <c r="L2690" s="82" t="s">
        <v>19512</v>
      </c>
    </row>
    <row r="2691" spans="1:15" ht="108" customHeight="1" x14ac:dyDescent="0.3">
      <c r="A2691" s="2">
        <v>2687</v>
      </c>
      <c r="B2691" s="66" t="s">
        <v>2985</v>
      </c>
      <c r="C2691" s="66"/>
      <c r="D2691" s="11" t="s">
        <v>3006</v>
      </c>
      <c r="E2691" s="11" t="s">
        <v>3006</v>
      </c>
      <c r="F2691" s="3">
        <v>38498</v>
      </c>
      <c r="G2691" s="2" t="s">
        <v>2844</v>
      </c>
      <c r="H2691" s="3">
        <v>43053</v>
      </c>
      <c r="I2691" s="2" t="s">
        <v>19506</v>
      </c>
      <c r="J2691" s="2" t="s">
        <v>13904</v>
      </c>
      <c r="K2691" s="2" t="s">
        <v>19233</v>
      </c>
      <c r="L2691" s="82" t="s">
        <v>19512</v>
      </c>
    </row>
    <row r="2692" spans="1:15" ht="108" customHeight="1" x14ac:dyDescent="0.3">
      <c r="A2692" s="2">
        <v>2688</v>
      </c>
      <c r="B2692" s="66" t="s">
        <v>2986</v>
      </c>
      <c r="C2692" s="66"/>
      <c r="D2692" s="11" t="s">
        <v>3007</v>
      </c>
      <c r="E2692" s="11" t="s">
        <v>3007</v>
      </c>
      <c r="F2692" s="3">
        <v>38280</v>
      </c>
      <c r="G2692" s="2" t="s">
        <v>2844</v>
      </c>
      <c r="H2692" s="3">
        <v>43053</v>
      </c>
      <c r="I2692" s="2" t="s">
        <v>19506</v>
      </c>
      <c r="J2692" s="2" t="s">
        <v>13904</v>
      </c>
      <c r="K2692" s="2" t="s">
        <v>19233</v>
      </c>
      <c r="L2692" s="82" t="s">
        <v>19512</v>
      </c>
    </row>
    <row r="2693" spans="1:15" ht="108" customHeight="1" x14ac:dyDescent="0.3">
      <c r="A2693" s="2">
        <v>2689</v>
      </c>
      <c r="B2693" s="66" t="s">
        <v>2987</v>
      </c>
      <c r="C2693" s="66"/>
      <c r="D2693" s="11" t="s">
        <v>3008</v>
      </c>
      <c r="E2693" s="11">
        <v>19728.63</v>
      </c>
      <c r="F2693" s="3">
        <v>39268</v>
      </c>
      <c r="G2693" s="2" t="s">
        <v>2844</v>
      </c>
      <c r="H2693" s="3">
        <v>43053</v>
      </c>
      <c r="I2693" s="2" t="s">
        <v>19506</v>
      </c>
      <c r="J2693" s="2" t="s">
        <v>13904</v>
      </c>
      <c r="K2693" s="2" t="s">
        <v>19233</v>
      </c>
      <c r="L2693" s="82" t="s">
        <v>19512</v>
      </c>
    </row>
    <row r="2694" spans="1:15" ht="108" customHeight="1" x14ac:dyDescent="0.3">
      <c r="A2694" s="2">
        <v>2690</v>
      </c>
      <c r="B2694" s="66" t="s">
        <v>2988</v>
      </c>
      <c r="C2694" s="66"/>
      <c r="D2694" s="11" t="s">
        <v>3009</v>
      </c>
      <c r="E2694" s="11" t="s">
        <v>3009</v>
      </c>
      <c r="F2694" s="3">
        <v>39162</v>
      </c>
      <c r="G2694" s="2" t="s">
        <v>2844</v>
      </c>
      <c r="H2694" s="3">
        <v>43053</v>
      </c>
      <c r="I2694" s="2" t="s">
        <v>19506</v>
      </c>
      <c r="J2694" s="2" t="s">
        <v>13904</v>
      </c>
      <c r="K2694" s="2" t="s">
        <v>19233</v>
      </c>
      <c r="L2694" s="82" t="s">
        <v>19512</v>
      </c>
    </row>
    <row r="2695" spans="1:15" ht="108" customHeight="1" x14ac:dyDescent="0.3">
      <c r="A2695" s="2">
        <v>2691</v>
      </c>
      <c r="B2695" s="66" t="s">
        <v>2989</v>
      </c>
      <c r="C2695" s="66"/>
      <c r="D2695" s="11" t="s">
        <v>3010</v>
      </c>
      <c r="E2695" s="11" t="s">
        <v>3010</v>
      </c>
      <c r="F2695" s="3">
        <v>37188</v>
      </c>
      <c r="G2695" s="2" t="s">
        <v>2844</v>
      </c>
      <c r="H2695" s="3">
        <v>43053</v>
      </c>
      <c r="I2695" s="2" t="s">
        <v>19506</v>
      </c>
      <c r="J2695" s="2" t="s">
        <v>13904</v>
      </c>
      <c r="K2695" s="2" t="s">
        <v>19233</v>
      </c>
      <c r="L2695" s="82" t="s">
        <v>19512</v>
      </c>
    </row>
    <row r="2696" spans="1:15" ht="108" customHeight="1" x14ac:dyDescent="0.3">
      <c r="A2696" s="2">
        <v>2692</v>
      </c>
      <c r="B2696" s="66" t="s">
        <v>2990</v>
      </c>
      <c r="C2696" s="66"/>
      <c r="D2696" s="11" t="s">
        <v>3011</v>
      </c>
      <c r="E2696" s="11" t="s">
        <v>3011</v>
      </c>
      <c r="F2696" s="3">
        <v>38503</v>
      </c>
      <c r="G2696" s="2" t="s">
        <v>2844</v>
      </c>
      <c r="H2696" s="3">
        <v>43053</v>
      </c>
      <c r="I2696" s="2" t="s">
        <v>19506</v>
      </c>
      <c r="J2696" s="2" t="s">
        <v>13904</v>
      </c>
      <c r="K2696" s="2" t="s">
        <v>19233</v>
      </c>
      <c r="L2696" s="82" t="s">
        <v>19512</v>
      </c>
    </row>
    <row r="2697" spans="1:15" ht="108" customHeight="1" x14ac:dyDescent="0.3">
      <c r="A2697" s="2">
        <v>2693</v>
      </c>
      <c r="B2697" s="66" t="s">
        <v>2991</v>
      </c>
      <c r="C2697" s="66"/>
      <c r="D2697" s="11" t="s">
        <v>3012</v>
      </c>
      <c r="E2697" s="11" t="s">
        <v>3012</v>
      </c>
      <c r="F2697" s="3">
        <v>37790</v>
      </c>
      <c r="G2697" s="2" t="s">
        <v>2844</v>
      </c>
      <c r="H2697" s="2"/>
      <c r="I2697" s="2"/>
      <c r="J2697" s="2" t="s">
        <v>13904</v>
      </c>
      <c r="K2697" s="2" t="s">
        <v>19233</v>
      </c>
      <c r="L2697" s="82" t="s">
        <v>19714</v>
      </c>
    </row>
    <row r="2698" spans="1:15" ht="108" customHeight="1" x14ac:dyDescent="0.3">
      <c r="A2698" s="2">
        <v>2694</v>
      </c>
      <c r="B2698" s="66" t="s">
        <v>2992</v>
      </c>
      <c r="C2698" s="66"/>
      <c r="D2698" s="11" t="s">
        <v>3013</v>
      </c>
      <c r="E2698" s="11" t="s">
        <v>3013</v>
      </c>
      <c r="F2698" s="3">
        <v>38498</v>
      </c>
      <c r="G2698" s="2" t="s">
        <v>2844</v>
      </c>
      <c r="H2698" s="2"/>
      <c r="I2698" s="2"/>
      <c r="J2698" s="2" t="s">
        <v>13904</v>
      </c>
      <c r="K2698" s="2" t="s">
        <v>19233</v>
      </c>
      <c r="L2698" s="82" t="s">
        <v>19714</v>
      </c>
    </row>
    <row r="2699" spans="1:15" ht="108" customHeight="1" x14ac:dyDescent="0.3">
      <c r="A2699" s="2">
        <v>2695</v>
      </c>
      <c r="B2699" s="66" t="s">
        <v>2993</v>
      </c>
      <c r="C2699" s="66"/>
      <c r="D2699" s="11" t="s">
        <v>3014</v>
      </c>
      <c r="E2699" s="11" t="s">
        <v>3014</v>
      </c>
      <c r="F2699" s="3">
        <v>38498</v>
      </c>
      <c r="G2699" s="2" t="s">
        <v>2844</v>
      </c>
      <c r="H2699" s="2"/>
      <c r="I2699" s="2"/>
      <c r="J2699" s="2" t="s">
        <v>13904</v>
      </c>
      <c r="K2699" s="2" t="s">
        <v>19233</v>
      </c>
      <c r="L2699" s="82" t="s">
        <v>19714</v>
      </c>
    </row>
    <row r="2700" spans="1:15" ht="108" customHeight="1" x14ac:dyDescent="0.3">
      <c r="A2700" s="2">
        <v>2696</v>
      </c>
      <c r="B2700" s="66" t="s">
        <v>2994</v>
      </c>
      <c r="C2700" s="66"/>
      <c r="D2700" s="11" t="s">
        <v>951</v>
      </c>
      <c r="E2700" s="11" t="s">
        <v>951</v>
      </c>
      <c r="F2700" s="3">
        <v>39232</v>
      </c>
      <c r="G2700" s="2" t="s">
        <v>2844</v>
      </c>
      <c r="H2700" s="3">
        <v>43053</v>
      </c>
      <c r="I2700" s="2" t="s">
        <v>19506</v>
      </c>
      <c r="J2700" s="2" t="s">
        <v>13904</v>
      </c>
      <c r="K2700" s="2" t="s">
        <v>19233</v>
      </c>
      <c r="L2700" s="82" t="s">
        <v>19512</v>
      </c>
    </row>
    <row r="2701" spans="1:15" ht="108" customHeight="1" x14ac:dyDescent="0.3">
      <c r="A2701" s="2">
        <v>2697</v>
      </c>
      <c r="B2701" s="66" t="s">
        <v>2995</v>
      </c>
      <c r="C2701" s="66"/>
      <c r="D2701" s="11" t="s">
        <v>3015</v>
      </c>
      <c r="E2701" s="11" t="s">
        <v>3015</v>
      </c>
      <c r="F2701" s="3">
        <v>41109</v>
      </c>
      <c r="G2701" s="2" t="s">
        <v>2844</v>
      </c>
      <c r="H2701" s="3">
        <v>43053</v>
      </c>
      <c r="I2701" s="2" t="s">
        <v>19506</v>
      </c>
      <c r="J2701" s="2" t="s">
        <v>13904</v>
      </c>
      <c r="K2701" s="2" t="s">
        <v>19233</v>
      </c>
      <c r="L2701" s="82" t="s">
        <v>19512</v>
      </c>
    </row>
    <row r="2702" spans="1:15" ht="108" customHeight="1" x14ac:dyDescent="0.3">
      <c r="A2702" s="2">
        <v>2698</v>
      </c>
      <c r="B2702" s="66" t="s">
        <v>3016</v>
      </c>
      <c r="C2702" s="66"/>
      <c r="D2702" s="11" t="s">
        <v>1985</v>
      </c>
      <c r="E2702" s="11" t="s">
        <v>1985</v>
      </c>
      <c r="F2702" s="3">
        <v>39420</v>
      </c>
      <c r="G2702" s="2" t="s">
        <v>2844</v>
      </c>
      <c r="H2702" s="3">
        <v>43053</v>
      </c>
      <c r="I2702" s="2" t="s">
        <v>19506</v>
      </c>
      <c r="J2702" s="2" t="s">
        <v>13904</v>
      </c>
      <c r="K2702" s="2" t="s">
        <v>19233</v>
      </c>
      <c r="L2702" s="82" t="s">
        <v>19512</v>
      </c>
    </row>
    <row r="2703" spans="1:15" s="19" customFormat="1" ht="132" customHeight="1" x14ac:dyDescent="0.3">
      <c r="A2703" s="2">
        <v>2699</v>
      </c>
      <c r="B2703" s="66" t="s">
        <v>3017</v>
      </c>
      <c r="C2703" s="66" t="s">
        <v>18907</v>
      </c>
      <c r="D2703" s="11" t="s">
        <v>3024</v>
      </c>
      <c r="E2703" s="11">
        <v>237500.19</v>
      </c>
      <c r="F2703" s="3">
        <v>41628</v>
      </c>
      <c r="G2703" s="2" t="s">
        <v>2817</v>
      </c>
      <c r="H2703" s="2"/>
      <c r="I2703" s="2"/>
      <c r="J2703" s="2" t="s">
        <v>13904</v>
      </c>
      <c r="K2703" s="2" t="s">
        <v>19273</v>
      </c>
      <c r="L2703" s="2" t="s">
        <v>21857</v>
      </c>
      <c r="M2703" s="18"/>
      <c r="N2703" s="18"/>
      <c r="O2703" s="18"/>
    </row>
    <row r="2704" spans="1:15" ht="132" customHeight="1" x14ac:dyDescent="0.3">
      <c r="A2704" s="2">
        <v>2700</v>
      </c>
      <c r="B2704" s="66" t="s">
        <v>18908</v>
      </c>
      <c r="C2704" s="66" t="s">
        <v>18909</v>
      </c>
      <c r="D2704" s="11">
        <v>89000</v>
      </c>
      <c r="E2704" s="11">
        <v>25216.78</v>
      </c>
      <c r="F2704" s="3" t="s">
        <v>21189</v>
      </c>
      <c r="G2704" s="2" t="s">
        <v>2817</v>
      </c>
      <c r="H2704" s="2"/>
      <c r="I2704" s="2"/>
      <c r="J2704" s="2" t="s">
        <v>13904</v>
      </c>
      <c r="K2704" s="2" t="s">
        <v>19273</v>
      </c>
      <c r="L2704" s="2" t="s">
        <v>21857</v>
      </c>
    </row>
    <row r="2705" spans="1:12" ht="132" customHeight="1" x14ac:dyDescent="0.3">
      <c r="A2705" s="2">
        <v>2701</v>
      </c>
      <c r="B2705" s="66" t="s">
        <v>218</v>
      </c>
      <c r="C2705" s="66" t="s">
        <v>19711</v>
      </c>
      <c r="D2705" s="11" t="s">
        <v>2180</v>
      </c>
      <c r="E2705" s="11" t="s">
        <v>2180</v>
      </c>
      <c r="F2705" s="3">
        <v>38503</v>
      </c>
      <c r="G2705" s="2" t="s">
        <v>2817</v>
      </c>
      <c r="H2705" s="2"/>
      <c r="I2705" s="2"/>
      <c r="J2705" s="2" t="s">
        <v>13904</v>
      </c>
      <c r="K2705" s="2" t="s">
        <v>19273</v>
      </c>
      <c r="L2705" s="2" t="s">
        <v>21858</v>
      </c>
    </row>
    <row r="2706" spans="1:12" ht="132" customHeight="1" x14ac:dyDescent="0.3">
      <c r="A2706" s="2">
        <v>2702</v>
      </c>
      <c r="B2706" s="66" t="s">
        <v>218</v>
      </c>
      <c r="C2706" s="66"/>
      <c r="D2706" s="11" t="s">
        <v>3025</v>
      </c>
      <c r="E2706" s="11" t="s">
        <v>3025</v>
      </c>
      <c r="F2706" s="3">
        <v>39128</v>
      </c>
      <c r="G2706" s="2" t="s">
        <v>2817</v>
      </c>
      <c r="H2706" s="3">
        <v>43053</v>
      </c>
      <c r="I2706" s="2" t="s">
        <v>19506</v>
      </c>
      <c r="J2706" s="2" t="s">
        <v>13904</v>
      </c>
      <c r="K2706" s="2" t="s">
        <v>19273</v>
      </c>
      <c r="L2706" s="82" t="s">
        <v>19512</v>
      </c>
    </row>
    <row r="2707" spans="1:12" ht="132" customHeight="1" x14ac:dyDescent="0.3">
      <c r="A2707" s="2">
        <v>2703</v>
      </c>
      <c r="B2707" s="66" t="s">
        <v>19712</v>
      </c>
      <c r="C2707" s="66"/>
      <c r="D2707" s="11">
        <v>12400</v>
      </c>
      <c r="E2707" s="11">
        <v>12400</v>
      </c>
      <c r="F2707" s="3">
        <v>42646</v>
      </c>
      <c r="G2707" s="2" t="s">
        <v>2817</v>
      </c>
      <c r="H2707" s="2" t="s">
        <v>22180</v>
      </c>
      <c r="I2707" s="2" t="s">
        <v>22200</v>
      </c>
      <c r="J2707" s="2" t="s">
        <v>13904</v>
      </c>
      <c r="K2707" s="2" t="s">
        <v>19273</v>
      </c>
      <c r="L2707" s="82" t="s">
        <v>22201</v>
      </c>
    </row>
    <row r="2708" spans="1:12" ht="108" customHeight="1" x14ac:dyDescent="0.3">
      <c r="A2708" s="2">
        <v>2704</v>
      </c>
      <c r="B2708" s="66" t="s">
        <v>19843</v>
      </c>
      <c r="C2708" s="66"/>
      <c r="D2708" s="11">
        <v>2202642.89</v>
      </c>
      <c r="E2708" s="11">
        <v>2202642.89</v>
      </c>
      <c r="F2708" s="3">
        <v>42686</v>
      </c>
      <c r="G2708" s="2" t="s">
        <v>2817</v>
      </c>
      <c r="H2708" s="3">
        <v>43418</v>
      </c>
      <c r="I2708" s="2" t="s">
        <v>21486</v>
      </c>
      <c r="J2708" s="2" t="s">
        <v>13904</v>
      </c>
      <c r="K2708" s="2" t="s">
        <v>19842</v>
      </c>
      <c r="L2708" s="82" t="s">
        <v>21487</v>
      </c>
    </row>
    <row r="2709" spans="1:12" ht="132" customHeight="1" x14ac:dyDescent="0.3">
      <c r="A2709" s="2">
        <v>2705</v>
      </c>
      <c r="B2709" s="66" t="s">
        <v>3018</v>
      </c>
      <c r="C2709" s="66"/>
      <c r="D2709" s="11" t="s">
        <v>3026</v>
      </c>
      <c r="E2709" s="11" t="s">
        <v>3026</v>
      </c>
      <c r="F2709" s="3">
        <v>36443</v>
      </c>
      <c r="G2709" s="2" t="s">
        <v>2817</v>
      </c>
      <c r="H2709" s="3">
        <v>43053</v>
      </c>
      <c r="I2709" s="2" t="s">
        <v>19506</v>
      </c>
      <c r="J2709" s="2" t="s">
        <v>13904</v>
      </c>
      <c r="K2709" s="2" t="s">
        <v>19273</v>
      </c>
      <c r="L2709" s="82" t="s">
        <v>19512</v>
      </c>
    </row>
    <row r="2710" spans="1:12" ht="132" customHeight="1" x14ac:dyDescent="0.3">
      <c r="A2710" s="2">
        <v>2706</v>
      </c>
      <c r="B2710" s="66" t="s">
        <v>3019</v>
      </c>
      <c r="C2710" s="66"/>
      <c r="D2710" s="11" t="s">
        <v>3027</v>
      </c>
      <c r="E2710" s="11" t="s">
        <v>3027</v>
      </c>
      <c r="F2710" s="3">
        <v>39444</v>
      </c>
      <c r="G2710" s="2" t="s">
        <v>2817</v>
      </c>
      <c r="H2710" s="3">
        <v>43053</v>
      </c>
      <c r="I2710" s="2" t="s">
        <v>19506</v>
      </c>
      <c r="J2710" s="2" t="s">
        <v>13904</v>
      </c>
      <c r="K2710" s="2" t="s">
        <v>19273</v>
      </c>
      <c r="L2710" s="82" t="s">
        <v>19512</v>
      </c>
    </row>
    <row r="2711" spans="1:12" ht="132" customHeight="1" x14ac:dyDescent="0.3">
      <c r="A2711" s="2">
        <v>2707</v>
      </c>
      <c r="B2711" s="66" t="s">
        <v>3020</v>
      </c>
      <c r="C2711" s="66"/>
      <c r="D2711" s="11" t="s">
        <v>3028</v>
      </c>
      <c r="E2711" s="11" t="s">
        <v>3028</v>
      </c>
      <c r="F2711" s="3">
        <v>39445</v>
      </c>
      <c r="G2711" s="2" t="s">
        <v>2817</v>
      </c>
      <c r="H2711" s="3">
        <v>43053</v>
      </c>
      <c r="I2711" s="2" t="s">
        <v>19506</v>
      </c>
      <c r="J2711" s="2" t="s">
        <v>13904</v>
      </c>
      <c r="K2711" s="2" t="s">
        <v>19273</v>
      </c>
      <c r="L2711" s="82" t="s">
        <v>19512</v>
      </c>
    </row>
    <row r="2712" spans="1:12" ht="132" customHeight="1" x14ac:dyDescent="0.3">
      <c r="A2712" s="2">
        <v>2708</v>
      </c>
      <c r="B2712" s="66" t="s">
        <v>3021</v>
      </c>
      <c r="C2712" s="66"/>
      <c r="D2712" s="11" t="s">
        <v>3029</v>
      </c>
      <c r="E2712" s="11" t="s">
        <v>3029</v>
      </c>
      <c r="F2712" s="3">
        <v>40729</v>
      </c>
      <c r="G2712" s="2" t="s">
        <v>2817</v>
      </c>
      <c r="H2712" s="3">
        <v>43053</v>
      </c>
      <c r="I2712" s="2" t="s">
        <v>19506</v>
      </c>
      <c r="J2712" s="2" t="s">
        <v>13904</v>
      </c>
      <c r="K2712" s="2" t="s">
        <v>19273</v>
      </c>
      <c r="L2712" s="82" t="s">
        <v>19512</v>
      </c>
    </row>
    <row r="2713" spans="1:12" ht="132" customHeight="1" x14ac:dyDescent="0.3">
      <c r="A2713" s="2">
        <v>2709</v>
      </c>
      <c r="B2713" s="66" t="s">
        <v>3022</v>
      </c>
      <c r="C2713" s="66"/>
      <c r="D2713" s="11" t="s">
        <v>3030</v>
      </c>
      <c r="E2713" s="11" t="s">
        <v>3030</v>
      </c>
      <c r="F2713" s="3">
        <v>40738</v>
      </c>
      <c r="G2713" s="2" t="s">
        <v>2817</v>
      </c>
      <c r="H2713" s="3">
        <v>43053</v>
      </c>
      <c r="I2713" s="2" t="s">
        <v>19506</v>
      </c>
      <c r="J2713" s="2" t="s">
        <v>13904</v>
      </c>
      <c r="K2713" s="2" t="s">
        <v>19273</v>
      </c>
      <c r="L2713" s="82" t="s">
        <v>19512</v>
      </c>
    </row>
    <row r="2714" spans="1:12" ht="132" customHeight="1" x14ac:dyDescent="0.3">
      <c r="A2714" s="2">
        <v>2710</v>
      </c>
      <c r="B2714" s="66" t="s">
        <v>3023</v>
      </c>
      <c r="C2714" s="66"/>
      <c r="D2714" s="11" t="s">
        <v>3031</v>
      </c>
      <c r="E2714" s="11" t="s">
        <v>3031</v>
      </c>
      <c r="F2714" s="3">
        <v>40729</v>
      </c>
      <c r="G2714" s="2" t="s">
        <v>2817</v>
      </c>
      <c r="H2714" s="3">
        <v>43053</v>
      </c>
      <c r="I2714" s="2" t="s">
        <v>19506</v>
      </c>
      <c r="J2714" s="2" t="s">
        <v>13904</v>
      </c>
      <c r="K2714" s="2" t="s">
        <v>19273</v>
      </c>
      <c r="L2714" s="82" t="s">
        <v>19512</v>
      </c>
    </row>
    <row r="2715" spans="1:12" ht="132" customHeight="1" x14ac:dyDescent="0.3">
      <c r="A2715" s="2">
        <v>2711</v>
      </c>
      <c r="B2715" s="66" t="s">
        <v>3023</v>
      </c>
      <c r="C2715" s="66"/>
      <c r="D2715" s="11" t="s">
        <v>3031</v>
      </c>
      <c r="E2715" s="11" t="s">
        <v>3031</v>
      </c>
      <c r="F2715" s="3">
        <v>40729</v>
      </c>
      <c r="G2715" s="2" t="s">
        <v>2817</v>
      </c>
      <c r="H2715" s="3">
        <v>43053</v>
      </c>
      <c r="I2715" s="2" t="s">
        <v>19506</v>
      </c>
      <c r="J2715" s="2" t="s">
        <v>13904</v>
      </c>
      <c r="K2715" s="2" t="s">
        <v>19273</v>
      </c>
      <c r="L2715" s="82" t="s">
        <v>19512</v>
      </c>
    </row>
    <row r="2716" spans="1:12" ht="144" customHeight="1" x14ac:dyDescent="0.3">
      <c r="A2716" s="2">
        <v>2712</v>
      </c>
      <c r="B2716" s="66" t="s">
        <v>22932</v>
      </c>
      <c r="C2716" s="66" t="s">
        <v>18911</v>
      </c>
      <c r="D2716" s="11" t="s">
        <v>3033</v>
      </c>
      <c r="E2716" s="11" t="s">
        <v>3033</v>
      </c>
      <c r="F2716" s="3">
        <v>36158</v>
      </c>
      <c r="G2716" s="2" t="s">
        <v>2817</v>
      </c>
      <c r="H2716" s="2"/>
      <c r="I2716" s="2"/>
      <c r="J2716" s="2" t="s">
        <v>12550</v>
      </c>
      <c r="K2716" s="2" t="s">
        <v>23328</v>
      </c>
      <c r="L2716" s="82" t="s">
        <v>23329</v>
      </c>
    </row>
    <row r="2717" spans="1:12" ht="132" customHeight="1" x14ac:dyDescent="0.3">
      <c r="A2717" s="2">
        <v>2713</v>
      </c>
      <c r="B2717" s="66" t="s">
        <v>3032</v>
      </c>
      <c r="C2717" s="66" t="s">
        <v>18912</v>
      </c>
      <c r="D2717" s="11" t="s">
        <v>3034</v>
      </c>
      <c r="E2717" s="11">
        <v>5507834.9100000001</v>
      </c>
      <c r="F2717" s="3">
        <v>41337</v>
      </c>
      <c r="G2717" s="2" t="s">
        <v>2817</v>
      </c>
      <c r="H2717" s="2"/>
      <c r="I2717" s="2"/>
      <c r="J2717" s="2" t="s">
        <v>13904</v>
      </c>
      <c r="K2717" s="2" t="s">
        <v>19273</v>
      </c>
      <c r="L2717" s="82" t="s">
        <v>21857</v>
      </c>
    </row>
    <row r="2718" spans="1:12" ht="364.5" customHeight="1" x14ac:dyDescent="0.3">
      <c r="A2718" s="2">
        <v>2714</v>
      </c>
      <c r="B2718" s="66" t="s">
        <v>23829</v>
      </c>
      <c r="C2718" s="66"/>
      <c r="D2718" s="11">
        <f>2733682.67-248702.57+24915.8+11004+473578.04-194973.59+108872</f>
        <v>2908376.35</v>
      </c>
      <c r="E2718" s="11">
        <f>2733682.67-248702.57+24915.8+11004+473578.04-194973.59+108872</f>
        <v>2908376.35</v>
      </c>
      <c r="F2718" s="3">
        <v>41962</v>
      </c>
      <c r="G2718" s="2" t="s">
        <v>18913</v>
      </c>
      <c r="H2718" s="2"/>
      <c r="I2718" s="2"/>
      <c r="J2718" s="2" t="s">
        <v>13904</v>
      </c>
      <c r="K2718" s="2" t="s">
        <v>19273</v>
      </c>
      <c r="L2718" s="82" t="s">
        <v>23830</v>
      </c>
    </row>
    <row r="2719" spans="1:12" ht="132" customHeight="1" x14ac:dyDescent="0.3">
      <c r="A2719" s="2">
        <v>2715</v>
      </c>
      <c r="B2719" s="66" t="s">
        <v>1848</v>
      </c>
      <c r="C2719" s="66"/>
      <c r="D2719" s="11" t="s">
        <v>3040</v>
      </c>
      <c r="E2719" s="11" t="s">
        <v>3040</v>
      </c>
      <c r="F2719" s="3">
        <v>41634</v>
      </c>
      <c r="G2719" s="2" t="s">
        <v>2817</v>
      </c>
      <c r="H2719" s="3">
        <v>43252</v>
      </c>
      <c r="I2719" s="2" t="s">
        <v>20478</v>
      </c>
      <c r="J2719" s="2" t="s">
        <v>13904</v>
      </c>
      <c r="K2719" s="2" t="s">
        <v>19273</v>
      </c>
      <c r="L2719" s="82" t="s">
        <v>19512</v>
      </c>
    </row>
    <row r="2720" spans="1:12" ht="132" customHeight="1" x14ac:dyDescent="0.3">
      <c r="A2720" s="2">
        <v>2716</v>
      </c>
      <c r="B2720" s="66" t="s">
        <v>18914</v>
      </c>
      <c r="C2720" s="66"/>
      <c r="D2720" s="11">
        <v>8658</v>
      </c>
      <c r="E2720" s="11">
        <v>8658</v>
      </c>
      <c r="F2720" s="3" t="s">
        <v>18910</v>
      </c>
      <c r="G2720" s="2" t="s">
        <v>18913</v>
      </c>
      <c r="H2720" s="2"/>
      <c r="I2720" s="2"/>
      <c r="J2720" s="2" t="s">
        <v>13904</v>
      </c>
      <c r="K2720" s="2" t="s">
        <v>19273</v>
      </c>
      <c r="L2720" s="82" t="s">
        <v>21857</v>
      </c>
    </row>
    <row r="2721" spans="1:12" ht="132" customHeight="1" x14ac:dyDescent="0.3">
      <c r="A2721" s="2">
        <v>2717</v>
      </c>
      <c r="B2721" s="66" t="s">
        <v>3035</v>
      </c>
      <c r="C2721" s="66"/>
      <c r="D2721" s="11" t="s">
        <v>3041</v>
      </c>
      <c r="E2721" s="11" t="s">
        <v>3042</v>
      </c>
      <c r="F2721" s="3">
        <v>41954</v>
      </c>
      <c r="G2721" s="2" t="s">
        <v>2817</v>
      </c>
      <c r="H2721" s="3">
        <v>43053</v>
      </c>
      <c r="I2721" s="2" t="s">
        <v>19506</v>
      </c>
      <c r="J2721" s="2" t="s">
        <v>13904</v>
      </c>
      <c r="K2721" s="2" t="s">
        <v>19273</v>
      </c>
      <c r="L2721" s="82" t="s">
        <v>19512</v>
      </c>
    </row>
    <row r="2722" spans="1:12" ht="132" customHeight="1" x14ac:dyDescent="0.3">
      <c r="A2722" s="2">
        <v>2718</v>
      </c>
      <c r="B2722" s="66" t="s">
        <v>1074</v>
      </c>
      <c r="C2722" s="66"/>
      <c r="D2722" s="11" t="s">
        <v>3043</v>
      </c>
      <c r="E2722" s="11" t="s">
        <v>3043</v>
      </c>
      <c r="F2722" s="3">
        <v>41954</v>
      </c>
      <c r="G2722" s="2" t="s">
        <v>2817</v>
      </c>
      <c r="H2722" s="3">
        <v>43053</v>
      </c>
      <c r="I2722" s="2" t="s">
        <v>19506</v>
      </c>
      <c r="J2722" s="2" t="s">
        <v>13904</v>
      </c>
      <c r="K2722" s="2" t="s">
        <v>19273</v>
      </c>
      <c r="L2722" s="82" t="s">
        <v>19512</v>
      </c>
    </row>
    <row r="2723" spans="1:12" ht="132" customHeight="1" x14ac:dyDescent="0.3">
      <c r="A2723" s="2">
        <v>2719</v>
      </c>
      <c r="B2723" s="66" t="s">
        <v>3036</v>
      </c>
      <c r="C2723" s="66"/>
      <c r="D2723" s="11" t="s">
        <v>3044</v>
      </c>
      <c r="E2723" s="11" t="s">
        <v>3044</v>
      </c>
      <c r="F2723" s="3">
        <v>41954</v>
      </c>
      <c r="G2723" s="2" t="s">
        <v>2817</v>
      </c>
      <c r="H2723" s="3">
        <v>43053</v>
      </c>
      <c r="I2723" s="2" t="s">
        <v>19506</v>
      </c>
      <c r="J2723" s="2" t="s">
        <v>13904</v>
      </c>
      <c r="K2723" s="2" t="s">
        <v>19273</v>
      </c>
      <c r="L2723" s="82" t="s">
        <v>19512</v>
      </c>
    </row>
    <row r="2724" spans="1:12" ht="132" customHeight="1" x14ac:dyDescent="0.3">
      <c r="A2724" s="2">
        <v>2720</v>
      </c>
      <c r="B2724" s="66" t="s">
        <v>901</v>
      </c>
      <c r="C2724" s="66"/>
      <c r="D2724" s="11" t="s">
        <v>3045</v>
      </c>
      <c r="E2724" s="11" t="s">
        <v>3045</v>
      </c>
      <c r="F2724" s="3">
        <v>41992</v>
      </c>
      <c r="G2724" s="2" t="s">
        <v>2817</v>
      </c>
      <c r="H2724" s="3">
        <v>43053</v>
      </c>
      <c r="I2724" s="2" t="s">
        <v>19506</v>
      </c>
      <c r="J2724" s="2" t="s">
        <v>13904</v>
      </c>
      <c r="K2724" s="2" t="s">
        <v>19273</v>
      </c>
      <c r="L2724" s="82" t="s">
        <v>19512</v>
      </c>
    </row>
    <row r="2725" spans="1:12" ht="132" customHeight="1" x14ac:dyDescent="0.3">
      <c r="A2725" s="2">
        <v>2721</v>
      </c>
      <c r="B2725" s="66" t="s">
        <v>218</v>
      </c>
      <c r="C2725" s="66"/>
      <c r="D2725" s="11" t="s">
        <v>3046</v>
      </c>
      <c r="E2725" s="11" t="s">
        <v>3046</v>
      </c>
      <c r="F2725" s="3">
        <v>37222</v>
      </c>
      <c r="G2725" s="2" t="s">
        <v>2817</v>
      </c>
      <c r="H2725" s="3">
        <v>43053</v>
      </c>
      <c r="I2725" s="2" t="s">
        <v>19506</v>
      </c>
      <c r="J2725" s="2" t="s">
        <v>13904</v>
      </c>
      <c r="K2725" s="2" t="s">
        <v>19273</v>
      </c>
      <c r="L2725" s="82" t="s">
        <v>19512</v>
      </c>
    </row>
    <row r="2726" spans="1:12" ht="132" customHeight="1" x14ac:dyDescent="0.3">
      <c r="A2726" s="2">
        <v>2722</v>
      </c>
      <c r="B2726" s="66" t="s">
        <v>3037</v>
      </c>
      <c r="C2726" s="66"/>
      <c r="D2726" s="11" t="s">
        <v>3047</v>
      </c>
      <c r="E2726" s="11" t="s">
        <v>3047</v>
      </c>
      <c r="F2726" s="3">
        <v>39444</v>
      </c>
      <c r="G2726" s="2" t="s">
        <v>2817</v>
      </c>
      <c r="H2726" s="3">
        <v>43053</v>
      </c>
      <c r="I2726" s="2" t="s">
        <v>19506</v>
      </c>
      <c r="J2726" s="2" t="s">
        <v>13904</v>
      </c>
      <c r="K2726" s="2" t="s">
        <v>19273</v>
      </c>
      <c r="L2726" s="82" t="s">
        <v>19512</v>
      </c>
    </row>
    <row r="2727" spans="1:12" ht="132" customHeight="1" x14ac:dyDescent="0.3">
      <c r="A2727" s="2">
        <v>2723</v>
      </c>
      <c r="B2727" s="66" t="s">
        <v>3038</v>
      </c>
      <c r="C2727" s="66"/>
      <c r="D2727" s="11" t="s">
        <v>3048</v>
      </c>
      <c r="E2727" s="11" t="s">
        <v>3048</v>
      </c>
      <c r="F2727" s="3">
        <v>39444</v>
      </c>
      <c r="G2727" s="2" t="s">
        <v>2817</v>
      </c>
      <c r="H2727" s="3">
        <v>43053</v>
      </c>
      <c r="I2727" s="2" t="s">
        <v>19506</v>
      </c>
      <c r="J2727" s="2" t="s">
        <v>13904</v>
      </c>
      <c r="K2727" s="2" t="s">
        <v>19273</v>
      </c>
      <c r="L2727" s="82" t="s">
        <v>19512</v>
      </c>
    </row>
    <row r="2728" spans="1:12" ht="132" customHeight="1" x14ac:dyDescent="0.3">
      <c r="A2728" s="2">
        <v>2724</v>
      </c>
      <c r="B2728" s="66" t="s">
        <v>2418</v>
      </c>
      <c r="C2728" s="66"/>
      <c r="D2728" s="11" t="s">
        <v>3049</v>
      </c>
      <c r="E2728" s="11" t="s">
        <v>3049</v>
      </c>
      <c r="F2728" s="3">
        <v>39079</v>
      </c>
      <c r="G2728" s="2" t="s">
        <v>2817</v>
      </c>
      <c r="H2728" s="3">
        <v>43053</v>
      </c>
      <c r="I2728" s="2" t="s">
        <v>19506</v>
      </c>
      <c r="J2728" s="2" t="s">
        <v>13904</v>
      </c>
      <c r="K2728" s="2" t="s">
        <v>19273</v>
      </c>
      <c r="L2728" s="82" t="s">
        <v>19512</v>
      </c>
    </row>
    <row r="2729" spans="1:12" ht="132" customHeight="1" x14ac:dyDescent="0.3">
      <c r="A2729" s="2">
        <v>2725</v>
      </c>
      <c r="B2729" s="66" t="s">
        <v>1129</v>
      </c>
      <c r="C2729" s="66"/>
      <c r="D2729" s="11" t="s">
        <v>1152</v>
      </c>
      <c r="E2729" s="11" t="s">
        <v>1152</v>
      </c>
      <c r="F2729" s="3">
        <v>39430</v>
      </c>
      <c r="G2729" s="2" t="s">
        <v>2817</v>
      </c>
      <c r="H2729" s="3">
        <v>43053</v>
      </c>
      <c r="I2729" s="2" t="s">
        <v>19506</v>
      </c>
      <c r="J2729" s="2" t="s">
        <v>13904</v>
      </c>
      <c r="K2729" s="2" t="s">
        <v>19273</v>
      </c>
      <c r="L2729" s="82" t="s">
        <v>19512</v>
      </c>
    </row>
    <row r="2730" spans="1:12" ht="132" customHeight="1" x14ac:dyDescent="0.3">
      <c r="A2730" s="2">
        <v>2726</v>
      </c>
      <c r="B2730" s="66" t="s">
        <v>1938</v>
      </c>
      <c r="C2730" s="66"/>
      <c r="D2730" s="11" t="s">
        <v>3050</v>
      </c>
      <c r="E2730" s="11" t="s">
        <v>3050</v>
      </c>
      <c r="F2730" s="3">
        <v>39079</v>
      </c>
      <c r="G2730" s="2" t="s">
        <v>2817</v>
      </c>
      <c r="H2730" s="3">
        <v>43053</v>
      </c>
      <c r="I2730" s="2" t="s">
        <v>19506</v>
      </c>
      <c r="J2730" s="2" t="s">
        <v>13904</v>
      </c>
      <c r="K2730" s="2" t="s">
        <v>19273</v>
      </c>
      <c r="L2730" s="82" t="s">
        <v>19512</v>
      </c>
    </row>
    <row r="2731" spans="1:12" ht="132" customHeight="1" x14ac:dyDescent="0.3">
      <c r="A2731" s="2">
        <v>2727</v>
      </c>
      <c r="B2731" s="66" t="s">
        <v>971</v>
      </c>
      <c r="C2731" s="66"/>
      <c r="D2731" s="11" t="s">
        <v>3051</v>
      </c>
      <c r="E2731" s="11" t="s">
        <v>3051</v>
      </c>
      <c r="F2731" s="3">
        <v>36857</v>
      </c>
      <c r="G2731" s="2" t="s">
        <v>2817</v>
      </c>
      <c r="H2731" s="3">
        <v>43053</v>
      </c>
      <c r="I2731" s="2" t="s">
        <v>19506</v>
      </c>
      <c r="J2731" s="2" t="s">
        <v>13904</v>
      </c>
      <c r="K2731" s="2" t="s">
        <v>19273</v>
      </c>
      <c r="L2731" s="82" t="s">
        <v>19512</v>
      </c>
    </row>
    <row r="2732" spans="1:12" ht="132" customHeight="1" x14ac:dyDescent="0.3">
      <c r="A2732" s="2">
        <v>2728</v>
      </c>
      <c r="B2732" s="66" t="s">
        <v>2684</v>
      </c>
      <c r="C2732" s="66"/>
      <c r="D2732" s="11" t="s">
        <v>3052</v>
      </c>
      <c r="E2732" s="11" t="s">
        <v>3052</v>
      </c>
      <c r="F2732" s="3">
        <v>36887</v>
      </c>
      <c r="G2732" s="2" t="s">
        <v>2817</v>
      </c>
      <c r="H2732" s="3">
        <v>43053</v>
      </c>
      <c r="I2732" s="2" t="s">
        <v>19506</v>
      </c>
      <c r="J2732" s="2" t="s">
        <v>13904</v>
      </c>
      <c r="K2732" s="2" t="s">
        <v>19273</v>
      </c>
      <c r="L2732" s="82" t="s">
        <v>19512</v>
      </c>
    </row>
    <row r="2733" spans="1:12" ht="132" customHeight="1" x14ac:dyDescent="0.3">
      <c r="A2733" s="2">
        <v>2729</v>
      </c>
      <c r="B2733" s="66" t="s">
        <v>3039</v>
      </c>
      <c r="C2733" s="66"/>
      <c r="D2733" s="11" t="s">
        <v>3053</v>
      </c>
      <c r="E2733" s="11" t="s">
        <v>3053</v>
      </c>
      <c r="F2733" s="3">
        <v>40876</v>
      </c>
      <c r="G2733" s="2" t="s">
        <v>2817</v>
      </c>
      <c r="H2733" s="3">
        <v>43053</v>
      </c>
      <c r="I2733" s="2" t="s">
        <v>19506</v>
      </c>
      <c r="J2733" s="2" t="s">
        <v>13904</v>
      </c>
      <c r="K2733" s="2" t="s">
        <v>19273</v>
      </c>
      <c r="L2733" s="82" t="s">
        <v>19512</v>
      </c>
    </row>
    <row r="2734" spans="1:12" ht="132" customHeight="1" x14ac:dyDescent="0.3">
      <c r="A2734" s="2">
        <v>2730</v>
      </c>
      <c r="B2734" s="66" t="s">
        <v>3039</v>
      </c>
      <c r="C2734" s="66"/>
      <c r="D2734" s="11" t="s">
        <v>3053</v>
      </c>
      <c r="E2734" s="11" t="s">
        <v>3053</v>
      </c>
      <c r="F2734" s="3">
        <v>40876</v>
      </c>
      <c r="G2734" s="2" t="s">
        <v>2817</v>
      </c>
      <c r="H2734" s="3">
        <v>43053</v>
      </c>
      <c r="I2734" s="2" t="s">
        <v>19506</v>
      </c>
      <c r="J2734" s="2" t="s">
        <v>13904</v>
      </c>
      <c r="K2734" s="2" t="s">
        <v>19273</v>
      </c>
      <c r="L2734" s="82" t="s">
        <v>19512</v>
      </c>
    </row>
    <row r="2735" spans="1:12" ht="132" customHeight="1" x14ac:dyDescent="0.3">
      <c r="A2735" s="2">
        <v>2731</v>
      </c>
      <c r="B2735" s="66" t="s">
        <v>3039</v>
      </c>
      <c r="C2735" s="66"/>
      <c r="D2735" s="11" t="s">
        <v>3053</v>
      </c>
      <c r="E2735" s="11" t="s">
        <v>3053</v>
      </c>
      <c r="F2735" s="3">
        <v>40876</v>
      </c>
      <c r="G2735" s="2" t="s">
        <v>2817</v>
      </c>
      <c r="H2735" s="3">
        <v>43053</v>
      </c>
      <c r="I2735" s="2" t="s">
        <v>19506</v>
      </c>
      <c r="J2735" s="2" t="s">
        <v>13904</v>
      </c>
      <c r="K2735" s="2" t="s">
        <v>19273</v>
      </c>
      <c r="L2735" s="82" t="s">
        <v>19512</v>
      </c>
    </row>
    <row r="2736" spans="1:12" ht="132" customHeight="1" x14ac:dyDescent="0.3">
      <c r="A2736" s="2">
        <v>2732</v>
      </c>
      <c r="B2736" s="66" t="s">
        <v>3039</v>
      </c>
      <c r="C2736" s="66"/>
      <c r="D2736" s="11" t="s">
        <v>3053</v>
      </c>
      <c r="E2736" s="11" t="s">
        <v>3053</v>
      </c>
      <c r="F2736" s="3">
        <v>40876</v>
      </c>
      <c r="G2736" s="2" t="s">
        <v>2817</v>
      </c>
      <c r="H2736" s="3">
        <v>43053</v>
      </c>
      <c r="I2736" s="2" t="s">
        <v>19506</v>
      </c>
      <c r="J2736" s="2" t="s">
        <v>13904</v>
      </c>
      <c r="K2736" s="2" t="s">
        <v>19273</v>
      </c>
      <c r="L2736" s="82" t="s">
        <v>19512</v>
      </c>
    </row>
    <row r="2737" spans="1:12" ht="132" customHeight="1" x14ac:dyDescent="0.3">
      <c r="A2737" s="2">
        <v>2733</v>
      </c>
      <c r="B2737" s="66" t="s">
        <v>3039</v>
      </c>
      <c r="C2737" s="66"/>
      <c r="D2737" s="11" t="s">
        <v>3053</v>
      </c>
      <c r="E2737" s="11" t="s">
        <v>3053</v>
      </c>
      <c r="F2737" s="3">
        <v>40876</v>
      </c>
      <c r="G2737" s="2" t="s">
        <v>2817</v>
      </c>
      <c r="H2737" s="3">
        <v>43053</v>
      </c>
      <c r="I2737" s="2" t="s">
        <v>19506</v>
      </c>
      <c r="J2737" s="2" t="s">
        <v>13904</v>
      </c>
      <c r="K2737" s="2" t="s">
        <v>19273</v>
      </c>
      <c r="L2737" s="82" t="s">
        <v>19512</v>
      </c>
    </row>
    <row r="2738" spans="1:12" ht="132" customHeight="1" x14ac:dyDescent="0.3">
      <c r="A2738" s="2">
        <v>2734</v>
      </c>
      <c r="B2738" s="66" t="s">
        <v>3039</v>
      </c>
      <c r="C2738" s="66"/>
      <c r="D2738" s="11" t="s">
        <v>3053</v>
      </c>
      <c r="E2738" s="11" t="s">
        <v>3053</v>
      </c>
      <c r="F2738" s="3">
        <v>40876</v>
      </c>
      <c r="G2738" s="2" t="s">
        <v>2817</v>
      </c>
      <c r="H2738" s="3">
        <v>43053</v>
      </c>
      <c r="I2738" s="2" t="s">
        <v>19506</v>
      </c>
      <c r="J2738" s="2" t="s">
        <v>13904</v>
      </c>
      <c r="K2738" s="2" t="s">
        <v>19273</v>
      </c>
      <c r="L2738" s="82" t="s">
        <v>19512</v>
      </c>
    </row>
    <row r="2739" spans="1:12" ht="132" customHeight="1" x14ac:dyDescent="0.3">
      <c r="A2739" s="2">
        <v>2735</v>
      </c>
      <c r="B2739" s="66" t="s">
        <v>3039</v>
      </c>
      <c r="C2739" s="66"/>
      <c r="D2739" s="11" t="s">
        <v>3053</v>
      </c>
      <c r="E2739" s="11" t="s">
        <v>3053</v>
      </c>
      <c r="F2739" s="3">
        <v>40876</v>
      </c>
      <c r="G2739" s="2" t="s">
        <v>2817</v>
      </c>
      <c r="H2739" s="3">
        <v>43053</v>
      </c>
      <c r="I2739" s="2" t="s">
        <v>19506</v>
      </c>
      <c r="J2739" s="2" t="s">
        <v>13904</v>
      </c>
      <c r="K2739" s="2" t="s">
        <v>19273</v>
      </c>
      <c r="L2739" s="82" t="s">
        <v>19512</v>
      </c>
    </row>
    <row r="2740" spans="1:12" ht="132" customHeight="1" x14ac:dyDescent="0.3">
      <c r="A2740" s="2">
        <v>2736</v>
      </c>
      <c r="B2740" s="66" t="s">
        <v>3039</v>
      </c>
      <c r="C2740" s="66"/>
      <c r="D2740" s="11" t="s">
        <v>3053</v>
      </c>
      <c r="E2740" s="11" t="s">
        <v>3053</v>
      </c>
      <c r="F2740" s="3">
        <v>40876</v>
      </c>
      <c r="G2740" s="2" t="s">
        <v>2817</v>
      </c>
      <c r="H2740" s="3">
        <v>43053</v>
      </c>
      <c r="I2740" s="2" t="s">
        <v>19506</v>
      </c>
      <c r="J2740" s="2" t="s">
        <v>13904</v>
      </c>
      <c r="K2740" s="2" t="s">
        <v>19273</v>
      </c>
      <c r="L2740" s="82" t="s">
        <v>19512</v>
      </c>
    </row>
    <row r="2741" spans="1:12" ht="132" customHeight="1" x14ac:dyDescent="0.3">
      <c r="A2741" s="2">
        <v>2737</v>
      </c>
      <c r="B2741" s="66" t="s">
        <v>3039</v>
      </c>
      <c r="C2741" s="66"/>
      <c r="D2741" s="11" t="s">
        <v>3053</v>
      </c>
      <c r="E2741" s="11" t="s">
        <v>3053</v>
      </c>
      <c r="F2741" s="3">
        <v>40876</v>
      </c>
      <c r="G2741" s="2" t="s">
        <v>2817</v>
      </c>
      <c r="H2741" s="3">
        <v>43053</v>
      </c>
      <c r="I2741" s="2" t="s">
        <v>19506</v>
      </c>
      <c r="J2741" s="2" t="s">
        <v>13904</v>
      </c>
      <c r="K2741" s="2" t="s">
        <v>19273</v>
      </c>
      <c r="L2741" s="82" t="s">
        <v>19512</v>
      </c>
    </row>
    <row r="2742" spans="1:12" ht="132" customHeight="1" x14ac:dyDescent="0.3">
      <c r="A2742" s="2">
        <v>2738</v>
      </c>
      <c r="B2742" s="66" t="s">
        <v>3039</v>
      </c>
      <c r="C2742" s="66"/>
      <c r="D2742" s="11" t="s">
        <v>3053</v>
      </c>
      <c r="E2742" s="11" t="s">
        <v>3053</v>
      </c>
      <c r="F2742" s="3">
        <v>40876</v>
      </c>
      <c r="G2742" s="2" t="s">
        <v>2817</v>
      </c>
      <c r="H2742" s="3">
        <v>43053</v>
      </c>
      <c r="I2742" s="2" t="s">
        <v>19506</v>
      </c>
      <c r="J2742" s="2" t="s">
        <v>13904</v>
      </c>
      <c r="K2742" s="2" t="s">
        <v>19273</v>
      </c>
      <c r="L2742" s="82" t="s">
        <v>19512</v>
      </c>
    </row>
    <row r="2743" spans="1:12" ht="132" customHeight="1" x14ac:dyDescent="0.3">
      <c r="A2743" s="2">
        <v>2739</v>
      </c>
      <c r="B2743" s="66" t="s">
        <v>3039</v>
      </c>
      <c r="C2743" s="66"/>
      <c r="D2743" s="11" t="s">
        <v>3053</v>
      </c>
      <c r="E2743" s="11" t="s">
        <v>3053</v>
      </c>
      <c r="F2743" s="3">
        <v>40876</v>
      </c>
      <c r="G2743" s="2" t="s">
        <v>2817</v>
      </c>
      <c r="H2743" s="3">
        <v>43053</v>
      </c>
      <c r="I2743" s="2" t="s">
        <v>19506</v>
      </c>
      <c r="J2743" s="2" t="s">
        <v>13904</v>
      </c>
      <c r="K2743" s="2" t="s">
        <v>19273</v>
      </c>
      <c r="L2743" s="82" t="s">
        <v>19512</v>
      </c>
    </row>
    <row r="2744" spans="1:12" ht="132" customHeight="1" x14ac:dyDescent="0.3">
      <c r="A2744" s="2">
        <v>2740</v>
      </c>
      <c r="B2744" s="66" t="s">
        <v>3039</v>
      </c>
      <c r="C2744" s="66"/>
      <c r="D2744" s="11" t="s">
        <v>3053</v>
      </c>
      <c r="E2744" s="11" t="s">
        <v>3053</v>
      </c>
      <c r="F2744" s="3">
        <v>40876</v>
      </c>
      <c r="G2744" s="2" t="s">
        <v>2817</v>
      </c>
      <c r="H2744" s="3">
        <v>43053</v>
      </c>
      <c r="I2744" s="2" t="s">
        <v>19506</v>
      </c>
      <c r="J2744" s="2" t="s">
        <v>13904</v>
      </c>
      <c r="K2744" s="2" t="s">
        <v>19273</v>
      </c>
      <c r="L2744" s="82" t="s">
        <v>19512</v>
      </c>
    </row>
    <row r="2745" spans="1:12" ht="132" customHeight="1" x14ac:dyDescent="0.3">
      <c r="A2745" s="2">
        <v>2741</v>
      </c>
      <c r="B2745" s="66" t="s">
        <v>3039</v>
      </c>
      <c r="C2745" s="66"/>
      <c r="D2745" s="11" t="s">
        <v>3053</v>
      </c>
      <c r="E2745" s="11" t="s">
        <v>3053</v>
      </c>
      <c r="F2745" s="3">
        <v>40876</v>
      </c>
      <c r="G2745" s="2" t="s">
        <v>2817</v>
      </c>
      <c r="H2745" s="3">
        <v>43053</v>
      </c>
      <c r="I2745" s="2" t="s">
        <v>19506</v>
      </c>
      <c r="J2745" s="2" t="s">
        <v>13904</v>
      </c>
      <c r="K2745" s="2" t="s">
        <v>19273</v>
      </c>
      <c r="L2745" s="82" t="s">
        <v>19512</v>
      </c>
    </row>
    <row r="2746" spans="1:12" ht="132" customHeight="1" x14ac:dyDescent="0.3">
      <c r="A2746" s="2">
        <v>2742</v>
      </c>
      <c r="B2746" s="66" t="s">
        <v>3039</v>
      </c>
      <c r="C2746" s="66"/>
      <c r="D2746" s="11" t="s">
        <v>3053</v>
      </c>
      <c r="E2746" s="11" t="s">
        <v>3053</v>
      </c>
      <c r="F2746" s="3">
        <v>40876</v>
      </c>
      <c r="G2746" s="2" t="s">
        <v>2817</v>
      </c>
      <c r="H2746" s="3">
        <v>43053</v>
      </c>
      <c r="I2746" s="2" t="s">
        <v>19506</v>
      </c>
      <c r="J2746" s="2" t="s">
        <v>13904</v>
      </c>
      <c r="K2746" s="2" t="s">
        <v>19273</v>
      </c>
      <c r="L2746" s="82" t="s">
        <v>19512</v>
      </c>
    </row>
    <row r="2747" spans="1:12" ht="132" customHeight="1" x14ac:dyDescent="0.3">
      <c r="A2747" s="2">
        <v>2743</v>
      </c>
      <c r="B2747" s="66" t="s">
        <v>3039</v>
      </c>
      <c r="C2747" s="66"/>
      <c r="D2747" s="11" t="s">
        <v>3054</v>
      </c>
      <c r="E2747" s="11" t="s">
        <v>3054</v>
      </c>
      <c r="F2747" s="3">
        <v>40876</v>
      </c>
      <c r="G2747" s="2" t="s">
        <v>2817</v>
      </c>
      <c r="H2747" s="3">
        <v>43053</v>
      </c>
      <c r="I2747" s="2" t="s">
        <v>19506</v>
      </c>
      <c r="J2747" s="2" t="s">
        <v>13904</v>
      </c>
      <c r="K2747" s="2" t="s">
        <v>19273</v>
      </c>
      <c r="L2747" s="82" t="s">
        <v>19512</v>
      </c>
    </row>
    <row r="2748" spans="1:12" ht="132" customHeight="1" x14ac:dyDescent="0.3">
      <c r="A2748" s="2">
        <v>2744</v>
      </c>
      <c r="B2748" s="66" t="s">
        <v>3055</v>
      </c>
      <c r="C2748" s="66"/>
      <c r="D2748" s="11" t="s">
        <v>3071</v>
      </c>
      <c r="E2748" s="11" t="s">
        <v>3071</v>
      </c>
      <c r="F2748" s="3">
        <v>41963</v>
      </c>
      <c r="G2748" s="2" t="s">
        <v>2817</v>
      </c>
      <c r="H2748" s="3">
        <v>43053</v>
      </c>
      <c r="I2748" s="2" t="s">
        <v>19506</v>
      </c>
      <c r="J2748" s="2" t="s">
        <v>13904</v>
      </c>
      <c r="K2748" s="2" t="s">
        <v>19273</v>
      </c>
      <c r="L2748" s="82" t="s">
        <v>19512</v>
      </c>
    </row>
    <row r="2749" spans="1:12" ht="132" customHeight="1" x14ac:dyDescent="0.3">
      <c r="A2749" s="2">
        <v>2745</v>
      </c>
      <c r="B2749" s="66" t="s">
        <v>3055</v>
      </c>
      <c r="C2749" s="66"/>
      <c r="D2749" s="11" t="s">
        <v>3071</v>
      </c>
      <c r="E2749" s="11" t="s">
        <v>3071</v>
      </c>
      <c r="F2749" s="3">
        <v>41963</v>
      </c>
      <c r="G2749" s="2" t="s">
        <v>2817</v>
      </c>
      <c r="H2749" s="3">
        <v>43053</v>
      </c>
      <c r="I2749" s="2" t="s">
        <v>19506</v>
      </c>
      <c r="J2749" s="2" t="s">
        <v>13904</v>
      </c>
      <c r="K2749" s="2" t="s">
        <v>19273</v>
      </c>
      <c r="L2749" s="82" t="s">
        <v>19512</v>
      </c>
    </row>
    <row r="2750" spans="1:12" ht="132" customHeight="1" x14ac:dyDescent="0.3">
      <c r="A2750" s="2">
        <v>2746</v>
      </c>
      <c r="B2750" s="66" t="s">
        <v>3055</v>
      </c>
      <c r="C2750" s="66"/>
      <c r="D2750" s="11" t="s">
        <v>3071</v>
      </c>
      <c r="E2750" s="11" t="s">
        <v>3071</v>
      </c>
      <c r="F2750" s="3">
        <v>41963</v>
      </c>
      <c r="G2750" s="2" t="s">
        <v>2817</v>
      </c>
      <c r="H2750" s="3">
        <v>43053</v>
      </c>
      <c r="I2750" s="2" t="s">
        <v>19506</v>
      </c>
      <c r="J2750" s="2" t="s">
        <v>13904</v>
      </c>
      <c r="K2750" s="2" t="s">
        <v>19273</v>
      </c>
      <c r="L2750" s="82" t="s">
        <v>19512</v>
      </c>
    </row>
    <row r="2751" spans="1:12" ht="132" customHeight="1" x14ac:dyDescent="0.3">
      <c r="A2751" s="2">
        <v>2747</v>
      </c>
      <c r="B2751" s="66" t="s">
        <v>3056</v>
      </c>
      <c r="C2751" s="66"/>
      <c r="D2751" s="11" t="s">
        <v>3072</v>
      </c>
      <c r="E2751" s="11" t="s">
        <v>3072</v>
      </c>
      <c r="F2751" s="3">
        <v>41710</v>
      </c>
      <c r="G2751" s="2" t="s">
        <v>2817</v>
      </c>
      <c r="H2751" s="3">
        <v>43053</v>
      </c>
      <c r="I2751" s="2" t="s">
        <v>19506</v>
      </c>
      <c r="J2751" s="2" t="s">
        <v>13904</v>
      </c>
      <c r="K2751" s="2" t="s">
        <v>19273</v>
      </c>
      <c r="L2751" s="82" t="s">
        <v>19512</v>
      </c>
    </row>
    <row r="2752" spans="1:12" ht="132" customHeight="1" x14ac:dyDescent="0.3">
      <c r="A2752" s="2">
        <v>2748</v>
      </c>
      <c r="B2752" s="66" t="s">
        <v>3057</v>
      </c>
      <c r="C2752" s="66"/>
      <c r="D2752" s="11" t="s">
        <v>3073</v>
      </c>
      <c r="E2752" s="11" t="s">
        <v>3073</v>
      </c>
      <c r="F2752" s="3">
        <v>41954</v>
      </c>
      <c r="G2752" s="2" t="s">
        <v>2817</v>
      </c>
      <c r="H2752" s="3">
        <v>43053</v>
      </c>
      <c r="I2752" s="2" t="s">
        <v>19506</v>
      </c>
      <c r="J2752" s="2" t="s">
        <v>13904</v>
      </c>
      <c r="K2752" s="2" t="s">
        <v>19273</v>
      </c>
      <c r="L2752" s="82" t="s">
        <v>19512</v>
      </c>
    </row>
    <row r="2753" spans="1:12" ht="132" customHeight="1" x14ac:dyDescent="0.3">
      <c r="A2753" s="2">
        <v>2749</v>
      </c>
      <c r="B2753" s="66" t="s">
        <v>3058</v>
      </c>
      <c r="C2753" s="66"/>
      <c r="D2753" s="11" t="s">
        <v>3074</v>
      </c>
      <c r="E2753" s="11" t="s">
        <v>3074</v>
      </c>
      <c r="F2753" s="3">
        <v>36872</v>
      </c>
      <c r="G2753" s="2" t="s">
        <v>2817</v>
      </c>
      <c r="H2753" s="3">
        <v>43053</v>
      </c>
      <c r="I2753" s="2" t="s">
        <v>19506</v>
      </c>
      <c r="J2753" s="2" t="s">
        <v>13904</v>
      </c>
      <c r="K2753" s="2" t="s">
        <v>19273</v>
      </c>
      <c r="L2753" s="82" t="s">
        <v>19512</v>
      </c>
    </row>
    <row r="2754" spans="1:12" ht="132" customHeight="1" x14ac:dyDescent="0.3">
      <c r="A2754" s="2">
        <v>2750</v>
      </c>
      <c r="B2754" s="66" t="s">
        <v>3059</v>
      </c>
      <c r="C2754" s="66"/>
      <c r="D2754" s="11" t="s">
        <v>3075</v>
      </c>
      <c r="E2754" s="11" t="s">
        <v>3075</v>
      </c>
      <c r="F2754" s="3">
        <v>38337</v>
      </c>
      <c r="G2754" s="2" t="s">
        <v>2817</v>
      </c>
      <c r="H2754" s="3">
        <v>43053</v>
      </c>
      <c r="I2754" s="2" t="s">
        <v>19506</v>
      </c>
      <c r="J2754" s="2" t="s">
        <v>13904</v>
      </c>
      <c r="K2754" s="2" t="s">
        <v>19273</v>
      </c>
      <c r="L2754" s="82" t="s">
        <v>19512</v>
      </c>
    </row>
    <row r="2755" spans="1:12" ht="132" customHeight="1" x14ac:dyDescent="0.3">
      <c r="A2755" s="2">
        <v>2751</v>
      </c>
      <c r="B2755" s="66" t="s">
        <v>3060</v>
      </c>
      <c r="C2755" s="66"/>
      <c r="D2755" s="11" t="s">
        <v>3076</v>
      </c>
      <c r="E2755" s="11" t="s">
        <v>3076</v>
      </c>
      <c r="F2755" s="3">
        <v>37146</v>
      </c>
      <c r="G2755" s="2" t="s">
        <v>2817</v>
      </c>
      <c r="H2755" s="3">
        <v>43053</v>
      </c>
      <c r="I2755" s="2" t="s">
        <v>19506</v>
      </c>
      <c r="J2755" s="2" t="s">
        <v>13904</v>
      </c>
      <c r="K2755" s="2" t="s">
        <v>19273</v>
      </c>
      <c r="L2755" s="82" t="s">
        <v>19512</v>
      </c>
    </row>
    <row r="2756" spans="1:12" ht="132" customHeight="1" x14ac:dyDescent="0.3">
      <c r="A2756" s="2">
        <v>2752</v>
      </c>
      <c r="B2756" s="66" t="s">
        <v>3061</v>
      </c>
      <c r="C2756" s="66"/>
      <c r="D2756" s="11" t="s">
        <v>3077</v>
      </c>
      <c r="E2756" s="11" t="s">
        <v>3077</v>
      </c>
      <c r="F2756" s="3">
        <v>37174</v>
      </c>
      <c r="G2756" s="2" t="s">
        <v>2817</v>
      </c>
      <c r="H2756" s="3">
        <v>43053</v>
      </c>
      <c r="I2756" s="2" t="s">
        <v>19506</v>
      </c>
      <c r="J2756" s="2" t="s">
        <v>13904</v>
      </c>
      <c r="K2756" s="2" t="s">
        <v>19273</v>
      </c>
      <c r="L2756" s="82" t="s">
        <v>19512</v>
      </c>
    </row>
    <row r="2757" spans="1:12" ht="132" customHeight="1" x14ac:dyDescent="0.3">
      <c r="A2757" s="2">
        <v>2753</v>
      </c>
      <c r="B2757" s="66" t="s">
        <v>3062</v>
      </c>
      <c r="C2757" s="66"/>
      <c r="D2757" s="11" t="s">
        <v>3078</v>
      </c>
      <c r="E2757" s="11" t="s">
        <v>3078</v>
      </c>
      <c r="F2757" s="3">
        <v>37236</v>
      </c>
      <c r="G2757" s="2" t="s">
        <v>2817</v>
      </c>
      <c r="H2757" s="3">
        <v>43053</v>
      </c>
      <c r="I2757" s="2" t="s">
        <v>19506</v>
      </c>
      <c r="J2757" s="2" t="s">
        <v>13904</v>
      </c>
      <c r="K2757" s="2" t="s">
        <v>19273</v>
      </c>
      <c r="L2757" s="82" t="s">
        <v>19512</v>
      </c>
    </row>
    <row r="2758" spans="1:12" ht="132" customHeight="1" x14ac:dyDescent="0.3">
      <c r="A2758" s="2">
        <v>2754</v>
      </c>
      <c r="B2758" s="66" t="s">
        <v>3063</v>
      </c>
      <c r="C2758" s="66"/>
      <c r="D2758" s="11" t="s">
        <v>3079</v>
      </c>
      <c r="E2758" s="11" t="s">
        <v>3079</v>
      </c>
      <c r="F2758" s="3">
        <v>36784</v>
      </c>
      <c r="G2758" s="2" t="s">
        <v>2817</v>
      </c>
      <c r="H2758" s="3">
        <v>43053</v>
      </c>
      <c r="I2758" s="2" t="s">
        <v>19506</v>
      </c>
      <c r="J2758" s="2" t="s">
        <v>13904</v>
      </c>
      <c r="K2758" s="2" t="s">
        <v>19273</v>
      </c>
      <c r="L2758" s="82" t="s">
        <v>19512</v>
      </c>
    </row>
    <row r="2759" spans="1:12" ht="132" customHeight="1" x14ac:dyDescent="0.3">
      <c r="A2759" s="2">
        <v>2755</v>
      </c>
      <c r="B2759" s="66" t="s">
        <v>2138</v>
      </c>
      <c r="C2759" s="66"/>
      <c r="D2759" s="11" t="s">
        <v>3080</v>
      </c>
      <c r="E2759" s="11" t="s">
        <v>3080</v>
      </c>
      <c r="F2759" s="3">
        <v>37182</v>
      </c>
      <c r="G2759" s="2" t="s">
        <v>2817</v>
      </c>
      <c r="H2759" s="3">
        <v>43053</v>
      </c>
      <c r="I2759" s="2" t="s">
        <v>19506</v>
      </c>
      <c r="J2759" s="2" t="s">
        <v>13904</v>
      </c>
      <c r="K2759" s="2" t="s">
        <v>19273</v>
      </c>
      <c r="L2759" s="82" t="s">
        <v>19512</v>
      </c>
    </row>
    <row r="2760" spans="1:12" ht="132" customHeight="1" x14ac:dyDescent="0.3">
      <c r="A2760" s="2">
        <v>2756</v>
      </c>
      <c r="B2760" s="66" t="s">
        <v>3064</v>
      </c>
      <c r="C2760" s="66"/>
      <c r="D2760" s="11" t="s">
        <v>2737</v>
      </c>
      <c r="E2760" s="11" t="s">
        <v>2737</v>
      </c>
      <c r="F2760" s="3">
        <v>38864</v>
      </c>
      <c r="G2760" s="2" t="s">
        <v>2817</v>
      </c>
      <c r="H2760" s="3">
        <v>43053</v>
      </c>
      <c r="I2760" s="2" t="s">
        <v>19506</v>
      </c>
      <c r="J2760" s="2" t="s">
        <v>13904</v>
      </c>
      <c r="K2760" s="2" t="s">
        <v>19273</v>
      </c>
      <c r="L2760" s="82" t="s">
        <v>19512</v>
      </c>
    </row>
    <row r="2761" spans="1:12" ht="132" customHeight="1" x14ac:dyDescent="0.3">
      <c r="A2761" s="2">
        <v>2757</v>
      </c>
      <c r="B2761" s="66" t="s">
        <v>3065</v>
      </c>
      <c r="C2761" s="66"/>
      <c r="D2761" s="11" t="s">
        <v>3081</v>
      </c>
      <c r="E2761" s="11" t="s">
        <v>3081</v>
      </c>
      <c r="F2761" s="3">
        <v>39445</v>
      </c>
      <c r="G2761" s="2" t="s">
        <v>2817</v>
      </c>
      <c r="H2761" s="3">
        <v>43053</v>
      </c>
      <c r="I2761" s="2" t="s">
        <v>19506</v>
      </c>
      <c r="J2761" s="2" t="s">
        <v>13904</v>
      </c>
      <c r="K2761" s="2" t="s">
        <v>19273</v>
      </c>
      <c r="L2761" s="82" t="s">
        <v>19512</v>
      </c>
    </row>
    <row r="2762" spans="1:12" ht="132" customHeight="1" x14ac:dyDescent="0.3">
      <c r="A2762" s="2">
        <v>2758</v>
      </c>
      <c r="B2762" s="66" t="s">
        <v>1202</v>
      </c>
      <c r="C2762" s="66"/>
      <c r="D2762" s="11" t="s">
        <v>3082</v>
      </c>
      <c r="E2762" s="11" t="s">
        <v>3082</v>
      </c>
      <c r="F2762" s="3">
        <v>36811</v>
      </c>
      <c r="G2762" s="2" t="s">
        <v>2817</v>
      </c>
      <c r="H2762" s="3">
        <v>43053</v>
      </c>
      <c r="I2762" s="2" t="s">
        <v>19506</v>
      </c>
      <c r="J2762" s="2" t="s">
        <v>13904</v>
      </c>
      <c r="K2762" s="2" t="s">
        <v>19273</v>
      </c>
      <c r="L2762" s="82" t="s">
        <v>19512</v>
      </c>
    </row>
    <row r="2763" spans="1:12" ht="132" customHeight="1" x14ac:dyDescent="0.3">
      <c r="A2763" s="2">
        <v>2759</v>
      </c>
      <c r="B2763" s="66" t="s">
        <v>3066</v>
      </c>
      <c r="C2763" s="66"/>
      <c r="D2763" s="11" t="s">
        <v>3083</v>
      </c>
      <c r="E2763" s="11" t="s">
        <v>3083</v>
      </c>
      <c r="F2763" s="3">
        <v>37209</v>
      </c>
      <c r="G2763" s="2" t="s">
        <v>2817</v>
      </c>
      <c r="H2763" s="3">
        <v>43053</v>
      </c>
      <c r="I2763" s="2" t="s">
        <v>19506</v>
      </c>
      <c r="J2763" s="2" t="s">
        <v>13904</v>
      </c>
      <c r="K2763" s="2" t="s">
        <v>19273</v>
      </c>
      <c r="L2763" s="82" t="s">
        <v>19512</v>
      </c>
    </row>
    <row r="2764" spans="1:12" ht="132" customHeight="1" x14ac:dyDescent="0.3">
      <c r="A2764" s="2">
        <v>2760</v>
      </c>
      <c r="B2764" s="66" t="s">
        <v>3067</v>
      </c>
      <c r="C2764" s="66"/>
      <c r="D2764" s="11" t="s">
        <v>3084</v>
      </c>
      <c r="E2764" s="11" t="s">
        <v>3084</v>
      </c>
      <c r="F2764" s="3">
        <v>36781</v>
      </c>
      <c r="G2764" s="2" t="s">
        <v>2817</v>
      </c>
      <c r="H2764" s="3">
        <v>43053</v>
      </c>
      <c r="I2764" s="2" t="s">
        <v>19506</v>
      </c>
      <c r="J2764" s="2" t="s">
        <v>13904</v>
      </c>
      <c r="K2764" s="2" t="s">
        <v>19273</v>
      </c>
      <c r="L2764" s="82" t="s">
        <v>19512</v>
      </c>
    </row>
    <row r="2765" spans="1:12" ht="132" customHeight="1" x14ac:dyDescent="0.3">
      <c r="A2765" s="2">
        <v>2761</v>
      </c>
      <c r="B2765" s="66" t="s">
        <v>3068</v>
      </c>
      <c r="C2765" s="66"/>
      <c r="D2765" s="11" t="s">
        <v>3085</v>
      </c>
      <c r="E2765" s="11" t="s">
        <v>3085</v>
      </c>
      <c r="F2765" s="3">
        <v>36781</v>
      </c>
      <c r="G2765" s="2" t="s">
        <v>2817</v>
      </c>
      <c r="H2765" s="3">
        <v>43053</v>
      </c>
      <c r="I2765" s="2" t="s">
        <v>19506</v>
      </c>
      <c r="J2765" s="2" t="s">
        <v>13904</v>
      </c>
      <c r="K2765" s="2" t="s">
        <v>19273</v>
      </c>
      <c r="L2765" s="82" t="s">
        <v>19512</v>
      </c>
    </row>
    <row r="2766" spans="1:12" ht="132" customHeight="1" x14ac:dyDescent="0.3">
      <c r="A2766" s="2">
        <v>2762</v>
      </c>
      <c r="B2766" s="66" t="s">
        <v>1202</v>
      </c>
      <c r="C2766" s="66"/>
      <c r="D2766" s="11" t="s">
        <v>3082</v>
      </c>
      <c r="E2766" s="11" t="s">
        <v>3082</v>
      </c>
      <c r="F2766" s="3">
        <v>36811</v>
      </c>
      <c r="G2766" s="2" t="s">
        <v>2817</v>
      </c>
      <c r="H2766" s="3">
        <v>43053</v>
      </c>
      <c r="I2766" s="2" t="s">
        <v>19506</v>
      </c>
      <c r="J2766" s="2" t="s">
        <v>13904</v>
      </c>
      <c r="K2766" s="2" t="s">
        <v>19273</v>
      </c>
      <c r="L2766" s="82" t="s">
        <v>19512</v>
      </c>
    </row>
    <row r="2767" spans="1:12" ht="132" customHeight="1" x14ac:dyDescent="0.3">
      <c r="A2767" s="2">
        <v>2763</v>
      </c>
      <c r="B2767" s="66" t="s">
        <v>1202</v>
      </c>
      <c r="C2767" s="66"/>
      <c r="D2767" s="11" t="s">
        <v>3082</v>
      </c>
      <c r="E2767" s="11" t="s">
        <v>3082</v>
      </c>
      <c r="F2767" s="3">
        <v>36811</v>
      </c>
      <c r="G2767" s="2" t="s">
        <v>2817</v>
      </c>
      <c r="H2767" s="3">
        <v>43053</v>
      </c>
      <c r="I2767" s="2" t="s">
        <v>19506</v>
      </c>
      <c r="J2767" s="2" t="s">
        <v>13904</v>
      </c>
      <c r="K2767" s="2" t="s">
        <v>19273</v>
      </c>
      <c r="L2767" s="82" t="s">
        <v>19512</v>
      </c>
    </row>
    <row r="2768" spans="1:12" ht="132" customHeight="1" x14ac:dyDescent="0.3">
      <c r="A2768" s="2">
        <v>2764</v>
      </c>
      <c r="B2768" s="66" t="s">
        <v>1202</v>
      </c>
      <c r="C2768" s="66"/>
      <c r="D2768" s="11" t="s">
        <v>3082</v>
      </c>
      <c r="E2768" s="11" t="s">
        <v>3082</v>
      </c>
      <c r="F2768" s="3">
        <v>36811</v>
      </c>
      <c r="G2768" s="2" t="s">
        <v>2817</v>
      </c>
      <c r="H2768" s="3">
        <v>43053</v>
      </c>
      <c r="I2768" s="2" t="s">
        <v>19506</v>
      </c>
      <c r="J2768" s="2" t="s">
        <v>13904</v>
      </c>
      <c r="K2768" s="2" t="s">
        <v>19273</v>
      </c>
      <c r="L2768" s="82" t="s">
        <v>19512</v>
      </c>
    </row>
    <row r="2769" spans="1:12" ht="132" customHeight="1" x14ac:dyDescent="0.3">
      <c r="A2769" s="2">
        <v>2765</v>
      </c>
      <c r="B2769" s="66" t="s">
        <v>1202</v>
      </c>
      <c r="C2769" s="66"/>
      <c r="D2769" s="11" t="s">
        <v>3082</v>
      </c>
      <c r="E2769" s="11" t="s">
        <v>3082</v>
      </c>
      <c r="F2769" s="3">
        <v>36811</v>
      </c>
      <c r="G2769" s="2" t="s">
        <v>2817</v>
      </c>
      <c r="H2769" s="3">
        <v>43053</v>
      </c>
      <c r="I2769" s="2" t="s">
        <v>19506</v>
      </c>
      <c r="J2769" s="2" t="s">
        <v>13904</v>
      </c>
      <c r="K2769" s="2" t="s">
        <v>19273</v>
      </c>
      <c r="L2769" s="82" t="s">
        <v>19512</v>
      </c>
    </row>
    <row r="2770" spans="1:12" ht="132" customHeight="1" x14ac:dyDescent="0.3">
      <c r="A2770" s="2">
        <v>2766</v>
      </c>
      <c r="B2770" s="66" t="s">
        <v>1202</v>
      </c>
      <c r="C2770" s="66"/>
      <c r="D2770" s="11" t="s">
        <v>3082</v>
      </c>
      <c r="E2770" s="11" t="s">
        <v>3082</v>
      </c>
      <c r="F2770" s="3">
        <v>36811</v>
      </c>
      <c r="G2770" s="2" t="s">
        <v>2817</v>
      </c>
      <c r="H2770" s="3">
        <v>43053</v>
      </c>
      <c r="I2770" s="2" t="s">
        <v>19506</v>
      </c>
      <c r="J2770" s="2" t="s">
        <v>13904</v>
      </c>
      <c r="K2770" s="2" t="s">
        <v>19273</v>
      </c>
      <c r="L2770" s="82" t="s">
        <v>19512</v>
      </c>
    </row>
    <row r="2771" spans="1:12" ht="132" customHeight="1" x14ac:dyDescent="0.3">
      <c r="A2771" s="2">
        <v>2767</v>
      </c>
      <c r="B2771" s="66" t="s">
        <v>1202</v>
      </c>
      <c r="C2771" s="66"/>
      <c r="D2771" s="11" t="s">
        <v>3082</v>
      </c>
      <c r="E2771" s="11" t="s">
        <v>3082</v>
      </c>
      <c r="F2771" s="3">
        <v>36811</v>
      </c>
      <c r="G2771" s="2" t="s">
        <v>2817</v>
      </c>
      <c r="H2771" s="3">
        <v>43053</v>
      </c>
      <c r="I2771" s="2" t="s">
        <v>19506</v>
      </c>
      <c r="J2771" s="2" t="s">
        <v>13904</v>
      </c>
      <c r="K2771" s="2" t="s">
        <v>19273</v>
      </c>
      <c r="L2771" s="82" t="s">
        <v>19512</v>
      </c>
    </row>
    <row r="2772" spans="1:12" ht="132" customHeight="1" x14ac:dyDescent="0.3">
      <c r="A2772" s="2">
        <v>2768</v>
      </c>
      <c r="B2772" s="66" t="s">
        <v>1202</v>
      </c>
      <c r="C2772" s="66"/>
      <c r="D2772" s="11" t="s">
        <v>3082</v>
      </c>
      <c r="E2772" s="11" t="s">
        <v>3082</v>
      </c>
      <c r="F2772" s="3">
        <v>36811</v>
      </c>
      <c r="G2772" s="2" t="s">
        <v>2817</v>
      </c>
      <c r="H2772" s="3">
        <v>43053</v>
      </c>
      <c r="I2772" s="2" t="s">
        <v>19506</v>
      </c>
      <c r="J2772" s="2" t="s">
        <v>13904</v>
      </c>
      <c r="K2772" s="2" t="s">
        <v>19273</v>
      </c>
      <c r="L2772" s="82" t="s">
        <v>19512</v>
      </c>
    </row>
    <row r="2773" spans="1:12" ht="132" customHeight="1" x14ac:dyDescent="0.3">
      <c r="A2773" s="2">
        <v>2769</v>
      </c>
      <c r="B2773" s="66" t="s">
        <v>1202</v>
      </c>
      <c r="C2773" s="66"/>
      <c r="D2773" s="11" t="s">
        <v>3082</v>
      </c>
      <c r="E2773" s="11" t="s">
        <v>3082</v>
      </c>
      <c r="F2773" s="3">
        <v>36811</v>
      </c>
      <c r="G2773" s="2" t="s">
        <v>2817</v>
      </c>
      <c r="H2773" s="3">
        <v>43053</v>
      </c>
      <c r="I2773" s="2" t="s">
        <v>19506</v>
      </c>
      <c r="J2773" s="2" t="s">
        <v>13904</v>
      </c>
      <c r="K2773" s="2" t="s">
        <v>19273</v>
      </c>
      <c r="L2773" s="82" t="s">
        <v>19512</v>
      </c>
    </row>
    <row r="2774" spans="1:12" ht="132" customHeight="1" x14ac:dyDescent="0.3">
      <c r="A2774" s="2">
        <v>2770</v>
      </c>
      <c r="B2774" s="66" t="s">
        <v>1202</v>
      </c>
      <c r="C2774" s="66"/>
      <c r="D2774" s="11" t="s">
        <v>3082</v>
      </c>
      <c r="E2774" s="11" t="s">
        <v>3082</v>
      </c>
      <c r="F2774" s="3">
        <v>36811</v>
      </c>
      <c r="G2774" s="2" t="s">
        <v>2817</v>
      </c>
      <c r="H2774" s="3">
        <v>43053</v>
      </c>
      <c r="I2774" s="2" t="s">
        <v>19506</v>
      </c>
      <c r="J2774" s="2" t="s">
        <v>13904</v>
      </c>
      <c r="K2774" s="2" t="s">
        <v>19273</v>
      </c>
      <c r="L2774" s="82" t="s">
        <v>19512</v>
      </c>
    </row>
    <row r="2775" spans="1:12" ht="132" customHeight="1" x14ac:dyDescent="0.3">
      <c r="A2775" s="2">
        <v>2771</v>
      </c>
      <c r="B2775" s="66" t="s">
        <v>1202</v>
      </c>
      <c r="C2775" s="66"/>
      <c r="D2775" s="11" t="s">
        <v>3082</v>
      </c>
      <c r="E2775" s="11" t="s">
        <v>3082</v>
      </c>
      <c r="F2775" s="3">
        <v>36811</v>
      </c>
      <c r="G2775" s="2" t="s">
        <v>2817</v>
      </c>
      <c r="H2775" s="3">
        <v>43053</v>
      </c>
      <c r="I2775" s="2" t="s">
        <v>19506</v>
      </c>
      <c r="J2775" s="2" t="s">
        <v>13904</v>
      </c>
      <c r="K2775" s="2" t="s">
        <v>19273</v>
      </c>
      <c r="L2775" s="82" t="s">
        <v>19512</v>
      </c>
    </row>
    <row r="2776" spans="1:12" ht="132" customHeight="1" x14ac:dyDescent="0.3">
      <c r="A2776" s="2">
        <v>2772</v>
      </c>
      <c r="B2776" s="66" t="s">
        <v>1202</v>
      </c>
      <c r="C2776" s="66"/>
      <c r="D2776" s="11" t="s">
        <v>3082</v>
      </c>
      <c r="E2776" s="11" t="s">
        <v>3082</v>
      </c>
      <c r="F2776" s="3">
        <v>36811</v>
      </c>
      <c r="G2776" s="2" t="s">
        <v>2817</v>
      </c>
      <c r="H2776" s="3">
        <v>43053</v>
      </c>
      <c r="I2776" s="2" t="s">
        <v>19506</v>
      </c>
      <c r="J2776" s="2" t="s">
        <v>13904</v>
      </c>
      <c r="K2776" s="2" t="s">
        <v>19273</v>
      </c>
      <c r="L2776" s="82" t="s">
        <v>19512</v>
      </c>
    </row>
    <row r="2777" spans="1:12" ht="132" customHeight="1" x14ac:dyDescent="0.3">
      <c r="A2777" s="2">
        <v>2773</v>
      </c>
      <c r="B2777" s="66" t="s">
        <v>1202</v>
      </c>
      <c r="C2777" s="66"/>
      <c r="D2777" s="11" t="s">
        <v>3082</v>
      </c>
      <c r="E2777" s="11" t="s">
        <v>3082</v>
      </c>
      <c r="F2777" s="3">
        <v>36811</v>
      </c>
      <c r="G2777" s="2" t="s">
        <v>2817</v>
      </c>
      <c r="H2777" s="3">
        <v>43053</v>
      </c>
      <c r="I2777" s="2" t="s">
        <v>19506</v>
      </c>
      <c r="J2777" s="2" t="s">
        <v>13904</v>
      </c>
      <c r="K2777" s="2" t="s">
        <v>19273</v>
      </c>
      <c r="L2777" s="82" t="s">
        <v>19512</v>
      </c>
    </row>
    <row r="2778" spans="1:12" ht="132" customHeight="1" x14ac:dyDescent="0.3">
      <c r="A2778" s="2">
        <v>2774</v>
      </c>
      <c r="B2778" s="66" t="s">
        <v>1202</v>
      </c>
      <c r="C2778" s="66"/>
      <c r="D2778" s="11" t="s">
        <v>3082</v>
      </c>
      <c r="E2778" s="11" t="s">
        <v>3082</v>
      </c>
      <c r="F2778" s="3">
        <v>36811</v>
      </c>
      <c r="G2778" s="2" t="s">
        <v>2817</v>
      </c>
      <c r="H2778" s="3">
        <v>43053</v>
      </c>
      <c r="I2778" s="2" t="s">
        <v>19506</v>
      </c>
      <c r="J2778" s="2" t="s">
        <v>13904</v>
      </c>
      <c r="K2778" s="2" t="s">
        <v>19273</v>
      </c>
      <c r="L2778" s="82" t="s">
        <v>19512</v>
      </c>
    </row>
    <row r="2779" spans="1:12" ht="132" customHeight="1" x14ac:dyDescent="0.3">
      <c r="A2779" s="2">
        <v>2775</v>
      </c>
      <c r="B2779" s="66" t="s">
        <v>1202</v>
      </c>
      <c r="C2779" s="66"/>
      <c r="D2779" s="11" t="s">
        <v>3082</v>
      </c>
      <c r="E2779" s="11" t="s">
        <v>3082</v>
      </c>
      <c r="F2779" s="3">
        <v>36811</v>
      </c>
      <c r="G2779" s="2" t="s">
        <v>2817</v>
      </c>
      <c r="H2779" s="3">
        <v>43053</v>
      </c>
      <c r="I2779" s="2" t="s">
        <v>19506</v>
      </c>
      <c r="J2779" s="2" t="s">
        <v>13904</v>
      </c>
      <c r="K2779" s="2" t="s">
        <v>19273</v>
      </c>
      <c r="L2779" s="82" t="s">
        <v>19512</v>
      </c>
    </row>
    <row r="2780" spans="1:12" ht="132" customHeight="1" x14ac:dyDescent="0.3">
      <c r="A2780" s="2">
        <v>2776</v>
      </c>
      <c r="B2780" s="66" t="s">
        <v>1202</v>
      </c>
      <c r="C2780" s="66"/>
      <c r="D2780" s="11" t="s">
        <v>3082</v>
      </c>
      <c r="E2780" s="11" t="s">
        <v>3082</v>
      </c>
      <c r="F2780" s="3">
        <v>36811</v>
      </c>
      <c r="G2780" s="2" t="s">
        <v>2817</v>
      </c>
      <c r="H2780" s="3">
        <v>43053</v>
      </c>
      <c r="I2780" s="2" t="s">
        <v>19506</v>
      </c>
      <c r="J2780" s="2" t="s">
        <v>13904</v>
      </c>
      <c r="K2780" s="2" t="s">
        <v>19273</v>
      </c>
      <c r="L2780" s="82" t="s">
        <v>19512</v>
      </c>
    </row>
    <row r="2781" spans="1:12" ht="132" customHeight="1" x14ac:dyDescent="0.3">
      <c r="A2781" s="2">
        <v>2777</v>
      </c>
      <c r="B2781" s="66" t="s">
        <v>3068</v>
      </c>
      <c r="C2781" s="66"/>
      <c r="D2781" s="11" t="s">
        <v>3085</v>
      </c>
      <c r="E2781" s="11" t="s">
        <v>3085</v>
      </c>
      <c r="F2781" s="3">
        <v>36781</v>
      </c>
      <c r="G2781" s="2" t="s">
        <v>2817</v>
      </c>
      <c r="H2781" s="3">
        <v>43053</v>
      </c>
      <c r="I2781" s="2" t="s">
        <v>19506</v>
      </c>
      <c r="J2781" s="2" t="s">
        <v>13904</v>
      </c>
      <c r="K2781" s="2" t="s">
        <v>19273</v>
      </c>
      <c r="L2781" s="82" t="s">
        <v>19512</v>
      </c>
    </row>
    <row r="2782" spans="1:12" ht="132" customHeight="1" x14ac:dyDescent="0.3">
      <c r="A2782" s="2">
        <v>2778</v>
      </c>
      <c r="B2782" s="66" t="s">
        <v>3069</v>
      </c>
      <c r="C2782" s="66"/>
      <c r="D2782" s="11" t="s">
        <v>3086</v>
      </c>
      <c r="E2782" s="11" t="s">
        <v>3086</v>
      </c>
      <c r="F2782" s="3">
        <v>40772</v>
      </c>
      <c r="G2782" s="2" t="s">
        <v>2817</v>
      </c>
      <c r="H2782" s="3">
        <v>43053</v>
      </c>
      <c r="I2782" s="2" t="s">
        <v>19506</v>
      </c>
      <c r="J2782" s="2" t="s">
        <v>13904</v>
      </c>
      <c r="K2782" s="2" t="s">
        <v>19273</v>
      </c>
      <c r="L2782" s="82" t="s">
        <v>19512</v>
      </c>
    </row>
    <row r="2783" spans="1:12" ht="132" customHeight="1" x14ac:dyDescent="0.3">
      <c r="A2783" s="2">
        <v>2779</v>
      </c>
      <c r="B2783" s="66" t="s">
        <v>3069</v>
      </c>
      <c r="C2783" s="66"/>
      <c r="D2783" s="11" t="s">
        <v>3086</v>
      </c>
      <c r="E2783" s="11" t="s">
        <v>3086</v>
      </c>
      <c r="F2783" s="3">
        <v>40772</v>
      </c>
      <c r="G2783" s="2" t="s">
        <v>2817</v>
      </c>
      <c r="H2783" s="3">
        <v>43053</v>
      </c>
      <c r="I2783" s="2" t="s">
        <v>19506</v>
      </c>
      <c r="J2783" s="2" t="s">
        <v>13904</v>
      </c>
      <c r="K2783" s="2" t="s">
        <v>19273</v>
      </c>
      <c r="L2783" s="82" t="s">
        <v>19512</v>
      </c>
    </row>
    <row r="2784" spans="1:12" ht="132" customHeight="1" x14ac:dyDescent="0.3">
      <c r="A2784" s="2">
        <v>2780</v>
      </c>
      <c r="B2784" s="66" t="s">
        <v>3070</v>
      </c>
      <c r="C2784" s="66"/>
      <c r="D2784" s="11" t="s">
        <v>2302</v>
      </c>
      <c r="E2784" s="11" t="s">
        <v>2302</v>
      </c>
      <c r="F2784" s="3">
        <v>41820</v>
      </c>
      <c r="G2784" s="2" t="s">
        <v>2817</v>
      </c>
      <c r="H2784" s="3">
        <v>43053</v>
      </c>
      <c r="I2784" s="2" t="s">
        <v>19506</v>
      </c>
      <c r="J2784" s="2" t="s">
        <v>13904</v>
      </c>
      <c r="K2784" s="2" t="s">
        <v>19273</v>
      </c>
      <c r="L2784" s="82" t="s">
        <v>19512</v>
      </c>
    </row>
    <row r="2785" spans="1:15" ht="132" customHeight="1" x14ac:dyDescent="0.3">
      <c r="A2785" s="2">
        <v>2781</v>
      </c>
      <c r="B2785" s="66" t="s">
        <v>1202</v>
      </c>
      <c r="C2785" s="66"/>
      <c r="D2785" s="11" t="s">
        <v>3087</v>
      </c>
      <c r="E2785" s="11" t="s">
        <v>3087</v>
      </c>
      <c r="F2785" s="3">
        <v>36881</v>
      </c>
      <c r="G2785" s="2" t="s">
        <v>2817</v>
      </c>
      <c r="H2785" s="3">
        <v>43053</v>
      </c>
      <c r="I2785" s="2" t="s">
        <v>19506</v>
      </c>
      <c r="J2785" s="2" t="s">
        <v>13904</v>
      </c>
      <c r="K2785" s="2" t="s">
        <v>19273</v>
      </c>
      <c r="L2785" s="82" t="s">
        <v>19512</v>
      </c>
    </row>
    <row r="2786" spans="1:15" s="19" customFormat="1" ht="84" customHeight="1" x14ac:dyDescent="0.3">
      <c r="A2786" s="2">
        <v>2782</v>
      </c>
      <c r="B2786" s="66" t="s">
        <v>3094</v>
      </c>
      <c r="C2786" s="66" t="s">
        <v>3124</v>
      </c>
      <c r="D2786" s="244">
        <v>50000</v>
      </c>
      <c r="E2786" s="11">
        <v>2500.02</v>
      </c>
      <c r="F2786" s="3">
        <v>41878</v>
      </c>
      <c r="G2786" s="2" t="s">
        <v>14104</v>
      </c>
      <c r="H2786" s="2"/>
      <c r="I2786" s="2"/>
      <c r="J2786" s="2" t="s">
        <v>13904</v>
      </c>
      <c r="K2786" s="2" t="s">
        <v>19209</v>
      </c>
      <c r="L2786" s="2" t="s">
        <v>18610</v>
      </c>
      <c r="M2786" s="18"/>
      <c r="N2786" s="18"/>
      <c r="O2786" s="18"/>
    </row>
    <row r="2787" spans="1:15" ht="84" customHeight="1" x14ac:dyDescent="0.3">
      <c r="A2787" s="2">
        <v>2783</v>
      </c>
      <c r="B2787" s="66" t="s">
        <v>4185</v>
      </c>
      <c r="C2787" s="66">
        <v>4101230002</v>
      </c>
      <c r="D2787" s="244">
        <v>220000</v>
      </c>
      <c r="E2787" s="11">
        <v>6111.1</v>
      </c>
      <c r="F2787" s="3">
        <v>42675</v>
      </c>
      <c r="G2787" s="2" t="s">
        <v>14104</v>
      </c>
      <c r="H2787" s="2"/>
      <c r="I2787" s="2"/>
      <c r="J2787" s="2" t="s">
        <v>13904</v>
      </c>
      <c r="K2787" s="2" t="s">
        <v>19209</v>
      </c>
      <c r="L2787" s="2" t="s">
        <v>18610</v>
      </c>
    </row>
    <row r="2788" spans="1:15" ht="84" customHeight="1" x14ac:dyDescent="0.3">
      <c r="A2788" s="2">
        <v>2784</v>
      </c>
      <c r="B2788" s="66" t="s">
        <v>3096</v>
      </c>
      <c r="C2788" s="66" t="s">
        <v>3125</v>
      </c>
      <c r="D2788" s="244">
        <v>11016.6</v>
      </c>
      <c r="E2788" s="11">
        <v>11016.6</v>
      </c>
      <c r="F2788" s="3">
        <v>39436</v>
      </c>
      <c r="G2788" s="2" t="s">
        <v>14104</v>
      </c>
      <c r="H2788" s="3">
        <v>43053</v>
      </c>
      <c r="I2788" s="2" t="s">
        <v>19506</v>
      </c>
      <c r="J2788" s="2" t="s">
        <v>13904</v>
      </c>
      <c r="K2788" s="2" t="s">
        <v>19209</v>
      </c>
      <c r="L2788" s="82" t="s">
        <v>19512</v>
      </c>
    </row>
    <row r="2789" spans="1:15" ht="84" customHeight="1" x14ac:dyDescent="0.3">
      <c r="A2789" s="2">
        <v>2785</v>
      </c>
      <c r="B2789" s="66" t="s">
        <v>3097</v>
      </c>
      <c r="C2789" s="66" t="s">
        <v>3126</v>
      </c>
      <c r="D2789" s="244">
        <v>3424.82</v>
      </c>
      <c r="E2789" s="11">
        <v>3424.82</v>
      </c>
      <c r="F2789" s="3">
        <v>35538</v>
      </c>
      <c r="G2789" s="2" t="s">
        <v>14104</v>
      </c>
      <c r="H2789" s="3">
        <v>43053</v>
      </c>
      <c r="I2789" s="2" t="s">
        <v>19506</v>
      </c>
      <c r="J2789" s="2" t="s">
        <v>13904</v>
      </c>
      <c r="K2789" s="2" t="s">
        <v>19209</v>
      </c>
      <c r="L2789" s="82" t="s">
        <v>19512</v>
      </c>
    </row>
    <row r="2790" spans="1:15" ht="84" customHeight="1" x14ac:dyDescent="0.3">
      <c r="A2790" s="2">
        <v>2786</v>
      </c>
      <c r="B2790" s="66" t="s">
        <v>3098</v>
      </c>
      <c r="C2790" s="66" t="s">
        <v>3127</v>
      </c>
      <c r="D2790" s="244">
        <v>10873</v>
      </c>
      <c r="E2790" s="11">
        <v>10873</v>
      </c>
      <c r="F2790" s="3">
        <v>39437</v>
      </c>
      <c r="G2790" s="2" t="s">
        <v>14104</v>
      </c>
      <c r="H2790" s="3">
        <v>43053</v>
      </c>
      <c r="I2790" s="2" t="s">
        <v>19506</v>
      </c>
      <c r="J2790" s="2" t="s">
        <v>13904</v>
      </c>
      <c r="K2790" s="2" t="s">
        <v>19209</v>
      </c>
      <c r="L2790" s="82" t="s">
        <v>19512</v>
      </c>
    </row>
    <row r="2791" spans="1:15" ht="84" customHeight="1" x14ac:dyDescent="0.3">
      <c r="A2791" s="2">
        <v>2787</v>
      </c>
      <c r="B2791" s="66" t="s">
        <v>3099</v>
      </c>
      <c r="C2791" s="66" t="s">
        <v>3128</v>
      </c>
      <c r="D2791" s="244">
        <v>4000</v>
      </c>
      <c r="E2791" s="11">
        <v>4000</v>
      </c>
      <c r="F2791" s="3">
        <v>39441</v>
      </c>
      <c r="G2791" s="2" t="s">
        <v>14104</v>
      </c>
      <c r="H2791" s="3">
        <v>43053</v>
      </c>
      <c r="I2791" s="2" t="s">
        <v>19506</v>
      </c>
      <c r="J2791" s="2" t="s">
        <v>13904</v>
      </c>
      <c r="K2791" s="2" t="s">
        <v>19209</v>
      </c>
      <c r="L2791" s="82" t="s">
        <v>19512</v>
      </c>
    </row>
    <row r="2792" spans="1:15" ht="84" customHeight="1" x14ac:dyDescent="0.3">
      <c r="A2792" s="2">
        <v>2788</v>
      </c>
      <c r="B2792" s="66" t="s">
        <v>3100</v>
      </c>
      <c r="C2792" s="66" t="s">
        <v>3129</v>
      </c>
      <c r="D2792" s="244">
        <v>27964</v>
      </c>
      <c r="E2792" s="11">
        <v>27964</v>
      </c>
      <c r="F2792" s="3">
        <v>40898</v>
      </c>
      <c r="G2792" s="2" t="s">
        <v>14104</v>
      </c>
      <c r="H2792" s="3">
        <v>43053</v>
      </c>
      <c r="I2792" s="2" t="s">
        <v>19506</v>
      </c>
      <c r="J2792" s="2" t="s">
        <v>13904</v>
      </c>
      <c r="K2792" s="2" t="s">
        <v>19209</v>
      </c>
      <c r="L2792" s="82" t="s">
        <v>19512</v>
      </c>
    </row>
    <row r="2793" spans="1:15" s="19" customFormat="1" ht="84" customHeight="1" x14ac:dyDescent="0.3">
      <c r="A2793" s="2">
        <v>2789</v>
      </c>
      <c r="B2793" s="66" t="s">
        <v>3101</v>
      </c>
      <c r="C2793" s="66" t="s">
        <v>3130</v>
      </c>
      <c r="D2793" s="244">
        <v>23812.32</v>
      </c>
      <c r="E2793" s="11">
        <v>23812.32</v>
      </c>
      <c r="F2793" s="3">
        <v>38729</v>
      </c>
      <c r="G2793" s="2" t="s">
        <v>14104</v>
      </c>
      <c r="H2793" s="3">
        <v>43053</v>
      </c>
      <c r="I2793" s="2" t="s">
        <v>19506</v>
      </c>
      <c r="J2793" s="2" t="s">
        <v>13904</v>
      </c>
      <c r="K2793" s="2" t="s">
        <v>19209</v>
      </c>
      <c r="L2793" s="82" t="s">
        <v>19512</v>
      </c>
      <c r="M2793" s="16"/>
      <c r="N2793" s="16"/>
      <c r="O2793" s="16"/>
    </row>
    <row r="2794" spans="1:15" ht="84" customHeight="1" x14ac:dyDescent="0.3">
      <c r="A2794" s="2">
        <v>2790</v>
      </c>
      <c r="B2794" s="66" t="s">
        <v>3102</v>
      </c>
      <c r="C2794" s="66" t="s">
        <v>3131</v>
      </c>
      <c r="D2794" s="244">
        <v>4000</v>
      </c>
      <c r="E2794" s="11">
        <v>4000</v>
      </c>
      <c r="F2794" s="3">
        <v>40898</v>
      </c>
      <c r="G2794" s="2" t="s">
        <v>14104</v>
      </c>
      <c r="H2794" s="3">
        <v>43053</v>
      </c>
      <c r="I2794" s="2" t="s">
        <v>19506</v>
      </c>
      <c r="J2794" s="2" t="s">
        <v>13904</v>
      </c>
      <c r="K2794" s="2" t="s">
        <v>19209</v>
      </c>
      <c r="L2794" s="82" t="s">
        <v>19512</v>
      </c>
    </row>
    <row r="2795" spans="1:15" ht="84" customHeight="1" x14ac:dyDescent="0.3">
      <c r="A2795" s="2">
        <v>2791</v>
      </c>
      <c r="B2795" s="66" t="s">
        <v>3103</v>
      </c>
      <c r="C2795" s="66" t="s">
        <v>3132</v>
      </c>
      <c r="D2795" s="244">
        <v>3477.5</v>
      </c>
      <c r="E2795" s="11">
        <v>3477.5</v>
      </c>
      <c r="F2795" s="3">
        <v>38462</v>
      </c>
      <c r="G2795" s="2" t="s">
        <v>14104</v>
      </c>
      <c r="H2795" s="3">
        <v>43053</v>
      </c>
      <c r="I2795" s="2" t="s">
        <v>19506</v>
      </c>
      <c r="J2795" s="2" t="s">
        <v>13904</v>
      </c>
      <c r="K2795" s="2" t="s">
        <v>19209</v>
      </c>
      <c r="L2795" s="82" t="s">
        <v>19512</v>
      </c>
    </row>
    <row r="2796" spans="1:15" ht="84" customHeight="1" x14ac:dyDescent="0.3">
      <c r="A2796" s="2">
        <v>2792</v>
      </c>
      <c r="B2796" s="66" t="s">
        <v>971</v>
      </c>
      <c r="C2796" s="66" t="s">
        <v>3133</v>
      </c>
      <c r="D2796" s="244">
        <v>4148.34</v>
      </c>
      <c r="E2796" s="11">
        <v>4148.34</v>
      </c>
      <c r="F2796" s="3">
        <v>35540</v>
      </c>
      <c r="G2796" s="2" t="s">
        <v>14104</v>
      </c>
      <c r="H2796" s="3">
        <v>43053</v>
      </c>
      <c r="I2796" s="2" t="s">
        <v>19506</v>
      </c>
      <c r="J2796" s="2" t="s">
        <v>13904</v>
      </c>
      <c r="K2796" s="2" t="s">
        <v>19209</v>
      </c>
      <c r="L2796" s="82" t="s">
        <v>19512</v>
      </c>
    </row>
    <row r="2797" spans="1:15" ht="84" customHeight="1" x14ac:dyDescent="0.3">
      <c r="A2797" s="2">
        <v>2793</v>
      </c>
      <c r="B2797" s="66" t="s">
        <v>3104</v>
      </c>
      <c r="C2797" s="66" t="s">
        <v>3134</v>
      </c>
      <c r="D2797" s="244">
        <v>13566</v>
      </c>
      <c r="E2797" s="11">
        <v>13566</v>
      </c>
      <c r="F2797" s="3">
        <v>38729</v>
      </c>
      <c r="G2797" s="2" t="s">
        <v>14104</v>
      </c>
      <c r="H2797" s="3">
        <v>43053</v>
      </c>
      <c r="I2797" s="2" t="s">
        <v>19506</v>
      </c>
      <c r="J2797" s="2" t="s">
        <v>13904</v>
      </c>
      <c r="K2797" s="2" t="s">
        <v>19209</v>
      </c>
      <c r="L2797" s="82" t="s">
        <v>19512</v>
      </c>
    </row>
    <row r="2798" spans="1:15" ht="84" customHeight="1" x14ac:dyDescent="0.3">
      <c r="A2798" s="2">
        <v>2794</v>
      </c>
      <c r="B2798" s="66" t="s">
        <v>3105</v>
      </c>
      <c r="C2798" s="66" t="s">
        <v>3135</v>
      </c>
      <c r="D2798" s="244">
        <v>7849</v>
      </c>
      <c r="E2798" s="11">
        <v>7849</v>
      </c>
      <c r="F2798" s="3">
        <v>41786</v>
      </c>
      <c r="G2798" s="2" t="s">
        <v>14104</v>
      </c>
      <c r="H2798" s="3">
        <v>43053</v>
      </c>
      <c r="I2798" s="2" t="s">
        <v>19506</v>
      </c>
      <c r="J2798" s="2" t="s">
        <v>13904</v>
      </c>
      <c r="K2798" s="2" t="s">
        <v>19209</v>
      </c>
      <c r="L2798" s="82" t="s">
        <v>19512</v>
      </c>
    </row>
    <row r="2799" spans="1:15" ht="84" customHeight="1" x14ac:dyDescent="0.3">
      <c r="A2799" s="2">
        <v>2795</v>
      </c>
      <c r="B2799" s="66" t="s">
        <v>3106</v>
      </c>
      <c r="C2799" s="66" t="s">
        <v>3136</v>
      </c>
      <c r="D2799" s="244">
        <v>9430.56</v>
      </c>
      <c r="E2799" s="11">
        <v>9430.56</v>
      </c>
      <c r="F2799" s="3">
        <v>41115</v>
      </c>
      <c r="G2799" s="2" t="s">
        <v>14104</v>
      </c>
      <c r="H2799" s="3">
        <v>43053</v>
      </c>
      <c r="I2799" s="2" t="s">
        <v>19506</v>
      </c>
      <c r="J2799" s="2" t="s">
        <v>13904</v>
      </c>
      <c r="K2799" s="2" t="s">
        <v>19209</v>
      </c>
      <c r="L2799" s="82" t="s">
        <v>19512</v>
      </c>
    </row>
    <row r="2800" spans="1:15" ht="84" customHeight="1" x14ac:dyDescent="0.3">
      <c r="A2800" s="2">
        <v>2796</v>
      </c>
      <c r="B2800" s="66" t="s">
        <v>3107</v>
      </c>
      <c r="C2800" s="66" t="s">
        <v>3137</v>
      </c>
      <c r="D2800" s="11">
        <v>8999.99</v>
      </c>
      <c r="E2800" s="11">
        <v>8999.99</v>
      </c>
      <c r="F2800" s="3">
        <v>37253</v>
      </c>
      <c r="G2800" s="2" t="s">
        <v>14104</v>
      </c>
      <c r="H2800" s="3">
        <v>43053</v>
      </c>
      <c r="I2800" s="2" t="s">
        <v>19506</v>
      </c>
      <c r="J2800" s="2" t="s">
        <v>13904</v>
      </c>
      <c r="K2800" s="2"/>
      <c r="L2800" s="82" t="s">
        <v>19512</v>
      </c>
    </row>
    <row r="2801" spans="1:12" ht="84" customHeight="1" x14ac:dyDescent="0.3">
      <c r="A2801" s="2">
        <v>2797</v>
      </c>
      <c r="B2801" s="66" t="s">
        <v>3108</v>
      </c>
      <c r="C2801" s="66" t="s">
        <v>3138</v>
      </c>
      <c r="D2801" s="244">
        <v>3500</v>
      </c>
      <c r="E2801" s="11">
        <v>3500</v>
      </c>
      <c r="F2801" s="3">
        <v>39808</v>
      </c>
      <c r="G2801" s="2" t="s">
        <v>14104</v>
      </c>
      <c r="H2801" s="3">
        <v>43053</v>
      </c>
      <c r="I2801" s="2" t="s">
        <v>19506</v>
      </c>
      <c r="J2801" s="2" t="s">
        <v>13904</v>
      </c>
      <c r="K2801" s="2" t="s">
        <v>19209</v>
      </c>
      <c r="L2801" s="82" t="s">
        <v>19512</v>
      </c>
    </row>
    <row r="2802" spans="1:12" ht="84" customHeight="1" x14ac:dyDescent="0.3">
      <c r="A2802" s="2">
        <v>2798</v>
      </c>
      <c r="B2802" s="66" t="s">
        <v>3109</v>
      </c>
      <c r="C2802" s="66" t="s">
        <v>3139</v>
      </c>
      <c r="D2802" s="244">
        <v>7687</v>
      </c>
      <c r="E2802" s="11">
        <v>7687</v>
      </c>
      <c r="F2802" s="3">
        <v>39430</v>
      </c>
      <c r="G2802" s="2" t="s">
        <v>14104</v>
      </c>
      <c r="H2802" s="3">
        <v>43053</v>
      </c>
      <c r="I2802" s="2" t="s">
        <v>19506</v>
      </c>
      <c r="J2802" s="2" t="s">
        <v>13904</v>
      </c>
      <c r="K2802" s="2" t="s">
        <v>19209</v>
      </c>
      <c r="L2802" s="82" t="s">
        <v>19512</v>
      </c>
    </row>
    <row r="2803" spans="1:12" ht="84" customHeight="1" x14ac:dyDescent="0.3">
      <c r="A2803" s="2">
        <v>2799</v>
      </c>
      <c r="B2803" s="66" t="s">
        <v>3110</v>
      </c>
      <c r="C2803" s="66" t="s">
        <v>3140</v>
      </c>
      <c r="D2803" s="244">
        <v>3236.75</v>
      </c>
      <c r="E2803" s="11">
        <v>3236.75</v>
      </c>
      <c r="F2803" s="3">
        <v>38461</v>
      </c>
      <c r="G2803" s="2" t="s">
        <v>14104</v>
      </c>
      <c r="H2803" s="3">
        <v>43053</v>
      </c>
      <c r="I2803" s="2" t="s">
        <v>19506</v>
      </c>
      <c r="J2803" s="2" t="s">
        <v>13904</v>
      </c>
      <c r="K2803" s="2" t="s">
        <v>19209</v>
      </c>
      <c r="L2803" s="82" t="s">
        <v>19512</v>
      </c>
    </row>
    <row r="2804" spans="1:12" ht="84" customHeight="1" x14ac:dyDescent="0.3">
      <c r="A2804" s="2">
        <v>2800</v>
      </c>
      <c r="B2804" s="66" t="s">
        <v>258</v>
      </c>
      <c r="C2804" s="66" t="s">
        <v>3141</v>
      </c>
      <c r="D2804" s="244">
        <v>9090</v>
      </c>
      <c r="E2804" s="11">
        <v>9090</v>
      </c>
      <c r="F2804" s="3">
        <v>39442</v>
      </c>
      <c r="G2804" s="2" t="s">
        <v>14104</v>
      </c>
      <c r="H2804" s="3">
        <v>43053</v>
      </c>
      <c r="I2804" s="2" t="s">
        <v>19506</v>
      </c>
      <c r="J2804" s="2" t="s">
        <v>13904</v>
      </c>
      <c r="K2804" s="2" t="s">
        <v>19209</v>
      </c>
      <c r="L2804" s="82" t="s">
        <v>19512</v>
      </c>
    </row>
    <row r="2805" spans="1:12" ht="84" customHeight="1" x14ac:dyDescent="0.3">
      <c r="A2805" s="2">
        <v>2801</v>
      </c>
      <c r="B2805" s="66" t="s">
        <v>3111</v>
      </c>
      <c r="C2805" s="66" t="s">
        <v>3142</v>
      </c>
      <c r="D2805" s="244">
        <v>4523.41</v>
      </c>
      <c r="E2805" s="11">
        <v>4523.41</v>
      </c>
      <c r="F2805" s="3">
        <v>39422</v>
      </c>
      <c r="G2805" s="2" t="s">
        <v>14104</v>
      </c>
      <c r="H2805" s="3">
        <v>43053</v>
      </c>
      <c r="I2805" s="2" t="s">
        <v>19506</v>
      </c>
      <c r="J2805" s="2" t="s">
        <v>13904</v>
      </c>
      <c r="K2805" s="2" t="s">
        <v>19209</v>
      </c>
      <c r="L2805" s="82" t="s">
        <v>19512</v>
      </c>
    </row>
    <row r="2806" spans="1:12" ht="84" customHeight="1" x14ac:dyDescent="0.3">
      <c r="A2806" s="2">
        <v>2802</v>
      </c>
      <c r="B2806" s="66" t="s">
        <v>251</v>
      </c>
      <c r="C2806" s="66" t="s">
        <v>3143</v>
      </c>
      <c r="D2806" s="244">
        <v>7062</v>
      </c>
      <c r="E2806" s="11">
        <v>7062</v>
      </c>
      <c r="F2806" s="3">
        <v>38461</v>
      </c>
      <c r="G2806" s="2" t="s">
        <v>14104</v>
      </c>
      <c r="H2806" s="3">
        <v>43053</v>
      </c>
      <c r="I2806" s="2" t="s">
        <v>19506</v>
      </c>
      <c r="J2806" s="2" t="s">
        <v>13904</v>
      </c>
      <c r="K2806" s="2" t="s">
        <v>19209</v>
      </c>
      <c r="L2806" s="82" t="s">
        <v>19512</v>
      </c>
    </row>
    <row r="2807" spans="1:12" ht="84" customHeight="1" x14ac:dyDescent="0.3">
      <c r="A2807" s="2">
        <v>2803</v>
      </c>
      <c r="B2807" s="66" t="s">
        <v>3112</v>
      </c>
      <c r="C2807" s="66" t="s">
        <v>3144</v>
      </c>
      <c r="D2807" s="244">
        <v>3909.17</v>
      </c>
      <c r="E2807" s="11">
        <v>3909.17</v>
      </c>
      <c r="F2807" s="3">
        <v>38461</v>
      </c>
      <c r="G2807" s="2" t="s">
        <v>14104</v>
      </c>
      <c r="H2807" s="3">
        <v>43053</v>
      </c>
      <c r="I2807" s="2" t="s">
        <v>19506</v>
      </c>
      <c r="J2807" s="2" t="s">
        <v>13904</v>
      </c>
      <c r="K2807" s="2" t="s">
        <v>19209</v>
      </c>
      <c r="L2807" s="82" t="s">
        <v>19512</v>
      </c>
    </row>
    <row r="2808" spans="1:12" ht="84" customHeight="1" x14ac:dyDescent="0.3">
      <c r="A2808" s="2">
        <v>2804</v>
      </c>
      <c r="B2808" s="66" t="s">
        <v>3113</v>
      </c>
      <c r="C2808" s="66" t="s">
        <v>3145</v>
      </c>
      <c r="D2808" s="244">
        <v>6700</v>
      </c>
      <c r="E2808" s="11">
        <v>6700</v>
      </c>
      <c r="F2808" s="3">
        <v>41835</v>
      </c>
      <c r="G2808" s="2" t="s">
        <v>14104</v>
      </c>
      <c r="H2808" s="3">
        <v>43053</v>
      </c>
      <c r="I2808" s="2" t="s">
        <v>19506</v>
      </c>
      <c r="J2808" s="2" t="s">
        <v>13904</v>
      </c>
      <c r="K2808" s="2" t="s">
        <v>19209</v>
      </c>
      <c r="L2808" s="82" t="s">
        <v>19512</v>
      </c>
    </row>
    <row r="2809" spans="1:12" ht="84" customHeight="1" x14ac:dyDescent="0.3">
      <c r="A2809" s="2">
        <v>2805</v>
      </c>
      <c r="B2809" s="66" t="s">
        <v>3114</v>
      </c>
      <c r="C2809" s="66" t="s">
        <v>3146</v>
      </c>
      <c r="D2809" s="244">
        <v>5600</v>
      </c>
      <c r="E2809" s="11">
        <v>5600</v>
      </c>
      <c r="F2809" s="3">
        <v>41835</v>
      </c>
      <c r="G2809" s="2" t="s">
        <v>14104</v>
      </c>
      <c r="H2809" s="3">
        <v>43053</v>
      </c>
      <c r="I2809" s="2" t="s">
        <v>19506</v>
      </c>
      <c r="J2809" s="2" t="s">
        <v>13904</v>
      </c>
      <c r="K2809" s="2" t="s">
        <v>19209</v>
      </c>
      <c r="L2809" s="82" t="s">
        <v>19512</v>
      </c>
    </row>
    <row r="2810" spans="1:12" ht="84" customHeight="1" x14ac:dyDescent="0.3">
      <c r="A2810" s="2">
        <v>2806</v>
      </c>
      <c r="B2810" s="66" t="s">
        <v>3115</v>
      </c>
      <c r="C2810" s="66" t="s">
        <v>3147</v>
      </c>
      <c r="D2810" s="244">
        <v>6350</v>
      </c>
      <c r="E2810" s="11">
        <v>6350</v>
      </c>
      <c r="F2810" s="3">
        <v>41835</v>
      </c>
      <c r="G2810" s="2" t="s">
        <v>14104</v>
      </c>
      <c r="H2810" s="3">
        <v>43053</v>
      </c>
      <c r="I2810" s="2" t="s">
        <v>19506</v>
      </c>
      <c r="J2810" s="2" t="s">
        <v>13904</v>
      </c>
      <c r="K2810" s="2" t="s">
        <v>19209</v>
      </c>
      <c r="L2810" s="82" t="s">
        <v>19512</v>
      </c>
    </row>
    <row r="2811" spans="1:12" ht="84" customHeight="1" x14ac:dyDescent="0.3">
      <c r="A2811" s="2">
        <v>2807</v>
      </c>
      <c r="B2811" s="66" t="s">
        <v>3116</v>
      </c>
      <c r="C2811" s="66" t="s">
        <v>3148</v>
      </c>
      <c r="D2811" s="244">
        <v>8650</v>
      </c>
      <c r="E2811" s="11">
        <v>8650</v>
      </c>
      <c r="F2811" s="3">
        <v>41835</v>
      </c>
      <c r="G2811" s="2" t="s">
        <v>14104</v>
      </c>
      <c r="H2811" s="3">
        <v>43053</v>
      </c>
      <c r="I2811" s="2" t="s">
        <v>19506</v>
      </c>
      <c r="J2811" s="2" t="s">
        <v>13904</v>
      </c>
      <c r="K2811" s="2" t="s">
        <v>19209</v>
      </c>
      <c r="L2811" s="82" t="s">
        <v>19512</v>
      </c>
    </row>
    <row r="2812" spans="1:12" ht="84" customHeight="1" x14ac:dyDescent="0.3">
      <c r="A2812" s="2">
        <v>2808</v>
      </c>
      <c r="B2812" s="66" t="s">
        <v>3117</v>
      </c>
      <c r="C2812" s="66" t="s">
        <v>3149</v>
      </c>
      <c r="D2812" s="244">
        <v>3300</v>
      </c>
      <c r="E2812" s="11">
        <v>3300</v>
      </c>
      <c r="F2812" s="3">
        <v>41835</v>
      </c>
      <c r="G2812" s="2" t="s">
        <v>14104</v>
      </c>
      <c r="H2812" s="3">
        <v>43053</v>
      </c>
      <c r="I2812" s="2" t="s">
        <v>19506</v>
      </c>
      <c r="J2812" s="2" t="s">
        <v>13904</v>
      </c>
      <c r="K2812" s="2" t="s">
        <v>19209</v>
      </c>
      <c r="L2812" s="82" t="s">
        <v>19512</v>
      </c>
    </row>
    <row r="2813" spans="1:12" ht="84" customHeight="1" x14ac:dyDescent="0.3">
      <c r="A2813" s="2">
        <v>2809</v>
      </c>
      <c r="B2813" s="66" t="s">
        <v>3118</v>
      </c>
      <c r="C2813" s="66" t="s">
        <v>3150</v>
      </c>
      <c r="D2813" s="244">
        <v>4319.9799999999996</v>
      </c>
      <c r="E2813" s="11">
        <v>4319.9799999999996</v>
      </c>
      <c r="F2813" s="3">
        <v>41115</v>
      </c>
      <c r="G2813" s="2" t="s">
        <v>14104</v>
      </c>
      <c r="H2813" s="3">
        <v>43053</v>
      </c>
      <c r="I2813" s="2" t="s">
        <v>19506</v>
      </c>
      <c r="J2813" s="2" t="s">
        <v>13904</v>
      </c>
      <c r="K2813" s="2" t="s">
        <v>19209</v>
      </c>
      <c r="L2813" s="82" t="s">
        <v>19512</v>
      </c>
    </row>
    <row r="2814" spans="1:12" ht="84" customHeight="1" x14ac:dyDescent="0.3">
      <c r="A2814" s="2">
        <v>2810</v>
      </c>
      <c r="B2814" s="66" t="s">
        <v>3119</v>
      </c>
      <c r="C2814" s="66" t="s">
        <v>3151</v>
      </c>
      <c r="D2814" s="244">
        <v>3460</v>
      </c>
      <c r="E2814" s="11">
        <v>3460</v>
      </c>
      <c r="F2814" s="3">
        <v>41995</v>
      </c>
      <c r="G2814" s="2" t="s">
        <v>14104</v>
      </c>
      <c r="H2814" s="3">
        <v>43053</v>
      </c>
      <c r="I2814" s="2" t="s">
        <v>19506</v>
      </c>
      <c r="J2814" s="2" t="s">
        <v>13904</v>
      </c>
      <c r="K2814" s="2" t="s">
        <v>19209</v>
      </c>
      <c r="L2814" s="82" t="s">
        <v>19512</v>
      </c>
    </row>
    <row r="2815" spans="1:12" ht="84" customHeight="1" x14ac:dyDescent="0.3">
      <c r="A2815" s="2">
        <v>2811</v>
      </c>
      <c r="B2815" s="66" t="s">
        <v>3120</v>
      </c>
      <c r="C2815" s="66" t="s">
        <v>3152</v>
      </c>
      <c r="D2815" s="244">
        <v>5350</v>
      </c>
      <c r="E2815" s="11">
        <v>5350</v>
      </c>
      <c r="F2815" s="3">
        <v>41995</v>
      </c>
      <c r="G2815" s="2" t="s">
        <v>14104</v>
      </c>
      <c r="H2815" s="3">
        <v>43053</v>
      </c>
      <c r="I2815" s="2" t="s">
        <v>19506</v>
      </c>
      <c r="J2815" s="2" t="s">
        <v>13904</v>
      </c>
      <c r="K2815" s="2" t="s">
        <v>19209</v>
      </c>
      <c r="L2815" s="82" t="s">
        <v>19512</v>
      </c>
    </row>
    <row r="2816" spans="1:12" ht="84" customHeight="1" x14ac:dyDescent="0.3">
      <c r="A2816" s="2">
        <v>2812</v>
      </c>
      <c r="B2816" s="66" t="s">
        <v>3121</v>
      </c>
      <c r="C2816" s="66" t="s">
        <v>3153</v>
      </c>
      <c r="D2816" s="244">
        <v>8300</v>
      </c>
      <c r="E2816" s="11">
        <v>8300</v>
      </c>
      <c r="F2816" s="3">
        <v>41995</v>
      </c>
      <c r="G2816" s="2" t="s">
        <v>14104</v>
      </c>
      <c r="H2816" s="3">
        <v>43053</v>
      </c>
      <c r="I2816" s="2" t="s">
        <v>19506</v>
      </c>
      <c r="J2816" s="2" t="s">
        <v>13904</v>
      </c>
      <c r="K2816" s="2" t="s">
        <v>19209</v>
      </c>
      <c r="L2816" s="82" t="s">
        <v>19512</v>
      </c>
    </row>
    <row r="2817" spans="1:15" ht="84" customHeight="1" x14ac:dyDescent="0.3">
      <c r="A2817" s="2">
        <v>2813</v>
      </c>
      <c r="B2817" s="66" t="s">
        <v>3122</v>
      </c>
      <c r="C2817" s="66" t="s">
        <v>3154</v>
      </c>
      <c r="D2817" s="244">
        <v>14044.56</v>
      </c>
      <c r="E2817" s="11">
        <v>14044.56</v>
      </c>
      <c r="F2817" s="3">
        <v>41995</v>
      </c>
      <c r="G2817" s="2" t="s">
        <v>14104</v>
      </c>
      <c r="H2817" s="3">
        <v>43053</v>
      </c>
      <c r="I2817" s="2" t="s">
        <v>19506</v>
      </c>
      <c r="J2817" s="2" t="s">
        <v>13904</v>
      </c>
      <c r="K2817" s="2" t="s">
        <v>19209</v>
      </c>
      <c r="L2817" s="82" t="s">
        <v>19512</v>
      </c>
    </row>
    <row r="2818" spans="1:15" ht="84" customHeight="1" x14ac:dyDescent="0.3">
      <c r="A2818" s="2">
        <v>2814</v>
      </c>
      <c r="B2818" s="66" t="s">
        <v>3123</v>
      </c>
      <c r="C2818" s="66" t="s">
        <v>3155</v>
      </c>
      <c r="D2818" s="244">
        <v>13588.62</v>
      </c>
      <c r="E2818" s="11">
        <v>13588.62</v>
      </c>
      <c r="F2818" s="3">
        <v>41995</v>
      </c>
      <c r="G2818" s="2" t="s">
        <v>14104</v>
      </c>
      <c r="H2818" s="3">
        <v>43053</v>
      </c>
      <c r="I2818" s="2" t="s">
        <v>19506</v>
      </c>
      <c r="J2818" s="2" t="s">
        <v>13904</v>
      </c>
      <c r="K2818" s="2" t="s">
        <v>19209</v>
      </c>
      <c r="L2818" s="82" t="s">
        <v>19512</v>
      </c>
    </row>
    <row r="2819" spans="1:15" s="19" customFormat="1" ht="84" customHeight="1" x14ac:dyDescent="0.3">
      <c r="A2819" s="2">
        <v>2815</v>
      </c>
      <c r="B2819" s="66" t="s">
        <v>3156</v>
      </c>
      <c r="C2819" s="66" t="s">
        <v>3124</v>
      </c>
      <c r="D2819" s="11">
        <v>90000</v>
      </c>
      <c r="E2819" s="11">
        <v>4500</v>
      </c>
      <c r="F2819" s="3">
        <v>41878</v>
      </c>
      <c r="G2819" s="2"/>
      <c r="H2819" s="2"/>
      <c r="I2819" s="2"/>
      <c r="J2819" s="2" t="s">
        <v>13904</v>
      </c>
      <c r="K2819" s="2" t="s">
        <v>19204</v>
      </c>
      <c r="L2819" s="2" t="s">
        <v>18612</v>
      </c>
      <c r="M2819" s="18"/>
      <c r="N2819" s="18"/>
      <c r="O2819" s="18"/>
    </row>
    <row r="2820" spans="1:15" ht="84" customHeight="1" x14ac:dyDescent="0.3">
      <c r="A2820" s="2">
        <v>2816</v>
      </c>
      <c r="B2820" s="66" t="s">
        <v>3157</v>
      </c>
      <c r="C2820" s="66" t="s">
        <v>3196</v>
      </c>
      <c r="D2820" s="11">
        <v>49164.59</v>
      </c>
      <c r="E2820" s="11">
        <v>27859.94</v>
      </c>
      <c r="F2820" s="3">
        <v>41145</v>
      </c>
      <c r="G2820" s="2"/>
      <c r="H2820" s="3">
        <v>43053</v>
      </c>
      <c r="I2820" s="2" t="s">
        <v>19506</v>
      </c>
      <c r="J2820" s="2" t="s">
        <v>13904</v>
      </c>
      <c r="K2820" s="2" t="s">
        <v>19204</v>
      </c>
      <c r="L2820" s="82" t="s">
        <v>19512</v>
      </c>
    </row>
    <row r="2821" spans="1:15" ht="84" customHeight="1" x14ac:dyDescent="0.3">
      <c r="A2821" s="2">
        <v>2817</v>
      </c>
      <c r="B2821" s="66" t="s">
        <v>3158</v>
      </c>
      <c r="C2821" s="66" t="s">
        <v>3197</v>
      </c>
      <c r="D2821" s="11">
        <v>7000</v>
      </c>
      <c r="E2821" s="11">
        <v>7000</v>
      </c>
      <c r="F2821" s="3">
        <v>40905</v>
      </c>
      <c r="G2821" s="2"/>
      <c r="H2821" s="3">
        <v>43053</v>
      </c>
      <c r="I2821" s="2" t="s">
        <v>19506</v>
      </c>
      <c r="J2821" s="2" t="s">
        <v>13904</v>
      </c>
      <c r="K2821" s="2" t="s">
        <v>19204</v>
      </c>
      <c r="L2821" s="82" t="s">
        <v>19512</v>
      </c>
    </row>
    <row r="2822" spans="1:15" ht="84" customHeight="1" x14ac:dyDescent="0.3">
      <c r="A2822" s="2">
        <v>2818</v>
      </c>
      <c r="B2822" s="66" t="s">
        <v>3159</v>
      </c>
      <c r="C2822" s="66" t="s">
        <v>3198</v>
      </c>
      <c r="D2822" s="11">
        <v>19459.990000000002</v>
      </c>
      <c r="E2822" s="11">
        <v>19459.990000000002</v>
      </c>
      <c r="F2822" s="3">
        <v>39408</v>
      </c>
      <c r="G2822" s="2"/>
      <c r="H2822" s="3">
        <v>43053</v>
      </c>
      <c r="I2822" s="2" t="s">
        <v>19506</v>
      </c>
      <c r="J2822" s="2" t="s">
        <v>13904</v>
      </c>
      <c r="K2822" s="2" t="s">
        <v>19204</v>
      </c>
      <c r="L2822" s="82" t="s">
        <v>19512</v>
      </c>
    </row>
    <row r="2823" spans="1:15" ht="84" customHeight="1" x14ac:dyDescent="0.3">
      <c r="A2823" s="2">
        <v>2819</v>
      </c>
      <c r="B2823" s="66" t="s">
        <v>3160</v>
      </c>
      <c r="C2823" s="66" t="s">
        <v>3199</v>
      </c>
      <c r="D2823" s="11">
        <v>14772.15</v>
      </c>
      <c r="E2823" s="11">
        <v>14772.15</v>
      </c>
      <c r="F2823" s="3">
        <v>39065</v>
      </c>
      <c r="G2823" s="2"/>
      <c r="H2823" s="3">
        <v>43053</v>
      </c>
      <c r="I2823" s="2" t="s">
        <v>19506</v>
      </c>
      <c r="J2823" s="2" t="s">
        <v>13904</v>
      </c>
      <c r="K2823" s="2" t="s">
        <v>19204</v>
      </c>
      <c r="L2823" s="82" t="s">
        <v>19512</v>
      </c>
    </row>
    <row r="2824" spans="1:15" ht="84" customHeight="1" x14ac:dyDescent="0.3">
      <c r="A2824" s="2">
        <v>2820</v>
      </c>
      <c r="B2824" s="66" t="s">
        <v>3161</v>
      </c>
      <c r="C2824" s="66" t="s">
        <v>3200</v>
      </c>
      <c r="D2824" s="11">
        <v>7207.25</v>
      </c>
      <c r="E2824" s="11">
        <v>7207.25</v>
      </c>
      <c r="F2824" s="3">
        <v>36870</v>
      </c>
      <c r="G2824" s="2"/>
      <c r="H2824" s="3">
        <v>43053</v>
      </c>
      <c r="I2824" s="2" t="s">
        <v>19506</v>
      </c>
      <c r="J2824" s="2" t="s">
        <v>13904</v>
      </c>
      <c r="K2824" s="2" t="s">
        <v>19204</v>
      </c>
      <c r="L2824" s="82" t="s">
        <v>19512</v>
      </c>
    </row>
    <row r="2825" spans="1:15" ht="84" customHeight="1" x14ac:dyDescent="0.3">
      <c r="A2825" s="2">
        <v>2821</v>
      </c>
      <c r="B2825" s="66" t="s">
        <v>3099</v>
      </c>
      <c r="C2825" s="66" t="s">
        <v>3201</v>
      </c>
      <c r="D2825" s="11">
        <v>4000</v>
      </c>
      <c r="E2825" s="11">
        <v>4000</v>
      </c>
      <c r="F2825" s="3">
        <v>39441</v>
      </c>
      <c r="G2825" s="2"/>
      <c r="H2825" s="3">
        <v>43053</v>
      </c>
      <c r="I2825" s="2" t="s">
        <v>19506</v>
      </c>
      <c r="J2825" s="2" t="s">
        <v>13904</v>
      </c>
      <c r="K2825" s="2" t="s">
        <v>19204</v>
      </c>
      <c r="L2825" s="82" t="s">
        <v>19512</v>
      </c>
    </row>
    <row r="2826" spans="1:15" ht="84" customHeight="1" x14ac:dyDescent="0.3">
      <c r="A2826" s="2">
        <v>2822</v>
      </c>
      <c r="B2826" s="66" t="s">
        <v>3162</v>
      </c>
      <c r="C2826" s="66" t="s">
        <v>3202</v>
      </c>
      <c r="D2826" s="11">
        <v>18718.400000000001</v>
      </c>
      <c r="E2826" s="11">
        <v>18718.400000000001</v>
      </c>
      <c r="F2826" s="3">
        <v>40878</v>
      </c>
      <c r="G2826" s="2"/>
      <c r="H2826" s="3">
        <v>43053</v>
      </c>
      <c r="I2826" s="2" t="s">
        <v>19506</v>
      </c>
      <c r="J2826" s="2" t="s">
        <v>13904</v>
      </c>
      <c r="K2826" s="2" t="s">
        <v>19204</v>
      </c>
      <c r="L2826" s="82" t="s">
        <v>19512</v>
      </c>
    </row>
    <row r="2827" spans="1:15" ht="84" customHeight="1" x14ac:dyDescent="0.3">
      <c r="A2827" s="2">
        <v>2823</v>
      </c>
      <c r="B2827" s="66" t="s">
        <v>3163</v>
      </c>
      <c r="C2827" s="66" t="s">
        <v>3203</v>
      </c>
      <c r="D2827" s="11">
        <v>3900</v>
      </c>
      <c r="E2827" s="11">
        <v>3900</v>
      </c>
      <c r="F2827" s="3">
        <v>39400</v>
      </c>
      <c r="G2827" s="2"/>
      <c r="H2827" s="3">
        <v>43053</v>
      </c>
      <c r="I2827" s="2" t="s">
        <v>19506</v>
      </c>
      <c r="J2827" s="2" t="s">
        <v>13904</v>
      </c>
      <c r="K2827" s="2" t="s">
        <v>19204</v>
      </c>
      <c r="L2827" s="82" t="s">
        <v>19512</v>
      </c>
    </row>
    <row r="2828" spans="1:15" ht="84" customHeight="1" x14ac:dyDescent="0.3">
      <c r="A2828" s="2">
        <v>2824</v>
      </c>
      <c r="B2828" s="66" t="s">
        <v>3164</v>
      </c>
      <c r="C2828" s="66" t="s">
        <v>3204</v>
      </c>
      <c r="D2828" s="11">
        <v>12900.01</v>
      </c>
      <c r="E2828" s="11">
        <v>12900.01</v>
      </c>
      <c r="F2828" s="3">
        <v>39408</v>
      </c>
      <c r="G2828" s="2"/>
      <c r="H2828" s="3">
        <v>43053</v>
      </c>
      <c r="I2828" s="2" t="s">
        <v>19506</v>
      </c>
      <c r="J2828" s="2" t="s">
        <v>13904</v>
      </c>
      <c r="K2828" s="2" t="s">
        <v>19204</v>
      </c>
      <c r="L2828" s="82" t="s">
        <v>19512</v>
      </c>
    </row>
    <row r="2829" spans="1:15" ht="84" customHeight="1" x14ac:dyDescent="0.3">
      <c r="A2829" s="2">
        <v>2825</v>
      </c>
      <c r="B2829" s="66" t="s">
        <v>3165</v>
      </c>
      <c r="C2829" s="66" t="s">
        <v>3205</v>
      </c>
      <c r="D2829" s="11">
        <v>25000</v>
      </c>
      <c r="E2829" s="11">
        <v>25000</v>
      </c>
      <c r="F2829" s="3">
        <v>41551</v>
      </c>
      <c r="G2829" s="2"/>
      <c r="H2829" s="3">
        <v>43053</v>
      </c>
      <c r="I2829" s="2" t="s">
        <v>19506</v>
      </c>
      <c r="J2829" s="2" t="s">
        <v>13904</v>
      </c>
      <c r="K2829" s="2" t="s">
        <v>19204</v>
      </c>
      <c r="L2829" s="82" t="s">
        <v>19512</v>
      </c>
    </row>
    <row r="2830" spans="1:15" ht="84" customHeight="1" x14ac:dyDescent="0.3">
      <c r="A2830" s="2">
        <v>2826</v>
      </c>
      <c r="B2830" s="66" t="s">
        <v>3166</v>
      </c>
      <c r="C2830" s="66" t="s">
        <v>3206</v>
      </c>
      <c r="D2830" s="11">
        <v>4300</v>
      </c>
      <c r="E2830" s="11">
        <v>4300</v>
      </c>
      <c r="F2830" s="3">
        <v>41837</v>
      </c>
      <c r="G2830" s="2"/>
      <c r="H2830" s="3">
        <v>43053</v>
      </c>
      <c r="I2830" s="2" t="s">
        <v>19506</v>
      </c>
      <c r="J2830" s="2" t="s">
        <v>13904</v>
      </c>
      <c r="K2830" s="2" t="s">
        <v>19204</v>
      </c>
      <c r="L2830" s="82" t="s">
        <v>19512</v>
      </c>
    </row>
    <row r="2831" spans="1:15" ht="84" customHeight="1" x14ac:dyDescent="0.3">
      <c r="A2831" s="2">
        <v>2827</v>
      </c>
      <c r="B2831" s="66" t="s">
        <v>3167</v>
      </c>
      <c r="C2831" s="66" t="s">
        <v>3207</v>
      </c>
      <c r="D2831" s="11">
        <v>19985.07</v>
      </c>
      <c r="E2831" s="11">
        <v>19985.07</v>
      </c>
      <c r="F2831" s="3">
        <v>41620</v>
      </c>
      <c r="G2831" s="2"/>
      <c r="H2831" s="3">
        <v>43053</v>
      </c>
      <c r="I2831" s="2" t="s">
        <v>19506</v>
      </c>
      <c r="J2831" s="2" t="s">
        <v>13904</v>
      </c>
      <c r="K2831" s="2" t="s">
        <v>19204</v>
      </c>
      <c r="L2831" s="82" t="s">
        <v>19512</v>
      </c>
    </row>
    <row r="2832" spans="1:15" ht="84" customHeight="1" x14ac:dyDescent="0.3">
      <c r="A2832" s="2">
        <v>2828</v>
      </c>
      <c r="B2832" s="66" t="s">
        <v>3168</v>
      </c>
      <c r="C2832" s="66" t="s">
        <v>3208</v>
      </c>
      <c r="D2832" s="11">
        <v>5025.28</v>
      </c>
      <c r="E2832" s="11">
        <v>5025.28</v>
      </c>
      <c r="F2832" s="3">
        <v>41408</v>
      </c>
      <c r="G2832" s="2"/>
      <c r="H2832" s="3">
        <v>43053</v>
      </c>
      <c r="I2832" s="2" t="s">
        <v>19506</v>
      </c>
      <c r="J2832" s="2" t="s">
        <v>13904</v>
      </c>
      <c r="K2832" s="2" t="s">
        <v>19204</v>
      </c>
      <c r="L2832" s="82" t="s">
        <v>19512</v>
      </c>
    </row>
    <row r="2833" spans="1:12" ht="84" customHeight="1" x14ac:dyDescent="0.3">
      <c r="A2833" s="2">
        <v>2829</v>
      </c>
      <c r="B2833" s="66" t="s">
        <v>3169</v>
      </c>
      <c r="C2833" s="66" t="s">
        <v>3209</v>
      </c>
      <c r="D2833" s="11">
        <v>18718.400000000001</v>
      </c>
      <c r="E2833" s="11">
        <v>18718.400000000001</v>
      </c>
      <c r="F2833" s="3">
        <v>41408</v>
      </c>
      <c r="G2833" s="2"/>
      <c r="H2833" s="3">
        <v>43053</v>
      </c>
      <c r="I2833" s="2" t="s">
        <v>19506</v>
      </c>
      <c r="J2833" s="2" t="s">
        <v>13904</v>
      </c>
      <c r="K2833" s="2" t="s">
        <v>19204</v>
      </c>
      <c r="L2833" s="82" t="s">
        <v>19512</v>
      </c>
    </row>
    <row r="2834" spans="1:12" ht="84" customHeight="1" x14ac:dyDescent="0.3">
      <c r="A2834" s="2">
        <v>2830</v>
      </c>
      <c r="B2834" s="66" t="s">
        <v>3170</v>
      </c>
      <c r="C2834" s="66" t="s">
        <v>3210</v>
      </c>
      <c r="D2834" s="11">
        <v>9430.56</v>
      </c>
      <c r="E2834" s="11">
        <v>9430.56</v>
      </c>
      <c r="F2834" s="3">
        <v>41115</v>
      </c>
      <c r="G2834" s="2"/>
      <c r="H2834" s="3">
        <v>43053</v>
      </c>
      <c r="I2834" s="2" t="s">
        <v>19506</v>
      </c>
      <c r="J2834" s="2" t="s">
        <v>13904</v>
      </c>
      <c r="K2834" s="2" t="s">
        <v>19204</v>
      </c>
      <c r="L2834" s="82" t="s">
        <v>19512</v>
      </c>
    </row>
    <row r="2835" spans="1:12" ht="84" customHeight="1" x14ac:dyDescent="0.3">
      <c r="A2835" s="2">
        <v>2831</v>
      </c>
      <c r="B2835" s="66" t="s">
        <v>3171</v>
      </c>
      <c r="C2835" s="66" t="s">
        <v>3211</v>
      </c>
      <c r="D2835" s="11">
        <v>27964</v>
      </c>
      <c r="E2835" s="11">
        <v>27964</v>
      </c>
      <c r="F2835" s="3">
        <v>40898</v>
      </c>
      <c r="G2835" s="2"/>
      <c r="H2835" s="3">
        <v>43053</v>
      </c>
      <c r="I2835" s="2" t="s">
        <v>19506</v>
      </c>
      <c r="J2835" s="2" t="s">
        <v>13904</v>
      </c>
      <c r="K2835" s="2" t="s">
        <v>19204</v>
      </c>
      <c r="L2835" s="82" t="s">
        <v>19512</v>
      </c>
    </row>
    <row r="2836" spans="1:12" ht="84" customHeight="1" x14ac:dyDescent="0.3">
      <c r="A2836" s="2">
        <v>2832</v>
      </c>
      <c r="B2836" s="66" t="s">
        <v>3172</v>
      </c>
      <c r="C2836" s="66" t="s">
        <v>3212</v>
      </c>
      <c r="D2836" s="11">
        <v>4000</v>
      </c>
      <c r="E2836" s="11">
        <v>4000</v>
      </c>
      <c r="F2836" s="3">
        <v>40898</v>
      </c>
      <c r="G2836" s="2"/>
      <c r="H2836" s="3">
        <v>43053</v>
      </c>
      <c r="I2836" s="2" t="s">
        <v>19506</v>
      </c>
      <c r="J2836" s="2" t="s">
        <v>13904</v>
      </c>
      <c r="K2836" s="2" t="s">
        <v>19204</v>
      </c>
      <c r="L2836" s="82" t="s">
        <v>19512</v>
      </c>
    </row>
    <row r="2837" spans="1:12" ht="84" customHeight="1" x14ac:dyDescent="0.3">
      <c r="A2837" s="2">
        <v>2833</v>
      </c>
      <c r="B2837" s="66" t="s">
        <v>3095</v>
      </c>
      <c r="C2837" s="66" t="s">
        <v>3213</v>
      </c>
      <c r="D2837" s="11">
        <v>4499.99</v>
      </c>
      <c r="E2837" s="11">
        <v>4499.99</v>
      </c>
      <c r="F2837" s="3">
        <v>40905</v>
      </c>
      <c r="G2837" s="2"/>
      <c r="H2837" s="3">
        <v>43053</v>
      </c>
      <c r="I2837" s="2" t="s">
        <v>19506</v>
      </c>
      <c r="J2837" s="2" t="s">
        <v>13904</v>
      </c>
      <c r="K2837" s="2" t="s">
        <v>19204</v>
      </c>
      <c r="L2837" s="82" t="s">
        <v>19512</v>
      </c>
    </row>
    <row r="2838" spans="1:12" ht="84" customHeight="1" x14ac:dyDescent="0.3">
      <c r="A2838" s="2">
        <v>2834</v>
      </c>
      <c r="B2838" s="66" t="s">
        <v>3173</v>
      </c>
      <c r="C2838" s="66" t="s">
        <v>3214</v>
      </c>
      <c r="D2838" s="11">
        <v>7687</v>
      </c>
      <c r="E2838" s="11">
        <v>7687</v>
      </c>
      <c r="F2838" s="3">
        <v>39430</v>
      </c>
      <c r="G2838" s="2"/>
      <c r="H2838" s="3">
        <v>43053</v>
      </c>
      <c r="I2838" s="2" t="s">
        <v>19506</v>
      </c>
      <c r="J2838" s="2" t="s">
        <v>13904</v>
      </c>
      <c r="K2838" s="2" t="s">
        <v>19204</v>
      </c>
      <c r="L2838" s="82" t="s">
        <v>19512</v>
      </c>
    </row>
    <row r="2839" spans="1:12" ht="84" customHeight="1" x14ac:dyDescent="0.3">
      <c r="A2839" s="2">
        <v>2835</v>
      </c>
      <c r="B2839" s="66" t="s">
        <v>3174</v>
      </c>
      <c r="C2839" s="66" t="s">
        <v>3215</v>
      </c>
      <c r="D2839" s="11">
        <v>4800</v>
      </c>
      <c r="E2839" s="11">
        <v>4800</v>
      </c>
      <c r="F2839" s="3">
        <v>40865</v>
      </c>
      <c r="G2839" s="2"/>
      <c r="H2839" s="3">
        <v>43053</v>
      </c>
      <c r="I2839" s="2" t="s">
        <v>19506</v>
      </c>
      <c r="J2839" s="2" t="s">
        <v>13904</v>
      </c>
      <c r="K2839" s="2" t="s">
        <v>19204</v>
      </c>
      <c r="L2839" s="82" t="s">
        <v>19512</v>
      </c>
    </row>
    <row r="2840" spans="1:12" ht="84" customHeight="1" x14ac:dyDescent="0.3">
      <c r="A2840" s="2">
        <v>2836</v>
      </c>
      <c r="B2840" s="66" t="s">
        <v>3110</v>
      </c>
      <c r="C2840" s="66" t="s">
        <v>3216</v>
      </c>
      <c r="D2840" s="11">
        <v>4306.57</v>
      </c>
      <c r="E2840" s="11">
        <v>4306.57</v>
      </c>
      <c r="F2840" s="3">
        <v>33209</v>
      </c>
      <c r="G2840" s="2"/>
      <c r="H2840" s="3">
        <v>43053</v>
      </c>
      <c r="I2840" s="2" t="s">
        <v>19506</v>
      </c>
      <c r="J2840" s="2" t="s">
        <v>13904</v>
      </c>
      <c r="K2840" s="2" t="s">
        <v>19204</v>
      </c>
      <c r="L2840" s="82" t="s">
        <v>19512</v>
      </c>
    </row>
    <row r="2841" spans="1:12" ht="84" customHeight="1" x14ac:dyDescent="0.3">
      <c r="A2841" s="2">
        <v>2837</v>
      </c>
      <c r="B2841" s="66" t="s">
        <v>3175</v>
      </c>
      <c r="C2841" s="66" t="s">
        <v>3217</v>
      </c>
      <c r="D2841" s="11">
        <v>3855.72</v>
      </c>
      <c r="E2841" s="11">
        <v>3855.72</v>
      </c>
      <c r="F2841" s="3">
        <v>34524</v>
      </c>
      <c r="G2841" s="2"/>
      <c r="H2841" s="3">
        <v>43053</v>
      </c>
      <c r="I2841" s="2" t="s">
        <v>19506</v>
      </c>
      <c r="J2841" s="2" t="s">
        <v>13904</v>
      </c>
      <c r="K2841" s="2" t="s">
        <v>19204</v>
      </c>
      <c r="L2841" s="82" t="s">
        <v>19512</v>
      </c>
    </row>
    <row r="2842" spans="1:12" ht="84" customHeight="1" x14ac:dyDescent="0.3">
      <c r="A2842" s="2">
        <v>2838</v>
      </c>
      <c r="B2842" s="66" t="s">
        <v>1125</v>
      </c>
      <c r="C2842" s="66" t="s">
        <v>3218</v>
      </c>
      <c r="D2842" s="11">
        <v>5363.82</v>
      </c>
      <c r="E2842" s="11">
        <v>5363.82</v>
      </c>
      <c r="F2842" s="3">
        <v>28844</v>
      </c>
      <c r="G2842" s="2"/>
      <c r="H2842" s="3">
        <v>43053</v>
      </c>
      <c r="I2842" s="2" t="s">
        <v>19506</v>
      </c>
      <c r="J2842" s="2" t="s">
        <v>13904</v>
      </c>
      <c r="K2842" s="2" t="s">
        <v>19204</v>
      </c>
      <c r="L2842" s="82" t="s">
        <v>19512</v>
      </c>
    </row>
    <row r="2843" spans="1:12" ht="84" customHeight="1" x14ac:dyDescent="0.3">
      <c r="A2843" s="2">
        <v>2839</v>
      </c>
      <c r="B2843" s="66" t="s">
        <v>3176</v>
      </c>
      <c r="C2843" s="66" t="s">
        <v>3219</v>
      </c>
      <c r="D2843" s="11">
        <v>6000</v>
      </c>
      <c r="E2843" s="11">
        <v>6000</v>
      </c>
      <c r="F2843" s="3">
        <v>39422</v>
      </c>
      <c r="G2843" s="2"/>
      <c r="H2843" s="3">
        <v>43053</v>
      </c>
      <c r="I2843" s="2" t="s">
        <v>19506</v>
      </c>
      <c r="J2843" s="2" t="s">
        <v>13904</v>
      </c>
      <c r="K2843" s="2" t="s">
        <v>19204</v>
      </c>
      <c r="L2843" s="82" t="s">
        <v>19512</v>
      </c>
    </row>
    <row r="2844" spans="1:12" ht="84" customHeight="1" x14ac:dyDescent="0.3">
      <c r="A2844" s="2">
        <v>2840</v>
      </c>
      <c r="B2844" s="66" t="s">
        <v>3177</v>
      </c>
      <c r="C2844" s="66" t="s">
        <v>3220</v>
      </c>
      <c r="D2844" s="11">
        <v>5000</v>
      </c>
      <c r="E2844" s="11">
        <v>5000</v>
      </c>
      <c r="F2844" s="3">
        <v>39422</v>
      </c>
      <c r="G2844" s="2"/>
      <c r="H2844" s="3">
        <v>43053</v>
      </c>
      <c r="I2844" s="2" t="s">
        <v>19506</v>
      </c>
      <c r="J2844" s="2" t="s">
        <v>13904</v>
      </c>
      <c r="K2844" s="2" t="s">
        <v>19204</v>
      </c>
      <c r="L2844" s="82" t="s">
        <v>19512</v>
      </c>
    </row>
    <row r="2845" spans="1:12" ht="84" customHeight="1" x14ac:dyDescent="0.3">
      <c r="A2845" s="2">
        <v>2841</v>
      </c>
      <c r="B2845" s="66" t="s">
        <v>3178</v>
      </c>
      <c r="C2845" s="66" t="s">
        <v>3221</v>
      </c>
      <c r="D2845" s="11">
        <v>3909.17</v>
      </c>
      <c r="E2845" s="11">
        <v>3909.17</v>
      </c>
      <c r="F2845" s="3">
        <v>39076</v>
      </c>
      <c r="G2845" s="2"/>
      <c r="H2845" s="3">
        <v>43053</v>
      </c>
      <c r="I2845" s="2" t="s">
        <v>19506</v>
      </c>
      <c r="J2845" s="2" t="s">
        <v>13904</v>
      </c>
      <c r="K2845" s="2" t="s">
        <v>19204</v>
      </c>
      <c r="L2845" s="82" t="s">
        <v>19512</v>
      </c>
    </row>
    <row r="2846" spans="1:12" ht="84" customHeight="1" x14ac:dyDescent="0.3">
      <c r="A2846" s="2">
        <v>2842</v>
      </c>
      <c r="B2846" s="66" t="s">
        <v>3179</v>
      </c>
      <c r="C2846" s="66" t="s">
        <v>3222</v>
      </c>
      <c r="D2846" s="11">
        <v>5050.99</v>
      </c>
      <c r="E2846" s="11">
        <v>5050.99</v>
      </c>
      <c r="F2846" s="3">
        <v>40817</v>
      </c>
      <c r="G2846" s="2"/>
      <c r="H2846" s="3">
        <v>43053</v>
      </c>
      <c r="I2846" s="2" t="s">
        <v>19506</v>
      </c>
      <c r="J2846" s="2" t="s">
        <v>13904</v>
      </c>
      <c r="K2846" s="2" t="s">
        <v>19204</v>
      </c>
      <c r="L2846" s="82" t="s">
        <v>19512</v>
      </c>
    </row>
    <row r="2847" spans="1:12" ht="84" customHeight="1" x14ac:dyDescent="0.3">
      <c r="A2847" s="2">
        <v>2843</v>
      </c>
      <c r="B2847" s="66" t="s">
        <v>3180</v>
      </c>
      <c r="C2847" s="66" t="s">
        <v>3223</v>
      </c>
      <c r="D2847" s="11">
        <v>5875.02</v>
      </c>
      <c r="E2847" s="11">
        <v>5875.02</v>
      </c>
      <c r="F2847" s="3">
        <v>31747</v>
      </c>
      <c r="G2847" s="2"/>
      <c r="H2847" s="3">
        <v>43053</v>
      </c>
      <c r="I2847" s="2" t="s">
        <v>19506</v>
      </c>
      <c r="J2847" s="2" t="s">
        <v>13904</v>
      </c>
      <c r="K2847" s="2" t="s">
        <v>19204</v>
      </c>
      <c r="L2847" s="82" t="s">
        <v>19512</v>
      </c>
    </row>
    <row r="2848" spans="1:12" ht="84" customHeight="1" x14ac:dyDescent="0.3">
      <c r="A2848" s="2">
        <v>2844</v>
      </c>
      <c r="B2848" s="66" t="s">
        <v>3181</v>
      </c>
      <c r="C2848" s="66" t="s">
        <v>3224</v>
      </c>
      <c r="D2848" s="11">
        <v>5649.95</v>
      </c>
      <c r="E2848" s="11">
        <v>5649.95</v>
      </c>
      <c r="F2848" s="3">
        <v>41145</v>
      </c>
      <c r="G2848" s="2"/>
      <c r="H2848" s="3">
        <v>43053</v>
      </c>
      <c r="I2848" s="2" t="s">
        <v>19506</v>
      </c>
      <c r="J2848" s="2" t="s">
        <v>13904</v>
      </c>
      <c r="K2848" s="2" t="s">
        <v>19204</v>
      </c>
      <c r="L2848" s="82" t="s">
        <v>19512</v>
      </c>
    </row>
    <row r="2849" spans="1:12" ht="84" customHeight="1" x14ac:dyDescent="0.3">
      <c r="A2849" s="2">
        <v>2845</v>
      </c>
      <c r="B2849" s="66" t="s">
        <v>3181</v>
      </c>
      <c r="C2849" s="66" t="s">
        <v>3225</v>
      </c>
      <c r="D2849" s="11">
        <v>5650</v>
      </c>
      <c r="E2849" s="11">
        <v>5650</v>
      </c>
      <c r="F2849" s="3">
        <v>41145</v>
      </c>
      <c r="G2849" s="2"/>
      <c r="H2849" s="3">
        <v>43053</v>
      </c>
      <c r="I2849" s="2" t="s">
        <v>19506</v>
      </c>
      <c r="J2849" s="2" t="s">
        <v>13904</v>
      </c>
      <c r="K2849" s="2" t="s">
        <v>19204</v>
      </c>
      <c r="L2849" s="82" t="s">
        <v>19512</v>
      </c>
    </row>
    <row r="2850" spans="1:12" ht="84" customHeight="1" x14ac:dyDescent="0.3">
      <c r="A2850" s="2">
        <v>2846</v>
      </c>
      <c r="B2850" s="66" t="s">
        <v>3181</v>
      </c>
      <c r="C2850" s="66" t="s">
        <v>3226</v>
      </c>
      <c r="D2850" s="11">
        <v>5650</v>
      </c>
      <c r="E2850" s="11">
        <v>5650</v>
      </c>
      <c r="F2850" s="3">
        <v>41145</v>
      </c>
      <c r="G2850" s="2"/>
      <c r="H2850" s="3">
        <v>43053</v>
      </c>
      <c r="I2850" s="2" t="s">
        <v>19506</v>
      </c>
      <c r="J2850" s="2" t="s">
        <v>13904</v>
      </c>
      <c r="K2850" s="2" t="s">
        <v>19204</v>
      </c>
      <c r="L2850" s="82" t="s">
        <v>19512</v>
      </c>
    </row>
    <row r="2851" spans="1:12" ht="84" customHeight="1" x14ac:dyDescent="0.3">
      <c r="A2851" s="2">
        <v>2847</v>
      </c>
      <c r="B2851" s="66" t="s">
        <v>3181</v>
      </c>
      <c r="C2851" s="66" t="s">
        <v>3227</v>
      </c>
      <c r="D2851" s="11">
        <v>5650</v>
      </c>
      <c r="E2851" s="11">
        <v>5650</v>
      </c>
      <c r="F2851" s="3">
        <v>41145</v>
      </c>
      <c r="G2851" s="2"/>
      <c r="H2851" s="3">
        <v>43053</v>
      </c>
      <c r="I2851" s="2" t="s">
        <v>19506</v>
      </c>
      <c r="J2851" s="2" t="s">
        <v>13904</v>
      </c>
      <c r="K2851" s="2" t="s">
        <v>19204</v>
      </c>
      <c r="L2851" s="82" t="s">
        <v>19512</v>
      </c>
    </row>
    <row r="2852" spans="1:12" ht="84" customHeight="1" x14ac:dyDescent="0.3">
      <c r="A2852" s="2">
        <v>2848</v>
      </c>
      <c r="B2852" s="66" t="s">
        <v>3181</v>
      </c>
      <c r="C2852" s="66" t="s">
        <v>3228</v>
      </c>
      <c r="D2852" s="11">
        <v>5650</v>
      </c>
      <c r="E2852" s="11">
        <v>5650</v>
      </c>
      <c r="F2852" s="3">
        <v>41145</v>
      </c>
      <c r="G2852" s="2"/>
      <c r="H2852" s="3">
        <v>43053</v>
      </c>
      <c r="I2852" s="2" t="s">
        <v>19506</v>
      </c>
      <c r="J2852" s="2" t="s">
        <v>13904</v>
      </c>
      <c r="K2852" s="2" t="s">
        <v>19204</v>
      </c>
      <c r="L2852" s="82" t="s">
        <v>19512</v>
      </c>
    </row>
    <row r="2853" spans="1:12" ht="84" customHeight="1" x14ac:dyDescent="0.3">
      <c r="A2853" s="2">
        <v>2849</v>
      </c>
      <c r="B2853" s="66" t="s">
        <v>3181</v>
      </c>
      <c r="C2853" s="66" t="s">
        <v>3229</v>
      </c>
      <c r="D2853" s="11">
        <v>5650</v>
      </c>
      <c r="E2853" s="11">
        <v>5650</v>
      </c>
      <c r="F2853" s="3">
        <v>41145</v>
      </c>
      <c r="G2853" s="2"/>
      <c r="H2853" s="3">
        <v>43053</v>
      </c>
      <c r="I2853" s="2" t="s">
        <v>19506</v>
      </c>
      <c r="J2853" s="2" t="s">
        <v>13904</v>
      </c>
      <c r="K2853" s="2" t="s">
        <v>19204</v>
      </c>
      <c r="L2853" s="82" t="s">
        <v>19512</v>
      </c>
    </row>
    <row r="2854" spans="1:12" ht="84" customHeight="1" x14ac:dyDescent="0.3">
      <c r="A2854" s="2">
        <v>2850</v>
      </c>
      <c r="B2854" s="66" t="s">
        <v>3181</v>
      </c>
      <c r="C2854" s="66" t="s">
        <v>3230</v>
      </c>
      <c r="D2854" s="11">
        <v>5650</v>
      </c>
      <c r="E2854" s="11">
        <v>5650</v>
      </c>
      <c r="F2854" s="3">
        <v>41145</v>
      </c>
      <c r="G2854" s="2"/>
      <c r="H2854" s="3">
        <v>43053</v>
      </c>
      <c r="I2854" s="2" t="s">
        <v>19506</v>
      </c>
      <c r="J2854" s="2" t="s">
        <v>13904</v>
      </c>
      <c r="K2854" s="2" t="s">
        <v>19204</v>
      </c>
      <c r="L2854" s="82" t="s">
        <v>19512</v>
      </c>
    </row>
    <row r="2855" spans="1:12" ht="84" customHeight="1" x14ac:dyDescent="0.3">
      <c r="A2855" s="2">
        <v>2851</v>
      </c>
      <c r="B2855" s="66" t="s">
        <v>3181</v>
      </c>
      <c r="C2855" s="66" t="s">
        <v>3231</v>
      </c>
      <c r="D2855" s="11">
        <v>5650</v>
      </c>
      <c r="E2855" s="11">
        <v>5650</v>
      </c>
      <c r="F2855" s="3">
        <v>41145</v>
      </c>
      <c r="G2855" s="2"/>
      <c r="H2855" s="3">
        <v>43053</v>
      </c>
      <c r="I2855" s="2" t="s">
        <v>19506</v>
      </c>
      <c r="J2855" s="2" t="s">
        <v>13904</v>
      </c>
      <c r="K2855" s="2" t="s">
        <v>19204</v>
      </c>
      <c r="L2855" s="82" t="s">
        <v>19512</v>
      </c>
    </row>
    <row r="2856" spans="1:12" ht="84" customHeight="1" x14ac:dyDescent="0.3">
      <c r="A2856" s="2">
        <v>2852</v>
      </c>
      <c r="B2856" s="66" t="s">
        <v>3182</v>
      </c>
      <c r="C2856" s="66" t="s">
        <v>3232</v>
      </c>
      <c r="D2856" s="11">
        <v>3960.56</v>
      </c>
      <c r="E2856" s="11">
        <v>3960.56</v>
      </c>
      <c r="F2856" s="3">
        <v>41558</v>
      </c>
      <c r="G2856" s="2"/>
      <c r="H2856" s="3">
        <v>43053</v>
      </c>
      <c r="I2856" s="2" t="s">
        <v>19506</v>
      </c>
      <c r="J2856" s="2" t="s">
        <v>13904</v>
      </c>
      <c r="K2856" s="2" t="s">
        <v>19204</v>
      </c>
      <c r="L2856" s="82" t="s">
        <v>19512</v>
      </c>
    </row>
    <row r="2857" spans="1:12" ht="84" customHeight="1" x14ac:dyDescent="0.3">
      <c r="A2857" s="2">
        <v>2853</v>
      </c>
      <c r="B2857" s="66" t="s">
        <v>3182</v>
      </c>
      <c r="C2857" s="66" t="s">
        <v>3233</v>
      </c>
      <c r="D2857" s="11">
        <v>3960.56</v>
      </c>
      <c r="E2857" s="11">
        <v>3960.56</v>
      </c>
      <c r="F2857" s="3">
        <v>41558</v>
      </c>
      <c r="G2857" s="2"/>
      <c r="H2857" s="3">
        <v>43053</v>
      </c>
      <c r="I2857" s="2" t="s">
        <v>19506</v>
      </c>
      <c r="J2857" s="2" t="s">
        <v>13904</v>
      </c>
      <c r="K2857" s="2" t="s">
        <v>19204</v>
      </c>
      <c r="L2857" s="82" t="s">
        <v>19512</v>
      </c>
    </row>
    <row r="2858" spans="1:12" ht="84" customHeight="1" x14ac:dyDescent="0.3">
      <c r="A2858" s="2">
        <v>2854</v>
      </c>
      <c r="B2858" s="66" t="s">
        <v>3182</v>
      </c>
      <c r="C2858" s="66" t="s">
        <v>3234</v>
      </c>
      <c r="D2858" s="11">
        <v>3960.56</v>
      </c>
      <c r="E2858" s="11">
        <v>3960.56</v>
      </c>
      <c r="F2858" s="3">
        <v>41558</v>
      </c>
      <c r="G2858" s="2"/>
      <c r="H2858" s="3">
        <v>43053</v>
      </c>
      <c r="I2858" s="2" t="s">
        <v>19506</v>
      </c>
      <c r="J2858" s="2" t="s">
        <v>13904</v>
      </c>
      <c r="K2858" s="2" t="s">
        <v>19204</v>
      </c>
      <c r="L2858" s="82" t="s">
        <v>19512</v>
      </c>
    </row>
    <row r="2859" spans="1:12" ht="84" customHeight="1" x14ac:dyDescent="0.3">
      <c r="A2859" s="2">
        <v>2855</v>
      </c>
      <c r="B2859" s="66" t="s">
        <v>3182</v>
      </c>
      <c r="C2859" s="66" t="s">
        <v>3235</v>
      </c>
      <c r="D2859" s="11">
        <v>3960.56</v>
      </c>
      <c r="E2859" s="11">
        <v>3960.56</v>
      </c>
      <c r="F2859" s="3">
        <v>41558</v>
      </c>
      <c r="G2859" s="2"/>
      <c r="H2859" s="3">
        <v>43053</v>
      </c>
      <c r="I2859" s="2" t="s">
        <v>19506</v>
      </c>
      <c r="J2859" s="2" t="s">
        <v>13904</v>
      </c>
      <c r="K2859" s="2" t="s">
        <v>19204</v>
      </c>
      <c r="L2859" s="82" t="s">
        <v>19512</v>
      </c>
    </row>
    <row r="2860" spans="1:12" ht="84" customHeight="1" x14ac:dyDescent="0.3">
      <c r="A2860" s="2">
        <v>2856</v>
      </c>
      <c r="B2860" s="66" t="s">
        <v>3182</v>
      </c>
      <c r="C2860" s="66" t="s">
        <v>3236</v>
      </c>
      <c r="D2860" s="11">
        <v>3960.56</v>
      </c>
      <c r="E2860" s="11">
        <v>3960.56</v>
      </c>
      <c r="F2860" s="3">
        <v>41558</v>
      </c>
      <c r="G2860" s="2"/>
      <c r="H2860" s="3">
        <v>43053</v>
      </c>
      <c r="I2860" s="2" t="s">
        <v>19506</v>
      </c>
      <c r="J2860" s="2" t="s">
        <v>13904</v>
      </c>
      <c r="K2860" s="2" t="s">
        <v>19204</v>
      </c>
      <c r="L2860" s="82" t="s">
        <v>19512</v>
      </c>
    </row>
    <row r="2861" spans="1:12" ht="84" customHeight="1" x14ac:dyDescent="0.3">
      <c r="A2861" s="2">
        <v>2857</v>
      </c>
      <c r="B2861" s="66" t="s">
        <v>3182</v>
      </c>
      <c r="C2861" s="66" t="s">
        <v>3237</v>
      </c>
      <c r="D2861" s="11">
        <v>3960.56</v>
      </c>
      <c r="E2861" s="11">
        <v>3960.56</v>
      </c>
      <c r="F2861" s="3">
        <v>41558</v>
      </c>
      <c r="G2861" s="2"/>
      <c r="H2861" s="3">
        <v>43053</v>
      </c>
      <c r="I2861" s="2" t="s">
        <v>19506</v>
      </c>
      <c r="J2861" s="2" t="s">
        <v>13904</v>
      </c>
      <c r="K2861" s="2" t="s">
        <v>19204</v>
      </c>
      <c r="L2861" s="82" t="s">
        <v>19512</v>
      </c>
    </row>
    <row r="2862" spans="1:12" ht="84" customHeight="1" x14ac:dyDescent="0.3">
      <c r="A2862" s="2">
        <v>2858</v>
      </c>
      <c r="B2862" s="66" t="s">
        <v>3182</v>
      </c>
      <c r="C2862" s="66" t="s">
        <v>3238</v>
      </c>
      <c r="D2862" s="11">
        <v>3960.56</v>
      </c>
      <c r="E2862" s="11">
        <v>3960.56</v>
      </c>
      <c r="F2862" s="3">
        <v>41558</v>
      </c>
      <c r="G2862" s="2"/>
      <c r="H2862" s="3">
        <v>43053</v>
      </c>
      <c r="I2862" s="2" t="s">
        <v>19506</v>
      </c>
      <c r="J2862" s="2" t="s">
        <v>13904</v>
      </c>
      <c r="K2862" s="2" t="s">
        <v>19204</v>
      </c>
      <c r="L2862" s="82" t="s">
        <v>19512</v>
      </c>
    </row>
    <row r="2863" spans="1:12" ht="84" customHeight="1" x14ac:dyDescent="0.3">
      <c r="A2863" s="2">
        <v>2859</v>
      </c>
      <c r="B2863" s="66" t="s">
        <v>3182</v>
      </c>
      <c r="C2863" s="66" t="s">
        <v>3239</v>
      </c>
      <c r="D2863" s="11">
        <v>3960.56</v>
      </c>
      <c r="E2863" s="11">
        <v>3960.56</v>
      </c>
      <c r="F2863" s="3">
        <v>41558</v>
      </c>
      <c r="G2863" s="2"/>
      <c r="H2863" s="3">
        <v>43053</v>
      </c>
      <c r="I2863" s="2" t="s">
        <v>19506</v>
      </c>
      <c r="J2863" s="2" t="s">
        <v>13904</v>
      </c>
      <c r="K2863" s="2" t="s">
        <v>19204</v>
      </c>
      <c r="L2863" s="82" t="s">
        <v>19512</v>
      </c>
    </row>
    <row r="2864" spans="1:12" ht="84" customHeight="1" x14ac:dyDescent="0.3">
      <c r="A2864" s="2">
        <v>2860</v>
      </c>
      <c r="B2864" s="66" t="s">
        <v>3182</v>
      </c>
      <c r="C2864" s="66" t="s">
        <v>3240</v>
      </c>
      <c r="D2864" s="11">
        <v>3960.52</v>
      </c>
      <c r="E2864" s="11">
        <v>3960.52</v>
      </c>
      <c r="F2864" s="3">
        <v>41558</v>
      </c>
      <c r="G2864" s="2"/>
      <c r="H2864" s="3">
        <v>43053</v>
      </c>
      <c r="I2864" s="2" t="s">
        <v>19506</v>
      </c>
      <c r="J2864" s="2" t="s">
        <v>13904</v>
      </c>
      <c r="K2864" s="2" t="s">
        <v>19204</v>
      </c>
      <c r="L2864" s="82" t="s">
        <v>19512</v>
      </c>
    </row>
    <row r="2865" spans="1:12" ht="84" customHeight="1" x14ac:dyDescent="0.3">
      <c r="A2865" s="2">
        <v>2861</v>
      </c>
      <c r="B2865" s="66" t="s">
        <v>3183</v>
      </c>
      <c r="C2865" s="66" t="s">
        <v>3146</v>
      </c>
      <c r="D2865" s="11">
        <v>13410</v>
      </c>
      <c r="E2865" s="11">
        <v>13410</v>
      </c>
      <c r="F2865" s="3">
        <v>41837</v>
      </c>
      <c r="G2865" s="2"/>
      <c r="H2865" s="3">
        <v>43053</v>
      </c>
      <c r="I2865" s="2" t="s">
        <v>19506</v>
      </c>
      <c r="J2865" s="2" t="s">
        <v>13904</v>
      </c>
      <c r="K2865" s="2" t="s">
        <v>19204</v>
      </c>
      <c r="L2865" s="82" t="s">
        <v>19512</v>
      </c>
    </row>
    <row r="2866" spans="1:12" ht="84" customHeight="1" x14ac:dyDescent="0.3">
      <c r="A2866" s="2">
        <v>2862</v>
      </c>
      <c r="B2866" s="66" t="s">
        <v>3184</v>
      </c>
      <c r="C2866" s="66" t="s">
        <v>3149</v>
      </c>
      <c r="D2866" s="11">
        <v>5950</v>
      </c>
      <c r="E2866" s="11">
        <v>5950</v>
      </c>
      <c r="F2866" s="3">
        <v>41837</v>
      </c>
      <c r="G2866" s="2"/>
      <c r="H2866" s="3">
        <v>43053</v>
      </c>
      <c r="I2866" s="2" t="s">
        <v>19506</v>
      </c>
      <c r="J2866" s="2" t="s">
        <v>13904</v>
      </c>
      <c r="K2866" s="2" t="s">
        <v>19204</v>
      </c>
      <c r="L2866" s="82" t="s">
        <v>19512</v>
      </c>
    </row>
    <row r="2867" spans="1:12" ht="84" customHeight="1" x14ac:dyDescent="0.3">
      <c r="A2867" s="2">
        <v>2863</v>
      </c>
      <c r="B2867" s="66" t="s">
        <v>3184</v>
      </c>
      <c r="C2867" s="66" t="s">
        <v>3147</v>
      </c>
      <c r="D2867" s="11">
        <v>5950</v>
      </c>
      <c r="E2867" s="11">
        <v>5950</v>
      </c>
      <c r="F2867" s="3">
        <v>41837</v>
      </c>
      <c r="G2867" s="2"/>
      <c r="H2867" s="3">
        <v>43053</v>
      </c>
      <c r="I2867" s="2" t="s">
        <v>19506</v>
      </c>
      <c r="J2867" s="2" t="s">
        <v>13904</v>
      </c>
      <c r="K2867" s="2" t="s">
        <v>19204</v>
      </c>
      <c r="L2867" s="82" t="s">
        <v>19512</v>
      </c>
    </row>
    <row r="2868" spans="1:12" ht="84" customHeight="1" x14ac:dyDescent="0.3">
      <c r="A2868" s="2">
        <v>2864</v>
      </c>
      <c r="B2868" s="66" t="s">
        <v>3184</v>
      </c>
      <c r="C2868" s="66" t="s">
        <v>3148</v>
      </c>
      <c r="D2868" s="11">
        <v>5950</v>
      </c>
      <c r="E2868" s="11">
        <v>5950</v>
      </c>
      <c r="F2868" s="3">
        <v>41837</v>
      </c>
      <c r="G2868" s="2"/>
      <c r="H2868" s="3">
        <v>43053</v>
      </c>
      <c r="I2868" s="2" t="s">
        <v>19506</v>
      </c>
      <c r="J2868" s="2" t="s">
        <v>13904</v>
      </c>
      <c r="K2868" s="2" t="s">
        <v>19204</v>
      </c>
      <c r="L2868" s="82" t="s">
        <v>19512</v>
      </c>
    </row>
    <row r="2869" spans="1:12" ht="84" customHeight="1" x14ac:dyDescent="0.3">
      <c r="A2869" s="2">
        <v>2865</v>
      </c>
      <c r="B2869" s="66" t="s">
        <v>3184</v>
      </c>
      <c r="C2869" s="66" t="s">
        <v>3145</v>
      </c>
      <c r="D2869" s="11">
        <v>5950</v>
      </c>
      <c r="E2869" s="11">
        <v>5950</v>
      </c>
      <c r="F2869" s="3">
        <v>41837</v>
      </c>
      <c r="G2869" s="2"/>
      <c r="H2869" s="3">
        <v>43053</v>
      </c>
      <c r="I2869" s="2" t="s">
        <v>19506</v>
      </c>
      <c r="J2869" s="2" t="s">
        <v>13904</v>
      </c>
      <c r="K2869" s="2" t="s">
        <v>19204</v>
      </c>
      <c r="L2869" s="82" t="s">
        <v>19512</v>
      </c>
    </row>
    <row r="2870" spans="1:12" ht="84" customHeight="1" x14ac:dyDescent="0.3">
      <c r="A2870" s="2">
        <v>2866</v>
      </c>
      <c r="B2870" s="66" t="s">
        <v>3185</v>
      </c>
      <c r="C2870" s="66" t="s">
        <v>3241</v>
      </c>
      <c r="D2870" s="11">
        <v>13600</v>
      </c>
      <c r="E2870" s="11">
        <v>13600</v>
      </c>
      <c r="F2870" s="3">
        <v>41837</v>
      </c>
      <c r="G2870" s="2"/>
      <c r="H2870" s="3">
        <v>43053</v>
      </c>
      <c r="I2870" s="2" t="s">
        <v>19506</v>
      </c>
      <c r="J2870" s="2" t="s">
        <v>13904</v>
      </c>
      <c r="K2870" s="2" t="s">
        <v>19204</v>
      </c>
      <c r="L2870" s="82" t="s">
        <v>19512</v>
      </c>
    </row>
    <row r="2871" spans="1:12" ht="84" customHeight="1" x14ac:dyDescent="0.3">
      <c r="A2871" s="2">
        <v>2867</v>
      </c>
      <c r="B2871" s="66" t="s">
        <v>3186</v>
      </c>
      <c r="C2871" s="66" t="s">
        <v>3242</v>
      </c>
      <c r="D2871" s="11">
        <v>3650</v>
      </c>
      <c r="E2871" s="11">
        <v>3650</v>
      </c>
      <c r="F2871" s="3">
        <v>41837</v>
      </c>
      <c r="G2871" s="2"/>
      <c r="H2871" s="3">
        <v>43053</v>
      </c>
      <c r="I2871" s="2" t="s">
        <v>19506</v>
      </c>
      <c r="J2871" s="2" t="s">
        <v>13904</v>
      </c>
      <c r="K2871" s="2" t="s">
        <v>19204</v>
      </c>
      <c r="L2871" s="82" t="s">
        <v>19512</v>
      </c>
    </row>
    <row r="2872" spans="1:12" ht="84" customHeight="1" x14ac:dyDescent="0.3">
      <c r="A2872" s="2">
        <v>2868</v>
      </c>
      <c r="B2872" s="66" t="s">
        <v>3187</v>
      </c>
      <c r="C2872" s="66" t="s">
        <v>3243</v>
      </c>
      <c r="D2872" s="11">
        <v>3500</v>
      </c>
      <c r="E2872" s="11">
        <v>3500</v>
      </c>
      <c r="F2872" s="3">
        <v>41837</v>
      </c>
      <c r="G2872" s="2"/>
      <c r="H2872" s="3">
        <v>43053</v>
      </c>
      <c r="I2872" s="2" t="s">
        <v>19506</v>
      </c>
      <c r="J2872" s="2" t="s">
        <v>13904</v>
      </c>
      <c r="K2872" s="2" t="s">
        <v>19204</v>
      </c>
      <c r="L2872" s="82" t="s">
        <v>19512</v>
      </c>
    </row>
    <row r="2873" spans="1:12" ht="84" customHeight="1" x14ac:dyDescent="0.3">
      <c r="A2873" s="2">
        <v>2869</v>
      </c>
      <c r="B2873" s="66" t="s">
        <v>3187</v>
      </c>
      <c r="C2873" s="66" t="s">
        <v>3244</v>
      </c>
      <c r="D2873" s="11">
        <v>3500</v>
      </c>
      <c r="E2873" s="11">
        <v>3500</v>
      </c>
      <c r="F2873" s="3">
        <v>41837</v>
      </c>
      <c r="G2873" s="2"/>
      <c r="H2873" s="3">
        <v>43053</v>
      </c>
      <c r="I2873" s="2" t="s">
        <v>19506</v>
      </c>
      <c r="J2873" s="2" t="s">
        <v>13904</v>
      </c>
      <c r="K2873" s="2" t="s">
        <v>19204</v>
      </c>
      <c r="L2873" s="82" t="s">
        <v>19512</v>
      </c>
    </row>
    <row r="2874" spans="1:12" ht="84" customHeight="1" x14ac:dyDescent="0.3">
      <c r="A2874" s="2">
        <v>2870</v>
      </c>
      <c r="B2874" s="66" t="s">
        <v>3188</v>
      </c>
      <c r="C2874" s="66" t="s">
        <v>3245</v>
      </c>
      <c r="D2874" s="11">
        <v>5200</v>
      </c>
      <c r="E2874" s="11">
        <v>5200</v>
      </c>
      <c r="F2874" s="3">
        <v>41837</v>
      </c>
      <c r="G2874" s="2"/>
      <c r="H2874" s="3">
        <v>43053</v>
      </c>
      <c r="I2874" s="2" t="s">
        <v>19506</v>
      </c>
      <c r="J2874" s="2" t="s">
        <v>13904</v>
      </c>
      <c r="K2874" s="2" t="s">
        <v>19204</v>
      </c>
      <c r="L2874" s="82" t="s">
        <v>19512</v>
      </c>
    </row>
    <row r="2875" spans="1:12" ht="84" customHeight="1" x14ac:dyDescent="0.3">
      <c r="A2875" s="2">
        <v>2871</v>
      </c>
      <c r="B2875" s="66" t="s">
        <v>3189</v>
      </c>
      <c r="C2875" s="66" t="s">
        <v>3246</v>
      </c>
      <c r="D2875" s="11">
        <v>20046.919999999998</v>
      </c>
      <c r="E2875" s="11">
        <v>20046.919999999998</v>
      </c>
      <c r="F2875" s="3">
        <v>41975</v>
      </c>
      <c r="G2875" s="2"/>
      <c r="H2875" s="3">
        <v>43053</v>
      </c>
      <c r="I2875" s="2" t="s">
        <v>19506</v>
      </c>
      <c r="J2875" s="2" t="s">
        <v>13904</v>
      </c>
      <c r="K2875" s="2" t="s">
        <v>19204</v>
      </c>
      <c r="L2875" s="82" t="s">
        <v>19512</v>
      </c>
    </row>
    <row r="2876" spans="1:12" ht="84" customHeight="1" x14ac:dyDescent="0.3">
      <c r="A2876" s="2">
        <v>2872</v>
      </c>
      <c r="B2876" s="66" t="s">
        <v>3190</v>
      </c>
      <c r="C2876" s="66" t="s">
        <v>3247</v>
      </c>
      <c r="D2876" s="11">
        <v>4319.9799999999996</v>
      </c>
      <c r="E2876" s="11">
        <v>4319.9799999999996</v>
      </c>
      <c r="F2876" s="3">
        <v>41115</v>
      </c>
      <c r="G2876" s="2"/>
      <c r="H2876" s="3">
        <v>43053</v>
      </c>
      <c r="I2876" s="2" t="s">
        <v>19506</v>
      </c>
      <c r="J2876" s="2" t="s">
        <v>13904</v>
      </c>
      <c r="K2876" s="2" t="s">
        <v>19204</v>
      </c>
      <c r="L2876" s="82" t="s">
        <v>19512</v>
      </c>
    </row>
    <row r="2877" spans="1:12" ht="84" customHeight="1" x14ac:dyDescent="0.3">
      <c r="A2877" s="2">
        <v>2873</v>
      </c>
      <c r="B2877" s="66" t="s">
        <v>3191</v>
      </c>
      <c r="C2877" s="66">
        <v>4101380011</v>
      </c>
      <c r="D2877" s="11">
        <v>4586.45</v>
      </c>
      <c r="E2877" s="11">
        <v>4586.45</v>
      </c>
      <c r="F2877" s="3">
        <v>41975</v>
      </c>
      <c r="G2877" s="2"/>
      <c r="H2877" s="3">
        <v>43053</v>
      </c>
      <c r="I2877" s="2" t="s">
        <v>19506</v>
      </c>
      <c r="J2877" s="2" t="s">
        <v>13904</v>
      </c>
      <c r="K2877" s="2" t="s">
        <v>19204</v>
      </c>
      <c r="L2877" s="82" t="s">
        <v>19512</v>
      </c>
    </row>
    <row r="2878" spans="1:12" ht="84" customHeight="1" x14ac:dyDescent="0.3">
      <c r="A2878" s="2">
        <v>2874</v>
      </c>
      <c r="B2878" s="66" t="s">
        <v>3192</v>
      </c>
      <c r="C2878" s="66" t="s">
        <v>3248</v>
      </c>
      <c r="D2878" s="11">
        <v>6576.61</v>
      </c>
      <c r="E2878" s="11">
        <v>6576.61</v>
      </c>
      <c r="F2878" s="3">
        <v>41975</v>
      </c>
      <c r="G2878" s="2"/>
      <c r="H2878" s="3">
        <v>43053</v>
      </c>
      <c r="I2878" s="2" t="s">
        <v>19506</v>
      </c>
      <c r="J2878" s="2" t="s">
        <v>13904</v>
      </c>
      <c r="K2878" s="2" t="s">
        <v>19204</v>
      </c>
      <c r="L2878" s="82" t="s">
        <v>19512</v>
      </c>
    </row>
    <row r="2879" spans="1:12" ht="84" customHeight="1" x14ac:dyDescent="0.3">
      <c r="A2879" s="2">
        <v>2875</v>
      </c>
      <c r="B2879" s="66" t="s">
        <v>3193</v>
      </c>
      <c r="C2879" s="66" t="s">
        <v>3249</v>
      </c>
      <c r="D2879" s="11">
        <v>3973.42</v>
      </c>
      <c r="E2879" s="11">
        <v>3973.42</v>
      </c>
      <c r="F2879" s="3">
        <v>41975</v>
      </c>
      <c r="G2879" s="2"/>
      <c r="H2879" s="3">
        <v>43053</v>
      </c>
      <c r="I2879" s="2" t="s">
        <v>19506</v>
      </c>
      <c r="J2879" s="2" t="s">
        <v>13904</v>
      </c>
      <c r="K2879" s="2" t="s">
        <v>19204</v>
      </c>
      <c r="L2879" s="82" t="s">
        <v>19512</v>
      </c>
    </row>
    <row r="2880" spans="1:12" ht="84" customHeight="1" x14ac:dyDescent="0.3">
      <c r="A2880" s="2">
        <v>2876</v>
      </c>
      <c r="B2880" s="66" t="s">
        <v>3194</v>
      </c>
      <c r="C2880" s="66" t="s">
        <v>3250</v>
      </c>
      <c r="D2880" s="11">
        <v>6813.54</v>
      </c>
      <c r="E2880" s="11">
        <v>6813.54</v>
      </c>
      <c r="F2880" s="3">
        <v>41975</v>
      </c>
      <c r="G2880" s="2"/>
      <c r="H2880" s="3">
        <v>43053</v>
      </c>
      <c r="I2880" s="2" t="s">
        <v>19506</v>
      </c>
      <c r="J2880" s="2" t="s">
        <v>13904</v>
      </c>
      <c r="K2880" s="2" t="s">
        <v>19204</v>
      </c>
      <c r="L2880" s="82" t="s">
        <v>19512</v>
      </c>
    </row>
    <row r="2881" spans="1:15" ht="84" customHeight="1" x14ac:dyDescent="0.3">
      <c r="A2881" s="2">
        <v>2877</v>
      </c>
      <c r="B2881" s="66" t="s">
        <v>3195</v>
      </c>
      <c r="C2881" s="66" t="s">
        <v>3251</v>
      </c>
      <c r="D2881" s="11">
        <v>6972.08</v>
      </c>
      <c r="E2881" s="11">
        <v>6972.08</v>
      </c>
      <c r="F2881" s="3">
        <v>41975</v>
      </c>
      <c r="G2881" s="2"/>
      <c r="H2881" s="3">
        <v>43053</v>
      </c>
      <c r="I2881" s="2" t="s">
        <v>19506</v>
      </c>
      <c r="J2881" s="2" t="s">
        <v>13904</v>
      </c>
      <c r="K2881" s="2" t="s">
        <v>19204</v>
      </c>
      <c r="L2881" s="82" t="s">
        <v>19512</v>
      </c>
    </row>
    <row r="2882" spans="1:15" ht="84" customHeight="1" x14ac:dyDescent="0.3">
      <c r="A2882" s="2">
        <v>2878</v>
      </c>
      <c r="B2882" s="66" t="s">
        <v>3122</v>
      </c>
      <c r="C2882" s="66" t="s">
        <v>3252</v>
      </c>
      <c r="D2882" s="11">
        <v>11756.42</v>
      </c>
      <c r="E2882" s="11">
        <v>11756.42</v>
      </c>
      <c r="F2882" s="3">
        <v>41975</v>
      </c>
      <c r="G2882" s="2"/>
      <c r="H2882" s="3">
        <v>43053</v>
      </c>
      <c r="I2882" s="2" t="s">
        <v>19506</v>
      </c>
      <c r="J2882" s="2" t="s">
        <v>13904</v>
      </c>
      <c r="K2882" s="2" t="s">
        <v>19204</v>
      </c>
      <c r="L2882" s="82" t="s">
        <v>19512</v>
      </c>
    </row>
    <row r="2883" spans="1:15" ht="84" customHeight="1" x14ac:dyDescent="0.3">
      <c r="A2883" s="2">
        <v>2879</v>
      </c>
      <c r="B2883" s="66" t="s">
        <v>3122</v>
      </c>
      <c r="C2883" s="66" t="s">
        <v>3253</v>
      </c>
      <c r="D2883" s="11">
        <v>11756.42</v>
      </c>
      <c r="E2883" s="11">
        <v>11756.42</v>
      </c>
      <c r="F2883" s="3">
        <v>41975</v>
      </c>
      <c r="G2883" s="2"/>
      <c r="H2883" s="3">
        <v>43053</v>
      </c>
      <c r="I2883" s="2" t="s">
        <v>19506</v>
      </c>
      <c r="J2883" s="2" t="s">
        <v>13904</v>
      </c>
      <c r="K2883" s="2" t="s">
        <v>19204</v>
      </c>
      <c r="L2883" s="82" t="s">
        <v>19512</v>
      </c>
    </row>
    <row r="2884" spans="1:15" s="19" customFormat="1" ht="84" customHeight="1" x14ac:dyDescent="0.3">
      <c r="A2884" s="2">
        <v>2880</v>
      </c>
      <c r="B2884" s="66" t="s">
        <v>1062</v>
      </c>
      <c r="C2884" s="66" t="s">
        <v>3292</v>
      </c>
      <c r="D2884" s="11">
        <v>99761.51</v>
      </c>
      <c r="E2884" s="11">
        <v>38241.870000000003</v>
      </c>
      <c r="F2884" s="3">
        <v>42004</v>
      </c>
      <c r="G2884" s="2" t="s">
        <v>14104</v>
      </c>
      <c r="H2884" s="2"/>
      <c r="I2884" s="2"/>
      <c r="J2884" s="2" t="s">
        <v>13904</v>
      </c>
      <c r="K2884" s="2" t="s">
        <v>19269</v>
      </c>
      <c r="L2884" s="82" t="s">
        <v>18634</v>
      </c>
      <c r="M2884" s="18"/>
      <c r="N2884" s="18"/>
      <c r="O2884" s="18"/>
    </row>
    <row r="2885" spans="1:15" ht="84" customHeight="1" x14ac:dyDescent="0.3">
      <c r="A2885" s="2">
        <v>2881</v>
      </c>
      <c r="B2885" s="66" t="s">
        <v>23349</v>
      </c>
      <c r="C2885" s="66">
        <v>4101240400</v>
      </c>
      <c r="D2885" s="11">
        <v>59202</v>
      </c>
      <c r="E2885" s="11">
        <v>59202</v>
      </c>
      <c r="F2885" s="3" t="s">
        <v>23350</v>
      </c>
      <c r="G2885" s="2" t="s">
        <v>23351</v>
      </c>
      <c r="H2885" s="3"/>
      <c r="I2885" s="2"/>
      <c r="J2885" s="2" t="s">
        <v>13904</v>
      </c>
      <c r="K2885" s="2" t="s">
        <v>23348</v>
      </c>
      <c r="L2885" s="82" t="s">
        <v>23347</v>
      </c>
    </row>
    <row r="2886" spans="1:15" ht="84" customHeight="1" x14ac:dyDescent="0.3">
      <c r="A2886" s="2">
        <v>2882</v>
      </c>
      <c r="B2886" s="66" t="s">
        <v>3254</v>
      </c>
      <c r="C2886" s="66" t="s">
        <v>3294</v>
      </c>
      <c r="D2886" s="11">
        <v>38025.03</v>
      </c>
      <c r="E2886" s="11">
        <v>38025.03</v>
      </c>
      <c r="F2886" s="3">
        <v>39752</v>
      </c>
      <c r="G2886" s="2" t="s">
        <v>14104</v>
      </c>
      <c r="H2886" s="3">
        <v>43053</v>
      </c>
      <c r="I2886" s="2" t="s">
        <v>19506</v>
      </c>
      <c r="J2886" s="2" t="s">
        <v>13904</v>
      </c>
      <c r="K2886" s="2" t="s">
        <v>19269</v>
      </c>
      <c r="L2886" s="82" t="s">
        <v>19512</v>
      </c>
    </row>
    <row r="2887" spans="1:15" ht="84" customHeight="1" x14ac:dyDescent="0.3">
      <c r="A2887" s="2">
        <v>2883</v>
      </c>
      <c r="B2887" s="66" t="s">
        <v>3172</v>
      </c>
      <c r="C2887" s="66" t="s">
        <v>3295</v>
      </c>
      <c r="D2887" s="11">
        <v>4000</v>
      </c>
      <c r="E2887" s="11">
        <v>4000</v>
      </c>
      <c r="F2887" s="3">
        <v>40898</v>
      </c>
      <c r="G2887" s="2" t="s">
        <v>14104</v>
      </c>
      <c r="H2887" s="3">
        <v>43053</v>
      </c>
      <c r="I2887" s="2" t="s">
        <v>19506</v>
      </c>
      <c r="J2887" s="2" t="s">
        <v>13904</v>
      </c>
      <c r="K2887" s="2" t="s">
        <v>19269</v>
      </c>
      <c r="L2887" s="82" t="s">
        <v>19512</v>
      </c>
    </row>
    <row r="2888" spans="1:15" ht="84" customHeight="1" x14ac:dyDescent="0.3">
      <c r="A2888" s="2">
        <v>2884</v>
      </c>
      <c r="B2888" s="66" t="s">
        <v>3255</v>
      </c>
      <c r="C2888" s="66" t="s">
        <v>3296</v>
      </c>
      <c r="D2888" s="11">
        <v>19410.599999999999</v>
      </c>
      <c r="E2888" s="11">
        <v>19410.599999999999</v>
      </c>
      <c r="F2888" s="3">
        <v>40620</v>
      </c>
      <c r="G2888" s="2" t="s">
        <v>14104</v>
      </c>
      <c r="H2888" s="3">
        <v>43053</v>
      </c>
      <c r="I2888" s="2" t="s">
        <v>19506</v>
      </c>
      <c r="J2888" s="2" t="s">
        <v>13904</v>
      </c>
      <c r="K2888" s="2" t="s">
        <v>19269</v>
      </c>
      <c r="L2888" s="82" t="s">
        <v>19512</v>
      </c>
    </row>
    <row r="2889" spans="1:15" ht="84" customHeight="1" x14ac:dyDescent="0.3">
      <c r="A2889" s="2">
        <v>2885</v>
      </c>
      <c r="B2889" s="66" t="s">
        <v>3100</v>
      </c>
      <c r="C2889" s="66" t="s">
        <v>3297</v>
      </c>
      <c r="D2889" s="11">
        <v>27964</v>
      </c>
      <c r="E2889" s="11">
        <v>27964</v>
      </c>
      <c r="F2889" s="3">
        <v>40898</v>
      </c>
      <c r="G2889" s="2" t="s">
        <v>14104</v>
      </c>
      <c r="H2889" s="3">
        <v>43053</v>
      </c>
      <c r="I2889" s="2" t="s">
        <v>19506</v>
      </c>
      <c r="J2889" s="2" t="s">
        <v>13904</v>
      </c>
      <c r="K2889" s="2" t="s">
        <v>19269</v>
      </c>
      <c r="L2889" s="82" t="s">
        <v>19512</v>
      </c>
    </row>
    <row r="2890" spans="1:15" ht="84" customHeight="1" x14ac:dyDescent="0.3">
      <c r="A2890" s="2">
        <v>2886</v>
      </c>
      <c r="B2890" s="66" t="s">
        <v>3256</v>
      </c>
      <c r="C2890" s="66" t="s">
        <v>3298</v>
      </c>
      <c r="D2890" s="11">
        <v>14772.12</v>
      </c>
      <c r="E2890" s="11">
        <v>14772.12</v>
      </c>
      <c r="F2890" s="3">
        <v>39063</v>
      </c>
      <c r="G2890" s="2" t="s">
        <v>14104</v>
      </c>
      <c r="H2890" s="3">
        <v>43053</v>
      </c>
      <c r="I2890" s="2" t="s">
        <v>19506</v>
      </c>
      <c r="J2890" s="2" t="s">
        <v>13904</v>
      </c>
      <c r="K2890" s="2" t="s">
        <v>19269</v>
      </c>
      <c r="L2890" s="82" t="s">
        <v>19512</v>
      </c>
    </row>
    <row r="2891" spans="1:15" ht="84" customHeight="1" x14ac:dyDescent="0.3">
      <c r="A2891" s="2">
        <v>2887</v>
      </c>
      <c r="B2891" s="66" t="s">
        <v>3257</v>
      </c>
      <c r="C2891" s="66" t="s">
        <v>3299</v>
      </c>
      <c r="D2891" s="11">
        <v>4000</v>
      </c>
      <c r="E2891" s="11">
        <v>4000</v>
      </c>
      <c r="F2891" s="3">
        <v>39441</v>
      </c>
      <c r="G2891" s="2" t="s">
        <v>14104</v>
      </c>
      <c r="H2891" s="3">
        <v>43053</v>
      </c>
      <c r="I2891" s="2" t="s">
        <v>19506</v>
      </c>
      <c r="J2891" s="2" t="s">
        <v>13904</v>
      </c>
      <c r="K2891" s="2" t="s">
        <v>19269</v>
      </c>
      <c r="L2891" s="82" t="s">
        <v>19512</v>
      </c>
    </row>
    <row r="2892" spans="1:15" ht="84" customHeight="1" x14ac:dyDescent="0.3">
      <c r="A2892" s="2">
        <v>2888</v>
      </c>
      <c r="B2892" s="66" t="s">
        <v>3258</v>
      </c>
      <c r="C2892" s="66" t="s">
        <v>3300</v>
      </c>
      <c r="D2892" s="11">
        <v>8145.06</v>
      </c>
      <c r="E2892" s="11">
        <v>8145.06</v>
      </c>
      <c r="F2892" s="3">
        <v>29445</v>
      </c>
      <c r="G2892" s="2" t="s">
        <v>14104</v>
      </c>
      <c r="H2892" s="3">
        <v>43053</v>
      </c>
      <c r="I2892" s="2" t="s">
        <v>19506</v>
      </c>
      <c r="J2892" s="2" t="s">
        <v>13904</v>
      </c>
      <c r="K2892" s="2" t="s">
        <v>19269</v>
      </c>
      <c r="L2892" s="82" t="s">
        <v>19512</v>
      </c>
    </row>
    <row r="2893" spans="1:15" ht="84" customHeight="1" x14ac:dyDescent="0.3">
      <c r="A2893" s="2">
        <v>2889</v>
      </c>
      <c r="B2893" s="66" t="s">
        <v>3259</v>
      </c>
      <c r="C2893" s="66" t="s">
        <v>3301</v>
      </c>
      <c r="D2893" s="11">
        <v>6675.33</v>
      </c>
      <c r="E2893" s="11">
        <v>6675.33</v>
      </c>
      <c r="F2893" s="3">
        <v>39995</v>
      </c>
      <c r="G2893" s="2" t="s">
        <v>14104</v>
      </c>
      <c r="H2893" s="3">
        <v>43053</v>
      </c>
      <c r="I2893" s="2" t="s">
        <v>19506</v>
      </c>
      <c r="J2893" s="2" t="s">
        <v>13904</v>
      </c>
      <c r="K2893" s="2" t="s">
        <v>19269</v>
      </c>
      <c r="L2893" s="82" t="s">
        <v>19512</v>
      </c>
    </row>
    <row r="2894" spans="1:15" ht="84" customHeight="1" x14ac:dyDescent="0.3">
      <c r="A2894" s="2">
        <v>2890</v>
      </c>
      <c r="B2894" s="66" t="s">
        <v>3260</v>
      </c>
      <c r="C2894" s="66" t="s">
        <v>3203</v>
      </c>
      <c r="D2894" s="11">
        <v>8333</v>
      </c>
      <c r="E2894" s="11">
        <v>8333</v>
      </c>
      <c r="F2894" s="3">
        <v>39445</v>
      </c>
      <c r="G2894" s="2" t="s">
        <v>14104</v>
      </c>
      <c r="H2894" s="3">
        <v>43053</v>
      </c>
      <c r="I2894" s="2" t="s">
        <v>19506</v>
      </c>
      <c r="J2894" s="2" t="s">
        <v>13904</v>
      </c>
      <c r="K2894" s="2" t="s">
        <v>19269</v>
      </c>
      <c r="L2894" s="82" t="s">
        <v>19512</v>
      </c>
    </row>
    <row r="2895" spans="1:15" ht="84" customHeight="1" x14ac:dyDescent="0.3">
      <c r="A2895" s="2">
        <v>2891</v>
      </c>
      <c r="B2895" s="66" t="s">
        <v>267</v>
      </c>
      <c r="C2895" s="66" t="s">
        <v>3199</v>
      </c>
      <c r="D2895" s="11">
        <v>10914</v>
      </c>
      <c r="E2895" s="11">
        <v>10914</v>
      </c>
      <c r="F2895" s="3" t="s">
        <v>11174</v>
      </c>
      <c r="G2895" s="2" t="s">
        <v>14104</v>
      </c>
      <c r="H2895" s="3">
        <v>43053</v>
      </c>
      <c r="I2895" s="2" t="s">
        <v>19506</v>
      </c>
      <c r="J2895" s="2" t="s">
        <v>13904</v>
      </c>
      <c r="K2895" s="2" t="s">
        <v>19269</v>
      </c>
      <c r="L2895" s="82" t="s">
        <v>19512</v>
      </c>
    </row>
    <row r="2896" spans="1:15" ht="84" customHeight="1" x14ac:dyDescent="0.3">
      <c r="A2896" s="2">
        <v>2892</v>
      </c>
      <c r="B2896" s="66" t="s">
        <v>3261</v>
      </c>
      <c r="C2896" s="66" t="s">
        <v>3302</v>
      </c>
      <c r="D2896" s="11">
        <v>20000</v>
      </c>
      <c r="E2896" s="11">
        <v>20000</v>
      </c>
      <c r="F2896" s="3">
        <v>40113</v>
      </c>
      <c r="G2896" s="2" t="s">
        <v>14104</v>
      </c>
      <c r="H2896" s="3">
        <v>43053</v>
      </c>
      <c r="I2896" s="2" t="s">
        <v>19506</v>
      </c>
      <c r="J2896" s="2" t="s">
        <v>13904</v>
      </c>
      <c r="K2896" s="2" t="s">
        <v>19269</v>
      </c>
      <c r="L2896" s="82" t="s">
        <v>19512</v>
      </c>
    </row>
    <row r="2897" spans="1:12" ht="84" customHeight="1" x14ac:dyDescent="0.3">
      <c r="A2897" s="2">
        <v>2893</v>
      </c>
      <c r="B2897" s="66" t="s">
        <v>3262</v>
      </c>
      <c r="C2897" s="66" t="s">
        <v>3303</v>
      </c>
      <c r="D2897" s="11">
        <v>14881.57</v>
      </c>
      <c r="E2897" s="11">
        <v>14881.57</v>
      </c>
      <c r="F2897" s="3">
        <v>39772</v>
      </c>
      <c r="G2897" s="2" t="s">
        <v>14104</v>
      </c>
      <c r="H2897" s="3">
        <v>43053</v>
      </c>
      <c r="I2897" s="2" t="s">
        <v>19506</v>
      </c>
      <c r="J2897" s="2" t="s">
        <v>13904</v>
      </c>
      <c r="K2897" s="2" t="s">
        <v>19269</v>
      </c>
      <c r="L2897" s="82" t="s">
        <v>19512</v>
      </c>
    </row>
    <row r="2898" spans="1:12" ht="84" customHeight="1" x14ac:dyDescent="0.3">
      <c r="A2898" s="2">
        <v>2894</v>
      </c>
      <c r="B2898" s="66" t="s">
        <v>3263</v>
      </c>
      <c r="C2898" s="66" t="s">
        <v>3304</v>
      </c>
      <c r="D2898" s="11">
        <v>4680</v>
      </c>
      <c r="E2898" s="11">
        <v>4680</v>
      </c>
      <c r="F2898" s="3">
        <v>41831</v>
      </c>
      <c r="G2898" s="2" t="s">
        <v>14104</v>
      </c>
      <c r="H2898" s="3">
        <v>43053</v>
      </c>
      <c r="I2898" s="2" t="s">
        <v>19506</v>
      </c>
      <c r="J2898" s="2" t="s">
        <v>13904</v>
      </c>
      <c r="K2898" s="2" t="s">
        <v>19269</v>
      </c>
      <c r="L2898" s="82" t="s">
        <v>19512</v>
      </c>
    </row>
    <row r="2899" spans="1:12" ht="84" customHeight="1" x14ac:dyDescent="0.3">
      <c r="A2899" s="2">
        <v>2895</v>
      </c>
      <c r="B2899" s="66" t="s">
        <v>3264</v>
      </c>
      <c r="C2899" s="66" t="s">
        <v>3305</v>
      </c>
      <c r="D2899" s="11">
        <v>13400</v>
      </c>
      <c r="E2899" s="11">
        <v>13400</v>
      </c>
      <c r="F2899" s="3">
        <v>41422</v>
      </c>
      <c r="G2899" s="2" t="s">
        <v>14104</v>
      </c>
      <c r="H2899" s="3">
        <v>43053</v>
      </c>
      <c r="I2899" s="2" t="s">
        <v>19506</v>
      </c>
      <c r="J2899" s="2" t="s">
        <v>13904</v>
      </c>
      <c r="K2899" s="2" t="s">
        <v>19269</v>
      </c>
      <c r="L2899" s="82" t="s">
        <v>19512</v>
      </c>
    </row>
    <row r="2900" spans="1:12" ht="84" customHeight="1" x14ac:dyDescent="0.3">
      <c r="A2900" s="2">
        <v>2896</v>
      </c>
      <c r="B2900" s="66" t="s">
        <v>3265</v>
      </c>
      <c r="C2900" s="66" t="s">
        <v>3306</v>
      </c>
      <c r="D2900" s="11">
        <v>4300</v>
      </c>
      <c r="E2900" s="11">
        <v>4300</v>
      </c>
      <c r="F2900" s="3">
        <v>41422</v>
      </c>
      <c r="G2900" s="2" t="s">
        <v>14104</v>
      </c>
      <c r="H2900" s="3">
        <v>43053</v>
      </c>
      <c r="I2900" s="2" t="s">
        <v>19506</v>
      </c>
      <c r="J2900" s="2" t="s">
        <v>13904</v>
      </c>
      <c r="K2900" s="2" t="s">
        <v>19269</v>
      </c>
      <c r="L2900" s="82" t="s">
        <v>19512</v>
      </c>
    </row>
    <row r="2901" spans="1:12" ht="84" customHeight="1" x14ac:dyDescent="0.3">
      <c r="A2901" s="2">
        <v>2897</v>
      </c>
      <c r="B2901" s="66" t="s">
        <v>3170</v>
      </c>
      <c r="C2901" s="66" t="s">
        <v>3307</v>
      </c>
      <c r="D2901" s="11">
        <v>9430.56</v>
      </c>
      <c r="E2901" s="11">
        <v>9430.56</v>
      </c>
      <c r="F2901" s="3">
        <v>41115</v>
      </c>
      <c r="G2901" s="2" t="s">
        <v>14104</v>
      </c>
      <c r="H2901" s="3">
        <v>43053</v>
      </c>
      <c r="I2901" s="2" t="s">
        <v>19506</v>
      </c>
      <c r="J2901" s="2" t="s">
        <v>13904</v>
      </c>
      <c r="K2901" s="2" t="s">
        <v>19269</v>
      </c>
      <c r="L2901" s="82" t="s">
        <v>19512</v>
      </c>
    </row>
    <row r="2902" spans="1:12" ht="84" customHeight="1" x14ac:dyDescent="0.3">
      <c r="A2902" s="2">
        <v>2898</v>
      </c>
      <c r="B2902" s="66" t="s">
        <v>3266</v>
      </c>
      <c r="C2902" s="66" t="s">
        <v>3308</v>
      </c>
      <c r="D2902" s="11">
        <v>4750</v>
      </c>
      <c r="E2902" s="11">
        <v>4750</v>
      </c>
      <c r="F2902" s="3">
        <v>41145</v>
      </c>
      <c r="G2902" s="2" t="s">
        <v>14104</v>
      </c>
      <c r="H2902" s="3">
        <v>43053</v>
      </c>
      <c r="I2902" s="2" t="s">
        <v>19506</v>
      </c>
      <c r="J2902" s="2" t="s">
        <v>13904</v>
      </c>
      <c r="K2902" s="2" t="s">
        <v>19269</v>
      </c>
      <c r="L2902" s="82" t="s">
        <v>19512</v>
      </c>
    </row>
    <row r="2903" spans="1:12" ht="84" customHeight="1" x14ac:dyDescent="0.3">
      <c r="A2903" s="2">
        <v>2899</v>
      </c>
      <c r="B2903" s="66" t="s">
        <v>3267</v>
      </c>
      <c r="C2903" s="66" t="s">
        <v>3309</v>
      </c>
      <c r="D2903" s="11">
        <v>6899.99</v>
      </c>
      <c r="E2903" s="11">
        <v>6899.99</v>
      </c>
      <c r="F2903" s="3">
        <v>41145</v>
      </c>
      <c r="G2903" s="2" t="s">
        <v>14104</v>
      </c>
      <c r="H2903" s="3">
        <v>43053</v>
      </c>
      <c r="I2903" s="2" t="s">
        <v>19506</v>
      </c>
      <c r="J2903" s="2" t="s">
        <v>13904</v>
      </c>
      <c r="K2903" s="2" t="s">
        <v>19269</v>
      </c>
      <c r="L2903" s="82" t="s">
        <v>19512</v>
      </c>
    </row>
    <row r="2904" spans="1:12" ht="84" customHeight="1" x14ac:dyDescent="0.3">
      <c r="A2904" s="2">
        <v>2900</v>
      </c>
      <c r="B2904" s="66" t="s">
        <v>3268</v>
      </c>
      <c r="C2904" s="66" t="s">
        <v>3310</v>
      </c>
      <c r="D2904" s="11">
        <v>3000</v>
      </c>
      <c r="E2904" s="11">
        <v>3000</v>
      </c>
      <c r="F2904" s="3">
        <v>41145</v>
      </c>
      <c r="G2904" s="2" t="s">
        <v>14104</v>
      </c>
      <c r="H2904" s="3">
        <v>43053</v>
      </c>
      <c r="I2904" s="2" t="s">
        <v>19506</v>
      </c>
      <c r="J2904" s="2" t="s">
        <v>13904</v>
      </c>
      <c r="K2904" s="2" t="s">
        <v>19269</v>
      </c>
      <c r="L2904" s="82" t="s">
        <v>19512</v>
      </c>
    </row>
    <row r="2905" spans="1:12" ht="84" customHeight="1" x14ac:dyDescent="0.3">
      <c r="A2905" s="2">
        <v>2901</v>
      </c>
      <c r="B2905" s="66" t="s">
        <v>4185</v>
      </c>
      <c r="C2905" s="66">
        <v>410123391</v>
      </c>
      <c r="D2905" s="11">
        <v>150000</v>
      </c>
      <c r="E2905" s="11">
        <v>833.33</v>
      </c>
      <c r="F2905" s="3">
        <v>42677</v>
      </c>
      <c r="G2905" s="2" t="s">
        <v>14104</v>
      </c>
      <c r="H2905" s="2"/>
      <c r="I2905" s="2"/>
      <c r="J2905" s="2" t="s">
        <v>13904</v>
      </c>
      <c r="K2905" s="2" t="s">
        <v>19269</v>
      </c>
      <c r="L2905" s="82" t="s">
        <v>18634</v>
      </c>
    </row>
    <row r="2906" spans="1:12" ht="84" customHeight="1" x14ac:dyDescent="0.3">
      <c r="A2906" s="2">
        <v>2902</v>
      </c>
      <c r="B2906" s="66" t="s">
        <v>3269</v>
      </c>
      <c r="C2906" s="66" t="s">
        <v>3311</v>
      </c>
      <c r="D2906" s="11">
        <v>3040.05</v>
      </c>
      <c r="E2906" s="11">
        <v>3040.05</v>
      </c>
      <c r="F2906" s="3">
        <v>39933</v>
      </c>
      <c r="G2906" s="2" t="s">
        <v>14104</v>
      </c>
      <c r="H2906" s="3">
        <v>43053</v>
      </c>
      <c r="I2906" s="2" t="s">
        <v>19506</v>
      </c>
      <c r="J2906" s="2" t="s">
        <v>13904</v>
      </c>
      <c r="K2906" s="2" t="s">
        <v>19269</v>
      </c>
      <c r="L2906" s="82" t="s">
        <v>19512</v>
      </c>
    </row>
    <row r="2907" spans="1:12" ht="84" customHeight="1" x14ac:dyDescent="0.3">
      <c r="A2907" s="2">
        <v>2903</v>
      </c>
      <c r="B2907" s="66" t="s">
        <v>3270</v>
      </c>
      <c r="C2907" s="66" t="s">
        <v>3312</v>
      </c>
      <c r="D2907" s="11">
        <v>3155.01</v>
      </c>
      <c r="E2907" s="11">
        <v>3155.01</v>
      </c>
      <c r="F2907" s="3">
        <v>32428</v>
      </c>
      <c r="G2907" s="2" t="s">
        <v>14104</v>
      </c>
      <c r="H2907" s="3">
        <v>43053</v>
      </c>
      <c r="I2907" s="2" t="s">
        <v>19506</v>
      </c>
      <c r="J2907" s="2" t="s">
        <v>13904</v>
      </c>
      <c r="K2907" s="2" t="s">
        <v>19269</v>
      </c>
      <c r="L2907" s="82" t="s">
        <v>19512</v>
      </c>
    </row>
    <row r="2908" spans="1:12" ht="84" customHeight="1" x14ac:dyDescent="0.3">
      <c r="A2908" s="2">
        <v>2904</v>
      </c>
      <c r="B2908" s="66" t="s">
        <v>3271</v>
      </c>
      <c r="C2908" s="66" t="s">
        <v>3313</v>
      </c>
      <c r="D2908" s="11">
        <v>11115.04</v>
      </c>
      <c r="E2908" s="11">
        <v>11115.04</v>
      </c>
      <c r="F2908" s="3">
        <v>32245</v>
      </c>
      <c r="G2908" s="2" t="s">
        <v>14104</v>
      </c>
      <c r="H2908" s="3">
        <v>43053</v>
      </c>
      <c r="I2908" s="2" t="s">
        <v>19506</v>
      </c>
      <c r="J2908" s="2" t="s">
        <v>13904</v>
      </c>
      <c r="K2908" s="2" t="s">
        <v>19269</v>
      </c>
      <c r="L2908" s="82" t="s">
        <v>19512</v>
      </c>
    </row>
    <row r="2909" spans="1:12" ht="84" customHeight="1" x14ac:dyDescent="0.3">
      <c r="A2909" s="2">
        <v>2905</v>
      </c>
      <c r="B2909" s="66" t="s">
        <v>3272</v>
      </c>
      <c r="C2909" s="66" t="s">
        <v>3314</v>
      </c>
      <c r="D2909" s="11">
        <v>3909.17</v>
      </c>
      <c r="E2909" s="11">
        <v>3909.17</v>
      </c>
      <c r="F2909" s="3">
        <v>39076</v>
      </c>
      <c r="G2909" s="2" t="s">
        <v>14104</v>
      </c>
      <c r="H2909" s="3">
        <v>43053</v>
      </c>
      <c r="I2909" s="2" t="s">
        <v>19506</v>
      </c>
      <c r="J2909" s="2" t="s">
        <v>13904</v>
      </c>
      <c r="K2909" s="2" t="s">
        <v>19269</v>
      </c>
      <c r="L2909" s="82" t="s">
        <v>19512</v>
      </c>
    </row>
    <row r="2910" spans="1:12" ht="84" customHeight="1" x14ac:dyDescent="0.3">
      <c r="A2910" s="2">
        <v>2906</v>
      </c>
      <c r="B2910" s="66" t="s">
        <v>3273</v>
      </c>
      <c r="C2910" s="66" t="s">
        <v>3315</v>
      </c>
      <c r="D2910" s="11">
        <v>6000</v>
      </c>
      <c r="E2910" s="11">
        <v>6000</v>
      </c>
      <c r="F2910" s="3">
        <v>41267</v>
      </c>
      <c r="G2910" s="2" t="s">
        <v>14104</v>
      </c>
      <c r="H2910" s="3">
        <v>43053</v>
      </c>
      <c r="I2910" s="2" t="s">
        <v>19506</v>
      </c>
      <c r="J2910" s="2" t="s">
        <v>13904</v>
      </c>
      <c r="K2910" s="2" t="s">
        <v>19269</v>
      </c>
      <c r="L2910" s="82" t="s">
        <v>19512</v>
      </c>
    </row>
    <row r="2911" spans="1:12" ht="84" customHeight="1" x14ac:dyDescent="0.3">
      <c r="A2911" s="2">
        <v>2907</v>
      </c>
      <c r="B2911" s="66" t="s">
        <v>3274</v>
      </c>
      <c r="C2911" s="66" t="s">
        <v>3316</v>
      </c>
      <c r="D2911" s="11">
        <v>5600</v>
      </c>
      <c r="E2911" s="11">
        <v>5600</v>
      </c>
      <c r="F2911" s="3">
        <v>41267</v>
      </c>
      <c r="G2911" s="2" t="s">
        <v>14104</v>
      </c>
      <c r="H2911" s="3">
        <v>43053</v>
      </c>
      <c r="I2911" s="2" t="s">
        <v>19506</v>
      </c>
      <c r="J2911" s="2" t="s">
        <v>13904</v>
      </c>
      <c r="K2911" s="2" t="s">
        <v>19269</v>
      </c>
      <c r="L2911" s="82" t="s">
        <v>19512</v>
      </c>
    </row>
    <row r="2912" spans="1:12" ht="84" customHeight="1" x14ac:dyDescent="0.3">
      <c r="A2912" s="2">
        <v>2908</v>
      </c>
      <c r="B2912" s="66" t="s">
        <v>3275</v>
      </c>
      <c r="C2912" s="66" t="s">
        <v>3317</v>
      </c>
      <c r="D2912" s="11">
        <v>4455.68</v>
      </c>
      <c r="E2912" s="11">
        <v>4455.68</v>
      </c>
      <c r="F2912" s="3">
        <v>41561</v>
      </c>
      <c r="G2912" s="2" t="s">
        <v>14104</v>
      </c>
      <c r="H2912" s="3">
        <v>43053</v>
      </c>
      <c r="I2912" s="2" t="s">
        <v>19506</v>
      </c>
      <c r="J2912" s="2" t="s">
        <v>13904</v>
      </c>
      <c r="K2912" s="2" t="s">
        <v>19269</v>
      </c>
      <c r="L2912" s="82" t="s">
        <v>19512</v>
      </c>
    </row>
    <row r="2913" spans="1:12" ht="84" customHeight="1" x14ac:dyDescent="0.3">
      <c r="A2913" s="2">
        <v>2909</v>
      </c>
      <c r="B2913" s="66" t="s">
        <v>3275</v>
      </c>
      <c r="C2913" s="66" t="s">
        <v>3318</v>
      </c>
      <c r="D2913" s="11">
        <v>4455.68</v>
      </c>
      <c r="E2913" s="11">
        <v>4455.68</v>
      </c>
      <c r="F2913" s="3">
        <v>41561</v>
      </c>
      <c r="G2913" s="2" t="s">
        <v>14104</v>
      </c>
      <c r="H2913" s="3">
        <v>43053</v>
      </c>
      <c r="I2913" s="2" t="s">
        <v>19506</v>
      </c>
      <c r="J2913" s="2" t="s">
        <v>13904</v>
      </c>
      <c r="K2913" s="2" t="s">
        <v>19269</v>
      </c>
      <c r="L2913" s="82" t="s">
        <v>19512</v>
      </c>
    </row>
    <row r="2914" spans="1:12" ht="84" customHeight="1" x14ac:dyDescent="0.3">
      <c r="A2914" s="2">
        <v>2910</v>
      </c>
      <c r="B2914" s="66" t="s">
        <v>3275</v>
      </c>
      <c r="C2914" s="66" t="s">
        <v>3319</v>
      </c>
      <c r="D2914" s="11">
        <v>4455.68</v>
      </c>
      <c r="E2914" s="11">
        <v>4455.68</v>
      </c>
      <c r="F2914" s="3">
        <v>41561</v>
      </c>
      <c r="G2914" s="2" t="s">
        <v>14104</v>
      </c>
      <c r="H2914" s="3">
        <v>43053</v>
      </c>
      <c r="I2914" s="2" t="s">
        <v>19506</v>
      </c>
      <c r="J2914" s="2" t="s">
        <v>13904</v>
      </c>
      <c r="K2914" s="2" t="s">
        <v>19269</v>
      </c>
      <c r="L2914" s="82" t="s">
        <v>19512</v>
      </c>
    </row>
    <row r="2915" spans="1:12" ht="84" customHeight="1" x14ac:dyDescent="0.3">
      <c r="A2915" s="2">
        <v>2911</v>
      </c>
      <c r="B2915" s="66" t="s">
        <v>3275</v>
      </c>
      <c r="C2915" s="66" t="s">
        <v>3320</v>
      </c>
      <c r="D2915" s="11">
        <v>4455.68</v>
      </c>
      <c r="E2915" s="11">
        <v>4455.68</v>
      </c>
      <c r="F2915" s="3">
        <v>41561</v>
      </c>
      <c r="G2915" s="2" t="s">
        <v>14104</v>
      </c>
      <c r="H2915" s="3">
        <v>43053</v>
      </c>
      <c r="I2915" s="2" t="s">
        <v>19506</v>
      </c>
      <c r="J2915" s="2" t="s">
        <v>13904</v>
      </c>
      <c r="K2915" s="2" t="s">
        <v>19269</v>
      </c>
      <c r="L2915" s="82" t="s">
        <v>19512</v>
      </c>
    </row>
    <row r="2916" spans="1:12" ht="84" customHeight="1" x14ac:dyDescent="0.3">
      <c r="A2916" s="2">
        <v>2912</v>
      </c>
      <c r="B2916" s="66" t="s">
        <v>3276</v>
      </c>
      <c r="C2916" s="66" t="s">
        <v>3321</v>
      </c>
      <c r="D2916" s="11">
        <v>5170</v>
      </c>
      <c r="E2916" s="11">
        <v>5170</v>
      </c>
      <c r="F2916" s="3">
        <v>41913</v>
      </c>
      <c r="G2916" s="2" t="s">
        <v>14104</v>
      </c>
      <c r="H2916" s="3">
        <v>43053</v>
      </c>
      <c r="I2916" s="2" t="s">
        <v>19506</v>
      </c>
      <c r="J2916" s="2" t="s">
        <v>13904</v>
      </c>
      <c r="K2916" s="2" t="s">
        <v>19269</v>
      </c>
      <c r="L2916" s="82" t="s">
        <v>19512</v>
      </c>
    </row>
    <row r="2917" spans="1:12" ht="84" customHeight="1" x14ac:dyDescent="0.3">
      <c r="A2917" s="2">
        <v>2913</v>
      </c>
      <c r="B2917" s="66" t="s">
        <v>3277</v>
      </c>
      <c r="C2917" s="66" t="s">
        <v>3322</v>
      </c>
      <c r="D2917" s="11">
        <v>5970</v>
      </c>
      <c r="E2917" s="11">
        <v>5970</v>
      </c>
      <c r="F2917" s="3">
        <v>41913</v>
      </c>
      <c r="G2917" s="2" t="s">
        <v>14104</v>
      </c>
      <c r="H2917" s="3">
        <v>43053</v>
      </c>
      <c r="I2917" s="2" t="s">
        <v>19506</v>
      </c>
      <c r="J2917" s="2" t="s">
        <v>13904</v>
      </c>
      <c r="K2917" s="2" t="s">
        <v>19269</v>
      </c>
      <c r="L2917" s="82" t="s">
        <v>19512</v>
      </c>
    </row>
    <row r="2918" spans="1:12" ht="84" customHeight="1" x14ac:dyDescent="0.3">
      <c r="A2918" s="2">
        <v>2914</v>
      </c>
      <c r="B2918" s="66" t="s">
        <v>3278</v>
      </c>
      <c r="C2918" s="66" t="s">
        <v>3323</v>
      </c>
      <c r="D2918" s="11">
        <v>6700</v>
      </c>
      <c r="E2918" s="11">
        <v>6700</v>
      </c>
      <c r="F2918" s="3">
        <v>41913</v>
      </c>
      <c r="G2918" s="2" t="s">
        <v>14104</v>
      </c>
      <c r="H2918" s="3">
        <v>43053</v>
      </c>
      <c r="I2918" s="2" t="s">
        <v>19506</v>
      </c>
      <c r="J2918" s="2" t="s">
        <v>13904</v>
      </c>
      <c r="K2918" s="2" t="s">
        <v>19269</v>
      </c>
      <c r="L2918" s="82" t="s">
        <v>19512</v>
      </c>
    </row>
    <row r="2919" spans="1:12" ht="84" customHeight="1" x14ac:dyDescent="0.3">
      <c r="A2919" s="2">
        <v>2915</v>
      </c>
      <c r="B2919" s="66" t="s">
        <v>3279</v>
      </c>
      <c r="C2919" s="66" t="s">
        <v>3324</v>
      </c>
      <c r="D2919" s="11">
        <v>6510</v>
      </c>
      <c r="E2919" s="11">
        <v>6510</v>
      </c>
      <c r="F2919" s="3">
        <v>41913</v>
      </c>
      <c r="G2919" s="2" t="s">
        <v>14104</v>
      </c>
      <c r="H2919" s="3">
        <v>43053</v>
      </c>
      <c r="I2919" s="2" t="s">
        <v>19506</v>
      </c>
      <c r="J2919" s="2" t="s">
        <v>13904</v>
      </c>
      <c r="K2919" s="2" t="s">
        <v>19269</v>
      </c>
      <c r="L2919" s="82" t="s">
        <v>19512</v>
      </c>
    </row>
    <row r="2920" spans="1:12" ht="84" customHeight="1" x14ac:dyDescent="0.3">
      <c r="A2920" s="2">
        <v>2916</v>
      </c>
      <c r="B2920" s="66" t="s">
        <v>3280</v>
      </c>
      <c r="C2920" s="66" t="s">
        <v>3325</v>
      </c>
      <c r="D2920" s="11">
        <v>7200</v>
      </c>
      <c r="E2920" s="11">
        <v>7200</v>
      </c>
      <c r="F2920" s="3">
        <v>41913</v>
      </c>
      <c r="G2920" s="2" t="s">
        <v>14104</v>
      </c>
      <c r="H2920" s="3">
        <v>43053</v>
      </c>
      <c r="I2920" s="2" t="s">
        <v>19506</v>
      </c>
      <c r="J2920" s="2" t="s">
        <v>13904</v>
      </c>
      <c r="K2920" s="2" t="s">
        <v>19269</v>
      </c>
      <c r="L2920" s="82" t="s">
        <v>19512</v>
      </c>
    </row>
    <row r="2921" spans="1:12" ht="84" customHeight="1" x14ac:dyDescent="0.3">
      <c r="A2921" s="2">
        <v>2917</v>
      </c>
      <c r="B2921" s="66" t="s">
        <v>3281</v>
      </c>
      <c r="C2921" s="66" t="s">
        <v>3326</v>
      </c>
      <c r="D2921" s="11">
        <v>10900</v>
      </c>
      <c r="E2921" s="11">
        <v>10900</v>
      </c>
      <c r="F2921" s="3">
        <v>41913</v>
      </c>
      <c r="G2921" s="2" t="s">
        <v>14104</v>
      </c>
      <c r="H2921" s="3">
        <v>43053</v>
      </c>
      <c r="I2921" s="2" t="s">
        <v>19506</v>
      </c>
      <c r="J2921" s="2" t="s">
        <v>13904</v>
      </c>
      <c r="K2921" s="2" t="s">
        <v>19269</v>
      </c>
      <c r="L2921" s="82" t="s">
        <v>19512</v>
      </c>
    </row>
    <row r="2922" spans="1:12" ht="84" customHeight="1" x14ac:dyDescent="0.3">
      <c r="A2922" s="2">
        <v>2918</v>
      </c>
      <c r="B2922" s="66" t="s">
        <v>3282</v>
      </c>
      <c r="C2922" s="66" t="s">
        <v>3327</v>
      </c>
      <c r="D2922" s="11">
        <v>11600</v>
      </c>
      <c r="E2922" s="11">
        <v>11600</v>
      </c>
      <c r="F2922" s="3">
        <v>41913</v>
      </c>
      <c r="G2922" s="2" t="s">
        <v>14104</v>
      </c>
      <c r="H2922" s="3">
        <v>43053</v>
      </c>
      <c r="I2922" s="2" t="s">
        <v>19506</v>
      </c>
      <c r="J2922" s="2" t="s">
        <v>13904</v>
      </c>
      <c r="K2922" s="2" t="s">
        <v>19269</v>
      </c>
      <c r="L2922" s="82" t="s">
        <v>19512</v>
      </c>
    </row>
    <row r="2923" spans="1:12" ht="84" customHeight="1" x14ac:dyDescent="0.3">
      <c r="A2923" s="2">
        <v>2919</v>
      </c>
      <c r="B2923" s="66" t="s">
        <v>3283</v>
      </c>
      <c r="C2923" s="66" t="s">
        <v>3328</v>
      </c>
      <c r="D2923" s="11">
        <v>5950</v>
      </c>
      <c r="E2923" s="11">
        <v>5950</v>
      </c>
      <c r="F2923" s="3">
        <v>41913</v>
      </c>
      <c r="G2923" s="2" t="s">
        <v>14104</v>
      </c>
      <c r="H2923" s="3">
        <v>43053</v>
      </c>
      <c r="I2923" s="2" t="s">
        <v>19506</v>
      </c>
      <c r="J2923" s="2" t="s">
        <v>13904</v>
      </c>
      <c r="K2923" s="2" t="s">
        <v>19269</v>
      </c>
      <c r="L2923" s="82" t="s">
        <v>19512</v>
      </c>
    </row>
    <row r="2924" spans="1:12" ht="84" customHeight="1" x14ac:dyDescent="0.3">
      <c r="A2924" s="2">
        <v>2920</v>
      </c>
      <c r="B2924" s="66" t="s">
        <v>3284</v>
      </c>
      <c r="C2924" s="66" t="s">
        <v>3329</v>
      </c>
      <c r="D2924" s="11">
        <v>18000</v>
      </c>
      <c r="E2924" s="11">
        <v>18000</v>
      </c>
      <c r="F2924" s="3">
        <v>41949</v>
      </c>
      <c r="G2924" s="2" t="s">
        <v>14104</v>
      </c>
      <c r="H2924" s="3">
        <v>43053</v>
      </c>
      <c r="I2924" s="2" t="s">
        <v>19506</v>
      </c>
      <c r="J2924" s="2" t="s">
        <v>13904</v>
      </c>
      <c r="K2924" s="2" t="s">
        <v>19269</v>
      </c>
      <c r="L2924" s="82" t="s">
        <v>19512</v>
      </c>
    </row>
    <row r="2925" spans="1:12" ht="84" customHeight="1" x14ac:dyDescent="0.3">
      <c r="A2925" s="2">
        <v>2921</v>
      </c>
      <c r="B2925" s="66" t="s">
        <v>3285</v>
      </c>
      <c r="C2925" s="66" t="s">
        <v>3330</v>
      </c>
      <c r="D2925" s="11">
        <v>6920</v>
      </c>
      <c r="E2925" s="11">
        <v>6920</v>
      </c>
      <c r="F2925" s="3">
        <v>41831</v>
      </c>
      <c r="G2925" s="2" t="s">
        <v>14104</v>
      </c>
      <c r="H2925" s="3">
        <v>43053</v>
      </c>
      <c r="I2925" s="2" t="s">
        <v>19506</v>
      </c>
      <c r="J2925" s="2" t="s">
        <v>13904</v>
      </c>
      <c r="K2925" s="2" t="s">
        <v>19269</v>
      </c>
      <c r="L2925" s="82" t="s">
        <v>19512</v>
      </c>
    </row>
    <row r="2926" spans="1:12" ht="84" customHeight="1" x14ac:dyDescent="0.3">
      <c r="A2926" s="2">
        <v>2922</v>
      </c>
      <c r="B2926" s="66" t="s">
        <v>3286</v>
      </c>
      <c r="C2926" s="66" t="s">
        <v>3331</v>
      </c>
      <c r="D2926" s="11">
        <v>3150</v>
      </c>
      <c r="E2926" s="11">
        <v>3150</v>
      </c>
      <c r="F2926" s="3">
        <v>41831</v>
      </c>
      <c r="G2926" s="2" t="s">
        <v>14104</v>
      </c>
      <c r="H2926" s="3">
        <v>43053</v>
      </c>
      <c r="I2926" s="2" t="s">
        <v>19506</v>
      </c>
      <c r="J2926" s="2" t="s">
        <v>13904</v>
      </c>
      <c r="K2926" s="2" t="s">
        <v>19269</v>
      </c>
      <c r="L2926" s="82" t="s">
        <v>19512</v>
      </c>
    </row>
    <row r="2927" spans="1:12" ht="84" customHeight="1" x14ac:dyDescent="0.3">
      <c r="A2927" s="2">
        <v>2923</v>
      </c>
      <c r="B2927" s="66" t="s">
        <v>3286</v>
      </c>
      <c r="C2927" s="66" t="s">
        <v>3332</v>
      </c>
      <c r="D2927" s="11">
        <v>3150</v>
      </c>
      <c r="E2927" s="11">
        <v>3150</v>
      </c>
      <c r="F2927" s="3">
        <v>41831</v>
      </c>
      <c r="G2927" s="2" t="s">
        <v>14104</v>
      </c>
      <c r="H2927" s="3">
        <v>43053</v>
      </c>
      <c r="I2927" s="2" t="s">
        <v>19506</v>
      </c>
      <c r="J2927" s="2" t="s">
        <v>13904</v>
      </c>
      <c r="K2927" s="2" t="s">
        <v>19269</v>
      </c>
      <c r="L2927" s="82" t="s">
        <v>19512</v>
      </c>
    </row>
    <row r="2928" spans="1:12" ht="84" customHeight="1" x14ac:dyDescent="0.3">
      <c r="A2928" s="2">
        <v>2924</v>
      </c>
      <c r="B2928" s="66" t="s">
        <v>885</v>
      </c>
      <c r="C2928" s="66" t="s">
        <v>3333</v>
      </c>
      <c r="D2928" s="11">
        <v>6600</v>
      </c>
      <c r="E2928" s="11">
        <v>6600</v>
      </c>
      <c r="F2928" s="3">
        <v>41831</v>
      </c>
      <c r="G2928" s="2" t="s">
        <v>14104</v>
      </c>
      <c r="H2928" s="3">
        <v>43053</v>
      </c>
      <c r="I2928" s="2" t="s">
        <v>19506</v>
      </c>
      <c r="J2928" s="2" t="s">
        <v>13904</v>
      </c>
      <c r="K2928" s="2" t="s">
        <v>19269</v>
      </c>
      <c r="L2928" s="82" t="s">
        <v>19512</v>
      </c>
    </row>
    <row r="2929" spans="1:15" ht="84" customHeight="1" x14ac:dyDescent="0.3">
      <c r="A2929" s="2">
        <v>2925</v>
      </c>
      <c r="B2929" s="66" t="s">
        <v>3287</v>
      </c>
      <c r="C2929" s="66" t="s">
        <v>3334</v>
      </c>
      <c r="D2929" s="11">
        <v>13490.58</v>
      </c>
      <c r="E2929" s="11">
        <v>13490.58</v>
      </c>
      <c r="F2929" s="3">
        <v>41773</v>
      </c>
      <c r="G2929" s="2" t="s">
        <v>14104</v>
      </c>
      <c r="H2929" s="3">
        <v>43053</v>
      </c>
      <c r="I2929" s="2" t="s">
        <v>19506</v>
      </c>
      <c r="J2929" s="2" t="s">
        <v>13904</v>
      </c>
      <c r="K2929" s="2" t="s">
        <v>19269</v>
      </c>
      <c r="L2929" s="82" t="s">
        <v>19512</v>
      </c>
    </row>
    <row r="2930" spans="1:15" ht="84" customHeight="1" x14ac:dyDescent="0.3">
      <c r="A2930" s="2">
        <v>2926</v>
      </c>
      <c r="B2930" s="66" t="s">
        <v>3287</v>
      </c>
      <c r="C2930" s="66" t="s">
        <v>3335</v>
      </c>
      <c r="D2930" s="11">
        <v>13490.57</v>
      </c>
      <c r="E2930" s="11">
        <v>13490.57</v>
      </c>
      <c r="F2930" s="3">
        <v>41773</v>
      </c>
      <c r="G2930" s="2" t="s">
        <v>14104</v>
      </c>
      <c r="H2930" s="3">
        <v>43053</v>
      </c>
      <c r="I2930" s="2" t="s">
        <v>19506</v>
      </c>
      <c r="J2930" s="2" t="s">
        <v>13904</v>
      </c>
      <c r="K2930" s="2" t="s">
        <v>19269</v>
      </c>
      <c r="L2930" s="82" t="s">
        <v>19512</v>
      </c>
    </row>
    <row r="2931" spans="1:15" ht="84" customHeight="1" x14ac:dyDescent="0.3">
      <c r="A2931" s="2">
        <v>2927</v>
      </c>
      <c r="B2931" s="66" t="s">
        <v>3271</v>
      </c>
      <c r="C2931" s="66" t="s">
        <v>3336</v>
      </c>
      <c r="D2931" s="11">
        <v>11115.04</v>
      </c>
      <c r="E2931" s="11">
        <v>11115.04</v>
      </c>
      <c r="F2931" s="3">
        <v>32245</v>
      </c>
      <c r="G2931" s="2" t="s">
        <v>14104</v>
      </c>
      <c r="H2931" s="3">
        <v>43053</v>
      </c>
      <c r="I2931" s="2" t="s">
        <v>19506</v>
      </c>
      <c r="J2931" s="2" t="s">
        <v>13904</v>
      </c>
      <c r="K2931" s="2" t="s">
        <v>19269</v>
      </c>
      <c r="L2931" s="82" t="s">
        <v>19512</v>
      </c>
    </row>
    <row r="2932" spans="1:15" ht="84" customHeight="1" x14ac:dyDescent="0.3">
      <c r="A2932" s="2">
        <v>2928</v>
      </c>
      <c r="B2932" s="66" t="s">
        <v>3271</v>
      </c>
      <c r="C2932" s="66" t="s">
        <v>3337</v>
      </c>
      <c r="D2932" s="11">
        <v>11115.04</v>
      </c>
      <c r="E2932" s="11">
        <v>11115.04</v>
      </c>
      <c r="F2932" s="3">
        <v>32245</v>
      </c>
      <c r="G2932" s="2" t="s">
        <v>14104</v>
      </c>
      <c r="H2932" s="3">
        <v>43053</v>
      </c>
      <c r="I2932" s="2" t="s">
        <v>19506</v>
      </c>
      <c r="J2932" s="2" t="s">
        <v>13904</v>
      </c>
      <c r="K2932" s="2" t="s">
        <v>19269</v>
      </c>
      <c r="L2932" s="82" t="s">
        <v>19512</v>
      </c>
    </row>
    <row r="2933" spans="1:15" ht="84" customHeight="1" x14ac:dyDescent="0.3">
      <c r="A2933" s="2">
        <v>2929</v>
      </c>
      <c r="B2933" s="66" t="s">
        <v>3271</v>
      </c>
      <c r="C2933" s="66" t="s">
        <v>3338</v>
      </c>
      <c r="D2933" s="11">
        <v>11115.04</v>
      </c>
      <c r="E2933" s="11">
        <v>11115.04</v>
      </c>
      <c r="F2933" s="3">
        <v>32245</v>
      </c>
      <c r="G2933" s="2" t="s">
        <v>14104</v>
      </c>
      <c r="H2933" s="3">
        <v>43053</v>
      </c>
      <c r="I2933" s="2" t="s">
        <v>19506</v>
      </c>
      <c r="J2933" s="2" t="s">
        <v>13904</v>
      </c>
      <c r="K2933" s="2" t="s">
        <v>19269</v>
      </c>
      <c r="L2933" s="82" t="s">
        <v>19512</v>
      </c>
    </row>
    <row r="2934" spans="1:15" ht="84" customHeight="1" x14ac:dyDescent="0.3">
      <c r="A2934" s="2">
        <v>2930</v>
      </c>
      <c r="B2934" s="66" t="s">
        <v>3190</v>
      </c>
      <c r="C2934" s="66" t="s">
        <v>3339</v>
      </c>
      <c r="D2934" s="11">
        <v>4319.9799999999996</v>
      </c>
      <c r="E2934" s="11">
        <v>4319.9799999999996</v>
      </c>
      <c r="F2934" s="3">
        <v>41115</v>
      </c>
      <c r="G2934" s="2" t="s">
        <v>14104</v>
      </c>
      <c r="H2934" s="3">
        <v>43053</v>
      </c>
      <c r="I2934" s="2" t="s">
        <v>19506</v>
      </c>
      <c r="J2934" s="2" t="s">
        <v>13904</v>
      </c>
      <c r="K2934" s="2" t="s">
        <v>19269</v>
      </c>
      <c r="L2934" s="82" t="s">
        <v>19512</v>
      </c>
    </row>
    <row r="2935" spans="1:15" ht="84" customHeight="1" x14ac:dyDescent="0.3">
      <c r="A2935" s="2">
        <v>2931</v>
      </c>
      <c r="B2935" s="66" t="s">
        <v>3288</v>
      </c>
      <c r="C2935" s="66" t="s">
        <v>3340</v>
      </c>
      <c r="D2935" s="11">
        <v>6366.57</v>
      </c>
      <c r="E2935" s="11">
        <v>6366.57</v>
      </c>
      <c r="F2935" s="3">
        <v>41145</v>
      </c>
      <c r="G2935" s="2" t="s">
        <v>14104</v>
      </c>
      <c r="H2935" s="3">
        <v>43053</v>
      </c>
      <c r="I2935" s="2" t="s">
        <v>19506</v>
      </c>
      <c r="J2935" s="2" t="s">
        <v>13904</v>
      </c>
      <c r="K2935" s="2" t="s">
        <v>19269</v>
      </c>
      <c r="L2935" s="82" t="s">
        <v>19512</v>
      </c>
    </row>
    <row r="2936" spans="1:15" ht="84" customHeight="1" x14ac:dyDescent="0.3">
      <c r="A2936" s="2">
        <v>2932</v>
      </c>
      <c r="B2936" s="66" t="s">
        <v>3289</v>
      </c>
      <c r="C2936" s="66" t="s">
        <v>3341</v>
      </c>
      <c r="D2936" s="11">
        <v>6800</v>
      </c>
      <c r="E2936" s="11">
        <v>6800</v>
      </c>
      <c r="F2936" s="3">
        <v>41145</v>
      </c>
      <c r="G2936" s="2" t="s">
        <v>14104</v>
      </c>
      <c r="H2936" s="3">
        <v>43053</v>
      </c>
      <c r="I2936" s="2" t="s">
        <v>19506</v>
      </c>
      <c r="J2936" s="2" t="s">
        <v>13904</v>
      </c>
      <c r="K2936" s="2" t="s">
        <v>19269</v>
      </c>
      <c r="L2936" s="82" t="s">
        <v>19512</v>
      </c>
    </row>
    <row r="2937" spans="1:15" ht="84" customHeight="1" x14ac:dyDescent="0.3">
      <c r="A2937" s="2">
        <v>2933</v>
      </c>
      <c r="B2937" s="66" t="s">
        <v>3290</v>
      </c>
      <c r="C2937" s="66" t="s">
        <v>3342</v>
      </c>
      <c r="D2937" s="11">
        <v>7750</v>
      </c>
      <c r="E2937" s="11">
        <v>7750</v>
      </c>
      <c r="F2937" s="3">
        <v>41145</v>
      </c>
      <c r="G2937" s="2" t="s">
        <v>14104</v>
      </c>
      <c r="H2937" s="3">
        <v>43053</v>
      </c>
      <c r="I2937" s="2" t="s">
        <v>19506</v>
      </c>
      <c r="J2937" s="2" t="s">
        <v>13904</v>
      </c>
      <c r="K2937" s="2" t="s">
        <v>19269</v>
      </c>
      <c r="L2937" s="82" t="s">
        <v>19512</v>
      </c>
    </row>
    <row r="2938" spans="1:15" ht="84" customHeight="1" x14ac:dyDescent="0.3">
      <c r="A2938" s="2">
        <v>2934</v>
      </c>
      <c r="B2938" s="66" t="s">
        <v>3291</v>
      </c>
      <c r="C2938" s="66" t="s">
        <v>3343</v>
      </c>
      <c r="D2938" s="11">
        <v>14020.76</v>
      </c>
      <c r="E2938" s="11">
        <v>14020.76</v>
      </c>
      <c r="F2938" s="3">
        <v>41145</v>
      </c>
      <c r="G2938" s="2" t="s">
        <v>14104</v>
      </c>
      <c r="H2938" s="3">
        <v>43053</v>
      </c>
      <c r="I2938" s="2" t="s">
        <v>19506</v>
      </c>
      <c r="J2938" s="2" t="s">
        <v>13904</v>
      </c>
      <c r="K2938" s="2" t="s">
        <v>19269</v>
      </c>
      <c r="L2938" s="82" t="s">
        <v>19512</v>
      </c>
    </row>
    <row r="2939" spans="1:15" s="19" customFormat="1" ht="84" customHeight="1" x14ac:dyDescent="0.3">
      <c r="A2939" s="2">
        <v>2935</v>
      </c>
      <c r="B2939" s="66" t="s">
        <v>1062</v>
      </c>
      <c r="C2939" s="66" t="s">
        <v>3344</v>
      </c>
      <c r="D2939" s="11">
        <v>56990.85</v>
      </c>
      <c r="E2939" s="11">
        <v>20896.7</v>
      </c>
      <c r="F2939" s="3">
        <v>42004</v>
      </c>
      <c r="G2939" s="2"/>
      <c r="H2939" s="2"/>
      <c r="I2939" s="2"/>
      <c r="J2939" s="2" t="s">
        <v>13904</v>
      </c>
      <c r="K2939" s="2" t="s">
        <v>19271</v>
      </c>
      <c r="L2939" s="2" t="s">
        <v>18630</v>
      </c>
      <c r="M2939" s="18"/>
      <c r="N2939" s="18"/>
      <c r="O2939" s="18"/>
    </row>
    <row r="2940" spans="1:15" ht="84" customHeight="1" x14ac:dyDescent="0.3">
      <c r="A2940" s="2">
        <v>2936</v>
      </c>
      <c r="B2940" s="66" t="s">
        <v>22258</v>
      </c>
      <c r="C2940" s="66">
        <v>410124048</v>
      </c>
      <c r="D2940" s="11">
        <v>51559.199999999997</v>
      </c>
      <c r="E2940" s="11"/>
      <c r="F2940" s="3" t="s">
        <v>22259</v>
      </c>
      <c r="G2940" s="2" t="s">
        <v>22260</v>
      </c>
      <c r="H2940" s="3"/>
      <c r="I2940" s="2"/>
      <c r="J2940" s="2" t="s">
        <v>13904</v>
      </c>
      <c r="K2940" s="2" t="s">
        <v>22261</v>
      </c>
      <c r="L2940" s="82" t="s">
        <v>22990</v>
      </c>
    </row>
    <row r="2941" spans="1:15" ht="84" customHeight="1" x14ac:dyDescent="0.3">
      <c r="A2941" s="2">
        <v>2937</v>
      </c>
      <c r="B2941" s="66" t="s">
        <v>23833</v>
      </c>
      <c r="C2941" s="66">
        <v>4101260001</v>
      </c>
      <c r="D2941" s="11">
        <v>52700</v>
      </c>
      <c r="E2941" s="11">
        <v>52700</v>
      </c>
      <c r="F2941" s="3" t="s">
        <v>23834</v>
      </c>
      <c r="G2941" s="2" t="s">
        <v>23835</v>
      </c>
      <c r="H2941" s="3"/>
      <c r="I2941" s="2"/>
      <c r="J2941" s="2" t="s">
        <v>13904</v>
      </c>
      <c r="K2941" s="2" t="s">
        <v>23831</v>
      </c>
      <c r="L2941" s="82" t="s">
        <v>23832</v>
      </c>
    </row>
    <row r="2942" spans="1:15" ht="84" customHeight="1" x14ac:dyDescent="0.3">
      <c r="A2942" s="2">
        <v>2938</v>
      </c>
      <c r="B2942" s="66" t="s">
        <v>3346</v>
      </c>
      <c r="C2942" s="66" t="s">
        <v>3347</v>
      </c>
      <c r="D2942" s="11">
        <v>4000</v>
      </c>
      <c r="E2942" s="11">
        <v>4000</v>
      </c>
      <c r="F2942" s="3">
        <v>39441</v>
      </c>
      <c r="G2942" s="2"/>
      <c r="H2942" s="3">
        <v>43053</v>
      </c>
      <c r="I2942" s="2" t="s">
        <v>19506</v>
      </c>
      <c r="J2942" s="2" t="s">
        <v>13904</v>
      </c>
      <c r="K2942" s="2" t="s">
        <v>19271</v>
      </c>
      <c r="L2942" s="82" t="s">
        <v>19512</v>
      </c>
    </row>
    <row r="2943" spans="1:15" ht="84" customHeight="1" x14ac:dyDescent="0.3">
      <c r="A2943" s="2">
        <v>2939</v>
      </c>
      <c r="B2943" s="66" t="s">
        <v>3100</v>
      </c>
      <c r="C2943" s="66" t="s">
        <v>3348</v>
      </c>
      <c r="D2943" s="11">
        <v>27964</v>
      </c>
      <c r="E2943" s="11">
        <v>27964</v>
      </c>
      <c r="F2943" s="3">
        <v>40898</v>
      </c>
      <c r="G2943" s="2"/>
      <c r="H2943" s="3">
        <v>43053</v>
      </c>
      <c r="I2943" s="2" t="s">
        <v>19506</v>
      </c>
      <c r="J2943" s="2" t="s">
        <v>13904</v>
      </c>
      <c r="K2943" s="2" t="s">
        <v>19271</v>
      </c>
      <c r="L2943" s="82" t="s">
        <v>19512</v>
      </c>
    </row>
    <row r="2944" spans="1:15" ht="84" customHeight="1" x14ac:dyDescent="0.3">
      <c r="A2944" s="2">
        <v>2940</v>
      </c>
      <c r="B2944" s="66" t="s">
        <v>3349</v>
      </c>
      <c r="C2944" s="66" t="s">
        <v>3350</v>
      </c>
      <c r="D2944" s="11">
        <v>8100.7</v>
      </c>
      <c r="E2944" s="11">
        <v>8100.7</v>
      </c>
      <c r="F2944" s="3">
        <v>40778</v>
      </c>
      <c r="G2944" s="2"/>
      <c r="H2944" s="3">
        <v>43053</v>
      </c>
      <c r="I2944" s="2" t="s">
        <v>19506</v>
      </c>
      <c r="J2944" s="2" t="s">
        <v>13904</v>
      </c>
      <c r="K2944" s="2" t="s">
        <v>19271</v>
      </c>
      <c r="L2944" s="82" t="s">
        <v>19512</v>
      </c>
    </row>
    <row r="2945" spans="1:12" ht="84" customHeight="1" x14ac:dyDescent="0.3">
      <c r="A2945" s="2">
        <v>2941</v>
      </c>
      <c r="B2945" s="66" t="s">
        <v>3172</v>
      </c>
      <c r="C2945" s="66" t="s">
        <v>3351</v>
      </c>
      <c r="D2945" s="11">
        <v>4000</v>
      </c>
      <c r="E2945" s="11">
        <v>4000</v>
      </c>
      <c r="F2945" s="3">
        <v>40898</v>
      </c>
      <c r="G2945" s="2"/>
      <c r="H2945" s="3">
        <v>43053</v>
      </c>
      <c r="I2945" s="2" t="s">
        <v>19506</v>
      </c>
      <c r="J2945" s="2" t="s">
        <v>13904</v>
      </c>
      <c r="K2945" s="2" t="s">
        <v>19271</v>
      </c>
      <c r="L2945" s="82" t="s">
        <v>19512</v>
      </c>
    </row>
    <row r="2946" spans="1:12" ht="84" customHeight="1" x14ac:dyDescent="0.3">
      <c r="A2946" s="2">
        <v>2942</v>
      </c>
      <c r="B2946" s="66" t="s">
        <v>3352</v>
      </c>
      <c r="C2946" s="66" t="s">
        <v>3353</v>
      </c>
      <c r="D2946" s="11">
        <v>10873</v>
      </c>
      <c r="E2946" s="11">
        <v>10873</v>
      </c>
      <c r="F2946" s="3">
        <v>39437</v>
      </c>
      <c r="G2946" s="2"/>
      <c r="H2946" s="3">
        <v>43053</v>
      </c>
      <c r="I2946" s="2" t="s">
        <v>19506</v>
      </c>
      <c r="J2946" s="2" t="s">
        <v>13904</v>
      </c>
      <c r="K2946" s="2" t="s">
        <v>19271</v>
      </c>
      <c r="L2946" s="82" t="s">
        <v>19512</v>
      </c>
    </row>
    <row r="2947" spans="1:12" ht="84" customHeight="1" x14ac:dyDescent="0.3">
      <c r="A2947" s="2">
        <v>2943</v>
      </c>
      <c r="B2947" s="66" t="s">
        <v>3168</v>
      </c>
      <c r="C2947" s="66" t="s">
        <v>3354</v>
      </c>
      <c r="D2947" s="11">
        <v>5025.28</v>
      </c>
      <c r="E2947" s="11">
        <v>5025.28</v>
      </c>
      <c r="F2947" s="3">
        <v>41408</v>
      </c>
      <c r="G2947" s="2"/>
      <c r="H2947" s="3">
        <v>43053</v>
      </c>
      <c r="I2947" s="2" t="s">
        <v>19506</v>
      </c>
      <c r="J2947" s="2" t="s">
        <v>13904</v>
      </c>
      <c r="K2947" s="2" t="s">
        <v>19271</v>
      </c>
      <c r="L2947" s="82" t="s">
        <v>19512</v>
      </c>
    </row>
    <row r="2948" spans="1:12" ht="84" customHeight="1" x14ac:dyDescent="0.3">
      <c r="A2948" s="2">
        <v>2944</v>
      </c>
      <c r="B2948" s="66" t="s">
        <v>3355</v>
      </c>
      <c r="C2948" s="66" t="s">
        <v>3356</v>
      </c>
      <c r="D2948" s="11">
        <v>19732</v>
      </c>
      <c r="E2948" s="11">
        <v>19732</v>
      </c>
      <c r="F2948" s="3">
        <v>41408</v>
      </c>
      <c r="G2948" s="2"/>
      <c r="H2948" s="3">
        <v>43053</v>
      </c>
      <c r="I2948" s="2" t="s">
        <v>19506</v>
      </c>
      <c r="J2948" s="2" t="s">
        <v>13904</v>
      </c>
      <c r="K2948" s="2" t="s">
        <v>19271</v>
      </c>
      <c r="L2948" s="82" t="s">
        <v>19512</v>
      </c>
    </row>
    <row r="2949" spans="1:12" ht="84" customHeight="1" x14ac:dyDescent="0.3">
      <c r="A2949" s="2">
        <v>2945</v>
      </c>
      <c r="B2949" s="66" t="s">
        <v>3264</v>
      </c>
      <c r="C2949" s="66" t="s">
        <v>3357</v>
      </c>
      <c r="D2949" s="11">
        <v>13400</v>
      </c>
      <c r="E2949" s="11">
        <v>13400</v>
      </c>
      <c r="F2949" s="3">
        <v>41422</v>
      </c>
      <c r="G2949" s="2"/>
      <c r="H2949" s="3">
        <v>43053</v>
      </c>
      <c r="I2949" s="2" t="s">
        <v>19506</v>
      </c>
      <c r="J2949" s="2" t="s">
        <v>13904</v>
      </c>
      <c r="K2949" s="2" t="s">
        <v>19271</v>
      </c>
      <c r="L2949" s="82" t="s">
        <v>19512</v>
      </c>
    </row>
    <row r="2950" spans="1:12" ht="84" customHeight="1" x14ac:dyDescent="0.3">
      <c r="A2950" s="2">
        <v>2946</v>
      </c>
      <c r="B2950" s="66" t="s">
        <v>3358</v>
      </c>
      <c r="C2950" s="66" t="s">
        <v>3359</v>
      </c>
      <c r="D2950" s="11">
        <v>9430.56</v>
      </c>
      <c r="E2950" s="11">
        <v>9430.56</v>
      </c>
      <c r="F2950" s="3">
        <v>41215</v>
      </c>
      <c r="G2950" s="2"/>
      <c r="H2950" s="3">
        <v>43053</v>
      </c>
      <c r="I2950" s="2" t="s">
        <v>19506</v>
      </c>
      <c r="J2950" s="2" t="s">
        <v>13904</v>
      </c>
      <c r="K2950" s="2" t="s">
        <v>19271</v>
      </c>
      <c r="L2950" s="82" t="s">
        <v>19512</v>
      </c>
    </row>
    <row r="2951" spans="1:12" ht="84" customHeight="1" x14ac:dyDescent="0.3">
      <c r="A2951" s="2">
        <v>2947</v>
      </c>
      <c r="B2951" s="66" t="s">
        <v>1927</v>
      </c>
      <c r="C2951" s="66" t="s">
        <v>3360</v>
      </c>
      <c r="D2951" s="11">
        <v>4300</v>
      </c>
      <c r="E2951" s="11">
        <v>4300</v>
      </c>
      <c r="F2951" s="3">
        <v>40821</v>
      </c>
      <c r="G2951" s="2"/>
      <c r="H2951" s="3">
        <v>43053</v>
      </c>
      <c r="I2951" s="2" t="s">
        <v>19506</v>
      </c>
      <c r="J2951" s="2" t="s">
        <v>13904</v>
      </c>
      <c r="K2951" s="2" t="s">
        <v>19271</v>
      </c>
      <c r="L2951" s="82" t="s">
        <v>19512</v>
      </c>
    </row>
    <row r="2952" spans="1:12" ht="84" customHeight="1" x14ac:dyDescent="0.3">
      <c r="A2952" s="2">
        <v>2948</v>
      </c>
      <c r="B2952" s="66" t="s">
        <v>3361</v>
      </c>
      <c r="C2952" s="66" t="s">
        <v>3362</v>
      </c>
      <c r="D2952" s="11">
        <v>7284.27</v>
      </c>
      <c r="E2952" s="11">
        <v>7284.27</v>
      </c>
      <c r="F2952" s="3">
        <v>39430</v>
      </c>
      <c r="G2952" s="2"/>
      <c r="H2952" s="3">
        <v>43053</v>
      </c>
      <c r="I2952" s="2" t="s">
        <v>19506</v>
      </c>
      <c r="J2952" s="2" t="s">
        <v>13904</v>
      </c>
      <c r="K2952" s="2" t="s">
        <v>19271</v>
      </c>
      <c r="L2952" s="82" t="s">
        <v>19512</v>
      </c>
    </row>
    <row r="2953" spans="1:12" ht="84" customHeight="1" x14ac:dyDescent="0.3">
      <c r="A2953" s="2">
        <v>2949</v>
      </c>
      <c r="B2953" s="66" t="s">
        <v>3363</v>
      </c>
      <c r="C2953" s="66" t="s">
        <v>3364</v>
      </c>
      <c r="D2953" s="11">
        <v>4464</v>
      </c>
      <c r="E2953" s="11">
        <v>4464</v>
      </c>
      <c r="F2953" s="3">
        <v>40778</v>
      </c>
      <c r="G2953" s="2"/>
      <c r="H2953" s="3">
        <v>43053</v>
      </c>
      <c r="I2953" s="2" t="s">
        <v>19506</v>
      </c>
      <c r="J2953" s="2" t="s">
        <v>13904</v>
      </c>
      <c r="K2953" s="2" t="s">
        <v>19271</v>
      </c>
      <c r="L2953" s="82" t="s">
        <v>19512</v>
      </c>
    </row>
    <row r="2954" spans="1:12" ht="84" customHeight="1" x14ac:dyDescent="0.3">
      <c r="A2954" s="2">
        <v>2950</v>
      </c>
      <c r="B2954" s="66" t="s">
        <v>3365</v>
      </c>
      <c r="C2954" s="66" t="s">
        <v>3366</v>
      </c>
      <c r="D2954" s="11">
        <v>5051</v>
      </c>
      <c r="E2954" s="11">
        <v>5051</v>
      </c>
      <c r="F2954" s="3">
        <v>40778</v>
      </c>
      <c r="G2954" s="2"/>
      <c r="H2954" s="3">
        <v>43053</v>
      </c>
      <c r="I2954" s="2" t="s">
        <v>19506</v>
      </c>
      <c r="J2954" s="2" t="s">
        <v>13904</v>
      </c>
      <c r="K2954" s="2" t="s">
        <v>19271</v>
      </c>
      <c r="L2954" s="82" t="s">
        <v>19512</v>
      </c>
    </row>
    <row r="2955" spans="1:12" ht="84" customHeight="1" x14ac:dyDescent="0.3">
      <c r="A2955" s="2">
        <v>2951</v>
      </c>
      <c r="B2955" s="66" t="s">
        <v>3367</v>
      </c>
      <c r="C2955" s="66" t="s">
        <v>3368</v>
      </c>
      <c r="D2955" s="11">
        <v>3237.33</v>
      </c>
      <c r="E2955" s="11">
        <v>3237.33</v>
      </c>
      <c r="F2955" s="3">
        <v>41558</v>
      </c>
      <c r="G2955" s="2"/>
      <c r="H2955" s="3">
        <v>43053</v>
      </c>
      <c r="I2955" s="2" t="s">
        <v>19506</v>
      </c>
      <c r="J2955" s="2" t="s">
        <v>13904</v>
      </c>
      <c r="K2955" s="2" t="s">
        <v>19271</v>
      </c>
      <c r="L2955" s="82" t="s">
        <v>19512</v>
      </c>
    </row>
    <row r="2956" spans="1:12" ht="84" customHeight="1" x14ac:dyDescent="0.3">
      <c r="A2956" s="2">
        <v>2952</v>
      </c>
      <c r="B2956" s="66" t="s">
        <v>3367</v>
      </c>
      <c r="C2956" s="66" t="s">
        <v>3369</v>
      </c>
      <c r="D2956" s="11">
        <v>3237.33</v>
      </c>
      <c r="E2956" s="11">
        <v>3237.33</v>
      </c>
      <c r="F2956" s="3">
        <v>41558</v>
      </c>
      <c r="G2956" s="2"/>
      <c r="H2956" s="3">
        <v>43053</v>
      </c>
      <c r="I2956" s="2" t="s">
        <v>19506</v>
      </c>
      <c r="J2956" s="2" t="s">
        <v>13904</v>
      </c>
      <c r="K2956" s="2" t="s">
        <v>19271</v>
      </c>
      <c r="L2956" s="82" t="s">
        <v>19512</v>
      </c>
    </row>
    <row r="2957" spans="1:12" ht="84" customHeight="1" x14ac:dyDescent="0.3">
      <c r="A2957" s="2">
        <v>2953</v>
      </c>
      <c r="B2957" s="66" t="s">
        <v>3367</v>
      </c>
      <c r="C2957" s="66" t="s">
        <v>3370</v>
      </c>
      <c r="D2957" s="11">
        <v>3237.33</v>
      </c>
      <c r="E2957" s="11">
        <v>3237.33</v>
      </c>
      <c r="F2957" s="3">
        <v>41558</v>
      </c>
      <c r="G2957" s="2"/>
      <c r="H2957" s="3">
        <v>43053</v>
      </c>
      <c r="I2957" s="2" t="s">
        <v>19506</v>
      </c>
      <c r="J2957" s="2" t="s">
        <v>13904</v>
      </c>
      <c r="K2957" s="2" t="s">
        <v>19271</v>
      </c>
      <c r="L2957" s="82" t="s">
        <v>19512</v>
      </c>
    </row>
    <row r="2958" spans="1:12" ht="84" customHeight="1" x14ac:dyDescent="0.3">
      <c r="A2958" s="2">
        <v>2954</v>
      </c>
      <c r="B2958" s="66" t="s">
        <v>3367</v>
      </c>
      <c r="C2958" s="66" t="s">
        <v>3371</v>
      </c>
      <c r="D2958" s="11">
        <v>3237.33</v>
      </c>
      <c r="E2958" s="11">
        <v>3237.33</v>
      </c>
      <c r="F2958" s="3">
        <v>41558</v>
      </c>
      <c r="G2958" s="2"/>
      <c r="H2958" s="3">
        <v>43053</v>
      </c>
      <c r="I2958" s="2" t="s">
        <v>19506</v>
      </c>
      <c r="J2958" s="2" t="s">
        <v>13904</v>
      </c>
      <c r="K2958" s="2" t="s">
        <v>19271</v>
      </c>
      <c r="L2958" s="82" t="s">
        <v>19512</v>
      </c>
    </row>
    <row r="2959" spans="1:12" ht="84" customHeight="1" x14ac:dyDescent="0.3">
      <c r="A2959" s="2">
        <v>2955</v>
      </c>
      <c r="B2959" s="66" t="s">
        <v>3367</v>
      </c>
      <c r="C2959" s="66" t="s">
        <v>3372</v>
      </c>
      <c r="D2959" s="11">
        <v>3237.32</v>
      </c>
      <c r="E2959" s="11">
        <v>3237.32</v>
      </c>
      <c r="F2959" s="3">
        <v>41558</v>
      </c>
      <c r="G2959" s="2"/>
      <c r="H2959" s="3">
        <v>43053</v>
      </c>
      <c r="I2959" s="2" t="s">
        <v>19506</v>
      </c>
      <c r="J2959" s="2" t="s">
        <v>13904</v>
      </c>
      <c r="K2959" s="2" t="s">
        <v>19271</v>
      </c>
      <c r="L2959" s="82" t="s">
        <v>19512</v>
      </c>
    </row>
    <row r="2960" spans="1:12" ht="84" customHeight="1" x14ac:dyDescent="0.3">
      <c r="A2960" s="2">
        <v>2956</v>
      </c>
      <c r="B2960" s="66" t="s">
        <v>3373</v>
      </c>
      <c r="C2960" s="66" t="s">
        <v>3146</v>
      </c>
      <c r="D2960" s="11">
        <v>3590</v>
      </c>
      <c r="E2960" s="11">
        <v>3590</v>
      </c>
      <c r="F2960" s="3">
        <v>41892</v>
      </c>
      <c r="G2960" s="2"/>
      <c r="H2960" s="3">
        <v>43053</v>
      </c>
      <c r="I2960" s="2" t="s">
        <v>19506</v>
      </c>
      <c r="J2960" s="2" t="s">
        <v>13904</v>
      </c>
      <c r="K2960" s="2" t="s">
        <v>19271</v>
      </c>
      <c r="L2960" s="82" t="s">
        <v>19512</v>
      </c>
    </row>
    <row r="2961" spans="1:12" ht="84" customHeight="1" x14ac:dyDescent="0.3">
      <c r="A2961" s="2">
        <v>2957</v>
      </c>
      <c r="B2961" s="66" t="s">
        <v>3374</v>
      </c>
      <c r="C2961" s="66" t="s">
        <v>3145</v>
      </c>
      <c r="D2961" s="11">
        <v>4120</v>
      </c>
      <c r="E2961" s="11">
        <v>4120</v>
      </c>
      <c r="F2961" s="3">
        <v>41892</v>
      </c>
      <c r="G2961" s="2"/>
      <c r="H2961" s="3">
        <v>43053</v>
      </c>
      <c r="I2961" s="2" t="s">
        <v>19506</v>
      </c>
      <c r="J2961" s="2" t="s">
        <v>13904</v>
      </c>
      <c r="K2961" s="2" t="s">
        <v>19271</v>
      </c>
      <c r="L2961" s="82" t="s">
        <v>19512</v>
      </c>
    </row>
    <row r="2962" spans="1:12" ht="84" customHeight="1" x14ac:dyDescent="0.3">
      <c r="A2962" s="2">
        <v>2958</v>
      </c>
      <c r="B2962" s="66" t="s">
        <v>3375</v>
      </c>
      <c r="C2962" s="66" t="s">
        <v>3148</v>
      </c>
      <c r="D2962" s="11">
        <v>3190</v>
      </c>
      <c r="E2962" s="11">
        <v>3190</v>
      </c>
      <c r="F2962" s="3">
        <v>41892</v>
      </c>
      <c r="G2962" s="2"/>
      <c r="H2962" s="3">
        <v>43053</v>
      </c>
      <c r="I2962" s="2" t="s">
        <v>19506</v>
      </c>
      <c r="J2962" s="2" t="s">
        <v>13904</v>
      </c>
      <c r="K2962" s="2" t="s">
        <v>19271</v>
      </c>
      <c r="L2962" s="82" t="s">
        <v>19512</v>
      </c>
    </row>
    <row r="2963" spans="1:12" ht="84" customHeight="1" x14ac:dyDescent="0.3">
      <c r="A2963" s="2">
        <v>2959</v>
      </c>
      <c r="B2963" s="66" t="s">
        <v>3376</v>
      </c>
      <c r="C2963" s="66" t="s">
        <v>3147</v>
      </c>
      <c r="D2963" s="11">
        <v>6490</v>
      </c>
      <c r="E2963" s="11">
        <v>6490</v>
      </c>
      <c r="F2963" s="3">
        <v>41892</v>
      </c>
      <c r="G2963" s="2"/>
      <c r="H2963" s="3">
        <v>43053</v>
      </c>
      <c r="I2963" s="2" t="s">
        <v>19506</v>
      </c>
      <c r="J2963" s="2" t="s">
        <v>13904</v>
      </c>
      <c r="K2963" s="2" t="s">
        <v>19271</v>
      </c>
      <c r="L2963" s="82" t="s">
        <v>19512</v>
      </c>
    </row>
    <row r="2964" spans="1:12" ht="84" customHeight="1" x14ac:dyDescent="0.3">
      <c r="A2964" s="2">
        <v>2960</v>
      </c>
      <c r="B2964" s="66" t="s">
        <v>3377</v>
      </c>
      <c r="C2964" s="66" t="s">
        <v>3149</v>
      </c>
      <c r="D2964" s="11">
        <v>4420</v>
      </c>
      <c r="E2964" s="11">
        <v>4420</v>
      </c>
      <c r="F2964" s="3">
        <v>41892</v>
      </c>
      <c r="G2964" s="2"/>
      <c r="H2964" s="3">
        <v>43053</v>
      </c>
      <c r="I2964" s="2" t="s">
        <v>19506</v>
      </c>
      <c r="J2964" s="2" t="s">
        <v>13904</v>
      </c>
      <c r="K2964" s="2" t="s">
        <v>19271</v>
      </c>
      <c r="L2964" s="82" t="s">
        <v>19512</v>
      </c>
    </row>
    <row r="2965" spans="1:12" ht="84" customHeight="1" x14ac:dyDescent="0.3">
      <c r="A2965" s="2">
        <v>2961</v>
      </c>
      <c r="B2965" s="66" t="s">
        <v>3363</v>
      </c>
      <c r="C2965" s="66" t="s">
        <v>3378</v>
      </c>
      <c r="D2965" s="11">
        <v>4464</v>
      </c>
      <c r="E2965" s="11">
        <v>4464</v>
      </c>
      <c r="F2965" s="3">
        <v>40778</v>
      </c>
      <c r="G2965" s="2"/>
      <c r="H2965" s="3">
        <v>43053</v>
      </c>
      <c r="I2965" s="2" t="s">
        <v>19506</v>
      </c>
      <c r="J2965" s="2" t="s">
        <v>13904</v>
      </c>
      <c r="K2965" s="2" t="s">
        <v>19271</v>
      </c>
      <c r="L2965" s="82" t="s">
        <v>19512</v>
      </c>
    </row>
    <row r="2966" spans="1:12" ht="84" customHeight="1" x14ac:dyDescent="0.3">
      <c r="A2966" s="2">
        <v>2962</v>
      </c>
      <c r="B2966" s="66" t="s">
        <v>3379</v>
      </c>
      <c r="C2966" s="66" t="s">
        <v>3380</v>
      </c>
      <c r="D2966" s="11">
        <v>3850</v>
      </c>
      <c r="E2966" s="11">
        <v>3850</v>
      </c>
      <c r="F2966" s="3">
        <v>41988</v>
      </c>
      <c r="G2966" s="2"/>
      <c r="H2966" s="3">
        <v>43053</v>
      </c>
      <c r="I2966" s="2" t="s">
        <v>19506</v>
      </c>
      <c r="J2966" s="2" t="s">
        <v>13904</v>
      </c>
      <c r="K2966" s="2" t="s">
        <v>19271</v>
      </c>
      <c r="L2966" s="82" t="s">
        <v>19512</v>
      </c>
    </row>
    <row r="2967" spans="1:12" ht="84" customHeight="1" x14ac:dyDescent="0.3">
      <c r="A2967" s="2">
        <v>2963</v>
      </c>
      <c r="B2967" s="66" t="s">
        <v>3379</v>
      </c>
      <c r="C2967" s="66" t="s">
        <v>3381</v>
      </c>
      <c r="D2967" s="11">
        <v>3850</v>
      </c>
      <c r="E2967" s="11">
        <v>3850</v>
      </c>
      <c r="F2967" s="3">
        <v>41988</v>
      </c>
      <c r="G2967" s="2"/>
      <c r="H2967" s="3">
        <v>43053</v>
      </c>
      <c r="I2967" s="2" t="s">
        <v>19506</v>
      </c>
      <c r="J2967" s="2" t="s">
        <v>13904</v>
      </c>
      <c r="K2967" s="2" t="s">
        <v>19271</v>
      </c>
      <c r="L2967" s="82" t="s">
        <v>19512</v>
      </c>
    </row>
    <row r="2968" spans="1:12" ht="84" customHeight="1" x14ac:dyDescent="0.3">
      <c r="A2968" s="2">
        <v>2964</v>
      </c>
      <c r="B2968" s="66" t="s">
        <v>3379</v>
      </c>
      <c r="C2968" s="66" t="s">
        <v>3382</v>
      </c>
      <c r="D2968" s="11">
        <v>3850</v>
      </c>
      <c r="E2968" s="11">
        <v>3850</v>
      </c>
      <c r="F2968" s="3">
        <v>41988</v>
      </c>
      <c r="G2968" s="2"/>
      <c r="H2968" s="3">
        <v>43053</v>
      </c>
      <c r="I2968" s="2" t="s">
        <v>19506</v>
      </c>
      <c r="J2968" s="2" t="s">
        <v>13904</v>
      </c>
      <c r="K2968" s="2" t="s">
        <v>19271</v>
      </c>
      <c r="L2968" s="82" t="s">
        <v>19512</v>
      </c>
    </row>
    <row r="2969" spans="1:12" ht="84" customHeight="1" x14ac:dyDescent="0.3">
      <c r="A2969" s="2">
        <v>2965</v>
      </c>
      <c r="B2969" s="66" t="s">
        <v>3379</v>
      </c>
      <c r="C2969" s="66" t="s">
        <v>3383</v>
      </c>
      <c r="D2969" s="11">
        <v>3850</v>
      </c>
      <c r="E2969" s="11">
        <v>3850</v>
      </c>
      <c r="F2969" s="3">
        <v>41988</v>
      </c>
      <c r="G2969" s="2"/>
      <c r="H2969" s="3">
        <v>43053</v>
      </c>
      <c r="I2969" s="2" t="s">
        <v>19506</v>
      </c>
      <c r="J2969" s="2" t="s">
        <v>13904</v>
      </c>
      <c r="K2969" s="2" t="s">
        <v>19271</v>
      </c>
      <c r="L2969" s="82" t="s">
        <v>19512</v>
      </c>
    </row>
    <row r="2970" spans="1:12" ht="84" customHeight="1" x14ac:dyDescent="0.3">
      <c r="A2970" s="2">
        <v>2966</v>
      </c>
      <c r="B2970" s="66" t="s">
        <v>3379</v>
      </c>
      <c r="C2970" s="66" t="s">
        <v>3384</v>
      </c>
      <c r="D2970" s="11">
        <v>3850</v>
      </c>
      <c r="E2970" s="11">
        <v>3850</v>
      </c>
      <c r="F2970" s="3">
        <v>41988</v>
      </c>
      <c r="G2970" s="2"/>
      <c r="H2970" s="3">
        <v>43053</v>
      </c>
      <c r="I2970" s="2" t="s">
        <v>19506</v>
      </c>
      <c r="J2970" s="2" t="s">
        <v>13904</v>
      </c>
      <c r="K2970" s="2" t="s">
        <v>19271</v>
      </c>
      <c r="L2970" s="82" t="s">
        <v>19512</v>
      </c>
    </row>
    <row r="2971" spans="1:12" ht="84" customHeight="1" x14ac:dyDescent="0.3">
      <c r="A2971" s="2">
        <v>2967</v>
      </c>
      <c r="B2971" s="66" t="s">
        <v>3379</v>
      </c>
      <c r="C2971" s="66" t="s">
        <v>3246</v>
      </c>
      <c r="D2971" s="11">
        <v>3850</v>
      </c>
      <c r="E2971" s="11">
        <v>3850</v>
      </c>
      <c r="F2971" s="3">
        <v>41988</v>
      </c>
      <c r="G2971" s="2"/>
      <c r="H2971" s="3">
        <v>43053</v>
      </c>
      <c r="I2971" s="2" t="s">
        <v>19506</v>
      </c>
      <c r="J2971" s="2" t="s">
        <v>13904</v>
      </c>
      <c r="K2971" s="2" t="s">
        <v>19271</v>
      </c>
      <c r="L2971" s="82" t="s">
        <v>19512</v>
      </c>
    </row>
    <row r="2972" spans="1:12" ht="84" customHeight="1" x14ac:dyDescent="0.3">
      <c r="A2972" s="2">
        <v>2968</v>
      </c>
      <c r="B2972" s="66" t="s">
        <v>3385</v>
      </c>
      <c r="C2972" s="66" t="s">
        <v>3242</v>
      </c>
      <c r="D2972" s="11">
        <v>7440</v>
      </c>
      <c r="E2972" s="11">
        <v>7440</v>
      </c>
      <c r="F2972" s="3">
        <v>41988</v>
      </c>
      <c r="G2972" s="2"/>
      <c r="H2972" s="3">
        <v>43053</v>
      </c>
      <c r="I2972" s="2" t="s">
        <v>19506</v>
      </c>
      <c r="J2972" s="2" t="s">
        <v>13904</v>
      </c>
      <c r="K2972" s="2" t="s">
        <v>19271</v>
      </c>
      <c r="L2972" s="82" t="s">
        <v>19512</v>
      </c>
    </row>
    <row r="2973" spans="1:12" ht="84" customHeight="1" x14ac:dyDescent="0.3">
      <c r="A2973" s="2">
        <v>2969</v>
      </c>
      <c r="B2973" s="66" t="s">
        <v>3386</v>
      </c>
      <c r="C2973" s="66" t="s">
        <v>3243</v>
      </c>
      <c r="D2973" s="11">
        <v>6440</v>
      </c>
      <c r="E2973" s="11">
        <v>6440</v>
      </c>
      <c r="F2973" s="3">
        <v>41988</v>
      </c>
      <c r="G2973" s="2"/>
      <c r="H2973" s="3">
        <v>43053</v>
      </c>
      <c r="I2973" s="2" t="s">
        <v>19506</v>
      </c>
      <c r="J2973" s="2" t="s">
        <v>13904</v>
      </c>
      <c r="K2973" s="2" t="s">
        <v>19271</v>
      </c>
      <c r="L2973" s="82" t="s">
        <v>19512</v>
      </c>
    </row>
    <row r="2974" spans="1:12" ht="84" customHeight="1" x14ac:dyDescent="0.3">
      <c r="A2974" s="2">
        <v>2970</v>
      </c>
      <c r="B2974" s="66" t="s">
        <v>3387</v>
      </c>
      <c r="C2974" s="66" t="s">
        <v>3241</v>
      </c>
      <c r="D2974" s="11">
        <v>6450</v>
      </c>
      <c r="E2974" s="11">
        <v>6450</v>
      </c>
      <c r="F2974" s="3">
        <v>41988</v>
      </c>
      <c r="G2974" s="2"/>
      <c r="H2974" s="3">
        <v>43053</v>
      </c>
      <c r="I2974" s="2" t="s">
        <v>19506</v>
      </c>
      <c r="J2974" s="2" t="s">
        <v>13904</v>
      </c>
      <c r="K2974" s="2" t="s">
        <v>19271</v>
      </c>
      <c r="L2974" s="82" t="s">
        <v>19512</v>
      </c>
    </row>
    <row r="2975" spans="1:12" ht="84" customHeight="1" x14ac:dyDescent="0.3">
      <c r="A2975" s="2">
        <v>2971</v>
      </c>
      <c r="B2975" s="66" t="s">
        <v>3388</v>
      </c>
      <c r="C2975" s="66" t="s">
        <v>3245</v>
      </c>
      <c r="D2975" s="11">
        <v>5050</v>
      </c>
      <c r="E2975" s="11">
        <v>5050</v>
      </c>
      <c r="F2975" s="3">
        <v>41988</v>
      </c>
      <c r="G2975" s="2"/>
      <c r="H2975" s="3">
        <v>43053</v>
      </c>
      <c r="I2975" s="2" t="s">
        <v>19506</v>
      </c>
      <c r="J2975" s="2" t="s">
        <v>13904</v>
      </c>
      <c r="K2975" s="2" t="s">
        <v>19271</v>
      </c>
      <c r="L2975" s="82" t="s">
        <v>19512</v>
      </c>
    </row>
    <row r="2976" spans="1:12" ht="84" customHeight="1" x14ac:dyDescent="0.3">
      <c r="A2976" s="2">
        <v>2972</v>
      </c>
      <c r="B2976" s="66" t="s">
        <v>3389</v>
      </c>
      <c r="C2976" s="66" t="s">
        <v>3244</v>
      </c>
      <c r="D2976" s="11">
        <v>7000</v>
      </c>
      <c r="E2976" s="11">
        <v>7000</v>
      </c>
      <c r="F2976" s="3">
        <v>41988</v>
      </c>
      <c r="G2976" s="2"/>
      <c r="H2976" s="3">
        <v>43053</v>
      </c>
      <c r="I2976" s="2" t="s">
        <v>19506</v>
      </c>
      <c r="J2976" s="2" t="s">
        <v>13904</v>
      </c>
      <c r="K2976" s="2" t="s">
        <v>19271</v>
      </c>
      <c r="L2976" s="82" t="s">
        <v>19512</v>
      </c>
    </row>
    <row r="2977" spans="1:15" ht="84" customHeight="1" x14ac:dyDescent="0.3">
      <c r="A2977" s="2">
        <v>2973</v>
      </c>
      <c r="B2977" s="66" t="s">
        <v>3390</v>
      </c>
      <c r="C2977" s="66" t="s">
        <v>3391</v>
      </c>
      <c r="D2977" s="11">
        <v>3681.6</v>
      </c>
      <c r="E2977" s="11">
        <v>3681.6</v>
      </c>
      <c r="F2977" s="3">
        <v>41480</v>
      </c>
      <c r="G2977" s="2"/>
      <c r="H2977" s="3">
        <v>43053</v>
      </c>
      <c r="I2977" s="2" t="s">
        <v>19506</v>
      </c>
      <c r="J2977" s="2" t="s">
        <v>13904</v>
      </c>
      <c r="K2977" s="2" t="s">
        <v>19271</v>
      </c>
      <c r="L2977" s="82" t="s">
        <v>19512</v>
      </c>
    </row>
    <row r="2978" spans="1:15" ht="84" customHeight="1" x14ac:dyDescent="0.3">
      <c r="A2978" s="2">
        <v>2974</v>
      </c>
      <c r="B2978" s="66" t="s">
        <v>3392</v>
      </c>
      <c r="C2978" s="66" t="s">
        <v>3393</v>
      </c>
      <c r="D2978" s="11">
        <v>4000</v>
      </c>
      <c r="E2978" s="11">
        <v>4000</v>
      </c>
      <c r="F2978" s="3">
        <v>41261</v>
      </c>
      <c r="G2978" s="2"/>
      <c r="H2978" s="3">
        <v>43053</v>
      </c>
      <c r="I2978" s="2" t="s">
        <v>19506</v>
      </c>
      <c r="J2978" s="2" t="s">
        <v>13904</v>
      </c>
      <c r="K2978" s="2" t="s">
        <v>19271</v>
      </c>
      <c r="L2978" s="82" t="s">
        <v>19512</v>
      </c>
    </row>
    <row r="2979" spans="1:15" ht="84" customHeight="1" x14ac:dyDescent="0.3">
      <c r="A2979" s="2">
        <v>2975</v>
      </c>
      <c r="B2979" s="66" t="s">
        <v>3394</v>
      </c>
      <c r="C2979" s="66" t="s">
        <v>3151</v>
      </c>
      <c r="D2979" s="11">
        <v>3360</v>
      </c>
      <c r="E2979" s="11">
        <v>3360</v>
      </c>
      <c r="F2979" s="3">
        <v>41975</v>
      </c>
      <c r="G2979" s="2"/>
      <c r="H2979" s="3">
        <v>43053</v>
      </c>
      <c r="I2979" s="2" t="s">
        <v>19506</v>
      </c>
      <c r="J2979" s="2" t="s">
        <v>13904</v>
      </c>
      <c r="K2979" s="2" t="s">
        <v>19271</v>
      </c>
      <c r="L2979" s="82" t="s">
        <v>19512</v>
      </c>
    </row>
    <row r="2980" spans="1:15" ht="84" customHeight="1" x14ac:dyDescent="0.3">
      <c r="A2980" s="2">
        <v>2976</v>
      </c>
      <c r="B2980" s="66" t="s">
        <v>3395</v>
      </c>
      <c r="C2980" s="66" t="s">
        <v>3152</v>
      </c>
      <c r="D2980" s="11">
        <v>5500.59</v>
      </c>
      <c r="E2980" s="11">
        <v>5500.59</v>
      </c>
      <c r="F2980" s="3">
        <v>41975</v>
      </c>
      <c r="G2980" s="2"/>
      <c r="H2980" s="3">
        <v>43053</v>
      </c>
      <c r="I2980" s="2" t="s">
        <v>19506</v>
      </c>
      <c r="J2980" s="2" t="s">
        <v>13904</v>
      </c>
      <c r="K2980" s="2" t="s">
        <v>19271</v>
      </c>
      <c r="L2980" s="82" t="s">
        <v>19512</v>
      </c>
    </row>
    <row r="2981" spans="1:15" s="19" customFormat="1" ht="96" customHeight="1" x14ac:dyDescent="0.3">
      <c r="A2981" s="2">
        <v>2977</v>
      </c>
      <c r="B2981" s="66" t="s">
        <v>1062</v>
      </c>
      <c r="C2981" s="66" t="s">
        <v>3091</v>
      </c>
      <c r="D2981" s="244">
        <v>74500</v>
      </c>
      <c r="E2981" s="244">
        <v>43458.41</v>
      </c>
      <c r="F2981" s="3">
        <v>42004</v>
      </c>
      <c r="G2981" s="2" t="s">
        <v>14104</v>
      </c>
      <c r="H2981" s="2"/>
      <c r="I2981" s="2"/>
      <c r="J2981" s="2" t="s">
        <v>13904</v>
      </c>
      <c r="K2981" s="2" t="s">
        <v>19207</v>
      </c>
      <c r="L2981" s="2" t="s">
        <v>18635</v>
      </c>
      <c r="M2981" s="18"/>
      <c r="N2981" s="18"/>
      <c r="O2981" s="18"/>
    </row>
    <row r="2982" spans="1:15" ht="96" customHeight="1" x14ac:dyDescent="0.3">
      <c r="A2982" s="2">
        <v>2978</v>
      </c>
      <c r="B2982" s="66" t="s">
        <v>19738</v>
      </c>
      <c r="C2982" s="66">
        <v>4101240338</v>
      </c>
      <c r="D2982" s="11">
        <v>74500</v>
      </c>
      <c r="E2982" s="11"/>
      <c r="F2982" s="3" t="s">
        <v>19737</v>
      </c>
      <c r="G2982" s="2" t="s">
        <v>14104</v>
      </c>
      <c r="H2982" s="3"/>
      <c r="I2982" s="2"/>
      <c r="J2982" s="2" t="s">
        <v>13904</v>
      </c>
      <c r="K2982" s="2" t="s">
        <v>19740</v>
      </c>
      <c r="L2982" s="82" t="s">
        <v>20497</v>
      </c>
    </row>
    <row r="2983" spans="1:15" ht="96" customHeight="1" x14ac:dyDescent="0.3">
      <c r="A2983" s="2">
        <v>2979</v>
      </c>
      <c r="B2983" s="66" t="s">
        <v>19739</v>
      </c>
      <c r="C2983" s="66">
        <v>4101240339</v>
      </c>
      <c r="D2983" s="11">
        <v>120000</v>
      </c>
      <c r="E2983" s="11"/>
      <c r="F2983" s="3" t="s">
        <v>19737</v>
      </c>
      <c r="G2983" s="2" t="s">
        <v>14104</v>
      </c>
      <c r="H2983" s="3"/>
      <c r="I2983" s="2"/>
      <c r="J2983" s="2" t="s">
        <v>13904</v>
      </c>
      <c r="K2983" s="2" t="s">
        <v>19740</v>
      </c>
      <c r="L2983" s="82" t="s">
        <v>20497</v>
      </c>
    </row>
    <row r="2984" spans="1:15" ht="96" customHeight="1" x14ac:dyDescent="0.3">
      <c r="A2984" s="2">
        <v>2980</v>
      </c>
      <c r="B2984" s="66" t="s">
        <v>22233</v>
      </c>
      <c r="C2984" s="66">
        <v>4101240341</v>
      </c>
      <c r="D2984" s="11">
        <v>198900</v>
      </c>
      <c r="E2984" s="11">
        <v>0</v>
      </c>
      <c r="F2984" s="3">
        <v>43360</v>
      </c>
      <c r="G2984" s="2" t="s">
        <v>22234</v>
      </c>
      <c r="H2984" s="3"/>
      <c r="I2984" s="2"/>
      <c r="J2984" s="2" t="s">
        <v>13904</v>
      </c>
      <c r="K2984" s="2" t="s">
        <v>22236</v>
      </c>
      <c r="L2984" s="2" t="s">
        <v>22991</v>
      </c>
    </row>
    <row r="2985" spans="1:15" ht="96" customHeight="1" x14ac:dyDescent="0.3">
      <c r="A2985" s="2">
        <v>2981</v>
      </c>
      <c r="B2985" s="66" t="s">
        <v>23113</v>
      </c>
      <c r="C2985" s="245">
        <v>4101240340</v>
      </c>
      <c r="D2985" s="11">
        <v>216500</v>
      </c>
      <c r="E2985" s="11">
        <v>0</v>
      </c>
      <c r="F2985" s="243" t="s">
        <v>19737</v>
      </c>
      <c r="G2985" s="242" t="s">
        <v>14104</v>
      </c>
      <c r="H2985" s="3"/>
      <c r="I2985" s="2"/>
      <c r="J2985" s="2" t="s">
        <v>13904</v>
      </c>
      <c r="K2985" s="2" t="s">
        <v>19740</v>
      </c>
      <c r="L2985" s="82" t="s">
        <v>20498</v>
      </c>
    </row>
    <row r="2986" spans="1:15" ht="96" customHeight="1" x14ac:dyDescent="0.3">
      <c r="A2986" s="2">
        <v>2982</v>
      </c>
      <c r="B2986" s="66" t="s">
        <v>3089</v>
      </c>
      <c r="C2986" s="66" t="s">
        <v>3092</v>
      </c>
      <c r="D2986" s="244">
        <v>84150</v>
      </c>
      <c r="E2986" s="244">
        <v>56100</v>
      </c>
      <c r="F2986" s="3">
        <v>41969</v>
      </c>
      <c r="G2986" s="2" t="s">
        <v>14104</v>
      </c>
      <c r="H2986" s="2"/>
      <c r="I2986" s="2"/>
      <c r="J2986" s="2" t="s">
        <v>13904</v>
      </c>
      <c r="K2986" s="2" t="s">
        <v>19207</v>
      </c>
      <c r="L2986" s="2" t="s">
        <v>18635</v>
      </c>
    </row>
    <row r="2987" spans="1:15" ht="96" customHeight="1" x14ac:dyDescent="0.3">
      <c r="A2987" s="2">
        <v>2983</v>
      </c>
      <c r="B2987" s="66" t="s">
        <v>3090</v>
      </c>
      <c r="C2987" s="66" t="s">
        <v>3093</v>
      </c>
      <c r="D2987" s="244">
        <v>113250</v>
      </c>
      <c r="E2987" s="244">
        <v>22650</v>
      </c>
      <c r="F2987" s="3">
        <v>41969</v>
      </c>
      <c r="G2987" s="2" t="s">
        <v>14104</v>
      </c>
      <c r="H2987" s="2"/>
      <c r="I2987" s="2"/>
      <c r="J2987" s="2" t="s">
        <v>13904</v>
      </c>
      <c r="K2987" s="2" t="s">
        <v>19207</v>
      </c>
      <c r="L2987" s="82" t="s">
        <v>18635</v>
      </c>
    </row>
    <row r="2988" spans="1:15" ht="96" customHeight="1" x14ac:dyDescent="0.3">
      <c r="A2988" s="2">
        <v>2984</v>
      </c>
      <c r="B2988" s="66" t="s">
        <v>22235</v>
      </c>
      <c r="C2988" s="66">
        <v>4101240342</v>
      </c>
      <c r="D2988" s="11">
        <v>125700</v>
      </c>
      <c r="E2988" s="11">
        <v>0</v>
      </c>
      <c r="F2988" s="3">
        <v>43360</v>
      </c>
      <c r="G2988" s="2" t="s">
        <v>22234</v>
      </c>
      <c r="H2988" s="3"/>
      <c r="I2988" s="2"/>
      <c r="J2988" s="2" t="s">
        <v>13904</v>
      </c>
      <c r="K2988" s="2" t="s">
        <v>22236</v>
      </c>
      <c r="L2988" s="2" t="s">
        <v>22991</v>
      </c>
    </row>
    <row r="2989" spans="1:15" ht="96" customHeight="1" x14ac:dyDescent="0.3">
      <c r="A2989" s="2">
        <v>2985</v>
      </c>
      <c r="B2989" s="245" t="s">
        <v>23376</v>
      </c>
      <c r="C2989" s="245">
        <v>4101340015</v>
      </c>
      <c r="D2989" s="244">
        <v>51400</v>
      </c>
      <c r="E2989" s="244">
        <v>51400</v>
      </c>
      <c r="F2989" s="243">
        <v>43360</v>
      </c>
      <c r="G2989" s="242" t="s">
        <v>22234</v>
      </c>
      <c r="H2989" s="242"/>
      <c r="I2989" s="242"/>
      <c r="J2989" s="242" t="s">
        <v>13904</v>
      </c>
      <c r="K2989" s="242" t="s">
        <v>23374</v>
      </c>
      <c r="L2989" s="246" t="s">
        <v>23375</v>
      </c>
    </row>
    <row r="2990" spans="1:15" ht="96" customHeight="1" x14ac:dyDescent="0.3">
      <c r="A2990" s="2">
        <v>2986</v>
      </c>
      <c r="B2990" s="66" t="s">
        <v>23111</v>
      </c>
      <c r="C2990" s="66">
        <v>410124321</v>
      </c>
      <c r="D2990" s="244">
        <v>59655</v>
      </c>
      <c r="E2990" s="244">
        <v>710.18</v>
      </c>
      <c r="F2990" s="3">
        <v>42650</v>
      </c>
      <c r="G2990" s="242" t="s">
        <v>14104</v>
      </c>
      <c r="H2990" s="3"/>
      <c r="I2990" s="2"/>
      <c r="J2990" s="2" t="s">
        <v>13904</v>
      </c>
      <c r="K2990" s="2" t="s">
        <v>19207</v>
      </c>
      <c r="L2990" s="246" t="s">
        <v>18635</v>
      </c>
    </row>
    <row r="2991" spans="1:15" ht="96" customHeight="1" x14ac:dyDescent="0.3">
      <c r="A2991" s="2">
        <v>2987</v>
      </c>
      <c r="B2991" s="66" t="s">
        <v>18638</v>
      </c>
      <c r="C2991" s="66">
        <v>410124319</v>
      </c>
      <c r="D2991" s="244">
        <v>67124</v>
      </c>
      <c r="E2991" s="244">
        <v>18964.560000000001</v>
      </c>
      <c r="F2991" s="3">
        <v>42650</v>
      </c>
      <c r="G2991" s="2" t="s">
        <v>14104</v>
      </c>
      <c r="H2991" s="2"/>
      <c r="I2991" s="2"/>
      <c r="J2991" s="2" t="s">
        <v>13904</v>
      </c>
      <c r="K2991" s="2" t="s">
        <v>19207</v>
      </c>
      <c r="L2991" s="82" t="s">
        <v>18635</v>
      </c>
    </row>
    <row r="2992" spans="1:15" ht="96" customHeight="1" x14ac:dyDescent="0.3">
      <c r="A2992" s="2">
        <v>2988</v>
      </c>
      <c r="B2992" s="66" t="s">
        <v>3397</v>
      </c>
      <c r="C2992" s="66" t="s">
        <v>3398</v>
      </c>
      <c r="D2992" s="244">
        <v>30937.5</v>
      </c>
      <c r="E2992" s="244">
        <v>30937.5</v>
      </c>
      <c r="F2992" s="3">
        <v>39689</v>
      </c>
      <c r="G2992" s="2"/>
      <c r="H2992" s="3">
        <v>43053</v>
      </c>
      <c r="I2992" s="2" t="s">
        <v>19506</v>
      </c>
      <c r="J2992" s="2" t="s">
        <v>13904</v>
      </c>
      <c r="K2992" s="2" t="s">
        <v>19207</v>
      </c>
      <c r="L2992" s="82" t="s">
        <v>19512</v>
      </c>
    </row>
    <row r="2993" spans="1:12" ht="96" customHeight="1" x14ac:dyDescent="0.3">
      <c r="A2993" s="2">
        <v>2989</v>
      </c>
      <c r="B2993" s="66" t="s">
        <v>18636</v>
      </c>
      <c r="C2993" s="66">
        <v>4101280002</v>
      </c>
      <c r="D2993" s="244">
        <v>67300</v>
      </c>
      <c r="E2993" s="244">
        <v>13460.04</v>
      </c>
      <c r="F2993" s="3">
        <v>42324</v>
      </c>
      <c r="G2993" s="2" t="s">
        <v>14104</v>
      </c>
      <c r="H2993" s="2"/>
      <c r="I2993" s="2"/>
      <c r="J2993" s="2" t="s">
        <v>13904</v>
      </c>
      <c r="K2993" s="2" t="s">
        <v>19207</v>
      </c>
      <c r="L2993" s="82" t="s">
        <v>18635</v>
      </c>
    </row>
    <row r="2994" spans="1:12" ht="96" customHeight="1" x14ac:dyDescent="0.3">
      <c r="A2994" s="2">
        <v>2990</v>
      </c>
      <c r="B2994" s="66" t="s">
        <v>18637</v>
      </c>
      <c r="C2994" s="66">
        <v>410124318</v>
      </c>
      <c r="D2994" s="244">
        <v>51913.599999999999</v>
      </c>
      <c r="E2994" s="244">
        <v>1442.01</v>
      </c>
      <c r="F2994" s="3">
        <v>42650</v>
      </c>
      <c r="G2994" s="2" t="s">
        <v>14104</v>
      </c>
      <c r="H2994" s="2"/>
      <c r="I2994" s="2"/>
      <c r="J2994" s="2" t="s">
        <v>13904</v>
      </c>
      <c r="K2994" s="2" t="s">
        <v>19207</v>
      </c>
      <c r="L2994" s="82" t="s">
        <v>18635</v>
      </c>
    </row>
    <row r="2995" spans="1:12" ht="96" customHeight="1" x14ac:dyDescent="0.3">
      <c r="A2995" s="2">
        <v>2991</v>
      </c>
      <c r="B2995" s="66" t="s">
        <v>23402</v>
      </c>
      <c r="C2995" s="66">
        <v>4101260001</v>
      </c>
      <c r="D2995" s="244">
        <v>135330</v>
      </c>
      <c r="E2995" s="244"/>
      <c r="F2995" s="3" t="s">
        <v>23403</v>
      </c>
      <c r="G2995" s="2" t="s">
        <v>23404</v>
      </c>
      <c r="H2995" s="3"/>
      <c r="I2995" s="2"/>
      <c r="J2995" s="2" t="s">
        <v>13904</v>
      </c>
      <c r="K2995" s="2" t="s">
        <v>23498</v>
      </c>
      <c r="L2995" s="82" t="s">
        <v>23499</v>
      </c>
    </row>
    <row r="2996" spans="1:12" ht="96" customHeight="1" x14ac:dyDescent="0.3">
      <c r="A2996" s="2">
        <v>2992</v>
      </c>
      <c r="B2996" s="66" t="s">
        <v>23416</v>
      </c>
      <c r="C2996" s="66">
        <v>4101260002</v>
      </c>
      <c r="D2996" s="244">
        <v>55860</v>
      </c>
      <c r="E2996" s="244">
        <v>55860</v>
      </c>
      <c r="F2996" s="3" t="s">
        <v>23417</v>
      </c>
      <c r="G2996" s="2" t="s">
        <v>23418</v>
      </c>
      <c r="H2996" s="3"/>
      <c r="I2996" s="2"/>
      <c r="J2996" s="2" t="s">
        <v>13904</v>
      </c>
      <c r="K2996" s="2" t="s">
        <v>23419</v>
      </c>
      <c r="L2996" s="82" t="s">
        <v>23420</v>
      </c>
    </row>
    <row r="2997" spans="1:12" ht="96" customHeight="1" x14ac:dyDescent="0.3">
      <c r="A2997" s="2">
        <v>2993</v>
      </c>
      <c r="B2997" s="66" t="s">
        <v>23421</v>
      </c>
      <c r="C2997" s="66">
        <v>4101260003</v>
      </c>
      <c r="D2997" s="244">
        <v>50470</v>
      </c>
      <c r="E2997" s="244">
        <v>50470</v>
      </c>
      <c r="F2997" s="243" t="s">
        <v>23417</v>
      </c>
      <c r="G2997" s="242" t="s">
        <v>23418</v>
      </c>
      <c r="H2997" s="3"/>
      <c r="I2997" s="2"/>
      <c r="J2997" s="2" t="s">
        <v>13904</v>
      </c>
      <c r="K2997" s="242" t="s">
        <v>23419</v>
      </c>
      <c r="L2997" s="246" t="s">
        <v>23420</v>
      </c>
    </row>
    <row r="2998" spans="1:12" ht="96" customHeight="1" x14ac:dyDescent="0.3">
      <c r="A2998" s="2">
        <v>2994</v>
      </c>
      <c r="B2998" s="245" t="s">
        <v>23421</v>
      </c>
      <c r="C2998" s="245">
        <v>4101260004</v>
      </c>
      <c r="D2998" s="244">
        <v>50470</v>
      </c>
      <c r="E2998" s="244">
        <v>50470</v>
      </c>
      <c r="F2998" s="243" t="s">
        <v>23417</v>
      </c>
      <c r="G2998" s="242" t="s">
        <v>23418</v>
      </c>
      <c r="H2998" s="3"/>
      <c r="I2998" s="2"/>
      <c r="J2998" s="2" t="s">
        <v>13904</v>
      </c>
      <c r="K2998" s="242" t="s">
        <v>23419</v>
      </c>
      <c r="L2998" s="246" t="s">
        <v>23420</v>
      </c>
    </row>
    <row r="2999" spans="1:12" ht="84" customHeight="1" x14ac:dyDescent="0.3">
      <c r="A2999" s="2">
        <v>2995</v>
      </c>
      <c r="B2999" s="66" t="s">
        <v>3402</v>
      </c>
      <c r="C2999" s="66" t="s">
        <v>3403</v>
      </c>
      <c r="D2999" s="11">
        <v>5980</v>
      </c>
      <c r="E2999" s="244">
        <v>5980</v>
      </c>
      <c r="F2999" s="3">
        <v>40536</v>
      </c>
      <c r="G2999" s="2"/>
      <c r="H2999" s="3">
        <v>43053</v>
      </c>
      <c r="I2999" s="2" t="s">
        <v>19506</v>
      </c>
      <c r="J2999" s="2" t="s">
        <v>13904</v>
      </c>
      <c r="K2999" s="2"/>
      <c r="L2999" s="82" t="s">
        <v>19512</v>
      </c>
    </row>
    <row r="3000" spans="1:12" ht="96" customHeight="1" x14ac:dyDescent="0.3">
      <c r="A3000" s="2">
        <v>2996</v>
      </c>
      <c r="B3000" s="245" t="s">
        <v>23422</v>
      </c>
      <c r="C3000" s="245">
        <v>4101260005</v>
      </c>
      <c r="D3000" s="244">
        <v>55468</v>
      </c>
      <c r="E3000" s="244">
        <v>55468</v>
      </c>
      <c r="F3000" s="243" t="s">
        <v>23417</v>
      </c>
      <c r="G3000" s="242" t="s">
        <v>23418</v>
      </c>
      <c r="H3000" s="3"/>
      <c r="I3000" s="2"/>
      <c r="J3000" s="2" t="s">
        <v>13904</v>
      </c>
      <c r="K3000" s="242" t="s">
        <v>23419</v>
      </c>
      <c r="L3000" s="246" t="s">
        <v>23420</v>
      </c>
    </row>
    <row r="3001" spans="1:12" ht="96" customHeight="1" x14ac:dyDescent="0.3">
      <c r="A3001" s="2">
        <v>2997</v>
      </c>
      <c r="B3001" s="66" t="s">
        <v>3406</v>
      </c>
      <c r="C3001" s="66" t="s">
        <v>3407</v>
      </c>
      <c r="D3001" s="244">
        <v>41474.99</v>
      </c>
      <c r="E3001" s="244">
        <v>29032.5</v>
      </c>
      <c r="F3001" s="3">
        <v>40886</v>
      </c>
      <c r="G3001" s="2"/>
      <c r="H3001" s="3">
        <v>43053</v>
      </c>
      <c r="I3001" s="2" t="s">
        <v>19506</v>
      </c>
      <c r="J3001" s="2" t="s">
        <v>13904</v>
      </c>
      <c r="K3001" s="2" t="s">
        <v>19207</v>
      </c>
      <c r="L3001" s="82" t="s">
        <v>19512</v>
      </c>
    </row>
    <row r="3002" spans="1:12" ht="96" customHeight="1" x14ac:dyDescent="0.3">
      <c r="A3002" s="2">
        <v>2998</v>
      </c>
      <c r="B3002" s="66" t="s">
        <v>2899</v>
      </c>
      <c r="C3002" s="66" t="s">
        <v>3408</v>
      </c>
      <c r="D3002" s="244">
        <v>11106.49</v>
      </c>
      <c r="E3002" s="244">
        <v>11106.49</v>
      </c>
      <c r="F3002" s="3">
        <v>38729</v>
      </c>
      <c r="G3002" s="2"/>
      <c r="H3002" s="3">
        <v>43053</v>
      </c>
      <c r="I3002" s="2" t="s">
        <v>19506</v>
      </c>
      <c r="J3002" s="2" t="s">
        <v>13904</v>
      </c>
      <c r="K3002" s="2" t="s">
        <v>19207</v>
      </c>
      <c r="L3002" s="82" t="s">
        <v>19512</v>
      </c>
    </row>
    <row r="3003" spans="1:12" ht="96" customHeight="1" x14ac:dyDescent="0.3">
      <c r="A3003" s="2">
        <v>2999</v>
      </c>
      <c r="B3003" s="66" t="s">
        <v>2899</v>
      </c>
      <c r="C3003" s="66" t="s">
        <v>3409</v>
      </c>
      <c r="D3003" s="244">
        <v>19853.25</v>
      </c>
      <c r="E3003" s="244">
        <v>19853.25</v>
      </c>
      <c r="F3003" s="3">
        <v>38729</v>
      </c>
      <c r="G3003" s="2"/>
      <c r="H3003" s="3">
        <v>43053</v>
      </c>
      <c r="I3003" s="2" t="s">
        <v>19506</v>
      </c>
      <c r="J3003" s="2" t="s">
        <v>13904</v>
      </c>
      <c r="K3003" s="2" t="s">
        <v>19207</v>
      </c>
      <c r="L3003" s="82" t="s">
        <v>19512</v>
      </c>
    </row>
    <row r="3004" spans="1:12" ht="96" customHeight="1" x14ac:dyDescent="0.3">
      <c r="A3004" s="2">
        <v>3000</v>
      </c>
      <c r="B3004" s="66" t="s">
        <v>3410</v>
      </c>
      <c r="C3004" s="66" t="s">
        <v>3411</v>
      </c>
      <c r="D3004" s="244">
        <v>31896.42</v>
      </c>
      <c r="E3004" s="244">
        <v>31896.42</v>
      </c>
      <c r="F3004" s="3">
        <v>38729</v>
      </c>
      <c r="G3004" s="2"/>
      <c r="H3004" s="3">
        <v>43053</v>
      </c>
      <c r="I3004" s="2" t="s">
        <v>19506</v>
      </c>
      <c r="J3004" s="2" t="s">
        <v>13904</v>
      </c>
      <c r="K3004" s="2" t="s">
        <v>19207</v>
      </c>
      <c r="L3004" s="82" t="s">
        <v>19512</v>
      </c>
    </row>
    <row r="3005" spans="1:12" ht="96" customHeight="1" x14ac:dyDescent="0.3">
      <c r="A3005" s="2">
        <v>3001</v>
      </c>
      <c r="B3005" s="66" t="s">
        <v>18639</v>
      </c>
      <c r="C3005" s="66">
        <v>410124310</v>
      </c>
      <c r="D3005" s="244">
        <v>110000</v>
      </c>
      <c r="E3005" s="244">
        <v>3928.56</v>
      </c>
      <c r="F3005" s="3">
        <v>42608</v>
      </c>
      <c r="G3005" s="2" t="s">
        <v>14104</v>
      </c>
      <c r="H3005" s="2"/>
      <c r="I3005" s="2"/>
      <c r="J3005" s="2" t="s">
        <v>13904</v>
      </c>
      <c r="K3005" s="2" t="s">
        <v>19207</v>
      </c>
      <c r="L3005" s="82" t="s">
        <v>18635</v>
      </c>
    </row>
    <row r="3006" spans="1:12" ht="96" customHeight="1" x14ac:dyDescent="0.3">
      <c r="A3006" s="2">
        <v>3002</v>
      </c>
      <c r="B3006" s="66" t="s">
        <v>18640</v>
      </c>
      <c r="C3006" s="66">
        <v>410124005</v>
      </c>
      <c r="D3006" s="244">
        <v>80000</v>
      </c>
      <c r="E3006" s="244">
        <v>16615.36</v>
      </c>
      <c r="F3006" s="3">
        <v>42324</v>
      </c>
      <c r="G3006" s="2" t="s">
        <v>14104</v>
      </c>
      <c r="H3006" s="2"/>
      <c r="I3006" s="2"/>
      <c r="J3006" s="2" t="s">
        <v>13904</v>
      </c>
      <c r="K3006" s="2" t="s">
        <v>19207</v>
      </c>
      <c r="L3006" s="82" t="s">
        <v>18635</v>
      </c>
    </row>
    <row r="3007" spans="1:12" ht="96" customHeight="1" x14ac:dyDescent="0.3">
      <c r="A3007" s="2">
        <v>3003</v>
      </c>
      <c r="B3007" s="66" t="s">
        <v>3412</v>
      </c>
      <c r="C3007" s="66" t="s">
        <v>3413</v>
      </c>
      <c r="D3007" s="244">
        <v>14625.78</v>
      </c>
      <c r="E3007" s="244">
        <v>14625.78</v>
      </c>
      <c r="F3007" s="3">
        <v>39038</v>
      </c>
      <c r="G3007" s="2"/>
      <c r="H3007" s="3">
        <v>43053</v>
      </c>
      <c r="I3007" s="2" t="s">
        <v>19506</v>
      </c>
      <c r="J3007" s="2" t="s">
        <v>13904</v>
      </c>
      <c r="K3007" s="2" t="s">
        <v>19207</v>
      </c>
      <c r="L3007" s="82" t="s">
        <v>19512</v>
      </c>
    </row>
    <row r="3008" spans="1:12" ht="96" customHeight="1" x14ac:dyDescent="0.3">
      <c r="A3008" s="2">
        <v>3004</v>
      </c>
      <c r="B3008" s="66" t="s">
        <v>3414</v>
      </c>
      <c r="C3008" s="66" t="s">
        <v>3415</v>
      </c>
      <c r="D3008" s="244">
        <v>21299.94</v>
      </c>
      <c r="E3008" s="244">
        <v>21299.94</v>
      </c>
      <c r="F3008" s="3">
        <v>39401</v>
      </c>
      <c r="G3008" s="2"/>
      <c r="H3008" s="3">
        <v>43053</v>
      </c>
      <c r="I3008" s="2" t="s">
        <v>19506</v>
      </c>
      <c r="J3008" s="2" t="s">
        <v>13904</v>
      </c>
      <c r="K3008" s="2" t="s">
        <v>19207</v>
      </c>
      <c r="L3008" s="82" t="s">
        <v>19512</v>
      </c>
    </row>
    <row r="3009" spans="1:12" ht="96" customHeight="1" x14ac:dyDescent="0.3">
      <c r="A3009" s="2">
        <v>3005</v>
      </c>
      <c r="B3009" s="66" t="s">
        <v>3416</v>
      </c>
      <c r="C3009" s="66" t="s">
        <v>3417</v>
      </c>
      <c r="D3009" s="244">
        <v>12000</v>
      </c>
      <c r="E3009" s="244">
        <v>12000</v>
      </c>
      <c r="F3009" s="3">
        <v>40889</v>
      </c>
      <c r="G3009" s="2"/>
      <c r="H3009" s="3">
        <v>43053</v>
      </c>
      <c r="I3009" s="2" t="s">
        <v>19506</v>
      </c>
      <c r="J3009" s="2" t="s">
        <v>13904</v>
      </c>
      <c r="K3009" s="2" t="s">
        <v>19207</v>
      </c>
      <c r="L3009" s="82" t="s">
        <v>19512</v>
      </c>
    </row>
    <row r="3010" spans="1:12" ht="96" customHeight="1" x14ac:dyDescent="0.3">
      <c r="A3010" s="2">
        <v>3006</v>
      </c>
      <c r="B3010" s="66" t="s">
        <v>3418</v>
      </c>
      <c r="C3010" s="66" t="s">
        <v>3419</v>
      </c>
      <c r="D3010" s="244">
        <v>12852</v>
      </c>
      <c r="E3010" s="244">
        <v>12852</v>
      </c>
      <c r="F3010" s="3">
        <v>38729</v>
      </c>
      <c r="G3010" s="2"/>
      <c r="H3010" s="3">
        <v>43053</v>
      </c>
      <c r="I3010" s="2" t="s">
        <v>19506</v>
      </c>
      <c r="J3010" s="2" t="s">
        <v>13904</v>
      </c>
      <c r="K3010" s="2" t="s">
        <v>19207</v>
      </c>
      <c r="L3010" s="82" t="s">
        <v>19512</v>
      </c>
    </row>
    <row r="3011" spans="1:12" ht="96" customHeight="1" x14ac:dyDescent="0.3">
      <c r="A3011" s="2">
        <v>3007</v>
      </c>
      <c r="B3011" s="66" t="s">
        <v>3420</v>
      </c>
      <c r="C3011" s="66" t="s">
        <v>3421</v>
      </c>
      <c r="D3011" s="244">
        <v>5508</v>
      </c>
      <c r="E3011" s="244">
        <v>5508</v>
      </c>
      <c r="F3011" s="3">
        <v>39051</v>
      </c>
      <c r="G3011" s="2"/>
      <c r="H3011" s="3">
        <v>43053</v>
      </c>
      <c r="I3011" s="2" t="s">
        <v>19506</v>
      </c>
      <c r="J3011" s="2" t="s">
        <v>13904</v>
      </c>
      <c r="K3011" s="2" t="s">
        <v>19207</v>
      </c>
      <c r="L3011" s="82" t="s">
        <v>19512</v>
      </c>
    </row>
    <row r="3012" spans="1:12" ht="96" customHeight="1" x14ac:dyDescent="0.3">
      <c r="A3012" s="2">
        <v>3008</v>
      </c>
      <c r="B3012" s="66" t="s">
        <v>3422</v>
      </c>
      <c r="C3012" s="66" t="s">
        <v>3423</v>
      </c>
      <c r="D3012" s="244">
        <v>31800</v>
      </c>
      <c r="E3012" s="244">
        <v>31800</v>
      </c>
      <c r="F3012" s="3">
        <v>39401</v>
      </c>
      <c r="G3012" s="2"/>
      <c r="H3012" s="3">
        <v>43053</v>
      </c>
      <c r="I3012" s="2" t="s">
        <v>19506</v>
      </c>
      <c r="J3012" s="2" t="s">
        <v>13904</v>
      </c>
      <c r="K3012" s="2" t="s">
        <v>19207</v>
      </c>
      <c r="L3012" s="82" t="s">
        <v>19512</v>
      </c>
    </row>
    <row r="3013" spans="1:12" ht="96" customHeight="1" x14ac:dyDescent="0.3">
      <c r="A3013" s="2">
        <v>3009</v>
      </c>
      <c r="B3013" s="66" t="s">
        <v>3424</v>
      </c>
      <c r="C3013" s="66" t="s">
        <v>3425</v>
      </c>
      <c r="D3013" s="244">
        <v>12248.76</v>
      </c>
      <c r="E3013" s="244">
        <v>12248.76</v>
      </c>
      <c r="F3013" s="3">
        <v>38729</v>
      </c>
      <c r="G3013" s="2"/>
      <c r="H3013" s="3">
        <v>43053</v>
      </c>
      <c r="I3013" s="2" t="s">
        <v>19506</v>
      </c>
      <c r="J3013" s="2" t="s">
        <v>13904</v>
      </c>
      <c r="K3013" s="2" t="s">
        <v>19207</v>
      </c>
      <c r="L3013" s="82" t="s">
        <v>19512</v>
      </c>
    </row>
    <row r="3014" spans="1:12" ht="96" customHeight="1" x14ac:dyDescent="0.3">
      <c r="A3014" s="2">
        <v>3010</v>
      </c>
      <c r="B3014" s="66" t="s">
        <v>3426</v>
      </c>
      <c r="C3014" s="66" t="s">
        <v>3427</v>
      </c>
      <c r="D3014" s="244">
        <v>5745.66</v>
      </c>
      <c r="E3014" s="244">
        <v>5745.66</v>
      </c>
      <c r="F3014" s="3">
        <v>39051</v>
      </c>
      <c r="G3014" s="2"/>
      <c r="H3014" s="3">
        <v>43053</v>
      </c>
      <c r="I3014" s="2" t="s">
        <v>19506</v>
      </c>
      <c r="J3014" s="2" t="s">
        <v>13904</v>
      </c>
      <c r="K3014" s="2" t="s">
        <v>19207</v>
      </c>
      <c r="L3014" s="82" t="s">
        <v>19512</v>
      </c>
    </row>
    <row r="3015" spans="1:12" ht="96" customHeight="1" x14ac:dyDescent="0.3">
      <c r="A3015" s="2">
        <v>3011</v>
      </c>
      <c r="B3015" s="66" t="s">
        <v>3428</v>
      </c>
      <c r="C3015" s="66" t="s">
        <v>3429</v>
      </c>
      <c r="D3015" s="244">
        <v>8610.6</v>
      </c>
      <c r="E3015" s="244">
        <v>8610.6</v>
      </c>
      <c r="F3015" s="3">
        <v>36644</v>
      </c>
      <c r="G3015" s="2"/>
      <c r="H3015" s="3">
        <v>43053</v>
      </c>
      <c r="I3015" s="2" t="s">
        <v>19506</v>
      </c>
      <c r="J3015" s="2" t="s">
        <v>13904</v>
      </c>
      <c r="K3015" s="2" t="s">
        <v>19207</v>
      </c>
      <c r="L3015" s="82" t="s">
        <v>19512</v>
      </c>
    </row>
    <row r="3016" spans="1:12" ht="96" customHeight="1" x14ac:dyDescent="0.3">
      <c r="A3016" s="2">
        <v>3012</v>
      </c>
      <c r="B3016" s="66" t="s">
        <v>3430</v>
      </c>
      <c r="C3016" s="66" t="s">
        <v>3431</v>
      </c>
      <c r="D3016" s="244">
        <v>12148.05</v>
      </c>
      <c r="E3016" s="244">
        <v>12148.05</v>
      </c>
      <c r="F3016" s="3">
        <v>39057</v>
      </c>
      <c r="G3016" s="2"/>
      <c r="H3016" s="3">
        <v>43053</v>
      </c>
      <c r="I3016" s="2" t="s">
        <v>19506</v>
      </c>
      <c r="J3016" s="2" t="s">
        <v>13904</v>
      </c>
      <c r="K3016" s="2" t="s">
        <v>19207</v>
      </c>
      <c r="L3016" s="82" t="s">
        <v>19512</v>
      </c>
    </row>
    <row r="3017" spans="1:12" ht="96" customHeight="1" x14ac:dyDescent="0.3">
      <c r="A3017" s="2">
        <v>3013</v>
      </c>
      <c r="B3017" s="66" t="s">
        <v>3432</v>
      </c>
      <c r="C3017" s="66" t="s">
        <v>3128</v>
      </c>
      <c r="D3017" s="244">
        <v>5946.6</v>
      </c>
      <c r="E3017" s="244">
        <v>5946.6</v>
      </c>
      <c r="F3017" s="3">
        <v>39051</v>
      </c>
      <c r="G3017" s="2"/>
      <c r="H3017" s="3">
        <v>43053</v>
      </c>
      <c r="I3017" s="2" t="s">
        <v>19506</v>
      </c>
      <c r="J3017" s="2" t="s">
        <v>13904</v>
      </c>
      <c r="K3017" s="2" t="s">
        <v>19207</v>
      </c>
      <c r="L3017" s="82" t="s">
        <v>19512</v>
      </c>
    </row>
    <row r="3018" spans="1:12" ht="96" customHeight="1" x14ac:dyDescent="0.3">
      <c r="A3018" s="2">
        <v>3014</v>
      </c>
      <c r="B3018" s="66" t="s">
        <v>3433</v>
      </c>
      <c r="C3018" s="66" t="s">
        <v>3434</v>
      </c>
      <c r="D3018" s="244">
        <v>9643.11</v>
      </c>
      <c r="E3018" s="244">
        <v>9643.11</v>
      </c>
      <c r="F3018" s="3">
        <v>40368</v>
      </c>
      <c r="G3018" s="2"/>
      <c r="H3018" s="3">
        <v>43053</v>
      </c>
      <c r="I3018" s="2" t="s">
        <v>19506</v>
      </c>
      <c r="J3018" s="2" t="s">
        <v>13904</v>
      </c>
      <c r="K3018" s="2" t="s">
        <v>19207</v>
      </c>
      <c r="L3018" s="82" t="s">
        <v>19512</v>
      </c>
    </row>
    <row r="3019" spans="1:12" ht="96" customHeight="1" x14ac:dyDescent="0.3">
      <c r="A3019" s="2">
        <v>3015</v>
      </c>
      <c r="B3019" s="66" t="s">
        <v>3435</v>
      </c>
      <c r="C3019" s="66" t="s">
        <v>3436</v>
      </c>
      <c r="D3019" s="244">
        <v>3188.97</v>
      </c>
      <c r="E3019" s="244">
        <v>3188.97</v>
      </c>
      <c r="F3019" s="3">
        <v>36644</v>
      </c>
      <c r="G3019" s="2"/>
      <c r="H3019" s="3">
        <v>43053</v>
      </c>
      <c r="I3019" s="2" t="s">
        <v>19506</v>
      </c>
      <c r="J3019" s="2" t="s">
        <v>13904</v>
      </c>
      <c r="K3019" s="2" t="s">
        <v>19207</v>
      </c>
      <c r="L3019" s="82" t="s">
        <v>19512</v>
      </c>
    </row>
    <row r="3020" spans="1:12" ht="96" customHeight="1" x14ac:dyDescent="0.3">
      <c r="A3020" s="2">
        <v>3016</v>
      </c>
      <c r="B3020" s="66" t="s">
        <v>3437</v>
      </c>
      <c r="C3020" s="66" t="s">
        <v>3438</v>
      </c>
      <c r="D3020" s="244">
        <v>46486.1</v>
      </c>
      <c r="E3020" s="244">
        <v>32540.34</v>
      </c>
      <c r="F3020" s="3">
        <v>40886</v>
      </c>
      <c r="G3020" s="2"/>
      <c r="H3020" s="3">
        <v>43053</v>
      </c>
      <c r="I3020" s="2" t="s">
        <v>19506</v>
      </c>
      <c r="J3020" s="2" t="s">
        <v>13904</v>
      </c>
      <c r="K3020" s="2" t="s">
        <v>19207</v>
      </c>
      <c r="L3020" s="82" t="s">
        <v>19512</v>
      </c>
    </row>
    <row r="3021" spans="1:12" ht="96" customHeight="1" x14ac:dyDescent="0.3">
      <c r="A3021" s="2">
        <v>3017</v>
      </c>
      <c r="B3021" s="66" t="s">
        <v>3439</v>
      </c>
      <c r="C3021" s="66" t="s">
        <v>3440</v>
      </c>
      <c r="D3021" s="244">
        <v>10080.6</v>
      </c>
      <c r="E3021" s="244">
        <v>10080.6</v>
      </c>
      <c r="F3021" s="3">
        <v>39051</v>
      </c>
      <c r="G3021" s="2"/>
      <c r="H3021" s="3">
        <v>43053</v>
      </c>
      <c r="I3021" s="2" t="s">
        <v>19506</v>
      </c>
      <c r="J3021" s="2" t="s">
        <v>13904</v>
      </c>
      <c r="K3021" s="2" t="s">
        <v>19207</v>
      </c>
      <c r="L3021" s="82" t="s">
        <v>19512</v>
      </c>
    </row>
    <row r="3022" spans="1:12" ht="96" customHeight="1" x14ac:dyDescent="0.3">
      <c r="A3022" s="2">
        <v>3018</v>
      </c>
      <c r="B3022" s="66" t="s">
        <v>3441</v>
      </c>
      <c r="C3022" s="66" t="s">
        <v>3442</v>
      </c>
      <c r="D3022" s="244">
        <v>7017.6</v>
      </c>
      <c r="E3022" s="244">
        <v>7017.6</v>
      </c>
      <c r="F3022" s="3">
        <v>39051</v>
      </c>
      <c r="G3022" s="2"/>
      <c r="H3022" s="3">
        <v>43053</v>
      </c>
      <c r="I3022" s="2" t="s">
        <v>19506</v>
      </c>
      <c r="J3022" s="2" t="s">
        <v>13904</v>
      </c>
      <c r="K3022" s="2" t="s">
        <v>19207</v>
      </c>
      <c r="L3022" s="82" t="s">
        <v>19512</v>
      </c>
    </row>
    <row r="3023" spans="1:12" ht="96" customHeight="1" x14ac:dyDescent="0.3">
      <c r="A3023" s="2">
        <v>3019</v>
      </c>
      <c r="B3023" s="66" t="s">
        <v>3441</v>
      </c>
      <c r="C3023" s="66" t="s">
        <v>3443</v>
      </c>
      <c r="D3023" s="244">
        <v>7017.6</v>
      </c>
      <c r="E3023" s="244">
        <v>7017.6</v>
      </c>
      <c r="F3023" s="3">
        <v>39051</v>
      </c>
      <c r="G3023" s="2"/>
      <c r="H3023" s="3">
        <v>43053</v>
      </c>
      <c r="I3023" s="2" t="s">
        <v>19506</v>
      </c>
      <c r="J3023" s="2" t="s">
        <v>13904</v>
      </c>
      <c r="K3023" s="2" t="s">
        <v>19207</v>
      </c>
      <c r="L3023" s="82" t="s">
        <v>19512</v>
      </c>
    </row>
    <row r="3024" spans="1:12" ht="96" customHeight="1" x14ac:dyDescent="0.3">
      <c r="A3024" s="2">
        <v>3020</v>
      </c>
      <c r="B3024" s="66" t="s">
        <v>3444</v>
      </c>
      <c r="C3024" s="66" t="s">
        <v>3445</v>
      </c>
      <c r="D3024" s="244">
        <v>7178.76</v>
      </c>
      <c r="E3024" s="244">
        <v>7178.76</v>
      </c>
      <c r="F3024" s="3">
        <v>39051</v>
      </c>
      <c r="G3024" s="2"/>
      <c r="H3024" s="3">
        <v>43053</v>
      </c>
      <c r="I3024" s="2" t="s">
        <v>19506</v>
      </c>
      <c r="J3024" s="2" t="s">
        <v>13904</v>
      </c>
      <c r="K3024" s="2" t="s">
        <v>19207</v>
      </c>
      <c r="L3024" s="82" t="s">
        <v>19512</v>
      </c>
    </row>
    <row r="3025" spans="1:12" ht="96" customHeight="1" x14ac:dyDescent="0.3">
      <c r="A3025" s="2">
        <v>3021</v>
      </c>
      <c r="B3025" s="66" t="s">
        <v>3446</v>
      </c>
      <c r="C3025" s="66" t="s">
        <v>3447</v>
      </c>
      <c r="D3025" s="244">
        <v>6980</v>
      </c>
      <c r="E3025" s="244">
        <v>6980</v>
      </c>
      <c r="F3025" s="3">
        <v>41145</v>
      </c>
      <c r="G3025" s="2"/>
      <c r="H3025" s="3">
        <v>43053</v>
      </c>
      <c r="I3025" s="2" t="s">
        <v>19506</v>
      </c>
      <c r="J3025" s="2" t="s">
        <v>13904</v>
      </c>
      <c r="K3025" s="2" t="s">
        <v>19207</v>
      </c>
      <c r="L3025" s="82" t="s">
        <v>19512</v>
      </c>
    </row>
    <row r="3026" spans="1:12" ht="96" customHeight="1" x14ac:dyDescent="0.3">
      <c r="A3026" s="2">
        <v>3022</v>
      </c>
      <c r="B3026" s="66" t="s">
        <v>3448</v>
      </c>
      <c r="C3026" s="66" t="s">
        <v>3449</v>
      </c>
      <c r="D3026" s="244">
        <v>6149.99</v>
      </c>
      <c r="E3026" s="244">
        <v>6149.99</v>
      </c>
      <c r="F3026" s="3">
        <v>41145</v>
      </c>
      <c r="G3026" s="2"/>
      <c r="H3026" s="3">
        <v>43053</v>
      </c>
      <c r="I3026" s="2" t="s">
        <v>19506</v>
      </c>
      <c r="J3026" s="2" t="s">
        <v>13904</v>
      </c>
      <c r="K3026" s="2" t="s">
        <v>19207</v>
      </c>
      <c r="L3026" s="82" t="s">
        <v>19512</v>
      </c>
    </row>
    <row r="3027" spans="1:12" ht="96" customHeight="1" x14ac:dyDescent="0.3">
      <c r="A3027" s="2">
        <v>3023</v>
      </c>
      <c r="B3027" s="66" t="s">
        <v>3450</v>
      </c>
      <c r="C3027" s="66" t="s">
        <v>3206</v>
      </c>
      <c r="D3027" s="244">
        <v>5190</v>
      </c>
      <c r="E3027" s="244">
        <v>5190</v>
      </c>
      <c r="F3027" s="3">
        <v>41855</v>
      </c>
      <c r="G3027" s="2"/>
      <c r="H3027" s="3">
        <v>43053</v>
      </c>
      <c r="I3027" s="2" t="s">
        <v>19506</v>
      </c>
      <c r="J3027" s="2" t="s">
        <v>13904</v>
      </c>
      <c r="K3027" s="2" t="s">
        <v>19207</v>
      </c>
      <c r="L3027" s="82" t="s">
        <v>19512</v>
      </c>
    </row>
    <row r="3028" spans="1:12" ht="96" customHeight="1" x14ac:dyDescent="0.3">
      <c r="A3028" s="2">
        <v>3024</v>
      </c>
      <c r="B3028" s="66" t="s">
        <v>3451</v>
      </c>
      <c r="C3028" s="66" t="s">
        <v>3452</v>
      </c>
      <c r="D3028" s="244">
        <v>18390</v>
      </c>
      <c r="E3028" s="244">
        <v>18390</v>
      </c>
      <c r="F3028" s="3">
        <v>39442</v>
      </c>
      <c r="G3028" s="2"/>
      <c r="H3028" s="3">
        <v>43053</v>
      </c>
      <c r="I3028" s="2" t="s">
        <v>19506</v>
      </c>
      <c r="J3028" s="2" t="s">
        <v>13904</v>
      </c>
      <c r="K3028" s="2" t="s">
        <v>19207</v>
      </c>
      <c r="L3028" s="82" t="s">
        <v>19512</v>
      </c>
    </row>
    <row r="3029" spans="1:12" ht="96" customHeight="1" x14ac:dyDescent="0.3">
      <c r="A3029" s="2">
        <v>3025</v>
      </c>
      <c r="B3029" s="66" t="s">
        <v>3453</v>
      </c>
      <c r="C3029" s="66" t="s">
        <v>3454</v>
      </c>
      <c r="D3029" s="244">
        <v>17850</v>
      </c>
      <c r="E3029" s="244">
        <v>17850</v>
      </c>
      <c r="F3029" s="3">
        <v>39442</v>
      </c>
      <c r="G3029" s="2"/>
      <c r="H3029" s="3">
        <v>43053</v>
      </c>
      <c r="I3029" s="2" t="s">
        <v>19506</v>
      </c>
      <c r="J3029" s="2" t="s">
        <v>13904</v>
      </c>
      <c r="K3029" s="2" t="s">
        <v>19207</v>
      </c>
      <c r="L3029" s="82" t="s">
        <v>19512</v>
      </c>
    </row>
    <row r="3030" spans="1:12" ht="96" customHeight="1" x14ac:dyDescent="0.3">
      <c r="A3030" s="2">
        <v>3026</v>
      </c>
      <c r="B3030" s="66" t="s">
        <v>3455</v>
      </c>
      <c r="C3030" s="66" t="s">
        <v>3456</v>
      </c>
      <c r="D3030" s="244">
        <v>4000</v>
      </c>
      <c r="E3030" s="244">
        <v>4000</v>
      </c>
      <c r="F3030" s="3">
        <v>39442</v>
      </c>
      <c r="G3030" s="2"/>
      <c r="H3030" s="3">
        <v>43053</v>
      </c>
      <c r="I3030" s="2" t="s">
        <v>19506</v>
      </c>
      <c r="J3030" s="2" t="s">
        <v>13904</v>
      </c>
      <c r="K3030" s="2" t="s">
        <v>19207</v>
      </c>
      <c r="L3030" s="82" t="s">
        <v>19512</v>
      </c>
    </row>
    <row r="3031" spans="1:12" ht="96" customHeight="1" x14ac:dyDescent="0.3">
      <c r="A3031" s="2">
        <v>3027</v>
      </c>
      <c r="B3031" s="66" t="s">
        <v>3455</v>
      </c>
      <c r="C3031" s="66" t="s">
        <v>3457</v>
      </c>
      <c r="D3031" s="244">
        <v>4000</v>
      </c>
      <c r="E3031" s="244">
        <v>4000</v>
      </c>
      <c r="F3031" s="3">
        <v>39442</v>
      </c>
      <c r="G3031" s="2"/>
      <c r="H3031" s="3">
        <v>43053</v>
      </c>
      <c r="I3031" s="2" t="s">
        <v>19506</v>
      </c>
      <c r="J3031" s="2" t="s">
        <v>13904</v>
      </c>
      <c r="K3031" s="2" t="s">
        <v>19207</v>
      </c>
      <c r="L3031" s="82" t="s">
        <v>19512</v>
      </c>
    </row>
    <row r="3032" spans="1:12" ht="96" customHeight="1" x14ac:dyDescent="0.3">
      <c r="A3032" s="2">
        <v>3028</v>
      </c>
      <c r="B3032" s="66" t="s">
        <v>3458</v>
      </c>
      <c r="C3032" s="66" t="s">
        <v>3459</v>
      </c>
      <c r="D3032" s="244">
        <v>29100</v>
      </c>
      <c r="E3032" s="244">
        <v>29100</v>
      </c>
      <c r="F3032" s="3">
        <v>41978</v>
      </c>
      <c r="G3032" s="2"/>
      <c r="H3032" s="3">
        <v>43053</v>
      </c>
      <c r="I3032" s="2" t="s">
        <v>19506</v>
      </c>
      <c r="J3032" s="2" t="s">
        <v>13904</v>
      </c>
      <c r="K3032" s="2" t="s">
        <v>19207</v>
      </c>
      <c r="L3032" s="82" t="s">
        <v>19512</v>
      </c>
    </row>
    <row r="3033" spans="1:12" ht="96" customHeight="1" x14ac:dyDescent="0.3">
      <c r="A3033" s="2">
        <v>3029</v>
      </c>
      <c r="B3033" s="66" t="s">
        <v>3460</v>
      </c>
      <c r="C3033" s="66" t="s">
        <v>3461</v>
      </c>
      <c r="D3033" s="244">
        <v>4000</v>
      </c>
      <c r="E3033" s="244">
        <v>4000</v>
      </c>
      <c r="F3033" s="3">
        <v>39874</v>
      </c>
      <c r="G3033" s="2"/>
      <c r="H3033" s="3">
        <v>43053</v>
      </c>
      <c r="I3033" s="2" t="s">
        <v>19506</v>
      </c>
      <c r="J3033" s="2" t="s">
        <v>13904</v>
      </c>
      <c r="K3033" s="2" t="s">
        <v>19207</v>
      </c>
      <c r="L3033" s="82" t="s">
        <v>19512</v>
      </c>
    </row>
    <row r="3034" spans="1:12" ht="96" customHeight="1" x14ac:dyDescent="0.3">
      <c r="A3034" s="2">
        <v>3030</v>
      </c>
      <c r="B3034" s="66" t="s">
        <v>3462</v>
      </c>
      <c r="C3034" s="66" t="s">
        <v>3463</v>
      </c>
      <c r="D3034" s="244">
        <v>4000</v>
      </c>
      <c r="E3034" s="244">
        <v>4000</v>
      </c>
      <c r="F3034" s="3">
        <v>40368</v>
      </c>
      <c r="G3034" s="2"/>
      <c r="H3034" s="3">
        <v>43053</v>
      </c>
      <c r="I3034" s="2" t="s">
        <v>19506</v>
      </c>
      <c r="J3034" s="2" t="s">
        <v>13904</v>
      </c>
      <c r="K3034" s="2" t="s">
        <v>19207</v>
      </c>
      <c r="L3034" s="82" t="s">
        <v>19512</v>
      </c>
    </row>
    <row r="3035" spans="1:12" ht="96" customHeight="1" x14ac:dyDescent="0.3">
      <c r="A3035" s="2">
        <v>3031</v>
      </c>
      <c r="B3035" s="66" t="s">
        <v>3464</v>
      </c>
      <c r="C3035" s="66" t="s">
        <v>3465</v>
      </c>
      <c r="D3035" s="244">
        <v>8337</v>
      </c>
      <c r="E3035" s="244">
        <v>8337</v>
      </c>
      <c r="F3035" s="3">
        <v>40368</v>
      </c>
      <c r="G3035" s="2"/>
      <c r="H3035" s="3">
        <v>43053</v>
      </c>
      <c r="I3035" s="2" t="s">
        <v>19506</v>
      </c>
      <c r="J3035" s="2" t="s">
        <v>13904</v>
      </c>
      <c r="K3035" s="2" t="s">
        <v>19207</v>
      </c>
      <c r="L3035" s="82" t="s">
        <v>19512</v>
      </c>
    </row>
    <row r="3036" spans="1:12" ht="96" customHeight="1" x14ac:dyDescent="0.3">
      <c r="A3036" s="2">
        <v>3032</v>
      </c>
      <c r="B3036" s="66" t="s">
        <v>3466</v>
      </c>
      <c r="C3036" s="66" t="s">
        <v>3467</v>
      </c>
      <c r="D3036" s="244">
        <v>6980</v>
      </c>
      <c r="E3036" s="244">
        <v>6980</v>
      </c>
      <c r="F3036" s="3">
        <v>41145</v>
      </c>
      <c r="G3036" s="2"/>
      <c r="H3036" s="3">
        <v>43053</v>
      </c>
      <c r="I3036" s="2" t="s">
        <v>19506</v>
      </c>
      <c r="J3036" s="2" t="s">
        <v>13904</v>
      </c>
      <c r="K3036" s="2" t="s">
        <v>19207</v>
      </c>
      <c r="L3036" s="82" t="s">
        <v>19512</v>
      </c>
    </row>
    <row r="3037" spans="1:12" ht="96" customHeight="1" x14ac:dyDescent="0.3">
      <c r="A3037" s="2">
        <v>3033</v>
      </c>
      <c r="B3037" s="66" t="s">
        <v>3468</v>
      </c>
      <c r="C3037" s="66" t="s">
        <v>3469</v>
      </c>
      <c r="D3037" s="244">
        <v>20500</v>
      </c>
      <c r="E3037" s="244">
        <v>20500</v>
      </c>
      <c r="F3037" s="3">
        <v>41969</v>
      </c>
      <c r="G3037" s="2"/>
      <c r="H3037" s="3">
        <v>43053</v>
      </c>
      <c r="I3037" s="2" t="s">
        <v>19506</v>
      </c>
      <c r="J3037" s="2" t="s">
        <v>13904</v>
      </c>
      <c r="K3037" s="2" t="s">
        <v>19207</v>
      </c>
      <c r="L3037" s="82" t="s">
        <v>19512</v>
      </c>
    </row>
    <row r="3038" spans="1:12" ht="96" customHeight="1" x14ac:dyDescent="0.3">
      <c r="A3038" s="2">
        <v>3034</v>
      </c>
      <c r="B3038" s="66" t="s">
        <v>3470</v>
      </c>
      <c r="C3038" s="66" t="s">
        <v>3471</v>
      </c>
      <c r="D3038" s="244">
        <v>6250</v>
      </c>
      <c r="E3038" s="244">
        <v>6250</v>
      </c>
      <c r="F3038" s="3">
        <v>41969</v>
      </c>
      <c r="G3038" s="2"/>
      <c r="H3038" s="3">
        <v>43053</v>
      </c>
      <c r="I3038" s="2" t="s">
        <v>19506</v>
      </c>
      <c r="J3038" s="2" t="s">
        <v>13904</v>
      </c>
      <c r="K3038" s="2" t="s">
        <v>19207</v>
      </c>
      <c r="L3038" s="82" t="s">
        <v>19512</v>
      </c>
    </row>
    <row r="3039" spans="1:12" ht="84" customHeight="1" x14ac:dyDescent="0.3">
      <c r="A3039" s="2">
        <v>3035</v>
      </c>
      <c r="B3039" s="66" t="s">
        <v>3472</v>
      </c>
      <c r="C3039" s="66" t="s">
        <v>3473</v>
      </c>
      <c r="D3039" s="11">
        <v>4830.6000000000004</v>
      </c>
      <c r="E3039" s="244">
        <v>4830.6000000000004</v>
      </c>
      <c r="F3039" s="3">
        <v>40878</v>
      </c>
      <c r="G3039" s="2"/>
      <c r="H3039" s="3">
        <v>43053</v>
      </c>
      <c r="I3039" s="2" t="s">
        <v>19506</v>
      </c>
      <c r="J3039" s="2" t="s">
        <v>13904</v>
      </c>
      <c r="K3039" s="2"/>
      <c r="L3039" s="82" t="s">
        <v>19512</v>
      </c>
    </row>
    <row r="3040" spans="1:12" ht="84" customHeight="1" x14ac:dyDescent="0.3">
      <c r="A3040" s="2">
        <v>3036</v>
      </c>
      <c r="B3040" s="66" t="s">
        <v>3474</v>
      </c>
      <c r="C3040" s="66" t="s">
        <v>3475</v>
      </c>
      <c r="D3040" s="11">
        <v>4830.6000000000004</v>
      </c>
      <c r="E3040" s="244">
        <v>4830.6000000000004</v>
      </c>
      <c r="F3040" s="3">
        <v>40878</v>
      </c>
      <c r="G3040" s="2"/>
      <c r="H3040" s="3">
        <v>43053</v>
      </c>
      <c r="I3040" s="2" t="s">
        <v>19506</v>
      </c>
      <c r="J3040" s="2" t="s">
        <v>13904</v>
      </c>
      <c r="K3040" s="2"/>
      <c r="L3040" s="82" t="s">
        <v>19512</v>
      </c>
    </row>
    <row r="3041" spans="1:12" ht="84" customHeight="1" x14ac:dyDescent="0.3">
      <c r="A3041" s="2">
        <v>3037</v>
      </c>
      <c r="B3041" s="66" t="s">
        <v>3474</v>
      </c>
      <c r="C3041" s="66" t="s">
        <v>3476</v>
      </c>
      <c r="D3041" s="11">
        <v>4830.6000000000004</v>
      </c>
      <c r="E3041" s="244">
        <v>4830.6000000000004</v>
      </c>
      <c r="F3041" s="3">
        <v>40878</v>
      </c>
      <c r="G3041" s="2"/>
      <c r="H3041" s="3">
        <v>43053</v>
      </c>
      <c r="I3041" s="2" t="s">
        <v>19506</v>
      </c>
      <c r="J3041" s="2" t="s">
        <v>13904</v>
      </c>
      <c r="K3041" s="2"/>
      <c r="L3041" s="82" t="s">
        <v>19512</v>
      </c>
    </row>
    <row r="3042" spans="1:12" ht="84" customHeight="1" x14ac:dyDescent="0.3">
      <c r="A3042" s="2">
        <v>3038</v>
      </c>
      <c r="B3042" s="66" t="s">
        <v>3474</v>
      </c>
      <c r="C3042" s="66" t="s">
        <v>3477</v>
      </c>
      <c r="D3042" s="11">
        <v>4830.6000000000004</v>
      </c>
      <c r="E3042" s="244">
        <v>4830.6000000000004</v>
      </c>
      <c r="F3042" s="3">
        <v>40878</v>
      </c>
      <c r="G3042" s="2"/>
      <c r="H3042" s="3">
        <v>43053</v>
      </c>
      <c r="I3042" s="2" t="s">
        <v>19506</v>
      </c>
      <c r="J3042" s="2" t="s">
        <v>13904</v>
      </c>
      <c r="K3042" s="2"/>
      <c r="L3042" s="82" t="s">
        <v>19512</v>
      </c>
    </row>
    <row r="3043" spans="1:12" ht="84" customHeight="1" x14ac:dyDescent="0.3">
      <c r="A3043" s="2">
        <v>3039</v>
      </c>
      <c r="B3043" s="66" t="s">
        <v>3474</v>
      </c>
      <c r="C3043" s="66" t="s">
        <v>3478</v>
      </c>
      <c r="D3043" s="11">
        <v>4830.6000000000004</v>
      </c>
      <c r="E3043" s="244">
        <v>4830.6000000000004</v>
      </c>
      <c r="F3043" s="3">
        <v>40878</v>
      </c>
      <c r="G3043" s="2"/>
      <c r="H3043" s="3">
        <v>43053</v>
      </c>
      <c r="I3043" s="2" t="s">
        <v>19506</v>
      </c>
      <c r="J3043" s="2" t="s">
        <v>13904</v>
      </c>
      <c r="K3043" s="2"/>
      <c r="L3043" s="82" t="s">
        <v>19512</v>
      </c>
    </row>
    <row r="3044" spans="1:12" ht="84" customHeight="1" x14ac:dyDescent="0.3">
      <c r="A3044" s="2">
        <v>3040</v>
      </c>
      <c r="B3044" s="66" t="s">
        <v>3474</v>
      </c>
      <c r="C3044" s="66" t="s">
        <v>3479</v>
      </c>
      <c r="D3044" s="11">
        <v>4830.6000000000004</v>
      </c>
      <c r="E3044" s="244">
        <v>4830.6000000000004</v>
      </c>
      <c r="F3044" s="3">
        <v>40878</v>
      </c>
      <c r="G3044" s="2"/>
      <c r="H3044" s="3">
        <v>43053</v>
      </c>
      <c r="I3044" s="2" t="s">
        <v>19506</v>
      </c>
      <c r="J3044" s="2" t="s">
        <v>13904</v>
      </c>
      <c r="K3044" s="2"/>
      <c r="L3044" s="82" t="s">
        <v>19512</v>
      </c>
    </row>
    <row r="3045" spans="1:12" ht="84" customHeight="1" x14ac:dyDescent="0.3">
      <c r="A3045" s="2">
        <v>3041</v>
      </c>
      <c r="B3045" s="66" t="s">
        <v>3480</v>
      </c>
      <c r="C3045" s="66" t="s">
        <v>3481</v>
      </c>
      <c r="D3045" s="11">
        <v>5470</v>
      </c>
      <c r="E3045" s="244">
        <v>5470</v>
      </c>
      <c r="F3045" s="3">
        <v>41298</v>
      </c>
      <c r="G3045" s="2"/>
      <c r="H3045" s="3">
        <v>43053</v>
      </c>
      <c r="I3045" s="2" t="s">
        <v>19506</v>
      </c>
      <c r="J3045" s="2" t="s">
        <v>13904</v>
      </c>
      <c r="K3045" s="2"/>
      <c r="L3045" s="82" t="s">
        <v>19512</v>
      </c>
    </row>
    <row r="3046" spans="1:12" ht="96" customHeight="1" x14ac:dyDescent="0.3">
      <c r="A3046" s="2">
        <v>3042</v>
      </c>
      <c r="B3046" s="66" t="s">
        <v>3482</v>
      </c>
      <c r="C3046" s="66" t="s">
        <v>3483</v>
      </c>
      <c r="D3046" s="244">
        <v>5152.0600000000004</v>
      </c>
      <c r="E3046" s="244">
        <v>5152.0600000000004</v>
      </c>
      <c r="F3046" s="3">
        <v>39051</v>
      </c>
      <c r="G3046" s="2"/>
      <c r="H3046" s="3">
        <v>43053</v>
      </c>
      <c r="I3046" s="2" t="s">
        <v>19506</v>
      </c>
      <c r="J3046" s="2" t="s">
        <v>13904</v>
      </c>
      <c r="K3046" s="2" t="s">
        <v>19207</v>
      </c>
      <c r="L3046" s="82" t="s">
        <v>19512</v>
      </c>
    </row>
    <row r="3047" spans="1:12" ht="96" customHeight="1" x14ac:dyDescent="0.3">
      <c r="A3047" s="2">
        <v>3043</v>
      </c>
      <c r="B3047" s="66" t="s">
        <v>3484</v>
      </c>
      <c r="C3047" s="66" t="s">
        <v>3485</v>
      </c>
      <c r="D3047" s="244">
        <v>5712</v>
      </c>
      <c r="E3047" s="244">
        <v>5712</v>
      </c>
      <c r="F3047" s="3">
        <v>39051</v>
      </c>
      <c r="G3047" s="2"/>
      <c r="H3047" s="3">
        <v>43053</v>
      </c>
      <c r="I3047" s="2" t="s">
        <v>19506</v>
      </c>
      <c r="J3047" s="2" t="s">
        <v>13904</v>
      </c>
      <c r="K3047" s="2" t="s">
        <v>19207</v>
      </c>
      <c r="L3047" s="82" t="s">
        <v>19512</v>
      </c>
    </row>
    <row r="3048" spans="1:12" ht="96" customHeight="1" x14ac:dyDescent="0.3">
      <c r="A3048" s="2">
        <v>3044</v>
      </c>
      <c r="B3048" s="66" t="s">
        <v>3486</v>
      </c>
      <c r="C3048" s="66" t="s">
        <v>3487</v>
      </c>
      <c r="D3048" s="244">
        <v>8274.24</v>
      </c>
      <c r="E3048" s="244">
        <v>8274.24</v>
      </c>
      <c r="F3048" s="3">
        <v>39051</v>
      </c>
      <c r="G3048" s="2"/>
      <c r="H3048" s="3">
        <v>43053</v>
      </c>
      <c r="I3048" s="2" t="s">
        <v>19506</v>
      </c>
      <c r="J3048" s="2" t="s">
        <v>13904</v>
      </c>
      <c r="K3048" s="2" t="s">
        <v>19207</v>
      </c>
      <c r="L3048" s="82" t="s">
        <v>19512</v>
      </c>
    </row>
    <row r="3049" spans="1:12" ht="96" customHeight="1" x14ac:dyDescent="0.3">
      <c r="A3049" s="2">
        <v>3045</v>
      </c>
      <c r="B3049" s="66" t="s">
        <v>3488</v>
      </c>
      <c r="C3049" s="66" t="s">
        <v>3489</v>
      </c>
      <c r="D3049" s="244">
        <v>5151.12</v>
      </c>
      <c r="E3049" s="244">
        <v>5151.12</v>
      </c>
      <c r="F3049" s="3">
        <v>36646</v>
      </c>
      <c r="G3049" s="2"/>
      <c r="H3049" s="3">
        <v>43053</v>
      </c>
      <c r="I3049" s="2" t="s">
        <v>19506</v>
      </c>
      <c r="J3049" s="2" t="s">
        <v>13904</v>
      </c>
      <c r="K3049" s="2" t="s">
        <v>19207</v>
      </c>
      <c r="L3049" s="82" t="s">
        <v>19512</v>
      </c>
    </row>
    <row r="3050" spans="1:12" ht="96" customHeight="1" x14ac:dyDescent="0.3">
      <c r="A3050" s="2">
        <v>3046</v>
      </c>
      <c r="B3050" s="66" t="s">
        <v>3490</v>
      </c>
      <c r="C3050" s="66" t="s">
        <v>3491</v>
      </c>
      <c r="D3050" s="244">
        <v>6500</v>
      </c>
      <c r="E3050" s="244">
        <v>6500</v>
      </c>
      <c r="F3050" s="3">
        <v>39808</v>
      </c>
      <c r="G3050" s="2"/>
      <c r="H3050" s="3">
        <v>43053</v>
      </c>
      <c r="I3050" s="2" t="s">
        <v>19506</v>
      </c>
      <c r="J3050" s="2" t="s">
        <v>13904</v>
      </c>
      <c r="K3050" s="2" t="s">
        <v>19207</v>
      </c>
      <c r="L3050" s="82" t="s">
        <v>19512</v>
      </c>
    </row>
    <row r="3051" spans="1:12" ht="96" customHeight="1" x14ac:dyDescent="0.3">
      <c r="A3051" s="2">
        <v>3047</v>
      </c>
      <c r="B3051" s="66" t="s">
        <v>3492</v>
      </c>
      <c r="C3051" s="66" t="s">
        <v>3493</v>
      </c>
      <c r="D3051" s="244">
        <v>3213</v>
      </c>
      <c r="E3051" s="244">
        <v>3213</v>
      </c>
      <c r="F3051" s="3">
        <v>37008</v>
      </c>
      <c r="G3051" s="2"/>
      <c r="H3051" s="3">
        <v>43053</v>
      </c>
      <c r="I3051" s="2" t="s">
        <v>19506</v>
      </c>
      <c r="J3051" s="2" t="s">
        <v>13904</v>
      </c>
      <c r="K3051" s="2" t="s">
        <v>19207</v>
      </c>
      <c r="L3051" s="82" t="s">
        <v>19512</v>
      </c>
    </row>
    <row r="3052" spans="1:12" ht="96" customHeight="1" x14ac:dyDescent="0.3">
      <c r="A3052" s="2">
        <v>3048</v>
      </c>
      <c r="B3052" s="66" t="s">
        <v>3494</v>
      </c>
      <c r="C3052" s="66" t="s">
        <v>3495</v>
      </c>
      <c r="D3052" s="244">
        <v>9780.51</v>
      </c>
      <c r="E3052" s="244">
        <v>9780.51</v>
      </c>
      <c r="F3052" s="3">
        <v>40758</v>
      </c>
      <c r="G3052" s="2"/>
      <c r="H3052" s="3">
        <v>43053</v>
      </c>
      <c r="I3052" s="2" t="s">
        <v>19506</v>
      </c>
      <c r="J3052" s="2" t="s">
        <v>13904</v>
      </c>
      <c r="K3052" s="2" t="s">
        <v>19207</v>
      </c>
      <c r="L3052" s="82" t="s">
        <v>19512</v>
      </c>
    </row>
    <row r="3053" spans="1:12" ht="96" customHeight="1" x14ac:dyDescent="0.3">
      <c r="A3053" s="2">
        <v>3049</v>
      </c>
      <c r="B3053" s="66" t="s">
        <v>3496</v>
      </c>
      <c r="C3053" s="66" t="s">
        <v>3497</v>
      </c>
      <c r="D3053" s="244">
        <v>6345</v>
      </c>
      <c r="E3053" s="244">
        <v>6345</v>
      </c>
      <c r="F3053" s="3">
        <v>36646</v>
      </c>
      <c r="G3053" s="2"/>
      <c r="H3053" s="3">
        <v>43053</v>
      </c>
      <c r="I3053" s="2" t="s">
        <v>19506</v>
      </c>
      <c r="J3053" s="2" t="s">
        <v>13904</v>
      </c>
      <c r="K3053" s="2" t="s">
        <v>19207</v>
      </c>
      <c r="L3053" s="82" t="s">
        <v>19512</v>
      </c>
    </row>
    <row r="3054" spans="1:12" ht="96" customHeight="1" x14ac:dyDescent="0.3">
      <c r="A3054" s="2">
        <v>3050</v>
      </c>
      <c r="B3054" s="66" t="s">
        <v>3498</v>
      </c>
      <c r="C3054" s="66" t="s">
        <v>3499</v>
      </c>
      <c r="D3054" s="244">
        <v>7570</v>
      </c>
      <c r="E3054" s="244">
        <v>7570</v>
      </c>
      <c r="F3054" s="3">
        <v>39811</v>
      </c>
      <c r="G3054" s="2"/>
      <c r="H3054" s="3">
        <v>43053</v>
      </c>
      <c r="I3054" s="2" t="s">
        <v>19506</v>
      </c>
      <c r="J3054" s="2" t="s">
        <v>13904</v>
      </c>
      <c r="K3054" s="2" t="s">
        <v>19207</v>
      </c>
      <c r="L3054" s="82" t="s">
        <v>19512</v>
      </c>
    </row>
    <row r="3055" spans="1:12" ht="96" customHeight="1" x14ac:dyDescent="0.3">
      <c r="A3055" s="2">
        <v>3051</v>
      </c>
      <c r="B3055" s="66" t="s">
        <v>3500</v>
      </c>
      <c r="C3055" s="66" t="s">
        <v>3501</v>
      </c>
      <c r="D3055" s="244">
        <v>3427.2</v>
      </c>
      <c r="E3055" s="244">
        <v>3427.2</v>
      </c>
      <c r="F3055" s="3">
        <v>39080</v>
      </c>
      <c r="G3055" s="2"/>
      <c r="H3055" s="3">
        <v>43053</v>
      </c>
      <c r="I3055" s="2" t="s">
        <v>19506</v>
      </c>
      <c r="J3055" s="2" t="s">
        <v>13904</v>
      </c>
      <c r="K3055" s="2" t="s">
        <v>19207</v>
      </c>
      <c r="L3055" s="82" t="s">
        <v>19512</v>
      </c>
    </row>
    <row r="3056" spans="1:12" ht="96" customHeight="1" x14ac:dyDescent="0.3">
      <c r="A3056" s="2">
        <v>3052</v>
      </c>
      <c r="B3056" s="66" t="s">
        <v>3502</v>
      </c>
      <c r="C3056" s="66" t="s">
        <v>3503</v>
      </c>
      <c r="D3056" s="244">
        <v>3331.21</v>
      </c>
      <c r="E3056" s="244">
        <v>3331.21</v>
      </c>
      <c r="F3056" s="3">
        <v>36644</v>
      </c>
      <c r="G3056" s="2"/>
      <c r="H3056" s="3">
        <v>43053</v>
      </c>
      <c r="I3056" s="2" t="s">
        <v>19506</v>
      </c>
      <c r="J3056" s="2" t="s">
        <v>13904</v>
      </c>
      <c r="K3056" s="2" t="s">
        <v>19207</v>
      </c>
      <c r="L3056" s="82" t="s">
        <v>19512</v>
      </c>
    </row>
    <row r="3057" spans="1:12" ht="96" customHeight="1" x14ac:dyDescent="0.3">
      <c r="A3057" s="2">
        <v>3053</v>
      </c>
      <c r="B3057" s="66" t="s">
        <v>3504</v>
      </c>
      <c r="C3057" s="66" t="s">
        <v>3505</v>
      </c>
      <c r="D3057" s="244">
        <v>4500</v>
      </c>
      <c r="E3057" s="244">
        <v>4500</v>
      </c>
      <c r="F3057" s="3">
        <v>39422</v>
      </c>
      <c r="G3057" s="2"/>
      <c r="H3057" s="3">
        <v>43053</v>
      </c>
      <c r="I3057" s="2" t="s">
        <v>19506</v>
      </c>
      <c r="J3057" s="2" t="s">
        <v>13904</v>
      </c>
      <c r="K3057" s="2" t="s">
        <v>19207</v>
      </c>
      <c r="L3057" s="82" t="s">
        <v>19512</v>
      </c>
    </row>
    <row r="3058" spans="1:12" ht="96" customHeight="1" x14ac:dyDescent="0.3">
      <c r="A3058" s="2">
        <v>3054</v>
      </c>
      <c r="B3058" s="66" t="s">
        <v>18641</v>
      </c>
      <c r="C3058" s="66">
        <v>4101240006</v>
      </c>
      <c r="D3058" s="244">
        <v>77900</v>
      </c>
      <c r="E3058" s="244">
        <v>33894.959999999999</v>
      </c>
      <c r="F3058" s="3">
        <v>42335</v>
      </c>
      <c r="G3058" s="2" t="s">
        <v>14104</v>
      </c>
      <c r="H3058" s="2"/>
      <c r="I3058" s="2"/>
      <c r="J3058" s="2" t="s">
        <v>13904</v>
      </c>
      <c r="K3058" s="2" t="s">
        <v>19207</v>
      </c>
      <c r="L3058" s="82" t="s">
        <v>18635</v>
      </c>
    </row>
    <row r="3059" spans="1:12" ht="96" customHeight="1" x14ac:dyDescent="0.3">
      <c r="A3059" s="2">
        <v>3055</v>
      </c>
      <c r="B3059" s="66" t="s">
        <v>3506</v>
      </c>
      <c r="C3059" s="66" t="s">
        <v>3507</v>
      </c>
      <c r="D3059" s="244">
        <v>8000</v>
      </c>
      <c r="E3059" s="244">
        <v>8000</v>
      </c>
      <c r="F3059" s="3">
        <v>39422</v>
      </c>
      <c r="G3059" s="2"/>
      <c r="H3059" s="3">
        <v>43053</v>
      </c>
      <c r="I3059" s="2" t="s">
        <v>19506</v>
      </c>
      <c r="J3059" s="2" t="s">
        <v>13904</v>
      </c>
      <c r="K3059" s="2" t="s">
        <v>19207</v>
      </c>
      <c r="L3059" s="82" t="s">
        <v>19512</v>
      </c>
    </row>
    <row r="3060" spans="1:12" ht="96" customHeight="1" x14ac:dyDescent="0.3">
      <c r="A3060" s="2">
        <v>3056</v>
      </c>
      <c r="B3060" s="66" t="s">
        <v>3508</v>
      </c>
      <c r="C3060" s="66" t="s">
        <v>3509</v>
      </c>
      <c r="D3060" s="244">
        <v>7935.35</v>
      </c>
      <c r="E3060" s="244">
        <v>7935.35</v>
      </c>
      <c r="F3060" s="3">
        <v>40758</v>
      </c>
      <c r="G3060" s="2"/>
      <c r="H3060" s="3">
        <v>43053</v>
      </c>
      <c r="I3060" s="2" t="s">
        <v>19506</v>
      </c>
      <c r="J3060" s="2" t="s">
        <v>13904</v>
      </c>
      <c r="K3060" s="2" t="s">
        <v>19207</v>
      </c>
      <c r="L3060" s="82" t="s">
        <v>19512</v>
      </c>
    </row>
    <row r="3061" spans="1:12" ht="96" customHeight="1" x14ac:dyDescent="0.3">
      <c r="A3061" s="2">
        <v>3057</v>
      </c>
      <c r="B3061" s="66" t="s">
        <v>3510</v>
      </c>
      <c r="C3061" s="66" t="s">
        <v>3511</v>
      </c>
      <c r="D3061" s="244">
        <v>3909.17</v>
      </c>
      <c r="E3061" s="244">
        <v>3909.17</v>
      </c>
      <c r="F3061" s="3">
        <v>39080</v>
      </c>
      <c r="G3061" s="2"/>
      <c r="H3061" s="3">
        <v>43053</v>
      </c>
      <c r="I3061" s="2" t="s">
        <v>19506</v>
      </c>
      <c r="J3061" s="2" t="s">
        <v>13904</v>
      </c>
      <c r="K3061" s="2" t="s">
        <v>19207</v>
      </c>
      <c r="L3061" s="82" t="s">
        <v>19512</v>
      </c>
    </row>
    <row r="3062" spans="1:12" ht="96" customHeight="1" x14ac:dyDescent="0.3">
      <c r="A3062" s="2">
        <v>3058</v>
      </c>
      <c r="B3062" s="66" t="s">
        <v>258</v>
      </c>
      <c r="C3062" s="66" t="s">
        <v>3512</v>
      </c>
      <c r="D3062" s="244">
        <v>9090</v>
      </c>
      <c r="E3062" s="244">
        <v>9090</v>
      </c>
      <c r="F3062" s="3">
        <v>39442</v>
      </c>
      <c r="G3062" s="2"/>
      <c r="H3062" s="3">
        <v>43053</v>
      </c>
      <c r="I3062" s="2" t="s">
        <v>19506</v>
      </c>
      <c r="J3062" s="2" t="s">
        <v>13904</v>
      </c>
      <c r="K3062" s="2" t="s">
        <v>19207</v>
      </c>
      <c r="L3062" s="82" t="s">
        <v>19512</v>
      </c>
    </row>
    <row r="3063" spans="1:12" ht="96" customHeight="1" x14ac:dyDescent="0.3">
      <c r="A3063" s="2">
        <v>3059</v>
      </c>
      <c r="B3063" s="66" t="s">
        <v>3513</v>
      </c>
      <c r="C3063" s="66" t="s">
        <v>3514</v>
      </c>
      <c r="D3063" s="244">
        <v>15737.7</v>
      </c>
      <c r="E3063" s="244">
        <v>15737.7</v>
      </c>
      <c r="F3063" s="3">
        <v>40758</v>
      </c>
      <c r="G3063" s="2"/>
      <c r="H3063" s="3">
        <v>43053</v>
      </c>
      <c r="I3063" s="2" t="s">
        <v>19506</v>
      </c>
      <c r="J3063" s="2" t="s">
        <v>13904</v>
      </c>
      <c r="K3063" s="2" t="s">
        <v>19207</v>
      </c>
      <c r="L3063" s="82" t="s">
        <v>19512</v>
      </c>
    </row>
    <row r="3064" spans="1:12" ht="96" customHeight="1" x14ac:dyDescent="0.3">
      <c r="A3064" s="2">
        <v>3060</v>
      </c>
      <c r="B3064" s="66" t="s">
        <v>3515</v>
      </c>
      <c r="C3064" s="66" t="s">
        <v>3516</v>
      </c>
      <c r="D3064" s="244">
        <v>9000</v>
      </c>
      <c r="E3064" s="244">
        <v>9000</v>
      </c>
      <c r="F3064" s="3">
        <v>39422</v>
      </c>
      <c r="G3064" s="2"/>
      <c r="H3064" s="3">
        <v>43053</v>
      </c>
      <c r="I3064" s="2" t="s">
        <v>19506</v>
      </c>
      <c r="J3064" s="2" t="s">
        <v>13904</v>
      </c>
      <c r="K3064" s="2" t="s">
        <v>19207</v>
      </c>
      <c r="L3064" s="82" t="s">
        <v>19512</v>
      </c>
    </row>
    <row r="3065" spans="1:12" ht="96" customHeight="1" x14ac:dyDescent="0.3">
      <c r="A3065" s="2">
        <v>3061</v>
      </c>
      <c r="B3065" s="66" t="s">
        <v>3517</v>
      </c>
      <c r="C3065" s="66" t="s">
        <v>3518</v>
      </c>
      <c r="D3065" s="244">
        <v>12000</v>
      </c>
      <c r="E3065" s="244">
        <v>12000</v>
      </c>
      <c r="F3065" s="3">
        <v>39422</v>
      </c>
      <c r="G3065" s="2"/>
      <c r="H3065" s="3">
        <v>43053</v>
      </c>
      <c r="I3065" s="2" t="s">
        <v>19506</v>
      </c>
      <c r="J3065" s="2" t="s">
        <v>13904</v>
      </c>
      <c r="K3065" s="2" t="s">
        <v>19207</v>
      </c>
      <c r="L3065" s="82" t="s">
        <v>19512</v>
      </c>
    </row>
    <row r="3066" spans="1:12" ht="96" customHeight="1" x14ac:dyDescent="0.3">
      <c r="A3066" s="2">
        <v>3062</v>
      </c>
      <c r="B3066" s="66" t="s">
        <v>3519</v>
      </c>
      <c r="C3066" s="66" t="s">
        <v>3520</v>
      </c>
      <c r="D3066" s="244">
        <v>15000</v>
      </c>
      <c r="E3066" s="244">
        <v>15000</v>
      </c>
      <c r="F3066" s="3">
        <v>39422</v>
      </c>
      <c r="G3066" s="2"/>
      <c r="H3066" s="3">
        <v>43053</v>
      </c>
      <c r="I3066" s="2" t="s">
        <v>19506</v>
      </c>
      <c r="J3066" s="2" t="s">
        <v>13904</v>
      </c>
      <c r="K3066" s="2" t="s">
        <v>19207</v>
      </c>
      <c r="L3066" s="82" t="s">
        <v>19512</v>
      </c>
    </row>
    <row r="3067" spans="1:12" ht="96" customHeight="1" x14ac:dyDescent="0.3">
      <c r="A3067" s="2">
        <v>3063</v>
      </c>
      <c r="B3067" s="66" t="s">
        <v>3521</v>
      </c>
      <c r="C3067" s="66" t="s">
        <v>3522</v>
      </c>
      <c r="D3067" s="244">
        <v>7500</v>
      </c>
      <c r="E3067" s="244">
        <v>7500</v>
      </c>
      <c r="F3067" s="3">
        <v>39422</v>
      </c>
      <c r="G3067" s="2"/>
      <c r="H3067" s="3">
        <v>43053</v>
      </c>
      <c r="I3067" s="2" t="s">
        <v>19506</v>
      </c>
      <c r="J3067" s="2" t="s">
        <v>13904</v>
      </c>
      <c r="K3067" s="2" t="s">
        <v>19207</v>
      </c>
      <c r="L3067" s="82" t="s">
        <v>19512</v>
      </c>
    </row>
    <row r="3068" spans="1:12" ht="96" customHeight="1" x14ac:dyDescent="0.3">
      <c r="A3068" s="2">
        <v>3064</v>
      </c>
      <c r="B3068" s="66" t="s">
        <v>3523</v>
      </c>
      <c r="C3068" s="66" t="s">
        <v>3524</v>
      </c>
      <c r="D3068" s="244">
        <v>8397.24</v>
      </c>
      <c r="E3068" s="244">
        <v>8397.24</v>
      </c>
      <c r="F3068" s="3">
        <v>37365</v>
      </c>
      <c r="G3068" s="2"/>
      <c r="H3068" s="3">
        <v>43053</v>
      </c>
      <c r="I3068" s="2" t="s">
        <v>19506</v>
      </c>
      <c r="J3068" s="2" t="s">
        <v>13904</v>
      </c>
      <c r="K3068" s="2" t="s">
        <v>19207</v>
      </c>
      <c r="L3068" s="82" t="s">
        <v>19512</v>
      </c>
    </row>
    <row r="3069" spans="1:12" ht="96" customHeight="1" x14ac:dyDescent="0.3">
      <c r="A3069" s="2">
        <v>3065</v>
      </c>
      <c r="B3069" s="66" t="s">
        <v>263</v>
      </c>
      <c r="C3069" s="66" t="s">
        <v>3525</v>
      </c>
      <c r="D3069" s="244">
        <v>3470.91</v>
      </c>
      <c r="E3069" s="244">
        <v>3470.91</v>
      </c>
      <c r="F3069" s="3">
        <v>36644</v>
      </c>
      <c r="G3069" s="2"/>
      <c r="H3069" s="3">
        <v>43053</v>
      </c>
      <c r="I3069" s="2" t="s">
        <v>19506</v>
      </c>
      <c r="J3069" s="2" t="s">
        <v>13904</v>
      </c>
      <c r="K3069" s="2" t="s">
        <v>19207</v>
      </c>
      <c r="L3069" s="82" t="s">
        <v>19512</v>
      </c>
    </row>
    <row r="3070" spans="1:12" ht="96" customHeight="1" x14ac:dyDescent="0.3">
      <c r="A3070" s="2">
        <v>3066</v>
      </c>
      <c r="B3070" s="66" t="s">
        <v>3526</v>
      </c>
      <c r="C3070" s="66" t="s">
        <v>3527</v>
      </c>
      <c r="D3070" s="244">
        <v>3809.88</v>
      </c>
      <c r="E3070" s="244">
        <v>3809.88</v>
      </c>
      <c r="F3070" s="3">
        <v>38096</v>
      </c>
      <c r="G3070" s="2"/>
      <c r="H3070" s="3">
        <v>43053</v>
      </c>
      <c r="I3070" s="2" t="s">
        <v>19506</v>
      </c>
      <c r="J3070" s="2" t="s">
        <v>13904</v>
      </c>
      <c r="K3070" s="2" t="s">
        <v>19207</v>
      </c>
      <c r="L3070" s="82" t="s">
        <v>19512</v>
      </c>
    </row>
    <row r="3071" spans="1:12" ht="96" customHeight="1" x14ac:dyDescent="0.3">
      <c r="A3071" s="2">
        <v>3067</v>
      </c>
      <c r="B3071" s="66" t="s">
        <v>3287</v>
      </c>
      <c r="C3071" s="66" t="s">
        <v>3362</v>
      </c>
      <c r="D3071" s="244">
        <v>3909.17</v>
      </c>
      <c r="E3071" s="244">
        <v>3909.17</v>
      </c>
      <c r="F3071" s="3">
        <v>39052</v>
      </c>
      <c r="G3071" s="2"/>
      <c r="H3071" s="3">
        <v>43053</v>
      </c>
      <c r="I3071" s="2" t="s">
        <v>19506</v>
      </c>
      <c r="J3071" s="2" t="s">
        <v>13904</v>
      </c>
      <c r="K3071" s="2" t="s">
        <v>19207</v>
      </c>
      <c r="L3071" s="82" t="s">
        <v>19512</v>
      </c>
    </row>
    <row r="3072" spans="1:12" ht="96" customHeight="1" x14ac:dyDescent="0.3">
      <c r="A3072" s="2">
        <v>3068</v>
      </c>
      <c r="B3072" s="66" t="s">
        <v>3528</v>
      </c>
      <c r="C3072" s="66" t="s">
        <v>3529</v>
      </c>
      <c r="D3072" s="244">
        <v>3700</v>
      </c>
      <c r="E3072" s="244">
        <v>3700</v>
      </c>
      <c r="F3072" s="3">
        <v>39811</v>
      </c>
      <c r="G3072" s="2"/>
      <c r="H3072" s="3">
        <v>43053</v>
      </c>
      <c r="I3072" s="2" t="s">
        <v>19506</v>
      </c>
      <c r="J3072" s="2" t="s">
        <v>13904</v>
      </c>
      <c r="K3072" s="2" t="s">
        <v>19207</v>
      </c>
      <c r="L3072" s="82" t="s">
        <v>19512</v>
      </c>
    </row>
    <row r="3073" spans="1:12" ht="96" customHeight="1" x14ac:dyDescent="0.3">
      <c r="A3073" s="2">
        <v>3069</v>
      </c>
      <c r="B3073" s="66" t="s">
        <v>3528</v>
      </c>
      <c r="C3073" s="66" t="s">
        <v>3530</v>
      </c>
      <c r="D3073" s="244">
        <v>3700</v>
      </c>
      <c r="E3073" s="244">
        <v>3700</v>
      </c>
      <c r="F3073" s="3">
        <v>39811</v>
      </c>
      <c r="G3073" s="2"/>
      <c r="H3073" s="3">
        <v>43053</v>
      </c>
      <c r="I3073" s="2" t="s">
        <v>19506</v>
      </c>
      <c r="J3073" s="2" t="s">
        <v>13904</v>
      </c>
      <c r="K3073" s="2" t="s">
        <v>19207</v>
      </c>
      <c r="L3073" s="82" t="s">
        <v>19512</v>
      </c>
    </row>
    <row r="3074" spans="1:12" ht="96" customHeight="1" x14ac:dyDescent="0.3">
      <c r="A3074" s="2">
        <v>3070</v>
      </c>
      <c r="B3074" s="66" t="s">
        <v>3528</v>
      </c>
      <c r="C3074" s="66" t="s">
        <v>3531</v>
      </c>
      <c r="D3074" s="244">
        <v>3700</v>
      </c>
      <c r="E3074" s="244">
        <v>3700</v>
      </c>
      <c r="F3074" s="3">
        <v>39811</v>
      </c>
      <c r="G3074" s="2"/>
      <c r="H3074" s="3">
        <v>43053</v>
      </c>
      <c r="I3074" s="2" t="s">
        <v>19506</v>
      </c>
      <c r="J3074" s="2" t="s">
        <v>13904</v>
      </c>
      <c r="K3074" s="2" t="s">
        <v>19207</v>
      </c>
      <c r="L3074" s="82" t="s">
        <v>19512</v>
      </c>
    </row>
    <row r="3075" spans="1:12" ht="96" customHeight="1" x14ac:dyDescent="0.3">
      <c r="A3075" s="2">
        <v>3071</v>
      </c>
      <c r="B3075" s="66" t="s">
        <v>3528</v>
      </c>
      <c r="C3075" s="66" t="s">
        <v>3532</v>
      </c>
      <c r="D3075" s="244">
        <v>3700</v>
      </c>
      <c r="E3075" s="244">
        <v>3700</v>
      </c>
      <c r="F3075" s="3">
        <v>39811</v>
      </c>
      <c r="G3075" s="2"/>
      <c r="H3075" s="3">
        <v>43053</v>
      </c>
      <c r="I3075" s="2" t="s">
        <v>19506</v>
      </c>
      <c r="J3075" s="2" t="s">
        <v>13904</v>
      </c>
      <c r="K3075" s="2" t="s">
        <v>19207</v>
      </c>
      <c r="L3075" s="82" t="s">
        <v>19512</v>
      </c>
    </row>
    <row r="3076" spans="1:12" ht="96" customHeight="1" x14ac:dyDescent="0.3">
      <c r="A3076" s="2">
        <v>3072</v>
      </c>
      <c r="B3076" s="66" t="s">
        <v>3533</v>
      </c>
      <c r="C3076" s="66" t="s">
        <v>3534</v>
      </c>
      <c r="D3076" s="244">
        <v>4010</v>
      </c>
      <c r="E3076" s="244">
        <v>4010</v>
      </c>
      <c r="F3076" s="3">
        <v>40368</v>
      </c>
      <c r="G3076" s="2"/>
      <c r="H3076" s="3">
        <v>43053</v>
      </c>
      <c r="I3076" s="2" t="s">
        <v>19506</v>
      </c>
      <c r="J3076" s="2" t="s">
        <v>13904</v>
      </c>
      <c r="K3076" s="2" t="s">
        <v>19207</v>
      </c>
      <c r="L3076" s="82" t="s">
        <v>19512</v>
      </c>
    </row>
    <row r="3077" spans="1:12" ht="96" customHeight="1" x14ac:dyDescent="0.3">
      <c r="A3077" s="2">
        <v>3073</v>
      </c>
      <c r="B3077" s="66" t="s">
        <v>3535</v>
      </c>
      <c r="C3077" s="66" t="s">
        <v>3536</v>
      </c>
      <c r="D3077" s="244">
        <v>3912.01</v>
      </c>
      <c r="E3077" s="244">
        <v>3912.01</v>
      </c>
      <c r="F3077" s="3">
        <v>40758</v>
      </c>
      <c r="G3077" s="2"/>
      <c r="H3077" s="3">
        <v>43053</v>
      </c>
      <c r="I3077" s="2" t="s">
        <v>19506</v>
      </c>
      <c r="J3077" s="2" t="s">
        <v>13904</v>
      </c>
      <c r="K3077" s="2" t="s">
        <v>19207</v>
      </c>
      <c r="L3077" s="82" t="s">
        <v>19512</v>
      </c>
    </row>
    <row r="3078" spans="1:12" ht="96" customHeight="1" x14ac:dyDescent="0.3">
      <c r="A3078" s="2">
        <v>3074</v>
      </c>
      <c r="B3078" s="66" t="s">
        <v>3537</v>
      </c>
      <c r="C3078" s="66" t="s">
        <v>3538</v>
      </c>
      <c r="D3078" s="244">
        <v>7213.68</v>
      </c>
      <c r="E3078" s="244">
        <v>7213.68</v>
      </c>
      <c r="F3078" s="3">
        <v>39422</v>
      </c>
      <c r="G3078" s="2"/>
      <c r="H3078" s="3">
        <v>43053</v>
      </c>
      <c r="I3078" s="2" t="s">
        <v>19506</v>
      </c>
      <c r="J3078" s="2" t="s">
        <v>13904</v>
      </c>
      <c r="K3078" s="2" t="s">
        <v>19207</v>
      </c>
      <c r="L3078" s="82" t="s">
        <v>19512</v>
      </c>
    </row>
    <row r="3079" spans="1:12" ht="96" customHeight="1" x14ac:dyDescent="0.3">
      <c r="A3079" s="2">
        <v>3075</v>
      </c>
      <c r="B3079" s="66" t="s">
        <v>1347</v>
      </c>
      <c r="C3079" s="66" t="s">
        <v>3539</v>
      </c>
      <c r="D3079" s="244">
        <v>5215.99</v>
      </c>
      <c r="E3079" s="244">
        <v>5215.99</v>
      </c>
      <c r="F3079" s="3">
        <v>36646</v>
      </c>
      <c r="G3079" s="2"/>
      <c r="H3079" s="3">
        <v>43053</v>
      </c>
      <c r="I3079" s="2" t="s">
        <v>19506</v>
      </c>
      <c r="J3079" s="2" t="s">
        <v>13904</v>
      </c>
      <c r="K3079" s="2" t="s">
        <v>19207</v>
      </c>
      <c r="L3079" s="82" t="s">
        <v>19512</v>
      </c>
    </row>
    <row r="3080" spans="1:12" ht="96" customHeight="1" x14ac:dyDescent="0.3">
      <c r="A3080" s="2">
        <v>3076</v>
      </c>
      <c r="B3080" s="66" t="s">
        <v>3540</v>
      </c>
      <c r="C3080" s="66" t="s">
        <v>3541</v>
      </c>
      <c r="D3080" s="244">
        <v>5040</v>
      </c>
      <c r="E3080" s="244">
        <v>5040</v>
      </c>
      <c r="F3080" s="3">
        <v>39811</v>
      </c>
      <c r="G3080" s="2"/>
      <c r="H3080" s="3">
        <v>43053</v>
      </c>
      <c r="I3080" s="2" t="s">
        <v>19506</v>
      </c>
      <c r="J3080" s="2" t="s">
        <v>13904</v>
      </c>
      <c r="K3080" s="2" t="s">
        <v>19207</v>
      </c>
      <c r="L3080" s="82" t="s">
        <v>19512</v>
      </c>
    </row>
    <row r="3081" spans="1:12" ht="96" customHeight="1" x14ac:dyDescent="0.3">
      <c r="A3081" s="2">
        <v>3077</v>
      </c>
      <c r="B3081" s="66" t="s">
        <v>3542</v>
      </c>
      <c r="C3081" s="66" t="s">
        <v>3543</v>
      </c>
      <c r="D3081" s="244">
        <v>5970</v>
      </c>
      <c r="E3081" s="244">
        <v>5970</v>
      </c>
      <c r="F3081" s="3">
        <v>41267</v>
      </c>
      <c r="G3081" s="2"/>
      <c r="H3081" s="3">
        <v>43053</v>
      </c>
      <c r="I3081" s="2" t="s">
        <v>19506</v>
      </c>
      <c r="J3081" s="2" t="s">
        <v>13904</v>
      </c>
      <c r="K3081" s="2" t="s">
        <v>19207</v>
      </c>
      <c r="L3081" s="82" t="s">
        <v>19512</v>
      </c>
    </row>
    <row r="3082" spans="1:12" ht="96" customHeight="1" x14ac:dyDescent="0.3">
      <c r="A3082" s="2">
        <v>3078</v>
      </c>
      <c r="B3082" s="66" t="s">
        <v>3544</v>
      </c>
      <c r="C3082" s="66" t="s">
        <v>3146</v>
      </c>
      <c r="D3082" s="244">
        <v>40000</v>
      </c>
      <c r="E3082" s="244">
        <v>40000</v>
      </c>
      <c r="F3082" s="3">
        <v>41855</v>
      </c>
      <c r="G3082" s="2"/>
      <c r="H3082" s="3">
        <v>43053</v>
      </c>
      <c r="I3082" s="2" t="s">
        <v>19506</v>
      </c>
      <c r="J3082" s="2" t="s">
        <v>13904</v>
      </c>
      <c r="K3082" s="2" t="s">
        <v>19207</v>
      </c>
      <c r="L3082" s="82" t="s">
        <v>19512</v>
      </c>
    </row>
    <row r="3083" spans="1:12" ht="96" customHeight="1" x14ac:dyDescent="0.3">
      <c r="A3083" s="2">
        <v>3079</v>
      </c>
      <c r="B3083" s="66" t="s">
        <v>3545</v>
      </c>
      <c r="C3083" s="66" t="s">
        <v>3546</v>
      </c>
      <c r="D3083" s="244">
        <v>3295.6</v>
      </c>
      <c r="E3083" s="244">
        <v>3295.6</v>
      </c>
      <c r="F3083" s="3">
        <v>41269</v>
      </c>
      <c r="G3083" s="2"/>
      <c r="H3083" s="3">
        <v>43053</v>
      </c>
      <c r="I3083" s="2" t="s">
        <v>19506</v>
      </c>
      <c r="J3083" s="2" t="s">
        <v>13904</v>
      </c>
      <c r="K3083" s="2" t="s">
        <v>19207</v>
      </c>
      <c r="L3083" s="82" t="s">
        <v>19512</v>
      </c>
    </row>
    <row r="3084" spans="1:12" ht="96" customHeight="1" x14ac:dyDescent="0.3">
      <c r="A3084" s="2">
        <v>3080</v>
      </c>
      <c r="B3084" s="66" t="s">
        <v>3506</v>
      </c>
      <c r="C3084" s="66" t="s">
        <v>3547</v>
      </c>
      <c r="D3084" s="244">
        <v>8000</v>
      </c>
      <c r="E3084" s="244">
        <v>8000</v>
      </c>
      <c r="F3084" s="3">
        <v>39422</v>
      </c>
      <c r="G3084" s="2"/>
      <c r="H3084" s="3">
        <v>43053</v>
      </c>
      <c r="I3084" s="2" t="s">
        <v>19506</v>
      </c>
      <c r="J3084" s="2" t="s">
        <v>13904</v>
      </c>
      <c r="K3084" s="2" t="s">
        <v>19207</v>
      </c>
      <c r="L3084" s="82" t="s">
        <v>19512</v>
      </c>
    </row>
    <row r="3085" spans="1:12" ht="96" customHeight="1" x14ac:dyDescent="0.3">
      <c r="A3085" s="2">
        <v>3081</v>
      </c>
      <c r="B3085" s="66" t="s">
        <v>3521</v>
      </c>
      <c r="C3085" s="66" t="s">
        <v>3548</v>
      </c>
      <c r="D3085" s="244">
        <v>7500</v>
      </c>
      <c r="E3085" s="244">
        <v>7500</v>
      </c>
      <c r="F3085" s="3">
        <v>39422</v>
      </c>
      <c r="G3085" s="2"/>
      <c r="H3085" s="3">
        <v>43053</v>
      </c>
      <c r="I3085" s="2" t="s">
        <v>19506</v>
      </c>
      <c r="J3085" s="2" t="s">
        <v>13904</v>
      </c>
      <c r="K3085" s="2" t="s">
        <v>19207</v>
      </c>
      <c r="L3085" s="82" t="s">
        <v>19512</v>
      </c>
    </row>
    <row r="3086" spans="1:12" ht="96" customHeight="1" x14ac:dyDescent="0.3">
      <c r="A3086" s="2">
        <v>3082</v>
      </c>
      <c r="B3086" s="66" t="s">
        <v>3510</v>
      </c>
      <c r="C3086" s="66" t="s">
        <v>3549</v>
      </c>
      <c r="D3086" s="244">
        <v>3909.17</v>
      </c>
      <c r="E3086" s="244">
        <v>3909.17</v>
      </c>
      <c r="F3086" s="3">
        <v>39080</v>
      </c>
      <c r="G3086" s="2"/>
      <c r="H3086" s="3">
        <v>43053</v>
      </c>
      <c r="I3086" s="2" t="s">
        <v>19506</v>
      </c>
      <c r="J3086" s="2" t="s">
        <v>13904</v>
      </c>
      <c r="K3086" s="2" t="s">
        <v>19207</v>
      </c>
      <c r="L3086" s="82" t="s">
        <v>19512</v>
      </c>
    </row>
    <row r="3087" spans="1:12" ht="96" customHeight="1" x14ac:dyDescent="0.3">
      <c r="A3087" s="2">
        <v>3083</v>
      </c>
      <c r="B3087" s="66" t="s">
        <v>3515</v>
      </c>
      <c r="C3087" s="66" t="s">
        <v>3550</v>
      </c>
      <c r="D3087" s="244">
        <v>9000</v>
      </c>
      <c r="E3087" s="244">
        <v>9000</v>
      </c>
      <c r="F3087" s="3">
        <v>39422</v>
      </c>
      <c r="G3087" s="2"/>
      <c r="H3087" s="3">
        <v>43053</v>
      </c>
      <c r="I3087" s="2" t="s">
        <v>19506</v>
      </c>
      <c r="J3087" s="2" t="s">
        <v>13904</v>
      </c>
      <c r="K3087" s="2" t="s">
        <v>19207</v>
      </c>
      <c r="L3087" s="82" t="s">
        <v>19512</v>
      </c>
    </row>
    <row r="3088" spans="1:12" ht="96" customHeight="1" x14ac:dyDescent="0.3">
      <c r="A3088" s="2">
        <v>3084</v>
      </c>
      <c r="B3088" s="66" t="s">
        <v>3515</v>
      </c>
      <c r="C3088" s="66" t="s">
        <v>3551</v>
      </c>
      <c r="D3088" s="244">
        <v>9000</v>
      </c>
      <c r="E3088" s="244">
        <v>9000</v>
      </c>
      <c r="F3088" s="3">
        <v>39422</v>
      </c>
      <c r="G3088" s="2"/>
      <c r="H3088" s="3">
        <v>43053</v>
      </c>
      <c r="I3088" s="2" t="s">
        <v>19506</v>
      </c>
      <c r="J3088" s="2" t="s">
        <v>13904</v>
      </c>
      <c r="K3088" s="2" t="s">
        <v>19207</v>
      </c>
      <c r="L3088" s="82" t="s">
        <v>19512</v>
      </c>
    </row>
    <row r="3089" spans="1:12" ht="96" customHeight="1" x14ac:dyDescent="0.3">
      <c r="A3089" s="2">
        <v>3085</v>
      </c>
      <c r="B3089" s="66" t="s">
        <v>3515</v>
      </c>
      <c r="C3089" s="66" t="s">
        <v>3552</v>
      </c>
      <c r="D3089" s="244">
        <v>9000</v>
      </c>
      <c r="E3089" s="244">
        <v>9000</v>
      </c>
      <c r="F3089" s="3">
        <v>39422</v>
      </c>
      <c r="G3089" s="2"/>
      <c r="H3089" s="3">
        <v>43053</v>
      </c>
      <c r="I3089" s="2" t="s">
        <v>19506</v>
      </c>
      <c r="J3089" s="2" t="s">
        <v>13904</v>
      </c>
      <c r="K3089" s="2" t="s">
        <v>19207</v>
      </c>
      <c r="L3089" s="82" t="s">
        <v>19512</v>
      </c>
    </row>
    <row r="3090" spans="1:12" ht="96" customHeight="1" x14ac:dyDescent="0.3">
      <c r="A3090" s="2">
        <v>3086</v>
      </c>
      <c r="B3090" s="66" t="s">
        <v>3515</v>
      </c>
      <c r="C3090" s="66" t="s">
        <v>3221</v>
      </c>
      <c r="D3090" s="244">
        <v>9000</v>
      </c>
      <c r="E3090" s="244">
        <v>9000</v>
      </c>
      <c r="F3090" s="3">
        <v>39422</v>
      </c>
      <c r="G3090" s="2"/>
      <c r="H3090" s="3">
        <v>43053</v>
      </c>
      <c r="I3090" s="2" t="s">
        <v>19506</v>
      </c>
      <c r="J3090" s="2" t="s">
        <v>13904</v>
      </c>
      <c r="K3090" s="2" t="s">
        <v>19207</v>
      </c>
      <c r="L3090" s="82" t="s">
        <v>19512</v>
      </c>
    </row>
    <row r="3091" spans="1:12" ht="96" customHeight="1" x14ac:dyDescent="0.3">
      <c r="A3091" s="2">
        <v>3087</v>
      </c>
      <c r="B3091" s="66" t="s">
        <v>3504</v>
      </c>
      <c r="C3091" s="66" t="s">
        <v>3553</v>
      </c>
      <c r="D3091" s="244">
        <v>4500</v>
      </c>
      <c r="E3091" s="244">
        <v>4500</v>
      </c>
      <c r="F3091" s="3">
        <v>39422</v>
      </c>
      <c r="G3091" s="2"/>
      <c r="H3091" s="3">
        <v>43053</v>
      </c>
      <c r="I3091" s="2" t="s">
        <v>19506</v>
      </c>
      <c r="J3091" s="2" t="s">
        <v>13904</v>
      </c>
      <c r="K3091" s="2" t="s">
        <v>19207</v>
      </c>
      <c r="L3091" s="82" t="s">
        <v>19512</v>
      </c>
    </row>
    <row r="3092" spans="1:12" ht="96" customHeight="1" x14ac:dyDescent="0.3">
      <c r="A3092" s="2">
        <v>3088</v>
      </c>
      <c r="B3092" s="66" t="s">
        <v>3504</v>
      </c>
      <c r="C3092" s="66" t="s">
        <v>3554</v>
      </c>
      <c r="D3092" s="244">
        <v>4500</v>
      </c>
      <c r="E3092" s="244">
        <v>4500</v>
      </c>
      <c r="F3092" s="3">
        <v>39422</v>
      </c>
      <c r="G3092" s="2"/>
      <c r="H3092" s="3">
        <v>43053</v>
      </c>
      <c r="I3092" s="2" t="s">
        <v>19506</v>
      </c>
      <c r="J3092" s="2" t="s">
        <v>13904</v>
      </c>
      <c r="K3092" s="2" t="s">
        <v>19207</v>
      </c>
      <c r="L3092" s="82" t="s">
        <v>19512</v>
      </c>
    </row>
    <row r="3093" spans="1:12" ht="96" customHeight="1" x14ac:dyDescent="0.3">
      <c r="A3093" s="2">
        <v>3089</v>
      </c>
      <c r="B3093" s="66" t="s">
        <v>3287</v>
      </c>
      <c r="C3093" s="66" t="s">
        <v>3217</v>
      </c>
      <c r="D3093" s="244">
        <v>3909.17</v>
      </c>
      <c r="E3093" s="244">
        <v>3909.17</v>
      </c>
      <c r="F3093" s="3">
        <v>39052</v>
      </c>
      <c r="G3093" s="2"/>
      <c r="H3093" s="3">
        <v>43053</v>
      </c>
      <c r="I3093" s="2" t="s">
        <v>19506</v>
      </c>
      <c r="J3093" s="2" t="s">
        <v>13904</v>
      </c>
      <c r="K3093" s="2" t="s">
        <v>19207</v>
      </c>
      <c r="L3093" s="82" t="s">
        <v>19512</v>
      </c>
    </row>
    <row r="3094" spans="1:12" ht="96" customHeight="1" x14ac:dyDescent="0.3">
      <c r="A3094" s="2">
        <v>3090</v>
      </c>
      <c r="B3094" s="66" t="s">
        <v>3555</v>
      </c>
      <c r="C3094" s="66" t="s">
        <v>3246</v>
      </c>
      <c r="D3094" s="244">
        <v>16000</v>
      </c>
      <c r="E3094" s="244">
        <v>16000</v>
      </c>
      <c r="F3094" s="3">
        <v>42149</v>
      </c>
      <c r="G3094" s="2"/>
      <c r="H3094" s="3">
        <v>43053</v>
      </c>
      <c r="I3094" s="2" t="s">
        <v>19506</v>
      </c>
      <c r="J3094" s="2" t="s">
        <v>13904</v>
      </c>
      <c r="K3094" s="2" t="s">
        <v>19207</v>
      </c>
      <c r="L3094" s="82" t="s">
        <v>19512</v>
      </c>
    </row>
    <row r="3095" spans="1:12" ht="96" customHeight="1" x14ac:dyDescent="0.3">
      <c r="A3095" s="2">
        <v>3091</v>
      </c>
      <c r="B3095" s="66" t="s">
        <v>3556</v>
      </c>
      <c r="C3095" s="66" t="s">
        <v>3384</v>
      </c>
      <c r="D3095" s="244">
        <v>25000</v>
      </c>
      <c r="E3095" s="244">
        <v>25000</v>
      </c>
      <c r="F3095" s="3">
        <v>42149</v>
      </c>
      <c r="G3095" s="2"/>
      <c r="H3095" s="3">
        <v>43053</v>
      </c>
      <c r="I3095" s="2" t="s">
        <v>19506</v>
      </c>
      <c r="J3095" s="2" t="s">
        <v>13904</v>
      </c>
      <c r="K3095" s="2" t="s">
        <v>19207</v>
      </c>
      <c r="L3095" s="82" t="s">
        <v>19512</v>
      </c>
    </row>
    <row r="3096" spans="1:12" ht="96" customHeight="1" x14ac:dyDescent="0.3">
      <c r="A3096" s="2">
        <v>3092</v>
      </c>
      <c r="B3096" s="66" t="s">
        <v>3557</v>
      </c>
      <c r="C3096" s="66" t="s">
        <v>3383</v>
      </c>
      <c r="D3096" s="244">
        <v>16000</v>
      </c>
      <c r="E3096" s="244">
        <v>16000</v>
      </c>
      <c r="F3096" s="3">
        <v>42149</v>
      </c>
      <c r="G3096" s="2"/>
      <c r="H3096" s="3">
        <v>43053</v>
      </c>
      <c r="I3096" s="2" t="s">
        <v>19506</v>
      </c>
      <c r="J3096" s="2" t="s">
        <v>13904</v>
      </c>
      <c r="K3096" s="2" t="s">
        <v>19207</v>
      </c>
      <c r="L3096" s="82" t="s">
        <v>19512</v>
      </c>
    </row>
    <row r="3097" spans="1:12" ht="96" customHeight="1" x14ac:dyDescent="0.3">
      <c r="A3097" s="2">
        <v>3093</v>
      </c>
      <c r="B3097" s="66" t="s">
        <v>3558</v>
      </c>
      <c r="C3097" s="66" t="s">
        <v>3145</v>
      </c>
      <c r="D3097" s="244">
        <v>3050</v>
      </c>
      <c r="E3097" s="244">
        <v>3050</v>
      </c>
      <c r="F3097" s="3">
        <v>41995</v>
      </c>
      <c r="G3097" s="2"/>
      <c r="H3097" s="3">
        <v>43053</v>
      </c>
      <c r="I3097" s="2" t="s">
        <v>19506</v>
      </c>
      <c r="J3097" s="2" t="s">
        <v>13904</v>
      </c>
      <c r="K3097" s="2" t="s">
        <v>19207</v>
      </c>
      <c r="L3097" s="82" t="s">
        <v>19512</v>
      </c>
    </row>
    <row r="3098" spans="1:12" ht="96" customHeight="1" x14ac:dyDescent="0.3">
      <c r="A3098" s="2">
        <v>3094</v>
      </c>
      <c r="B3098" s="66" t="s">
        <v>3558</v>
      </c>
      <c r="C3098" s="66" t="s">
        <v>3148</v>
      </c>
      <c r="D3098" s="244">
        <v>3050</v>
      </c>
      <c r="E3098" s="244">
        <v>3050</v>
      </c>
      <c r="F3098" s="3">
        <v>41995</v>
      </c>
      <c r="G3098" s="2"/>
      <c r="H3098" s="3">
        <v>43053</v>
      </c>
      <c r="I3098" s="2" t="s">
        <v>19506</v>
      </c>
      <c r="J3098" s="2" t="s">
        <v>13904</v>
      </c>
      <c r="K3098" s="2" t="s">
        <v>19207</v>
      </c>
      <c r="L3098" s="82" t="s">
        <v>19512</v>
      </c>
    </row>
    <row r="3099" spans="1:12" ht="96" customHeight="1" x14ac:dyDescent="0.3">
      <c r="A3099" s="2">
        <v>3095</v>
      </c>
      <c r="B3099" s="66" t="s">
        <v>3558</v>
      </c>
      <c r="C3099" s="66" t="s">
        <v>3147</v>
      </c>
      <c r="D3099" s="244">
        <v>3050</v>
      </c>
      <c r="E3099" s="244">
        <v>3050</v>
      </c>
      <c r="F3099" s="3">
        <v>41995</v>
      </c>
      <c r="G3099" s="2"/>
      <c r="H3099" s="3">
        <v>43053</v>
      </c>
      <c r="I3099" s="2" t="s">
        <v>19506</v>
      </c>
      <c r="J3099" s="2" t="s">
        <v>13904</v>
      </c>
      <c r="K3099" s="2" t="s">
        <v>19207</v>
      </c>
      <c r="L3099" s="82" t="s">
        <v>19512</v>
      </c>
    </row>
    <row r="3100" spans="1:12" ht="96" customHeight="1" x14ac:dyDescent="0.3">
      <c r="A3100" s="2">
        <v>3096</v>
      </c>
      <c r="B3100" s="66" t="s">
        <v>3558</v>
      </c>
      <c r="C3100" s="66" t="s">
        <v>3149</v>
      </c>
      <c r="D3100" s="244">
        <v>3050</v>
      </c>
      <c r="E3100" s="244">
        <v>3050</v>
      </c>
      <c r="F3100" s="3">
        <v>41995</v>
      </c>
      <c r="G3100" s="2"/>
      <c r="H3100" s="3">
        <v>43053</v>
      </c>
      <c r="I3100" s="2" t="s">
        <v>19506</v>
      </c>
      <c r="J3100" s="2" t="s">
        <v>13904</v>
      </c>
      <c r="K3100" s="2" t="s">
        <v>19207</v>
      </c>
      <c r="L3100" s="82" t="s">
        <v>19512</v>
      </c>
    </row>
    <row r="3101" spans="1:12" ht="96" customHeight="1" x14ac:dyDescent="0.3">
      <c r="A3101" s="2">
        <v>3097</v>
      </c>
      <c r="B3101" s="66" t="s">
        <v>3558</v>
      </c>
      <c r="C3101" s="66" t="s">
        <v>3241</v>
      </c>
      <c r="D3101" s="244">
        <v>3050</v>
      </c>
      <c r="E3101" s="244">
        <v>3050</v>
      </c>
      <c r="F3101" s="3">
        <v>41995</v>
      </c>
      <c r="G3101" s="2"/>
      <c r="H3101" s="3">
        <v>43053</v>
      </c>
      <c r="I3101" s="2" t="s">
        <v>19506</v>
      </c>
      <c r="J3101" s="2" t="s">
        <v>13904</v>
      </c>
      <c r="K3101" s="2" t="s">
        <v>19207</v>
      </c>
      <c r="L3101" s="82" t="s">
        <v>19512</v>
      </c>
    </row>
    <row r="3102" spans="1:12" ht="96" customHeight="1" x14ac:dyDescent="0.3">
      <c r="A3102" s="2">
        <v>3098</v>
      </c>
      <c r="B3102" s="66" t="s">
        <v>3558</v>
      </c>
      <c r="C3102" s="66" t="s">
        <v>3242</v>
      </c>
      <c r="D3102" s="244">
        <v>3050</v>
      </c>
      <c r="E3102" s="244">
        <v>3050</v>
      </c>
      <c r="F3102" s="3">
        <v>41995</v>
      </c>
      <c r="G3102" s="2"/>
      <c r="H3102" s="3">
        <v>43053</v>
      </c>
      <c r="I3102" s="2" t="s">
        <v>19506</v>
      </c>
      <c r="J3102" s="2" t="s">
        <v>13904</v>
      </c>
      <c r="K3102" s="2" t="s">
        <v>19207</v>
      </c>
      <c r="L3102" s="82" t="s">
        <v>19512</v>
      </c>
    </row>
    <row r="3103" spans="1:12" ht="96" customHeight="1" x14ac:dyDescent="0.3">
      <c r="A3103" s="2">
        <v>3099</v>
      </c>
      <c r="B3103" s="66" t="s">
        <v>3559</v>
      </c>
      <c r="C3103" s="66" t="s">
        <v>3243</v>
      </c>
      <c r="D3103" s="244">
        <v>3050</v>
      </c>
      <c r="E3103" s="244">
        <v>3050</v>
      </c>
      <c r="F3103" s="3">
        <v>41995</v>
      </c>
      <c r="G3103" s="2"/>
      <c r="H3103" s="3">
        <v>43053</v>
      </c>
      <c r="I3103" s="2" t="s">
        <v>19506</v>
      </c>
      <c r="J3103" s="2" t="s">
        <v>13904</v>
      </c>
      <c r="K3103" s="2" t="s">
        <v>19207</v>
      </c>
      <c r="L3103" s="82" t="s">
        <v>19512</v>
      </c>
    </row>
    <row r="3104" spans="1:12" ht="96" customHeight="1" x14ac:dyDescent="0.3">
      <c r="A3104" s="2">
        <v>3100</v>
      </c>
      <c r="B3104" s="66" t="s">
        <v>3558</v>
      </c>
      <c r="C3104" s="66" t="s">
        <v>3244</v>
      </c>
      <c r="D3104" s="244">
        <v>3050</v>
      </c>
      <c r="E3104" s="244">
        <v>3050</v>
      </c>
      <c r="F3104" s="3">
        <v>41995</v>
      </c>
      <c r="G3104" s="2"/>
      <c r="H3104" s="3">
        <v>43053</v>
      </c>
      <c r="I3104" s="2" t="s">
        <v>19506</v>
      </c>
      <c r="J3104" s="2" t="s">
        <v>13904</v>
      </c>
      <c r="K3104" s="2" t="s">
        <v>19207</v>
      </c>
      <c r="L3104" s="82" t="s">
        <v>19512</v>
      </c>
    </row>
    <row r="3105" spans="1:12" ht="96" customHeight="1" x14ac:dyDescent="0.3">
      <c r="A3105" s="2">
        <v>3101</v>
      </c>
      <c r="B3105" s="66" t="s">
        <v>3560</v>
      </c>
      <c r="C3105" s="66" t="s">
        <v>3561</v>
      </c>
      <c r="D3105" s="244">
        <v>3375</v>
      </c>
      <c r="E3105" s="244">
        <v>3375</v>
      </c>
      <c r="F3105" s="3">
        <v>40368</v>
      </c>
      <c r="G3105" s="2"/>
      <c r="H3105" s="3">
        <v>43053</v>
      </c>
      <c r="I3105" s="2" t="s">
        <v>19506</v>
      </c>
      <c r="J3105" s="2" t="s">
        <v>13904</v>
      </c>
      <c r="K3105" s="2" t="s">
        <v>19207</v>
      </c>
      <c r="L3105" s="82" t="s">
        <v>19512</v>
      </c>
    </row>
    <row r="3106" spans="1:12" ht="96" customHeight="1" x14ac:dyDescent="0.3">
      <c r="A3106" s="2">
        <v>3102</v>
      </c>
      <c r="B3106" s="66" t="s">
        <v>3562</v>
      </c>
      <c r="C3106" s="66" t="s">
        <v>3563</v>
      </c>
      <c r="D3106" s="244">
        <v>21097.24</v>
      </c>
      <c r="E3106" s="244">
        <v>21097.24</v>
      </c>
      <c r="F3106" s="3">
        <v>36644</v>
      </c>
      <c r="G3106" s="2"/>
      <c r="H3106" s="3">
        <v>43053</v>
      </c>
      <c r="I3106" s="2" t="s">
        <v>19506</v>
      </c>
      <c r="J3106" s="2" t="s">
        <v>13904</v>
      </c>
      <c r="K3106" s="2" t="s">
        <v>19207</v>
      </c>
      <c r="L3106" s="82" t="s">
        <v>19512</v>
      </c>
    </row>
    <row r="3107" spans="1:12" ht="96" customHeight="1" x14ac:dyDescent="0.3">
      <c r="A3107" s="2">
        <v>3103</v>
      </c>
      <c r="B3107" s="66" t="s">
        <v>3564</v>
      </c>
      <c r="C3107" s="66" t="s">
        <v>3565</v>
      </c>
      <c r="D3107" s="244">
        <v>4168.9799999999996</v>
      </c>
      <c r="E3107" s="244">
        <v>4168.9799999999996</v>
      </c>
      <c r="F3107" s="3">
        <v>38099</v>
      </c>
      <c r="G3107" s="2"/>
      <c r="H3107" s="3">
        <v>43053</v>
      </c>
      <c r="I3107" s="2" t="s">
        <v>19506</v>
      </c>
      <c r="J3107" s="2" t="s">
        <v>13904</v>
      </c>
      <c r="K3107" s="2" t="s">
        <v>19207</v>
      </c>
      <c r="L3107" s="82" t="s">
        <v>19512</v>
      </c>
    </row>
    <row r="3108" spans="1:12" ht="96" customHeight="1" x14ac:dyDescent="0.3">
      <c r="A3108" s="2">
        <v>3104</v>
      </c>
      <c r="B3108" s="66" t="s">
        <v>3566</v>
      </c>
      <c r="C3108" s="66" t="s">
        <v>3567</v>
      </c>
      <c r="D3108" s="244">
        <v>3600</v>
      </c>
      <c r="E3108" s="244">
        <v>3600</v>
      </c>
      <c r="F3108" s="3">
        <v>39485</v>
      </c>
      <c r="G3108" s="2"/>
      <c r="H3108" s="3">
        <v>43053</v>
      </c>
      <c r="I3108" s="2" t="s">
        <v>19506</v>
      </c>
      <c r="J3108" s="2" t="s">
        <v>13904</v>
      </c>
      <c r="K3108" s="2" t="s">
        <v>19207</v>
      </c>
      <c r="L3108" s="82" t="s">
        <v>19512</v>
      </c>
    </row>
    <row r="3109" spans="1:12" ht="96" customHeight="1" x14ac:dyDescent="0.3">
      <c r="A3109" s="2">
        <v>3105</v>
      </c>
      <c r="B3109" s="66" t="s">
        <v>3568</v>
      </c>
      <c r="C3109" s="66" t="s">
        <v>3569</v>
      </c>
      <c r="D3109" s="244">
        <v>28119.41</v>
      </c>
      <c r="E3109" s="244">
        <v>28119.41</v>
      </c>
      <c r="F3109" s="3">
        <v>40890</v>
      </c>
      <c r="G3109" s="2"/>
      <c r="H3109" s="3">
        <v>43053</v>
      </c>
      <c r="I3109" s="2" t="s">
        <v>19506</v>
      </c>
      <c r="J3109" s="2" t="s">
        <v>13904</v>
      </c>
      <c r="K3109" s="2" t="s">
        <v>19207</v>
      </c>
      <c r="L3109" s="82" t="s">
        <v>19512</v>
      </c>
    </row>
    <row r="3110" spans="1:12" ht="96" customHeight="1" x14ac:dyDescent="0.3">
      <c r="A3110" s="2">
        <v>3106</v>
      </c>
      <c r="B3110" s="66" t="s">
        <v>3570</v>
      </c>
      <c r="C3110" s="66" t="s">
        <v>3571</v>
      </c>
      <c r="D3110" s="244">
        <v>5000</v>
      </c>
      <c r="E3110" s="244">
        <v>5000</v>
      </c>
      <c r="F3110" s="3">
        <v>39435</v>
      </c>
      <c r="G3110" s="2"/>
      <c r="H3110" s="3">
        <v>43053</v>
      </c>
      <c r="I3110" s="2" t="s">
        <v>19506</v>
      </c>
      <c r="J3110" s="2" t="s">
        <v>13904</v>
      </c>
      <c r="K3110" s="2" t="s">
        <v>19207</v>
      </c>
      <c r="L3110" s="82" t="s">
        <v>19512</v>
      </c>
    </row>
    <row r="3111" spans="1:12" ht="96" customHeight="1" x14ac:dyDescent="0.3">
      <c r="A3111" s="2">
        <v>3107</v>
      </c>
      <c r="B3111" s="66" t="s">
        <v>3564</v>
      </c>
      <c r="C3111" s="66" t="s">
        <v>3572</v>
      </c>
      <c r="D3111" s="244">
        <v>4168.9799999999996</v>
      </c>
      <c r="E3111" s="11">
        <v>4168.9799999999996</v>
      </c>
      <c r="F3111" s="3">
        <v>38099</v>
      </c>
      <c r="G3111" s="2"/>
      <c r="H3111" s="3">
        <v>43053</v>
      </c>
      <c r="I3111" s="2" t="s">
        <v>19506</v>
      </c>
      <c r="J3111" s="2" t="s">
        <v>13904</v>
      </c>
      <c r="K3111" s="2" t="s">
        <v>19207</v>
      </c>
      <c r="L3111" s="82" t="s">
        <v>19512</v>
      </c>
    </row>
    <row r="3112" spans="1:12" ht="96" customHeight="1" x14ac:dyDescent="0.3">
      <c r="A3112" s="2">
        <v>3108</v>
      </c>
      <c r="B3112" s="66" t="s">
        <v>3573</v>
      </c>
      <c r="C3112" s="66" t="s">
        <v>3574</v>
      </c>
      <c r="D3112" s="244">
        <v>3500</v>
      </c>
      <c r="E3112" s="11">
        <v>3500</v>
      </c>
      <c r="F3112" s="3">
        <v>39422</v>
      </c>
      <c r="G3112" s="2"/>
      <c r="H3112" s="3">
        <v>43053</v>
      </c>
      <c r="I3112" s="2" t="s">
        <v>19506</v>
      </c>
      <c r="J3112" s="2" t="s">
        <v>13904</v>
      </c>
      <c r="K3112" s="2" t="s">
        <v>19207</v>
      </c>
      <c r="L3112" s="82" t="s">
        <v>19512</v>
      </c>
    </row>
    <row r="3113" spans="1:12" ht="96" customHeight="1" x14ac:dyDescent="0.3">
      <c r="A3113" s="2">
        <v>3109</v>
      </c>
      <c r="B3113" s="66" t="s">
        <v>3573</v>
      </c>
      <c r="C3113" s="66" t="s">
        <v>3575</v>
      </c>
      <c r="D3113" s="244">
        <v>3500</v>
      </c>
      <c r="E3113" s="11">
        <v>3500</v>
      </c>
      <c r="F3113" s="3">
        <v>39422</v>
      </c>
      <c r="G3113" s="2"/>
      <c r="H3113" s="3">
        <v>43053</v>
      </c>
      <c r="I3113" s="2" t="s">
        <v>19506</v>
      </c>
      <c r="J3113" s="2" t="s">
        <v>13904</v>
      </c>
      <c r="K3113" s="2" t="s">
        <v>19207</v>
      </c>
      <c r="L3113" s="82" t="s">
        <v>19512</v>
      </c>
    </row>
    <row r="3114" spans="1:12" ht="96" customHeight="1" x14ac:dyDescent="0.3">
      <c r="A3114" s="2">
        <v>3110</v>
      </c>
      <c r="B3114" s="66" t="s">
        <v>3573</v>
      </c>
      <c r="C3114" s="66" t="s">
        <v>3576</v>
      </c>
      <c r="D3114" s="244">
        <v>3500</v>
      </c>
      <c r="E3114" s="11">
        <v>3500</v>
      </c>
      <c r="F3114" s="3">
        <v>39422</v>
      </c>
      <c r="G3114" s="2"/>
      <c r="H3114" s="3">
        <v>43053</v>
      </c>
      <c r="I3114" s="2" t="s">
        <v>19506</v>
      </c>
      <c r="J3114" s="2" t="s">
        <v>13904</v>
      </c>
      <c r="K3114" s="2" t="s">
        <v>19207</v>
      </c>
      <c r="L3114" s="82" t="s">
        <v>19512</v>
      </c>
    </row>
    <row r="3115" spans="1:12" ht="96" customHeight="1" x14ac:dyDescent="0.3">
      <c r="A3115" s="2">
        <v>3111</v>
      </c>
      <c r="B3115" s="66" t="s">
        <v>3573</v>
      </c>
      <c r="C3115" s="66" t="s">
        <v>3577</v>
      </c>
      <c r="D3115" s="244">
        <v>3500</v>
      </c>
      <c r="E3115" s="11">
        <v>3500</v>
      </c>
      <c r="F3115" s="3">
        <v>39422</v>
      </c>
      <c r="G3115" s="2"/>
      <c r="H3115" s="3">
        <v>43053</v>
      </c>
      <c r="I3115" s="2" t="s">
        <v>19506</v>
      </c>
      <c r="J3115" s="2" t="s">
        <v>13904</v>
      </c>
      <c r="K3115" s="2" t="s">
        <v>19207</v>
      </c>
      <c r="L3115" s="82" t="s">
        <v>19512</v>
      </c>
    </row>
    <row r="3116" spans="1:12" ht="96" customHeight="1" x14ac:dyDescent="0.3">
      <c r="A3116" s="2">
        <v>3112</v>
      </c>
      <c r="B3116" s="66" t="s">
        <v>3573</v>
      </c>
      <c r="C3116" s="66" t="s">
        <v>3578</v>
      </c>
      <c r="D3116" s="244">
        <v>3500</v>
      </c>
      <c r="E3116" s="11">
        <v>3500</v>
      </c>
      <c r="F3116" s="3">
        <v>39422</v>
      </c>
      <c r="G3116" s="2"/>
      <c r="H3116" s="3">
        <v>43053</v>
      </c>
      <c r="I3116" s="2" t="s">
        <v>19506</v>
      </c>
      <c r="J3116" s="2" t="s">
        <v>13904</v>
      </c>
      <c r="K3116" s="2" t="s">
        <v>19207</v>
      </c>
      <c r="L3116" s="82" t="s">
        <v>19512</v>
      </c>
    </row>
    <row r="3117" spans="1:12" ht="84" customHeight="1" x14ac:dyDescent="0.3">
      <c r="A3117" s="2">
        <v>3113</v>
      </c>
      <c r="B3117" s="66" t="s">
        <v>3579</v>
      </c>
      <c r="C3117" s="66" t="s">
        <v>3580</v>
      </c>
      <c r="D3117" s="11">
        <v>4556.1000000000004</v>
      </c>
      <c r="E3117" s="11">
        <v>4556.1000000000004</v>
      </c>
      <c r="F3117" s="3">
        <v>39444</v>
      </c>
      <c r="G3117" s="2"/>
      <c r="H3117" s="3">
        <v>43053</v>
      </c>
      <c r="I3117" s="2" t="s">
        <v>19506</v>
      </c>
      <c r="J3117" s="2" t="s">
        <v>13904</v>
      </c>
      <c r="K3117" s="2"/>
      <c r="L3117" s="82" t="s">
        <v>19512</v>
      </c>
    </row>
    <row r="3118" spans="1:12" ht="84" customHeight="1" x14ac:dyDescent="0.3">
      <c r="A3118" s="2">
        <v>3114</v>
      </c>
      <c r="B3118" s="66" t="s">
        <v>3581</v>
      </c>
      <c r="C3118" s="66" t="s">
        <v>3582</v>
      </c>
      <c r="D3118" s="11">
        <v>3487.5</v>
      </c>
      <c r="E3118" s="11">
        <v>3487.5</v>
      </c>
      <c r="F3118" s="3">
        <v>39444</v>
      </c>
      <c r="G3118" s="2"/>
      <c r="H3118" s="3">
        <v>43053</v>
      </c>
      <c r="I3118" s="2" t="s">
        <v>19506</v>
      </c>
      <c r="J3118" s="2" t="s">
        <v>13904</v>
      </c>
      <c r="K3118" s="2"/>
      <c r="L3118" s="82" t="s">
        <v>19512</v>
      </c>
    </row>
    <row r="3119" spans="1:12" ht="96" customHeight="1" x14ac:dyDescent="0.3">
      <c r="A3119" s="2">
        <v>3115</v>
      </c>
      <c r="B3119" s="66" t="s">
        <v>3583</v>
      </c>
      <c r="C3119" s="66" t="s">
        <v>3584</v>
      </c>
      <c r="D3119" s="244">
        <v>13750</v>
      </c>
      <c r="E3119" s="11">
        <v>13750</v>
      </c>
      <c r="F3119" s="3">
        <v>41969</v>
      </c>
      <c r="G3119" s="2"/>
      <c r="H3119" s="3">
        <v>43053</v>
      </c>
      <c r="I3119" s="2" t="s">
        <v>19506</v>
      </c>
      <c r="J3119" s="2" t="s">
        <v>13904</v>
      </c>
      <c r="K3119" s="2" t="s">
        <v>19207</v>
      </c>
      <c r="L3119" s="82" t="s">
        <v>19512</v>
      </c>
    </row>
    <row r="3120" spans="1:12" ht="96" customHeight="1" x14ac:dyDescent="0.3">
      <c r="A3120" s="2">
        <v>3116</v>
      </c>
      <c r="B3120" s="66" t="s">
        <v>3583</v>
      </c>
      <c r="C3120" s="66" t="s">
        <v>3585</v>
      </c>
      <c r="D3120" s="244">
        <v>13750</v>
      </c>
      <c r="E3120" s="11">
        <v>13750</v>
      </c>
      <c r="F3120" s="3">
        <v>41969</v>
      </c>
      <c r="G3120" s="2"/>
      <c r="H3120" s="3">
        <v>43053</v>
      </c>
      <c r="I3120" s="2" t="s">
        <v>19506</v>
      </c>
      <c r="J3120" s="2" t="s">
        <v>13904</v>
      </c>
      <c r="K3120" s="2" t="s">
        <v>19207</v>
      </c>
      <c r="L3120" s="82" t="s">
        <v>19512</v>
      </c>
    </row>
    <row r="3121" spans="1:15" ht="96" customHeight="1" x14ac:dyDescent="0.3">
      <c r="A3121" s="2">
        <v>3117</v>
      </c>
      <c r="B3121" s="66" t="s">
        <v>3586</v>
      </c>
      <c r="C3121" s="66" t="s">
        <v>3587</v>
      </c>
      <c r="D3121" s="244">
        <v>12000</v>
      </c>
      <c r="E3121" s="11">
        <v>12000</v>
      </c>
      <c r="F3121" s="3">
        <v>41969</v>
      </c>
      <c r="G3121" s="2"/>
      <c r="H3121" s="3">
        <v>43053</v>
      </c>
      <c r="I3121" s="2" t="s">
        <v>19506</v>
      </c>
      <c r="J3121" s="2" t="s">
        <v>13904</v>
      </c>
      <c r="K3121" s="2" t="s">
        <v>19207</v>
      </c>
      <c r="L3121" s="82" t="s">
        <v>19512</v>
      </c>
    </row>
    <row r="3122" spans="1:15" ht="96" customHeight="1" x14ac:dyDescent="0.3">
      <c r="A3122" s="2">
        <v>3118</v>
      </c>
      <c r="B3122" s="66" t="s">
        <v>3586</v>
      </c>
      <c r="C3122" s="66" t="s">
        <v>3588</v>
      </c>
      <c r="D3122" s="244">
        <v>12000</v>
      </c>
      <c r="E3122" s="11">
        <v>12000</v>
      </c>
      <c r="F3122" s="3">
        <v>41969</v>
      </c>
      <c r="G3122" s="2"/>
      <c r="H3122" s="3">
        <v>43053</v>
      </c>
      <c r="I3122" s="2" t="s">
        <v>19506</v>
      </c>
      <c r="J3122" s="2" t="s">
        <v>13904</v>
      </c>
      <c r="K3122" s="2" t="s">
        <v>19207</v>
      </c>
      <c r="L3122" s="82" t="s">
        <v>19512</v>
      </c>
    </row>
    <row r="3123" spans="1:15" ht="96" customHeight="1" x14ac:dyDescent="0.3">
      <c r="A3123" s="2">
        <v>3119</v>
      </c>
      <c r="B3123" s="66" t="s">
        <v>3589</v>
      </c>
      <c r="C3123" s="66" t="s">
        <v>3590</v>
      </c>
      <c r="D3123" s="244">
        <v>22550</v>
      </c>
      <c r="E3123" s="11">
        <v>22550</v>
      </c>
      <c r="F3123" s="3">
        <v>41969</v>
      </c>
      <c r="G3123" s="2"/>
      <c r="H3123" s="3">
        <v>43053</v>
      </c>
      <c r="I3123" s="2" t="s">
        <v>19506</v>
      </c>
      <c r="J3123" s="2" t="s">
        <v>13904</v>
      </c>
      <c r="K3123" s="2" t="s">
        <v>19207</v>
      </c>
      <c r="L3123" s="82" t="s">
        <v>19512</v>
      </c>
    </row>
    <row r="3124" spans="1:15" ht="96" customHeight="1" x14ac:dyDescent="0.3">
      <c r="A3124" s="2">
        <v>3120</v>
      </c>
      <c r="B3124" s="66" t="s">
        <v>3589</v>
      </c>
      <c r="C3124" s="66" t="s">
        <v>3591</v>
      </c>
      <c r="D3124" s="244">
        <v>22550</v>
      </c>
      <c r="E3124" s="11">
        <v>22550</v>
      </c>
      <c r="F3124" s="3">
        <v>41969</v>
      </c>
      <c r="G3124" s="2"/>
      <c r="H3124" s="3">
        <v>43053</v>
      </c>
      <c r="I3124" s="2" t="s">
        <v>19506</v>
      </c>
      <c r="J3124" s="2" t="s">
        <v>13904</v>
      </c>
      <c r="K3124" s="2" t="s">
        <v>19207</v>
      </c>
      <c r="L3124" s="82" t="s">
        <v>19512</v>
      </c>
    </row>
    <row r="3125" spans="1:15" s="19" customFormat="1" ht="84" customHeight="1" x14ac:dyDescent="0.3">
      <c r="A3125" s="2">
        <v>3121</v>
      </c>
      <c r="B3125" s="66" t="s">
        <v>3592</v>
      </c>
      <c r="C3125" s="66" t="s">
        <v>3593</v>
      </c>
      <c r="D3125" s="244">
        <v>394000</v>
      </c>
      <c r="E3125" s="11">
        <v>252816.41</v>
      </c>
      <c r="F3125" s="3">
        <v>39806</v>
      </c>
      <c r="G3125" s="2" t="s">
        <v>14104</v>
      </c>
      <c r="H3125" s="2"/>
      <c r="I3125" s="2"/>
      <c r="J3125" s="2" t="s">
        <v>13904</v>
      </c>
      <c r="K3125" s="2" t="s">
        <v>19211</v>
      </c>
      <c r="L3125" s="82" t="s">
        <v>19702</v>
      </c>
      <c r="M3125" s="18"/>
      <c r="N3125" s="18"/>
      <c r="O3125" s="18"/>
    </row>
    <row r="3126" spans="1:15" ht="84" customHeight="1" x14ac:dyDescent="0.3">
      <c r="A3126" s="2">
        <v>3122</v>
      </c>
      <c r="B3126" s="66" t="s">
        <v>3594</v>
      </c>
      <c r="C3126" s="66">
        <v>410123002</v>
      </c>
      <c r="D3126" s="244">
        <v>400000</v>
      </c>
      <c r="E3126" s="11">
        <v>400000</v>
      </c>
      <c r="F3126" s="3">
        <v>40560</v>
      </c>
      <c r="G3126" s="2" t="s">
        <v>14104</v>
      </c>
      <c r="H3126" s="2"/>
      <c r="I3126" s="2"/>
      <c r="J3126" s="2" t="s">
        <v>13904</v>
      </c>
      <c r="K3126" s="2" t="s">
        <v>19211</v>
      </c>
      <c r="L3126" s="82" t="s">
        <v>18629</v>
      </c>
    </row>
    <row r="3127" spans="1:15" ht="84" customHeight="1" x14ac:dyDescent="0.3">
      <c r="A3127" s="2">
        <v>3123</v>
      </c>
      <c r="B3127" s="66" t="s">
        <v>1062</v>
      </c>
      <c r="C3127" s="66" t="s">
        <v>3595</v>
      </c>
      <c r="D3127" s="244">
        <v>99761.51</v>
      </c>
      <c r="E3127" s="11">
        <v>9976.14</v>
      </c>
      <c r="F3127" s="3">
        <v>42004</v>
      </c>
      <c r="G3127" s="2" t="s">
        <v>14104</v>
      </c>
      <c r="H3127" s="2"/>
      <c r="I3127" s="2"/>
      <c r="J3127" s="2" t="s">
        <v>13904</v>
      </c>
      <c r="K3127" s="2" t="s">
        <v>19211</v>
      </c>
      <c r="L3127" s="82" t="s">
        <v>18629</v>
      </c>
    </row>
    <row r="3128" spans="1:15" ht="84" customHeight="1" x14ac:dyDescent="0.3">
      <c r="A3128" s="2">
        <v>3124</v>
      </c>
      <c r="B3128" s="66" t="s">
        <v>3596</v>
      </c>
      <c r="C3128" s="66" t="s">
        <v>3597</v>
      </c>
      <c r="D3128" s="244">
        <v>41370.1</v>
      </c>
      <c r="E3128" s="11">
        <v>41370.1</v>
      </c>
      <c r="F3128" s="3">
        <v>39807</v>
      </c>
      <c r="G3128" s="2" t="s">
        <v>14104</v>
      </c>
      <c r="H3128" s="3">
        <v>43053</v>
      </c>
      <c r="I3128" s="2" t="s">
        <v>19506</v>
      </c>
      <c r="J3128" s="2" t="s">
        <v>13904</v>
      </c>
      <c r="K3128" s="2" t="s">
        <v>19211</v>
      </c>
      <c r="L3128" s="2" t="s">
        <v>19512</v>
      </c>
    </row>
    <row r="3129" spans="1:15" ht="84" customHeight="1" x14ac:dyDescent="0.3">
      <c r="A3129" s="2">
        <v>3125</v>
      </c>
      <c r="B3129" s="66" t="s">
        <v>3598</v>
      </c>
      <c r="C3129" s="66" t="s">
        <v>3599</v>
      </c>
      <c r="D3129" s="244">
        <v>32244.03</v>
      </c>
      <c r="E3129" s="11">
        <v>32244.03</v>
      </c>
      <c r="F3129" s="3">
        <v>36063</v>
      </c>
      <c r="G3129" s="2" t="s">
        <v>14104</v>
      </c>
      <c r="H3129" s="3">
        <v>43053</v>
      </c>
      <c r="I3129" s="2" t="s">
        <v>19506</v>
      </c>
      <c r="J3129" s="2" t="s">
        <v>13904</v>
      </c>
      <c r="K3129" s="2" t="s">
        <v>19211</v>
      </c>
      <c r="L3129" s="2" t="s">
        <v>19512</v>
      </c>
    </row>
    <row r="3130" spans="1:15" ht="84" customHeight="1" x14ac:dyDescent="0.3">
      <c r="A3130" s="2">
        <v>3126</v>
      </c>
      <c r="B3130" s="66" t="s">
        <v>3600</v>
      </c>
      <c r="C3130" s="66" t="s">
        <v>3601</v>
      </c>
      <c r="D3130" s="244">
        <v>19459.990000000002</v>
      </c>
      <c r="E3130" s="11">
        <v>19459.990000000002</v>
      </c>
      <c r="F3130" s="3">
        <v>39414</v>
      </c>
      <c r="G3130" s="2" t="s">
        <v>14104</v>
      </c>
      <c r="H3130" s="3">
        <v>43053</v>
      </c>
      <c r="I3130" s="2" t="s">
        <v>19506</v>
      </c>
      <c r="J3130" s="2" t="s">
        <v>13904</v>
      </c>
      <c r="K3130" s="2" t="s">
        <v>19211</v>
      </c>
      <c r="L3130" s="2" t="s">
        <v>19512</v>
      </c>
    </row>
    <row r="3131" spans="1:15" ht="84" customHeight="1" x14ac:dyDescent="0.3">
      <c r="A3131" s="2">
        <v>3127</v>
      </c>
      <c r="B3131" s="66" t="s">
        <v>218</v>
      </c>
      <c r="C3131" s="66" t="s">
        <v>3602</v>
      </c>
      <c r="D3131" s="244">
        <v>4350</v>
      </c>
      <c r="E3131" s="11">
        <v>4350</v>
      </c>
      <c r="F3131" s="3">
        <v>36822</v>
      </c>
      <c r="G3131" s="2" t="s">
        <v>14104</v>
      </c>
      <c r="H3131" s="3">
        <v>43053</v>
      </c>
      <c r="I3131" s="2" t="s">
        <v>19506</v>
      </c>
      <c r="J3131" s="2" t="s">
        <v>13904</v>
      </c>
      <c r="K3131" s="2" t="s">
        <v>19211</v>
      </c>
      <c r="L3131" s="2" t="s">
        <v>19512</v>
      </c>
    </row>
    <row r="3132" spans="1:15" ht="84" customHeight="1" x14ac:dyDescent="0.3">
      <c r="A3132" s="2">
        <v>3128</v>
      </c>
      <c r="B3132" s="66" t="s">
        <v>3603</v>
      </c>
      <c r="C3132" s="66" t="s">
        <v>3604</v>
      </c>
      <c r="D3132" s="244">
        <v>3250</v>
      </c>
      <c r="E3132" s="11">
        <v>3250</v>
      </c>
      <c r="F3132" s="3">
        <v>39416</v>
      </c>
      <c r="G3132" s="2" t="s">
        <v>14104</v>
      </c>
      <c r="H3132" s="3">
        <v>43053</v>
      </c>
      <c r="I3132" s="2" t="s">
        <v>19506</v>
      </c>
      <c r="J3132" s="2" t="s">
        <v>13904</v>
      </c>
      <c r="K3132" s="2" t="s">
        <v>19211</v>
      </c>
      <c r="L3132" s="2" t="s">
        <v>19512</v>
      </c>
    </row>
    <row r="3133" spans="1:15" ht="84" customHeight="1" x14ac:dyDescent="0.3">
      <c r="A3133" s="2">
        <v>3129</v>
      </c>
      <c r="B3133" s="66" t="s">
        <v>3605</v>
      </c>
      <c r="C3133" s="66" t="s">
        <v>3606</v>
      </c>
      <c r="D3133" s="244">
        <v>10873</v>
      </c>
      <c r="E3133" s="11">
        <v>10873</v>
      </c>
      <c r="F3133" s="3">
        <v>39437</v>
      </c>
      <c r="G3133" s="2" t="s">
        <v>14104</v>
      </c>
      <c r="H3133" s="3">
        <v>43053</v>
      </c>
      <c r="I3133" s="2" t="s">
        <v>19506</v>
      </c>
      <c r="J3133" s="2" t="s">
        <v>13904</v>
      </c>
      <c r="K3133" s="2" t="s">
        <v>19211</v>
      </c>
      <c r="L3133" s="2" t="s">
        <v>19512</v>
      </c>
    </row>
    <row r="3134" spans="1:15" ht="84" customHeight="1" x14ac:dyDescent="0.3">
      <c r="A3134" s="2">
        <v>3130</v>
      </c>
      <c r="B3134" s="66" t="s">
        <v>3607</v>
      </c>
      <c r="C3134" s="66" t="s">
        <v>3608</v>
      </c>
      <c r="D3134" s="244">
        <v>6350</v>
      </c>
      <c r="E3134" s="11">
        <v>6350</v>
      </c>
      <c r="F3134" s="3">
        <v>32646</v>
      </c>
      <c r="G3134" s="2" t="s">
        <v>14104</v>
      </c>
      <c r="H3134" s="3">
        <v>43053</v>
      </c>
      <c r="I3134" s="2" t="s">
        <v>19506</v>
      </c>
      <c r="J3134" s="2" t="s">
        <v>13904</v>
      </c>
      <c r="K3134" s="2" t="s">
        <v>19211</v>
      </c>
      <c r="L3134" s="2" t="s">
        <v>19512</v>
      </c>
    </row>
    <row r="3135" spans="1:15" ht="84" customHeight="1" x14ac:dyDescent="0.3">
      <c r="A3135" s="2">
        <v>3131</v>
      </c>
      <c r="B3135" s="66" t="s">
        <v>3609</v>
      </c>
      <c r="C3135" s="66" t="s">
        <v>3610</v>
      </c>
      <c r="D3135" s="244">
        <v>4000</v>
      </c>
      <c r="E3135" s="11">
        <v>4000</v>
      </c>
      <c r="F3135" s="3">
        <v>39441</v>
      </c>
      <c r="G3135" s="2" t="s">
        <v>14104</v>
      </c>
      <c r="H3135" s="3">
        <v>43053</v>
      </c>
      <c r="I3135" s="2" t="s">
        <v>19506</v>
      </c>
      <c r="J3135" s="2" t="s">
        <v>13904</v>
      </c>
      <c r="K3135" s="2" t="s">
        <v>19211</v>
      </c>
      <c r="L3135" s="2" t="s">
        <v>19512</v>
      </c>
    </row>
    <row r="3136" spans="1:15" ht="84" customHeight="1" x14ac:dyDescent="0.3">
      <c r="A3136" s="2">
        <v>3132</v>
      </c>
      <c r="B3136" s="66" t="s">
        <v>3611</v>
      </c>
      <c r="C3136" s="66" t="s">
        <v>3612</v>
      </c>
      <c r="D3136" s="244">
        <v>3022.6</v>
      </c>
      <c r="E3136" s="11">
        <v>3022.6</v>
      </c>
      <c r="F3136" s="3">
        <v>36637</v>
      </c>
      <c r="G3136" s="2" t="s">
        <v>14104</v>
      </c>
      <c r="H3136" s="3">
        <v>43053</v>
      </c>
      <c r="I3136" s="2" t="s">
        <v>19506</v>
      </c>
      <c r="J3136" s="2" t="s">
        <v>13904</v>
      </c>
      <c r="K3136" s="2" t="s">
        <v>19211</v>
      </c>
      <c r="L3136" s="2" t="s">
        <v>19512</v>
      </c>
    </row>
    <row r="3137" spans="1:12" ht="84" customHeight="1" x14ac:dyDescent="0.3">
      <c r="A3137" s="2">
        <v>3133</v>
      </c>
      <c r="B3137" s="66" t="s">
        <v>217</v>
      </c>
      <c r="C3137" s="66" t="s">
        <v>3613</v>
      </c>
      <c r="D3137" s="244">
        <v>10119.549999999999</v>
      </c>
      <c r="E3137" s="11">
        <v>10119.549999999999</v>
      </c>
      <c r="F3137" s="3">
        <v>36667</v>
      </c>
      <c r="G3137" s="2" t="s">
        <v>14104</v>
      </c>
      <c r="H3137" s="3">
        <v>43053</v>
      </c>
      <c r="I3137" s="2" t="s">
        <v>19506</v>
      </c>
      <c r="J3137" s="2" t="s">
        <v>13904</v>
      </c>
      <c r="K3137" s="2" t="s">
        <v>19211</v>
      </c>
      <c r="L3137" s="2" t="s">
        <v>19512</v>
      </c>
    </row>
    <row r="3138" spans="1:12" ht="84" customHeight="1" x14ac:dyDescent="0.3">
      <c r="A3138" s="2">
        <v>3134</v>
      </c>
      <c r="B3138" s="66" t="s">
        <v>971</v>
      </c>
      <c r="C3138" s="66" t="s">
        <v>3614</v>
      </c>
      <c r="D3138" s="244">
        <v>4295.8999999999996</v>
      </c>
      <c r="E3138" s="11">
        <v>4295.8999999999996</v>
      </c>
      <c r="F3138" s="3">
        <v>35174</v>
      </c>
      <c r="G3138" s="2" t="s">
        <v>14104</v>
      </c>
      <c r="H3138" s="3">
        <v>43053</v>
      </c>
      <c r="I3138" s="2" t="s">
        <v>19506</v>
      </c>
      <c r="J3138" s="2" t="s">
        <v>13904</v>
      </c>
      <c r="K3138" s="2" t="s">
        <v>19211</v>
      </c>
      <c r="L3138" s="2" t="s">
        <v>19512</v>
      </c>
    </row>
    <row r="3139" spans="1:12" ht="84" customHeight="1" x14ac:dyDescent="0.3">
      <c r="A3139" s="2">
        <v>3135</v>
      </c>
      <c r="B3139" s="66" t="s">
        <v>3615</v>
      </c>
      <c r="C3139" s="66" t="s">
        <v>3200</v>
      </c>
      <c r="D3139" s="244">
        <v>3136</v>
      </c>
      <c r="E3139" s="11">
        <v>3136</v>
      </c>
      <c r="F3139" s="3">
        <v>38091</v>
      </c>
      <c r="G3139" s="2" t="s">
        <v>14104</v>
      </c>
      <c r="H3139" s="3">
        <v>43053</v>
      </c>
      <c r="I3139" s="2" t="s">
        <v>19506</v>
      </c>
      <c r="J3139" s="2" t="s">
        <v>13904</v>
      </c>
      <c r="K3139" s="2" t="s">
        <v>19211</v>
      </c>
      <c r="L3139" s="2" t="s">
        <v>19512</v>
      </c>
    </row>
    <row r="3140" spans="1:12" ht="84" customHeight="1" x14ac:dyDescent="0.3">
      <c r="A3140" s="2">
        <v>3136</v>
      </c>
      <c r="B3140" s="66" t="s">
        <v>3616</v>
      </c>
      <c r="C3140" s="66" t="s">
        <v>3617</v>
      </c>
      <c r="D3140" s="244">
        <v>8333</v>
      </c>
      <c r="E3140" s="11">
        <v>8333</v>
      </c>
      <c r="F3140" s="3">
        <v>39445</v>
      </c>
      <c r="G3140" s="2" t="s">
        <v>14104</v>
      </c>
      <c r="H3140" s="3">
        <v>43053</v>
      </c>
      <c r="I3140" s="2" t="s">
        <v>19506</v>
      </c>
      <c r="J3140" s="2" t="s">
        <v>13904</v>
      </c>
      <c r="K3140" s="2" t="s">
        <v>19211</v>
      </c>
      <c r="L3140" s="2" t="s">
        <v>19512</v>
      </c>
    </row>
    <row r="3141" spans="1:12" ht="84" customHeight="1" x14ac:dyDescent="0.3">
      <c r="A3141" s="2">
        <v>3137</v>
      </c>
      <c r="B3141" s="66" t="s">
        <v>1342</v>
      </c>
      <c r="C3141" s="66" t="s">
        <v>3618</v>
      </c>
      <c r="D3141" s="244">
        <v>12148.05</v>
      </c>
      <c r="E3141" s="11">
        <v>12148.05</v>
      </c>
      <c r="F3141" s="3">
        <v>39060</v>
      </c>
      <c r="G3141" s="2" t="s">
        <v>14104</v>
      </c>
      <c r="H3141" s="3">
        <v>43053</v>
      </c>
      <c r="I3141" s="2" t="s">
        <v>19506</v>
      </c>
      <c r="J3141" s="2" t="s">
        <v>13904</v>
      </c>
      <c r="K3141" s="2" t="s">
        <v>19211</v>
      </c>
      <c r="L3141" s="2" t="s">
        <v>19512</v>
      </c>
    </row>
    <row r="3142" spans="1:12" ht="84" customHeight="1" x14ac:dyDescent="0.3">
      <c r="A3142" s="2">
        <v>3138</v>
      </c>
      <c r="B3142" s="66" t="s">
        <v>3619</v>
      </c>
      <c r="C3142" s="66" t="s">
        <v>3299</v>
      </c>
      <c r="D3142" s="244">
        <v>7280.91</v>
      </c>
      <c r="E3142" s="11">
        <v>7280.91</v>
      </c>
      <c r="F3142" s="3">
        <v>36541</v>
      </c>
      <c r="G3142" s="2" t="s">
        <v>14104</v>
      </c>
      <c r="H3142" s="3">
        <v>43053</v>
      </c>
      <c r="I3142" s="2" t="s">
        <v>19506</v>
      </c>
      <c r="J3142" s="2" t="s">
        <v>13904</v>
      </c>
      <c r="K3142" s="2" t="s">
        <v>19211</v>
      </c>
      <c r="L3142" s="2" t="s">
        <v>19512</v>
      </c>
    </row>
    <row r="3143" spans="1:12" ht="84" customHeight="1" x14ac:dyDescent="0.3">
      <c r="A3143" s="2">
        <v>3139</v>
      </c>
      <c r="B3143" s="66" t="s">
        <v>3620</v>
      </c>
      <c r="C3143" s="66" t="s">
        <v>3204</v>
      </c>
      <c r="D3143" s="244">
        <v>8194.0400000000009</v>
      </c>
      <c r="E3143" s="11">
        <v>8194.0400000000009</v>
      </c>
      <c r="F3143" s="3">
        <v>36607</v>
      </c>
      <c r="G3143" s="2" t="s">
        <v>14104</v>
      </c>
      <c r="H3143" s="3">
        <v>43053</v>
      </c>
      <c r="I3143" s="2" t="s">
        <v>19506</v>
      </c>
      <c r="J3143" s="2" t="s">
        <v>13904</v>
      </c>
      <c r="K3143" s="2" t="s">
        <v>19211</v>
      </c>
      <c r="L3143" s="2" t="s">
        <v>19512</v>
      </c>
    </row>
    <row r="3144" spans="1:12" ht="84" customHeight="1" x14ac:dyDescent="0.3">
      <c r="A3144" s="2">
        <v>3140</v>
      </c>
      <c r="B3144" s="66" t="s">
        <v>3621</v>
      </c>
      <c r="C3144" s="66" t="s">
        <v>3199</v>
      </c>
      <c r="D3144" s="244">
        <v>22350.16</v>
      </c>
      <c r="E3144" s="11">
        <v>22350.16</v>
      </c>
      <c r="F3144" s="3">
        <v>38701</v>
      </c>
      <c r="G3144" s="2" t="s">
        <v>14104</v>
      </c>
      <c r="H3144" s="3">
        <v>43053</v>
      </c>
      <c r="I3144" s="2" t="s">
        <v>19506</v>
      </c>
      <c r="J3144" s="2" t="s">
        <v>13904</v>
      </c>
      <c r="K3144" s="2" t="s">
        <v>19211</v>
      </c>
      <c r="L3144" s="2" t="s">
        <v>19512</v>
      </c>
    </row>
    <row r="3145" spans="1:12" ht="84" customHeight="1" x14ac:dyDescent="0.3">
      <c r="A3145" s="2">
        <v>3141</v>
      </c>
      <c r="B3145" s="66" t="s">
        <v>3622</v>
      </c>
      <c r="C3145" s="66" t="s">
        <v>3623</v>
      </c>
      <c r="D3145" s="244">
        <v>13600</v>
      </c>
      <c r="E3145" s="11">
        <v>13600</v>
      </c>
      <c r="F3145" s="3">
        <v>41267</v>
      </c>
      <c r="G3145" s="2" t="s">
        <v>14104</v>
      </c>
      <c r="H3145" s="3">
        <v>43053</v>
      </c>
      <c r="I3145" s="2" t="s">
        <v>19506</v>
      </c>
      <c r="J3145" s="2" t="s">
        <v>13904</v>
      </c>
      <c r="K3145" s="2" t="s">
        <v>19211</v>
      </c>
      <c r="L3145" s="2" t="s">
        <v>19512</v>
      </c>
    </row>
    <row r="3146" spans="1:12" ht="84" customHeight="1" x14ac:dyDescent="0.3">
      <c r="A3146" s="2">
        <v>3142</v>
      </c>
      <c r="B3146" s="66" t="s">
        <v>1077</v>
      </c>
      <c r="C3146" s="66" t="s">
        <v>3206</v>
      </c>
      <c r="D3146" s="244">
        <v>9440.31</v>
      </c>
      <c r="E3146" s="11">
        <v>9440.31</v>
      </c>
      <c r="F3146" s="3">
        <v>41988</v>
      </c>
      <c r="G3146" s="2" t="s">
        <v>14104</v>
      </c>
      <c r="H3146" s="3">
        <v>43053</v>
      </c>
      <c r="I3146" s="2" t="s">
        <v>19506</v>
      </c>
      <c r="J3146" s="2" t="s">
        <v>13904</v>
      </c>
      <c r="K3146" s="2" t="s">
        <v>19211</v>
      </c>
      <c r="L3146" s="2" t="s">
        <v>19512</v>
      </c>
    </row>
    <row r="3147" spans="1:12" ht="84" customHeight="1" x14ac:dyDescent="0.3">
      <c r="A3147" s="2">
        <v>3143</v>
      </c>
      <c r="B3147" s="66" t="s">
        <v>3170</v>
      </c>
      <c r="C3147" s="66" t="s">
        <v>3624</v>
      </c>
      <c r="D3147" s="244">
        <v>9430.56</v>
      </c>
      <c r="E3147" s="11">
        <v>9430.56</v>
      </c>
      <c r="F3147" s="3">
        <v>41115</v>
      </c>
      <c r="G3147" s="2" t="s">
        <v>14104</v>
      </c>
      <c r="H3147" s="3">
        <v>43053</v>
      </c>
      <c r="I3147" s="2" t="s">
        <v>19506</v>
      </c>
      <c r="J3147" s="2" t="s">
        <v>13904</v>
      </c>
      <c r="K3147" s="2" t="s">
        <v>19211</v>
      </c>
      <c r="L3147" s="2" t="s">
        <v>19512</v>
      </c>
    </row>
    <row r="3148" spans="1:12" ht="84" customHeight="1" x14ac:dyDescent="0.3">
      <c r="A3148" s="2">
        <v>3144</v>
      </c>
      <c r="B3148" s="66" t="s">
        <v>3100</v>
      </c>
      <c r="C3148" s="66" t="s">
        <v>3625</v>
      </c>
      <c r="D3148" s="244">
        <v>27964</v>
      </c>
      <c r="E3148" s="11">
        <v>27964</v>
      </c>
      <c r="F3148" s="3">
        <v>40898</v>
      </c>
      <c r="G3148" s="2" t="s">
        <v>14104</v>
      </c>
      <c r="H3148" s="3">
        <v>43053</v>
      </c>
      <c r="I3148" s="2" t="s">
        <v>19506</v>
      </c>
      <c r="J3148" s="2" t="s">
        <v>13904</v>
      </c>
      <c r="K3148" s="2" t="s">
        <v>19211</v>
      </c>
      <c r="L3148" s="2" t="s">
        <v>19512</v>
      </c>
    </row>
    <row r="3149" spans="1:12" ht="84" customHeight="1" x14ac:dyDescent="0.3">
      <c r="A3149" s="2">
        <v>3145</v>
      </c>
      <c r="B3149" s="66" t="s">
        <v>3172</v>
      </c>
      <c r="C3149" s="66" t="s">
        <v>3626</v>
      </c>
      <c r="D3149" s="244">
        <v>4000</v>
      </c>
      <c r="E3149" s="11">
        <v>4000</v>
      </c>
      <c r="F3149" s="3">
        <v>40898</v>
      </c>
      <c r="G3149" s="2" t="s">
        <v>14104</v>
      </c>
      <c r="H3149" s="3">
        <v>43053</v>
      </c>
      <c r="I3149" s="2" t="s">
        <v>19506</v>
      </c>
      <c r="J3149" s="2" t="s">
        <v>13904</v>
      </c>
      <c r="K3149" s="2" t="s">
        <v>19211</v>
      </c>
      <c r="L3149" s="2" t="s">
        <v>19512</v>
      </c>
    </row>
    <row r="3150" spans="1:12" ht="84" customHeight="1" x14ac:dyDescent="0.3">
      <c r="A3150" s="2">
        <v>3146</v>
      </c>
      <c r="B3150" s="66" t="s">
        <v>3627</v>
      </c>
      <c r="C3150" s="66" t="s">
        <v>3628</v>
      </c>
      <c r="D3150" s="11">
        <v>3500</v>
      </c>
      <c r="E3150" s="11">
        <v>3500</v>
      </c>
      <c r="F3150" s="3">
        <v>41019</v>
      </c>
      <c r="G3150" s="2" t="s">
        <v>14104</v>
      </c>
      <c r="H3150" s="3">
        <v>43053</v>
      </c>
      <c r="I3150" s="2" t="s">
        <v>19506</v>
      </c>
      <c r="J3150" s="2" t="s">
        <v>13904</v>
      </c>
      <c r="K3150" s="2"/>
      <c r="L3150" s="2" t="s">
        <v>19512</v>
      </c>
    </row>
    <row r="3151" spans="1:12" ht="84" customHeight="1" x14ac:dyDescent="0.3">
      <c r="A3151" s="2">
        <v>3147</v>
      </c>
      <c r="B3151" s="66" t="s">
        <v>3629</v>
      </c>
      <c r="C3151" s="66" t="s">
        <v>3630</v>
      </c>
      <c r="D3151" s="244">
        <v>3500</v>
      </c>
      <c r="E3151" s="11">
        <v>3500</v>
      </c>
      <c r="F3151" s="3">
        <v>39808</v>
      </c>
      <c r="G3151" s="2" t="s">
        <v>14104</v>
      </c>
      <c r="H3151" s="3">
        <v>43053</v>
      </c>
      <c r="I3151" s="2" t="s">
        <v>19506</v>
      </c>
      <c r="J3151" s="2" t="s">
        <v>13904</v>
      </c>
      <c r="K3151" s="2" t="s">
        <v>19211</v>
      </c>
      <c r="L3151" s="2" t="s">
        <v>19512</v>
      </c>
    </row>
    <row r="3152" spans="1:12" ht="84" customHeight="1" x14ac:dyDescent="0.3">
      <c r="A3152" s="2">
        <v>3148</v>
      </c>
      <c r="B3152" s="66" t="s">
        <v>3631</v>
      </c>
      <c r="C3152" s="66" t="s">
        <v>3632</v>
      </c>
      <c r="D3152" s="244">
        <v>7581.9</v>
      </c>
      <c r="E3152" s="11">
        <v>7581.9</v>
      </c>
      <c r="F3152" s="3">
        <v>36580</v>
      </c>
      <c r="G3152" s="2" t="s">
        <v>14104</v>
      </c>
      <c r="H3152" s="3">
        <v>43053</v>
      </c>
      <c r="I3152" s="2" t="s">
        <v>19506</v>
      </c>
      <c r="J3152" s="2" t="s">
        <v>13904</v>
      </c>
      <c r="K3152" s="2" t="s">
        <v>19211</v>
      </c>
      <c r="L3152" s="2" t="s">
        <v>19512</v>
      </c>
    </row>
    <row r="3153" spans="1:12" ht="84" customHeight="1" x14ac:dyDescent="0.3">
      <c r="A3153" s="2">
        <v>3149</v>
      </c>
      <c r="B3153" s="66" t="s">
        <v>3633</v>
      </c>
      <c r="C3153" s="66" t="s">
        <v>3216</v>
      </c>
      <c r="D3153" s="244">
        <v>3293</v>
      </c>
      <c r="E3153" s="11">
        <v>3293</v>
      </c>
      <c r="F3153" s="3">
        <v>39416</v>
      </c>
      <c r="G3153" s="2" t="s">
        <v>14104</v>
      </c>
      <c r="H3153" s="3">
        <v>43053</v>
      </c>
      <c r="I3153" s="2" t="s">
        <v>19506</v>
      </c>
      <c r="J3153" s="2" t="s">
        <v>13904</v>
      </c>
      <c r="K3153" s="2" t="s">
        <v>19211</v>
      </c>
      <c r="L3153" s="2" t="s">
        <v>19512</v>
      </c>
    </row>
    <row r="3154" spans="1:12" ht="84" customHeight="1" x14ac:dyDescent="0.3">
      <c r="A3154" s="2">
        <v>3150</v>
      </c>
      <c r="B3154" s="66" t="s">
        <v>3634</v>
      </c>
      <c r="C3154" s="66" t="s">
        <v>3635</v>
      </c>
      <c r="D3154" s="244">
        <v>3556</v>
      </c>
      <c r="E3154" s="11">
        <v>3556</v>
      </c>
      <c r="F3154" s="3">
        <v>36608</v>
      </c>
      <c r="G3154" s="2" t="s">
        <v>14104</v>
      </c>
      <c r="H3154" s="3">
        <v>43053</v>
      </c>
      <c r="I3154" s="2" t="s">
        <v>19506</v>
      </c>
      <c r="J3154" s="2" t="s">
        <v>13904</v>
      </c>
      <c r="K3154" s="2" t="s">
        <v>19211</v>
      </c>
      <c r="L3154" s="2" t="s">
        <v>19512</v>
      </c>
    </row>
    <row r="3155" spans="1:12" ht="84" customHeight="1" x14ac:dyDescent="0.3">
      <c r="A3155" s="2">
        <v>3151</v>
      </c>
      <c r="B3155" s="66" t="s">
        <v>3110</v>
      </c>
      <c r="C3155" s="66" t="s">
        <v>3636</v>
      </c>
      <c r="D3155" s="244">
        <v>6350</v>
      </c>
      <c r="E3155" s="11">
        <v>6350</v>
      </c>
      <c r="F3155" s="3">
        <v>35175</v>
      </c>
      <c r="G3155" s="2" t="s">
        <v>14104</v>
      </c>
      <c r="H3155" s="3">
        <v>43053</v>
      </c>
      <c r="I3155" s="2" t="s">
        <v>19506</v>
      </c>
      <c r="J3155" s="2" t="s">
        <v>13904</v>
      </c>
      <c r="K3155" s="2" t="s">
        <v>19211</v>
      </c>
      <c r="L3155" s="2" t="s">
        <v>19512</v>
      </c>
    </row>
    <row r="3156" spans="1:12" ht="84" customHeight="1" x14ac:dyDescent="0.3">
      <c r="A3156" s="2">
        <v>3152</v>
      </c>
      <c r="B3156" s="66" t="s">
        <v>3637</v>
      </c>
      <c r="C3156" s="66" t="s">
        <v>3638</v>
      </c>
      <c r="D3156" s="244">
        <v>9090</v>
      </c>
      <c r="E3156" s="11">
        <v>9090</v>
      </c>
      <c r="F3156" s="3">
        <v>39442</v>
      </c>
      <c r="G3156" s="2" t="s">
        <v>14104</v>
      </c>
      <c r="H3156" s="3">
        <v>43053</v>
      </c>
      <c r="I3156" s="2" t="s">
        <v>19506</v>
      </c>
      <c r="J3156" s="2" t="s">
        <v>13904</v>
      </c>
      <c r="K3156" s="2" t="s">
        <v>19211</v>
      </c>
      <c r="L3156" s="2" t="s">
        <v>19512</v>
      </c>
    </row>
    <row r="3157" spans="1:12" ht="84" customHeight="1" x14ac:dyDescent="0.3">
      <c r="A3157" s="2">
        <v>3153</v>
      </c>
      <c r="B3157" s="66" t="s">
        <v>3639</v>
      </c>
      <c r="C3157" s="66" t="s">
        <v>3362</v>
      </c>
      <c r="D3157" s="244">
        <v>3909.17</v>
      </c>
      <c r="E3157" s="11">
        <v>3909.17</v>
      </c>
      <c r="F3157" s="3">
        <v>39066</v>
      </c>
      <c r="G3157" s="2" t="s">
        <v>14104</v>
      </c>
      <c r="H3157" s="3">
        <v>43053</v>
      </c>
      <c r="I3157" s="2" t="s">
        <v>19506</v>
      </c>
      <c r="J3157" s="2" t="s">
        <v>13904</v>
      </c>
      <c r="K3157" s="2" t="s">
        <v>19211</v>
      </c>
      <c r="L3157" s="2" t="s">
        <v>19512</v>
      </c>
    </row>
    <row r="3158" spans="1:12" ht="84" customHeight="1" x14ac:dyDescent="0.3">
      <c r="A3158" s="2">
        <v>3154</v>
      </c>
      <c r="B3158" s="66" t="s">
        <v>3640</v>
      </c>
      <c r="C3158" s="66" t="s">
        <v>3641</v>
      </c>
      <c r="D3158" s="244">
        <v>5970</v>
      </c>
      <c r="E3158" s="11">
        <v>5970</v>
      </c>
      <c r="F3158" s="3">
        <v>41270</v>
      </c>
      <c r="G3158" s="2" t="s">
        <v>14104</v>
      </c>
      <c r="H3158" s="3">
        <v>43053</v>
      </c>
      <c r="I3158" s="2" t="s">
        <v>19506</v>
      </c>
      <c r="J3158" s="2" t="s">
        <v>13904</v>
      </c>
      <c r="K3158" s="2" t="s">
        <v>19211</v>
      </c>
      <c r="L3158" s="2" t="s">
        <v>19512</v>
      </c>
    </row>
    <row r="3159" spans="1:12" ht="84" customHeight="1" x14ac:dyDescent="0.3">
      <c r="A3159" s="2">
        <v>3155</v>
      </c>
      <c r="B3159" s="66" t="s">
        <v>3642</v>
      </c>
      <c r="C3159" s="66" t="s">
        <v>3643</v>
      </c>
      <c r="D3159" s="244">
        <v>6200</v>
      </c>
      <c r="E3159" s="11">
        <v>6200</v>
      </c>
      <c r="F3159" s="3">
        <v>41267</v>
      </c>
      <c r="G3159" s="2" t="s">
        <v>14104</v>
      </c>
      <c r="H3159" s="3">
        <v>43053</v>
      </c>
      <c r="I3159" s="2" t="s">
        <v>19506</v>
      </c>
      <c r="J3159" s="2" t="s">
        <v>13904</v>
      </c>
      <c r="K3159" s="2" t="s">
        <v>19211</v>
      </c>
      <c r="L3159" s="2" t="s">
        <v>19512</v>
      </c>
    </row>
    <row r="3160" spans="1:12" ht="84" customHeight="1" x14ac:dyDescent="0.3">
      <c r="A3160" s="2">
        <v>3156</v>
      </c>
      <c r="B3160" s="66" t="s">
        <v>3642</v>
      </c>
      <c r="C3160" s="66" t="s">
        <v>3644</v>
      </c>
      <c r="D3160" s="244">
        <v>6200</v>
      </c>
      <c r="E3160" s="11">
        <v>6200</v>
      </c>
      <c r="F3160" s="3">
        <v>41267</v>
      </c>
      <c r="G3160" s="2" t="s">
        <v>14104</v>
      </c>
      <c r="H3160" s="3">
        <v>43053</v>
      </c>
      <c r="I3160" s="2" t="s">
        <v>19506</v>
      </c>
      <c r="J3160" s="2" t="s">
        <v>13904</v>
      </c>
      <c r="K3160" s="2" t="s">
        <v>19211</v>
      </c>
      <c r="L3160" s="2" t="s">
        <v>19512</v>
      </c>
    </row>
    <row r="3161" spans="1:12" ht="84" customHeight="1" x14ac:dyDescent="0.3">
      <c r="A3161" s="2">
        <v>3157</v>
      </c>
      <c r="B3161" s="66" t="s">
        <v>3642</v>
      </c>
      <c r="C3161" s="66" t="s">
        <v>3645</v>
      </c>
      <c r="D3161" s="244">
        <v>6200</v>
      </c>
      <c r="E3161" s="11">
        <v>6200</v>
      </c>
      <c r="F3161" s="3">
        <v>41267</v>
      </c>
      <c r="G3161" s="2" t="s">
        <v>14104</v>
      </c>
      <c r="H3161" s="3">
        <v>43053</v>
      </c>
      <c r="I3161" s="2" t="s">
        <v>19506</v>
      </c>
      <c r="J3161" s="2" t="s">
        <v>13904</v>
      </c>
      <c r="K3161" s="2" t="s">
        <v>19211</v>
      </c>
      <c r="L3161" s="2" t="s">
        <v>19512</v>
      </c>
    </row>
    <row r="3162" spans="1:12" ht="84" customHeight="1" x14ac:dyDescent="0.3">
      <c r="A3162" s="2">
        <v>3158</v>
      </c>
      <c r="B3162" s="66" t="s">
        <v>3646</v>
      </c>
      <c r="C3162" s="66" t="s">
        <v>3647</v>
      </c>
      <c r="D3162" s="244">
        <v>11970.3</v>
      </c>
      <c r="E3162" s="11">
        <v>11970.3</v>
      </c>
      <c r="F3162" s="3">
        <v>41558</v>
      </c>
      <c r="G3162" s="2" t="s">
        <v>14104</v>
      </c>
      <c r="H3162" s="3">
        <v>43053</v>
      </c>
      <c r="I3162" s="2" t="s">
        <v>19506</v>
      </c>
      <c r="J3162" s="2" t="s">
        <v>13904</v>
      </c>
      <c r="K3162" s="2" t="s">
        <v>19211</v>
      </c>
      <c r="L3162" s="2" t="s">
        <v>19512</v>
      </c>
    </row>
    <row r="3163" spans="1:12" ht="84" customHeight="1" x14ac:dyDescent="0.3">
      <c r="A3163" s="2">
        <v>3159</v>
      </c>
      <c r="B3163" s="66" t="s">
        <v>3648</v>
      </c>
      <c r="C3163" s="66" t="s">
        <v>3649</v>
      </c>
      <c r="D3163" s="244">
        <v>12809.93</v>
      </c>
      <c r="E3163" s="11">
        <v>12809.93</v>
      </c>
      <c r="F3163" s="3">
        <v>41558</v>
      </c>
      <c r="G3163" s="2" t="s">
        <v>14104</v>
      </c>
      <c r="H3163" s="3">
        <v>43053</v>
      </c>
      <c r="I3163" s="2" t="s">
        <v>19506</v>
      </c>
      <c r="J3163" s="2" t="s">
        <v>13904</v>
      </c>
      <c r="K3163" s="2" t="s">
        <v>19211</v>
      </c>
      <c r="L3163" s="2" t="s">
        <v>19512</v>
      </c>
    </row>
    <row r="3164" spans="1:12" ht="84" customHeight="1" x14ac:dyDescent="0.3">
      <c r="A3164" s="2">
        <v>3160</v>
      </c>
      <c r="B3164" s="66" t="s">
        <v>3650</v>
      </c>
      <c r="C3164" s="66" t="s">
        <v>3148</v>
      </c>
      <c r="D3164" s="244">
        <v>4970</v>
      </c>
      <c r="E3164" s="11">
        <v>4970</v>
      </c>
      <c r="F3164" s="3">
        <v>41865</v>
      </c>
      <c r="G3164" s="2" t="s">
        <v>14104</v>
      </c>
      <c r="H3164" s="3">
        <v>43053</v>
      </c>
      <c r="I3164" s="2" t="s">
        <v>19506</v>
      </c>
      <c r="J3164" s="2" t="s">
        <v>13904</v>
      </c>
      <c r="K3164" s="2" t="s">
        <v>19211</v>
      </c>
      <c r="L3164" s="2" t="s">
        <v>19512</v>
      </c>
    </row>
    <row r="3165" spans="1:12" ht="84" customHeight="1" x14ac:dyDescent="0.3">
      <c r="A3165" s="2">
        <v>3161</v>
      </c>
      <c r="B3165" s="66" t="s">
        <v>3650</v>
      </c>
      <c r="C3165" s="66" t="s">
        <v>3147</v>
      </c>
      <c r="D3165" s="244">
        <v>4970</v>
      </c>
      <c r="E3165" s="11">
        <v>4970</v>
      </c>
      <c r="F3165" s="3">
        <v>41865</v>
      </c>
      <c r="G3165" s="2" t="s">
        <v>14104</v>
      </c>
      <c r="H3165" s="3">
        <v>43053</v>
      </c>
      <c r="I3165" s="2" t="s">
        <v>19506</v>
      </c>
      <c r="J3165" s="2" t="s">
        <v>13904</v>
      </c>
      <c r="K3165" s="2" t="s">
        <v>19211</v>
      </c>
      <c r="L3165" s="2" t="s">
        <v>19512</v>
      </c>
    </row>
    <row r="3166" spans="1:12" ht="84" customHeight="1" x14ac:dyDescent="0.3">
      <c r="A3166" s="2">
        <v>3162</v>
      </c>
      <c r="B3166" s="66" t="s">
        <v>3650</v>
      </c>
      <c r="C3166" s="66" t="s">
        <v>3149</v>
      </c>
      <c r="D3166" s="244">
        <v>4970</v>
      </c>
      <c r="E3166" s="11">
        <v>4970</v>
      </c>
      <c r="F3166" s="3">
        <v>41865</v>
      </c>
      <c r="G3166" s="2" t="s">
        <v>14104</v>
      </c>
      <c r="H3166" s="3">
        <v>43053</v>
      </c>
      <c r="I3166" s="2" t="s">
        <v>19506</v>
      </c>
      <c r="J3166" s="2" t="s">
        <v>13904</v>
      </c>
      <c r="K3166" s="2" t="s">
        <v>19211</v>
      </c>
      <c r="L3166" s="2" t="s">
        <v>19512</v>
      </c>
    </row>
    <row r="3167" spans="1:12" ht="84" customHeight="1" x14ac:dyDescent="0.3">
      <c r="A3167" s="2">
        <v>3163</v>
      </c>
      <c r="B3167" s="66" t="s">
        <v>3650</v>
      </c>
      <c r="C3167" s="66" t="s">
        <v>3241</v>
      </c>
      <c r="D3167" s="244">
        <v>4970</v>
      </c>
      <c r="E3167" s="11">
        <v>4970</v>
      </c>
      <c r="F3167" s="3">
        <v>41865</v>
      </c>
      <c r="G3167" s="2" t="s">
        <v>14104</v>
      </c>
      <c r="H3167" s="3">
        <v>43053</v>
      </c>
      <c r="I3167" s="2" t="s">
        <v>19506</v>
      </c>
      <c r="J3167" s="2" t="s">
        <v>13904</v>
      </c>
      <c r="K3167" s="2" t="s">
        <v>19211</v>
      </c>
      <c r="L3167" s="2" t="s">
        <v>19512</v>
      </c>
    </row>
    <row r="3168" spans="1:12" ht="84" customHeight="1" x14ac:dyDescent="0.3">
      <c r="A3168" s="2">
        <v>3164</v>
      </c>
      <c r="B3168" s="66" t="s">
        <v>3651</v>
      </c>
      <c r="C3168" s="66" t="s">
        <v>3146</v>
      </c>
      <c r="D3168" s="244">
        <v>24800</v>
      </c>
      <c r="E3168" s="11">
        <v>24800</v>
      </c>
      <c r="F3168" s="3">
        <v>41828</v>
      </c>
      <c r="G3168" s="2" t="s">
        <v>14104</v>
      </c>
      <c r="H3168" s="3">
        <v>43053</v>
      </c>
      <c r="I3168" s="2" t="s">
        <v>19506</v>
      </c>
      <c r="J3168" s="2" t="s">
        <v>13904</v>
      </c>
      <c r="K3168" s="2" t="s">
        <v>19211</v>
      </c>
      <c r="L3168" s="2" t="s">
        <v>19512</v>
      </c>
    </row>
    <row r="3169" spans="1:15" ht="84" customHeight="1" x14ac:dyDescent="0.3">
      <c r="A3169" s="2">
        <v>3165</v>
      </c>
      <c r="B3169" s="66" t="s">
        <v>3652</v>
      </c>
      <c r="C3169" s="66" t="s">
        <v>3145</v>
      </c>
      <c r="D3169" s="244">
        <v>3930</v>
      </c>
      <c r="E3169" s="11">
        <v>3930</v>
      </c>
      <c r="F3169" s="3">
        <v>41105</v>
      </c>
      <c r="G3169" s="2" t="s">
        <v>14104</v>
      </c>
      <c r="H3169" s="3">
        <v>43053</v>
      </c>
      <c r="I3169" s="2" t="s">
        <v>19506</v>
      </c>
      <c r="J3169" s="2" t="s">
        <v>13904</v>
      </c>
      <c r="K3169" s="2" t="s">
        <v>19211</v>
      </c>
      <c r="L3169" s="2" t="s">
        <v>19512</v>
      </c>
    </row>
    <row r="3170" spans="1:15" ht="84" customHeight="1" x14ac:dyDescent="0.3">
      <c r="A3170" s="2">
        <v>3166</v>
      </c>
      <c r="B3170" s="66" t="s">
        <v>3653</v>
      </c>
      <c r="C3170" s="66" t="s">
        <v>3654</v>
      </c>
      <c r="D3170" s="244">
        <v>4319.9799999999996</v>
      </c>
      <c r="E3170" s="11">
        <v>4319.9799999999996</v>
      </c>
      <c r="F3170" s="3">
        <v>41115</v>
      </c>
      <c r="G3170" s="2" t="s">
        <v>14104</v>
      </c>
      <c r="H3170" s="3">
        <v>43053</v>
      </c>
      <c r="I3170" s="2" t="s">
        <v>19506</v>
      </c>
      <c r="J3170" s="2" t="s">
        <v>13904</v>
      </c>
      <c r="K3170" s="2" t="s">
        <v>19211</v>
      </c>
      <c r="L3170" s="2" t="s">
        <v>19512</v>
      </c>
    </row>
    <row r="3171" spans="1:15" ht="84" customHeight="1" x14ac:dyDescent="0.3">
      <c r="A3171" s="2">
        <v>3167</v>
      </c>
      <c r="B3171" s="66" t="s">
        <v>3655</v>
      </c>
      <c r="C3171" s="66" t="s">
        <v>3656</v>
      </c>
      <c r="D3171" s="244">
        <v>6096</v>
      </c>
      <c r="E3171" s="11">
        <v>6096</v>
      </c>
      <c r="F3171" s="3">
        <v>35936</v>
      </c>
      <c r="G3171" s="2" t="s">
        <v>14104</v>
      </c>
      <c r="H3171" s="3">
        <v>43053</v>
      </c>
      <c r="I3171" s="2" t="s">
        <v>19506</v>
      </c>
      <c r="J3171" s="2" t="s">
        <v>13904</v>
      </c>
      <c r="K3171" s="2" t="s">
        <v>19211</v>
      </c>
      <c r="L3171" s="2" t="s">
        <v>19512</v>
      </c>
    </row>
    <row r="3172" spans="1:15" ht="84" customHeight="1" x14ac:dyDescent="0.3">
      <c r="A3172" s="2">
        <v>3168</v>
      </c>
      <c r="B3172" s="66" t="s">
        <v>3657</v>
      </c>
      <c r="C3172" s="66" t="s">
        <v>3151</v>
      </c>
      <c r="D3172" s="244">
        <v>7200</v>
      </c>
      <c r="E3172" s="11">
        <v>7200</v>
      </c>
      <c r="F3172" s="3">
        <v>41969</v>
      </c>
      <c r="G3172" s="2" t="s">
        <v>14104</v>
      </c>
      <c r="H3172" s="3">
        <v>43053</v>
      </c>
      <c r="I3172" s="2" t="s">
        <v>19506</v>
      </c>
      <c r="J3172" s="2" t="s">
        <v>13904</v>
      </c>
      <c r="K3172" s="2" t="s">
        <v>19211</v>
      </c>
      <c r="L3172" s="2" t="s">
        <v>19512</v>
      </c>
    </row>
    <row r="3173" spans="1:15" ht="84" customHeight="1" x14ac:dyDescent="0.3">
      <c r="A3173" s="2">
        <v>3169</v>
      </c>
      <c r="B3173" s="66" t="s">
        <v>3658</v>
      </c>
      <c r="C3173" s="66" t="s">
        <v>3152</v>
      </c>
      <c r="D3173" s="244">
        <v>15300</v>
      </c>
      <c r="E3173" s="11">
        <v>15300</v>
      </c>
      <c r="F3173" s="3">
        <v>41969</v>
      </c>
      <c r="G3173" s="2" t="s">
        <v>14104</v>
      </c>
      <c r="H3173" s="3">
        <v>43053</v>
      </c>
      <c r="I3173" s="2" t="s">
        <v>19506</v>
      </c>
      <c r="J3173" s="2" t="s">
        <v>13904</v>
      </c>
      <c r="K3173" s="2" t="s">
        <v>19211</v>
      </c>
      <c r="L3173" s="2" t="s">
        <v>19512</v>
      </c>
    </row>
    <row r="3174" spans="1:15" ht="84" customHeight="1" x14ac:dyDescent="0.3">
      <c r="A3174" s="2">
        <v>3170</v>
      </c>
      <c r="B3174" s="66" t="s">
        <v>3659</v>
      </c>
      <c r="C3174" s="66" t="s">
        <v>3153</v>
      </c>
      <c r="D3174" s="244">
        <v>5150</v>
      </c>
      <c r="E3174" s="11">
        <v>5150</v>
      </c>
      <c r="F3174" s="3">
        <v>41969</v>
      </c>
      <c r="G3174" s="2" t="s">
        <v>14104</v>
      </c>
      <c r="H3174" s="3">
        <v>43053</v>
      </c>
      <c r="I3174" s="2" t="s">
        <v>19506</v>
      </c>
      <c r="J3174" s="2" t="s">
        <v>13904</v>
      </c>
      <c r="K3174" s="2" t="s">
        <v>19211</v>
      </c>
      <c r="L3174" s="2" t="s">
        <v>19512</v>
      </c>
    </row>
    <row r="3175" spans="1:15" ht="84" customHeight="1" x14ac:dyDescent="0.3">
      <c r="A3175" s="2">
        <v>3171</v>
      </c>
      <c r="B3175" s="66" t="s">
        <v>3660</v>
      </c>
      <c r="C3175" s="66" t="s">
        <v>3154</v>
      </c>
      <c r="D3175" s="244">
        <v>4800</v>
      </c>
      <c r="E3175" s="11">
        <v>4800</v>
      </c>
      <c r="F3175" s="3">
        <v>41969</v>
      </c>
      <c r="G3175" s="2" t="s">
        <v>14104</v>
      </c>
      <c r="H3175" s="3">
        <v>43053</v>
      </c>
      <c r="I3175" s="2" t="s">
        <v>19506</v>
      </c>
      <c r="J3175" s="2" t="s">
        <v>13904</v>
      </c>
      <c r="K3175" s="2" t="s">
        <v>19211</v>
      </c>
      <c r="L3175" s="2" t="s">
        <v>19512</v>
      </c>
    </row>
    <row r="3176" spans="1:15" s="19" customFormat="1" ht="84" customHeight="1" x14ac:dyDescent="0.3">
      <c r="A3176" s="2">
        <v>3172</v>
      </c>
      <c r="B3176" s="66" t="s">
        <v>3661</v>
      </c>
      <c r="C3176" s="66" t="s">
        <v>3662</v>
      </c>
      <c r="D3176" s="11">
        <v>60000</v>
      </c>
      <c r="E3176" s="11">
        <v>8500</v>
      </c>
      <c r="F3176" s="3">
        <v>41631</v>
      </c>
      <c r="G3176" s="2" t="s">
        <v>14104</v>
      </c>
      <c r="H3176" s="2"/>
      <c r="I3176" s="2"/>
      <c r="J3176" s="2" t="s">
        <v>13904</v>
      </c>
      <c r="K3176" s="2" t="s">
        <v>19275</v>
      </c>
      <c r="L3176" s="82" t="s">
        <v>20119</v>
      </c>
      <c r="M3176" s="18"/>
      <c r="N3176" s="18"/>
      <c r="O3176" s="18"/>
    </row>
    <row r="3177" spans="1:15" ht="84" customHeight="1" x14ac:dyDescent="0.3">
      <c r="A3177" s="2">
        <v>3173</v>
      </c>
      <c r="B3177" s="66" t="s">
        <v>23426</v>
      </c>
      <c r="C3177" s="66">
        <v>4101260001</v>
      </c>
      <c r="D3177" s="11">
        <v>103980</v>
      </c>
      <c r="E3177" s="11"/>
      <c r="F3177" s="3" t="s">
        <v>23403</v>
      </c>
      <c r="G3177" s="2" t="s">
        <v>23427</v>
      </c>
      <c r="H3177" s="3"/>
      <c r="I3177" s="2"/>
      <c r="J3177" s="2" t="s">
        <v>13904</v>
      </c>
      <c r="K3177" s="2" t="s">
        <v>23497</v>
      </c>
      <c r="L3177" s="2" t="s">
        <v>23500</v>
      </c>
    </row>
    <row r="3178" spans="1:15" ht="84" customHeight="1" x14ac:dyDescent="0.3">
      <c r="A3178" s="2">
        <v>3174</v>
      </c>
      <c r="B3178" s="66" t="s">
        <v>1062</v>
      </c>
      <c r="C3178" s="66" t="s">
        <v>3344</v>
      </c>
      <c r="D3178" s="11">
        <v>73519.100000000006</v>
      </c>
      <c r="E3178" s="11">
        <v>7351.92</v>
      </c>
      <c r="F3178" s="3">
        <v>42004</v>
      </c>
      <c r="G3178" s="2" t="s">
        <v>14104</v>
      </c>
      <c r="H3178" s="2"/>
      <c r="I3178" s="2"/>
      <c r="J3178" s="2" t="s">
        <v>13904</v>
      </c>
      <c r="K3178" s="2" t="s">
        <v>19275</v>
      </c>
      <c r="L3178" s="82" t="s">
        <v>18613</v>
      </c>
    </row>
    <row r="3179" spans="1:15" ht="84" customHeight="1" x14ac:dyDescent="0.3">
      <c r="A3179" s="2">
        <v>3175</v>
      </c>
      <c r="B3179" s="66" t="s">
        <v>23814</v>
      </c>
      <c r="C3179" s="66">
        <v>4101260004</v>
      </c>
      <c r="D3179" s="11">
        <v>54586</v>
      </c>
      <c r="E3179" s="11">
        <v>54586</v>
      </c>
      <c r="F3179" s="3" t="s">
        <v>23417</v>
      </c>
      <c r="G3179" s="2" t="s">
        <v>23813</v>
      </c>
      <c r="H3179" s="3"/>
      <c r="I3179" s="2"/>
      <c r="J3179" s="2" t="s">
        <v>13904</v>
      </c>
      <c r="K3179" s="2" t="s">
        <v>23811</v>
      </c>
      <c r="L3179" s="82" t="s">
        <v>23812</v>
      </c>
    </row>
    <row r="3180" spans="1:15" ht="84" customHeight="1" x14ac:dyDescent="0.3">
      <c r="A3180" s="2">
        <v>3176</v>
      </c>
      <c r="B3180" s="245" t="s">
        <v>23815</v>
      </c>
      <c r="C3180" s="66">
        <v>4101260003</v>
      </c>
      <c r="D3180" s="11">
        <v>53998</v>
      </c>
      <c r="E3180" s="11">
        <v>53998</v>
      </c>
      <c r="F3180" s="243" t="s">
        <v>23417</v>
      </c>
      <c r="G3180" s="242" t="s">
        <v>23813</v>
      </c>
      <c r="H3180" s="3"/>
      <c r="I3180" s="2"/>
      <c r="J3180" s="2" t="s">
        <v>13904</v>
      </c>
      <c r="K3180" s="242" t="s">
        <v>23811</v>
      </c>
      <c r="L3180" s="246" t="s">
        <v>23812</v>
      </c>
    </row>
    <row r="3181" spans="1:15" ht="84" customHeight="1" x14ac:dyDescent="0.3">
      <c r="A3181" s="2">
        <v>3177</v>
      </c>
      <c r="B3181" s="245" t="s">
        <v>23816</v>
      </c>
      <c r="C3181" s="66">
        <v>4101260002</v>
      </c>
      <c r="D3181" s="11">
        <v>55860</v>
      </c>
      <c r="E3181" s="11">
        <v>55860</v>
      </c>
      <c r="F3181" s="243" t="s">
        <v>23417</v>
      </c>
      <c r="G3181" s="242" t="s">
        <v>23813</v>
      </c>
      <c r="H3181" s="3"/>
      <c r="I3181" s="2"/>
      <c r="J3181" s="2" t="s">
        <v>13904</v>
      </c>
      <c r="K3181" s="242" t="s">
        <v>23811</v>
      </c>
      <c r="L3181" s="246" t="s">
        <v>23812</v>
      </c>
    </row>
    <row r="3182" spans="1:15" ht="84" customHeight="1" x14ac:dyDescent="0.3">
      <c r="A3182" s="2">
        <v>3178</v>
      </c>
      <c r="B3182" s="66" t="s">
        <v>2885</v>
      </c>
      <c r="C3182" s="66" t="s">
        <v>3663</v>
      </c>
      <c r="D3182" s="11">
        <v>5500</v>
      </c>
      <c r="E3182" s="11">
        <v>5500</v>
      </c>
      <c r="F3182" s="3">
        <v>40778</v>
      </c>
      <c r="G3182" s="2" t="s">
        <v>14104</v>
      </c>
      <c r="H3182" s="3">
        <v>43053</v>
      </c>
      <c r="I3182" s="2" t="s">
        <v>19506</v>
      </c>
      <c r="J3182" s="2" t="s">
        <v>13904</v>
      </c>
      <c r="K3182" s="2" t="s">
        <v>19275</v>
      </c>
      <c r="L3182" s="82" t="s">
        <v>19512</v>
      </c>
    </row>
    <row r="3183" spans="1:15" ht="84" customHeight="1" x14ac:dyDescent="0.3">
      <c r="A3183" s="2">
        <v>3179</v>
      </c>
      <c r="B3183" s="66" t="s">
        <v>3664</v>
      </c>
      <c r="C3183" s="66" t="s">
        <v>3665</v>
      </c>
      <c r="D3183" s="11">
        <v>21200</v>
      </c>
      <c r="E3183" s="11">
        <v>21200</v>
      </c>
      <c r="F3183" s="3">
        <v>40905</v>
      </c>
      <c r="G3183" s="2" t="s">
        <v>14104</v>
      </c>
      <c r="H3183" s="3">
        <v>43053</v>
      </c>
      <c r="I3183" s="2" t="s">
        <v>19506</v>
      </c>
      <c r="J3183" s="2" t="s">
        <v>13904</v>
      </c>
      <c r="K3183" s="2" t="s">
        <v>19275</v>
      </c>
      <c r="L3183" s="82" t="s">
        <v>19512</v>
      </c>
    </row>
    <row r="3184" spans="1:15" ht="84" customHeight="1" x14ac:dyDescent="0.3">
      <c r="A3184" s="2">
        <v>3180</v>
      </c>
      <c r="B3184" s="66" t="s">
        <v>3664</v>
      </c>
      <c r="C3184" s="66" t="s">
        <v>3666</v>
      </c>
      <c r="D3184" s="11">
        <v>21200</v>
      </c>
      <c r="E3184" s="11">
        <v>21200</v>
      </c>
      <c r="F3184" s="3">
        <v>40905</v>
      </c>
      <c r="G3184" s="2" t="s">
        <v>14104</v>
      </c>
      <c r="H3184" s="3">
        <v>43053</v>
      </c>
      <c r="I3184" s="2" t="s">
        <v>19506</v>
      </c>
      <c r="J3184" s="2" t="s">
        <v>13904</v>
      </c>
      <c r="K3184" s="2" t="s">
        <v>19275</v>
      </c>
      <c r="L3184" s="82" t="s">
        <v>19512</v>
      </c>
    </row>
    <row r="3185" spans="1:12" ht="84" customHeight="1" x14ac:dyDescent="0.3">
      <c r="A3185" s="2">
        <v>3181</v>
      </c>
      <c r="B3185" s="66" t="s">
        <v>3667</v>
      </c>
      <c r="C3185" s="66" t="s">
        <v>3668</v>
      </c>
      <c r="D3185" s="11">
        <v>4000</v>
      </c>
      <c r="E3185" s="11">
        <v>4000</v>
      </c>
      <c r="F3185" s="3">
        <v>41589</v>
      </c>
      <c r="G3185" s="2" t="s">
        <v>14104</v>
      </c>
      <c r="H3185" s="3">
        <v>43053</v>
      </c>
      <c r="I3185" s="2" t="s">
        <v>19506</v>
      </c>
      <c r="J3185" s="2" t="s">
        <v>13904</v>
      </c>
      <c r="K3185" s="2" t="s">
        <v>19275</v>
      </c>
      <c r="L3185" s="82" t="s">
        <v>19512</v>
      </c>
    </row>
    <row r="3186" spans="1:12" ht="84" customHeight="1" x14ac:dyDescent="0.3">
      <c r="A3186" s="2">
        <v>3182</v>
      </c>
      <c r="B3186" s="66" t="s">
        <v>3669</v>
      </c>
      <c r="C3186" s="66" t="s">
        <v>3670</v>
      </c>
      <c r="D3186" s="11">
        <v>11587.51</v>
      </c>
      <c r="E3186" s="11">
        <v>11587.51</v>
      </c>
      <c r="F3186" s="3">
        <v>39933</v>
      </c>
      <c r="G3186" s="2" t="s">
        <v>14104</v>
      </c>
      <c r="H3186" s="3">
        <v>43053</v>
      </c>
      <c r="I3186" s="2" t="s">
        <v>19506</v>
      </c>
      <c r="J3186" s="2" t="s">
        <v>13904</v>
      </c>
      <c r="K3186" s="2" t="s">
        <v>19275</v>
      </c>
      <c r="L3186" s="82" t="s">
        <v>19512</v>
      </c>
    </row>
    <row r="3187" spans="1:12" ht="84" customHeight="1" x14ac:dyDescent="0.3">
      <c r="A3187" s="2">
        <v>3183</v>
      </c>
      <c r="B3187" s="66" t="s">
        <v>3671</v>
      </c>
      <c r="C3187" s="66" t="s">
        <v>3131</v>
      </c>
      <c r="D3187" s="11">
        <v>8229.6</v>
      </c>
      <c r="E3187" s="11">
        <v>8229.6</v>
      </c>
      <c r="F3187" s="3">
        <v>37364</v>
      </c>
      <c r="G3187" s="2" t="s">
        <v>14104</v>
      </c>
      <c r="H3187" s="3">
        <v>43053</v>
      </c>
      <c r="I3187" s="2" t="s">
        <v>19506</v>
      </c>
      <c r="J3187" s="2" t="s">
        <v>13904</v>
      </c>
      <c r="K3187" s="2" t="s">
        <v>19275</v>
      </c>
      <c r="L3187" s="82" t="s">
        <v>19512</v>
      </c>
    </row>
    <row r="3188" spans="1:12" ht="84" customHeight="1" x14ac:dyDescent="0.3">
      <c r="A3188" s="2">
        <v>3184</v>
      </c>
      <c r="B3188" s="66" t="s">
        <v>3672</v>
      </c>
      <c r="C3188" s="66" t="s">
        <v>3673</v>
      </c>
      <c r="D3188" s="11">
        <v>8540</v>
      </c>
      <c r="E3188" s="11">
        <v>8540</v>
      </c>
      <c r="F3188" s="3">
        <v>39416</v>
      </c>
      <c r="G3188" s="2" t="s">
        <v>14104</v>
      </c>
      <c r="H3188" s="3">
        <v>43053</v>
      </c>
      <c r="I3188" s="2" t="s">
        <v>19506</v>
      </c>
      <c r="J3188" s="2" t="s">
        <v>13904</v>
      </c>
      <c r="K3188" s="2" t="s">
        <v>19275</v>
      </c>
      <c r="L3188" s="82" t="s">
        <v>19512</v>
      </c>
    </row>
    <row r="3189" spans="1:12" ht="84" customHeight="1" x14ac:dyDescent="0.3">
      <c r="A3189" s="2">
        <v>3185</v>
      </c>
      <c r="B3189" s="66" t="s">
        <v>3404</v>
      </c>
      <c r="C3189" s="66" t="s">
        <v>3601</v>
      </c>
      <c r="D3189" s="11">
        <v>13186.68</v>
      </c>
      <c r="E3189" s="11">
        <v>13186.68</v>
      </c>
      <c r="F3189" s="3">
        <v>38701</v>
      </c>
      <c r="G3189" s="2" t="s">
        <v>14104</v>
      </c>
      <c r="H3189" s="3">
        <v>43053</v>
      </c>
      <c r="I3189" s="2" t="s">
        <v>19506</v>
      </c>
      <c r="J3189" s="2" t="s">
        <v>13904</v>
      </c>
      <c r="K3189" s="2" t="s">
        <v>19275</v>
      </c>
      <c r="L3189" s="82" t="s">
        <v>19512</v>
      </c>
    </row>
    <row r="3190" spans="1:12" ht="84" customHeight="1" x14ac:dyDescent="0.3">
      <c r="A3190" s="2">
        <v>3186</v>
      </c>
      <c r="B3190" s="66" t="s">
        <v>3674</v>
      </c>
      <c r="C3190" s="66" t="s">
        <v>3200</v>
      </c>
      <c r="D3190" s="11">
        <v>4318</v>
      </c>
      <c r="E3190" s="11">
        <v>4318</v>
      </c>
      <c r="F3190" s="3">
        <v>35392</v>
      </c>
      <c r="G3190" s="2" t="s">
        <v>14104</v>
      </c>
      <c r="H3190" s="3">
        <v>43053</v>
      </c>
      <c r="I3190" s="2" t="s">
        <v>19506</v>
      </c>
      <c r="J3190" s="2" t="s">
        <v>13904</v>
      </c>
      <c r="K3190" s="2" t="s">
        <v>19275</v>
      </c>
      <c r="L3190" s="82" t="s">
        <v>19512</v>
      </c>
    </row>
    <row r="3191" spans="1:12" ht="84" customHeight="1" x14ac:dyDescent="0.3">
      <c r="A3191" s="2">
        <v>3187</v>
      </c>
      <c r="B3191" s="66" t="s">
        <v>3675</v>
      </c>
      <c r="C3191" s="66" t="s">
        <v>3618</v>
      </c>
      <c r="D3191" s="11">
        <v>32485.200000000001</v>
      </c>
      <c r="E3191" s="11">
        <v>32485.200000000001</v>
      </c>
      <c r="F3191" s="3">
        <v>38701</v>
      </c>
      <c r="G3191" s="2" t="s">
        <v>14104</v>
      </c>
      <c r="H3191" s="3">
        <v>43053</v>
      </c>
      <c r="I3191" s="2" t="s">
        <v>19506</v>
      </c>
      <c r="J3191" s="2" t="s">
        <v>13904</v>
      </c>
      <c r="K3191" s="2" t="s">
        <v>19275</v>
      </c>
      <c r="L3191" s="82" t="s">
        <v>19512</v>
      </c>
    </row>
    <row r="3192" spans="1:12" ht="84" customHeight="1" x14ac:dyDescent="0.3">
      <c r="A3192" s="2">
        <v>3188</v>
      </c>
      <c r="B3192" s="66" t="s">
        <v>3676</v>
      </c>
      <c r="C3192" s="66" t="s">
        <v>3677</v>
      </c>
      <c r="D3192" s="11">
        <v>3437.89</v>
      </c>
      <c r="E3192" s="11">
        <v>3437.89</v>
      </c>
      <c r="F3192" s="3">
        <v>35087</v>
      </c>
      <c r="G3192" s="2" t="s">
        <v>14104</v>
      </c>
      <c r="H3192" s="3">
        <v>43053</v>
      </c>
      <c r="I3192" s="2" t="s">
        <v>19506</v>
      </c>
      <c r="J3192" s="2" t="s">
        <v>13904</v>
      </c>
      <c r="K3192" s="2" t="s">
        <v>19275</v>
      </c>
      <c r="L3192" s="82" t="s">
        <v>19512</v>
      </c>
    </row>
    <row r="3193" spans="1:12" ht="84" customHeight="1" x14ac:dyDescent="0.3">
      <c r="A3193" s="2">
        <v>3189</v>
      </c>
      <c r="B3193" s="66" t="s">
        <v>3678</v>
      </c>
      <c r="C3193" s="66" t="s">
        <v>3301</v>
      </c>
      <c r="D3193" s="11">
        <v>5499</v>
      </c>
      <c r="E3193" s="11">
        <v>5499</v>
      </c>
      <c r="F3193" s="3">
        <v>40270</v>
      </c>
      <c r="G3193" s="2" t="s">
        <v>14104</v>
      </c>
      <c r="H3193" s="3">
        <v>43053</v>
      </c>
      <c r="I3193" s="2" t="s">
        <v>19506</v>
      </c>
      <c r="J3193" s="2" t="s">
        <v>13904</v>
      </c>
      <c r="K3193" s="2" t="s">
        <v>19275</v>
      </c>
      <c r="L3193" s="82" t="s">
        <v>19512</v>
      </c>
    </row>
    <row r="3194" spans="1:12" ht="84" customHeight="1" x14ac:dyDescent="0.3">
      <c r="A3194" s="2">
        <v>3190</v>
      </c>
      <c r="B3194" s="66" t="s">
        <v>3679</v>
      </c>
      <c r="C3194" s="66" t="s">
        <v>3203</v>
      </c>
      <c r="D3194" s="11">
        <v>7844.79</v>
      </c>
      <c r="E3194" s="11">
        <v>7844.79</v>
      </c>
      <c r="F3194" s="3">
        <v>35836</v>
      </c>
      <c r="G3194" s="2" t="s">
        <v>14104</v>
      </c>
      <c r="H3194" s="3">
        <v>43053</v>
      </c>
      <c r="I3194" s="2" t="s">
        <v>19506</v>
      </c>
      <c r="J3194" s="2" t="s">
        <v>13904</v>
      </c>
      <c r="K3194" s="2" t="s">
        <v>19275</v>
      </c>
      <c r="L3194" s="82" t="s">
        <v>19512</v>
      </c>
    </row>
    <row r="3195" spans="1:12" ht="84" customHeight="1" x14ac:dyDescent="0.3">
      <c r="A3195" s="2">
        <v>3191</v>
      </c>
      <c r="B3195" s="66" t="s">
        <v>3680</v>
      </c>
      <c r="C3195" s="66" t="s">
        <v>3681</v>
      </c>
      <c r="D3195" s="11">
        <v>7404.1</v>
      </c>
      <c r="E3195" s="11">
        <v>7404.1</v>
      </c>
      <c r="F3195" s="3">
        <v>35379</v>
      </c>
      <c r="G3195" s="2" t="s">
        <v>14104</v>
      </c>
      <c r="H3195" s="3">
        <v>43053</v>
      </c>
      <c r="I3195" s="2" t="s">
        <v>19506</v>
      </c>
      <c r="J3195" s="2" t="s">
        <v>13904</v>
      </c>
      <c r="K3195" s="2" t="s">
        <v>19275</v>
      </c>
      <c r="L3195" s="82" t="s">
        <v>19512</v>
      </c>
    </row>
    <row r="3196" spans="1:12" ht="84" customHeight="1" x14ac:dyDescent="0.3">
      <c r="A3196" s="2">
        <v>3192</v>
      </c>
      <c r="B3196" s="66" t="s">
        <v>3682</v>
      </c>
      <c r="C3196" s="66" t="s">
        <v>3614</v>
      </c>
      <c r="D3196" s="11">
        <v>12900.01</v>
      </c>
      <c r="E3196" s="11">
        <v>12900.01</v>
      </c>
      <c r="F3196" s="3">
        <v>39414</v>
      </c>
      <c r="G3196" s="2" t="s">
        <v>14104</v>
      </c>
      <c r="H3196" s="3">
        <v>43053</v>
      </c>
      <c r="I3196" s="2" t="s">
        <v>19506</v>
      </c>
      <c r="J3196" s="2" t="s">
        <v>13904</v>
      </c>
      <c r="K3196" s="2" t="s">
        <v>19275</v>
      </c>
      <c r="L3196" s="82" t="s">
        <v>19512</v>
      </c>
    </row>
    <row r="3197" spans="1:12" ht="84" customHeight="1" x14ac:dyDescent="0.3">
      <c r="A3197" s="2">
        <v>3193</v>
      </c>
      <c r="B3197" s="66" t="s">
        <v>3683</v>
      </c>
      <c r="C3197" s="66" t="s">
        <v>3684</v>
      </c>
      <c r="D3197" s="11">
        <v>3500</v>
      </c>
      <c r="E3197" s="11">
        <v>3500</v>
      </c>
      <c r="F3197" s="3">
        <v>42068</v>
      </c>
      <c r="G3197" s="2" t="s">
        <v>14104</v>
      </c>
      <c r="H3197" s="3">
        <v>43053</v>
      </c>
      <c r="I3197" s="2" t="s">
        <v>19506</v>
      </c>
      <c r="J3197" s="2" t="s">
        <v>13904</v>
      </c>
      <c r="K3197" s="2" t="s">
        <v>19275</v>
      </c>
      <c r="L3197" s="82" t="s">
        <v>19512</v>
      </c>
    </row>
    <row r="3198" spans="1:12" ht="84" customHeight="1" x14ac:dyDescent="0.3">
      <c r="A3198" s="2">
        <v>3194</v>
      </c>
      <c r="B3198" s="66" t="s">
        <v>3685</v>
      </c>
      <c r="C3198" s="66" t="s">
        <v>3686</v>
      </c>
      <c r="D3198" s="11">
        <v>24299.98</v>
      </c>
      <c r="E3198" s="11">
        <v>24299.98</v>
      </c>
      <c r="F3198" s="3">
        <v>41620</v>
      </c>
      <c r="G3198" s="2" t="s">
        <v>14104</v>
      </c>
      <c r="H3198" s="3">
        <v>43053</v>
      </c>
      <c r="I3198" s="2" t="s">
        <v>19506</v>
      </c>
      <c r="J3198" s="2" t="s">
        <v>13904</v>
      </c>
      <c r="K3198" s="2" t="s">
        <v>19275</v>
      </c>
      <c r="L3198" s="82" t="s">
        <v>19512</v>
      </c>
    </row>
    <row r="3199" spans="1:12" ht="84" customHeight="1" x14ac:dyDescent="0.3">
      <c r="A3199" s="2">
        <v>3195</v>
      </c>
      <c r="B3199" s="66" t="s">
        <v>3687</v>
      </c>
      <c r="C3199" s="66" t="s">
        <v>3688</v>
      </c>
      <c r="D3199" s="11">
        <v>19410.599999999999</v>
      </c>
      <c r="E3199" s="11">
        <v>19410.599999999999</v>
      </c>
      <c r="F3199" s="3">
        <v>39507</v>
      </c>
      <c r="G3199" s="2" t="s">
        <v>14104</v>
      </c>
      <c r="H3199" s="3">
        <v>43053</v>
      </c>
      <c r="I3199" s="2" t="s">
        <v>19506</v>
      </c>
      <c r="J3199" s="2" t="s">
        <v>13904</v>
      </c>
      <c r="K3199" s="2" t="s">
        <v>19275</v>
      </c>
      <c r="L3199" s="82" t="s">
        <v>19512</v>
      </c>
    </row>
    <row r="3200" spans="1:12" ht="84" customHeight="1" x14ac:dyDescent="0.3">
      <c r="A3200" s="2">
        <v>3196</v>
      </c>
      <c r="B3200" s="66" t="s">
        <v>3689</v>
      </c>
      <c r="C3200" s="66" t="s">
        <v>3690</v>
      </c>
      <c r="D3200" s="11">
        <v>5980</v>
      </c>
      <c r="E3200" s="11">
        <v>5980</v>
      </c>
      <c r="F3200" s="3">
        <v>39507</v>
      </c>
      <c r="G3200" s="2" t="s">
        <v>14104</v>
      </c>
      <c r="H3200" s="3">
        <v>43053</v>
      </c>
      <c r="I3200" s="2" t="s">
        <v>19506</v>
      </c>
      <c r="J3200" s="2" t="s">
        <v>13904</v>
      </c>
      <c r="K3200" s="2" t="s">
        <v>19275</v>
      </c>
      <c r="L3200" s="82" t="s">
        <v>19512</v>
      </c>
    </row>
    <row r="3201" spans="1:12" ht="84" customHeight="1" x14ac:dyDescent="0.3">
      <c r="A3201" s="2">
        <v>3197</v>
      </c>
      <c r="B3201" s="66" t="s">
        <v>3691</v>
      </c>
      <c r="C3201" s="66" t="s">
        <v>3692</v>
      </c>
      <c r="D3201" s="11">
        <v>7200</v>
      </c>
      <c r="E3201" s="11">
        <v>7200</v>
      </c>
      <c r="F3201" s="3">
        <v>40877</v>
      </c>
      <c r="G3201" s="2" t="s">
        <v>14104</v>
      </c>
      <c r="H3201" s="3">
        <v>43053</v>
      </c>
      <c r="I3201" s="2" t="s">
        <v>19506</v>
      </c>
      <c r="J3201" s="2" t="s">
        <v>13904</v>
      </c>
      <c r="K3201" s="2" t="s">
        <v>19275</v>
      </c>
      <c r="L3201" s="82" t="s">
        <v>19512</v>
      </c>
    </row>
    <row r="3202" spans="1:12" ht="84" customHeight="1" x14ac:dyDescent="0.3">
      <c r="A3202" s="2">
        <v>3198</v>
      </c>
      <c r="B3202" s="66" t="s">
        <v>3693</v>
      </c>
      <c r="C3202" s="66" t="s">
        <v>3694</v>
      </c>
      <c r="D3202" s="11">
        <v>3200</v>
      </c>
      <c r="E3202" s="11">
        <v>3200</v>
      </c>
      <c r="F3202" s="3">
        <v>41255</v>
      </c>
      <c r="G3202" s="2" t="s">
        <v>14104</v>
      </c>
      <c r="H3202" s="3">
        <v>43053</v>
      </c>
      <c r="I3202" s="2" t="s">
        <v>19506</v>
      </c>
      <c r="J3202" s="2" t="s">
        <v>13904</v>
      </c>
      <c r="K3202" s="2" t="s">
        <v>19275</v>
      </c>
      <c r="L3202" s="82" t="s">
        <v>19512</v>
      </c>
    </row>
    <row r="3203" spans="1:12" ht="84" customHeight="1" x14ac:dyDescent="0.3">
      <c r="A3203" s="2">
        <v>3199</v>
      </c>
      <c r="B3203" s="66" t="s">
        <v>3691</v>
      </c>
      <c r="C3203" s="66" t="s">
        <v>3695</v>
      </c>
      <c r="D3203" s="11">
        <v>7200</v>
      </c>
      <c r="E3203" s="11">
        <v>7200</v>
      </c>
      <c r="F3203" s="3">
        <v>40877</v>
      </c>
      <c r="G3203" s="2" t="s">
        <v>14104</v>
      </c>
      <c r="H3203" s="3">
        <v>43053</v>
      </c>
      <c r="I3203" s="2" t="s">
        <v>19506</v>
      </c>
      <c r="J3203" s="2" t="s">
        <v>13904</v>
      </c>
      <c r="K3203" s="2" t="s">
        <v>19275</v>
      </c>
      <c r="L3203" s="82" t="s">
        <v>19512</v>
      </c>
    </row>
    <row r="3204" spans="1:12" ht="84" customHeight="1" x14ac:dyDescent="0.3">
      <c r="A3204" s="2">
        <v>3200</v>
      </c>
      <c r="B3204" s="66" t="s">
        <v>3691</v>
      </c>
      <c r="C3204" s="66" t="s">
        <v>3696</v>
      </c>
      <c r="D3204" s="11">
        <v>7200</v>
      </c>
      <c r="E3204" s="11">
        <v>7200</v>
      </c>
      <c r="F3204" s="3">
        <v>40877</v>
      </c>
      <c r="G3204" s="2" t="s">
        <v>14104</v>
      </c>
      <c r="H3204" s="3">
        <v>43053</v>
      </c>
      <c r="I3204" s="2" t="s">
        <v>19506</v>
      </c>
      <c r="J3204" s="2" t="s">
        <v>13904</v>
      </c>
      <c r="K3204" s="2" t="s">
        <v>19275</v>
      </c>
      <c r="L3204" s="82" t="s">
        <v>19512</v>
      </c>
    </row>
    <row r="3205" spans="1:12" ht="84" customHeight="1" x14ac:dyDescent="0.3">
      <c r="A3205" s="2">
        <v>3201</v>
      </c>
      <c r="B3205" s="66" t="s">
        <v>3697</v>
      </c>
      <c r="C3205" s="66" t="s">
        <v>3378</v>
      </c>
      <c r="D3205" s="11">
        <v>3360</v>
      </c>
      <c r="E3205" s="11">
        <v>3360</v>
      </c>
      <c r="F3205" s="3">
        <v>39416</v>
      </c>
      <c r="G3205" s="2" t="s">
        <v>14104</v>
      </c>
      <c r="H3205" s="3">
        <v>43053</v>
      </c>
      <c r="I3205" s="2" t="s">
        <v>19506</v>
      </c>
      <c r="J3205" s="2" t="s">
        <v>13904</v>
      </c>
      <c r="K3205" s="2" t="s">
        <v>19275</v>
      </c>
      <c r="L3205" s="82" t="s">
        <v>19512</v>
      </c>
    </row>
    <row r="3206" spans="1:12" ht="84" customHeight="1" x14ac:dyDescent="0.3">
      <c r="A3206" s="2">
        <v>3202</v>
      </c>
      <c r="B3206" s="66" t="s">
        <v>18614</v>
      </c>
      <c r="C3206" s="76">
        <v>4101230001</v>
      </c>
      <c r="D3206" s="11">
        <v>115934.39</v>
      </c>
      <c r="E3206" s="11">
        <v>10627.32</v>
      </c>
      <c r="F3206" s="3">
        <v>42356</v>
      </c>
      <c r="G3206" s="2" t="s">
        <v>14104</v>
      </c>
      <c r="H3206" s="2"/>
      <c r="I3206" s="2"/>
      <c r="J3206" s="2" t="s">
        <v>13904</v>
      </c>
      <c r="K3206" s="2" t="s">
        <v>19275</v>
      </c>
      <c r="L3206" s="82" t="s">
        <v>18613</v>
      </c>
    </row>
    <row r="3207" spans="1:12" ht="84" customHeight="1" x14ac:dyDescent="0.3">
      <c r="A3207" s="2">
        <v>3203</v>
      </c>
      <c r="B3207" s="66" t="s">
        <v>18614</v>
      </c>
      <c r="C3207" s="76">
        <v>4101230002</v>
      </c>
      <c r="D3207" s="11">
        <v>200000</v>
      </c>
      <c r="E3207" s="11">
        <v>1666.68</v>
      </c>
      <c r="F3207" s="3">
        <v>42583</v>
      </c>
      <c r="G3207" s="2" t="s">
        <v>14104</v>
      </c>
      <c r="H3207" s="2"/>
      <c r="I3207" s="2"/>
      <c r="J3207" s="2" t="s">
        <v>13904</v>
      </c>
      <c r="K3207" s="2" t="s">
        <v>19275</v>
      </c>
      <c r="L3207" s="82" t="s">
        <v>18613</v>
      </c>
    </row>
    <row r="3208" spans="1:12" ht="84" customHeight="1" x14ac:dyDescent="0.3">
      <c r="A3208" s="2">
        <v>3204</v>
      </c>
      <c r="B3208" s="66" t="s">
        <v>18615</v>
      </c>
      <c r="C3208" s="76">
        <v>4101240002</v>
      </c>
      <c r="D3208" s="11">
        <v>110810.07</v>
      </c>
      <c r="E3208" s="11">
        <v>923.42</v>
      </c>
      <c r="F3208" s="3">
        <v>42614</v>
      </c>
      <c r="G3208" s="2" t="s">
        <v>14104</v>
      </c>
      <c r="H3208" s="2"/>
      <c r="I3208" s="2"/>
      <c r="J3208" s="2" t="s">
        <v>13904</v>
      </c>
      <c r="K3208" s="2" t="s">
        <v>19275</v>
      </c>
      <c r="L3208" s="82" t="s">
        <v>18613</v>
      </c>
    </row>
    <row r="3209" spans="1:12" ht="84" customHeight="1" x14ac:dyDescent="0.3">
      <c r="A3209" s="2">
        <v>3205</v>
      </c>
      <c r="B3209" s="66" t="s">
        <v>3698</v>
      </c>
      <c r="C3209" s="66" t="s">
        <v>3700</v>
      </c>
      <c r="D3209" s="11">
        <v>3757.47</v>
      </c>
      <c r="E3209" s="11">
        <v>3757.47</v>
      </c>
      <c r="F3209" s="3">
        <v>39812</v>
      </c>
      <c r="G3209" s="2" t="s">
        <v>14104</v>
      </c>
      <c r="H3209" s="3">
        <v>43053</v>
      </c>
      <c r="I3209" s="2" t="s">
        <v>19506</v>
      </c>
      <c r="J3209" s="2" t="s">
        <v>13904</v>
      </c>
      <c r="K3209" s="2" t="s">
        <v>19275</v>
      </c>
      <c r="L3209" s="82" t="s">
        <v>19512</v>
      </c>
    </row>
    <row r="3210" spans="1:12" ht="84" customHeight="1" x14ac:dyDescent="0.3">
      <c r="A3210" s="2">
        <v>3206</v>
      </c>
      <c r="B3210" s="66" t="s">
        <v>3698</v>
      </c>
      <c r="C3210" s="66" t="s">
        <v>3512</v>
      </c>
      <c r="D3210" s="11">
        <v>3757.47</v>
      </c>
      <c r="E3210" s="11">
        <v>3757.47</v>
      </c>
      <c r="F3210" s="3">
        <v>39812</v>
      </c>
      <c r="G3210" s="2" t="s">
        <v>14104</v>
      </c>
      <c r="H3210" s="3">
        <v>43053</v>
      </c>
      <c r="I3210" s="2" t="s">
        <v>19506</v>
      </c>
      <c r="J3210" s="2" t="s">
        <v>13904</v>
      </c>
      <c r="K3210" s="2" t="s">
        <v>19275</v>
      </c>
      <c r="L3210" s="82" t="s">
        <v>19512</v>
      </c>
    </row>
    <row r="3211" spans="1:12" ht="84" customHeight="1" x14ac:dyDescent="0.3">
      <c r="A3211" s="2">
        <v>3207</v>
      </c>
      <c r="B3211" s="66" t="s">
        <v>3698</v>
      </c>
      <c r="C3211" s="66" t="s">
        <v>3571</v>
      </c>
      <c r="D3211" s="11">
        <v>3757.47</v>
      </c>
      <c r="E3211" s="11">
        <v>3757.47</v>
      </c>
      <c r="F3211" s="3">
        <v>39812</v>
      </c>
      <c r="G3211" s="2" t="s">
        <v>14104</v>
      </c>
      <c r="H3211" s="3">
        <v>43053</v>
      </c>
      <c r="I3211" s="2" t="s">
        <v>19506</v>
      </c>
      <c r="J3211" s="2" t="s">
        <v>13904</v>
      </c>
      <c r="K3211" s="2" t="s">
        <v>19275</v>
      </c>
      <c r="L3211" s="82" t="s">
        <v>19512</v>
      </c>
    </row>
    <row r="3212" spans="1:12" ht="84" customHeight="1" x14ac:dyDescent="0.3">
      <c r="A3212" s="2">
        <v>3208</v>
      </c>
      <c r="B3212" s="66" t="s">
        <v>3698</v>
      </c>
      <c r="C3212" s="66" t="s">
        <v>3701</v>
      </c>
      <c r="D3212" s="11">
        <v>3757.47</v>
      </c>
      <c r="E3212" s="11">
        <v>3757.47</v>
      </c>
      <c r="F3212" s="3">
        <v>39812</v>
      </c>
      <c r="G3212" s="2" t="s">
        <v>14104</v>
      </c>
      <c r="H3212" s="3">
        <v>43053</v>
      </c>
      <c r="I3212" s="2" t="s">
        <v>19506</v>
      </c>
      <c r="J3212" s="2" t="s">
        <v>13904</v>
      </c>
      <c r="K3212" s="2" t="s">
        <v>19275</v>
      </c>
      <c r="L3212" s="82" t="s">
        <v>19512</v>
      </c>
    </row>
    <row r="3213" spans="1:12" ht="84" customHeight="1" x14ac:dyDescent="0.3">
      <c r="A3213" s="2">
        <v>3209</v>
      </c>
      <c r="B3213" s="66" t="s">
        <v>3698</v>
      </c>
      <c r="C3213" s="66" t="s">
        <v>3702</v>
      </c>
      <c r="D3213" s="11">
        <v>3757.47</v>
      </c>
      <c r="E3213" s="11">
        <v>3757.47</v>
      </c>
      <c r="F3213" s="3">
        <v>39812</v>
      </c>
      <c r="G3213" s="2" t="s">
        <v>14104</v>
      </c>
      <c r="H3213" s="3">
        <v>43053</v>
      </c>
      <c r="I3213" s="2" t="s">
        <v>19506</v>
      </c>
      <c r="J3213" s="2" t="s">
        <v>13904</v>
      </c>
      <c r="K3213" s="2" t="s">
        <v>19275</v>
      </c>
      <c r="L3213" s="82" t="s">
        <v>19512</v>
      </c>
    </row>
    <row r="3214" spans="1:12" ht="84" customHeight="1" x14ac:dyDescent="0.3">
      <c r="A3214" s="2">
        <v>3210</v>
      </c>
      <c r="B3214" s="66" t="s">
        <v>3698</v>
      </c>
      <c r="C3214" s="66" t="s">
        <v>3703</v>
      </c>
      <c r="D3214" s="11">
        <v>3757.47</v>
      </c>
      <c r="E3214" s="11">
        <v>3757.47</v>
      </c>
      <c r="F3214" s="3">
        <v>39812</v>
      </c>
      <c r="G3214" s="2" t="s">
        <v>14104</v>
      </c>
      <c r="H3214" s="3">
        <v>43053</v>
      </c>
      <c r="I3214" s="2" t="s">
        <v>19506</v>
      </c>
      <c r="J3214" s="2" t="s">
        <v>13904</v>
      </c>
      <c r="K3214" s="2" t="s">
        <v>19275</v>
      </c>
      <c r="L3214" s="82" t="s">
        <v>19512</v>
      </c>
    </row>
    <row r="3215" spans="1:12" ht="84" customHeight="1" x14ac:dyDescent="0.3">
      <c r="A3215" s="2">
        <v>3211</v>
      </c>
      <c r="B3215" s="66" t="s">
        <v>3698</v>
      </c>
      <c r="C3215" s="66" t="s">
        <v>3704</v>
      </c>
      <c r="D3215" s="11">
        <v>3757.47</v>
      </c>
      <c r="E3215" s="11">
        <v>3757.47</v>
      </c>
      <c r="F3215" s="3">
        <v>39812</v>
      </c>
      <c r="G3215" s="2" t="s">
        <v>14104</v>
      </c>
      <c r="H3215" s="3">
        <v>43053</v>
      </c>
      <c r="I3215" s="2" t="s">
        <v>19506</v>
      </c>
      <c r="J3215" s="2" t="s">
        <v>13904</v>
      </c>
      <c r="K3215" s="2" t="s">
        <v>19275</v>
      </c>
      <c r="L3215" s="82" t="s">
        <v>19512</v>
      </c>
    </row>
    <row r="3216" spans="1:12" ht="84" customHeight="1" x14ac:dyDescent="0.3">
      <c r="A3216" s="2">
        <v>3212</v>
      </c>
      <c r="B3216" s="66" t="s">
        <v>3698</v>
      </c>
      <c r="C3216" s="66" t="s">
        <v>3705</v>
      </c>
      <c r="D3216" s="11">
        <v>3757.47</v>
      </c>
      <c r="E3216" s="11">
        <v>3757.47</v>
      </c>
      <c r="F3216" s="3">
        <v>39812</v>
      </c>
      <c r="G3216" s="2" t="s">
        <v>14104</v>
      </c>
      <c r="H3216" s="3">
        <v>43053</v>
      </c>
      <c r="I3216" s="2" t="s">
        <v>19506</v>
      </c>
      <c r="J3216" s="2" t="s">
        <v>13904</v>
      </c>
      <c r="K3216" s="2" t="s">
        <v>19275</v>
      </c>
      <c r="L3216" s="82" t="s">
        <v>19512</v>
      </c>
    </row>
    <row r="3217" spans="1:12" ht="84" customHeight="1" x14ac:dyDescent="0.3">
      <c r="A3217" s="2">
        <v>3213</v>
      </c>
      <c r="B3217" s="66" t="s">
        <v>3698</v>
      </c>
      <c r="C3217" s="66" t="s">
        <v>3706</v>
      </c>
      <c r="D3217" s="11">
        <v>3757.47</v>
      </c>
      <c r="E3217" s="11">
        <v>3757.47</v>
      </c>
      <c r="F3217" s="3">
        <v>39812</v>
      </c>
      <c r="G3217" s="2" t="s">
        <v>14104</v>
      </c>
      <c r="H3217" s="3">
        <v>43053</v>
      </c>
      <c r="I3217" s="2" t="s">
        <v>19506</v>
      </c>
      <c r="J3217" s="2" t="s">
        <v>13904</v>
      </c>
      <c r="K3217" s="2" t="s">
        <v>19275</v>
      </c>
      <c r="L3217" s="82" t="s">
        <v>19512</v>
      </c>
    </row>
    <row r="3218" spans="1:12" ht="84" customHeight="1" x14ac:dyDescent="0.3">
      <c r="A3218" s="2">
        <v>3214</v>
      </c>
      <c r="B3218" s="66" t="s">
        <v>3698</v>
      </c>
      <c r="C3218" s="66" t="s">
        <v>3707</v>
      </c>
      <c r="D3218" s="11">
        <v>3757.47</v>
      </c>
      <c r="E3218" s="11">
        <v>3757.47</v>
      </c>
      <c r="F3218" s="3">
        <v>39812</v>
      </c>
      <c r="G3218" s="2" t="s">
        <v>14104</v>
      </c>
      <c r="H3218" s="3">
        <v>43053</v>
      </c>
      <c r="I3218" s="2" t="s">
        <v>19506</v>
      </c>
      <c r="J3218" s="2" t="s">
        <v>13904</v>
      </c>
      <c r="K3218" s="2" t="s">
        <v>19275</v>
      </c>
      <c r="L3218" s="82" t="s">
        <v>19512</v>
      </c>
    </row>
    <row r="3219" spans="1:12" ht="84" customHeight="1" x14ac:dyDescent="0.3">
      <c r="A3219" s="2">
        <v>3215</v>
      </c>
      <c r="B3219" s="66" t="s">
        <v>3698</v>
      </c>
      <c r="C3219" s="66" t="s">
        <v>3708</v>
      </c>
      <c r="D3219" s="11">
        <v>3757.47</v>
      </c>
      <c r="E3219" s="11">
        <v>3757.47</v>
      </c>
      <c r="F3219" s="3">
        <v>39812</v>
      </c>
      <c r="G3219" s="2" t="s">
        <v>14104</v>
      </c>
      <c r="H3219" s="3">
        <v>43053</v>
      </c>
      <c r="I3219" s="2" t="s">
        <v>19506</v>
      </c>
      <c r="J3219" s="2" t="s">
        <v>13904</v>
      </c>
      <c r="K3219" s="2" t="s">
        <v>19275</v>
      </c>
      <c r="L3219" s="82" t="s">
        <v>19512</v>
      </c>
    </row>
    <row r="3220" spans="1:12" ht="84" customHeight="1" x14ac:dyDescent="0.3">
      <c r="A3220" s="2">
        <v>3216</v>
      </c>
      <c r="B3220" s="66" t="s">
        <v>3698</v>
      </c>
      <c r="C3220" s="66" t="s">
        <v>3709</v>
      </c>
      <c r="D3220" s="11">
        <v>3757.47</v>
      </c>
      <c r="E3220" s="11">
        <v>3757.47</v>
      </c>
      <c r="F3220" s="3">
        <v>39812</v>
      </c>
      <c r="G3220" s="2" t="s">
        <v>14104</v>
      </c>
      <c r="H3220" s="3">
        <v>43053</v>
      </c>
      <c r="I3220" s="2" t="s">
        <v>19506</v>
      </c>
      <c r="J3220" s="2" t="s">
        <v>13904</v>
      </c>
      <c r="K3220" s="2" t="s">
        <v>19275</v>
      </c>
      <c r="L3220" s="82" t="s">
        <v>19512</v>
      </c>
    </row>
    <row r="3221" spans="1:12" ht="84" customHeight="1" x14ac:dyDescent="0.3">
      <c r="A3221" s="2">
        <v>3217</v>
      </c>
      <c r="B3221" s="66" t="s">
        <v>3710</v>
      </c>
      <c r="C3221" s="66" t="s">
        <v>3711</v>
      </c>
      <c r="D3221" s="11">
        <v>7690.9</v>
      </c>
      <c r="E3221" s="11">
        <v>7690.9</v>
      </c>
      <c r="F3221" s="3">
        <v>39430</v>
      </c>
      <c r="G3221" s="2" t="s">
        <v>14104</v>
      </c>
      <c r="H3221" s="3">
        <v>43053</v>
      </c>
      <c r="I3221" s="2" t="s">
        <v>19506</v>
      </c>
      <c r="J3221" s="2" t="s">
        <v>13904</v>
      </c>
      <c r="K3221" s="2" t="s">
        <v>19275</v>
      </c>
      <c r="L3221" s="82" t="s">
        <v>19512</v>
      </c>
    </row>
    <row r="3222" spans="1:12" ht="84" customHeight="1" x14ac:dyDescent="0.3">
      <c r="A3222" s="2">
        <v>3218</v>
      </c>
      <c r="B3222" s="66" t="s">
        <v>3712</v>
      </c>
      <c r="C3222" s="66" t="s">
        <v>3713</v>
      </c>
      <c r="D3222" s="11">
        <v>3319.78</v>
      </c>
      <c r="E3222" s="11">
        <v>3319.78</v>
      </c>
      <c r="F3222" s="3">
        <v>36568</v>
      </c>
      <c r="G3222" s="2" t="s">
        <v>14104</v>
      </c>
      <c r="H3222" s="3">
        <v>43053</v>
      </c>
      <c r="I3222" s="2" t="s">
        <v>19506</v>
      </c>
      <c r="J3222" s="2" t="s">
        <v>13904</v>
      </c>
      <c r="K3222" s="2" t="s">
        <v>19275</v>
      </c>
      <c r="L3222" s="82" t="s">
        <v>19512</v>
      </c>
    </row>
    <row r="3223" spans="1:12" ht="84" customHeight="1" x14ac:dyDescent="0.3">
      <c r="A3223" s="2">
        <v>3219</v>
      </c>
      <c r="B3223" s="66" t="s">
        <v>3714</v>
      </c>
      <c r="C3223" s="66" t="s">
        <v>3572</v>
      </c>
      <c r="D3223" s="11">
        <v>9784.08</v>
      </c>
      <c r="E3223" s="11">
        <v>9784.08</v>
      </c>
      <c r="F3223" s="3">
        <v>35935</v>
      </c>
      <c r="G3223" s="2" t="s">
        <v>14104</v>
      </c>
      <c r="H3223" s="3">
        <v>43053</v>
      </c>
      <c r="I3223" s="2" t="s">
        <v>19506</v>
      </c>
      <c r="J3223" s="2" t="s">
        <v>13904</v>
      </c>
      <c r="K3223" s="2" t="s">
        <v>19275</v>
      </c>
      <c r="L3223" s="82" t="s">
        <v>19512</v>
      </c>
    </row>
    <row r="3224" spans="1:12" ht="84" customHeight="1" x14ac:dyDescent="0.3">
      <c r="A3224" s="2">
        <v>3220</v>
      </c>
      <c r="B3224" s="66" t="s">
        <v>3715</v>
      </c>
      <c r="C3224" s="66" t="s">
        <v>3716</v>
      </c>
      <c r="D3224" s="11">
        <v>5000</v>
      </c>
      <c r="E3224" s="11">
        <v>5000</v>
      </c>
      <c r="F3224" s="3">
        <v>39399</v>
      </c>
      <c r="G3224" s="2" t="s">
        <v>14104</v>
      </c>
      <c r="H3224" s="3">
        <v>43053</v>
      </c>
      <c r="I3224" s="2" t="s">
        <v>19506</v>
      </c>
      <c r="J3224" s="2" t="s">
        <v>13904</v>
      </c>
      <c r="K3224" s="2" t="s">
        <v>19275</v>
      </c>
      <c r="L3224" s="82" t="s">
        <v>19512</v>
      </c>
    </row>
    <row r="3225" spans="1:12" ht="84" customHeight="1" x14ac:dyDescent="0.3">
      <c r="A3225" s="2">
        <v>3221</v>
      </c>
      <c r="B3225" s="66" t="s">
        <v>3637</v>
      </c>
      <c r="C3225" s="66" t="s">
        <v>3214</v>
      </c>
      <c r="D3225" s="11">
        <v>9090</v>
      </c>
      <c r="E3225" s="11">
        <v>9090</v>
      </c>
      <c r="F3225" s="3">
        <v>39442</v>
      </c>
      <c r="G3225" s="2" t="s">
        <v>14104</v>
      </c>
      <c r="H3225" s="3">
        <v>43053</v>
      </c>
      <c r="I3225" s="2" t="s">
        <v>19506</v>
      </c>
      <c r="J3225" s="2" t="s">
        <v>13904</v>
      </c>
      <c r="K3225" s="2" t="s">
        <v>19275</v>
      </c>
      <c r="L3225" s="82" t="s">
        <v>19512</v>
      </c>
    </row>
    <row r="3226" spans="1:12" ht="84" customHeight="1" x14ac:dyDescent="0.3">
      <c r="A3226" s="2">
        <v>3222</v>
      </c>
      <c r="B3226" s="66" t="s">
        <v>3717</v>
      </c>
      <c r="C3226" s="66" t="s">
        <v>3718</v>
      </c>
      <c r="D3226" s="11">
        <v>5000</v>
      </c>
      <c r="E3226" s="11">
        <v>5000</v>
      </c>
      <c r="F3226" s="3">
        <v>39422</v>
      </c>
      <c r="G3226" s="2" t="s">
        <v>14104</v>
      </c>
      <c r="H3226" s="3">
        <v>43053</v>
      </c>
      <c r="I3226" s="2" t="s">
        <v>19506</v>
      </c>
      <c r="J3226" s="2" t="s">
        <v>13904</v>
      </c>
      <c r="K3226" s="2" t="s">
        <v>19275</v>
      </c>
      <c r="L3226" s="82" t="s">
        <v>19512</v>
      </c>
    </row>
    <row r="3227" spans="1:12" ht="84" customHeight="1" x14ac:dyDescent="0.3">
      <c r="A3227" s="2">
        <v>3223</v>
      </c>
      <c r="B3227" s="66" t="s">
        <v>3519</v>
      </c>
      <c r="C3227" s="66" t="s">
        <v>3223</v>
      </c>
      <c r="D3227" s="11">
        <v>8737.6</v>
      </c>
      <c r="E3227" s="11">
        <v>8737.6</v>
      </c>
      <c r="F3227" s="3">
        <v>36587</v>
      </c>
      <c r="G3227" s="2" t="s">
        <v>14104</v>
      </c>
      <c r="H3227" s="3">
        <v>43053</v>
      </c>
      <c r="I3227" s="2" t="s">
        <v>19506</v>
      </c>
      <c r="J3227" s="2" t="s">
        <v>13904</v>
      </c>
      <c r="K3227" s="2" t="s">
        <v>19275</v>
      </c>
      <c r="L3227" s="82" t="s">
        <v>19512</v>
      </c>
    </row>
    <row r="3228" spans="1:12" ht="84" customHeight="1" x14ac:dyDescent="0.3">
      <c r="A3228" s="2">
        <v>3224</v>
      </c>
      <c r="B3228" s="66" t="s">
        <v>3719</v>
      </c>
      <c r="C3228" s="66" t="s">
        <v>3720</v>
      </c>
      <c r="D3228" s="11">
        <v>4500</v>
      </c>
      <c r="E3228" s="11">
        <v>4500</v>
      </c>
      <c r="F3228" s="3">
        <v>39222</v>
      </c>
      <c r="G3228" s="2" t="s">
        <v>14104</v>
      </c>
      <c r="H3228" s="3">
        <v>43053</v>
      </c>
      <c r="I3228" s="2" t="s">
        <v>19506</v>
      </c>
      <c r="J3228" s="2" t="s">
        <v>13904</v>
      </c>
      <c r="K3228" s="2" t="s">
        <v>19275</v>
      </c>
      <c r="L3228" s="82" t="s">
        <v>19512</v>
      </c>
    </row>
    <row r="3229" spans="1:12" ht="84" customHeight="1" x14ac:dyDescent="0.3">
      <c r="A3229" s="2">
        <v>3225</v>
      </c>
      <c r="B3229" s="66" t="s">
        <v>3721</v>
      </c>
      <c r="C3229" s="66" t="s">
        <v>3146</v>
      </c>
      <c r="D3229" s="11">
        <v>5450</v>
      </c>
      <c r="E3229" s="11">
        <v>5450</v>
      </c>
      <c r="F3229" s="3">
        <v>41887</v>
      </c>
      <c r="G3229" s="2" t="s">
        <v>14104</v>
      </c>
      <c r="H3229" s="3">
        <v>43053</v>
      </c>
      <c r="I3229" s="2" t="s">
        <v>19506</v>
      </c>
      <c r="J3229" s="2" t="s">
        <v>13904</v>
      </c>
      <c r="K3229" s="2" t="s">
        <v>19275</v>
      </c>
      <c r="L3229" s="82" t="s">
        <v>19512</v>
      </c>
    </row>
    <row r="3230" spans="1:12" ht="84" customHeight="1" x14ac:dyDescent="0.3">
      <c r="A3230" s="2">
        <v>3226</v>
      </c>
      <c r="B3230" s="66" t="s">
        <v>3721</v>
      </c>
      <c r="C3230" s="66" t="s">
        <v>3145</v>
      </c>
      <c r="D3230" s="11">
        <v>5450</v>
      </c>
      <c r="E3230" s="11">
        <v>5450</v>
      </c>
      <c r="F3230" s="3">
        <v>41887</v>
      </c>
      <c r="G3230" s="2" t="s">
        <v>14104</v>
      </c>
      <c r="H3230" s="3">
        <v>43053</v>
      </c>
      <c r="I3230" s="2" t="s">
        <v>19506</v>
      </c>
      <c r="J3230" s="2" t="s">
        <v>13904</v>
      </c>
      <c r="K3230" s="2" t="s">
        <v>19275</v>
      </c>
      <c r="L3230" s="82" t="s">
        <v>19512</v>
      </c>
    </row>
    <row r="3231" spans="1:12" ht="84" customHeight="1" x14ac:dyDescent="0.3">
      <c r="A3231" s="2">
        <v>3227</v>
      </c>
      <c r="B3231" s="66" t="s">
        <v>3721</v>
      </c>
      <c r="C3231" s="66" t="s">
        <v>3722</v>
      </c>
      <c r="D3231" s="11">
        <v>5450</v>
      </c>
      <c r="E3231" s="11">
        <v>5450</v>
      </c>
      <c r="F3231" s="3">
        <v>41887</v>
      </c>
      <c r="G3231" s="2" t="s">
        <v>14104</v>
      </c>
      <c r="H3231" s="3">
        <v>43053</v>
      </c>
      <c r="I3231" s="2" t="s">
        <v>19506</v>
      </c>
      <c r="J3231" s="2" t="s">
        <v>13904</v>
      </c>
      <c r="K3231" s="2" t="s">
        <v>19275</v>
      </c>
      <c r="L3231" s="82" t="s">
        <v>19512</v>
      </c>
    </row>
    <row r="3232" spans="1:12" ht="84" customHeight="1" x14ac:dyDescent="0.3">
      <c r="A3232" s="2">
        <v>3228</v>
      </c>
      <c r="B3232" s="66" t="s">
        <v>3721</v>
      </c>
      <c r="C3232" s="66" t="s">
        <v>3723</v>
      </c>
      <c r="D3232" s="11">
        <v>5450</v>
      </c>
      <c r="E3232" s="11">
        <v>5450</v>
      </c>
      <c r="F3232" s="3">
        <v>41887</v>
      </c>
      <c r="G3232" s="2" t="s">
        <v>14104</v>
      </c>
      <c r="H3232" s="3">
        <v>43053</v>
      </c>
      <c r="I3232" s="2" t="s">
        <v>19506</v>
      </c>
      <c r="J3232" s="2" t="s">
        <v>13904</v>
      </c>
      <c r="K3232" s="2" t="s">
        <v>19275</v>
      </c>
      <c r="L3232" s="82" t="s">
        <v>19512</v>
      </c>
    </row>
    <row r="3233" spans="1:12" ht="84" customHeight="1" x14ac:dyDescent="0.3">
      <c r="A3233" s="2">
        <v>3229</v>
      </c>
      <c r="B3233" s="66" t="s">
        <v>3721</v>
      </c>
      <c r="C3233" s="66" t="s">
        <v>3724</v>
      </c>
      <c r="D3233" s="11">
        <v>5450</v>
      </c>
      <c r="E3233" s="11">
        <v>5450</v>
      </c>
      <c r="F3233" s="3">
        <v>41887</v>
      </c>
      <c r="G3233" s="2" t="s">
        <v>14104</v>
      </c>
      <c r="H3233" s="3">
        <v>43053</v>
      </c>
      <c r="I3233" s="2" t="s">
        <v>19506</v>
      </c>
      <c r="J3233" s="2" t="s">
        <v>13904</v>
      </c>
      <c r="K3233" s="2" t="s">
        <v>19275</v>
      </c>
      <c r="L3233" s="82" t="s">
        <v>19512</v>
      </c>
    </row>
    <row r="3234" spans="1:12" ht="84" customHeight="1" x14ac:dyDescent="0.3">
      <c r="A3234" s="2">
        <v>3230</v>
      </c>
      <c r="B3234" s="66" t="s">
        <v>3721</v>
      </c>
      <c r="C3234" s="66" t="s">
        <v>3725</v>
      </c>
      <c r="D3234" s="11">
        <v>5450</v>
      </c>
      <c r="E3234" s="11">
        <v>5450</v>
      </c>
      <c r="F3234" s="3">
        <v>41887</v>
      </c>
      <c r="G3234" s="2" t="s">
        <v>14104</v>
      </c>
      <c r="H3234" s="3">
        <v>43053</v>
      </c>
      <c r="I3234" s="2" t="s">
        <v>19506</v>
      </c>
      <c r="J3234" s="2" t="s">
        <v>13904</v>
      </c>
      <c r="K3234" s="2" t="s">
        <v>19275</v>
      </c>
      <c r="L3234" s="82" t="s">
        <v>19512</v>
      </c>
    </row>
    <row r="3235" spans="1:12" ht="84" customHeight="1" x14ac:dyDescent="0.3">
      <c r="A3235" s="2">
        <v>3231</v>
      </c>
      <c r="B3235" s="66" t="s">
        <v>3721</v>
      </c>
      <c r="C3235" s="66" t="s">
        <v>3726</v>
      </c>
      <c r="D3235" s="11">
        <v>5450</v>
      </c>
      <c r="E3235" s="11">
        <v>5450</v>
      </c>
      <c r="F3235" s="3">
        <v>41887</v>
      </c>
      <c r="G3235" s="2" t="s">
        <v>14104</v>
      </c>
      <c r="H3235" s="3">
        <v>43053</v>
      </c>
      <c r="I3235" s="2" t="s">
        <v>19506</v>
      </c>
      <c r="J3235" s="2" t="s">
        <v>13904</v>
      </c>
      <c r="K3235" s="2" t="s">
        <v>19275</v>
      </c>
      <c r="L3235" s="82" t="s">
        <v>19512</v>
      </c>
    </row>
    <row r="3236" spans="1:12" ht="84" customHeight="1" x14ac:dyDescent="0.3">
      <c r="A3236" s="2">
        <v>3232</v>
      </c>
      <c r="B3236" s="66" t="s">
        <v>3721</v>
      </c>
      <c r="C3236" s="66" t="s">
        <v>3727</v>
      </c>
      <c r="D3236" s="11">
        <v>5450</v>
      </c>
      <c r="E3236" s="11">
        <v>5450</v>
      </c>
      <c r="F3236" s="3">
        <v>41887</v>
      </c>
      <c r="G3236" s="2" t="s">
        <v>14104</v>
      </c>
      <c r="H3236" s="3">
        <v>43053</v>
      </c>
      <c r="I3236" s="2" t="s">
        <v>19506</v>
      </c>
      <c r="J3236" s="2" t="s">
        <v>13904</v>
      </c>
      <c r="K3236" s="2" t="s">
        <v>19275</v>
      </c>
      <c r="L3236" s="82" t="s">
        <v>19512</v>
      </c>
    </row>
    <row r="3237" spans="1:12" ht="84" customHeight="1" x14ac:dyDescent="0.3">
      <c r="A3237" s="2">
        <v>3233</v>
      </c>
      <c r="B3237" s="66" t="s">
        <v>3721</v>
      </c>
      <c r="C3237" s="66" t="s">
        <v>3728</v>
      </c>
      <c r="D3237" s="11">
        <v>5450</v>
      </c>
      <c r="E3237" s="11">
        <v>5450</v>
      </c>
      <c r="F3237" s="3">
        <v>41887</v>
      </c>
      <c r="G3237" s="2" t="s">
        <v>14104</v>
      </c>
      <c r="H3237" s="3">
        <v>43053</v>
      </c>
      <c r="I3237" s="2" t="s">
        <v>19506</v>
      </c>
      <c r="J3237" s="2" t="s">
        <v>13904</v>
      </c>
      <c r="K3237" s="2" t="s">
        <v>19275</v>
      </c>
      <c r="L3237" s="82" t="s">
        <v>19512</v>
      </c>
    </row>
    <row r="3238" spans="1:12" ht="84" customHeight="1" x14ac:dyDescent="0.3">
      <c r="A3238" s="2">
        <v>3234</v>
      </c>
      <c r="B3238" s="66" t="s">
        <v>3721</v>
      </c>
      <c r="C3238" s="66" t="s">
        <v>3345</v>
      </c>
      <c r="D3238" s="11">
        <v>5450</v>
      </c>
      <c r="E3238" s="11">
        <v>5450</v>
      </c>
      <c r="F3238" s="3">
        <v>41887</v>
      </c>
      <c r="G3238" s="2" t="s">
        <v>14104</v>
      </c>
      <c r="H3238" s="3">
        <v>43053</v>
      </c>
      <c r="I3238" s="2" t="s">
        <v>19506</v>
      </c>
      <c r="J3238" s="2" t="s">
        <v>13904</v>
      </c>
      <c r="K3238" s="2" t="s">
        <v>19275</v>
      </c>
      <c r="L3238" s="82" t="s">
        <v>19512</v>
      </c>
    </row>
    <row r="3239" spans="1:12" ht="84" customHeight="1" x14ac:dyDescent="0.3">
      <c r="A3239" s="2">
        <v>3235</v>
      </c>
      <c r="B3239" s="66" t="s">
        <v>3729</v>
      </c>
      <c r="C3239" s="66" t="s">
        <v>3148</v>
      </c>
      <c r="D3239" s="11">
        <v>4031</v>
      </c>
      <c r="E3239" s="11">
        <v>4031</v>
      </c>
      <c r="F3239" s="3">
        <v>41887</v>
      </c>
      <c r="G3239" s="2" t="s">
        <v>14104</v>
      </c>
      <c r="H3239" s="3">
        <v>43053</v>
      </c>
      <c r="I3239" s="2" t="s">
        <v>19506</v>
      </c>
      <c r="J3239" s="2" t="s">
        <v>13904</v>
      </c>
      <c r="K3239" s="2" t="s">
        <v>19275</v>
      </c>
      <c r="L3239" s="82" t="s">
        <v>19512</v>
      </c>
    </row>
    <row r="3240" spans="1:12" ht="84" customHeight="1" x14ac:dyDescent="0.3">
      <c r="A3240" s="2">
        <v>3236</v>
      </c>
      <c r="B3240" s="66" t="s">
        <v>3729</v>
      </c>
      <c r="C3240" s="66" t="s">
        <v>3730</v>
      </c>
      <c r="D3240" s="11">
        <v>4031</v>
      </c>
      <c r="E3240" s="11">
        <v>4031</v>
      </c>
      <c r="F3240" s="3">
        <v>41887</v>
      </c>
      <c r="G3240" s="2" t="s">
        <v>14104</v>
      </c>
      <c r="H3240" s="3">
        <v>43053</v>
      </c>
      <c r="I3240" s="2" t="s">
        <v>19506</v>
      </c>
      <c r="J3240" s="2" t="s">
        <v>13904</v>
      </c>
      <c r="K3240" s="2" t="s">
        <v>19275</v>
      </c>
      <c r="L3240" s="82" t="s">
        <v>19512</v>
      </c>
    </row>
    <row r="3241" spans="1:12" ht="84" customHeight="1" x14ac:dyDescent="0.3">
      <c r="A3241" s="2">
        <v>3237</v>
      </c>
      <c r="B3241" s="66" t="s">
        <v>3729</v>
      </c>
      <c r="C3241" s="66" t="s">
        <v>3731</v>
      </c>
      <c r="D3241" s="11">
        <v>4031</v>
      </c>
      <c r="E3241" s="11">
        <v>4031</v>
      </c>
      <c r="F3241" s="3">
        <v>41887</v>
      </c>
      <c r="G3241" s="2" t="s">
        <v>14104</v>
      </c>
      <c r="H3241" s="3">
        <v>43053</v>
      </c>
      <c r="I3241" s="2" t="s">
        <v>19506</v>
      </c>
      <c r="J3241" s="2" t="s">
        <v>13904</v>
      </c>
      <c r="K3241" s="2" t="s">
        <v>19275</v>
      </c>
      <c r="L3241" s="82" t="s">
        <v>19512</v>
      </c>
    </row>
    <row r="3242" spans="1:12" ht="84" customHeight="1" x14ac:dyDescent="0.3">
      <c r="A3242" s="2">
        <v>3238</v>
      </c>
      <c r="B3242" s="66" t="s">
        <v>3291</v>
      </c>
      <c r="C3242" s="66" t="s">
        <v>3732</v>
      </c>
      <c r="D3242" s="11">
        <v>13997.16</v>
      </c>
      <c r="E3242" s="11">
        <v>13997.16</v>
      </c>
      <c r="F3242" s="3">
        <v>41145</v>
      </c>
      <c r="G3242" s="2" t="s">
        <v>14104</v>
      </c>
      <c r="H3242" s="3">
        <v>43053</v>
      </c>
      <c r="I3242" s="2" t="s">
        <v>19506</v>
      </c>
      <c r="J3242" s="2" t="s">
        <v>13904</v>
      </c>
      <c r="K3242" s="2" t="s">
        <v>19275</v>
      </c>
      <c r="L3242" s="82" t="s">
        <v>19512</v>
      </c>
    </row>
    <row r="3243" spans="1:12" ht="84" customHeight="1" x14ac:dyDescent="0.3">
      <c r="A3243" s="2">
        <v>3239</v>
      </c>
      <c r="B3243" s="66" t="s">
        <v>3717</v>
      </c>
      <c r="C3243" s="66" t="s">
        <v>3733</v>
      </c>
      <c r="D3243" s="11">
        <v>5000</v>
      </c>
      <c r="E3243" s="11">
        <v>5000</v>
      </c>
      <c r="F3243" s="3">
        <v>39422</v>
      </c>
      <c r="G3243" s="2" t="s">
        <v>14104</v>
      </c>
      <c r="H3243" s="3">
        <v>43053</v>
      </c>
      <c r="I3243" s="2" t="s">
        <v>19506</v>
      </c>
      <c r="J3243" s="2" t="s">
        <v>13904</v>
      </c>
      <c r="K3243" s="2" t="s">
        <v>19275</v>
      </c>
      <c r="L3243" s="82" t="s">
        <v>19512</v>
      </c>
    </row>
    <row r="3244" spans="1:12" ht="84" customHeight="1" x14ac:dyDescent="0.3">
      <c r="A3244" s="2">
        <v>3240</v>
      </c>
      <c r="B3244" s="66" t="s">
        <v>3697</v>
      </c>
      <c r="C3244" s="66" t="s">
        <v>3734</v>
      </c>
      <c r="D3244" s="11">
        <v>3360</v>
      </c>
      <c r="E3244" s="11">
        <v>3360</v>
      </c>
      <c r="F3244" s="3">
        <v>39416</v>
      </c>
      <c r="G3244" s="2" t="s">
        <v>14104</v>
      </c>
      <c r="H3244" s="3">
        <v>43053</v>
      </c>
      <c r="I3244" s="2" t="s">
        <v>19506</v>
      </c>
      <c r="J3244" s="2" t="s">
        <v>13904</v>
      </c>
      <c r="K3244" s="2" t="s">
        <v>19275</v>
      </c>
      <c r="L3244" s="82" t="s">
        <v>19512</v>
      </c>
    </row>
    <row r="3245" spans="1:12" ht="84" customHeight="1" x14ac:dyDescent="0.3">
      <c r="A3245" s="2">
        <v>3241</v>
      </c>
      <c r="B3245" s="66" t="s">
        <v>3697</v>
      </c>
      <c r="C3245" s="66" t="s">
        <v>3735</v>
      </c>
      <c r="D3245" s="11">
        <v>3360</v>
      </c>
      <c r="E3245" s="11">
        <v>3360</v>
      </c>
      <c r="F3245" s="3">
        <v>39416</v>
      </c>
      <c r="G3245" s="2" t="s">
        <v>14104</v>
      </c>
      <c r="H3245" s="3">
        <v>43053</v>
      </c>
      <c r="I3245" s="2" t="s">
        <v>19506</v>
      </c>
      <c r="J3245" s="2" t="s">
        <v>13904</v>
      </c>
      <c r="K3245" s="2" t="s">
        <v>19275</v>
      </c>
      <c r="L3245" s="82" t="s">
        <v>19512</v>
      </c>
    </row>
    <row r="3246" spans="1:12" ht="84" customHeight="1" x14ac:dyDescent="0.3">
      <c r="A3246" s="2">
        <v>3242</v>
      </c>
      <c r="B3246" s="66" t="s">
        <v>3719</v>
      </c>
      <c r="C3246" s="66" t="s">
        <v>3736</v>
      </c>
      <c r="D3246" s="11">
        <v>4500</v>
      </c>
      <c r="E3246" s="11">
        <v>4500</v>
      </c>
      <c r="F3246" s="3">
        <v>39222</v>
      </c>
      <c r="G3246" s="2" t="s">
        <v>14104</v>
      </c>
      <c r="H3246" s="3">
        <v>43053</v>
      </c>
      <c r="I3246" s="2" t="s">
        <v>19506</v>
      </c>
      <c r="J3246" s="2" t="s">
        <v>13904</v>
      </c>
      <c r="K3246" s="2" t="s">
        <v>19275</v>
      </c>
      <c r="L3246" s="82" t="s">
        <v>19512</v>
      </c>
    </row>
    <row r="3247" spans="1:12" ht="84" customHeight="1" x14ac:dyDescent="0.3">
      <c r="A3247" s="2">
        <v>3243</v>
      </c>
      <c r="B3247" s="66" t="s">
        <v>3737</v>
      </c>
      <c r="C3247" s="66" t="s">
        <v>3738</v>
      </c>
      <c r="D3247" s="11">
        <v>4319.9799999999996</v>
      </c>
      <c r="E3247" s="11">
        <v>4319.9799999999996</v>
      </c>
      <c r="F3247" s="3">
        <v>41115</v>
      </c>
      <c r="G3247" s="2" t="s">
        <v>14104</v>
      </c>
      <c r="H3247" s="3">
        <v>43053</v>
      </c>
      <c r="I3247" s="2" t="s">
        <v>19506</v>
      </c>
      <c r="J3247" s="2" t="s">
        <v>13904</v>
      </c>
      <c r="K3247" s="2" t="s">
        <v>19275</v>
      </c>
      <c r="L3247" s="82" t="s">
        <v>19512</v>
      </c>
    </row>
    <row r="3248" spans="1:12" ht="84" customHeight="1" x14ac:dyDescent="0.3">
      <c r="A3248" s="2">
        <v>3244</v>
      </c>
      <c r="B3248" s="66" t="s">
        <v>3739</v>
      </c>
      <c r="C3248" s="66" t="s">
        <v>3740</v>
      </c>
      <c r="D3248" s="11">
        <v>219.44</v>
      </c>
      <c r="E3248" s="11">
        <v>219.44</v>
      </c>
      <c r="F3248" s="3">
        <v>39899</v>
      </c>
      <c r="G3248" s="2" t="s">
        <v>14104</v>
      </c>
      <c r="H3248" s="3">
        <v>43053</v>
      </c>
      <c r="I3248" s="2" t="s">
        <v>19506</v>
      </c>
      <c r="J3248" s="2" t="s">
        <v>13904</v>
      </c>
      <c r="K3248" s="2" t="s">
        <v>19275</v>
      </c>
      <c r="L3248" s="82" t="s">
        <v>19512</v>
      </c>
    </row>
    <row r="3249" spans="1:12" ht="84" customHeight="1" x14ac:dyDescent="0.3">
      <c r="A3249" s="2">
        <v>3245</v>
      </c>
      <c r="B3249" s="66" t="s">
        <v>3741</v>
      </c>
      <c r="C3249" s="66" t="s">
        <v>3742</v>
      </c>
      <c r="D3249" s="11">
        <v>1642.7</v>
      </c>
      <c r="E3249" s="11">
        <v>1642.7</v>
      </c>
      <c r="F3249" s="3">
        <v>38735</v>
      </c>
      <c r="G3249" s="2" t="s">
        <v>14104</v>
      </c>
      <c r="H3249" s="3">
        <v>43053</v>
      </c>
      <c r="I3249" s="2" t="s">
        <v>19506</v>
      </c>
      <c r="J3249" s="2" t="s">
        <v>13904</v>
      </c>
      <c r="K3249" s="2" t="s">
        <v>19275</v>
      </c>
      <c r="L3249" s="82" t="s">
        <v>19512</v>
      </c>
    </row>
    <row r="3250" spans="1:12" ht="84" customHeight="1" x14ac:dyDescent="0.3">
      <c r="A3250" s="2">
        <v>3246</v>
      </c>
      <c r="B3250" s="66" t="s">
        <v>3743</v>
      </c>
      <c r="C3250" s="66" t="s">
        <v>3744</v>
      </c>
      <c r="D3250" s="11">
        <v>27600</v>
      </c>
      <c r="E3250" s="11">
        <v>27600</v>
      </c>
      <c r="F3250" s="3">
        <v>41969</v>
      </c>
      <c r="G3250" s="2" t="s">
        <v>14104</v>
      </c>
      <c r="H3250" s="3">
        <v>43053</v>
      </c>
      <c r="I3250" s="2" t="s">
        <v>19506</v>
      </c>
      <c r="J3250" s="2" t="s">
        <v>13904</v>
      </c>
      <c r="K3250" s="2" t="s">
        <v>19275</v>
      </c>
      <c r="L3250" s="82" t="s">
        <v>19512</v>
      </c>
    </row>
    <row r="3251" spans="1:12" ht="84" customHeight="1" x14ac:dyDescent="0.3">
      <c r="A3251" s="2">
        <v>3247</v>
      </c>
      <c r="B3251" s="66" t="s">
        <v>3745</v>
      </c>
      <c r="C3251" s="66" t="s">
        <v>3746</v>
      </c>
      <c r="D3251" s="11">
        <v>5985</v>
      </c>
      <c r="E3251" s="11">
        <v>5985</v>
      </c>
      <c r="F3251" s="3">
        <v>41942</v>
      </c>
      <c r="G3251" s="2" t="s">
        <v>14104</v>
      </c>
      <c r="H3251" s="3">
        <v>43053</v>
      </c>
      <c r="I3251" s="2" t="s">
        <v>19506</v>
      </c>
      <c r="J3251" s="2" t="s">
        <v>13904</v>
      </c>
      <c r="K3251" s="2" t="s">
        <v>19275</v>
      </c>
      <c r="L3251" s="82" t="s">
        <v>19512</v>
      </c>
    </row>
    <row r="3252" spans="1:12" ht="84" customHeight="1" x14ac:dyDescent="0.3">
      <c r="A3252" s="2">
        <v>3248</v>
      </c>
      <c r="B3252" s="66" t="s">
        <v>3747</v>
      </c>
      <c r="C3252" s="66" t="s">
        <v>3151</v>
      </c>
      <c r="D3252" s="11">
        <v>29600</v>
      </c>
      <c r="E3252" s="11">
        <v>29600</v>
      </c>
      <c r="F3252" s="3">
        <v>41969</v>
      </c>
      <c r="G3252" s="2" t="s">
        <v>14104</v>
      </c>
      <c r="H3252" s="3">
        <v>43053</v>
      </c>
      <c r="I3252" s="2" t="s">
        <v>19506</v>
      </c>
      <c r="J3252" s="2" t="s">
        <v>13904</v>
      </c>
      <c r="K3252" s="2" t="s">
        <v>19275</v>
      </c>
      <c r="L3252" s="82" t="s">
        <v>19512</v>
      </c>
    </row>
    <row r="3253" spans="1:12" ht="84" customHeight="1" x14ac:dyDescent="0.3">
      <c r="A3253" s="2">
        <v>3249</v>
      </c>
      <c r="B3253" s="66" t="s">
        <v>3748</v>
      </c>
      <c r="C3253" s="66" t="s">
        <v>3152</v>
      </c>
      <c r="D3253" s="11">
        <v>5400</v>
      </c>
      <c r="E3253" s="11">
        <v>5400</v>
      </c>
      <c r="F3253" s="3">
        <v>41969</v>
      </c>
      <c r="G3253" s="2" t="s">
        <v>14104</v>
      </c>
      <c r="H3253" s="3">
        <v>43053</v>
      </c>
      <c r="I3253" s="2" t="s">
        <v>19506</v>
      </c>
      <c r="J3253" s="2" t="s">
        <v>13904</v>
      </c>
      <c r="K3253" s="2" t="s">
        <v>19275</v>
      </c>
      <c r="L3253" s="82" t="s">
        <v>19512</v>
      </c>
    </row>
    <row r="3254" spans="1:12" ht="84" customHeight="1" x14ac:dyDescent="0.3">
      <c r="A3254" s="2">
        <v>3250</v>
      </c>
      <c r="B3254" s="66" t="s">
        <v>3748</v>
      </c>
      <c r="C3254" s="66" t="s">
        <v>3749</v>
      </c>
      <c r="D3254" s="11">
        <v>5400</v>
      </c>
      <c r="E3254" s="11">
        <v>5400</v>
      </c>
      <c r="F3254" s="3">
        <v>41969</v>
      </c>
      <c r="G3254" s="2" t="s">
        <v>14104</v>
      </c>
      <c r="H3254" s="3">
        <v>43053</v>
      </c>
      <c r="I3254" s="2" t="s">
        <v>19506</v>
      </c>
      <c r="J3254" s="2" t="s">
        <v>13904</v>
      </c>
      <c r="K3254" s="2" t="s">
        <v>19275</v>
      </c>
      <c r="L3254" s="82" t="s">
        <v>19512</v>
      </c>
    </row>
    <row r="3255" spans="1:12" ht="84" customHeight="1" x14ac:dyDescent="0.3">
      <c r="A3255" s="2">
        <v>3251</v>
      </c>
      <c r="B3255" s="66" t="s">
        <v>3750</v>
      </c>
      <c r="C3255" s="66" t="s">
        <v>3751</v>
      </c>
      <c r="D3255" s="11">
        <v>4800</v>
      </c>
      <c r="E3255" s="11">
        <v>4800</v>
      </c>
      <c r="F3255" s="3">
        <v>41969</v>
      </c>
      <c r="G3255" s="2" t="s">
        <v>14104</v>
      </c>
      <c r="H3255" s="3">
        <v>43053</v>
      </c>
      <c r="I3255" s="2" t="s">
        <v>19506</v>
      </c>
      <c r="J3255" s="2" t="s">
        <v>13904</v>
      </c>
      <c r="K3255" s="2" t="s">
        <v>19275</v>
      </c>
      <c r="L3255" s="82" t="s">
        <v>19512</v>
      </c>
    </row>
    <row r="3256" spans="1:12" ht="84" customHeight="1" x14ac:dyDescent="0.3">
      <c r="A3256" s="2">
        <v>3252</v>
      </c>
      <c r="B3256" s="66" t="s">
        <v>3752</v>
      </c>
      <c r="C3256" s="66" t="s">
        <v>3155</v>
      </c>
      <c r="D3256" s="11">
        <v>4700</v>
      </c>
      <c r="E3256" s="11">
        <v>4700</v>
      </c>
      <c r="F3256" s="3">
        <v>41969</v>
      </c>
      <c r="G3256" s="2" t="s">
        <v>14104</v>
      </c>
      <c r="H3256" s="3">
        <v>43053</v>
      </c>
      <c r="I3256" s="2" t="s">
        <v>19506</v>
      </c>
      <c r="J3256" s="2" t="s">
        <v>13904</v>
      </c>
      <c r="K3256" s="2" t="s">
        <v>19275</v>
      </c>
      <c r="L3256" s="82" t="s">
        <v>19512</v>
      </c>
    </row>
    <row r="3257" spans="1:12" ht="84" customHeight="1" x14ac:dyDescent="0.3">
      <c r="A3257" s="2">
        <v>3253</v>
      </c>
      <c r="B3257" s="66" t="s">
        <v>3753</v>
      </c>
      <c r="C3257" s="66" t="s">
        <v>3153</v>
      </c>
      <c r="D3257" s="11">
        <v>3150</v>
      </c>
      <c r="E3257" s="11">
        <v>3150</v>
      </c>
      <c r="F3257" s="3">
        <v>41969</v>
      </c>
      <c r="G3257" s="2" t="s">
        <v>14104</v>
      </c>
      <c r="H3257" s="3">
        <v>43053</v>
      </c>
      <c r="I3257" s="2" t="s">
        <v>19506</v>
      </c>
      <c r="J3257" s="2" t="s">
        <v>13904</v>
      </c>
      <c r="K3257" s="2" t="s">
        <v>19275</v>
      </c>
      <c r="L3257" s="82" t="s">
        <v>19512</v>
      </c>
    </row>
    <row r="3258" spans="1:12" ht="84" customHeight="1" x14ac:dyDescent="0.3">
      <c r="A3258" s="2">
        <v>3254</v>
      </c>
      <c r="B3258" s="66" t="s">
        <v>3754</v>
      </c>
      <c r="C3258" s="66" t="s">
        <v>3154</v>
      </c>
      <c r="D3258" s="11">
        <v>3400</v>
      </c>
      <c r="E3258" s="11">
        <v>3400</v>
      </c>
      <c r="F3258" s="3">
        <v>41969</v>
      </c>
      <c r="G3258" s="2" t="s">
        <v>14104</v>
      </c>
      <c r="H3258" s="3">
        <v>43053</v>
      </c>
      <c r="I3258" s="2" t="s">
        <v>19506</v>
      </c>
      <c r="J3258" s="2" t="s">
        <v>13904</v>
      </c>
      <c r="K3258" s="2" t="s">
        <v>19275</v>
      </c>
      <c r="L3258" s="82" t="s">
        <v>19512</v>
      </c>
    </row>
    <row r="3259" spans="1:12" ht="84" customHeight="1" x14ac:dyDescent="0.3">
      <c r="A3259" s="2">
        <v>3255</v>
      </c>
      <c r="B3259" s="66" t="s">
        <v>3755</v>
      </c>
      <c r="C3259" s="66" t="s">
        <v>3756</v>
      </c>
      <c r="D3259" s="11">
        <v>3500</v>
      </c>
      <c r="E3259" s="11">
        <v>3500</v>
      </c>
      <c r="F3259" s="3">
        <v>41990</v>
      </c>
      <c r="G3259" s="2" t="s">
        <v>14104</v>
      </c>
      <c r="H3259" s="3">
        <v>43053</v>
      </c>
      <c r="I3259" s="2" t="s">
        <v>19506</v>
      </c>
      <c r="J3259" s="2" t="s">
        <v>13904</v>
      </c>
      <c r="K3259" s="2" t="s">
        <v>19275</v>
      </c>
      <c r="L3259" s="82" t="s">
        <v>19512</v>
      </c>
    </row>
    <row r="3260" spans="1:12" ht="84" customHeight="1" x14ac:dyDescent="0.3">
      <c r="A3260" s="2">
        <v>3256</v>
      </c>
      <c r="B3260" s="66" t="s">
        <v>3757</v>
      </c>
      <c r="C3260" s="66" t="s">
        <v>3758</v>
      </c>
      <c r="D3260" s="11">
        <v>5000</v>
      </c>
      <c r="E3260" s="11">
        <v>5000</v>
      </c>
      <c r="F3260" s="3">
        <v>41990</v>
      </c>
      <c r="G3260" s="2" t="s">
        <v>14104</v>
      </c>
      <c r="H3260" s="3">
        <v>43053</v>
      </c>
      <c r="I3260" s="2" t="s">
        <v>19506</v>
      </c>
      <c r="J3260" s="2" t="s">
        <v>13904</v>
      </c>
      <c r="K3260" s="2" t="s">
        <v>19275</v>
      </c>
      <c r="L3260" s="82" t="s">
        <v>19512</v>
      </c>
    </row>
    <row r="3261" spans="1:12" ht="84" customHeight="1" x14ac:dyDescent="0.3">
      <c r="A3261" s="2">
        <v>3257</v>
      </c>
      <c r="B3261" s="66" t="s">
        <v>3757</v>
      </c>
      <c r="C3261" s="66" t="s">
        <v>3759</v>
      </c>
      <c r="D3261" s="11">
        <v>5000</v>
      </c>
      <c r="E3261" s="11">
        <v>5000</v>
      </c>
      <c r="F3261" s="3">
        <v>41990</v>
      </c>
      <c r="G3261" s="2" t="s">
        <v>14104</v>
      </c>
      <c r="H3261" s="3">
        <v>43053</v>
      </c>
      <c r="I3261" s="2" t="s">
        <v>19506</v>
      </c>
      <c r="J3261" s="2" t="s">
        <v>13904</v>
      </c>
      <c r="K3261" s="2" t="s">
        <v>19275</v>
      </c>
      <c r="L3261" s="82" t="s">
        <v>19512</v>
      </c>
    </row>
    <row r="3262" spans="1:12" ht="84" customHeight="1" x14ac:dyDescent="0.3">
      <c r="A3262" s="2">
        <v>3258</v>
      </c>
      <c r="B3262" s="66" t="s">
        <v>3757</v>
      </c>
      <c r="C3262" s="66" t="s">
        <v>3248</v>
      </c>
      <c r="D3262" s="11">
        <v>5000</v>
      </c>
      <c r="E3262" s="11">
        <v>5000</v>
      </c>
      <c r="F3262" s="3">
        <v>41990</v>
      </c>
      <c r="G3262" s="2" t="s">
        <v>14104</v>
      </c>
      <c r="H3262" s="3">
        <v>43053</v>
      </c>
      <c r="I3262" s="2" t="s">
        <v>19506</v>
      </c>
      <c r="J3262" s="2" t="s">
        <v>13904</v>
      </c>
      <c r="K3262" s="2" t="s">
        <v>19275</v>
      </c>
      <c r="L3262" s="82" t="s">
        <v>19512</v>
      </c>
    </row>
    <row r="3263" spans="1:12" ht="84" customHeight="1" x14ac:dyDescent="0.3">
      <c r="A3263" s="2">
        <v>3259</v>
      </c>
      <c r="B3263" s="66" t="s">
        <v>3760</v>
      </c>
      <c r="C3263" s="66" t="s">
        <v>3249</v>
      </c>
      <c r="D3263" s="11">
        <v>3200</v>
      </c>
      <c r="E3263" s="11">
        <v>3200</v>
      </c>
      <c r="F3263" s="3">
        <v>41990</v>
      </c>
      <c r="G3263" s="2" t="s">
        <v>14104</v>
      </c>
      <c r="H3263" s="3">
        <v>43053</v>
      </c>
      <c r="I3263" s="2" t="s">
        <v>19506</v>
      </c>
      <c r="J3263" s="2" t="s">
        <v>13904</v>
      </c>
      <c r="K3263" s="2" t="s">
        <v>19275</v>
      </c>
      <c r="L3263" s="82" t="s">
        <v>19512</v>
      </c>
    </row>
    <row r="3264" spans="1:12" ht="84" customHeight="1" x14ac:dyDescent="0.3">
      <c r="A3264" s="2">
        <v>3260</v>
      </c>
      <c r="B3264" s="66" t="s">
        <v>3761</v>
      </c>
      <c r="C3264" s="66" t="s">
        <v>3250</v>
      </c>
      <c r="D3264" s="11">
        <v>7675</v>
      </c>
      <c r="E3264" s="11">
        <v>7675</v>
      </c>
      <c r="F3264" s="3">
        <v>41990</v>
      </c>
      <c r="G3264" s="2" t="s">
        <v>14104</v>
      </c>
      <c r="H3264" s="3">
        <v>43053</v>
      </c>
      <c r="I3264" s="2" t="s">
        <v>19506</v>
      </c>
      <c r="J3264" s="2" t="s">
        <v>13904</v>
      </c>
      <c r="K3264" s="2" t="s">
        <v>19275</v>
      </c>
      <c r="L3264" s="82" t="s">
        <v>19512</v>
      </c>
    </row>
    <row r="3265" spans="1:15" ht="84" customHeight="1" x14ac:dyDescent="0.3">
      <c r="A3265" s="2">
        <v>3261</v>
      </c>
      <c r="B3265" s="66" t="s">
        <v>3762</v>
      </c>
      <c r="C3265" s="66" t="s">
        <v>3251</v>
      </c>
      <c r="D3265" s="11">
        <v>34345</v>
      </c>
      <c r="E3265" s="11">
        <v>34345</v>
      </c>
      <c r="F3265" s="3">
        <v>41978</v>
      </c>
      <c r="G3265" s="2" t="s">
        <v>14104</v>
      </c>
      <c r="H3265" s="3">
        <v>43053</v>
      </c>
      <c r="I3265" s="2" t="s">
        <v>19506</v>
      </c>
      <c r="J3265" s="2" t="s">
        <v>13904</v>
      </c>
      <c r="K3265" s="2" t="s">
        <v>19275</v>
      </c>
      <c r="L3265" s="82" t="s">
        <v>19512</v>
      </c>
    </row>
    <row r="3266" spans="1:15" s="19" customFormat="1" ht="96" customHeight="1" x14ac:dyDescent="0.3">
      <c r="A3266" s="2">
        <v>3262</v>
      </c>
      <c r="B3266" s="66" t="s">
        <v>22254</v>
      </c>
      <c r="C3266" s="66">
        <v>4101230001</v>
      </c>
      <c r="D3266" s="11">
        <v>1159268.78</v>
      </c>
      <c r="E3266" s="11">
        <v>0</v>
      </c>
      <c r="F3266" s="3" t="s">
        <v>22255</v>
      </c>
      <c r="G3266" s="2" t="s">
        <v>22256</v>
      </c>
      <c r="H3266" s="2"/>
      <c r="I3266" s="2"/>
      <c r="J3266" s="2" t="s">
        <v>13904</v>
      </c>
      <c r="K3266" s="2" t="s">
        <v>22257</v>
      </c>
      <c r="L3266" s="2" t="s">
        <v>22992</v>
      </c>
      <c r="M3266" s="18"/>
      <c r="N3266" s="18"/>
      <c r="O3266" s="18"/>
    </row>
    <row r="3267" spans="1:15" ht="84" customHeight="1" x14ac:dyDescent="0.3">
      <c r="A3267" s="2">
        <v>3263</v>
      </c>
      <c r="B3267" s="66" t="s">
        <v>1062</v>
      </c>
      <c r="C3267" s="66" t="s">
        <v>3763</v>
      </c>
      <c r="D3267" s="11">
        <v>96908.85</v>
      </c>
      <c r="E3267" s="11">
        <v>37148.449999999997</v>
      </c>
      <c r="F3267" s="3">
        <v>42004</v>
      </c>
      <c r="G3267" s="2"/>
      <c r="H3267" s="2"/>
      <c r="I3267" s="2"/>
      <c r="J3267" s="2" t="s">
        <v>13904</v>
      </c>
      <c r="K3267" s="2" t="s">
        <v>19206</v>
      </c>
      <c r="L3267" s="82" t="s">
        <v>18747</v>
      </c>
    </row>
    <row r="3268" spans="1:15" ht="84" customHeight="1" x14ac:dyDescent="0.3">
      <c r="A3268" s="2">
        <v>3264</v>
      </c>
      <c r="B3268" s="66" t="s">
        <v>23369</v>
      </c>
      <c r="C3268" s="66">
        <v>4101360030</v>
      </c>
      <c r="D3268" s="11">
        <v>95300</v>
      </c>
      <c r="E3268" s="11">
        <v>95300</v>
      </c>
      <c r="F3268" s="3" t="s">
        <v>23370</v>
      </c>
      <c r="G3268" s="2" t="s">
        <v>23371</v>
      </c>
      <c r="H3268" s="3"/>
      <c r="I3268" s="2"/>
      <c r="J3268" s="2" t="s">
        <v>13904</v>
      </c>
      <c r="K3268" s="2" t="s">
        <v>23372</v>
      </c>
      <c r="L3268" s="82" t="s">
        <v>23373</v>
      </c>
    </row>
    <row r="3269" spans="1:15" ht="84" customHeight="1" x14ac:dyDescent="0.3">
      <c r="A3269" s="2">
        <v>3265</v>
      </c>
      <c r="B3269" s="66" t="s">
        <v>3766</v>
      </c>
      <c r="C3269" s="66" t="s">
        <v>3767</v>
      </c>
      <c r="D3269" s="11">
        <v>38917.5</v>
      </c>
      <c r="E3269" s="11">
        <v>38917.5</v>
      </c>
      <c r="F3269" s="3">
        <v>39995</v>
      </c>
      <c r="G3269" s="2"/>
      <c r="H3269" s="3">
        <v>43053</v>
      </c>
      <c r="I3269" s="2" t="s">
        <v>19506</v>
      </c>
      <c r="J3269" s="2" t="s">
        <v>13904</v>
      </c>
      <c r="K3269" s="2" t="s">
        <v>19206</v>
      </c>
      <c r="L3269" s="82" t="s">
        <v>19512</v>
      </c>
    </row>
    <row r="3270" spans="1:15" ht="84" customHeight="1" x14ac:dyDescent="0.3">
      <c r="A3270" s="2">
        <v>3266</v>
      </c>
      <c r="B3270" s="66" t="s">
        <v>3768</v>
      </c>
      <c r="C3270" s="66" t="s">
        <v>3769</v>
      </c>
      <c r="D3270" s="11">
        <v>54750</v>
      </c>
      <c r="E3270" s="11">
        <v>21900</v>
      </c>
      <c r="F3270" s="3">
        <v>41969</v>
      </c>
      <c r="G3270" s="2"/>
      <c r="H3270" s="2"/>
      <c r="I3270" s="2"/>
      <c r="J3270" s="2" t="s">
        <v>13904</v>
      </c>
      <c r="K3270" s="2" t="s">
        <v>19206</v>
      </c>
      <c r="L3270" s="82" t="s">
        <v>18746</v>
      </c>
    </row>
    <row r="3271" spans="1:15" ht="84" customHeight="1" x14ac:dyDescent="0.3">
      <c r="A3271" s="2">
        <v>3267</v>
      </c>
      <c r="B3271" s="66" t="s">
        <v>3770</v>
      </c>
      <c r="C3271" s="66" t="s">
        <v>3345</v>
      </c>
      <c r="D3271" s="11">
        <v>40000</v>
      </c>
      <c r="E3271" s="11">
        <v>40000</v>
      </c>
      <c r="F3271" s="3">
        <v>41878</v>
      </c>
      <c r="G3271" s="2"/>
      <c r="H3271" s="3">
        <v>43053</v>
      </c>
      <c r="I3271" s="2" t="s">
        <v>19506</v>
      </c>
      <c r="J3271" s="2" t="s">
        <v>13904</v>
      </c>
      <c r="K3271" s="2" t="s">
        <v>19206</v>
      </c>
      <c r="L3271" s="82" t="s">
        <v>19512</v>
      </c>
    </row>
    <row r="3272" spans="1:15" ht="84" customHeight="1" x14ac:dyDescent="0.3">
      <c r="A3272" s="2">
        <v>3268</v>
      </c>
      <c r="B3272" s="66" t="s">
        <v>3771</v>
      </c>
      <c r="C3272" s="66" t="s">
        <v>3772</v>
      </c>
      <c r="D3272" s="11">
        <v>3260</v>
      </c>
      <c r="E3272" s="11">
        <v>3260</v>
      </c>
      <c r="F3272" s="3">
        <v>41745</v>
      </c>
      <c r="G3272" s="2"/>
      <c r="H3272" s="3">
        <v>43053</v>
      </c>
      <c r="I3272" s="2" t="s">
        <v>19506</v>
      </c>
      <c r="J3272" s="2" t="s">
        <v>13904</v>
      </c>
      <c r="K3272" s="2" t="s">
        <v>19206</v>
      </c>
      <c r="L3272" s="82" t="s">
        <v>19512</v>
      </c>
    </row>
    <row r="3273" spans="1:15" ht="84" customHeight="1" x14ac:dyDescent="0.3">
      <c r="A3273" s="2">
        <v>3269</v>
      </c>
      <c r="B3273" s="66" t="s">
        <v>3773</v>
      </c>
      <c r="C3273" s="66" t="s">
        <v>3774</v>
      </c>
      <c r="D3273" s="11">
        <v>19459.990000000002</v>
      </c>
      <c r="E3273" s="11">
        <v>19459.990000000002</v>
      </c>
      <c r="F3273" s="3">
        <v>39399</v>
      </c>
      <c r="G3273" s="2"/>
      <c r="H3273" s="3">
        <v>43053</v>
      </c>
      <c r="I3273" s="2" t="s">
        <v>19506</v>
      </c>
      <c r="J3273" s="2" t="s">
        <v>13904</v>
      </c>
      <c r="K3273" s="2" t="s">
        <v>19206</v>
      </c>
      <c r="L3273" s="82" t="s">
        <v>19512</v>
      </c>
    </row>
    <row r="3274" spans="1:15" ht="84" customHeight="1" x14ac:dyDescent="0.3">
      <c r="A3274" s="2">
        <v>3270</v>
      </c>
      <c r="B3274" s="66" t="s">
        <v>3775</v>
      </c>
      <c r="C3274" s="66" t="s">
        <v>3776</v>
      </c>
      <c r="D3274" s="11">
        <v>14772.15</v>
      </c>
      <c r="E3274" s="11">
        <v>14772.15</v>
      </c>
      <c r="F3274" s="3">
        <v>39059</v>
      </c>
      <c r="G3274" s="2"/>
      <c r="H3274" s="3">
        <v>43053</v>
      </c>
      <c r="I3274" s="2" t="s">
        <v>19506</v>
      </c>
      <c r="J3274" s="2" t="s">
        <v>13904</v>
      </c>
      <c r="K3274" s="2" t="s">
        <v>19206</v>
      </c>
      <c r="L3274" s="82" t="s">
        <v>19512</v>
      </c>
    </row>
    <row r="3275" spans="1:15" ht="84" customHeight="1" x14ac:dyDescent="0.3">
      <c r="A3275" s="2">
        <v>3271</v>
      </c>
      <c r="B3275" s="66" t="s">
        <v>3777</v>
      </c>
      <c r="C3275" s="66" t="s">
        <v>3198</v>
      </c>
      <c r="D3275" s="11">
        <v>10909.3</v>
      </c>
      <c r="E3275" s="11">
        <v>10909.3</v>
      </c>
      <c r="F3275" s="3">
        <v>37516</v>
      </c>
      <c r="G3275" s="2"/>
      <c r="H3275" s="3">
        <v>43053</v>
      </c>
      <c r="I3275" s="2" t="s">
        <v>19506</v>
      </c>
      <c r="J3275" s="2" t="s">
        <v>13904</v>
      </c>
      <c r="K3275" s="2" t="s">
        <v>19206</v>
      </c>
      <c r="L3275" s="82" t="s">
        <v>19512</v>
      </c>
    </row>
    <row r="3276" spans="1:15" ht="84" customHeight="1" x14ac:dyDescent="0.3">
      <c r="A3276" s="2">
        <v>3272</v>
      </c>
      <c r="B3276" s="66" t="s">
        <v>3257</v>
      </c>
      <c r="C3276" s="66" t="s">
        <v>3778</v>
      </c>
      <c r="D3276" s="11">
        <v>4000</v>
      </c>
      <c r="E3276" s="11">
        <v>4000</v>
      </c>
      <c r="F3276" s="3">
        <v>39441</v>
      </c>
      <c r="G3276" s="2"/>
      <c r="H3276" s="3">
        <v>43053</v>
      </c>
      <c r="I3276" s="2" t="s">
        <v>19506</v>
      </c>
      <c r="J3276" s="2" t="s">
        <v>13904</v>
      </c>
      <c r="K3276" s="2" t="s">
        <v>19206</v>
      </c>
      <c r="L3276" s="82" t="s">
        <v>19512</v>
      </c>
    </row>
    <row r="3277" spans="1:15" ht="84" customHeight="1" x14ac:dyDescent="0.3">
      <c r="A3277" s="2">
        <v>3273</v>
      </c>
      <c r="B3277" s="66" t="s">
        <v>2899</v>
      </c>
      <c r="C3277" s="66" t="s">
        <v>3612</v>
      </c>
      <c r="D3277" s="11">
        <v>4947.1499999999996</v>
      </c>
      <c r="E3277" s="11">
        <v>4947.1499999999996</v>
      </c>
      <c r="F3277" s="3">
        <v>29292</v>
      </c>
      <c r="G3277" s="2"/>
      <c r="H3277" s="3">
        <v>43053</v>
      </c>
      <c r="I3277" s="2" t="s">
        <v>19506</v>
      </c>
      <c r="J3277" s="2" t="s">
        <v>13904</v>
      </c>
      <c r="K3277" s="2" t="s">
        <v>19206</v>
      </c>
      <c r="L3277" s="82" t="s">
        <v>19512</v>
      </c>
    </row>
    <row r="3278" spans="1:15" ht="84" customHeight="1" x14ac:dyDescent="0.3">
      <c r="A3278" s="2">
        <v>3274</v>
      </c>
      <c r="B3278" s="66" t="s">
        <v>3101</v>
      </c>
      <c r="C3278" s="66" t="s">
        <v>3618</v>
      </c>
      <c r="D3278" s="11">
        <v>21012</v>
      </c>
      <c r="E3278" s="11">
        <v>21012</v>
      </c>
      <c r="F3278" s="3">
        <v>38729</v>
      </c>
      <c r="G3278" s="2"/>
      <c r="H3278" s="3">
        <v>43053</v>
      </c>
      <c r="I3278" s="2" t="s">
        <v>19506</v>
      </c>
      <c r="J3278" s="2" t="s">
        <v>13904</v>
      </c>
      <c r="K3278" s="2" t="s">
        <v>19206</v>
      </c>
      <c r="L3278" s="82" t="s">
        <v>19512</v>
      </c>
    </row>
    <row r="3279" spans="1:15" ht="84" customHeight="1" x14ac:dyDescent="0.3">
      <c r="A3279" s="2">
        <v>3275</v>
      </c>
      <c r="B3279" s="66" t="s">
        <v>223</v>
      </c>
      <c r="C3279" s="66" t="s">
        <v>3779</v>
      </c>
      <c r="D3279" s="11">
        <v>8800</v>
      </c>
      <c r="E3279" s="11">
        <v>8800</v>
      </c>
      <c r="F3279" s="3">
        <v>39529</v>
      </c>
      <c r="G3279" s="2"/>
      <c r="H3279" s="3">
        <v>43053</v>
      </c>
      <c r="I3279" s="2" t="s">
        <v>19506</v>
      </c>
      <c r="J3279" s="2" t="s">
        <v>13904</v>
      </c>
      <c r="K3279" s="2" t="s">
        <v>19206</v>
      </c>
      <c r="L3279" s="82" t="s">
        <v>19512</v>
      </c>
    </row>
    <row r="3280" spans="1:15" ht="84" customHeight="1" x14ac:dyDescent="0.3">
      <c r="A3280" s="2">
        <v>3276</v>
      </c>
      <c r="B3280" s="66" t="s">
        <v>3780</v>
      </c>
      <c r="C3280" s="66" t="s">
        <v>3781</v>
      </c>
      <c r="D3280" s="11">
        <v>19732</v>
      </c>
      <c r="E3280" s="11">
        <v>19732</v>
      </c>
      <c r="F3280" s="3">
        <v>40878</v>
      </c>
      <c r="G3280" s="2"/>
      <c r="H3280" s="3">
        <v>43053</v>
      </c>
      <c r="I3280" s="2" t="s">
        <v>19506</v>
      </c>
      <c r="J3280" s="2" t="s">
        <v>13904</v>
      </c>
      <c r="K3280" s="2" t="s">
        <v>19206</v>
      </c>
      <c r="L3280" s="82" t="s">
        <v>19512</v>
      </c>
    </row>
    <row r="3281" spans="1:12" ht="84" customHeight="1" x14ac:dyDescent="0.3">
      <c r="A3281" s="2">
        <v>3277</v>
      </c>
      <c r="B3281" s="66" t="s">
        <v>3782</v>
      </c>
      <c r="C3281" s="66" t="s">
        <v>3200</v>
      </c>
      <c r="D3281" s="11">
        <v>3981</v>
      </c>
      <c r="E3281" s="11">
        <v>3981</v>
      </c>
      <c r="F3281" s="3">
        <v>39399</v>
      </c>
      <c r="G3281" s="2"/>
      <c r="H3281" s="3">
        <v>43053</v>
      </c>
      <c r="I3281" s="2" t="s">
        <v>19506</v>
      </c>
      <c r="J3281" s="2" t="s">
        <v>13904</v>
      </c>
      <c r="K3281" s="2" t="s">
        <v>19206</v>
      </c>
      <c r="L3281" s="82" t="s">
        <v>19512</v>
      </c>
    </row>
    <row r="3282" spans="1:12" ht="84" customHeight="1" x14ac:dyDescent="0.3">
      <c r="A3282" s="2">
        <v>3278</v>
      </c>
      <c r="B3282" s="66" t="s">
        <v>3783</v>
      </c>
      <c r="C3282" s="66" t="s">
        <v>3300</v>
      </c>
      <c r="D3282" s="11">
        <v>9525</v>
      </c>
      <c r="E3282" s="11">
        <v>9525</v>
      </c>
      <c r="F3282" s="3">
        <v>37358</v>
      </c>
      <c r="G3282" s="2"/>
      <c r="H3282" s="3">
        <v>43053</v>
      </c>
      <c r="I3282" s="2" t="s">
        <v>19506</v>
      </c>
      <c r="J3282" s="2" t="s">
        <v>13904</v>
      </c>
      <c r="K3282" s="2" t="s">
        <v>19206</v>
      </c>
      <c r="L3282" s="82" t="s">
        <v>19512</v>
      </c>
    </row>
    <row r="3283" spans="1:12" ht="84" customHeight="1" x14ac:dyDescent="0.3">
      <c r="A3283" s="2">
        <v>3279</v>
      </c>
      <c r="B3283" s="66" t="s">
        <v>3784</v>
      </c>
      <c r="C3283" s="66" t="s">
        <v>3677</v>
      </c>
      <c r="D3283" s="11">
        <v>8333</v>
      </c>
      <c r="E3283" s="11">
        <v>8333</v>
      </c>
      <c r="F3283" s="3">
        <v>39445</v>
      </c>
      <c r="G3283" s="2"/>
      <c r="H3283" s="3">
        <v>43053</v>
      </c>
      <c r="I3283" s="2" t="s">
        <v>19506</v>
      </c>
      <c r="J3283" s="2" t="s">
        <v>13904</v>
      </c>
      <c r="K3283" s="2" t="s">
        <v>19206</v>
      </c>
      <c r="L3283" s="82" t="s">
        <v>19512</v>
      </c>
    </row>
    <row r="3284" spans="1:12" ht="84" customHeight="1" x14ac:dyDescent="0.3">
      <c r="A3284" s="2">
        <v>3280</v>
      </c>
      <c r="B3284" s="66" t="s">
        <v>267</v>
      </c>
      <c r="C3284" s="66" t="s">
        <v>3199</v>
      </c>
      <c r="D3284" s="11">
        <v>13403.82</v>
      </c>
      <c r="E3284" s="11">
        <v>13403.82</v>
      </c>
      <c r="F3284" s="3">
        <v>38729</v>
      </c>
      <c r="G3284" s="2"/>
      <c r="H3284" s="3">
        <v>43053</v>
      </c>
      <c r="I3284" s="2" t="s">
        <v>19506</v>
      </c>
      <c r="J3284" s="2" t="s">
        <v>13904</v>
      </c>
      <c r="K3284" s="2" t="s">
        <v>19206</v>
      </c>
      <c r="L3284" s="82" t="s">
        <v>19512</v>
      </c>
    </row>
    <row r="3285" spans="1:12" ht="84" customHeight="1" x14ac:dyDescent="0.3">
      <c r="A3285" s="2">
        <v>3281</v>
      </c>
      <c r="B3285" s="66" t="s">
        <v>267</v>
      </c>
      <c r="C3285" s="66" t="s">
        <v>3204</v>
      </c>
      <c r="D3285" s="11">
        <v>11923.8</v>
      </c>
      <c r="E3285" s="11">
        <v>11923.8</v>
      </c>
      <c r="F3285" s="3">
        <v>38729</v>
      </c>
      <c r="G3285" s="2"/>
      <c r="H3285" s="3">
        <v>43053</v>
      </c>
      <c r="I3285" s="2" t="s">
        <v>19506</v>
      </c>
      <c r="J3285" s="2" t="s">
        <v>13904</v>
      </c>
      <c r="K3285" s="2" t="s">
        <v>19206</v>
      </c>
      <c r="L3285" s="82" t="s">
        <v>19512</v>
      </c>
    </row>
    <row r="3286" spans="1:12" ht="84" customHeight="1" x14ac:dyDescent="0.3">
      <c r="A3286" s="2">
        <v>3282</v>
      </c>
      <c r="B3286" s="66" t="s">
        <v>3785</v>
      </c>
      <c r="C3286" s="66" t="s">
        <v>3786</v>
      </c>
      <c r="D3286" s="11">
        <v>5299.99</v>
      </c>
      <c r="E3286" s="11">
        <v>5299.99</v>
      </c>
      <c r="F3286" s="3">
        <v>41145</v>
      </c>
      <c r="G3286" s="2"/>
      <c r="H3286" s="3">
        <v>43053</v>
      </c>
      <c r="I3286" s="2" t="s">
        <v>19506</v>
      </c>
      <c r="J3286" s="2" t="s">
        <v>13904</v>
      </c>
      <c r="K3286" s="2" t="s">
        <v>19206</v>
      </c>
      <c r="L3286" s="82" t="s">
        <v>19512</v>
      </c>
    </row>
    <row r="3287" spans="1:12" ht="84" customHeight="1" x14ac:dyDescent="0.3">
      <c r="A3287" s="2">
        <v>3283</v>
      </c>
      <c r="B3287" s="66" t="s">
        <v>3787</v>
      </c>
      <c r="C3287" s="66" t="s">
        <v>3308</v>
      </c>
      <c r="D3287" s="11">
        <v>6899.99</v>
      </c>
      <c r="E3287" s="11">
        <v>6899.99</v>
      </c>
      <c r="F3287" s="3">
        <v>41145</v>
      </c>
      <c r="G3287" s="2"/>
      <c r="H3287" s="3">
        <v>43053</v>
      </c>
      <c r="I3287" s="2" t="s">
        <v>19506</v>
      </c>
      <c r="J3287" s="2" t="s">
        <v>13904</v>
      </c>
      <c r="K3287" s="2" t="s">
        <v>19206</v>
      </c>
      <c r="L3287" s="82" t="s">
        <v>19512</v>
      </c>
    </row>
    <row r="3288" spans="1:12" ht="84" customHeight="1" x14ac:dyDescent="0.3">
      <c r="A3288" s="2">
        <v>3284</v>
      </c>
      <c r="B3288" s="66" t="s">
        <v>3788</v>
      </c>
      <c r="C3288" s="66" t="s">
        <v>3459</v>
      </c>
      <c r="D3288" s="11">
        <v>13300</v>
      </c>
      <c r="E3288" s="11">
        <v>13300</v>
      </c>
      <c r="F3288" s="3">
        <v>41838</v>
      </c>
      <c r="G3288" s="2"/>
      <c r="H3288" s="3">
        <v>43053</v>
      </c>
      <c r="I3288" s="2" t="s">
        <v>19506</v>
      </c>
      <c r="J3288" s="2" t="s">
        <v>13904</v>
      </c>
      <c r="K3288" s="2" t="s">
        <v>19206</v>
      </c>
      <c r="L3288" s="82" t="s">
        <v>19512</v>
      </c>
    </row>
    <row r="3289" spans="1:12" ht="84" customHeight="1" x14ac:dyDescent="0.3">
      <c r="A3289" s="2">
        <v>3285</v>
      </c>
      <c r="B3289" s="66" t="s">
        <v>3789</v>
      </c>
      <c r="C3289" s="66" t="s">
        <v>3790</v>
      </c>
      <c r="D3289" s="11">
        <v>15000</v>
      </c>
      <c r="E3289" s="11">
        <v>15000</v>
      </c>
      <c r="F3289" s="3">
        <v>41838</v>
      </c>
      <c r="G3289" s="2"/>
      <c r="H3289" s="3">
        <v>43053</v>
      </c>
      <c r="I3289" s="2" t="s">
        <v>19506</v>
      </c>
      <c r="J3289" s="2" t="s">
        <v>13904</v>
      </c>
      <c r="K3289" s="2" t="s">
        <v>19206</v>
      </c>
      <c r="L3289" s="82" t="s">
        <v>19512</v>
      </c>
    </row>
    <row r="3290" spans="1:12" ht="84" customHeight="1" x14ac:dyDescent="0.3">
      <c r="A3290" s="2">
        <v>3286</v>
      </c>
      <c r="B3290" s="66" t="s">
        <v>3791</v>
      </c>
      <c r="C3290" s="66" t="s">
        <v>3206</v>
      </c>
      <c r="D3290" s="11">
        <v>3903</v>
      </c>
      <c r="E3290" s="11">
        <v>3903</v>
      </c>
      <c r="F3290" s="3">
        <v>41838</v>
      </c>
      <c r="G3290" s="2"/>
      <c r="H3290" s="3">
        <v>43053</v>
      </c>
      <c r="I3290" s="2" t="s">
        <v>19506</v>
      </c>
      <c r="J3290" s="2" t="s">
        <v>13904</v>
      </c>
      <c r="K3290" s="2" t="s">
        <v>19206</v>
      </c>
      <c r="L3290" s="82" t="s">
        <v>19512</v>
      </c>
    </row>
    <row r="3291" spans="1:12" ht="84" customHeight="1" x14ac:dyDescent="0.3">
      <c r="A3291" s="2">
        <v>3287</v>
      </c>
      <c r="B3291" s="66" t="s">
        <v>3792</v>
      </c>
      <c r="C3291" s="66" t="s">
        <v>3793</v>
      </c>
      <c r="D3291" s="11">
        <v>9430.56</v>
      </c>
      <c r="E3291" s="11">
        <v>9430.56</v>
      </c>
      <c r="F3291" s="3">
        <v>41115</v>
      </c>
      <c r="G3291" s="2"/>
      <c r="H3291" s="3">
        <v>43053</v>
      </c>
      <c r="I3291" s="2" t="s">
        <v>19506</v>
      </c>
      <c r="J3291" s="2" t="s">
        <v>13904</v>
      </c>
      <c r="K3291" s="2" t="s">
        <v>19206</v>
      </c>
      <c r="L3291" s="82" t="s">
        <v>19512</v>
      </c>
    </row>
    <row r="3292" spans="1:12" ht="84" customHeight="1" x14ac:dyDescent="0.3">
      <c r="A3292" s="2">
        <v>3288</v>
      </c>
      <c r="B3292" s="66" t="s">
        <v>3689</v>
      </c>
      <c r="C3292" s="66" t="s">
        <v>3794</v>
      </c>
      <c r="D3292" s="11">
        <v>5980</v>
      </c>
      <c r="E3292" s="11">
        <v>5980</v>
      </c>
      <c r="F3292" s="3">
        <v>40536</v>
      </c>
      <c r="G3292" s="2"/>
      <c r="H3292" s="3">
        <v>43053</v>
      </c>
      <c r="I3292" s="2" t="s">
        <v>19506</v>
      </c>
      <c r="J3292" s="2" t="s">
        <v>13904</v>
      </c>
      <c r="K3292" s="2" t="s">
        <v>19206</v>
      </c>
      <c r="L3292" s="82" t="s">
        <v>19512</v>
      </c>
    </row>
    <row r="3293" spans="1:12" ht="84" customHeight="1" x14ac:dyDescent="0.3">
      <c r="A3293" s="2">
        <v>3289</v>
      </c>
      <c r="B3293" s="66" t="s">
        <v>3570</v>
      </c>
      <c r="C3293" s="66" t="s">
        <v>3795</v>
      </c>
      <c r="D3293" s="11">
        <v>5000</v>
      </c>
      <c r="E3293" s="11">
        <v>5000</v>
      </c>
      <c r="F3293" s="3">
        <v>39442</v>
      </c>
      <c r="G3293" s="2"/>
      <c r="H3293" s="3">
        <v>43053</v>
      </c>
      <c r="I3293" s="2" t="s">
        <v>19506</v>
      </c>
      <c r="J3293" s="2" t="s">
        <v>13904</v>
      </c>
      <c r="K3293" s="2" t="s">
        <v>19206</v>
      </c>
      <c r="L3293" s="82" t="s">
        <v>19512</v>
      </c>
    </row>
    <row r="3294" spans="1:12" ht="84" customHeight="1" x14ac:dyDescent="0.3">
      <c r="A3294" s="2">
        <v>3290</v>
      </c>
      <c r="B3294" s="66" t="s">
        <v>3796</v>
      </c>
      <c r="C3294" s="66" t="s">
        <v>3797</v>
      </c>
      <c r="D3294" s="11">
        <v>4840</v>
      </c>
      <c r="E3294" s="11">
        <v>4840</v>
      </c>
      <c r="F3294" s="3">
        <v>39422</v>
      </c>
      <c r="G3294" s="2"/>
      <c r="H3294" s="3">
        <v>43053</v>
      </c>
      <c r="I3294" s="2" t="s">
        <v>19506</v>
      </c>
      <c r="J3294" s="2" t="s">
        <v>13904</v>
      </c>
      <c r="K3294" s="2" t="s">
        <v>19206</v>
      </c>
      <c r="L3294" s="82" t="s">
        <v>19512</v>
      </c>
    </row>
    <row r="3295" spans="1:12" ht="84" customHeight="1" x14ac:dyDescent="0.3">
      <c r="A3295" s="2">
        <v>3291</v>
      </c>
      <c r="B3295" s="66" t="s">
        <v>3176</v>
      </c>
      <c r="C3295" s="66" t="s">
        <v>3798</v>
      </c>
      <c r="D3295" s="11">
        <v>9200</v>
      </c>
      <c r="E3295" s="11">
        <v>9200</v>
      </c>
      <c r="F3295" s="3">
        <v>39422</v>
      </c>
      <c r="G3295" s="2"/>
      <c r="H3295" s="3">
        <v>43053</v>
      </c>
      <c r="I3295" s="2" t="s">
        <v>19506</v>
      </c>
      <c r="J3295" s="2" t="s">
        <v>13904</v>
      </c>
      <c r="K3295" s="2" t="s">
        <v>19206</v>
      </c>
      <c r="L3295" s="82" t="s">
        <v>19512</v>
      </c>
    </row>
    <row r="3296" spans="1:12" ht="84" customHeight="1" x14ac:dyDescent="0.3">
      <c r="A3296" s="2">
        <v>3292</v>
      </c>
      <c r="B3296" s="66" t="s">
        <v>3639</v>
      </c>
      <c r="C3296" s="66" t="s">
        <v>3799</v>
      </c>
      <c r="D3296" s="11">
        <v>3909.17</v>
      </c>
      <c r="E3296" s="11">
        <v>3909.17</v>
      </c>
      <c r="F3296" s="3">
        <v>39076</v>
      </c>
      <c r="G3296" s="2"/>
      <c r="H3296" s="3">
        <v>43053</v>
      </c>
      <c r="I3296" s="2" t="s">
        <v>19506</v>
      </c>
      <c r="J3296" s="2" t="s">
        <v>13904</v>
      </c>
      <c r="K3296" s="2" t="s">
        <v>19206</v>
      </c>
      <c r="L3296" s="82" t="s">
        <v>19512</v>
      </c>
    </row>
    <row r="3297" spans="1:12" ht="84" customHeight="1" x14ac:dyDescent="0.3">
      <c r="A3297" s="2">
        <v>3293</v>
      </c>
      <c r="B3297" s="66" t="s">
        <v>3800</v>
      </c>
      <c r="C3297" s="66" t="s">
        <v>3801</v>
      </c>
      <c r="D3297" s="11">
        <v>4046.2</v>
      </c>
      <c r="E3297" s="11">
        <v>4046.2</v>
      </c>
      <c r="F3297" s="3">
        <v>32944</v>
      </c>
      <c r="G3297" s="2"/>
      <c r="H3297" s="3">
        <v>43053</v>
      </c>
      <c r="I3297" s="2" t="s">
        <v>19506</v>
      </c>
      <c r="J3297" s="2" t="s">
        <v>13904</v>
      </c>
      <c r="K3297" s="2" t="s">
        <v>19206</v>
      </c>
      <c r="L3297" s="82" t="s">
        <v>19512</v>
      </c>
    </row>
    <row r="3298" spans="1:12" ht="84" customHeight="1" x14ac:dyDescent="0.3">
      <c r="A3298" s="2">
        <v>3294</v>
      </c>
      <c r="B3298" s="66" t="s">
        <v>3802</v>
      </c>
      <c r="C3298" s="66" t="s">
        <v>3241</v>
      </c>
      <c r="D3298" s="11">
        <v>3769</v>
      </c>
      <c r="E3298" s="11">
        <v>3769</v>
      </c>
      <c r="F3298" s="3">
        <v>41984</v>
      </c>
      <c r="G3298" s="2"/>
      <c r="H3298" s="3">
        <v>43053</v>
      </c>
      <c r="I3298" s="2" t="s">
        <v>19506</v>
      </c>
      <c r="J3298" s="2" t="s">
        <v>13904</v>
      </c>
      <c r="K3298" s="2" t="s">
        <v>19206</v>
      </c>
      <c r="L3298" s="82" t="s">
        <v>19512</v>
      </c>
    </row>
    <row r="3299" spans="1:12" ht="84" customHeight="1" x14ac:dyDescent="0.3">
      <c r="A3299" s="2">
        <v>3295</v>
      </c>
      <c r="B3299" s="66" t="s">
        <v>3803</v>
      </c>
      <c r="C3299" s="66" t="s">
        <v>3149</v>
      </c>
      <c r="D3299" s="11">
        <v>4049</v>
      </c>
      <c r="E3299" s="11">
        <v>4049</v>
      </c>
      <c r="F3299" s="3">
        <v>41984</v>
      </c>
      <c r="G3299" s="2"/>
      <c r="H3299" s="3">
        <v>43053</v>
      </c>
      <c r="I3299" s="2" t="s">
        <v>19506</v>
      </c>
      <c r="J3299" s="2" t="s">
        <v>13904</v>
      </c>
      <c r="K3299" s="2" t="s">
        <v>19206</v>
      </c>
      <c r="L3299" s="82" t="s">
        <v>19512</v>
      </c>
    </row>
    <row r="3300" spans="1:12" ht="84" customHeight="1" x14ac:dyDescent="0.3">
      <c r="A3300" s="2">
        <v>3296</v>
      </c>
      <c r="B3300" s="66" t="s">
        <v>3804</v>
      </c>
      <c r="C3300" s="66" t="s">
        <v>3145</v>
      </c>
      <c r="D3300" s="11">
        <v>5850</v>
      </c>
      <c r="E3300" s="11">
        <v>5850</v>
      </c>
      <c r="F3300" s="3">
        <v>41859</v>
      </c>
      <c r="G3300" s="2"/>
      <c r="H3300" s="3">
        <v>43053</v>
      </c>
      <c r="I3300" s="2" t="s">
        <v>19506</v>
      </c>
      <c r="J3300" s="2" t="s">
        <v>13904</v>
      </c>
      <c r="K3300" s="2" t="s">
        <v>19206</v>
      </c>
      <c r="L3300" s="82" t="s">
        <v>19512</v>
      </c>
    </row>
    <row r="3301" spans="1:12" ht="84" customHeight="1" x14ac:dyDescent="0.3">
      <c r="A3301" s="2">
        <v>3297</v>
      </c>
      <c r="B3301" s="66" t="s">
        <v>3804</v>
      </c>
      <c r="C3301" s="66" t="s">
        <v>3148</v>
      </c>
      <c r="D3301" s="11">
        <v>5850</v>
      </c>
      <c r="E3301" s="11">
        <v>5850</v>
      </c>
      <c r="F3301" s="3">
        <v>41859</v>
      </c>
      <c r="G3301" s="2"/>
      <c r="H3301" s="3">
        <v>43053</v>
      </c>
      <c r="I3301" s="2" t="s">
        <v>19506</v>
      </c>
      <c r="J3301" s="2" t="s">
        <v>13904</v>
      </c>
      <c r="K3301" s="2" t="s">
        <v>19206</v>
      </c>
      <c r="L3301" s="82" t="s">
        <v>19512</v>
      </c>
    </row>
    <row r="3302" spans="1:12" ht="84" customHeight="1" x14ac:dyDescent="0.3">
      <c r="A3302" s="2">
        <v>3298</v>
      </c>
      <c r="B3302" s="66" t="s">
        <v>3804</v>
      </c>
      <c r="C3302" s="66" t="s">
        <v>3147</v>
      </c>
      <c r="D3302" s="11">
        <v>5850</v>
      </c>
      <c r="E3302" s="11">
        <v>5850</v>
      </c>
      <c r="F3302" s="3">
        <v>41859</v>
      </c>
      <c r="G3302" s="2"/>
      <c r="H3302" s="3">
        <v>43053</v>
      </c>
      <c r="I3302" s="2" t="s">
        <v>19506</v>
      </c>
      <c r="J3302" s="2" t="s">
        <v>13904</v>
      </c>
      <c r="K3302" s="2" t="s">
        <v>19206</v>
      </c>
      <c r="L3302" s="82" t="s">
        <v>19512</v>
      </c>
    </row>
    <row r="3303" spans="1:12" ht="84" customHeight="1" x14ac:dyDescent="0.3">
      <c r="A3303" s="2">
        <v>3299</v>
      </c>
      <c r="B3303" s="66" t="s">
        <v>3805</v>
      </c>
      <c r="C3303" s="66" t="s">
        <v>3342</v>
      </c>
      <c r="D3303" s="11">
        <v>4050</v>
      </c>
      <c r="E3303" s="11">
        <v>4050</v>
      </c>
      <c r="F3303" s="3">
        <v>41418</v>
      </c>
      <c r="G3303" s="2"/>
      <c r="H3303" s="3">
        <v>43053</v>
      </c>
      <c r="I3303" s="2" t="s">
        <v>19506</v>
      </c>
      <c r="J3303" s="2" t="s">
        <v>13904</v>
      </c>
      <c r="K3303" s="2" t="s">
        <v>19206</v>
      </c>
      <c r="L3303" s="82" t="s">
        <v>19512</v>
      </c>
    </row>
    <row r="3304" spans="1:12" ht="84" customHeight="1" x14ac:dyDescent="0.3">
      <c r="A3304" s="2">
        <v>3300</v>
      </c>
      <c r="B3304" s="66" t="s">
        <v>3806</v>
      </c>
      <c r="C3304" s="66" t="s">
        <v>3146</v>
      </c>
      <c r="D3304" s="11">
        <v>7410</v>
      </c>
      <c r="E3304" s="11">
        <v>7410</v>
      </c>
      <c r="F3304" s="3">
        <v>41838</v>
      </c>
      <c r="G3304" s="2"/>
      <c r="H3304" s="3">
        <v>43053</v>
      </c>
      <c r="I3304" s="2" t="s">
        <v>19506</v>
      </c>
      <c r="J3304" s="2" t="s">
        <v>13904</v>
      </c>
      <c r="K3304" s="2" t="s">
        <v>19206</v>
      </c>
      <c r="L3304" s="82" t="s">
        <v>19512</v>
      </c>
    </row>
    <row r="3305" spans="1:12" ht="84" customHeight="1" x14ac:dyDescent="0.3">
      <c r="A3305" s="2">
        <v>3301</v>
      </c>
      <c r="B3305" s="66" t="s">
        <v>3800</v>
      </c>
      <c r="C3305" s="66" t="s">
        <v>3807</v>
      </c>
      <c r="D3305" s="11">
        <v>4046.2</v>
      </c>
      <c r="E3305" s="11">
        <v>4046.2</v>
      </c>
      <c r="F3305" s="3">
        <v>32944</v>
      </c>
      <c r="G3305" s="2"/>
      <c r="H3305" s="3">
        <v>43053</v>
      </c>
      <c r="I3305" s="2" t="s">
        <v>19506</v>
      </c>
      <c r="J3305" s="2" t="s">
        <v>13904</v>
      </c>
      <c r="K3305" s="2" t="s">
        <v>19206</v>
      </c>
      <c r="L3305" s="82" t="s">
        <v>19512</v>
      </c>
    </row>
    <row r="3306" spans="1:12" ht="84" customHeight="1" x14ac:dyDescent="0.3">
      <c r="A3306" s="2">
        <v>3302</v>
      </c>
      <c r="B3306" s="66" t="s">
        <v>3800</v>
      </c>
      <c r="C3306" s="66" t="s">
        <v>3808</v>
      </c>
      <c r="D3306" s="11">
        <v>4046.2</v>
      </c>
      <c r="E3306" s="11">
        <v>4046.2</v>
      </c>
      <c r="F3306" s="3">
        <v>32944</v>
      </c>
      <c r="G3306" s="2"/>
      <c r="H3306" s="3">
        <v>43053</v>
      </c>
      <c r="I3306" s="2" t="s">
        <v>19506</v>
      </c>
      <c r="J3306" s="2" t="s">
        <v>13904</v>
      </c>
      <c r="K3306" s="2" t="s">
        <v>19206</v>
      </c>
      <c r="L3306" s="82" t="s">
        <v>19512</v>
      </c>
    </row>
    <row r="3307" spans="1:12" ht="84" customHeight="1" x14ac:dyDescent="0.3">
      <c r="A3307" s="2">
        <v>3303</v>
      </c>
      <c r="B3307" s="66" t="s">
        <v>3800</v>
      </c>
      <c r="C3307" s="66" t="s">
        <v>3143</v>
      </c>
      <c r="D3307" s="11">
        <v>4046.2</v>
      </c>
      <c r="E3307" s="11">
        <v>4046.2</v>
      </c>
      <c r="F3307" s="3">
        <v>32944</v>
      </c>
      <c r="G3307" s="2"/>
      <c r="H3307" s="3">
        <v>43053</v>
      </c>
      <c r="I3307" s="2" t="s">
        <v>19506</v>
      </c>
      <c r="J3307" s="2" t="s">
        <v>13904</v>
      </c>
      <c r="K3307" s="2" t="s">
        <v>19206</v>
      </c>
      <c r="L3307" s="82" t="s">
        <v>19512</v>
      </c>
    </row>
    <row r="3308" spans="1:12" ht="84" customHeight="1" x14ac:dyDescent="0.3">
      <c r="A3308" s="2">
        <v>3304</v>
      </c>
      <c r="B3308" s="66" t="s">
        <v>3800</v>
      </c>
      <c r="C3308" s="66" t="s">
        <v>3809</v>
      </c>
      <c r="D3308" s="11">
        <v>4046.3</v>
      </c>
      <c r="E3308" s="11">
        <v>4046.3</v>
      </c>
      <c r="F3308" s="3">
        <v>32944</v>
      </c>
      <c r="G3308" s="2"/>
      <c r="H3308" s="3">
        <v>43053</v>
      </c>
      <c r="I3308" s="2" t="s">
        <v>19506</v>
      </c>
      <c r="J3308" s="2" t="s">
        <v>13904</v>
      </c>
      <c r="K3308" s="2" t="s">
        <v>19206</v>
      </c>
      <c r="L3308" s="82" t="s">
        <v>19512</v>
      </c>
    </row>
    <row r="3309" spans="1:12" ht="84" customHeight="1" x14ac:dyDescent="0.3">
      <c r="A3309" s="2">
        <v>3305</v>
      </c>
      <c r="B3309" s="66" t="s">
        <v>3796</v>
      </c>
      <c r="C3309" s="66" t="s">
        <v>3810</v>
      </c>
      <c r="D3309" s="11">
        <v>4840</v>
      </c>
      <c r="E3309" s="11">
        <v>4840</v>
      </c>
      <c r="F3309" s="3">
        <v>39422</v>
      </c>
      <c r="G3309" s="2"/>
      <c r="H3309" s="3">
        <v>43053</v>
      </c>
      <c r="I3309" s="2" t="s">
        <v>19506</v>
      </c>
      <c r="J3309" s="2" t="s">
        <v>13904</v>
      </c>
      <c r="K3309" s="2" t="s">
        <v>19206</v>
      </c>
      <c r="L3309" s="82" t="s">
        <v>19512</v>
      </c>
    </row>
    <row r="3310" spans="1:12" ht="84" customHeight="1" x14ac:dyDescent="0.3">
      <c r="A3310" s="2">
        <v>3306</v>
      </c>
      <c r="B3310" s="66" t="s">
        <v>3796</v>
      </c>
      <c r="C3310" s="66" t="s">
        <v>3811</v>
      </c>
      <c r="D3310" s="11">
        <v>4840</v>
      </c>
      <c r="E3310" s="11">
        <v>4840</v>
      </c>
      <c r="F3310" s="3">
        <v>39422</v>
      </c>
      <c r="G3310" s="2"/>
      <c r="H3310" s="3">
        <v>43053</v>
      </c>
      <c r="I3310" s="2" t="s">
        <v>19506</v>
      </c>
      <c r="J3310" s="2" t="s">
        <v>13904</v>
      </c>
      <c r="K3310" s="2" t="s">
        <v>19206</v>
      </c>
      <c r="L3310" s="82" t="s">
        <v>19512</v>
      </c>
    </row>
    <row r="3311" spans="1:12" ht="84" customHeight="1" x14ac:dyDescent="0.3">
      <c r="A3311" s="2">
        <v>3307</v>
      </c>
      <c r="B3311" s="66" t="s">
        <v>3796</v>
      </c>
      <c r="C3311" s="66" t="s">
        <v>3812</v>
      </c>
      <c r="D3311" s="11">
        <v>4840</v>
      </c>
      <c r="E3311" s="11">
        <v>4840</v>
      </c>
      <c r="F3311" s="3">
        <v>39422</v>
      </c>
      <c r="G3311" s="2"/>
      <c r="H3311" s="3">
        <v>43053</v>
      </c>
      <c r="I3311" s="2" t="s">
        <v>19506</v>
      </c>
      <c r="J3311" s="2" t="s">
        <v>13904</v>
      </c>
      <c r="K3311" s="2" t="s">
        <v>19206</v>
      </c>
      <c r="L3311" s="82" t="s">
        <v>19512</v>
      </c>
    </row>
    <row r="3312" spans="1:12" ht="84" customHeight="1" x14ac:dyDescent="0.3">
      <c r="A3312" s="2">
        <v>3308</v>
      </c>
      <c r="B3312" s="66" t="s">
        <v>3796</v>
      </c>
      <c r="C3312" s="66" t="s">
        <v>3813</v>
      </c>
      <c r="D3312" s="11">
        <v>4840</v>
      </c>
      <c r="E3312" s="11">
        <v>4840</v>
      </c>
      <c r="F3312" s="3">
        <v>39422</v>
      </c>
      <c r="G3312" s="2"/>
      <c r="H3312" s="3">
        <v>43053</v>
      </c>
      <c r="I3312" s="2" t="s">
        <v>19506</v>
      </c>
      <c r="J3312" s="2" t="s">
        <v>13904</v>
      </c>
      <c r="K3312" s="2" t="s">
        <v>19206</v>
      </c>
      <c r="L3312" s="82" t="s">
        <v>19512</v>
      </c>
    </row>
    <row r="3313" spans="1:15" ht="84" customHeight="1" x14ac:dyDescent="0.3">
      <c r="A3313" s="2">
        <v>3309</v>
      </c>
      <c r="B3313" s="66" t="s">
        <v>3814</v>
      </c>
      <c r="C3313" s="66" t="s">
        <v>3815</v>
      </c>
      <c r="D3313" s="11">
        <v>4319.9799999999996</v>
      </c>
      <c r="E3313" s="11">
        <v>4319.9799999999996</v>
      </c>
      <c r="F3313" s="3">
        <v>41115</v>
      </c>
      <c r="G3313" s="2"/>
      <c r="H3313" s="3">
        <v>43053</v>
      </c>
      <c r="I3313" s="2" t="s">
        <v>19506</v>
      </c>
      <c r="J3313" s="2" t="s">
        <v>13904</v>
      </c>
      <c r="K3313" s="2" t="s">
        <v>19206</v>
      </c>
      <c r="L3313" s="82" t="s">
        <v>19512</v>
      </c>
    </row>
    <row r="3314" spans="1:15" ht="84" customHeight="1" x14ac:dyDescent="0.3">
      <c r="A3314" s="2">
        <v>3310</v>
      </c>
      <c r="B3314" s="66" t="s">
        <v>3816</v>
      </c>
      <c r="C3314" s="66" t="s">
        <v>3817</v>
      </c>
      <c r="D3314" s="11">
        <v>3639</v>
      </c>
      <c r="E3314" s="11">
        <v>3639</v>
      </c>
      <c r="F3314" s="3">
        <v>39422</v>
      </c>
      <c r="G3314" s="2"/>
      <c r="H3314" s="3">
        <v>43053</v>
      </c>
      <c r="I3314" s="2" t="s">
        <v>19506</v>
      </c>
      <c r="J3314" s="2" t="s">
        <v>13904</v>
      </c>
      <c r="K3314" s="2" t="s">
        <v>19206</v>
      </c>
      <c r="L3314" s="82" t="s">
        <v>19512</v>
      </c>
    </row>
    <row r="3315" spans="1:15" ht="84" customHeight="1" x14ac:dyDescent="0.3">
      <c r="A3315" s="2">
        <v>3311</v>
      </c>
      <c r="B3315" s="66" t="s">
        <v>3818</v>
      </c>
      <c r="C3315" s="66" t="s">
        <v>3151</v>
      </c>
      <c r="D3315" s="11">
        <v>22550</v>
      </c>
      <c r="E3315" s="11">
        <v>22550</v>
      </c>
      <c r="F3315" s="3">
        <v>41969</v>
      </c>
      <c r="G3315" s="2"/>
      <c r="H3315" s="3">
        <v>43053</v>
      </c>
      <c r="I3315" s="2" t="s">
        <v>19506</v>
      </c>
      <c r="J3315" s="2" t="s">
        <v>13904</v>
      </c>
      <c r="K3315" s="2" t="s">
        <v>19206</v>
      </c>
      <c r="L3315" s="82" t="s">
        <v>19512</v>
      </c>
    </row>
    <row r="3316" spans="1:15" s="19" customFormat="1" ht="84" customHeight="1" x14ac:dyDescent="0.3">
      <c r="A3316" s="2">
        <v>3312</v>
      </c>
      <c r="B3316" s="66" t="s">
        <v>3819</v>
      </c>
      <c r="C3316" s="66" t="s">
        <v>3820</v>
      </c>
      <c r="D3316" s="11">
        <v>125350</v>
      </c>
      <c r="E3316" s="11">
        <v>98229.440000000002</v>
      </c>
      <c r="F3316" s="3">
        <v>40087</v>
      </c>
      <c r="G3316" s="2" t="s">
        <v>14104</v>
      </c>
      <c r="H3316" s="2"/>
      <c r="I3316" s="2"/>
      <c r="J3316" s="2" t="s">
        <v>13904</v>
      </c>
      <c r="K3316" s="2" t="s">
        <v>19272</v>
      </c>
      <c r="L3316" s="2" t="s">
        <v>18633</v>
      </c>
      <c r="M3316" s="18"/>
      <c r="N3316" s="18"/>
      <c r="O3316" s="18"/>
    </row>
    <row r="3317" spans="1:15" ht="84" customHeight="1" x14ac:dyDescent="0.3">
      <c r="A3317" s="2">
        <v>3313</v>
      </c>
      <c r="B3317" s="66" t="s">
        <v>3821</v>
      </c>
      <c r="C3317" s="66" t="s">
        <v>3345</v>
      </c>
      <c r="D3317" s="11">
        <v>100000</v>
      </c>
      <c r="E3317" s="11">
        <v>14444.56</v>
      </c>
      <c r="F3317" s="3">
        <v>41878</v>
      </c>
      <c r="G3317" s="2" t="s">
        <v>14104</v>
      </c>
      <c r="H3317" s="2"/>
      <c r="I3317" s="2"/>
      <c r="J3317" s="2" t="s">
        <v>13904</v>
      </c>
      <c r="K3317" s="2" t="s">
        <v>19272</v>
      </c>
      <c r="L3317" s="2" t="s">
        <v>18633</v>
      </c>
    </row>
    <row r="3318" spans="1:15" ht="84" customHeight="1" x14ac:dyDescent="0.3">
      <c r="A3318" s="2">
        <v>3314</v>
      </c>
      <c r="B3318" s="66" t="s">
        <v>1062</v>
      </c>
      <c r="C3318" s="66" t="s">
        <v>3822</v>
      </c>
      <c r="D3318" s="11">
        <v>99983.97</v>
      </c>
      <c r="E3318" s="11">
        <v>38327.199999999997</v>
      </c>
      <c r="F3318" s="3">
        <v>42004</v>
      </c>
      <c r="G3318" s="2" t="s">
        <v>14104</v>
      </c>
      <c r="H3318" s="2"/>
      <c r="I3318" s="2"/>
      <c r="J3318" s="2" t="s">
        <v>13904</v>
      </c>
      <c r="K3318" s="2" t="s">
        <v>19272</v>
      </c>
      <c r="L3318" s="2" t="s">
        <v>18633</v>
      </c>
    </row>
    <row r="3319" spans="1:15" ht="84" customHeight="1" x14ac:dyDescent="0.3">
      <c r="A3319" s="2">
        <v>3315</v>
      </c>
      <c r="B3319" s="66" t="s">
        <v>3823</v>
      </c>
      <c r="C3319" s="66" t="s">
        <v>3824</v>
      </c>
      <c r="D3319" s="11">
        <v>34001</v>
      </c>
      <c r="E3319" s="11">
        <v>34001</v>
      </c>
      <c r="F3319" s="3">
        <v>40536</v>
      </c>
      <c r="G3319" s="2" t="s">
        <v>14104</v>
      </c>
      <c r="H3319" s="3">
        <v>43053</v>
      </c>
      <c r="I3319" s="2" t="s">
        <v>19506</v>
      </c>
      <c r="J3319" s="2" t="s">
        <v>13904</v>
      </c>
      <c r="K3319" s="2" t="s">
        <v>19272</v>
      </c>
      <c r="L3319" s="82" t="s">
        <v>19512</v>
      </c>
    </row>
    <row r="3320" spans="1:15" ht="84" customHeight="1" x14ac:dyDescent="0.3">
      <c r="A3320" s="2">
        <v>3316</v>
      </c>
      <c r="B3320" s="66" t="s">
        <v>3825</v>
      </c>
      <c r="C3320" s="66" t="s">
        <v>3826</v>
      </c>
      <c r="D3320" s="11">
        <v>13000</v>
      </c>
      <c r="E3320" s="11">
        <v>13000</v>
      </c>
      <c r="F3320" s="3">
        <v>40905</v>
      </c>
      <c r="G3320" s="2" t="s">
        <v>14104</v>
      </c>
      <c r="H3320" s="3">
        <v>43053</v>
      </c>
      <c r="I3320" s="2" t="s">
        <v>19506</v>
      </c>
      <c r="J3320" s="2" t="s">
        <v>13904</v>
      </c>
      <c r="K3320" s="2" t="s">
        <v>19272</v>
      </c>
      <c r="L3320" s="82" t="s">
        <v>19512</v>
      </c>
    </row>
    <row r="3321" spans="1:15" ht="84" customHeight="1" x14ac:dyDescent="0.3">
      <c r="A3321" s="2">
        <v>3317</v>
      </c>
      <c r="B3321" s="66" t="s">
        <v>3827</v>
      </c>
      <c r="C3321" s="66" t="s">
        <v>3601</v>
      </c>
      <c r="D3321" s="11">
        <v>31800</v>
      </c>
      <c r="E3321" s="11">
        <v>31800</v>
      </c>
      <c r="F3321" s="3">
        <v>39414</v>
      </c>
      <c r="G3321" s="2" t="s">
        <v>14104</v>
      </c>
      <c r="H3321" s="3">
        <v>43053</v>
      </c>
      <c r="I3321" s="2" t="s">
        <v>19506</v>
      </c>
      <c r="J3321" s="2" t="s">
        <v>13904</v>
      </c>
      <c r="K3321" s="2" t="s">
        <v>19272</v>
      </c>
      <c r="L3321" s="82" t="s">
        <v>19512</v>
      </c>
    </row>
    <row r="3322" spans="1:15" ht="84" customHeight="1" x14ac:dyDescent="0.3">
      <c r="A3322" s="2">
        <v>3318</v>
      </c>
      <c r="B3322" s="66" t="s">
        <v>3828</v>
      </c>
      <c r="C3322" s="66" t="s">
        <v>3606</v>
      </c>
      <c r="D3322" s="11">
        <v>10873</v>
      </c>
      <c r="E3322" s="11">
        <v>10873</v>
      </c>
      <c r="F3322" s="3">
        <v>39437</v>
      </c>
      <c r="G3322" s="2" t="s">
        <v>14104</v>
      </c>
      <c r="H3322" s="3">
        <v>43053</v>
      </c>
      <c r="I3322" s="2" t="s">
        <v>19506</v>
      </c>
      <c r="J3322" s="2" t="s">
        <v>13904</v>
      </c>
      <c r="K3322" s="2" t="s">
        <v>19272</v>
      </c>
      <c r="L3322" s="82" t="s">
        <v>19512</v>
      </c>
    </row>
    <row r="3323" spans="1:15" ht="84" customHeight="1" x14ac:dyDescent="0.3">
      <c r="A3323" s="2">
        <v>3319</v>
      </c>
      <c r="B3323" s="66" t="s">
        <v>3829</v>
      </c>
      <c r="C3323" s="66" t="s">
        <v>3830</v>
      </c>
      <c r="D3323" s="11">
        <v>13350.05</v>
      </c>
      <c r="E3323" s="11">
        <v>13350.05</v>
      </c>
      <c r="F3323" s="3">
        <v>40892</v>
      </c>
      <c r="G3323" s="2" t="s">
        <v>14104</v>
      </c>
      <c r="H3323" s="3">
        <v>43053</v>
      </c>
      <c r="I3323" s="2" t="s">
        <v>19506</v>
      </c>
      <c r="J3323" s="2" t="s">
        <v>13904</v>
      </c>
      <c r="K3323" s="2" t="s">
        <v>19272</v>
      </c>
      <c r="L3323" s="82" t="s">
        <v>19512</v>
      </c>
    </row>
    <row r="3324" spans="1:15" ht="84" customHeight="1" x14ac:dyDescent="0.3">
      <c r="A3324" s="2">
        <v>3320</v>
      </c>
      <c r="B3324" s="66" t="s">
        <v>3831</v>
      </c>
      <c r="C3324" s="66" t="s">
        <v>3131</v>
      </c>
      <c r="D3324" s="11">
        <v>11997.69</v>
      </c>
      <c r="E3324" s="11">
        <v>11997.69</v>
      </c>
      <c r="F3324" s="3">
        <v>33675</v>
      </c>
      <c r="G3324" s="2" t="s">
        <v>14104</v>
      </c>
      <c r="H3324" s="3">
        <v>43053</v>
      </c>
      <c r="I3324" s="2" t="s">
        <v>19506</v>
      </c>
      <c r="J3324" s="2" t="s">
        <v>13904</v>
      </c>
      <c r="K3324" s="2" t="s">
        <v>19272</v>
      </c>
      <c r="L3324" s="82" t="s">
        <v>19512</v>
      </c>
    </row>
    <row r="3325" spans="1:15" ht="84" customHeight="1" x14ac:dyDescent="0.3">
      <c r="A3325" s="2">
        <v>3321</v>
      </c>
      <c r="B3325" s="66" t="s">
        <v>3832</v>
      </c>
      <c r="C3325" s="66" t="s">
        <v>3833</v>
      </c>
      <c r="D3325" s="11">
        <v>4000</v>
      </c>
      <c r="E3325" s="11">
        <v>4000</v>
      </c>
      <c r="F3325" s="3">
        <v>39441</v>
      </c>
      <c r="G3325" s="2" t="s">
        <v>14104</v>
      </c>
      <c r="H3325" s="3">
        <v>43053</v>
      </c>
      <c r="I3325" s="2" t="s">
        <v>19506</v>
      </c>
      <c r="J3325" s="2" t="s">
        <v>13904</v>
      </c>
      <c r="K3325" s="2" t="s">
        <v>19272</v>
      </c>
      <c r="L3325" s="82" t="s">
        <v>19512</v>
      </c>
    </row>
    <row r="3326" spans="1:15" ht="84" customHeight="1" x14ac:dyDescent="0.3">
      <c r="A3326" s="2">
        <v>3322</v>
      </c>
      <c r="B3326" s="66" t="s">
        <v>3834</v>
      </c>
      <c r="C3326" s="66" t="s">
        <v>3457</v>
      </c>
      <c r="D3326" s="11">
        <v>5890.5</v>
      </c>
      <c r="E3326" s="11">
        <v>5890.5</v>
      </c>
      <c r="F3326" s="3">
        <v>35984</v>
      </c>
      <c r="G3326" s="2" t="s">
        <v>14104</v>
      </c>
      <c r="H3326" s="3">
        <v>43053</v>
      </c>
      <c r="I3326" s="2" t="s">
        <v>19506</v>
      </c>
      <c r="J3326" s="2" t="s">
        <v>13904</v>
      </c>
      <c r="K3326" s="2" t="s">
        <v>19272</v>
      </c>
      <c r="L3326" s="82" t="s">
        <v>19512</v>
      </c>
    </row>
    <row r="3327" spans="1:15" ht="84" customHeight="1" x14ac:dyDescent="0.3">
      <c r="A3327" s="2">
        <v>3323</v>
      </c>
      <c r="B3327" s="66" t="s">
        <v>3404</v>
      </c>
      <c r="C3327" s="66" t="s">
        <v>3298</v>
      </c>
      <c r="D3327" s="11">
        <v>16033.95</v>
      </c>
      <c r="E3327" s="11">
        <v>16033.95</v>
      </c>
      <c r="F3327" s="3">
        <v>38701</v>
      </c>
      <c r="G3327" s="2" t="s">
        <v>14104</v>
      </c>
      <c r="H3327" s="3">
        <v>43053</v>
      </c>
      <c r="I3327" s="2" t="s">
        <v>19506</v>
      </c>
      <c r="J3327" s="2" t="s">
        <v>13904</v>
      </c>
      <c r="K3327" s="2" t="s">
        <v>19272</v>
      </c>
      <c r="L3327" s="82" t="s">
        <v>19512</v>
      </c>
    </row>
    <row r="3328" spans="1:15" ht="84" customHeight="1" x14ac:dyDescent="0.3">
      <c r="A3328" s="2">
        <v>3324</v>
      </c>
      <c r="B3328" s="66" t="s">
        <v>2899</v>
      </c>
      <c r="C3328" s="66" t="s">
        <v>3299</v>
      </c>
      <c r="D3328" s="11">
        <v>3473.97</v>
      </c>
      <c r="E3328" s="11">
        <v>3473.97</v>
      </c>
      <c r="F3328" s="3">
        <v>28727</v>
      </c>
      <c r="G3328" s="2" t="s">
        <v>14104</v>
      </c>
      <c r="H3328" s="3">
        <v>43053</v>
      </c>
      <c r="I3328" s="2" t="s">
        <v>19506</v>
      </c>
      <c r="J3328" s="2" t="s">
        <v>13904</v>
      </c>
      <c r="K3328" s="2" t="s">
        <v>19272</v>
      </c>
      <c r="L3328" s="82" t="s">
        <v>19512</v>
      </c>
    </row>
    <row r="3329" spans="1:12" ht="84" customHeight="1" x14ac:dyDescent="0.3">
      <c r="A3329" s="2">
        <v>3325</v>
      </c>
      <c r="B3329" s="66" t="s">
        <v>3835</v>
      </c>
      <c r="C3329" s="66" t="s">
        <v>3347</v>
      </c>
      <c r="D3329" s="11">
        <v>26785.57</v>
      </c>
      <c r="E3329" s="11">
        <v>26785.57</v>
      </c>
      <c r="F3329" s="3">
        <v>33134</v>
      </c>
      <c r="G3329" s="2" t="s">
        <v>14104</v>
      </c>
      <c r="H3329" s="3">
        <v>43053</v>
      </c>
      <c r="I3329" s="2" t="s">
        <v>19506</v>
      </c>
      <c r="J3329" s="2" t="s">
        <v>13904</v>
      </c>
      <c r="K3329" s="2" t="s">
        <v>19272</v>
      </c>
      <c r="L3329" s="82" t="s">
        <v>19512</v>
      </c>
    </row>
    <row r="3330" spans="1:12" ht="84" customHeight="1" x14ac:dyDescent="0.3">
      <c r="A3330" s="2">
        <v>3326</v>
      </c>
      <c r="B3330" s="66" t="s">
        <v>3835</v>
      </c>
      <c r="C3330" s="66" t="s">
        <v>3199</v>
      </c>
      <c r="D3330" s="11">
        <v>22567.37</v>
      </c>
      <c r="E3330" s="11">
        <v>22567.37</v>
      </c>
      <c r="F3330" s="3" t="s">
        <v>11175</v>
      </c>
      <c r="G3330" s="2" t="s">
        <v>14104</v>
      </c>
      <c r="H3330" s="3">
        <v>43053</v>
      </c>
      <c r="I3330" s="2" t="s">
        <v>19506</v>
      </c>
      <c r="J3330" s="2" t="s">
        <v>13904</v>
      </c>
      <c r="K3330" s="2" t="s">
        <v>19272</v>
      </c>
      <c r="L3330" s="82" t="s">
        <v>19512</v>
      </c>
    </row>
    <row r="3331" spans="1:12" ht="84" customHeight="1" x14ac:dyDescent="0.3">
      <c r="A3331" s="2">
        <v>3327</v>
      </c>
      <c r="B3331" s="66" t="s">
        <v>3836</v>
      </c>
      <c r="C3331" s="66" t="s">
        <v>3618</v>
      </c>
      <c r="D3331" s="11">
        <v>12545.73</v>
      </c>
      <c r="E3331" s="11">
        <v>12545.73</v>
      </c>
      <c r="F3331" s="3">
        <v>39058</v>
      </c>
      <c r="G3331" s="2" t="s">
        <v>14104</v>
      </c>
      <c r="H3331" s="3">
        <v>43053</v>
      </c>
      <c r="I3331" s="2" t="s">
        <v>19506</v>
      </c>
      <c r="J3331" s="2" t="s">
        <v>13904</v>
      </c>
      <c r="K3331" s="2" t="s">
        <v>19272</v>
      </c>
      <c r="L3331" s="82" t="s">
        <v>19512</v>
      </c>
    </row>
    <row r="3332" spans="1:12" ht="84" customHeight="1" x14ac:dyDescent="0.3">
      <c r="A3332" s="2">
        <v>3328</v>
      </c>
      <c r="B3332" s="66" t="s">
        <v>3837</v>
      </c>
      <c r="C3332" s="66" t="s">
        <v>3359</v>
      </c>
      <c r="D3332" s="11">
        <v>20205</v>
      </c>
      <c r="E3332" s="11">
        <v>20205</v>
      </c>
      <c r="F3332" s="3">
        <v>41267</v>
      </c>
      <c r="G3332" s="2" t="s">
        <v>14104</v>
      </c>
      <c r="H3332" s="3">
        <v>43053</v>
      </c>
      <c r="I3332" s="2" t="s">
        <v>19506</v>
      </c>
      <c r="J3332" s="2" t="s">
        <v>13904</v>
      </c>
      <c r="K3332" s="2" t="s">
        <v>19272</v>
      </c>
      <c r="L3332" s="82" t="s">
        <v>19512</v>
      </c>
    </row>
    <row r="3333" spans="1:12" ht="84" customHeight="1" x14ac:dyDescent="0.3">
      <c r="A3333" s="2">
        <v>3329</v>
      </c>
      <c r="B3333" s="66" t="s">
        <v>3838</v>
      </c>
      <c r="C3333" s="66" t="s">
        <v>3763</v>
      </c>
      <c r="D3333" s="11">
        <v>3500</v>
      </c>
      <c r="E3333" s="11">
        <v>3500</v>
      </c>
      <c r="F3333" s="3">
        <v>42079</v>
      </c>
      <c r="G3333" s="2" t="s">
        <v>14104</v>
      </c>
      <c r="H3333" s="3">
        <v>43053</v>
      </c>
      <c r="I3333" s="2" t="s">
        <v>19506</v>
      </c>
      <c r="J3333" s="2" t="s">
        <v>13904</v>
      </c>
      <c r="K3333" s="2" t="s">
        <v>19272</v>
      </c>
      <c r="L3333" s="82" t="s">
        <v>19512</v>
      </c>
    </row>
    <row r="3334" spans="1:12" ht="84" customHeight="1" x14ac:dyDescent="0.3">
      <c r="A3334" s="2">
        <v>3330</v>
      </c>
      <c r="B3334" s="66" t="s">
        <v>3839</v>
      </c>
      <c r="C3334" s="66" t="s">
        <v>3840</v>
      </c>
      <c r="D3334" s="11">
        <v>8100</v>
      </c>
      <c r="E3334" s="11">
        <v>8100</v>
      </c>
      <c r="F3334" s="3">
        <v>42149</v>
      </c>
      <c r="G3334" s="2" t="s">
        <v>14104</v>
      </c>
      <c r="H3334" s="3">
        <v>43053</v>
      </c>
      <c r="I3334" s="2" t="s">
        <v>19506</v>
      </c>
      <c r="J3334" s="2" t="s">
        <v>13904</v>
      </c>
      <c r="K3334" s="2" t="s">
        <v>19272</v>
      </c>
      <c r="L3334" s="82" t="s">
        <v>19512</v>
      </c>
    </row>
    <row r="3335" spans="1:12" ht="84" customHeight="1" x14ac:dyDescent="0.3">
      <c r="A3335" s="2">
        <v>3331</v>
      </c>
      <c r="B3335" s="66" t="s">
        <v>3841</v>
      </c>
      <c r="C3335" s="66" t="s">
        <v>3842</v>
      </c>
      <c r="D3335" s="11">
        <v>9430.56</v>
      </c>
      <c r="E3335" s="11">
        <v>9430.56</v>
      </c>
      <c r="F3335" s="3">
        <v>41115</v>
      </c>
      <c r="G3335" s="2" t="s">
        <v>14104</v>
      </c>
      <c r="H3335" s="3">
        <v>43053</v>
      </c>
      <c r="I3335" s="2" t="s">
        <v>19506</v>
      </c>
      <c r="J3335" s="2" t="s">
        <v>13904</v>
      </c>
      <c r="K3335" s="2" t="s">
        <v>19272</v>
      </c>
      <c r="L3335" s="82" t="s">
        <v>19512</v>
      </c>
    </row>
    <row r="3336" spans="1:12" ht="84" customHeight="1" x14ac:dyDescent="0.3">
      <c r="A3336" s="2">
        <v>3332</v>
      </c>
      <c r="B3336" s="66" t="s">
        <v>3689</v>
      </c>
      <c r="C3336" s="66" t="s">
        <v>3843</v>
      </c>
      <c r="D3336" s="11">
        <v>5980</v>
      </c>
      <c r="E3336" s="11">
        <v>5980</v>
      </c>
      <c r="F3336" s="3">
        <v>40536</v>
      </c>
      <c r="G3336" s="2" t="s">
        <v>14104</v>
      </c>
      <c r="H3336" s="3">
        <v>43053</v>
      </c>
      <c r="I3336" s="2" t="s">
        <v>19506</v>
      </c>
      <c r="J3336" s="2" t="s">
        <v>13904</v>
      </c>
      <c r="K3336" s="2" t="s">
        <v>19272</v>
      </c>
      <c r="L3336" s="82" t="s">
        <v>19512</v>
      </c>
    </row>
    <row r="3337" spans="1:12" ht="84" customHeight="1" x14ac:dyDescent="0.3">
      <c r="A3337" s="2">
        <v>3333</v>
      </c>
      <c r="B3337" s="66" t="s">
        <v>18632</v>
      </c>
      <c r="C3337" s="66">
        <v>4101260001</v>
      </c>
      <c r="D3337" s="11">
        <v>54100</v>
      </c>
      <c r="E3337" s="11">
        <v>3606.68</v>
      </c>
      <c r="F3337" s="3">
        <v>42566</v>
      </c>
      <c r="G3337" s="2" t="s">
        <v>14104</v>
      </c>
      <c r="H3337" s="2"/>
      <c r="I3337" s="2"/>
      <c r="J3337" s="2" t="s">
        <v>13904</v>
      </c>
      <c r="K3337" s="2" t="s">
        <v>19272</v>
      </c>
      <c r="L3337" s="2" t="s">
        <v>18633</v>
      </c>
    </row>
    <row r="3338" spans="1:12" ht="84" customHeight="1" x14ac:dyDescent="0.3">
      <c r="A3338" s="2">
        <v>3334</v>
      </c>
      <c r="B3338" s="66" t="s">
        <v>3844</v>
      </c>
      <c r="C3338" s="66" t="s">
        <v>3459</v>
      </c>
      <c r="D3338" s="11">
        <v>20190</v>
      </c>
      <c r="E3338" s="11">
        <v>20190</v>
      </c>
      <c r="F3338" s="3">
        <v>41982</v>
      </c>
      <c r="G3338" s="2" t="s">
        <v>14104</v>
      </c>
      <c r="H3338" s="3">
        <v>43053</v>
      </c>
      <c r="I3338" s="2" t="s">
        <v>19506</v>
      </c>
      <c r="J3338" s="2" t="s">
        <v>13904</v>
      </c>
      <c r="K3338" s="2" t="s">
        <v>19272</v>
      </c>
      <c r="L3338" s="82" t="s">
        <v>19512</v>
      </c>
    </row>
    <row r="3339" spans="1:12" ht="84" customHeight="1" x14ac:dyDescent="0.3">
      <c r="A3339" s="2">
        <v>3335</v>
      </c>
      <c r="B3339" s="66" t="s">
        <v>3845</v>
      </c>
      <c r="C3339" s="66" t="s">
        <v>3206</v>
      </c>
      <c r="D3339" s="11">
        <v>4805</v>
      </c>
      <c r="E3339" s="11">
        <v>4805</v>
      </c>
      <c r="F3339" s="3">
        <v>41982</v>
      </c>
      <c r="G3339" s="2" t="s">
        <v>14104</v>
      </c>
      <c r="H3339" s="3">
        <v>43053</v>
      </c>
      <c r="I3339" s="2" t="s">
        <v>19506</v>
      </c>
      <c r="J3339" s="2" t="s">
        <v>13904</v>
      </c>
      <c r="K3339" s="2" t="s">
        <v>19272</v>
      </c>
      <c r="L3339" s="82" t="s">
        <v>19512</v>
      </c>
    </row>
    <row r="3340" spans="1:12" ht="84" customHeight="1" x14ac:dyDescent="0.3">
      <c r="A3340" s="2">
        <v>3336</v>
      </c>
      <c r="B3340" s="66" t="s">
        <v>3846</v>
      </c>
      <c r="C3340" s="66" t="s">
        <v>3847</v>
      </c>
      <c r="D3340" s="11">
        <v>3300</v>
      </c>
      <c r="E3340" s="11">
        <v>3300</v>
      </c>
      <c r="F3340" s="3">
        <v>41305</v>
      </c>
      <c r="G3340" s="2" t="s">
        <v>14104</v>
      </c>
      <c r="H3340" s="3">
        <v>43053</v>
      </c>
      <c r="I3340" s="2" t="s">
        <v>19506</v>
      </c>
      <c r="J3340" s="2" t="s">
        <v>13904</v>
      </c>
      <c r="K3340" s="2" t="s">
        <v>19272</v>
      </c>
      <c r="L3340" s="82" t="s">
        <v>19512</v>
      </c>
    </row>
    <row r="3341" spans="1:12" ht="84" customHeight="1" x14ac:dyDescent="0.3">
      <c r="A3341" s="2">
        <v>3337</v>
      </c>
      <c r="B3341" s="66" t="s">
        <v>2885</v>
      </c>
      <c r="C3341" s="66" t="s">
        <v>3848</v>
      </c>
      <c r="D3341" s="11">
        <v>6000</v>
      </c>
      <c r="E3341" s="11">
        <v>6000</v>
      </c>
      <c r="F3341" s="3">
        <v>41054</v>
      </c>
      <c r="G3341" s="2" t="s">
        <v>14104</v>
      </c>
      <c r="H3341" s="3">
        <v>43053</v>
      </c>
      <c r="I3341" s="2" t="s">
        <v>19506</v>
      </c>
      <c r="J3341" s="2" t="s">
        <v>13904</v>
      </c>
      <c r="K3341" s="2" t="s">
        <v>19272</v>
      </c>
      <c r="L3341" s="82" t="s">
        <v>19512</v>
      </c>
    </row>
    <row r="3342" spans="1:12" ht="84" customHeight="1" x14ac:dyDescent="0.3">
      <c r="A3342" s="2">
        <v>3338</v>
      </c>
      <c r="B3342" s="66" t="s">
        <v>3109</v>
      </c>
      <c r="C3342" s="66" t="s">
        <v>3849</v>
      </c>
      <c r="D3342" s="11">
        <v>7687</v>
      </c>
      <c r="E3342" s="11">
        <v>7687</v>
      </c>
      <c r="F3342" s="3">
        <v>39430</v>
      </c>
      <c r="G3342" s="2" t="s">
        <v>14104</v>
      </c>
      <c r="H3342" s="3">
        <v>43053</v>
      </c>
      <c r="I3342" s="2" t="s">
        <v>19506</v>
      </c>
      <c r="J3342" s="2" t="s">
        <v>13904</v>
      </c>
      <c r="K3342" s="2" t="s">
        <v>19272</v>
      </c>
      <c r="L3342" s="82" t="s">
        <v>19512</v>
      </c>
    </row>
    <row r="3343" spans="1:12" ht="84" customHeight="1" x14ac:dyDescent="0.3">
      <c r="A3343" s="2">
        <v>3339</v>
      </c>
      <c r="B3343" s="66" t="s">
        <v>3850</v>
      </c>
      <c r="C3343" s="66" t="s">
        <v>3851</v>
      </c>
      <c r="D3343" s="11">
        <v>4100</v>
      </c>
      <c r="E3343" s="11">
        <v>4100</v>
      </c>
      <c r="F3343" s="3">
        <v>39441</v>
      </c>
      <c r="G3343" s="2" t="s">
        <v>14104</v>
      </c>
      <c r="H3343" s="3">
        <v>43053</v>
      </c>
      <c r="I3343" s="2" t="s">
        <v>19506</v>
      </c>
      <c r="J3343" s="2" t="s">
        <v>13904</v>
      </c>
      <c r="K3343" s="2" t="s">
        <v>19272</v>
      </c>
      <c r="L3343" s="82" t="s">
        <v>19512</v>
      </c>
    </row>
    <row r="3344" spans="1:12" ht="84" customHeight="1" x14ac:dyDescent="0.3">
      <c r="A3344" s="2">
        <v>3340</v>
      </c>
      <c r="B3344" s="66" t="s">
        <v>3852</v>
      </c>
      <c r="C3344" s="66" t="s">
        <v>3853</v>
      </c>
      <c r="D3344" s="11">
        <v>16200</v>
      </c>
      <c r="E3344" s="11">
        <v>16200</v>
      </c>
      <c r="F3344" s="3">
        <v>39422</v>
      </c>
      <c r="G3344" s="2" t="s">
        <v>14104</v>
      </c>
      <c r="H3344" s="3">
        <v>43053</v>
      </c>
      <c r="I3344" s="2" t="s">
        <v>19506</v>
      </c>
      <c r="J3344" s="2" t="s">
        <v>13904</v>
      </c>
      <c r="K3344" s="2" t="s">
        <v>19272</v>
      </c>
      <c r="L3344" s="82" t="s">
        <v>19512</v>
      </c>
    </row>
    <row r="3345" spans="1:12" ht="84" customHeight="1" x14ac:dyDescent="0.3">
      <c r="A3345" s="2">
        <v>3341</v>
      </c>
      <c r="B3345" s="66" t="s">
        <v>3854</v>
      </c>
      <c r="C3345" s="66" t="s">
        <v>3855</v>
      </c>
      <c r="D3345" s="11">
        <v>5029.2</v>
      </c>
      <c r="E3345" s="11">
        <v>5029.2</v>
      </c>
      <c r="F3345" s="3">
        <v>33134</v>
      </c>
      <c r="G3345" s="2" t="s">
        <v>14104</v>
      </c>
      <c r="H3345" s="3">
        <v>43053</v>
      </c>
      <c r="I3345" s="2" t="s">
        <v>19506</v>
      </c>
      <c r="J3345" s="2" t="s">
        <v>13904</v>
      </c>
      <c r="K3345" s="2" t="s">
        <v>19272</v>
      </c>
      <c r="L3345" s="82" t="s">
        <v>19512</v>
      </c>
    </row>
    <row r="3346" spans="1:12" ht="84" customHeight="1" x14ac:dyDescent="0.3">
      <c r="A3346" s="2">
        <v>3342</v>
      </c>
      <c r="B3346" s="66" t="s">
        <v>3856</v>
      </c>
      <c r="C3346" s="66" t="s">
        <v>3857</v>
      </c>
      <c r="D3346" s="11">
        <v>5050.99</v>
      </c>
      <c r="E3346" s="11">
        <v>5050.99</v>
      </c>
      <c r="F3346" s="3">
        <v>40817</v>
      </c>
      <c r="G3346" s="2" t="s">
        <v>14104</v>
      </c>
      <c r="H3346" s="3">
        <v>43053</v>
      </c>
      <c r="I3346" s="2" t="s">
        <v>19506</v>
      </c>
      <c r="J3346" s="2" t="s">
        <v>13904</v>
      </c>
      <c r="K3346" s="2" t="s">
        <v>19272</v>
      </c>
      <c r="L3346" s="82" t="s">
        <v>19512</v>
      </c>
    </row>
    <row r="3347" spans="1:12" ht="84" customHeight="1" x14ac:dyDescent="0.3">
      <c r="A3347" s="2">
        <v>3343</v>
      </c>
      <c r="B3347" s="66" t="s">
        <v>3858</v>
      </c>
      <c r="C3347" s="66" t="s">
        <v>3565</v>
      </c>
      <c r="D3347" s="11">
        <v>22171.66</v>
      </c>
      <c r="E3347" s="11">
        <v>22171.66</v>
      </c>
      <c r="F3347" s="3">
        <v>29497</v>
      </c>
      <c r="G3347" s="2" t="s">
        <v>14104</v>
      </c>
      <c r="H3347" s="3">
        <v>43053</v>
      </c>
      <c r="I3347" s="2" t="s">
        <v>19506</v>
      </c>
      <c r="J3347" s="2" t="s">
        <v>13904</v>
      </c>
      <c r="K3347" s="2" t="s">
        <v>19272</v>
      </c>
      <c r="L3347" s="82" t="s">
        <v>19512</v>
      </c>
    </row>
    <row r="3348" spans="1:12" ht="84" customHeight="1" x14ac:dyDescent="0.3">
      <c r="A3348" s="2">
        <v>3344</v>
      </c>
      <c r="B3348" s="66" t="s">
        <v>3859</v>
      </c>
      <c r="C3348" s="66" t="s">
        <v>3860</v>
      </c>
      <c r="D3348" s="11">
        <v>5200</v>
      </c>
      <c r="E3348" s="11">
        <v>5200</v>
      </c>
      <c r="F3348" s="3">
        <v>39422</v>
      </c>
      <c r="G3348" s="2" t="s">
        <v>14104</v>
      </c>
      <c r="H3348" s="3">
        <v>43053</v>
      </c>
      <c r="I3348" s="2" t="s">
        <v>19506</v>
      </c>
      <c r="J3348" s="2" t="s">
        <v>13904</v>
      </c>
      <c r="K3348" s="2" t="s">
        <v>19272</v>
      </c>
      <c r="L3348" s="82" t="s">
        <v>19512</v>
      </c>
    </row>
    <row r="3349" spans="1:12" ht="84" customHeight="1" x14ac:dyDescent="0.3">
      <c r="A3349" s="2">
        <v>3345</v>
      </c>
      <c r="B3349" s="66" t="s">
        <v>3642</v>
      </c>
      <c r="C3349" s="66" t="s">
        <v>3861</v>
      </c>
      <c r="D3349" s="11">
        <v>6200</v>
      </c>
      <c r="E3349" s="11">
        <v>6200</v>
      </c>
      <c r="F3349" s="3">
        <v>41267</v>
      </c>
      <c r="G3349" s="2" t="s">
        <v>14104</v>
      </c>
      <c r="H3349" s="3">
        <v>43053</v>
      </c>
      <c r="I3349" s="2" t="s">
        <v>19506</v>
      </c>
      <c r="J3349" s="2" t="s">
        <v>13904</v>
      </c>
      <c r="K3349" s="2" t="s">
        <v>19272</v>
      </c>
      <c r="L3349" s="82" t="s">
        <v>19512</v>
      </c>
    </row>
    <row r="3350" spans="1:12" ht="84" customHeight="1" x14ac:dyDescent="0.3">
      <c r="A3350" s="2">
        <v>3346</v>
      </c>
      <c r="B3350" s="66" t="s">
        <v>3642</v>
      </c>
      <c r="C3350" s="66" t="s">
        <v>3694</v>
      </c>
      <c r="D3350" s="11">
        <v>6200</v>
      </c>
      <c r="E3350" s="11">
        <v>6200</v>
      </c>
      <c r="F3350" s="3">
        <v>41267</v>
      </c>
      <c r="G3350" s="2" t="s">
        <v>14104</v>
      </c>
      <c r="H3350" s="3">
        <v>43053</v>
      </c>
      <c r="I3350" s="2" t="s">
        <v>19506</v>
      </c>
      <c r="J3350" s="2" t="s">
        <v>13904</v>
      </c>
      <c r="K3350" s="2" t="s">
        <v>19272</v>
      </c>
      <c r="L3350" s="82" t="s">
        <v>19512</v>
      </c>
    </row>
    <row r="3351" spans="1:12" ht="84" customHeight="1" x14ac:dyDescent="0.3">
      <c r="A3351" s="2">
        <v>3347</v>
      </c>
      <c r="B3351" s="66" t="s">
        <v>3856</v>
      </c>
      <c r="C3351" s="66" t="s">
        <v>3862</v>
      </c>
      <c r="D3351" s="11">
        <v>5050.99</v>
      </c>
      <c r="E3351" s="11">
        <v>5050.99</v>
      </c>
      <c r="F3351" s="3">
        <v>40817</v>
      </c>
      <c r="G3351" s="2" t="s">
        <v>14104</v>
      </c>
      <c r="H3351" s="3">
        <v>43053</v>
      </c>
      <c r="I3351" s="2" t="s">
        <v>19506</v>
      </c>
      <c r="J3351" s="2" t="s">
        <v>13904</v>
      </c>
      <c r="K3351" s="2" t="s">
        <v>19272</v>
      </c>
      <c r="L3351" s="82" t="s">
        <v>19512</v>
      </c>
    </row>
    <row r="3352" spans="1:12" ht="84" customHeight="1" x14ac:dyDescent="0.3">
      <c r="A3352" s="2">
        <v>3348</v>
      </c>
      <c r="B3352" s="66" t="s">
        <v>3856</v>
      </c>
      <c r="C3352" s="66" t="s">
        <v>3863</v>
      </c>
      <c r="D3352" s="11">
        <v>5050.99</v>
      </c>
      <c r="E3352" s="11">
        <v>5050.99</v>
      </c>
      <c r="F3352" s="3">
        <v>40817</v>
      </c>
      <c r="G3352" s="2" t="s">
        <v>14104</v>
      </c>
      <c r="H3352" s="3">
        <v>43053</v>
      </c>
      <c r="I3352" s="2" t="s">
        <v>19506</v>
      </c>
      <c r="J3352" s="2" t="s">
        <v>13904</v>
      </c>
      <c r="K3352" s="2" t="s">
        <v>19272</v>
      </c>
      <c r="L3352" s="82" t="s">
        <v>19512</v>
      </c>
    </row>
    <row r="3353" spans="1:12" ht="84" customHeight="1" x14ac:dyDescent="0.3">
      <c r="A3353" s="2">
        <v>3349</v>
      </c>
      <c r="B3353" s="66" t="s">
        <v>3859</v>
      </c>
      <c r="C3353" s="66" t="s">
        <v>3864</v>
      </c>
      <c r="D3353" s="11">
        <v>5200</v>
      </c>
      <c r="E3353" s="11">
        <v>5200</v>
      </c>
      <c r="F3353" s="3">
        <v>39422</v>
      </c>
      <c r="G3353" s="2" t="s">
        <v>14104</v>
      </c>
      <c r="H3353" s="3">
        <v>43053</v>
      </c>
      <c r="I3353" s="2" t="s">
        <v>19506</v>
      </c>
      <c r="J3353" s="2" t="s">
        <v>13904</v>
      </c>
      <c r="K3353" s="2" t="s">
        <v>19272</v>
      </c>
      <c r="L3353" s="82" t="s">
        <v>19512</v>
      </c>
    </row>
    <row r="3354" spans="1:12" ht="84" customHeight="1" x14ac:dyDescent="0.3">
      <c r="A3354" s="2">
        <v>3350</v>
      </c>
      <c r="B3354" s="66" t="s">
        <v>3859</v>
      </c>
      <c r="C3354" s="66" t="s">
        <v>3865</v>
      </c>
      <c r="D3354" s="11">
        <v>5200</v>
      </c>
      <c r="E3354" s="11">
        <v>5200</v>
      </c>
      <c r="F3354" s="3">
        <v>39422</v>
      </c>
      <c r="G3354" s="2" t="s">
        <v>14104</v>
      </c>
      <c r="H3354" s="3">
        <v>43053</v>
      </c>
      <c r="I3354" s="2" t="s">
        <v>19506</v>
      </c>
      <c r="J3354" s="2" t="s">
        <v>13904</v>
      </c>
      <c r="K3354" s="2" t="s">
        <v>19272</v>
      </c>
      <c r="L3354" s="82" t="s">
        <v>19512</v>
      </c>
    </row>
    <row r="3355" spans="1:12" ht="84" customHeight="1" x14ac:dyDescent="0.3">
      <c r="A3355" s="2">
        <v>3351</v>
      </c>
      <c r="B3355" s="66" t="s">
        <v>3859</v>
      </c>
      <c r="C3355" s="66" t="s">
        <v>3866</v>
      </c>
      <c r="D3355" s="11">
        <v>5200</v>
      </c>
      <c r="E3355" s="11">
        <v>5200</v>
      </c>
      <c r="F3355" s="3">
        <v>39422</v>
      </c>
      <c r="G3355" s="2" t="s">
        <v>14104</v>
      </c>
      <c r="H3355" s="3">
        <v>43053</v>
      </c>
      <c r="I3355" s="2" t="s">
        <v>19506</v>
      </c>
      <c r="J3355" s="2" t="s">
        <v>13904</v>
      </c>
      <c r="K3355" s="2" t="s">
        <v>19272</v>
      </c>
      <c r="L3355" s="82" t="s">
        <v>19512</v>
      </c>
    </row>
    <row r="3356" spans="1:12" ht="84" customHeight="1" x14ac:dyDescent="0.3">
      <c r="A3356" s="2">
        <v>3352</v>
      </c>
      <c r="B3356" s="66" t="s">
        <v>3859</v>
      </c>
      <c r="C3356" s="66" t="s">
        <v>3867</v>
      </c>
      <c r="D3356" s="11">
        <v>5200</v>
      </c>
      <c r="E3356" s="11">
        <v>5200</v>
      </c>
      <c r="F3356" s="3">
        <v>39422</v>
      </c>
      <c r="G3356" s="2" t="s">
        <v>14104</v>
      </c>
      <c r="H3356" s="3">
        <v>43053</v>
      </c>
      <c r="I3356" s="2" t="s">
        <v>19506</v>
      </c>
      <c r="J3356" s="2" t="s">
        <v>13904</v>
      </c>
      <c r="K3356" s="2" t="s">
        <v>19272</v>
      </c>
      <c r="L3356" s="82" t="s">
        <v>19512</v>
      </c>
    </row>
    <row r="3357" spans="1:12" ht="84" customHeight="1" x14ac:dyDescent="0.3">
      <c r="A3357" s="2">
        <v>3353</v>
      </c>
      <c r="B3357" s="66" t="s">
        <v>3859</v>
      </c>
      <c r="C3357" s="66" t="s">
        <v>3868</v>
      </c>
      <c r="D3357" s="11">
        <v>5200</v>
      </c>
      <c r="E3357" s="11">
        <v>5200</v>
      </c>
      <c r="F3357" s="3">
        <v>39422</v>
      </c>
      <c r="G3357" s="2" t="s">
        <v>14104</v>
      </c>
      <c r="H3357" s="3">
        <v>43053</v>
      </c>
      <c r="I3357" s="2" t="s">
        <v>19506</v>
      </c>
      <c r="J3357" s="2" t="s">
        <v>13904</v>
      </c>
      <c r="K3357" s="2" t="s">
        <v>19272</v>
      </c>
      <c r="L3357" s="82" t="s">
        <v>19512</v>
      </c>
    </row>
    <row r="3358" spans="1:12" ht="84" customHeight="1" x14ac:dyDescent="0.3">
      <c r="A3358" s="2">
        <v>3354</v>
      </c>
      <c r="B3358" s="66" t="s">
        <v>3859</v>
      </c>
      <c r="C3358" s="66" t="s">
        <v>3869</v>
      </c>
      <c r="D3358" s="11">
        <v>5200</v>
      </c>
      <c r="E3358" s="11">
        <v>5200</v>
      </c>
      <c r="F3358" s="3">
        <v>39422</v>
      </c>
      <c r="G3358" s="2" t="s">
        <v>14104</v>
      </c>
      <c r="H3358" s="3">
        <v>43053</v>
      </c>
      <c r="I3358" s="2" t="s">
        <v>19506</v>
      </c>
      <c r="J3358" s="2" t="s">
        <v>13904</v>
      </c>
      <c r="K3358" s="2" t="s">
        <v>19272</v>
      </c>
      <c r="L3358" s="82" t="s">
        <v>19512</v>
      </c>
    </row>
    <row r="3359" spans="1:12" ht="84" customHeight="1" x14ac:dyDescent="0.3">
      <c r="A3359" s="2">
        <v>3355</v>
      </c>
      <c r="B3359" s="66" t="s">
        <v>3859</v>
      </c>
      <c r="C3359" s="66" t="s">
        <v>3497</v>
      </c>
      <c r="D3359" s="11">
        <v>5200</v>
      </c>
      <c r="E3359" s="11">
        <v>5200</v>
      </c>
      <c r="F3359" s="3">
        <v>39422</v>
      </c>
      <c r="G3359" s="2" t="s">
        <v>14104</v>
      </c>
      <c r="H3359" s="3">
        <v>43053</v>
      </c>
      <c r="I3359" s="2" t="s">
        <v>19506</v>
      </c>
      <c r="J3359" s="2" t="s">
        <v>13904</v>
      </c>
      <c r="K3359" s="2" t="s">
        <v>19272</v>
      </c>
      <c r="L3359" s="82" t="s">
        <v>19512</v>
      </c>
    </row>
    <row r="3360" spans="1:12" ht="84" customHeight="1" x14ac:dyDescent="0.3">
      <c r="A3360" s="2">
        <v>3356</v>
      </c>
      <c r="B3360" s="66" t="s">
        <v>3859</v>
      </c>
      <c r="C3360" s="66" t="s">
        <v>3870</v>
      </c>
      <c r="D3360" s="11">
        <v>5200</v>
      </c>
      <c r="E3360" s="11">
        <v>5200</v>
      </c>
      <c r="F3360" s="3">
        <v>39422</v>
      </c>
      <c r="G3360" s="2" t="s">
        <v>14104</v>
      </c>
      <c r="H3360" s="3">
        <v>43053</v>
      </c>
      <c r="I3360" s="2" t="s">
        <v>19506</v>
      </c>
      <c r="J3360" s="2" t="s">
        <v>13904</v>
      </c>
      <c r="K3360" s="2" t="s">
        <v>19272</v>
      </c>
      <c r="L3360" s="82" t="s">
        <v>19512</v>
      </c>
    </row>
    <row r="3361" spans="1:12" ht="84" customHeight="1" x14ac:dyDescent="0.3">
      <c r="A3361" s="2">
        <v>3357</v>
      </c>
      <c r="B3361" s="66" t="s">
        <v>3859</v>
      </c>
      <c r="C3361" s="66" t="s">
        <v>3871</v>
      </c>
      <c r="D3361" s="11">
        <v>5200</v>
      </c>
      <c r="E3361" s="11">
        <v>5200</v>
      </c>
      <c r="F3361" s="3">
        <v>39422</v>
      </c>
      <c r="G3361" s="2" t="s">
        <v>14104</v>
      </c>
      <c r="H3361" s="3">
        <v>43053</v>
      </c>
      <c r="I3361" s="2" t="s">
        <v>19506</v>
      </c>
      <c r="J3361" s="2" t="s">
        <v>13904</v>
      </c>
      <c r="K3361" s="2" t="s">
        <v>19272</v>
      </c>
      <c r="L3361" s="82" t="s">
        <v>19512</v>
      </c>
    </row>
    <row r="3362" spans="1:12" ht="84" customHeight="1" x14ac:dyDescent="0.3">
      <c r="A3362" s="2">
        <v>3358</v>
      </c>
      <c r="B3362" s="66" t="s">
        <v>3872</v>
      </c>
      <c r="C3362" s="66" t="s">
        <v>3146</v>
      </c>
      <c r="D3362" s="11">
        <v>4200</v>
      </c>
      <c r="E3362" s="11">
        <v>4200</v>
      </c>
      <c r="F3362" s="3">
        <v>41864</v>
      </c>
      <c r="G3362" s="2" t="s">
        <v>14104</v>
      </c>
      <c r="H3362" s="3">
        <v>43053</v>
      </c>
      <c r="I3362" s="2" t="s">
        <v>19506</v>
      </c>
      <c r="J3362" s="2" t="s">
        <v>13904</v>
      </c>
      <c r="K3362" s="2" t="s">
        <v>19272</v>
      </c>
      <c r="L3362" s="82" t="s">
        <v>19512</v>
      </c>
    </row>
    <row r="3363" spans="1:12" ht="84" customHeight="1" x14ac:dyDescent="0.3">
      <c r="A3363" s="2">
        <v>3359</v>
      </c>
      <c r="B3363" s="66" t="s">
        <v>3873</v>
      </c>
      <c r="C3363" s="66" t="s">
        <v>3145</v>
      </c>
      <c r="D3363" s="11">
        <v>4000</v>
      </c>
      <c r="E3363" s="11">
        <v>4000</v>
      </c>
      <c r="F3363" s="3">
        <v>41864</v>
      </c>
      <c r="G3363" s="2" t="s">
        <v>14104</v>
      </c>
      <c r="H3363" s="3">
        <v>43053</v>
      </c>
      <c r="I3363" s="2" t="s">
        <v>19506</v>
      </c>
      <c r="J3363" s="2" t="s">
        <v>13904</v>
      </c>
      <c r="K3363" s="2" t="s">
        <v>19272</v>
      </c>
      <c r="L3363" s="82" t="s">
        <v>19512</v>
      </c>
    </row>
    <row r="3364" spans="1:12" ht="84" customHeight="1" x14ac:dyDescent="0.3">
      <c r="A3364" s="2">
        <v>3360</v>
      </c>
      <c r="B3364" s="66" t="s">
        <v>3874</v>
      </c>
      <c r="C3364" s="66" t="s">
        <v>3148</v>
      </c>
      <c r="D3364" s="11">
        <v>3500</v>
      </c>
      <c r="E3364" s="11">
        <v>3500</v>
      </c>
      <c r="F3364" s="3">
        <v>41864</v>
      </c>
      <c r="G3364" s="2" t="s">
        <v>14104</v>
      </c>
      <c r="H3364" s="3">
        <v>43053</v>
      </c>
      <c r="I3364" s="2" t="s">
        <v>19506</v>
      </c>
      <c r="J3364" s="2" t="s">
        <v>13904</v>
      </c>
      <c r="K3364" s="2" t="s">
        <v>19272</v>
      </c>
      <c r="L3364" s="82" t="s">
        <v>19512</v>
      </c>
    </row>
    <row r="3365" spans="1:12" ht="84" customHeight="1" x14ac:dyDescent="0.3">
      <c r="A3365" s="2">
        <v>3361</v>
      </c>
      <c r="B3365" s="66" t="s">
        <v>3875</v>
      </c>
      <c r="C3365" s="66" t="s">
        <v>3241</v>
      </c>
      <c r="D3365" s="11">
        <v>7900</v>
      </c>
      <c r="E3365" s="11">
        <v>7900</v>
      </c>
      <c r="F3365" s="3">
        <v>41864</v>
      </c>
      <c r="G3365" s="2" t="s">
        <v>14104</v>
      </c>
      <c r="H3365" s="3">
        <v>43053</v>
      </c>
      <c r="I3365" s="2" t="s">
        <v>19506</v>
      </c>
      <c r="J3365" s="2" t="s">
        <v>13904</v>
      </c>
      <c r="K3365" s="2" t="s">
        <v>19272</v>
      </c>
      <c r="L3365" s="82" t="s">
        <v>19512</v>
      </c>
    </row>
    <row r="3366" spans="1:12" ht="84" customHeight="1" x14ac:dyDescent="0.3">
      <c r="A3366" s="2">
        <v>3362</v>
      </c>
      <c r="B3366" s="66" t="s">
        <v>3876</v>
      </c>
      <c r="C3366" s="66" t="s">
        <v>3147</v>
      </c>
      <c r="D3366" s="11">
        <v>4300</v>
      </c>
      <c r="E3366" s="11">
        <v>4300</v>
      </c>
      <c r="F3366" s="3">
        <v>41864</v>
      </c>
      <c r="G3366" s="2" t="s">
        <v>14104</v>
      </c>
      <c r="H3366" s="3">
        <v>43053</v>
      </c>
      <c r="I3366" s="2" t="s">
        <v>19506</v>
      </c>
      <c r="J3366" s="2" t="s">
        <v>13904</v>
      </c>
      <c r="K3366" s="2" t="s">
        <v>19272</v>
      </c>
      <c r="L3366" s="82" t="s">
        <v>19512</v>
      </c>
    </row>
    <row r="3367" spans="1:12" ht="84" customHeight="1" x14ac:dyDescent="0.3">
      <c r="A3367" s="2">
        <v>3363</v>
      </c>
      <c r="B3367" s="66" t="s">
        <v>3877</v>
      </c>
      <c r="C3367" s="66" t="s">
        <v>3242</v>
      </c>
      <c r="D3367" s="11">
        <v>3500</v>
      </c>
      <c r="E3367" s="11">
        <v>3500</v>
      </c>
      <c r="F3367" s="3">
        <v>41864</v>
      </c>
      <c r="G3367" s="2" t="s">
        <v>14104</v>
      </c>
      <c r="H3367" s="3">
        <v>43053</v>
      </c>
      <c r="I3367" s="2" t="s">
        <v>19506</v>
      </c>
      <c r="J3367" s="2" t="s">
        <v>13904</v>
      </c>
      <c r="K3367" s="2" t="s">
        <v>19272</v>
      </c>
      <c r="L3367" s="82" t="s">
        <v>19512</v>
      </c>
    </row>
    <row r="3368" spans="1:12" ht="84" customHeight="1" x14ac:dyDescent="0.3">
      <c r="A3368" s="2">
        <v>3364</v>
      </c>
      <c r="B3368" s="66" t="s">
        <v>3878</v>
      </c>
      <c r="C3368" s="66" t="s">
        <v>3149</v>
      </c>
      <c r="D3368" s="11">
        <v>4700</v>
      </c>
      <c r="E3368" s="11">
        <v>4700</v>
      </c>
      <c r="F3368" s="3">
        <v>41864</v>
      </c>
      <c r="G3368" s="2" t="s">
        <v>14104</v>
      </c>
      <c r="H3368" s="3">
        <v>43053</v>
      </c>
      <c r="I3368" s="2" t="s">
        <v>19506</v>
      </c>
      <c r="J3368" s="2" t="s">
        <v>13904</v>
      </c>
      <c r="K3368" s="2" t="s">
        <v>19272</v>
      </c>
      <c r="L3368" s="82" t="s">
        <v>19512</v>
      </c>
    </row>
    <row r="3369" spans="1:12" ht="84" customHeight="1" x14ac:dyDescent="0.3">
      <c r="A3369" s="2">
        <v>3365</v>
      </c>
      <c r="B3369" s="66" t="s">
        <v>3879</v>
      </c>
      <c r="C3369" s="66" t="s">
        <v>3243</v>
      </c>
      <c r="D3369" s="11">
        <v>4200</v>
      </c>
      <c r="E3369" s="11">
        <v>4200</v>
      </c>
      <c r="F3369" s="3">
        <v>41864</v>
      </c>
      <c r="G3369" s="2" t="s">
        <v>14104</v>
      </c>
      <c r="H3369" s="3">
        <v>43053</v>
      </c>
      <c r="I3369" s="2" t="s">
        <v>19506</v>
      </c>
      <c r="J3369" s="2" t="s">
        <v>13904</v>
      </c>
      <c r="K3369" s="2" t="s">
        <v>19272</v>
      </c>
      <c r="L3369" s="82" t="s">
        <v>19512</v>
      </c>
    </row>
    <row r="3370" spans="1:12" ht="84" customHeight="1" x14ac:dyDescent="0.3">
      <c r="A3370" s="2">
        <v>3366</v>
      </c>
      <c r="B3370" s="66" t="s">
        <v>3880</v>
      </c>
      <c r="C3370" s="66" t="s">
        <v>3244</v>
      </c>
      <c r="D3370" s="11">
        <v>5300</v>
      </c>
      <c r="E3370" s="11">
        <v>5300</v>
      </c>
      <c r="F3370" s="3">
        <v>41864</v>
      </c>
      <c r="G3370" s="2" t="s">
        <v>14104</v>
      </c>
      <c r="H3370" s="3">
        <v>43053</v>
      </c>
      <c r="I3370" s="2" t="s">
        <v>19506</v>
      </c>
      <c r="J3370" s="2" t="s">
        <v>13904</v>
      </c>
      <c r="K3370" s="2" t="s">
        <v>19272</v>
      </c>
      <c r="L3370" s="82" t="s">
        <v>19512</v>
      </c>
    </row>
    <row r="3371" spans="1:12" ht="84" customHeight="1" x14ac:dyDescent="0.3">
      <c r="A3371" s="2">
        <v>3367</v>
      </c>
      <c r="B3371" s="66" t="s">
        <v>3881</v>
      </c>
      <c r="C3371" s="66" t="s">
        <v>3245</v>
      </c>
      <c r="D3371" s="11">
        <v>6500</v>
      </c>
      <c r="E3371" s="11">
        <v>6500</v>
      </c>
      <c r="F3371" s="3">
        <v>41871</v>
      </c>
      <c r="G3371" s="2" t="s">
        <v>14104</v>
      </c>
      <c r="H3371" s="3">
        <v>43053</v>
      </c>
      <c r="I3371" s="2" t="s">
        <v>19506</v>
      </c>
      <c r="J3371" s="2" t="s">
        <v>13904</v>
      </c>
      <c r="K3371" s="2" t="s">
        <v>19272</v>
      </c>
      <c r="L3371" s="82" t="s">
        <v>19512</v>
      </c>
    </row>
    <row r="3372" spans="1:12" ht="84" customHeight="1" x14ac:dyDescent="0.3">
      <c r="A3372" s="2">
        <v>3368</v>
      </c>
      <c r="B3372" s="66" t="s">
        <v>3881</v>
      </c>
      <c r="C3372" s="66" t="s">
        <v>3246</v>
      </c>
      <c r="D3372" s="11">
        <v>6500</v>
      </c>
      <c r="E3372" s="11">
        <v>6500</v>
      </c>
      <c r="F3372" s="3">
        <v>41871</v>
      </c>
      <c r="G3372" s="2" t="s">
        <v>14104</v>
      </c>
      <c r="H3372" s="3">
        <v>43053</v>
      </c>
      <c r="I3372" s="2" t="s">
        <v>19506</v>
      </c>
      <c r="J3372" s="2" t="s">
        <v>13904</v>
      </c>
      <c r="K3372" s="2" t="s">
        <v>19272</v>
      </c>
      <c r="L3372" s="82" t="s">
        <v>19512</v>
      </c>
    </row>
    <row r="3373" spans="1:12" ht="84" customHeight="1" x14ac:dyDescent="0.3">
      <c r="A3373" s="2">
        <v>3369</v>
      </c>
      <c r="B3373" s="66" t="s">
        <v>3881</v>
      </c>
      <c r="C3373" s="66" t="s">
        <v>3384</v>
      </c>
      <c r="D3373" s="11">
        <v>6500</v>
      </c>
      <c r="E3373" s="11">
        <v>6500</v>
      </c>
      <c r="F3373" s="3">
        <v>41871</v>
      </c>
      <c r="G3373" s="2" t="s">
        <v>14104</v>
      </c>
      <c r="H3373" s="3">
        <v>43053</v>
      </c>
      <c r="I3373" s="2" t="s">
        <v>19506</v>
      </c>
      <c r="J3373" s="2" t="s">
        <v>13904</v>
      </c>
      <c r="K3373" s="2" t="s">
        <v>19272</v>
      </c>
      <c r="L3373" s="82" t="s">
        <v>19512</v>
      </c>
    </row>
    <row r="3374" spans="1:12" ht="84" customHeight="1" x14ac:dyDescent="0.3">
      <c r="A3374" s="2">
        <v>3370</v>
      </c>
      <c r="B3374" s="66" t="s">
        <v>3882</v>
      </c>
      <c r="C3374" s="66" t="s">
        <v>3383</v>
      </c>
      <c r="D3374" s="11">
        <v>19950</v>
      </c>
      <c r="E3374" s="11">
        <v>19950</v>
      </c>
      <c r="F3374" s="3">
        <v>41913</v>
      </c>
      <c r="G3374" s="2" t="s">
        <v>14104</v>
      </c>
      <c r="H3374" s="3">
        <v>43053</v>
      </c>
      <c r="I3374" s="2" t="s">
        <v>19506</v>
      </c>
      <c r="J3374" s="2" t="s">
        <v>13904</v>
      </c>
      <c r="K3374" s="2" t="s">
        <v>19272</v>
      </c>
      <c r="L3374" s="82" t="s">
        <v>19512</v>
      </c>
    </row>
    <row r="3375" spans="1:12" ht="84" customHeight="1" x14ac:dyDescent="0.3">
      <c r="A3375" s="2">
        <v>3371</v>
      </c>
      <c r="B3375" s="66" t="s">
        <v>3653</v>
      </c>
      <c r="C3375" s="66" t="s">
        <v>3883</v>
      </c>
      <c r="D3375" s="11">
        <v>4319.9799999999996</v>
      </c>
      <c r="E3375" s="11">
        <v>4319.9799999999996</v>
      </c>
      <c r="F3375" s="3">
        <v>41115</v>
      </c>
      <c r="G3375" s="2" t="s">
        <v>14104</v>
      </c>
      <c r="H3375" s="3">
        <v>43053</v>
      </c>
      <c r="I3375" s="2" t="s">
        <v>19506</v>
      </c>
      <c r="J3375" s="2" t="s">
        <v>13904</v>
      </c>
      <c r="K3375" s="2" t="s">
        <v>19272</v>
      </c>
      <c r="L3375" s="82" t="s">
        <v>19512</v>
      </c>
    </row>
    <row r="3376" spans="1:12" ht="84" customHeight="1" x14ac:dyDescent="0.3">
      <c r="A3376" s="2">
        <v>3372</v>
      </c>
      <c r="B3376" s="66" t="s">
        <v>3884</v>
      </c>
      <c r="C3376" s="66" t="s">
        <v>3382</v>
      </c>
      <c r="D3376" s="11">
        <v>21400</v>
      </c>
      <c r="E3376" s="11">
        <v>21400</v>
      </c>
      <c r="F3376" s="3">
        <v>41983</v>
      </c>
      <c r="G3376" s="2" t="s">
        <v>14104</v>
      </c>
      <c r="H3376" s="3">
        <v>43053</v>
      </c>
      <c r="I3376" s="2" t="s">
        <v>19506</v>
      </c>
      <c r="J3376" s="2" t="s">
        <v>13904</v>
      </c>
      <c r="K3376" s="2" t="s">
        <v>19272</v>
      </c>
      <c r="L3376" s="82" t="s">
        <v>19512</v>
      </c>
    </row>
    <row r="3377" spans="1:15" ht="84" customHeight="1" x14ac:dyDescent="0.3">
      <c r="A3377" s="2">
        <v>3373</v>
      </c>
      <c r="B3377" s="66" t="s">
        <v>3885</v>
      </c>
      <c r="C3377" s="66" t="s">
        <v>3152</v>
      </c>
      <c r="D3377" s="11">
        <v>13750</v>
      </c>
      <c r="E3377" s="11">
        <v>13750</v>
      </c>
      <c r="F3377" s="3">
        <v>41969</v>
      </c>
      <c r="G3377" s="2" t="s">
        <v>14104</v>
      </c>
      <c r="H3377" s="3">
        <v>43053</v>
      </c>
      <c r="I3377" s="2" t="s">
        <v>19506</v>
      </c>
      <c r="J3377" s="2" t="s">
        <v>13904</v>
      </c>
      <c r="K3377" s="2" t="s">
        <v>19272</v>
      </c>
      <c r="L3377" s="82" t="s">
        <v>19512</v>
      </c>
    </row>
    <row r="3378" spans="1:15" ht="84" customHeight="1" x14ac:dyDescent="0.3">
      <c r="A3378" s="2">
        <v>3374</v>
      </c>
      <c r="B3378" s="66" t="s">
        <v>3886</v>
      </c>
      <c r="C3378" s="66" t="s">
        <v>3153</v>
      </c>
      <c r="D3378" s="11">
        <v>12000</v>
      </c>
      <c r="E3378" s="11">
        <v>12000</v>
      </c>
      <c r="F3378" s="3">
        <v>41969</v>
      </c>
      <c r="G3378" s="2" t="s">
        <v>14104</v>
      </c>
      <c r="H3378" s="3">
        <v>43053</v>
      </c>
      <c r="I3378" s="2" t="s">
        <v>19506</v>
      </c>
      <c r="J3378" s="2" t="s">
        <v>13904</v>
      </c>
      <c r="K3378" s="2" t="s">
        <v>19272</v>
      </c>
      <c r="L3378" s="82" t="s">
        <v>19512</v>
      </c>
    </row>
    <row r="3379" spans="1:15" s="19" customFormat="1" ht="84" customHeight="1" x14ac:dyDescent="0.3">
      <c r="A3379" s="2">
        <v>3375</v>
      </c>
      <c r="B3379" s="66" t="s">
        <v>1062</v>
      </c>
      <c r="C3379" s="66" t="s">
        <v>3344</v>
      </c>
      <c r="D3379" s="11">
        <v>99761.51</v>
      </c>
      <c r="E3379" s="11">
        <v>38241.870000000003</v>
      </c>
      <c r="F3379" s="3">
        <v>42004</v>
      </c>
      <c r="G3379" s="2" t="s">
        <v>14104</v>
      </c>
      <c r="H3379" s="2"/>
      <c r="I3379" s="2"/>
      <c r="J3379" s="2" t="s">
        <v>13904</v>
      </c>
      <c r="K3379" s="2" t="s">
        <v>19274</v>
      </c>
      <c r="L3379" s="2" t="s">
        <v>18611</v>
      </c>
      <c r="M3379" s="18"/>
      <c r="N3379" s="18"/>
      <c r="O3379" s="18"/>
    </row>
    <row r="3380" spans="1:15" ht="84" customHeight="1" x14ac:dyDescent="0.3">
      <c r="A3380" s="2">
        <v>3376</v>
      </c>
      <c r="B3380" s="66" t="s">
        <v>23412</v>
      </c>
      <c r="C3380" s="66">
        <v>4101340004</v>
      </c>
      <c r="D3380" s="11">
        <v>89082.6</v>
      </c>
      <c r="E3380" s="11">
        <v>89082.6</v>
      </c>
      <c r="F3380" s="3" t="s">
        <v>23332</v>
      </c>
      <c r="G3380" s="2" t="s">
        <v>23413</v>
      </c>
      <c r="H3380" s="3"/>
      <c r="I3380" s="2"/>
      <c r="J3380" s="2" t="s">
        <v>13904</v>
      </c>
      <c r="K3380" s="2" t="s">
        <v>23414</v>
      </c>
      <c r="L3380" s="82" t="s">
        <v>23415</v>
      </c>
    </row>
    <row r="3381" spans="1:15" ht="84" customHeight="1" x14ac:dyDescent="0.3">
      <c r="A3381" s="2">
        <v>3377</v>
      </c>
      <c r="B3381" s="66" t="s">
        <v>3887</v>
      </c>
      <c r="C3381" s="66" t="s">
        <v>3618</v>
      </c>
      <c r="D3381" s="11">
        <v>19459.990000000002</v>
      </c>
      <c r="E3381" s="11">
        <v>19459.990000000002</v>
      </c>
      <c r="F3381" s="3">
        <v>39414</v>
      </c>
      <c r="G3381" s="2" t="s">
        <v>14104</v>
      </c>
      <c r="H3381" s="3">
        <v>43053</v>
      </c>
      <c r="I3381" s="2" t="s">
        <v>19506</v>
      </c>
      <c r="J3381" s="2" t="s">
        <v>13904</v>
      </c>
      <c r="K3381" s="2" t="s">
        <v>19274</v>
      </c>
      <c r="L3381" s="82" t="s">
        <v>19512</v>
      </c>
    </row>
    <row r="3382" spans="1:15" ht="84" customHeight="1" x14ac:dyDescent="0.3">
      <c r="A3382" s="2">
        <v>3378</v>
      </c>
      <c r="B3382" s="66" t="s">
        <v>3257</v>
      </c>
      <c r="C3382" s="66" t="s">
        <v>3617</v>
      </c>
      <c r="D3382" s="11">
        <v>4000</v>
      </c>
      <c r="E3382" s="11">
        <v>4000</v>
      </c>
      <c r="F3382" s="3">
        <v>39441</v>
      </c>
      <c r="G3382" s="2" t="s">
        <v>14104</v>
      </c>
      <c r="H3382" s="3">
        <v>43053</v>
      </c>
      <c r="I3382" s="2" t="s">
        <v>19506</v>
      </c>
      <c r="J3382" s="2" t="s">
        <v>13904</v>
      </c>
      <c r="K3382" s="2" t="s">
        <v>19274</v>
      </c>
      <c r="L3382" s="82" t="s">
        <v>19512</v>
      </c>
    </row>
    <row r="3383" spans="1:15" ht="84" customHeight="1" x14ac:dyDescent="0.3">
      <c r="A3383" s="2">
        <v>3379</v>
      </c>
      <c r="B3383" s="66" t="s">
        <v>929</v>
      </c>
      <c r="C3383" s="66" t="s">
        <v>3608</v>
      </c>
      <c r="D3383" s="11">
        <v>12562.02</v>
      </c>
      <c r="E3383" s="11">
        <v>12562.02</v>
      </c>
      <c r="F3383" s="3">
        <v>29384</v>
      </c>
      <c r="G3383" s="2" t="s">
        <v>14104</v>
      </c>
      <c r="H3383" s="3">
        <v>43053</v>
      </c>
      <c r="I3383" s="2" t="s">
        <v>19506</v>
      </c>
      <c r="J3383" s="2" t="s">
        <v>13904</v>
      </c>
      <c r="K3383" s="2" t="s">
        <v>19274</v>
      </c>
      <c r="L3383" s="82" t="s">
        <v>19512</v>
      </c>
    </row>
    <row r="3384" spans="1:15" ht="84" customHeight="1" x14ac:dyDescent="0.3">
      <c r="A3384" s="2">
        <v>3380</v>
      </c>
      <c r="B3384" s="66" t="s">
        <v>3101</v>
      </c>
      <c r="C3384" s="66" t="s">
        <v>3300</v>
      </c>
      <c r="D3384" s="11">
        <v>21099.72</v>
      </c>
      <c r="E3384" s="11">
        <v>21099.72</v>
      </c>
      <c r="F3384" s="3">
        <v>38729</v>
      </c>
      <c r="G3384" s="2" t="s">
        <v>14104</v>
      </c>
      <c r="H3384" s="3">
        <v>43053</v>
      </c>
      <c r="I3384" s="2" t="s">
        <v>19506</v>
      </c>
      <c r="J3384" s="2" t="s">
        <v>13904</v>
      </c>
      <c r="K3384" s="2" t="s">
        <v>19274</v>
      </c>
      <c r="L3384" s="82" t="s">
        <v>19512</v>
      </c>
    </row>
    <row r="3385" spans="1:15" ht="84" customHeight="1" x14ac:dyDescent="0.3">
      <c r="A3385" s="2">
        <v>3381</v>
      </c>
      <c r="B3385" s="66" t="s">
        <v>3103</v>
      </c>
      <c r="C3385" s="66" t="s">
        <v>3203</v>
      </c>
      <c r="D3385" s="11">
        <v>11706.86</v>
      </c>
      <c r="E3385" s="11">
        <v>11706.86</v>
      </c>
      <c r="F3385" s="3">
        <v>33859</v>
      </c>
      <c r="G3385" s="2" t="s">
        <v>14104</v>
      </c>
      <c r="H3385" s="3">
        <v>43053</v>
      </c>
      <c r="I3385" s="2" t="s">
        <v>19506</v>
      </c>
      <c r="J3385" s="2" t="s">
        <v>13904</v>
      </c>
      <c r="K3385" s="2" t="s">
        <v>19274</v>
      </c>
      <c r="L3385" s="82" t="s">
        <v>19512</v>
      </c>
    </row>
    <row r="3386" spans="1:15" ht="84" customHeight="1" x14ac:dyDescent="0.3">
      <c r="A3386" s="2">
        <v>3382</v>
      </c>
      <c r="B3386" s="66" t="s">
        <v>267</v>
      </c>
      <c r="C3386" s="66" t="s">
        <v>3299</v>
      </c>
      <c r="D3386" s="11">
        <v>9498.33</v>
      </c>
      <c r="E3386" s="11">
        <v>9498.33</v>
      </c>
      <c r="F3386" s="3">
        <v>33943</v>
      </c>
      <c r="G3386" s="2" t="s">
        <v>14104</v>
      </c>
      <c r="H3386" s="3">
        <v>43053</v>
      </c>
      <c r="I3386" s="2" t="s">
        <v>19506</v>
      </c>
      <c r="J3386" s="2" t="s">
        <v>13904</v>
      </c>
      <c r="K3386" s="2" t="s">
        <v>19274</v>
      </c>
      <c r="L3386" s="82" t="s">
        <v>19512</v>
      </c>
    </row>
    <row r="3387" spans="1:15" ht="84" customHeight="1" x14ac:dyDescent="0.3">
      <c r="A3387" s="2">
        <v>3383</v>
      </c>
      <c r="B3387" s="66" t="s">
        <v>1342</v>
      </c>
      <c r="C3387" s="66" t="s">
        <v>3298</v>
      </c>
      <c r="D3387" s="11">
        <v>12148.05</v>
      </c>
      <c r="E3387" s="11">
        <v>12148.05</v>
      </c>
      <c r="F3387" s="3">
        <v>39066</v>
      </c>
      <c r="G3387" s="2" t="s">
        <v>14104</v>
      </c>
      <c r="H3387" s="3">
        <v>43053</v>
      </c>
      <c r="I3387" s="2" t="s">
        <v>19506</v>
      </c>
      <c r="J3387" s="2" t="s">
        <v>13904</v>
      </c>
      <c r="K3387" s="2" t="s">
        <v>19274</v>
      </c>
      <c r="L3387" s="82" t="s">
        <v>19512</v>
      </c>
    </row>
    <row r="3388" spans="1:15" ht="84" customHeight="1" x14ac:dyDescent="0.3">
      <c r="A3388" s="2">
        <v>3384</v>
      </c>
      <c r="B3388" s="66" t="s">
        <v>3888</v>
      </c>
      <c r="C3388" s="66" t="s">
        <v>3889</v>
      </c>
      <c r="D3388" s="11">
        <v>7620</v>
      </c>
      <c r="E3388" s="11">
        <v>7620</v>
      </c>
      <c r="F3388" s="3">
        <v>36797</v>
      </c>
      <c r="G3388" s="2" t="s">
        <v>14104</v>
      </c>
      <c r="H3388" s="3">
        <v>43053</v>
      </c>
      <c r="I3388" s="2" t="s">
        <v>19506</v>
      </c>
      <c r="J3388" s="2" t="s">
        <v>13904</v>
      </c>
      <c r="K3388" s="2" t="s">
        <v>19274</v>
      </c>
      <c r="L3388" s="82" t="s">
        <v>19512</v>
      </c>
    </row>
    <row r="3389" spans="1:15" ht="84" customHeight="1" x14ac:dyDescent="0.3">
      <c r="A3389" s="2">
        <v>3385</v>
      </c>
      <c r="B3389" s="66" t="s">
        <v>3890</v>
      </c>
      <c r="C3389" s="66" t="s">
        <v>3681</v>
      </c>
      <c r="D3389" s="11">
        <v>7059.87</v>
      </c>
      <c r="E3389" s="11">
        <v>7059.87</v>
      </c>
      <c r="F3389" s="3">
        <v>32984</v>
      </c>
      <c r="G3389" s="2" t="s">
        <v>14104</v>
      </c>
      <c r="H3389" s="3">
        <v>43053</v>
      </c>
      <c r="I3389" s="2" t="s">
        <v>19506</v>
      </c>
      <c r="J3389" s="2" t="s">
        <v>13904</v>
      </c>
      <c r="K3389" s="2" t="s">
        <v>19274</v>
      </c>
      <c r="L3389" s="82" t="s">
        <v>19512</v>
      </c>
    </row>
    <row r="3390" spans="1:15" ht="84" customHeight="1" x14ac:dyDescent="0.3">
      <c r="A3390" s="2">
        <v>3386</v>
      </c>
      <c r="B3390" s="66" t="s">
        <v>3891</v>
      </c>
      <c r="C3390" s="66" t="s">
        <v>3892</v>
      </c>
      <c r="D3390" s="11">
        <v>10000</v>
      </c>
      <c r="E3390" s="11">
        <v>10000</v>
      </c>
      <c r="F3390" s="3">
        <v>41547</v>
      </c>
      <c r="G3390" s="2" t="s">
        <v>14104</v>
      </c>
      <c r="H3390" s="3">
        <v>43053</v>
      </c>
      <c r="I3390" s="2" t="s">
        <v>19506</v>
      </c>
      <c r="J3390" s="2" t="s">
        <v>13904</v>
      </c>
      <c r="K3390" s="2" t="s">
        <v>19274</v>
      </c>
      <c r="L3390" s="82" t="s">
        <v>19512</v>
      </c>
    </row>
    <row r="3391" spans="1:15" ht="84" customHeight="1" x14ac:dyDescent="0.3">
      <c r="A3391" s="2">
        <v>3387</v>
      </c>
      <c r="B3391" s="66" t="s">
        <v>3891</v>
      </c>
      <c r="C3391" s="66" t="s">
        <v>3893</v>
      </c>
      <c r="D3391" s="11">
        <v>10000</v>
      </c>
      <c r="E3391" s="11">
        <v>10000</v>
      </c>
      <c r="F3391" s="3">
        <v>41547</v>
      </c>
      <c r="G3391" s="2" t="s">
        <v>14104</v>
      </c>
      <c r="H3391" s="3">
        <v>43053</v>
      </c>
      <c r="I3391" s="2" t="s">
        <v>19506</v>
      </c>
      <c r="J3391" s="2" t="s">
        <v>13904</v>
      </c>
      <c r="K3391" s="2" t="s">
        <v>19274</v>
      </c>
      <c r="L3391" s="82" t="s">
        <v>19512</v>
      </c>
    </row>
    <row r="3392" spans="1:15" ht="84" customHeight="1" x14ac:dyDescent="0.3">
      <c r="A3392" s="2">
        <v>3388</v>
      </c>
      <c r="B3392" s="66" t="s">
        <v>3894</v>
      </c>
      <c r="C3392" s="66" t="s">
        <v>3895</v>
      </c>
      <c r="D3392" s="11">
        <v>9430.56</v>
      </c>
      <c r="E3392" s="11">
        <v>9430.56</v>
      </c>
      <c r="F3392" s="3">
        <v>41115</v>
      </c>
      <c r="G3392" s="2" t="s">
        <v>14104</v>
      </c>
      <c r="H3392" s="3">
        <v>43053</v>
      </c>
      <c r="I3392" s="2" t="s">
        <v>19506</v>
      </c>
      <c r="J3392" s="2" t="s">
        <v>13904</v>
      </c>
      <c r="K3392" s="2" t="s">
        <v>19274</v>
      </c>
      <c r="L3392" s="82" t="s">
        <v>19512</v>
      </c>
    </row>
    <row r="3393" spans="1:12" ht="84" customHeight="1" x14ac:dyDescent="0.3">
      <c r="A3393" s="2">
        <v>3389</v>
      </c>
      <c r="B3393" s="66" t="s">
        <v>3896</v>
      </c>
      <c r="C3393" s="66" t="s">
        <v>3897</v>
      </c>
      <c r="D3393" s="11">
        <v>27964</v>
      </c>
      <c r="E3393" s="11">
        <v>27964</v>
      </c>
      <c r="F3393" s="3">
        <v>40898</v>
      </c>
      <c r="G3393" s="2" t="s">
        <v>14104</v>
      </c>
      <c r="H3393" s="3">
        <v>43053</v>
      </c>
      <c r="I3393" s="2" t="s">
        <v>19506</v>
      </c>
      <c r="J3393" s="2" t="s">
        <v>13904</v>
      </c>
      <c r="K3393" s="2" t="s">
        <v>19274</v>
      </c>
      <c r="L3393" s="82" t="s">
        <v>19512</v>
      </c>
    </row>
    <row r="3394" spans="1:12" ht="84" customHeight="1" x14ac:dyDescent="0.3">
      <c r="A3394" s="2">
        <v>3390</v>
      </c>
      <c r="B3394" s="66" t="s">
        <v>3172</v>
      </c>
      <c r="C3394" s="66" t="s">
        <v>3898</v>
      </c>
      <c r="D3394" s="11">
        <v>4000</v>
      </c>
      <c r="E3394" s="11">
        <v>4000</v>
      </c>
      <c r="F3394" s="3">
        <v>40898</v>
      </c>
      <c r="G3394" s="2" t="s">
        <v>14104</v>
      </c>
      <c r="H3394" s="3">
        <v>43053</v>
      </c>
      <c r="I3394" s="2" t="s">
        <v>19506</v>
      </c>
      <c r="J3394" s="2" t="s">
        <v>13904</v>
      </c>
      <c r="K3394" s="2" t="s">
        <v>19274</v>
      </c>
      <c r="L3394" s="82" t="s">
        <v>19512</v>
      </c>
    </row>
    <row r="3395" spans="1:12" ht="84" customHeight="1" x14ac:dyDescent="0.3">
      <c r="A3395" s="2">
        <v>3391</v>
      </c>
      <c r="B3395" s="66" t="s">
        <v>3899</v>
      </c>
      <c r="C3395" s="66" t="s">
        <v>3900</v>
      </c>
      <c r="D3395" s="11">
        <v>20800</v>
      </c>
      <c r="E3395" s="11">
        <v>20800</v>
      </c>
      <c r="F3395" s="3">
        <v>41614</v>
      </c>
      <c r="G3395" s="2" t="s">
        <v>14104</v>
      </c>
      <c r="H3395" s="3">
        <v>43053</v>
      </c>
      <c r="I3395" s="2" t="s">
        <v>19506</v>
      </c>
      <c r="J3395" s="2" t="s">
        <v>13904</v>
      </c>
      <c r="K3395" s="2" t="s">
        <v>19274</v>
      </c>
      <c r="L3395" s="82" t="s">
        <v>19512</v>
      </c>
    </row>
    <row r="3396" spans="1:12" ht="84" customHeight="1" x14ac:dyDescent="0.3">
      <c r="A3396" s="2">
        <v>3392</v>
      </c>
      <c r="B3396" s="66" t="s">
        <v>3901</v>
      </c>
      <c r="C3396" s="66" t="s">
        <v>3902</v>
      </c>
      <c r="D3396" s="11">
        <v>3375</v>
      </c>
      <c r="E3396" s="11">
        <v>3375</v>
      </c>
      <c r="F3396" s="3">
        <v>39430</v>
      </c>
      <c r="G3396" s="2" t="s">
        <v>14104</v>
      </c>
      <c r="H3396" s="3">
        <v>43053</v>
      </c>
      <c r="I3396" s="2" t="s">
        <v>19506</v>
      </c>
      <c r="J3396" s="2" t="s">
        <v>13904</v>
      </c>
      <c r="K3396" s="2" t="s">
        <v>19274</v>
      </c>
      <c r="L3396" s="82" t="s">
        <v>19512</v>
      </c>
    </row>
    <row r="3397" spans="1:12" ht="84" customHeight="1" x14ac:dyDescent="0.3">
      <c r="A3397" s="2">
        <v>3393</v>
      </c>
      <c r="B3397" s="66" t="s">
        <v>3903</v>
      </c>
      <c r="C3397" s="66" t="s">
        <v>3217</v>
      </c>
      <c r="D3397" s="11">
        <v>6130</v>
      </c>
      <c r="E3397" s="11">
        <v>6130</v>
      </c>
      <c r="F3397" s="3">
        <v>39422</v>
      </c>
      <c r="G3397" s="2" t="s">
        <v>14104</v>
      </c>
      <c r="H3397" s="3">
        <v>43053</v>
      </c>
      <c r="I3397" s="2" t="s">
        <v>19506</v>
      </c>
      <c r="J3397" s="2" t="s">
        <v>13904</v>
      </c>
      <c r="K3397" s="2" t="s">
        <v>19274</v>
      </c>
      <c r="L3397" s="82" t="s">
        <v>19512</v>
      </c>
    </row>
    <row r="3398" spans="1:12" ht="84" customHeight="1" x14ac:dyDescent="0.3">
      <c r="A3398" s="2">
        <v>3394</v>
      </c>
      <c r="B3398" s="66" t="s">
        <v>3904</v>
      </c>
      <c r="C3398" s="66" t="s">
        <v>3216</v>
      </c>
      <c r="D3398" s="11">
        <v>12600</v>
      </c>
      <c r="E3398" s="11">
        <v>12600</v>
      </c>
      <c r="F3398" s="3">
        <v>39422</v>
      </c>
      <c r="G3398" s="2" t="s">
        <v>14104</v>
      </c>
      <c r="H3398" s="3">
        <v>43053</v>
      </c>
      <c r="I3398" s="2" t="s">
        <v>19506</v>
      </c>
      <c r="J3398" s="2" t="s">
        <v>13904</v>
      </c>
      <c r="K3398" s="2" t="s">
        <v>19274</v>
      </c>
      <c r="L3398" s="82" t="s">
        <v>19512</v>
      </c>
    </row>
    <row r="3399" spans="1:12" ht="84" customHeight="1" x14ac:dyDescent="0.3">
      <c r="A3399" s="2">
        <v>3395</v>
      </c>
      <c r="B3399" s="66" t="s">
        <v>3905</v>
      </c>
      <c r="C3399" s="66" t="s">
        <v>3567</v>
      </c>
      <c r="D3399" s="11">
        <v>4200</v>
      </c>
      <c r="E3399" s="11">
        <v>4200</v>
      </c>
      <c r="F3399" s="3">
        <v>39422</v>
      </c>
      <c r="G3399" s="2" t="s">
        <v>14104</v>
      </c>
      <c r="H3399" s="3">
        <v>43053</v>
      </c>
      <c r="I3399" s="2" t="s">
        <v>19506</v>
      </c>
      <c r="J3399" s="2" t="s">
        <v>13904</v>
      </c>
      <c r="K3399" s="2" t="s">
        <v>19274</v>
      </c>
      <c r="L3399" s="82" t="s">
        <v>19512</v>
      </c>
    </row>
    <row r="3400" spans="1:12" ht="84" customHeight="1" x14ac:dyDescent="0.3">
      <c r="A3400" s="2">
        <v>3396</v>
      </c>
      <c r="B3400" s="66" t="s">
        <v>3906</v>
      </c>
      <c r="C3400" s="66" t="s">
        <v>3907</v>
      </c>
      <c r="D3400" s="11">
        <v>8910.01</v>
      </c>
      <c r="E3400" s="11">
        <v>8910.01</v>
      </c>
      <c r="F3400" s="3">
        <v>39422</v>
      </c>
      <c r="G3400" s="2" t="s">
        <v>14104</v>
      </c>
      <c r="H3400" s="3">
        <v>43053</v>
      </c>
      <c r="I3400" s="2" t="s">
        <v>19506</v>
      </c>
      <c r="J3400" s="2" t="s">
        <v>13904</v>
      </c>
      <c r="K3400" s="2" t="s">
        <v>19274</v>
      </c>
      <c r="L3400" s="82" t="s">
        <v>19512</v>
      </c>
    </row>
    <row r="3401" spans="1:12" ht="84" customHeight="1" x14ac:dyDescent="0.3">
      <c r="A3401" s="2">
        <v>3397</v>
      </c>
      <c r="B3401" s="66" t="s">
        <v>3639</v>
      </c>
      <c r="C3401" s="66" t="s">
        <v>3565</v>
      </c>
      <c r="D3401" s="11">
        <v>3909.17</v>
      </c>
      <c r="E3401" s="11">
        <v>3909.17</v>
      </c>
      <c r="F3401" s="3">
        <v>39066</v>
      </c>
      <c r="G3401" s="2" t="s">
        <v>14104</v>
      </c>
      <c r="H3401" s="3">
        <v>43053</v>
      </c>
      <c r="I3401" s="2" t="s">
        <v>19506</v>
      </c>
      <c r="J3401" s="2" t="s">
        <v>13904</v>
      </c>
      <c r="K3401" s="2" t="s">
        <v>19274</v>
      </c>
      <c r="L3401" s="82" t="s">
        <v>19512</v>
      </c>
    </row>
    <row r="3402" spans="1:12" ht="84" customHeight="1" x14ac:dyDescent="0.3">
      <c r="A3402" s="2">
        <v>3398</v>
      </c>
      <c r="B3402" s="66" t="s">
        <v>3908</v>
      </c>
      <c r="C3402" s="66" t="s">
        <v>3909</v>
      </c>
      <c r="D3402" s="11">
        <v>5051</v>
      </c>
      <c r="E3402" s="11">
        <v>5051</v>
      </c>
      <c r="F3402" s="3">
        <v>40844</v>
      </c>
      <c r="G3402" s="2" t="s">
        <v>14104</v>
      </c>
      <c r="H3402" s="3">
        <v>43053</v>
      </c>
      <c r="I3402" s="2" t="s">
        <v>19506</v>
      </c>
      <c r="J3402" s="2" t="s">
        <v>13904</v>
      </c>
      <c r="K3402" s="2" t="s">
        <v>19274</v>
      </c>
      <c r="L3402" s="82" t="s">
        <v>19512</v>
      </c>
    </row>
    <row r="3403" spans="1:12" ht="84" customHeight="1" x14ac:dyDescent="0.3">
      <c r="A3403" s="2">
        <v>3399</v>
      </c>
      <c r="B3403" s="66" t="s">
        <v>3910</v>
      </c>
      <c r="C3403" s="66" t="s">
        <v>3145</v>
      </c>
      <c r="D3403" s="11">
        <v>6050</v>
      </c>
      <c r="E3403" s="11">
        <v>6050</v>
      </c>
      <c r="F3403" s="3">
        <v>41835</v>
      </c>
      <c r="G3403" s="2" t="s">
        <v>14104</v>
      </c>
      <c r="H3403" s="3">
        <v>43053</v>
      </c>
      <c r="I3403" s="2" t="s">
        <v>19506</v>
      </c>
      <c r="J3403" s="2" t="s">
        <v>13904</v>
      </c>
      <c r="K3403" s="2" t="s">
        <v>19274</v>
      </c>
      <c r="L3403" s="82" t="s">
        <v>19512</v>
      </c>
    </row>
    <row r="3404" spans="1:12" ht="84" customHeight="1" x14ac:dyDescent="0.3">
      <c r="A3404" s="2">
        <v>3400</v>
      </c>
      <c r="B3404" s="66" t="s">
        <v>3910</v>
      </c>
      <c r="C3404" s="66" t="s">
        <v>3147</v>
      </c>
      <c r="D3404" s="11">
        <v>6050</v>
      </c>
      <c r="E3404" s="11">
        <v>6050</v>
      </c>
      <c r="F3404" s="3">
        <v>41835</v>
      </c>
      <c r="G3404" s="2" t="s">
        <v>14104</v>
      </c>
      <c r="H3404" s="3">
        <v>43053</v>
      </c>
      <c r="I3404" s="2" t="s">
        <v>19506</v>
      </c>
      <c r="J3404" s="2" t="s">
        <v>13904</v>
      </c>
      <c r="K3404" s="2" t="s">
        <v>19274</v>
      </c>
      <c r="L3404" s="82" t="s">
        <v>19512</v>
      </c>
    </row>
    <row r="3405" spans="1:12" ht="84" customHeight="1" x14ac:dyDescent="0.3">
      <c r="A3405" s="2">
        <v>3401</v>
      </c>
      <c r="B3405" s="66" t="s">
        <v>3910</v>
      </c>
      <c r="C3405" s="66" t="s">
        <v>3148</v>
      </c>
      <c r="D3405" s="11">
        <v>6050</v>
      </c>
      <c r="E3405" s="11">
        <v>6050</v>
      </c>
      <c r="F3405" s="3">
        <v>41835</v>
      </c>
      <c r="G3405" s="2" t="s">
        <v>14104</v>
      </c>
      <c r="H3405" s="3">
        <v>43053</v>
      </c>
      <c r="I3405" s="2" t="s">
        <v>19506</v>
      </c>
      <c r="J3405" s="2" t="s">
        <v>13904</v>
      </c>
      <c r="K3405" s="2" t="s">
        <v>19274</v>
      </c>
      <c r="L3405" s="82" t="s">
        <v>19512</v>
      </c>
    </row>
    <row r="3406" spans="1:12" ht="84" customHeight="1" x14ac:dyDescent="0.3">
      <c r="A3406" s="2">
        <v>3402</v>
      </c>
      <c r="B3406" s="66" t="s">
        <v>3117</v>
      </c>
      <c r="C3406" s="66" t="s">
        <v>3146</v>
      </c>
      <c r="D3406" s="11">
        <v>3190</v>
      </c>
      <c r="E3406" s="11">
        <v>3190</v>
      </c>
      <c r="F3406" s="3">
        <v>41835</v>
      </c>
      <c r="G3406" s="2" t="s">
        <v>14104</v>
      </c>
      <c r="H3406" s="3">
        <v>43053</v>
      </c>
      <c r="I3406" s="2" t="s">
        <v>19506</v>
      </c>
      <c r="J3406" s="2" t="s">
        <v>13904</v>
      </c>
      <c r="K3406" s="2" t="s">
        <v>19274</v>
      </c>
      <c r="L3406" s="82" t="s">
        <v>19512</v>
      </c>
    </row>
    <row r="3407" spans="1:12" ht="84" customHeight="1" x14ac:dyDescent="0.3">
      <c r="A3407" s="2">
        <v>3403</v>
      </c>
      <c r="B3407" s="66" t="s">
        <v>3911</v>
      </c>
      <c r="C3407" s="66" t="s">
        <v>3912</v>
      </c>
      <c r="D3407" s="11">
        <v>4554.8</v>
      </c>
      <c r="E3407" s="11">
        <v>4554.8</v>
      </c>
      <c r="F3407" s="3">
        <v>41558</v>
      </c>
      <c r="G3407" s="2" t="s">
        <v>14104</v>
      </c>
      <c r="H3407" s="3">
        <v>43053</v>
      </c>
      <c r="I3407" s="2" t="s">
        <v>19506</v>
      </c>
      <c r="J3407" s="2" t="s">
        <v>13904</v>
      </c>
      <c r="K3407" s="2" t="s">
        <v>19274</v>
      </c>
      <c r="L3407" s="82" t="s">
        <v>19512</v>
      </c>
    </row>
    <row r="3408" spans="1:12" ht="84" customHeight="1" x14ac:dyDescent="0.3">
      <c r="A3408" s="2">
        <v>3404</v>
      </c>
      <c r="B3408" s="66" t="s">
        <v>3911</v>
      </c>
      <c r="C3408" s="66" t="s">
        <v>3913</v>
      </c>
      <c r="D3408" s="11">
        <v>4554.8</v>
      </c>
      <c r="E3408" s="11">
        <v>4554.8</v>
      </c>
      <c r="F3408" s="3">
        <v>41558</v>
      </c>
      <c r="G3408" s="2" t="s">
        <v>14104</v>
      </c>
      <c r="H3408" s="3">
        <v>43053</v>
      </c>
      <c r="I3408" s="2" t="s">
        <v>19506</v>
      </c>
      <c r="J3408" s="2" t="s">
        <v>13904</v>
      </c>
      <c r="K3408" s="2" t="s">
        <v>19274</v>
      </c>
      <c r="L3408" s="82" t="s">
        <v>19512</v>
      </c>
    </row>
    <row r="3409" spans="1:12" ht="84" customHeight="1" x14ac:dyDescent="0.3">
      <c r="A3409" s="2">
        <v>3405</v>
      </c>
      <c r="B3409" s="66" t="s">
        <v>3911</v>
      </c>
      <c r="C3409" s="66" t="s">
        <v>3914</v>
      </c>
      <c r="D3409" s="11">
        <v>4554.8</v>
      </c>
      <c r="E3409" s="11">
        <v>4554.8</v>
      </c>
      <c r="F3409" s="3">
        <v>41558</v>
      </c>
      <c r="G3409" s="2" t="s">
        <v>14104</v>
      </c>
      <c r="H3409" s="3">
        <v>43053</v>
      </c>
      <c r="I3409" s="2" t="s">
        <v>19506</v>
      </c>
      <c r="J3409" s="2" t="s">
        <v>13904</v>
      </c>
      <c r="K3409" s="2" t="s">
        <v>19274</v>
      </c>
      <c r="L3409" s="82" t="s">
        <v>19512</v>
      </c>
    </row>
    <row r="3410" spans="1:12" ht="84" customHeight="1" x14ac:dyDescent="0.3">
      <c r="A3410" s="2">
        <v>3406</v>
      </c>
      <c r="B3410" s="66" t="s">
        <v>3911</v>
      </c>
      <c r="C3410" s="66" t="s">
        <v>3915</v>
      </c>
      <c r="D3410" s="11">
        <v>4554.8</v>
      </c>
      <c r="E3410" s="11">
        <v>4554.8</v>
      </c>
      <c r="F3410" s="3">
        <v>41558</v>
      </c>
      <c r="G3410" s="2" t="s">
        <v>14104</v>
      </c>
      <c r="H3410" s="3">
        <v>43053</v>
      </c>
      <c r="I3410" s="2" t="s">
        <v>19506</v>
      </c>
      <c r="J3410" s="2" t="s">
        <v>13904</v>
      </c>
      <c r="K3410" s="2" t="s">
        <v>19274</v>
      </c>
      <c r="L3410" s="82" t="s">
        <v>19512</v>
      </c>
    </row>
    <row r="3411" spans="1:12" ht="84" customHeight="1" x14ac:dyDescent="0.3">
      <c r="A3411" s="2">
        <v>3407</v>
      </c>
      <c r="B3411" s="66" t="s">
        <v>3916</v>
      </c>
      <c r="C3411" s="66" t="s">
        <v>3917</v>
      </c>
      <c r="D3411" s="11">
        <v>11900.3</v>
      </c>
      <c r="E3411" s="11">
        <v>11900.3</v>
      </c>
      <c r="F3411" s="3">
        <v>41558</v>
      </c>
      <c r="G3411" s="2" t="s">
        <v>14104</v>
      </c>
      <c r="H3411" s="3">
        <v>43053</v>
      </c>
      <c r="I3411" s="2" t="s">
        <v>19506</v>
      </c>
      <c r="J3411" s="2" t="s">
        <v>13904</v>
      </c>
      <c r="K3411" s="2" t="s">
        <v>19274</v>
      </c>
      <c r="L3411" s="82" t="s">
        <v>19512</v>
      </c>
    </row>
    <row r="3412" spans="1:12" ht="84" customHeight="1" x14ac:dyDescent="0.3">
      <c r="A3412" s="2">
        <v>3408</v>
      </c>
      <c r="B3412" s="66" t="s">
        <v>3918</v>
      </c>
      <c r="C3412" s="66" t="s">
        <v>3919</v>
      </c>
      <c r="D3412" s="11">
        <v>5168.3999999999996</v>
      </c>
      <c r="E3412" s="11">
        <v>5168.3999999999996</v>
      </c>
      <c r="F3412" s="3">
        <v>41558</v>
      </c>
      <c r="G3412" s="2" t="s">
        <v>14104</v>
      </c>
      <c r="H3412" s="3">
        <v>43053</v>
      </c>
      <c r="I3412" s="2" t="s">
        <v>19506</v>
      </c>
      <c r="J3412" s="2" t="s">
        <v>13904</v>
      </c>
      <c r="K3412" s="2" t="s">
        <v>19274</v>
      </c>
      <c r="L3412" s="82" t="s">
        <v>19512</v>
      </c>
    </row>
    <row r="3413" spans="1:12" ht="84" customHeight="1" x14ac:dyDescent="0.3">
      <c r="A3413" s="2">
        <v>3409</v>
      </c>
      <c r="B3413" s="66" t="s">
        <v>3920</v>
      </c>
      <c r="C3413" s="66" t="s">
        <v>3149</v>
      </c>
      <c r="D3413" s="11">
        <v>38977</v>
      </c>
      <c r="E3413" s="11">
        <v>38977</v>
      </c>
      <c r="F3413" s="3">
        <v>42185</v>
      </c>
      <c r="G3413" s="2" t="s">
        <v>14104</v>
      </c>
      <c r="H3413" s="3">
        <v>43053</v>
      </c>
      <c r="I3413" s="2" t="s">
        <v>19506</v>
      </c>
      <c r="J3413" s="2" t="s">
        <v>13904</v>
      </c>
      <c r="K3413" s="2" t="s">
        <v>19274</v>
      </c>
      <c r="L3413" s="82" t="s">
        <v>19512</v>
      </c>
    </row>
    <row r="3414" spans="1:12" ht="84" customHeight="1" x14ac:dyDescent="0.3">
      <c r="A3414" s="2">
        <v>3410</v>
      </c>
      <c r="B3414" s="66" t="s">
        <v>3908</v>
      </c>
      <c r="C3414" s="66" t="s">
        <v>3921</v>
      </c>
      <c r="D3414" s="11">
        <v>5051</v>
      </c>
      <c r="E3414" s="11">
        <v>5051</v>
      </c>
      <c r="F3414" s="3">
        <v>40844</v>
      </c>
      <c r="G3414" s="2" t="s">
        <v>14104</v>
      </c>
      <c r="H3414" s="3">
        <v>43053</v>
      </c>
      <c r="I3414" s="2" t="s">
        <v>19506</v>
      </c>
      <c r="J3414" s="2" t="s">
        <v>13904</v>
      </c>
      <c r="K3414" s="2" t="s">
        <v>19274</v>
      </c>
      <c r="L3414" s="82" t="s">
        <v>19512</v>
      </c>
    </row>
    <row r="3415" spans="1:12" ht="84" customHeight="1" x14ac:dyDescent="0.3">
      <c r="A3415" s="2">
        <v>3411</v>
      </c>
      <c r="B3415" s="66" t="s">
        <v>3905</v>
      </c>
      <c r="C3415" s="66" t="s">
        <v>3922</v>
      </c>
      <c r="D3415" s="11">
        <v>4200</v>
      </c>
      <c r="E3415" s="11">
        <v>4200</v>
      </c>
      <c r="F3415" s="3">
        <v>39422</v>
      </c>
      <c r="G3415" s="2" t="s">
        <v>14104</v>
      </c>
      <c r="H3415" s="3">
        <v>43053</v>
      </c>
      <c r="I3415" s="2" t="s">
        <v>19506</v>
      </c>
      <c r="J3415" s="2" t="s">
        <v>13904</v>
      </c>
      <c r="K3415" s="2" t="s">
        <v>19274</v>
      </c>
      <c r="L3415" s="82" t="s">
        <v>19512</v>
      </c>
    </row>
    <row r="3416" spans="1:12" ht="84" customHeight="1" x14ac:dyDescent="0.3">
      <c r="A3416" s="2">
        <v>3412</v>
      </c>
      <c r="B3416" s="66" t="s">
        <v>3905</v>
      </c>
      <c r="C3416" s="66" t="s">
        <v>3923</v>
      </c>
      <c r="D3416" s="11">
        <v>4200</v>
      </c>
      <c r="E3416" s="11">
        <v>4200</v>
      </c>
      <c r="F3416" s="3">
        <v>39422</v>
      </c>
      <c r="G3416" s="2" t="s">
        <v>14104</v>
      </c>
      <c r="H3416" s="3">
        <v>43053</v>
      </c>
      <c r="I3416" s="2" t="s">
        <v>19506</v>
      </c>
      <c r="J3416" s="2" t="s">
        <v>13904</v>
      </c>
      <c r="K3416" s="2" t="s">
        <v>19274</v>
      </c>
      <c r="L3416" s="82" t="s">
        <v>19512</v>
      </c>
    </row>
    <row r="3417" spans="1:12" ht="84" customHeight="1" x14ac:dyDescent="0.3">
      <c r="A3417" s="2">
        <v>3413</v>
      </c>
      <c r="B3417" s="66" t="s">
        <v>3924</v>
      </c>
      <c r="C3417" s="66" t="s">
        <v>3925</v>
      </c>
      <c r="D3417" s="11">
        <v>19200</v>
      </c>
      <c r="E3417" s="11">
        <v>19200</v>
      </c>
      <c r="F3417" s="3">
        <v>41744</v>
      </c>
      <c r="G3417" s="2" t="s">
        <v>14104</v>
      </c>
      <c r="H3417" s="3">
        <v>43053</v>
      </c>
      <c r="I3417" s="2" t="s">
        <v>19506</v>
      </c>
      <c r="J3417" s="2" t="s">
        <v>13904</v>
      </c>
      <c r="K3417" s="2" t="s">
        <v>19274</v>
      </c>
      <c r="L3417" s="82" t="s">
        <v>19512</v>
      </c>
    </row>
    <row r="3418" spans="1:12" ht="84" customHeight="1" x14ac:dyDescent="0.3">
      <c r="A3418" s="2">
        <v>3414</v>
      </c>
      <c r="B3418" s="66" t="s">
        <v>3926</v>
      </c>
      <c r="C3418" s="66" t="s">
        <v>3927</v>
      </c>
      <c r="D3418" s="11">
        <v>4319.9799999999996</v>
      </c>
      <c r="E3418" s="11">
        <v>4319.9799999999996</v>
      </c>
      <c r="F3418" s="3">
        <v>41115</v>
      </c>
      <c r="G3418" s="2" t="s">
        <v>14104</v>
      </c>
      <c r="H3418" s="3">
        <v>43053</v>
      </c>
      <c r="I3418" s="2" t="s">
        <v>19506</v>
      </c>
      <c r="J3418" s="2" t="s">
        <v>13904</v>
      </c>
      <c r="K3418" s="2" t="s">
        <v>19274</v>
      </c>
      <c r="L3418" s="82" t="s">
        <v>19512</v>
      </c>
    </row>
    <row r="3419" spans="1:12" ht="84" customHeight="1" x14ac:dyDescent="0.3">
      <c r="A3419" s="2">
        <v>3415</v>
      </c>
      <c r="B3419" s="66" t="s">
        <v>3928</v>
      </c>
      <c r="C3419" s="66" t="s">
        <v>3817</v>
      </c>
      <c r="D3419" s="11">
        <v>4500</v>
      </c>
      <c r="E3419" s="11">
        <v>4500</v>
      </c>
      <c r="F3419" s="3">
        <v>39422</v>
      </c>
      <c r="G3419" s="2" t="s">
        <v>14104</v>
      </c>
      <c r="H3419" s="3">
        <v>43053</v>
      </c>
      <c r="I3419" s="2" t="s">
        <v>19506</v>
      </c>
      <c r="J3419" s="2" t="s">
        <v>13904</v>
      </c>
      <c r="K3419" s="2" t="s">
        <v>19274</v>
      </c>
      <c r="L3419" s="82" t="s">
        <v>19512</v>
      </c>
    </row>
    <row r="3420" spans="1:12" ht="84" customHeight="1" x14ac:dyDescent="0.3">
      <c r="A3420" s="2">
        <v>3416</v>
      </c>
      <c r="B3420" s="66" t="s">
        <v>3929</v>
      </c>
      <c r="C3420" s="66" t="s">
        <v>3155</v>
      </c>
      <c r="D3420" s="11">
        <v>13750</v>
      </c>
      <c r="E3420" s="11">
        <v>13750</v>
      </c>
      <c r="F3420" s="3">
        <v>41995</v>
      </c>
      <c r="G3420" s="2" t="s">
        <v>14104</v>
      </c>
      <c r="H3420" s="3">
        <v>43053</v>
      </c>
      <c r="I3420" s="2" t="s">
        <v>19506</v>
      </c>
      <c r="J3420" s="2" t="s">
        <v>13904</v>
      </c>
      <c r="K3420" s="2" t="s">
        <v>19274</v>
      </c>
      <c r="L3420" s="82" t="s">
        <v>19512</v>
      </c>
    </row>
    <row r="3421" spans="1:12" ht="84" customHeight="1" x14ac:dyDescent="0.3">
      <c r="A3421" s="2">
        <v>3417</v>
      </c>
      <c r="B3421" s="66" t="s">
        <v>3930</v>
      </c>
      <c r="C3421" s="66" t="s">
        <v>3751</v>
      </c>
      <c r="D3421" s="11">
        <v>12000</v>
      </c>
      <c r="E3421" s="11">
        <v>12000</v>
      </c>
      <c r="F3421" s="3">
        <v>41995</v>
      </c>
      <c r="G3421" s="2" t="s">
        <v>14104</v>
      </c>
      <c r="H3421" s="3">
        <v>43053</v>
      </c>
      <c r="I3421" s="2" t="s">
        <v>19506</v>
      </c>
      <c r="J3421" s="2" t="s">
        <v>13904</v>
      </c>
      <c r="K3421" s="2" t="s">
        <v>19274</v>
      </c>
      <c r="L3421" s="82" t="s">
        <v>19512</v>
      </c>
    </row>
    <row r="3422" spans="1:12" ht="84" customHeight="1" x14ac:dyDescent="0.3">
      <c r="A3422" s="2">
        <v>3418</v>
      </c>
      <c r="B3422" s="66" t="s">
        <v>3931</v>
      </c>
      <c r="C3422" s="66" t="s">
        <v>3151</v>
      </c>
      <c r="D3422" s="11">
        <v>7200</v>
      </c>
      <c r="E3422" s="11">
        <v>7200</v>
      </c>
      <c r="F3422" s="3">
        <v>41969</v>
      </c>
      <c r="G3422" s="2" t="s">
        <v>14104</v>
      </c>
      <c r="H3422" s="3">
        <v>43053</v>
      </c>
      <c r="I3422" s="2" t="s">
        <v>19506</v>
      </c>
      <c r="J3422" s="2" t="s">
        <v>13904</v>
      </c>
      <c r="K3422" s="2" t="s">
        <v>19274</v>
      </c>
      <c r="L3422" s="82" t="s">
        <v>19512</v>
      </c>
    </row>
    <row r="3423" spans="1:12" ht="84" customHeight="1" x14ac:dyDescent="0.3">
      <c r="A3423" s="2">
        <v>3419</v>
      </c>
      <c r="B3423" s="66" t="s">
        <v>3658</v>
      </c>
      <c r="C3423" s="66" t="s">
        <v>3152</v>
      </c>
      <c r="D3423" s="11">
        <v>15300</v>
      </c>
      <c r="E3423" s="11">
        <v>15300</v>
      </c>
      <c r="F3423" s="3">
        <v>41969</v>
      </c>
      <c r="G3423" s="2" t="s">
        <v>14104</v>
      </c>
      <c r="H3423" s="3">
        <v>43053</v>
      </c>
      <c r="I3423" s="2" t="s">
        <v>19506</v>
      </c>
      <c r="J3423" s="2" t="s">
        <v>13904</v>
      </c>
      <c r="K3423" s="2" t="s">
        <v>19274</v>
      </c>
      <c r="L3423" s="82" t="s">
        <v>19512</v>
      </c>
    </row>
    <row r="3424" spans="1:12" ht="84" customHeight="1" x14ac:dyDescent="0.3">
      <c r="A3424" s="2">
        <v>3420</v>
      </c>
      <c r="B3424" s="66" t="s">
        <v>3932</v>
      </c>
      <c r="C3424" s="66" t="s">
        <v>3153</v>
      </c>
      <c r="D3424" s="11">
        <v>5150</v>
      </c>
      <c r="E3424" s="11">
        <v>5150</v>
      </c>
      <c r="F3424" s="3">
        <v>41969</v>
      </c>
      <c r="G3424" s="2" t="s">
        <v>14104</v>
      </c>
      <c r="H3424" s="3">
        <v>43053</v>
      </c>
      <c r="I3424" s="2" t="s">
        <v>19506</v>
      </c>
      <c r="J3424" s="2" t="s">
        <v>13904</v>
      </c>
      <c r="K3424" s="2" t="s">
        <v>19274</v>
      </c>
      <c r="L3424" s="82" t="s">
        <v>19512</v>
      </c>
    </row>
    <row r="3425" spans="1:15" ht="84" customHeight="1" x14ac:dyDescent="0.3">
      <c r="A3425" s="2">
        <v>3421</v>
      </c>
      <c r="B3425" s="66" t="s">
        <v>3933</v>
      </c>
      <c r="C3425" s="66" t="s">
        <v>3154</v>
      </c>
      <c r="D3425" s="11">
        <v>4800</v>
      </c>
      <c r="E3425" s="11">
        <v>4800</v>
      </c>
      <c r="F3425" s="3">
        <v>41969</v>
      </c>
      <c r="G3425" s="2" t="s">
        <v>14104</v>
      </c>
      <c r="H3425" s="3">
        <v>43053</v>
      </c>
      <c r="I3425" s="2" t="s">
        <v>19506</v>
      </c>
      <c r="J3425" s="2" t="s">
        <v>13904</v>
      </c>
      <c r="K3425" s="2" t="s">
        <v>19274</v>
      </c>
      <c r="L3425" s="82" t="s">
        <v>19512</v>
      </c>
    </row>
    <row r="3426" spans="1:15" s="19" customFormat="1" ht="84" customHeight="1" x14ac:dyDescent="0.3">
      <c r="A3426" s="2">
        <v>3422</v>
      </c>
      <c r="B3426" s="66" t="s">
        <v>1062</v>
      </c>
      <c r="C3426" s="66" t="s">
        <v>3344</v>
      </c>
      <c r="D3426" s="11">
        <v>99836.98</v>
      </c>
      <c r="E3426" s="11">
        <v>38270.85</v>
      </c>
      <c r="F3426" s="3">
        <v>42004</v>
      </c>
      <c r="G3426" s="2" t="s">
        <v>14104</v>
      </c>
      <c r="H3426" s="2"/>
      <c r="I3426" s="2"/>
      <c r="J3426" s="2" t="s">
        <v>13904</v>
      </c>
      <c r="K3426" s="2" t="s">
        <v>19205</v>
      </c>
      <c r="L3426" s="2" t="s">
        <v>18745</v>
      </c>
      <c r="M3426" s="18"/>
      <c r="N3426" s="18"/>
      <c r="O3426" s="18"/>
    </row>
    <row r="3427" spans="1:15" ht="84" customHeight="1" x14ac:dyDescent="0.3">
      <c r="A3427" s="2">
        <v>3423</v>
      </c>
      <c r="B3427" s="66" t="s">
        <v>22271</v>
      </c>
      <c r="C3427" s="66">
        <v>4101240002</v>
      </c>
      <c r="D3427" s="11">
        <v>51359.4</v>
      </c>
      <c r="E3427" s="11">
        <v>15407.82</v>
      </c>
      <c r="F3427" s="3" t="s">
        <v>22272</v>
      </c>
      <c r="G3427" s="2" t="s">
        <v>22273</v>
      </c>
      <c r="H3427" s="3"/>
      <c r="I3427" s="2"/>
      <c r="J3427" s="2" t="s">
        <v>13904</v>
      </c>
      <c r="K3427" s="2" t="s">
        <v>22274</v>
      </c>
      <c r="L3427" s="82" t="s">
        <v>22993</v>
      </c>
    </row>
    <row r="3428" spans="1:15" ht="84" customHeight="1" x14ac:dyDescent="0.3">
      <c r="A3428" s="2">
        <v>3424</v>
      </c>
      <c r="B3428" s="66" t="s">
        <v>3935</v>
      </c>
      <c r="C3428" s="66" t="s">
        <v>3936</v>
      </c>
      <c r="D3428" s="11">
        <v>21707.279999999999</v>
      </c>
      <c r="E3428" s="11">
        <v>21707.279999999999</v>
      </c>
      <c r="F3428" s="3">
        <v>39399</v>
      </c>
      <c r="G3428" s="2"/>
      <c r="H3428" s="3">
        <v>43053</v>
      </c>
      <c r="I3428" s="2" t="s">
        <v>19506</v>
      </c>
      <c r="J3428" s="2" t="s">
        <v>13904</v>
      </c>
      <c r="K3428" s="2" t="s">
        <v>19205</v>
      </c>
      <c r="L3428" s="82" t="s">
        <v>19512</v>
      </c>
    </row>
    <row r="3429" spans="1:15" ht="84" customHeight="1" x14ac:dyDescent="0.3">
      <c r="A3429" s="2">
        <v>3425</v>
      </c>
      <c r="B3429" s="66" t="s">
        <v>3770</v>
      </c>
      <c r="C3429" s="66" t="s">
        <v>3937</v>
      </c>
      <c r="D3429" s="11">
        <v>40000</v>
      </c>
      <c r="E3429" s="11">
        <v>40000</v>
      </c>
      <c r="F3429" s="3">
        <v>41878</v>
      </c>
      <c r="G3429" s="2"/>
      <c r="H3429" s="3">
        <v>43053</v>
      </c>
      <c r="I3429" s="2" t="s">
        <v>19506</v>
      </c>
      <c r="J3429" s="2" t="s">
        <v>13904</v>
      </c>
      <c r="K3429" s="2" t="s">
        <v>19205</v>
      </c>
      <c r="L3429" s="82" t="s">
        <v>19512</v>
      </c>
    </row>
    <row r="3430" spans="1:15" ht="84" customHeight="1" x14ac:dyDescent="0.3">
      <c r="A3430" s="2">
        <v>3426</v>
      </c>
      <c r="B3430" s="66" t="s">
        <v>3171</v>
      </c>
      <c r="C3430" s="66" t="s">
        <v>3938</v>
      </c>
      <c r="D3430" s="11">
        <v>27964</v>
      </c>
      <c r="E3430" s="11">
        <v>27964</v>
      </c>
      <c r="F3430" s="3">
        <v>40898</v>
      </c>
      <c r="G3430" s="2"/>
      <c r="H3430" s="3">
        <v>43053</v>
      </c>
      <c r="I3430" s="2" t="s">
        <v>19506</v>
      </c>
      <c r="J3430" s="2" t="s">
        <v>13904</v>
      </c>
      <c r="K3430" s="2" t="s">
        <v>19205</v>
      </c>
      <c r="L3430" s="82" t="s">
        <v>19512</v>
      </c>
    </row>
    <row r="3431" spans="1:15" ht="84" customHeight="1" x14ac:dyDescent="0.3">
      <c r="A3431" s="2">
        <v>3427</v>
      </c>
      <c r="B3431" s="66" t="s">
        <v>3172</v>
      </c>
      <c r="C3431" s="66" t="s">
        <v>3939</v>
      </c>
      <c r="D3431" s="11">
        <v>4000</v>
      </c>
      <c r="E3431" s="11">
        <v>4000</v>
      </c>
      <c r="F3431" s="3">
        <v>40898</v>
      </c>
      <c r="G3431" s="2"/>
      <c r="H3431" s="3">
        <v>43053</v>
      </c>
      <c r="I3431" s="2" t="s">
        <v>19506</v>
      </c>
      <c r="J3431" s="2" t="s">
        <v>13904</v>
      </c>
      <c r="K3431" s="2" t="s">
        <v>19205</v>
      </c>
      <c r="L3431" s="82" t="s">
        <v>19512</v>
      </c>
    </row>
    <row r="3432" spans="1:15" ht="84" customHeight="1" x14ac:dyDescent="0.3">
      <c r="A3432" s="2">
        <v>3428</v>
      </c>
      <c r="B3432" s="66" t="s">
        <v>3940</v>
      </c>
      <c r="C3432" s="66" t="s">
        <v>3941</v>
      </c>
      <c r="D3432" s="11">
        <v>19459.990000000002</v>
      </c>
      <c r="E3432" s="11">
        <v>19459.990000000002</v>
      </c>
      <c r="F3432" s="3">
        <v>39399</v>
      </c>
      <c r="G3432" s="2"/>
      <c r="H3432" s="3">
        <v>43053</v>
      </c>
      <c r="I3432" s="2" t="s">
        <v>19506</v>
      </c>
      <c r="J3432" s="2" t="s">
        <v>13904</v>
      </c>
      <c r="K3432" s="2" t="s">
        <v>19205</v>
      </c>
      <c r="L3432" s="82" t="s">
        <v>19512</v>
      </c>
    </row>
    <row r="3433" spans="1:15" ht="84" customHeight="1" x14ac:dyDescent="0.3">
      <c r="A3433" s="2">
        <v>3429</v>
      </c>
      <c r="B3433" s="66" t="s">
        <v>218</v>
      </c>
      <c r="C3433" s="66" t="s">
        <v>3942</v>
      </c>
      <c r="D3433" s="11">
        <v>21131</v>
      </c>
      <c r="E3433" s="11">
        <v>21131</v>
      </c>
      <c r="F3433" s="3">
        <v>38631</v>
      </c>
      <c r="G3433" s="2"/>
      <c r="H3433" s="3">
        <v>43053</v>
      </c>
      <c r="I3433" s="2" t="s">
        <v>19506</v>
      </c>
      <c r="J3433" s="2" t="s">
        <v>13904</v>
      </c>
      <c r="K3433" s="2" t="s">
        <v>19205</v>
      </c>
      <c r="L3433" s="82" t="s">
        <v>19512</v>
      </c>
    </row>
    <row r="3434" spans="1:15" ht="84" customHeight="1" x14ac:dyDescent="0.3">
      <c r="A3434" s="2">
        <v>3430</v>
      </c>
      <c r="B3434" s="66" t="s">
        <v>221</v>
      </c>
      <c r="C3434" s="66" t="s">
        <v>3778</v>
      </c>
      <c r="D3434" s="11">
        <v>13050</v>
      </c>
      <c r="E3434" s="11">
        <v>13050</v>
      </c>
      <c r="F3434" s="3">
        <v>36916</v>
      </c>
      <c r="G3434" s="2"/>
      <c r="H3434" s="3">
        <v>43053</v>
      </c>
      <c r="I3434" s="2" t="s">
        <v>19506</v>
      </c>
      <c r="J3434" s="2" t="s">
        <v>13904</v>
      </c>
      <c r="K3434" s="2" t="s">
        <v>19205</v>
      </c>
      <c r="L3434" s="82" t="s">
        <v>19512</v>
      </c>
    </row>
    <row r="3435" spans="1:15" ht="84" customHeight="1" x14ac:dyDescent="0.3">
      <c r="A3435" s="2">
        <v>3431</v>
      </c>
      <c r="B3435" s="66" t="s">
        <v>3943</v>
      </c>
      <c r="C3435" s="66" t="s">
        <v>3299</v>
      </c>
      <c r="D3435" s="11">
        <v>5355</v>
      </c>
      <c r="E3435" s="11">
        <v>5355</v>
      </c>
      <c r="F3435" s="3">
        <v>37064</v>
      </c>
      <c r="G3435" s="2"/>
      <c r="H3435" s="3">
        <v>43053</v>
      </c>
      <c r="I3435" s="2" t="s">
        <v>19506</v>
      </c>
      <c r="J3435" s="2" t="s">
        <v>13904</v>
      </c>
      <c r="K3435" s="2" t="s">
        <v>19205</v>
      </c>
      <c r="L3435" s="82" t="s">
        <v>19512</v>
      </c>
    </row>
    <row r="3436" spans="1:15" ht="84" customHeight="1" x14ac:dyDescent="0.3">
      <c r="A3436" s="2">
        <v>3432</v>
      </c>
      <c r="B3436" s="66" t="s">
        <v>3944</v>
      </c>
      <c r="C3436" s="66" t="s">
        <v>3353</v>
      </c>
      <c r="D3436" s="11">
        <v>3094</v>
      </c>
      <c r="E3436" s="11">
        <v>3094</v>
      </c>
      <c r="F3436" s="3">
        <v>36964</v>
      </c>
      <c r="G3436" s="2"/>
      <c r="H3436" s="3">
        <v>43053</v>
      </c>
      <c r="I3436" s="2" t="s">
        <v>19506</v>
      </c>
      <c r="J3436" s="2" t="s">
        <v>13904</v>
      </c>
      <c r="K3436" s="2" t="s">
        <v>19205</v>
      </c>
      <c r="L3436" s="82" t="s">
        <v>19512</v>
      </c>
    </row>
    <row r="3437" spans="1:15" ht="84" customHeight="1" x14ac:dyDescent="0.3">
      <c r="A3437" s="2">
        <v>3433</v>
      </c>
      <c r="B3437" s="66" t="s">
        <v>3945</v>
      </c>
      <c r="C3437" s="66" t="s">
        <v>3602</v>
      </c>
      <c r="D3437" s="11">
        <v>13910</v>
      </c>
      <c r="E3437" s="11">
        <v>13910</v>
      </c>
      <c r="F3437" s="3">
        <v>38604</v>
      </c>
      <c r="G3437" s="2"/>
      <c r="H3437" s="3">
        <v>43053</v>
      </c>
      <c r="I3437" s="2" t="s">
        <v>19506</v>
      </c>
      <c r="J3437" s="2" t="s">
        <v>13904</v>
      </c>
      <c r="K3437" s="2" t="s">
        <v>19205</v>
      </c>
      <c r="L3437" s="82" t="s">
        <v>19512</v>
      </c>
    </row>
    <row r="3438" spans="1:15" ht="84" customHeight="1" x14ac:dyDescent="0.3">
      <c r="A3438" s="2">
        <v>3434</v>
      </c>
      <c r="B3438" s="66" t="s">
        <v>3946</v>
      </c>
      <c r="C3438" s="66" t="s">
        <v>3947</v>
      </c>
      <c r="D3438" s="11">
        <v>4000</v>
      </c>
      <c r="E3438" s="11">
        <v>4000</v>
      </c>
      <c r="F3438" s="3">
        <v>39441</v>
      </c>
      <c r="G3438" s="2"/>
      <c r="H3438" s="3">
        <v>43053</v>
      </c>
      <c r="I3438" s="2" t="s">
        <v>19506</v>
      </c>
      <c r="J3438" s="2" t="s">
        <v>13904</v>
      </c>
      <c r="K3438" s="2" t="s">
        <v>19205</v>
      </c>
      <c r="L3438" s="82" t="s">
        <v>19512</v>
      </c>
    </row>
    <row r="3439" spans="1:15" ht="84" customHeight="1" x14ac:dyDescent="0.3">
      <c r="A3439" s="2">
        <v>3435</v>
      </c>
      <c r="B3439" s="66" t="s">
        <v>227</v>
      </c>
      <c r="C3439" s="66" t="s">
        <v>3948</v>
      </c>
      <c r="D3439" s="11">
        <v>14484</v>
      </c>
      <c r="E3439" s="11">
        <v>14484</v>
      </c>
      <c r="F3439" s="3">
        <v>38756</v>
      </c>
      <c r="G3439" s="2"/>
      <c r="H3439" s="3">
        <v>43053</v>
      </c>
      <c r="I3439" s="2" t="s">
        <v>19506</v>
      </c>
      <c r="J3439" s="2" t="s">
        <v>13904</v>
      </c>
      <c r="K3439" s="2" t="s">
        <v>19205</v>
      </c>
      <c r="L3439" s="82" t="s">
        <v>19512</v>
      </c>
    </row>
    <row r="3440" spans="1:15" ht="84" customHeight="1" x14ac:dyDescent="0.3">
      <c r="A3440" s="2">
        <v>3436</v>
      </c>
      <c r="B3440" s="66" t="s">
        <v>3949</v>
      </c>
      <c r="C3440" s="66" t="s">
        <v>3300</v>
      </c>
      <c r="D3440" s="11">
        <v>4224.75</v>
      </c>
      <c r="E3440" s="11">
        <v>4224.75</v>
      </c>
      <c r="F3440" s="3">
        <v>32914</v>
      </c>
      <c r="G3440" s="2"/>
      <c r="H3440" s="3">
        <v>43053</v>
      </c>
      <c r="I3440" s="2" t="s">
        <v>19506</v>
      </c>
      <c r="J3440" s="2" t="s">
        <v>13904</v>
      </c>
      <c r="K3440" s="2" t="s">
        <v>19205</v>
      </c>
      <c r="L3440" s="82" t="s">
        <v>19512</v>
      </c>
    </row>
    <row r="3441" spans="1:12" ht="84" customHeight="1" x14ac:dyDescent="0.3">
      <c r="A3441" s="2">
        <v>3437</v>
      </c>
      <c r="B3441" s="66" t="s">
        <v>3950</v>
      </c>
      <c r="C3441" s="66" t="s">
        <v>3951</v>
      </c>
      <c r="D3441" s="11">
        <v>33507.269999999997</v>
      </c>
      <c r="E3441" s="11">
        <v>33507.269999999997</v>
      </c>
      <c r="F3441" s="3">
        <v>39065</v>
      </c>
      <c r="G3441" s="2"/>
      <c r="H3441" s="3">
        <v>43053</v>
      </c>
      <c r="I3441" s="2" t="s">
        <v>19506</v>
      </c>
      <c r="J3441" s="2" t="s">
        <v>13904</v>
      </c>
      <c r="K3441" s="2" t="s">
        <v>19205</v>
      </c>
      <c r="L3441" s="82" t="s">
        <v>19512</v>
      </c>
    </row>
    <row r="3442" spans="1:12" ht="84" customHeight="1" x14ac:dyDescent="0.3">
      <c r="A3442" s="2">
        <v>3438</v>
      </c>
      <c r="B3442" s="66" t="s">
        <v>3101</v>
      </c>
      <c r="C3442" s="66" t="s">
        <v>3131</v>
      </c>
      <c r="D3442" s="11">
        <v>9207.5</v>
      </c>
      <c r="E3442" s="11">
        <v>9207.5</v>
      </c>
      <c r="F3442" s="3">
        <v>36938</v>
      </c>
      <c r="G3442" s="2"/>
      <c r="H3442" s="3">
        <v>43053</v>
      </c>
      <c r="I3442" s="2" t="s">
        <v>19506</v>
      </c>
      <c r="J3442" s="2" t="s">
        <v>13904</v>
      </c>
      <c r="K3442" s="2" t="s">
        <v>19205</v>
      </c>
      <c r="L3442" s="82" t="s">
        <v>19512</v>
      </c>
    </row>
    <row r="3443" spans="1:12" ht="84" customHeight="1" x14ac:dyDescent="0.3">
      <c r="A3443" s="2">
        <v>3439</v>
      </c>
      <c r="B3443" s="66" t="s">
        <v>3952</v>
      </c>
      <c r="C3443" s="66" t="s">
        <v>3347</v>
      </c>
      <c r="D3443" s="11">
        <v>9207.5</v>
      </c>
      <c r="E3443" s="11">
        <v>9207.5</v>
      </c>
      <c r="F3443" s="3">
        <v>37064</v>
      </c>
      <c r="G3443" s="2"/>
      <c r="H3443" s="3">
        <v>43053</v>
      </c>
      <c r="I3443" s="2" t="s">
        <v>19506</v>
      </c>
      <c r="J3443" s="2" t="s">
        <v>13904</v>
      </c>
      <c r="K3443" s="2" t="s">
        <v>19205</v>
      </c>
      <c r="L3443" s="82" t="s">
        <v>19512</v>
      </c>
    </row>
    <row r="3444" spans="1:12" ht="84" customHeight="1" x14ac:dyDescent="0.3">
      <c r="A3444" s="2">
        <v>3440</v>
      </c>
      <c r="B3444" s="66" t="s">
        <v>217</v>
      </c>
      <c r="C3444" s="66" t="s">
        <v>3953</v>
      </c>
      <c r="D3444" s="11">
        <v>13560</v>
      </c>
      <c r="E3444" s="11">
        <v>13560</v>
      </c>
      <c r="F3444" s="3">
        <v>38538</v>
      </c>
      <c r="G3444" s="2"/>
      <c r="H3444" s="3">
        <v>43053</v>
      </c>
      <c r="I3444" s="2" t="s">
        <v>19506</v>
      </c>
      <c r="J3444" s="2" t="s">
        <v>13904</v>
      </c>
      <c r="K3444" s="2" t="s">
        <v>19205</v>
      </c>
      <c r="L3444" s="82" t="s">
        <v>19512</v>
      </c>
    </row>
    <row r="3445" spans="1:12" ht="84" customHeight="1" x14ac:dyDescent="0.3">
      <c r="A3445" s="2">
        <v>3441</v>
      </c>
      <c r="B3445" s="66" t="s">
        <v>3954</v>
      </c>
      <c r="C3445" s="66" t="s">
        <v>3955</v>
      </c>
      <c r="D3445" s="11">
        <v>3999</v>
      </c>
      <c r="E3445" s="11">
        <v>3999</v>
      </c>
      <c r="F3445" s="3">
        <v>40329</v>
      </c>
      <c r="G3445" s="2"/>
      <c r="H3445" s="3">
        <v>43053</v>
      </c>
      <c r="I3445" s="2" t="s">
        <v>19506</v>
      </c>
      <c r="J3445" s="2" t="s">
        <v>13904</v>
      </c>
      <c r="K3445" s="2" t="s">
        <v>19205</v>
      </c>
      <c r="L3445" s="82" t="s">
        <v>19512</v>
      </c>
    </row>
    <row r="3446" spans="1:12" ht="84" customHeight="1" x14ac:dyDescent="0.3">
      <c r="A3446" s="2">
        <v>3442</v>
      </c>
      <c r="B3446" s="66" t="s">
        <v>971</v>
      </c>
      <c r="C3446" s="66" t="s">
        <v>3956</v>
      </c>
      <c r="D3446" s="11">
        <v>4000</v>
      </c>
      <c r="E3446" s="11">
        <v>4000</v>
      </c>
      <c r="F3446" s="3">
        <v>40157</v>
      </c>
      <c r="G3446" s="2"/>
      <c r="H3446" s="3">
        <v>43053</v>
      </c>
      <c r="I3446" s="2" t="s">
        <v>19506</v>
      </c>
      <c r="J3446" s="2" t="s">
        <v>13904</v>
      </c>
      <c r="K3446" s="2" t="s">
        <v>19205</v>
      </c>
      <c r="L3446" s="82" t="s">
        <v>19512</v>
      </c>
    </row>
    <row r="3447" spans="1:12" ht="84" customHeight="1" x14ac:dyDescent="0.3">
      <c r="A3447" s="2">
        <v>3443</v>
      </c>
      <c r="B3447" s="66" t="s">
        <v>3957</v>
      </c>
      <c r="C3447" s="66" t="s">
        <v>3681</v>
      </c>
      <c r="D3447" s="11">
        <v>9282</v>
      </c>
      <c r="E3447" s="11">
        <v>9282</v>
      </c>
      <c r="F3447" s="3">
        <v>36546</v>
      </c>
      <c r="G3447" s="2"/>
      <c r="H3447" s="3">
        <v>43053</v>
      </c>
      <c r="I3447" s="2" t="s">
        <v>19506</v>
      </c>
      <c r="J3447" s="2" t="s">
        <v>13904</v>
      </c>
      <c r="K3447" s="2" t="s">
        <v>19205</v>
      </c>
      <c r="L3447" s="82" t="s">
        <v>19512</v>
      </c>
    </row>
    <row r="3448" spans="1:12" ht="84" customHeight="1" x14ac:dyDescent="0.3">
      <c r="A3448" s="2">
        <v>3444</v>
      </c>
      <c r="B3448" s="66" t="s">
        <v>3616</v>
      </c>
      <c r="C3448" s="66" t="s">
        <v>3456</v>
      </c>
      <c r="D3448" s="11">
        <v>8333</v>
      </c>
      <c r="E3448" s="11">
        <v>8333</v>
      </c>
      <c r="F3448" s="3">
        <v>39445</v>
      </c>
      <c r="G3448" s="2"/>
      <c r="H3448" s="3">
        <v>43053</v>
      </c>
      <c r="I3448" s="2" t="s">
        <v>19506</v>
      </c>
      <c r="J3448" s="2" t="s">
        <v>13904</v>
      </c>
      <c r="K3448" s="2" t="s">
        <v>19205</v>
      </c>
      <c r="L3448" s="82" t="s">
        <v>19512</v>
      </c>
    </row>
    <row r="3449" spans="1:12" ht="84" customHeight="1" x14ac:dyDescent="0.3">
      <c r="A3449" s="2">
        <v>3445</v>
      </c>
      <c r="B3449" s="66" t="s">
        <v>3958</v>
      </c>
      <c r="C3449" s="66" t="s">
        <v>3774</v>
      </c>
      <c r="D3449" s="11">
        <v>12840</v>
      </c>
      <c r="E3449" s="11">
        <v>12840</v>
      </c>
      <c r="F3449" s="3">
        <v>38658</v>
      </c>
      <c r="G3449" s="2"/>
      <c r="H3449" s="3">
        <v>43053</v>
      </c>
      <c r="I3449" s="2" t="s">
        <v>19506</v>
      </c>
      <c r="J3449" s="2" t="s">
        <v>13904</v>
      </c>
      <c r="K3449" s="2" t="s">
        <v>19205</v>
      </c>
      <c r="L3449" s="82" t="s">
        <v>19512</v>
      </c>
    </row>
    <row r="3450" spans="1:12" ht="84" customHeight="1" x14ac:dyDescent="0.3">
      <c r="A3450" s="2">
        <v>3446</v>
      </c>
      <c r="B3450" s="66" t="s">
        <v>3959</v>
      </c>
      <c r="C3450" s="66" t="s">
        <v>3612</v>
      </c>
      <c r="D3450" s="11">
        <v>6661.15</v>
      </c>
      <c r="E3450" s="11">
        <v>6661.15</v>
      </c>
      <c r="F3450" s="3">
        <v>33808</v>
      </c>
      <c r="G3450" s="2"/>
      <c r="H3450" s="3">
        <v>43053</v>
      </c>
      <c r="I3450" s="2" t="s">
        <v>19506</v>
      </c>
      <c r="J3450" s="2" t="s">
        <v>13904</v>
      </c>
      <c r="K3450" s="2" t="s">
        <v>19205</v>
      </c>
      <c r="L3450" s="82" t="s">
        <v>19512</v>
      </c>
    </row>
    <row r="3451" spans="1:12" ht="84" customHeight="1" x14ac:dyDescent="0.3">
      <c r="A3451" s="2">
        <v>3447</v>
      </c>
      <c r="B3451" s="66" t="s">
        <v>1342</v>
      </c>
      <c r="C3451" s="66" t="s">
        <v>3960</v>
      </c>
      <c r="D3451" s="11">
        <v>12148.05</v>
      </c>
      <c r="E3451" s="11">
        <v>12148.05</v>
      </c>
      <c r="F3451" s="3">
        <v>39065</v>
      </c>
      <c r="G3451" s="2"/>
      <c r="H3451" s="3">
        <v>43053</v>
      </c>
      <c r="I3451" s="2" t="s">
        <v>19506</v>
      </c>
      <c r="J3451" s="2" t="s">
        <v>13904</v>
      </c>
      <c r="K3451" s="2" t="s">
        <v>19205</v>
      </c>
      <c r="L3451" s="82" t="s">
        <v>19512</v>
      </c>
    </row>
    <row r="3452" spans="1:12" ht="84" customHeight="1" x14ac:dyDescent="0.3">
      <c r="A3452" s="2">
        <v>3448</v>
      </c>
      <c r="B3452" s="66" t="s">
        <v>3961</v>
      </c>
      <c r="C3452" s="66" t="s">
        <v>3889</v>
      </c>
      <c r="D3452" s="11">
        <v>11430</v>
      </c>
      <c r="E3452" s="11">
        <v>11430</v>
      </c>
      <c r="F3452" s="3">
        <v>36963</v>
      </c>
      <c r="G3452" s="2"/>
      <c r="H3452" s="3">
        <v>43053</v>
      </c>
      <c r="I3452" s="2" t="s">
        <v>19506</v>
      </c>
      <c r="J3452" s="2" t="s">
        <v>13904</v>
      </c>
      <c r="K3452" s="2" t="s">
        <v>19205</v>
      </c>
      <c r="L3452" s="82" t="s">
        <v>19512</v>
      </c>
    </row>
    <row r="3453" spans="1:12" ht="84" customHeight="1" x14ac:dyDescent="0.3">
      <c r="A3453" s="2">
        <v>3449</v>
      </c>
      <c r="B3453" s="66" t="s">
        <v>3962</v>
      </c>
      <c r="C3453" s="66" t="s">
        <v>3963</v>
      </c>
      <c r="D3453" s="11">
        <v>8469.92</v>
      </c>
      <c r="E3453" s="11">
        <v>8469.92</v>
      </c>
      <c r="F3453" s="3">
        <v>39399</v>
      </c>
      <c r="G3453" s="2"/>
      <c r="H3453" s="3">
        <v>43053</v>
      </c>
      <c r="I3453" s="2" t="s">
        <v>19506</v>
      </c>
      <c r="J3453" s="2" t="s">
        <v>13904</v>
      </c>
      <c r="K3453" s="2" t="s">
        <v>19205</v>
      </c>
      <c r="L3453" s="82" t="s">
        <v>19512</v>
      </c>
    </row>
    <row r="3454" spans="1:12" ht="84" customHeight="1" x14ac:dyDescent="0.3">
      <c r="A3454" s="2">
        <v>3450</v>
      </c>
      <c r="B3454" s="66" t="s">
        <v>3964</v>
      </c>
      <c r="C3454" s="66" t="s">
        <v>3840</v>
      </c>
      <c r="D3454" s="11">
        <v>29900</v>
      </c>
      <c r="E3454" s="11">
        <v>29900</v>
      </c>
      <c r="F3454" s="3">
        <v>41978</v>
      </c>
      <c r="G3454" s="2"/>
      <c r="H3454" s="3">
        <v>43053</v>
      </c>
      <c r="I3454" s="2" t="s">
        <v>19506</v>
      </c>
      <c r="J3454" s="2" t="s">
        <v>13904</v>
      </c>
      <c r="K3454" s="2" t="s">
        <v>19205</v>
      </c>
      <c r="L3454" s="82" t="s">
        <v>19512</v>
      </c>
    </row>
    <row r="3455" spans="1:12" ht="84" customHeight="1" x14ac:dyDescent="0.3">
      <c r="A3455" s="2">
        <v>3451</v>
      </c>
      <c r="B3455" s="66" t="s">
        <v>3965</v>
      </c>
      <c r="C3455" s="66" t="s">
        <v>3469</v>
      </c>
      <c r="D3455" s="11">
        <v>6050</v>
      </c>
      <c r="E3455" s="11">
        <v>6050</v>
      </c>
      <c r="F3455" s="3">
        <v>41978</v>
      </c>
      <c r="G3455" s="2"/>
      <c r="H3455" s="3">
        <v>43053</v>
      </c>
      <c r="I3455" s="2" t="s">
        <v>19506</v>
      </c>
      <c r="J3455" s="2" t="s">
        <v>13904</v>
      </c>
      <c r="K3455" s="2" t="s">
        <v>19205</v>
      </c>
      <c r="L3455" s="82" t="s">
        <v>19512</v>
      </c>
    </row>
    <row r="3456" spans="1:12" ht="84" customHeight="1" x14ac:dyDescent="0.3">
      <c r="A3456" s="2">
        <v>3452</v>
      </c>
      <c r="B3456" s="66" t="s">
        <v>3170</v>
      </c>
      <c r="C3456" s="66" t="s">
        <v>3966</v>
      </c>
      <c r="D3456" s="11">
        <v>9430.56</v>
      </c>
      <c r="E3456" s="11">
        <v>9430.56</v>
      </c>
      <c r="F3456" s="3">
        <v>41115</v>
      </c>
      <c r="G3456" s="2"/>
      <c r="H3456" s="3">
        <v>43053</v>
      </c>
      <c r="I3456" s="2" t="s">
        <v>19506</v>
      </c>
      <c r="J3456" s="2" t="s">
        <v>13904</v>
      </c>
      <c r="K3456" s="2" t="s">
        <v>19205</v>
      </c>
      <c r="L3456" s="82" t="s">
        <v>19512</v>
      </c>
    </row>
    <row r="3457" spans="1:12" ht="84" customHeight="1" x14ac:dyDescent="0.3">
      <c r="A3457" s="2">
        <v>3453</v>
      </c>
      <c r="B3457" s="66" t="s">
        <v>3967</v>
      </c>
      <c r="C3457" s="66" t="s">
        <v>3968</v>
      </c>
      <c r="D3457" s="11">
        <v>6980</v>
      </c>
      <c r="E3457" s="11">
        <v>6980</v>
      </c>
      <c r="F3457" s="3">
        <v>41145</v>
      </c>
      <c r="G3457" s="2"/>
      <c r="H3457" s="3">
        <v>43053</v>
      </c>
      <c r="I3457" s="2" t="s">
        <v>19506</v>
      </c>
      <c r="J3457" s="2" t="s">
        <v>13904</v>
      </c>
      <c r="K3457" s="2" t="s">
        <v>19205</v>
      </c>
      <c r="L3457" s="82" t="s">
        <v>19512</v>
      </c>
    </row>
    <row r="3458" spans="1:12" ht="84" customHeight="1" x14ac:dyDescent="0.3">
      <c r="A3458" s="2">
        <v>3454</v>
      </c>
      <c r="B3458" s="66" t="s">
        <v>3969</v>
      </c>
      <c r="C3458" s="66" t="s">
        <v>3970</v>
      </c>
      <c r="D3458" s="11">
        <v>7000</v>
      </c>
      <c r="E3458" s="11">
        <v>7000</v>
      </c>
      <c r="F3458" s="3">
        <v>41127</v>
      </c>
      <c r="G3458" s="2"/>
      <c r="H3458" s="3">
        <v>43053</v>
      </c>
      <c r="I3458" s="2" t="s">
        <v>19506</v>
      </c>
      <c r="J3458" s="2" t="s">
        <v>13904</v>
      </c>
      <c r="K3458" s="2" t="s">
        <v>19205</v>
      </c>
      <c r="L3458" s="82" t="s">
        <v>19512</v>
      </c>
    </row>
    <row r="3459" spans="1:12" ht="84" customHeight="1" x14ac:dyDescent="0.3">
      <c r="A3459" s="2">
        <v>3455</v>
      </c>
      <c r="B3459" s="66" t="s">
        <v>3971</v>
      </c>
      <c r="C3459" s="66" t="s">
        <v>3972</v>
      </c>
      <c r="D3459" s="11">
        <v>5649.88</v>
      </c>
      <c r="E3459" s="11">
        <v>5649.88</v>
      </c>
      <c r="F3459" s="3">
        <v>41746</v>
      </c>
      <c r="G3459" s="2"/>
      <c r="H3459" s="3">
        <v>43053</v>
      </c>
      <c r="I3459" s="2" t="s">
        <v>19506</v>
      </c>
      <c r="J3459" s="2" t="s">
        <v>13904</v>
      </c>
      <c r="K3459" s="2" t="s">
        <v>19205</v>
      </c>
      <c r="L3459" s="82" t="s">
        <v>19512</v>
      </c>
    </row>
    <row r="3460" spans="1:12" ht="84" customHeight="1" x14ac:dyDescent="0.3">
      <c r="A3460" s="2">
        <v>3456</v>
      </c>
      <c r="B3460" s="66" t="s">
        <v>3971</v>
      </c>
      <c r="C3460" s="66" t="s">
        <v>3232</v>
      </c>
      <c r="D3460" s="11">
        <v>5649.88</v>
      </c>
      <c r="E3460" s="11">
        <v>5649.88</v>
      </c>
      <c r="F3460" s="3">
        <v>41746</v>
      </c>
      <c r="G3460" s="2"/>
      <c r="H3460" s="3">
        <v>43053</v>
      </c>
      <c r="I3460" s="2" t="s">
        <v>19506</v>
      </c>
      <c r="J3460" s="2" t="s">
        <v>13904</v>
      </c>
      <c r="K3460" s="2" t="s">
        <v>19205</v>
      </c>
      <c r="L3460" s="82" t="s">
        <v>19512</v>
      </c>
    </row>
    <row r="3461" spans="1:12" ht="84" customHeight="1" x14ac:dyDescent="0.3">
      <c r="A3461" s="2">
        <v>3457</v>
      </c>
      <c r="B3461" s="66" t="s">
        <v>3973</v>
      </c>
      <c r="C3461" s="66" t="s">
        <v>3233</v>
      </c>
      <c r="D3461" s="11">
        <v>8700.24</v>
      </c>
      <c r="E3461" s="11">
        <v>8700.24</v>
      </c>
      <c r="F3461" s="3">
        <v>41746</v>
      </c>
      <c r="G3461" s="2"/>
      <c r="H3461" s="3">
        <v>43053</v>
      </c>
      <c r="I3461" s="2" t="s">
        <v>19506</v>
      </c>
      <c r="J3461" s="2" t="s">
        <v>13904</v>
      </c>
      <c r="K3461" s="2" t="s">
        <v>19205</v>
      </c>
      <c r="L3461" s="82" t="s">
        <v>19512</v>
      </c>
    </row>
    <row r="3462" spans="1:12" ht="84" customHeight="1" x14ac:dyDescent="0.3">
      <c r="A3462" s="2">
        <v>3458</v>
      </c>
      <c r="B3462" s="66" t="s">
        <v>3974</v>
      </c>
      <c r="C3462" s="66" t="s">
        <v>3223</v>
      </c>
      <c r="D3462" s="11">
        <v>3175</v>
      </c>
      <c r="E3462" s="11">
        <v>3175</v>
      </c>
      <c r="F3462" s="3">
        <v>36986</v>
      </c>
      <c r="G3462" s="2"/>
      <c r="H3462" s="3">
        <v>43053</v>
      </c>
      <c r="I3462" s="2" t="s">
        <v>19506</v>
      </c>
      <c r="J3462" s="2" t="s">
        <v>13904</v>
      </c>
      <c r="K3462" s="2" t="s">
        <v>19205</v>
      </c>
      <c r="L3462" s="82" t="s">
        <v>19512</v>
      </c>
    </row>
    <row r="3463" spans="1:12" ht="84" customHeight="1" x14ac:dyDescent="0.3">
      <c r="A3463" s="2">
        <v>3459</v>
      </c>
      <c r="B3463" s="66" t="s">
        <v>3634</v>
      </c>
      <c r="C3463" s="66" t="s">
        <v>3565</v>
      </c>
      <c r="D3463" s="11">
        <v>3175</v>
      </c>
      <c r="E3463" s="11">
        <v>3175</v>
      </c>
      <c r="F3463" s="3">
        <v>36899</v>
      </c>
      <c r="G3463" s="2"/>
      <c r="H3463" s="3">
        <v>43053</v>
      </c>
      <c r="I3463" s="2" t="s">
        <v>19506</v>
      </c>
      <c r="J3463" s="2" t="s">
        <v>13904</v>
      </c>
      <c r="K3463" s="2" t="s">
        <v>19205</v>
      </c>
      <c r="L3463" s="82" t="s">
        <v>19512</v>
      </c>
    </row>
    <row r="3464" spans="1:12" ht="84" customHeight="1" x14ac:dyDescent="0.3">
      <c r="A3464" s="2">
        <v>3460</v>
      </c>
      <c r="B3464" s="66" t="s">
        <v>3975</v>
      </c>
      <c r="C3464" s="66" t="s">
        <v>3976</v>
      </c>
      <c r="D3464" s="11">
        <v>3175</v>
      </c>
      <c r="E3464" s="11">
        <v>3175</v>
      </c>
      <c r="F3464" s="3">
        <v>36899</v>
      </c>
      <c r="G3464" s="2"/>
      <c r="H3464" s="3">
        <v>43053</v>
      </c>
      <c r="I3464" s="2" t="s">
        <v>19506</v>
      </c>
      <c r="J3464" s="2" t="s">
        <v>13904</v>
      </c>
      <c r="K3464" s="2" t="s">
        <v>19205</v>
      </c>
      <c r="L3464" s="82" t="s">
        <v>19512</v>
      </c>
    </row>
    <row r="3465" spans="1:12" ht="84" customHeight="1" x14ac:dyDescent="0.3">
      <c r="A3465" s="2">
        <v>3461</v>
      </c>
      <c r="B3465" s="66" t="s">
        <v>3977</v>
      </c>
      <c r="C3465" s="66" t="s">
        <v>3572</v>
      </c>
      <c r="D3465" s="11">
        <v>7620</v>
      </c>
      <c r="E3465" s="11">
        <v>7620</v>
      </c>
      <c r="F3465" s="3"/>
      <c r="G3465" s="2"/>
      <c r="H3465" s="3">
        <v>43053</v>
      </c>
      <c r="I3465" s="2" t="s">
        <v>19506</v>
      </c>
      <c r="J3465" s="2" t="s">
        <v>13904</v>
      </c>
      <c r="K3465" s="2" t="s">
        <v>19205</v>
      </c>
      <c r="L3465" s="82" t="s">
        <v>19512</v>
      </c>
    </row>
    <row r="3466" spans="1:12" ht="84" customHeight="1" x14ac:dyDescent="0.3">
      <c r="A3466" s="2">
        <v>3462</v>
      </c>
      <c r="B3466" s="66" t="s">
        <v>3978</v>
      </c>
      <c r="C3466" s="66" t="s">
        <v>3314</v>
      </c>
      <c r="D3466" s="11">
        <v>10000</v>
      </c>
      <c r="E3466" s="11">
        <v>10000</v>
      </c>
      <c r="F3466" s="3">
        <v>37055</v>
      </c>
      <c r="G3466" s="2"/>
      <c r="H3466" s="3">
        <v>43053</v>
      </c>
      <c r="I3466" s="2" t="s">
        <v>19506</v>
      </c>
      <c r="J3466" s="2" t="s">
        <v>13904</v>
      </c>
      <c r="K3466" s="2" t="s">
        <v>19205</v>
      </c>
      <c r="L3466" s="82" t="s">
        <v>19512</v>
      </c>
    </row>
    <row r="3467" spans="1:12" ht="84" customHeight="1" x14ac:dyDescent="0.3">
      <c r="A3467" s="2">
        <v>3463</v>
      </c>
      <c r="B3467" s="66" t="s">
        <v>1399</v>
      </c>
      <c r="C3467" s="66" t="s">
        <v>3312</v>
      </c>
      <c r="D3467" s="11">
        <v>3810</v>
      </c>
      <c r="E3467" s="11">
        <v>3810</v>
      </c>
      <c r="F3467" s="3">
        <v>39423</v>
      </c>
      <c r="G3467" s="2"/>
      <c r="H3467" s="3">
        <v>43053</v>
      </c>
      <c r="I3467" s="2" t="s">
        <v>19506</v>
      </c>
      <c r="J3467" s="2" t="s">
        <v>13904</v>
      </c>
      <c r="K3467" s="2" t="s">
        <v>19205</v>
      </c>
      <c r="L3467" s="82" t="s">
        <v>19512</v>
      </c>
    </row>
    <row r="3468" spans="1:12" ht="84" customHeight="1" x14ac:dyDescent="0.3">
      <c r="A3468" s="2">
        <v>3464</v>
      </c>
      <c r="B3468" s="66" t="s">
        <v>3639</v>
      </c>
      <c r="C3468" s="66" t="s">
        <v>3979</v>
      </c>
      <c r="D3468" s="11">
        <v>3909.17</v>
      </c>
      <c r="E3468" s="11">
        <v>3909.17</v>
      </c>
      <c r="F3468" s="3">
        <v>37162</v>
      </c>
      <c r="G3468" s="2"/>
      <c r="H3468" s="3">
        <v>43053</v>
      </c>
      <c r="I3468" s="2" t="s">
        <v>19506</v>
      </c>
      <c r="J3468" s="2" t="s">
        <v>13904</v>
      </c>
      <c r="K3468" s="2" t="s">
        <v>19205</v>
      </c>
      <c r="L3468" s="82" t="s">
        <v>19512</v>
      </c>
    </row>
    <row r="3469" spans="1:12" ht="84" customHeight="1" x14ac:dyDescent="0.3">
      <c r="A3469" s="2">
        <v>3465</v>
      </c>
      <c r="B3469" s="66" t="s">
        <v>3980</v>
      </c>
      <c r="C3469" s="66" t="s">
        <v>3217</v>
      </c>
      <c r="D3469" s="11">
        <v>5000</v>
      </c>
      <c r="E3469" s="11">
        <v>5000</v>
      </c>
      <c r="F3469" s="3">
        <v>39066</v>
      </c>
      <c r="G3469" s="2"/>
      <c r="H3469" s="3">
        <v>43053</v>
      </c>
      <c r="I3469" s="2" t="s">
        <v>19506</v>
      </c>
      <c r="J3469" s="2" t="s">
        <v>13904</v>
      </c>
      <c r="K3469" s="2" t="s">
        <v>19205</v>
      </c>
      <c r="L3469" s="82" t="s">
        <v>19512</v>
      </c>
    </row>
    <row r="3470" spans="1:12" ht="84" customHeight="1" x14ac:dyDescent="0.3">
      <c r="A3470" s="2">
        <v>3466</v>
      </c>
      <c r="B3470" s="66" t="s">
        <v>3981</v>
      </c>
      <c r="C3470" s="66" t="s">
        <v>3362</v>
      </c>
      <c r="D3470" s="11">
        <v>3810</v>
      </c>
      <c r="E3470" s="11">
        <v>3810</v>
      </c>
      <c r="F3470" s="3">
        <v>39396</v>
      </c>
      <c r="G3470" s="2"/>
      <c r="H3470" s="3">
        <v>43053</v>
      </c>
      <c r="I3470" s="2" t="s">
        <v>19506</v>
      </c>
      <c r="J3470" s="2" t="s">
        <v>13904</v>
      </c>
      <c r="K3470" s="2" t="s">
        <v>19205</v>
      </c>
      <c r="L3470" s="82" t="s">
        <v>19512</v>
      </c>
    </row>
    <row r="3471" spans="1:12" ht="84" customHeight="1" x14ac:dyDescent="0.3">
      <c r="A3471" s="2">
        <v>3467</v>
      </c>
      <c r="B3471" s="66" t="s">
        <v>3982</v>
      </c>
      <c r="C3471" s="66" t="s">
        <v>3983</v>
      </c>
      <c r="D3471" s="11">
        <v>5580</v>
      </c>
      <c r="E3471" s="11">
        <v>5580</v>
      </c>
      <c r="F3471" s="3">
        <v>37092</v>
      </c>
      <c r="G3471" s="2"/>
      <c r="H3471" s="3">
        <v>43053</v>
      </c>
      <c r="I3471" s="2" t="s">
        <v>19506</v>
      </c>
      <c r="J3471" s="2" t="s">
        <v>13904</v>
      </c>
      <c r="K3471" s="2" t="s">
        <v>19205</v>
      </c>
      <c r="L3471" s="82" t="s">
        <v>19512</v>
      </c>
    </row>
    <row r="3472" spans="1:12" ht="84" customHeight="1" x14ac:dyDescent="0.3">
      <c r="A3472" s="2">
        <v>3468</v>
      </c>
      <c r="B3472" s="66" t="s">
        <v>3984</v>
      </c>
      <c r="C3472" s="66" t="s">
        <v>3146</v>
      </c>
      <c r="D3472" s="11">
        <v>7990</v>
      </c>
      <c r="E3472" s="11">
        <v>7990</v>
      </c>
      <c r="F3472" s="3">
        <v>41836</v>
      </c>
      <c r="G3472" s="2"/>
      <c r="H3472" s="3">
        <v>43053</v>
      </c>
      <c r="I3472" s="2" t="s">
        <v>19506</v>
      </c>
      <c r="J3472" s="2" t="s">
        <v>13904</v>
      </c>
      <c r="K3472" s="2" t="s">
        <v>19205</v>
      </c>
      <c r="L3472" s="82" t="s">
        <v>19512</v>
      </c>
    </row>
    <row r="3473" spans="1:12" ht="84" customHeight="1" x14ac:dyDescent="0.3">
      <c r="A3473" s="2">
        <v>3469</v>
      </c>
      <c r="B3473" s="66" t="s">
        <v>3985</v>
      </c>
      <c r="C3473" s="66" t="s">
        <v>3145</v>
      </c>
      <c r="D3473" s="11">
        <v>12100</v>
      </c>
      <c r="E3473" s="11">
        <v>12100</v>
      </c>
      <c r="F3473" s="3">
        <v>41836</v>
      </c>
      <c r="G3473" s="2"/>
      <c r="H3473" s="3">
        <v>43053</v>
      </c>
      <c r="I3473" s="2" t="s">
        <v>19506</v>
      </c>
      <c r="J3473" s="2" t="s">
        <v>13904</v>
      </c>
      <c r="K3473" s="2" t="s">
        <v>19205</v>
      </c>
      <c r="L3473" s="82" t="s">
        <v>19512</v>
      </c>
    </row>
    <row r="3474" spans="1:12" ht="84" customHeight="1" x14ac:dyDescent="0.3">
      <c r="A3474" s="2">
        <v>3470</v>
      </c>
      <c r="B3474" s="66" t="s">
        <v>3986</v>
      </c>
      <c r="C3474" s="66" t="s">
        <v>3147</v>
      </c>
      <c r="D3474" s="11">
        <v>3700</v>
      </c>
      <c r="E3474" s="11">
        <v>3700</v>
      </c>
      <c r="F3474" s="3">
        <v>41836</v>
      </c>
      <c r="G3474" s="2"/>
      <c r="H3474" s="3">
        <v>43053</v>
      </c>
      <c r="I3474" s="2" t="s">
        <v>19506</v>
      </c>
      <c r="J3474" s="2" t="s">
        <v>13904</v>
      </c>
      <c r="K3474" s="2" t="s">
        <v>19205</v>
      </c>
      <c r="L3474" s="82" t="s">
        <v>19512</v>
      </c>
    </row>
    <row r="3475" spans="1:12" ht="84" customHeight="1" x14ac:dyDescent="0.3">
      <c r="A3475" s="2">
        <v>3471</v>
      </c>
      <c r="B3475" s="66" t="s">
        <v>3987</v>
      </c>
      <c r="C3475" s="66" t="s">
        <v>3149</v>
      </c>
      <c r="D3475" s="11">
        <v>3050</v>
      </c>
      <c r="E3475" s="11">
        <v>3050</v>
      </c>
      <c r="F3475" s="3">
        <v>42034</v>
      </c>
      <c r="G3475" s="2"/>
      <c r="H3475" s="3">
        <v>43053</v>
      </c>
      <c r="I3475" s="2" t="s">
        <v>19506</v>
      </c>
      <c r="J3475" s="2" t="s">
        <v>13904</v>
      </c>
      <c r="K3475" s="2" t="s">
        <v>19205</v>
      </c>
      <c r="L3475" s="82" t="s">
        <v>19512</v>
      </c>
    </row>
    <row r="3476" spans="1:12" ht="84" customHeight="1" x14ac:dyDescent="0.3">
      <c r="A3476" s="2">
        <v>3472</v>
      </c>
      <c r="B3476" s="66" t="s">
        <v>3988</v>
      </c>
      <c r="C3476" s="66" t="s">
        <v>3241</v>
      </c>
      <c r="D3476" s="11">
        <v>3050</v>
      </c>
      <c r="E3476" s="11">
        <v>3050</v>
      </c>
      <c r="F3476" s="3">
        <v>42034</v>
      </c>
      <c r="G3476" s="2"/>
      <c r="H3476" s="3">
        <v>43053</v>
      </c>
      <c r="I3476" s="2" t="s">
        <v>19506</v>
      </c>
      <c r="J3476" s="2" t="s">
        <v>13904</v>
      </c>
      <c r="K3476" s="2" t="s">
        <v>19205</v>
      </c>
      <c r="L3476" s="82" t="s">
        <v>19512</v>
      </c>
    </row>
    <row r="3477" spans="1:12" ht="84" customHeight="1" x14ac:dyDescent="0.3">
      <c r="A3477" s="2">
        <v>3473</v>
      </c>
      <c r="B3477" s="66" t="s">
        <v>3273</v>
      </c>
      <c r="C3477" s="66" t="s">
        <v>3343</v>
      </c>
      <c r="D3477" s="11">
        <v>6000</v>
      </c>
      <c r="E3477" s="11">
        <v>6000</v>
      </c>
      <c r="F3477" s="3">
        <v>41201</v>
      </c>
      <c r="G3477" s="2"/>
      <c r="H3477" s="3">
        <v>43053</v>
      </c>
      <c r="I3477" s="2" t="s">
        <v>19506</v>
      </c>
      <c r="J3477" s="2" t="s">
        <v>13904</v>
      </c>
      <c r="K3477" s="2" t="s">
        <v>19205</v>
      </c>
      <c r="L3477" s="82" t="s">
        <v>19512</v>
      </c>
    </row>
    <row r="3478" spans="1:12" ht="84" customHeight="1" x14ac:dyDescent="0.3">
      <c r="A3478" s="2">
        <v>3474</v>
      </c>
      <c r="B3478" s="66" t="s">
        <v>3190</v>
      </c>
      <c r="C3478" s="66" t="s">
        <v>3989</v>
      </c>
      <c r="D3478" s="11">
        <v>4319.9799999999996</v>
      </c>
      <c r="E3478" s="11">
        <v>4319.9799999999996</v>
      </c>
      <c r="F3478" s="3">
        <v>41115</v>
      </c>
      <c r="G3478" s="2"/>
      <c r="H3478" s="3">
        <v>43053</v>
      </c>
      <c r="I3478" s="2" t="s">
        <v>19506</v>
      </c>
      <c r="J3478" s="2" t="s">
        <v>13904</v>
      </c>
      <c r="K3478" s="2" t="s">
        <v>19205</v>
      </c>
      <c r="L3478" s="82" t="s">
        <v>19512</v>
      </c>
    </row>
    <row r="3479" spans="1:12" ht="84" customHeight="1" x14ac:dyDescent="0.3">
      <c r="A3479" s="2">
        <v>3475</v>
      </c>
      <c r="B3479" s="66" t="s">
        <v>3291</v>
      </c>
      <c r="C3479" s="66" t="s">
        <v>3990</v>
      </c>
      <c r="D3479" s="11">
        <v>13938.16</v>
      </c>
      <c r="E3479" s="11">
        <v>13938.16</v>
      </c>
      <c r="F3479" s="3">
        <v>41145</v>
      </c>
      <c r="G3479" s="2"/>
      <c r="H3479" s="3">
        <v>43053</v>
      </c>
      <c r="I3479" s="2" t="s">
        <v>19506</v>
      </c>
      <c r="J3479" s="2" t="s">
        <v>13904</v>
      </c>
      <c r="K3479" s="2" t="s">
        <v>19205</v>
      </c>
      <c r="L3479" s="82" t="s">
        <v>19512</v>
      </c>
    </row>
    <row r="3480" spans="1:12" ht="84" customHeight="1" x14ac:dyDescent="0.3">
      <c r="A3480" s="2">
        <v>3476</v>
      </c>
      <c r="B3480" s="66" t="s">
        <v>3991</v>
      </c>
      <c r="C3480" s="66" t="s">
        <v>3992</v>
      </c>
      <c r="D3480" s="11">
        <v>6800</v>
      </c>
      <c r="E3480" s="11">
        <v>6800</v>
      </c>
      <c r="F3480" s="3">
        <v>41145</v>
      </c>
      <c r="G3480" s="2"/>
      <c r="H3480" s="3">
        <v>43053</v>
      </c>
      <c r="I3480" s="2" t="s">
        <v>19506</v>
      </c>
      <c r="J3480" s="2" t="s">
        <v>13904</v>
      </c>
      <c r="K3480" s="2" t="s">
        <v>19205</v>
      </c>
      <c r="L3480" s="82" t="s">
        <v>19512</v>
      </c>
    </row>
    <row r="3481" spans="1:12" ht="84" customHeight="1" x14ac:dyDescent="0.3">
      <c r="A3481" s="2">
        <v>3477</v>
      </c>
      <c r="B3481" s="66" t="s">
        <v>3991</v>
      </c>
      <c r="C3481" s="66" t="s">
        <v>3993</v>
      </c>
      <c r="D3481" s="11">
        <v>6800</v>
      </c>
      <c r="E3481" s="11">
        <v>6800</v>
      </c>
      <c r="F3481" s="3">
        <v>41145</v>
      </c>
      <c r="G3481" s="2"/>
      <c r="H3481" s="3">
        <v>43053</v>
      </c>
      <c r="I3481" s="2" t="s">
        <v>19506</v>
      </c>
      <c r="J3481" s="2" t="s">
        <v>13904</v>
      </c>
      <c r="K3481" s="2" t="s">
        <v>19205</v>
      </c>
      <c r="L3481" s="82" t="s">
        <v>19512</v>
      </c>
    </row>
    <row r="3482" spans="1:12" ht="84" customHeight="1" x14ac:dyDescent="0.3">
      <c r="A3482" s="2">
        <v>3478</v>
      </c>
      <c r="B3482" s="66" t="s">
        <v>3994</v>
      </c>
      <c r="C3482" s="66" t="s">
        <v>3995</v>
      </c>
      <c r="D3482" s="11">
        <v>4199.97</v>
      </c>
      <c r="E3482" s="11">
        <v>4199.97</v>
      </c>
      <c r="F3482" s="3">
        <v>41145</v>
      </c>
      <c r="G3482" s="2"/>
      <c r="H3482" s="3">
        <v>43053</v>
      </c>
      <c r="I3482" s="2" t="s">
        <v>19506</v>
      </c>
      <c r="J3482" s="2" t="s">
        <v>13904</v>
      </c>
      <c r="K3482" s="2" t="s">
        <v>19205</v>
      </c>
      <c r="L3482" s="82" t="s">
        <v>19512</v>
      </c>
    </row>
    <row r="3483" spans="1:12" ht="84" customHeight="1" x14ac:dyDescent="0.3">
      <c r="A3483" s="2">
        <v>3479</v>
      </c>
      <c r="B3483" s="66" t="s">
        <v>3996</v>
      </c>
      <c r="C3483" s="66" t="s">
        <v>3997</v>
      </c>
      <c r="D3483" s="11">
        <v>5699.4</v>
      </c>
      <c r="E3483" s="11">
        <v>5699.4</v>
      </c>
      <c r="F3483" s="3">
        <v>41145</v>
      </c>
      <c r="G3483" s="2"/>
      <c r="H3483" s="3">
        <v>43053</v>
      </c>
      <c r="I3483" s="2" t="s">
        <v>19506</v>
      </c>
      <c r="J3483" s="2" t="s">
        <v>13904</v>
      </c>
      <c r="K3483" s="2" t="s">
        <v>19205</v>
      </c>
      <c r="L3483" s="82" t="s">
        <v>19512</v>
      </c>
    </row>
    <row r="3484" spans="1:12" ht="84" customHeight="1" x14ac:dyDescent="0.3">
      <c r="A3484" s="2">
        <v>3480</v>
      </c>
      <c r="B3484" s="66" t="s">
        <v>3998</v>
      </c>
      <c r="C3484" s="66" t="s">
        <v>3817</v>
      </c>
      <c r="D3484" s="11">
        <v>5000</v>
      </c>
      <c r="E3484" s="11">
        <v>5000</v>
      </c>
      <c r="F3484" s="3">
        <v>39218</v>
      </c>
      <c r="G3484" s="2"/>
      <c r="H3484" s="3">
        <v>43053</v>
      </c>
      <c r="I3484" s="2" t="s">
        <v>19506</v>
      </c>
      <c r="J3484" s="2" t="s">
        <v>13904</v>
      </c>
      <c r="K3484" s="2" t="s">
        <v>19205</v>
      </c>
      <c r="L3484" s="82" t="s">
        <v>19512</v>
      </c>
    </row>
    <row r="3485" spans="1:12" ht="84" customHeight="1" x14ac:dyDescent="0.3">
      <c r="A3485" s="2">
        <v>3481</v>
      </c>
      <c r="B3485" s="66" t="s">
        <v>3999</v>
      </c>
      <c r="C3485" s="66" t="s">
        <v>3151</v>
      </c>
      <c r="D3485" s="11">
        <v>7200</v>
      </c>
      <c r="E3485" s="11">
        <v>7200</v>
      </c>
      <c r="F3485" s="3">
        <v>41969</v>
      </c>
      <c r="G3485" s="2"/>
      <c r="H3485" s="3">
        <v>43053</v>
      </c>
      <c r="I3485" s="2" t="s">
        <v>19506</v>
      </c>
      <c r="J3485" s="2" t="s">
        <v>13904</v>
      </c>
      <c r="K3485" s="2" t="s">
        <v>19205</v>
      </c>
      <c r="L3485" s="82" t="s">
        <v>19512</v>
      </c>
    </row>
    <row r="3486" spans="1:12" ht="84" customHeight="1" x14ac:dyDescent="0.3">
      <c r="A3486" s="2">
        <v>3482</v>
      </c>
      <c r="B3486" s="66" t="s">
        <v>4000</v>
      </c>
      <c r="C3486" s="66" t="s">
        <v>3152</v>
      </c>
      <c r="D3486" s="11">
        <v>15300</v>
      </c>
      <c r="E3486" s="11">
        <v>15300</v>
      </c>
      <c r="F3486" s="3">
        <v>41969</v>
      </c>
      <c r="G3486" s="2"/>
      <c r="H3486" s="3">
        <v>43053</v>
      </c>
      <c r="I3486" s="2" t="s">
        <v>19506</v>
      </c>
      <c r="J3486" s="2" t="s">
        <v>13904</v>
      </c>
      <c r="K3486" s="2" t="s">
        <v>19205</v>
      </c>
      <c r="L3486" s="82" t="s">
        <v>19512</v>
      </c>
    </row>
    <row r="3487" spans="1:12" ht="84" customHeight="1" x14ac:dyDescent="0.3">
      <c r="A3487" s="2">
        <v>3483</v>
      </c>
      <c r="B3487" s="66" t="s">
        <v>4001</v>
      </c>
      <c r="C3487" s="66" t="s">
        <v>3153</v>
      </c>
      <c r="D3487" s="11">
        <v>5150</v>
      </c>
      <c r="E3487" s="11">
        <v>5150</v>
      </c>
      <c r="F3487" s="3">
        <v>41969</v>
      </c>
      <c r="G3487" s="2"/>
      <c r="H3487" s="3">
        <v>43053</v>
      </c>
      <c r="I3487" s="2" t="s">
        <v>19506</v>
      </c>
      <c r="J3487" s="2" t="s">
        <v>13904</v>
      </c>
      <c r="K3487" s="2" t="s">
        <v>19205</v>
      </c>
      <c r="L3487" s="82" t="s">
        <v>19512</v>
      </c>
    </row>
    <row r="3488" spans="1:12" ht="84" customHeight="1" x14ac:dyDescent="0.3">
      <c r="A3488" s="2">
        <v>3484</v>
      </c>
      <c r="B3488" s="66" t="s">
        <v>4002</v>
      </c>
      <c r="C3488" s="66" t="s">
        <v>3154</v>
      </c>
      <c r="D3488" s="11">
        <v>4800</v>
      </c>
      <c r="E3488" s="11">
        <v>4800</v>
      </c>
      <c r="F3488" s="3">
        <v>41969</v>
      </c>
      <c r="G3488" s="2"/>
      <c r="H3488" s="3">
        <v>43053</v>
      </c>
      <c r="I3488" s="2" t="s">
        <v>19506</v>
      </c>
      <c r="J3488" s="2" t="s">
        <v>13904</v>
      </c>
      <c r="K3488" s="2" t="s">
        <v>19205</v>
      </c>
      <c r="L3488" s="82" t="s">
        <v>19512</v>
      </c>
    </row>
    <row r="3489" spans="1:15" ht="84" customHeight="1" x14ac:dyDescent="0.3">
      <c r="A3489" s="2">
        <v>3485</v>
      </c>
      <c r="B3489" s="66" t="s">
        <v>4003</v>
      </c>
      <c r="C3489" s="66" t="s">
        <v>3744</v>
      </c>
      <c r="D3489" s="11">
        <v>3750</v>
      </c>
      <c r="E3489" s="11">
        <v>3750</v>
      </c>
      <c r="F3489" s="3">
        <v>41978</v>
      </c>
      <c r="G3489" s="2"/>
      <c r="H3489" s="3">
        <v>43053</v>
      </c>
      <c r="I3489" s="2" t="s">
        <v>19506</v>
      </c>
      <c r="J3489" s="2" t="s">
        <v>13904</v>
      </c>
      <c r="K3489" s="2" t="s">
        <v>19205</v>
      </c>
      <c r="L3489" s="82" t="s">
        <v>19512</v>
      </c>
    </row>
    <row r="3490" spans="1:15" s="19" customFormat="1" ht="96" customHeight="1" x14ac:dyDescent="0.3">
      <c r="A3490" s="2">
        <v>3486</v>
      </c>
      <c r="B3490" s="66" t="s">
        <v>1062</v>
      </c>
      <c r="C3490" s="66" t="s">
        <v>3344</v>
      </c>
      <c r="D3490" s="11">
        <v>99983.97</v>
      </c>
      <c r="E3490" s="11">
        <v>9998.4</v>
      </c>
      <c r="F3490" s="3">
        <v>42004</v>
      </c>
      <c r="G3490" s="2" t="s">
        <v>14104</v>
      </c>
      <c r="H3490" s="2"/>
      <c r="I3490" s="2"/>
      <c r="J3490" s="2" t="s">
        <v>13904</v>
      </c>
      <c r="K3490" s="2" t="s">
        <v>19203</v>
      </c>
      <c r="L3490" s="2" t="s">
        <v>18631</v>
      </c>
      <c r="M3490" s="18"/>
      <c r="N3490" s="18"/>
      <c r="O3490" s="18"/>
    </row>
    <row r="3491" spans="1:15" ht="96" customHeight="1" x14ac:dyDescent="0.3">
      <c r="A3491" s="2">
        <v>3487</v>
      </c>
      <c r="B3491" s="66" t="s">
        <v>22238</v>
      </c>
      <c r="C3491" s="66">
        <v>4101260334</v>
      </c>
      <c r="D3491" s="11">
        <v>90230</v>
      </c>
      <c r="E3491" s="11">
        <v>90230</v>
      </c>
      <c r="F3491" s="3" t="s">
        <v>22239</v>
      </c>
      <c r="G3491" s="2" t="s">
        <v>22240</v>
      </c>
      <c r="H3491" s="3"/>
      <c r="I3491" s="2"/>
      <c r="J3491" s="2" t="s">
        <v>13904</v>
      </c>
      <c r="K3491" s="2" t="s">
        <v>22237</v>
      </c>
      <c r="L3491" s="82" t="s">
        <v>22994</v>
      </c>
    </row>
    <row r="3492" spans="1:15" ht="96" customHeight="1" x14ac:dyDescent="0.3">
      <c r="A3492" s="2">
        <v>3488</v>
      </c>
      <c r="B3492" s="66" t="s">
        <v>4005</v>
      </c>
      <c r="C3492" s="66" t="s">
        <v>4006</v>
      </c>
      <c r="D3492" s="11">
        <v>50000</v>
      </c>
      <c r="E3492" s="11">
        <v>19166.59</v>
      </c>
      <c r="F3492" s="3">
        <v>41449</v>
      </c>
      <c r="G3492" s="2" t="s">
        <v>14104</v>
      </c>
      <c r="H3492" s="2"/>
      <c r="I3492" s="2"/>
      <c r="J3492" s="2" t="s">
        <v>13904</v>
      </c>
      <c r="K3492" s="2" t="s">
        <v>19203</v>
      </c>
      <c r="L3492" s="82" t="s">
        <v>19199</v>
      </c>
    </row>
    <row r="3493" spans="1:15" ht="96" customHeight="1" x14ac:dyDescent="0.3">
      <c r="A3493" s="2">
        <v>3489</v>
      </c>
      <c r="B3493" s="66" t="s">
        <v>22241</v>
      </c>
      <c r="C3493" s="66">
        <v>4101260335</v>
      </c>
      <c r="D3493" s="11">
        <v>127080</v>
      </c>
      <c r="E3493" s="11">
        <v>0</v>
      </c>
      <c r="F3493" s="3" t="s">
        <v>22239</v>
      </c>
      <c r="G3493" s="2" t="s">
        <v>22240</v>
      </c>
      <c r="H3493" s="3"/>
      <c r="I3493" s="2"/>
      <c r="J3493" s="2" t="s">
        <v>13904</v>
      </c>
      <c r="K3493" s="2" t="s">
        <v>22237</v>
      </c>
      <c r="L3493" s="82" t="s">
        <v>22995</v>
      </c>
    </row>
    <row r="3494" spans="1:15" ht="96" customHeight="1" x14ac:dyDescent="0.3">
      <c r="A3494" s="2">
        <v>3490</v>
      </c>
      <c r="B3494" s="66" t="s">
        <v>23512</v>
      </c>
      <c r="C3494" s="66">
        <v>4101340335</v>
      </c>
      <c r="D3494" s="11">
        <v>54000</v>
      </c>
      <c r="E3494" s="11">
        <v>54000</v>
      </c>
      <c r="F3494" s="3" t="s">
        <v>23492</v>
      </c>
      <c r="G3494" s="2" t="s">
        <v>23513</v>
      </c>
      <c r="H3494" s="3"/>
      <c r="I3494" s="2"/>
      <c r="J3494" s="2" t="s">
        <v>13904</v>
      </c>
      <c r="K3494" s="2" t="s">
        <v>23514</v>
      </c>
      <c r="L3494" s="82" t="s">
        <v>23515</v>
      </c>
    </row>
    <row r="3495" spans="1:15" ht="96" customHeight="1" x14ac:dyDescent="0.3">
      <c r="A3495" s="2">
        <v>3491</v>
      </c>
      <c r="B3495" s="66" t="s">
        <v>4008</v>
      </c>
      <c r="C3495" s="66" t="s">
        <v>4009</v>
      </c>
      <c r="D3495" s="11">
        <v>12063</v>
      </c>
      <c r="E3495" s="11">
        <v>12063</v>
      </c>
      <c r="F3495" s="3">
        <v>39428</v>
      </c>
      <c r="G3495" s="2" t="s">
        <v>14104</v>
      </c>
      <c r="H3495" s="3">
        <v>43053</v>
      </c>
      <c r="I3495" s="2" t="s">
        <v>19506</v>
      </c>
      <c r="J3495" s="2" t="s">
        <v>13904</v>
      </c>
      <c r="K3495" s="2" t="s">
        <v>19203</v>
      </c>
      <c r="L3495" s="82" t="s">
        <v>19512</v>
      </c>
    </row>
    <row r="3496" spans="1:15" ht="96" customHeight="1" x14ac:dyDescent="0.3">
      <c r="A3496" s="2">
        <v>3492</v>
      </c>
      <c r="B3496" s="66" t="s">
        <v>4010</v>
      </c>
      <c r="C3496" s="66" t="s">
        <v>3934</v>
      </c>
      <c r="D3496" s="11">
        <v>15061.8</v>
      </c>
      <c r="E3496" s="11">
        <v>15061.8</v>
      </c>
      <c r="F3496" s="3">
        <v>39065</v>
      </c>
      <c r="G3496" s="2" t="s">
        <v>14104</v>
      </c>
      <c r="H3496" s="3">
        <v>43053</v>
      </c>
      <c r="I3496" s="2" t="s">
        <v>19506</v>
      </c>
      <c r="J3496" s="2" t="s">
        <v>13904</v>
      </c>
      <c r="K3496" s="2" t="s">
        <v>19203</v>
      </c>
      <c r="L3496" s="82" t="s">
        <v>19512</v>
      </c>
    </row>
    <row r="3497" spans="1:15" ht="96" customHeight="1" x14ac:dyDescent="0.3">
      <c r="A3497" s="2">
        <v>3493</v>
      </c>
      <c r="B3497" s="66" t="s">
        <v>4011</v>
      </c>
      <c r="C3497" s="66" t="s">
        <v>4012</v>
      </c>
      <c r="D3497" s="11">
        <v>4000</v>
      </c>
      <c r="E3497" s="11">
        <v>4000</v>
      </c>
      <c r="F3497" s="3">
        <v>39441</v>
      </c>
      <c r="G3497" s="2" t="s">
        <v>14104</v>
      </c>
      <c r="H3497" s="3">
        <v>43053</v>
      </c>
      <c r="I3497" s="2" t="s">
        <v>19506</v>
      </c>
      <c r="J3497" s="2" t="s">
        <v>13904</v>
      </c>
      <c r="K3497" s="2" t="s">
        <v>19203</v>
      </c>
      <c r="L3497" s="82" t="s">
        <v>19512</v>
      </c>
    </row>
    <row r="3498" spans="1:15" ht="96" customHeight="1" x14ac:dyDescent="0.3">
      <c r="A3498" s="2">
        <v>3494</v>
      </c>
      <c r="B3498" s="66" t="s">
        <v>1124</v>
      </c>
      <c r="C3498" s="66" t="s">
        <v>3602</v>
      </c>
      <c r="D3498" s="11">
        <v>10953.39</v>
      </c>
      <c r="E3498" s="11">
        <v>10953.39</v>
      </c>
      <c r="F3498" s="3">
        <v>29485</v>
      </c>
      <c r="G3498" s="2" t="s">
        <v>14104</v>
      </c>
      <c r="H3498" s="3">
        <v>43053</v>
      </c>
      <c r="I3498" s="2" t="s">
        <v>19506</v>
      </c>
      <c r="J3498" s="2" t="s">
        <v>13904</v>
      </c>
      <c r="K3498" s="2" t="s">
        <v>19203</v>
      </c>
      <c r="L3498" s="82" t="s">
        <v>19512</v>
      </c>
    </row>
    <row r="3499" spans="1:15" ht="96" customHeight="1" x14ac:dyDescent="0.3">
      <c r="A3499" s="2">
        <v>3495</v>
      </c>
      <c r="B3499" s="66" t="s">
        <v>4013</v>
      </c>
      <c r="C3499" s="66" t="s">
        <v>4014</v>
      </c>
      <c r="D3499" s="11">
        <v>27964</v>
      </c>
      <c r="E3499" s="11">
        <v>27964</v>
      </c>
      <c r="F3499" s="3">
        <v>40898</v>
      </c>
      <c r="G3499" s="2" t="s">
        <v>14104</v>
      </c>
      <c r="H3499" s="3">
        <v>43053</v>
      </c>
      <c r="I3499" s="2" t="s">
        <v>19506</v>
      </c>
      <c r="J3499" s="2" t="s">
        <v>13904</v>
      </c>
      <c r="K3499" s="2" t="s">
        <v>19203</v>
      </c>
      <c r="L3499" s="82" t="s">
        <v>19512</v>
      </c>
    </row>
    <row r="3500" spans="1:15" ht="96" customHeight="1" x14ac:dyDescent="0.3">
      <c r="A3500" s="2">
        <v>3496</v>
      </c>
      <c r="B3500" s="66" t="s">
        <v>3172</v>
      </c>
      <c r="C3500" s="66" t="s">
        <v>4015</v>
      </c>
      <c r="D3500" s="11">
        <v>4000</v>
      </c>
      <c r="E3500" s="11">
        <v>4000</v>
      </c>
      <c r="F3500" s="3">
        <v>40898</v>
      </c>
      <c r="G3500" s="2" t="s">
        <v>14104</v>
      </c>
      <c r="H3500" s="3">
        <v>43053</v>
      </c>
      <c r="I3500" s="2" t="s">
        <v>19506</v>
      </c>
      <c r="J3500" s="2" t="s">
        <v>13904</v>
      </c>
      <c r="K3500" s="2" t="s">
        <v>19203</v>
      </c>
      <c r="L3500" s="82" t="s">
        <v>19512</v>
      </c>
    </row>
    <row r="3501" spans="1:15" ht="96" customHeight="1" x14ac:dyDescent="0.3">
      <c r="A3501" s="2">
        <v>3497</v>
      </c>
      <c r="B3501" s="66" t="s">
        <v>4016</v>
      </c>
      <c r="C3501" s="66" t="s">
        <v>4017</v>
      </c>
      <c r="D3501" s="11">
        <v>4000</v>
      </c>
      <c r="E3501" s="11">
        <v>4000</v>
      </c>
      <c r="F3501" s="3">
        <v>39444</v>
      </c>
      <c r="G3501" s="2" t="s">
        <v>14104</v>
      </c>
      <c r="H3501" s="3">
        <v>43053</v>
      </c>
      <c r="I3501" s="2" t="s">
        <v>19506</v>
      </c>
      <c r="J3501" s="2" t="s">
        <v>13904</v>
      </c>
      <c r="K3501" s="2" t="s">
        <v>19203</v>
      </c>
      <c r="L3501" s="82" t="s">
        <v>19512</v>
      </c>
    </row>
    <row r="3502" spans="1:15" ht="96" customHeight="1" x14ac:dyDescent="0.3">
      <c r="A3502" s="2">
        <v>3498</v>
      </c>
      <c r="B3502" s="66" t="s">
        <v>3616</v>
      </c>
      <c r="C3502" s="66" t="s">
        <v>4018</v>
      </c>
      <c r="D3502" s="11">
        <v>8333</v>
      </c>
      <c r="E3502" s="11">
        <v>8333</v>
      </c>
      <c r="F3502" s="3">
        <v>39445</v>
      </c>
      <c r="G3502" s="2" t="s">
        <v>14104</v>
      </c>
      <c r="H3502" s="3">
        <v>43053</v>
      </c>
      <c r="I3502" s="2" t="s">
        <v>19506</v>
      </c>
      <c r="J3502" s="2" t="s">
        <v>13904</v>
      </c>
      <c r="K3502" s="2" t="s">
        <v>19203</v>
      </c>
      <c r="L3502" s="82" t="s">
        <v>19512</v>
      </c>
    </row>
    <row r="3503" spans="1:15" ht="96" customHeight="1" x14ac:dyDescent="0.3">
      <c r="A3503" s="2">
        <v>3499</v>
      </c>
      <c r="B3503" s="66" t="s">
        <v>4019</v>
      </c>
      <c r="C3503" s="66" t="s">
        <v>4020</v>
      </c>
      <c r="D3503" s="11">
        <v>13500.03</v>
      </c>
      <c r="E3503" s="11">
        <v>13500.03</v>
      </c>
      <c r="F3503" s="3">
        <v>39402</v>
      </c>
      <c r="G3503" s="2" t="s">
        <v>14104</v>
      </c>
      <c r="H3503" s="3">
        <v>43053</v>
      </c>
      <c r="I3503" s="2" t="s">
        <v>19506</v>
      </c>
      <c r="J3503" s="2" t="s">
        <v>13904</v>
      </c>
      <c r="K3503" s="2" t="s">
        <v>19203</v>
      </c>
      <c r="L3503" s="82" t="s">
        <v>19512</v>
      </c>
    </row>
    <row r="3504" spans="1:15" ht="96" customHeight="1" x14ac:dyDescent="0.3">
      <c r="A3504" s="2">
        <v>3500</v>
      </c>
      <c r="B3504" s="66" t="s">
        <v>4021</v>
      </c>
      <c r="C3504" s="66" t="s">
        <v>3951</v>
      </c>
      <c r="D3504" s="11">
        <v>12545.73</v>
      </c>
      <c r="E3504" s="11">
        <v>12545.73</v>
      </c>
      <c r="F3504" s="3">
        <v>39059</v>
      </c>
      <c r="G3504" s="2" t="s">
        <v>14104</v>
      </c>
      <c r="H3504" s="3">
        <v>43053</v>
      </c>
      <c r="I3504" s="2" t="s">
        <v>19506</v>
      </c>
      <c r="J3504" s="2" t="s">
        <v>13904</v>
      </c>
      <c r="K3504" s="2" t="s">
        <v>19203</v>
      </c>
      <c r="L3504" s="82" t="s">
        <v>19512</v>
      </c>
    </row>
    <row r="3505" spans="1:12" ht="96" customHeight="1" x14ac:dyDescent="0.3">
      <c r="A3505" s="2">
        <v>3501</v>
      </c>
      <c r="B3505" s="66" t="s">
        <v>3170</v>
      </c>
      <c r="C3505" s="66" t="s">
        <v>4022</v>
      </c>
      <c r="D3505" s="11">
        <v>9430.56</v>
      </c>
      <c r="E3505" s="11">
        <v>9430.56</v>
      </c>
      <c r="F3505" s="3">
        <v>41115</v>
      </c>
      <c r="G3505" s="2" t="s">
        <v>14104</v>
      </c>
      <c r="H3505" s="3">
        <v>43053</v>
      </c>
      <c r="I3505" s="2" t="s">
        <v>19506</v>
      </c>
      <c r="J3505" s="2" t="s">
        <v>13904</v>
      </c>
      <c r="K3505" s="2" t="s">
        <v>19203</v>
      </c>
      <c r="L3505" s="82" t="s">
        <v>19512</v>
      </c>
    </row>
    <row r="3506" spans="1:12" ht="96" customHeight="1" x14ac:dyDescent="0.3">
      <c r="A3506" s="2">
        <v>3502</v>
      </c>
      <c r="B3506" s="66" t="s">
        <v>1927</v>
      </c>
      <c r="C3506" s="66" t="s">
        <v>14255</v>
      </c>
      <c r="D3506" s="11">
        <v>3800</v>
      </c>
      <c r="E3506" s="11">
        <v>3800</v>
      </c>
      <c r="F3506" s="3">
        <v>40847</v>
      </c>
      <c r="G3506" s="2" t="s">
        <v>14104</v>
      </c>
      <c r="H3506" s="3">
        <v>43053</v>
      </c>
      <c r="I3506" s="2" t="s">
        <v>19506</v>
      </c>
      <c r="J3506" s="2" t="s">
        <v>13904</v>
      </c>
      <c r="K3506" s="2" t="s">
        <v>19203</v>
      </c>
      <c r="L3506" s="82" t="s">
        <v>19512</v>
      </c>
    </row>
    <row r="3507" spans="1:12" ht="96" customHeight="1" x14ac:dyDescent="0.3">
      <c r="A3507" s="2">
        <v>3503</v>
      </c>
      <c r="B3507" s="66" t="s">
        <v>1927</v>
      </c>
      <c r="C3507" s="66" t="s">
        <v>4023</v>
      </c>
      <c r="D3507" s="11">
        <v>3800</v>
      </c>
      <c r="E3507" s="11">
        <v>3800</v>
      </c>
      <c r="F3507" s="3">
        <v>40903</v>
      </c>
      <c r="G3507" s="2" t="s">
        <v>14104</v>
      </c>
      <c r="H3507" s="3">
        <v>43053</v>
      </c>
      <c r="I3507" s="2" t="s">
        <v>19506</v>
      </c>
      <c r="J3507" s="2" t="s">
        <v>13904</v>
      </c>
      <c r="K3507" s="2" t="s">
        <v>19203</v>
      </c>
      <c r="L3507" s="82" t="s">
        <v>19512</v>
      </c>
    </row>
    <row r="3508" spans="1:12" ht="96" customHeight="1" x14ac:dyDescent="0.3">
      <c r="A3508" s="2">
        <v>3504</v>
      </c>
      <c r="B3508" s="66" t="s">
        <v>4024</v>
      </c>
      <c r="C3508" s="66" t="s">
        <v>3799</v>
      </c>
      <c r="D3508" s="11">
        <v>7687</v>
      </c>
      <c r="E3508" s="11">
        <v>7687</v>
      </c>
      <c r="F3508" s="3">
        <v>39430</v>
      </c>
      <c r="G3508" s="2" t="s">
        <v>14104</v>
      </c>
      <c r="H3508" s="3">
        <v>43053</v>
      </c>
      <c r="I3508" s="2" t="s">
        <v>19506</v>
      </c>
      <c r="J3508" s="2" t="s">
        <v>13904</v>
      </c>
      <c r="K3508" s="2" t="s">
        <v>19203</v>
      </c>
      <c r="L3508" s="82" t="s">
        <v>19512</v>
      </c>
    </row>
    <row r="3509" spans="1:12" ht="96" customHeight="1" x14ac:dyDescent="0.3">
      <c r="A3509" s="2">
        <v>3505</v>
      </c>
      <c r="B3509" s="66" t="s">
        <v>4025</v>
      </c>
      <c r="C3509" s="66" t="s">
        <v>4026</v>
      </c>
      <c r="D3509" s="11">
        <v>7000</v>
      </c>
      <c r="E3509" s="11">
        <v>7000</v>
      </c>
      <c r="F3509" s="3">
        <v>40074</v>
      </c>
      <c r="G3509" s="2" t="s">
        <v>14104</v>
      </c>
      <c r="H3509" s="3">
        <v>43053</v>
      </c>
      <c r="I3509" s="2" t="s">
        <v>19506</v>
      </c>
      <c r="J3509" s="2" t="s">
        <v>13904</v>
      </c>
      <c r="K3509" s="2" t="s">
        <v>19203</v>
      </c>
      <c r="L3509" s="82" t="s">
        <v>19512</v>
      </c>
    </row>
    <row r="3510" spans="1:12" ht="96" customHeight="1" x14ac:dyDescent="0.3">
      <c r="A3510" s="2">
        <v>3506</v>
      </c>
      <c r="B3510" s="66" t="s">
        <v>4027</v>
      </c>
      <c r="C3510" s="66" t="s">
        <v>3976</v>
      </c>
      <c r="D3510" s="11">
        <v>3759.2</v>
      </c>
      <c r="E3510" s="11">
        <v>3759.2</v>
      </c>
      <c r="F3510" s="3">
        <v>35401</v>
      </c>
      <c r="G3510" s="2" t="s">
        <v>14104</v>
      </c>
      <c r="H3510" s="3">
        <v>43053</v>
      </c>
      <c r="I3510" s="2" t="s">
        <v>19506</v>
      </c>
      <c r="J3510" s="2" t="s">
        <v>13904</v>
      </c>
      <c r="K3510" s="2" t="s">
        <v>19203</v>
      </c>
      <c r="L3510" s="82" t="s">
        <v>19512</v>
      </c>
    </row>
    <row r="3511" spans="1:12" ht="96" customHeight="1" x14ac:dyDescent="0.3">
      <c r="A3511" s="2">
        <v>3507</v>
      </c>
      <c r="B3511" s="66" t="s">
        <v>4028</v>
      </c>
      <c r="C3511" s="66" t="s">
        <v>4029</v>
      </c>
      <c r="D3511" s="11">
        <v>7632.7</v>
      </c>
      <c r="E3511" s="11">
        <v>7632.7</v>
      </c>
      <c r="F3511" s="3">
        <v>39422</v>
      </c>
      <c r="G3511" s="2" t="s">
        <v>14104</v>
      </c>
      <c r="H3511" s="3">
        <v>43053</v>
      </c>
      <c r="I3511" s="2" t="s">
        <v>19506</v>
      </c>
      <c r="J3511" s="2" t="s">
        <v>13904</v>
      </c>
      <c r="K3511" s="2" t="s">
        <v>19203</v>
      </c>
      <c r="L3511" s="82" t="s">
        <v>19512</v>
      </c>
    </row>
    <row r="3512" spans="1:12" ht="96" customHeight="1" x14ac:dyDescent="0.3">
      <c r="A3512" s="2">
        <v>3508</v>
      </c>
      <c r="B3512" s="66" t="s">
        <v>3272</v>
      </c>
      <c r="C3512" s="66" t="s">
        <v>3548</v>
      </c>
      <c r="D3512" s="11">
        <v>3909.17</v>
      </c>
      <c r="E3512" s="11">
        <v>3909.17</v>
      </c>
      <c r="F3512" s="3">
        <v>39076</v>
      </c>
      <c r="G3512" s="2" t="s">
        <v>14104</v>
      </c>
      <c r="H3512" s="3">
        <v>43053</v>
      </c>
      <c r="I3512" s="2" t="s">
        <v>19506</v>
      </c>
      <c r="J3512" s="2" t="s">
        <v>13904</v>
      </c>
      <c r="K3512" s="2" t="s">
        <v>19203</v>
      </c>
      <c r="L3512" s="82" t="s">
        <v>19512</v>
      </c>
    </row>
    <row r="3513" spans="1:12" ht="96" customHeight="1" x14ac:dyDescent="0.3">
      <c r="A3513" s="2">
        <v>3509</v>
      </c>
      <c r="B3513" s="66" t="s">
        <v>4030</v>
      </c>
      <c r="C3513" s="66" t="s">
        <v>4031</v>
      </c>
      <c r="D3513" s="11">
        <v>5051</v>
      </c>
      <c r="E3513" s="11">
        <v>5051</v>
      </c>
      <c r="F3513" s="3">
        <v>40817</v>
      </c>
      <c r="G3513" s="2" t="s">
        <v>14104</v>
      </c>
      <c r="H3513" s="3">
        <v>43053</v>
      </c>
      <c r="I3513" s="2" t="s">
        <v>19506</v>
      </c>
      <c r="J3513" s="2" t="s">
        <v>13904</v>
      </c>
      <c r="K3513" s="2" t="s">
        <v>19203</v>
      </c>
      <c r="L3513" s="82" t="s">
        <v>19512</v>
      </c>
    </row>
    <row r="3514" spans="1:12" ht="96" customHeight="1" x14ac:dyDescent="0.3">
      <c r="A3514" s="2">
        <v>3510</v>
      </c>
      <c r="B3514" s="66" t="s">
        <v>4032</v>
      </c>
      <c r="C3514" s="66" t="s">
        <v>3146</v>
      </c>
      <c r="D3514" s="11">
        <v>3498</v>
      </c>
      <c r="E3514" s="11">
        <v>3498</v>
      </c>
      <c r="F3514" s="3">
        <v>41885</v>
      </c>
      <c r="G3514" s="2" t="s">
        <v>14104</v>
      </c>
      <c r="H3514" s="3">
        <v>43053</v>
      </c>
      <c r="I3514" s="2" t="s">
        <v>19506</v>
      </c>
      <c r="J3514" s="2" t="s">
        <v>13904</v>
      </c>
      <c r="K3514" s="2" t="s">
        <v>19203</v>
      </c>
      <c r="L3514" s="82" t="s">
        <v>19512</v>
      </c>
    </row>
    <row r="3515" spans="1:12" ht="96" customHeight="1" x14ac:dyDescent="0.3">
      <c r="A3515" s="2">
        <v>3511</v>
      </c>
      <c r="B3515" s="66" t="s">
        <v>4032</v>
      </c>
      <c r="C3515" s="66" t="s">
        <v>3145</v>
      </c>
      <c r="D3515" s="11">
        <v>3498</v>
      </c>
      <c r="E3515" s="11">
        <v>3498</v>
      </c>
      <c r="F3515" s="3">
        <v>41885</v>
      </c>
      <c r="G3515" s="2" t="s">
        <v>14104</v>
      </c>
      <c r="H3515" s="3">
        <v>43053</v>
      </c>
      <c r="I3515" s="2" t="s">
        <v>19506</v>
      </c>
      <c r="J3515" s="2" t="s">
        <v>13904</v>
      </c>
      <c r="K3515" s="2" t="s">
        <v>19203</v>
      </c>
      <c r="L3515" s="82" t="s">
        <v>19512</v>
      </c>
    </row>
    <row r="3516" spans="1:12" ht="96" customHeight="1" x14ac:dyDescent="0.3">
      <c r="A3516" s="2">
        <v>3512</v>
      </c>
      <c r="B3516" s="66" t="s">
        <v>4032</v>
      </c>
      <c r="C3516" s="66" t="s">
        <v>3148</v>
      </c>
      <c r="D3516" s="11">
        <v>3498</v>
      </c>
      <c r="E3516" s="11">
        <v>3498</v>
      </c>
      <c r="F3516" s="3">
        <v>41885</v>
      </c>
      <c r="G3516" s="2" t="s">
        <v>14104</v>
      </c>
      <c r="H3516" s="3">
        <v>43053</v>
      </c>
      <c r="I3516" s="2" t="s">
        <v>19506</v>
      </c>
      <c r="J3516" s="2" t="s">
        <v>13904</v>
      </c>
      <c r="K3516" s="2" t="s">
        <v>19203</v>
      </c>
      <c r="L3516" s="82" t="s">
        <v>19512</v>
      </c>
    </row>
    <row r="3517" spans="1:12" ht="96" customHeight="1" x14ac:dyDescent="0.3">
      <c r="A3517" s="2">
        <v>3513</v>
      </c>
      <c r="B3517" s="66" t="s">
        <v>4032</v>
      </c>
      <c r="C3517" s="66" t="s">
        <v>3147</v>
      </c>
      <c r="D3517" s="11">
        <v>3498</v>
      </c>
      <c r="E3517" s="11">
        <v>3498</v>
      </c>
      <c r="F3517" s="3">
        <v>41885</v>
      </c>
      <c r="G3517" s="2" t="s">
        <v>14104</v>
      </c>
      <c r="H3517" s="3">
        <v>43053</v>
      </c>
      <c r="I3517" s="2" t="s">
        <v>19506</v>
      </c>
      <c r="J3517" s="2" t="s">
        <v>13904</v>
      </c>
      <c r="K3517" s="2" t="s">
        <v>19203</v>
      </c>
      <c r="L3517" s="82" t="s">
        <v>19512</v>
      </c>
    </row>
    <row r="3518" spans="1:12" ht="96" customHeight="1" x14ac:dyDescent="0.3">
      <c r="A3518" s="2">
        <v>3514</v>
      </c>
      <c r="B3518" s="66" t="s">
        <v>4032</v>
      </c>
      <c r="C3518" s="66" t="s">
        <v>3149</v>
      </c>
      <c r="D3518" s="11">
        <v>3498</v>
      </c>
      <c r="E3518" s="11">
        <v>3498</v>
      </c>
      <c r="F3518" s="3">
        <v>41885</v>
      </c>
      <c r="G3518" s="2" t="s">
        <v>14104</v>
      </c>
      <c r="H3518" s="3">
        <v>43053</v>
      </c>
      <c r="I3518" s="2" t="s">
        <v>19506</v>
      </c>
      <c r="J3518" s="2" t="s">
        <v>13904</v>
      </c>
      <c r="K3518" s="2" t="s">
        <v>19203</v>
      </c>
      <c r="L3518" s="82" t="s">
        <v>19512</v>
      </c>
    </row>
    <row r="3519" spans="1:12" ht="96" customHeight="1" x14ac:dyDescent="0.3">
      <c r="A3519" s="2">
        <v>3515</v>
      </c>
      <c r="B3519" s="66" t="s">
        <v>4032</v>
      </c>
      <c r="C3519" s="66" t="s">
        <v>3241</v>
      </c>
      <c r="D3519" s="11">
        <v>3498</v>
      </c>
      <c r="E3519" s="11">
        <v>3498</v>
      </c>
      <c r="F3519" s="3">
        <v>41885</v>
      </c>
      <c r="G3519" s="2" t="s">
        <v>14104</v>
      </c>
      <c r="H3519" s="3">
        <v>43053</v>
      </c>
      <c r="I3519" s="2" t="s">
        <v>19506</v>
      </c>
      <c r="J3519" s="2" t="s">
        <v>13904</v>
      </c>
      <c r="K3519" s="2" t="s">
        <v>19203</v>
      </c>
      <c r="L3519" s="82" t="s">
        <v>19512</v>
      </c>
    </row>
    <row r="3520" spans="1:12" ht="96" customHeight="1" x14ac:dyDescent="0.3">
      <c r="A3520" s="2">
        <v>3516</v>
      </c>
      <c r="B3520" s="66" t="s">
        <v>4032</v>
      </c>
      <c r="C3520" s="66" t="s">
        <v>3242</v>
      </c>
      <c r="D3520" s="11">
        <v>3498</v>
      </c>
      <c r="E3520" s="11">
        <v>3498</v>
      </c>
      <c r="F3520" s="3">
        <v>41885</v>
      </c>
      <c r="G3520" s="2" t="s">
        <v>14104</v>
      </c>
      <c r="H3520" s="3">
        <v>43053</v>
      </c>
      <c r="I3520" s="2" t="s">
        <v>19506</v>
      </c>
      <c r="J3520" s="2" t="s">
        <v>13904</v>
      </c>
      <c r="K3520" s="2" t="s">
        <v>19203</v>
      </c>
      <c r="L3520" s="82" t="s">
        <v>19512</v>
      </c>
    </row>
    <row r="3521" spans="1:15" ht="96" customHeight="1" x14ac:dyDescent="0.3">
      <c r="A3521" s="2">
        <v>3517</v>
      </c>
      <c r="B3521" s="66" t="s">
        <v>4033</v>
      </c>
      <c r="C3521" s="66" t="s">
        <v>3243</v>
      </c>
      <c r="D3521" s="11">
        <v>5200</v>
      </c>
      <c r="E3521" s="11">
        <v>5200</v>
      </c>
      <c r="F3521" s="3">
        <v>42186</v>
      </c>
      <c r="G3521" s="2" t="s">
        <v>14104</v>
      </c>
      <c r="H3521" s="3">
        <v>43053</v>
      </c>
      <c r="I3521" s="2" t="s">
        <v>19506</v>
      </c>
      <c r="J3521" s="2" t="s">
        <v>13904</v>
      </c>
      <c r="K3521" s="2" t="s">
        <v>19203</v>
      </c>
      <c r="L3521" s="82" t="s">
        <v>19512</v>
      </c>
    </row>
    <row r="3522" spans="1:15" ht="96" customHeight="1" x14ac:dyDescent="0.3">
      <c r="A3522" s="2">
        <v>3518</v>
      </c>
      <c r="B3522" s="66" t="s">
        <v>4034</v>
      </c>
      <c r="C3522" s="66" t="s">
        <v>3244</v>
      </c>
      <c r="D3522" s="11">
        <v>12000</v>
      </c>
      <c r="E3522" s="11">
        <v>12000</v>
      </c>
      <c r="F3522" s="3">
        <v>42186</v>
      </c>
      <c r="G3522" s="2" t="s">
        <v>14104</v>
      </c>
      <c r="H3522" s="3">
        <v>43053</v>
      </c>
      <c r="I3522" s="2" t="s">
        <v>19506</v>
      </c>
      <c r="J3522" s="2" t="s">
        <v>13904</v>
      </c>
      <c r="K3522" s="2" t="s">
        <v>19203</v>
      </c>
      <c r="L3522" s="82" t="s">
        <v>19512</v>
      </c>
    </row>
    <row r="3523" spans="1:15" ht="96" customHeight="1" x14ac:dyDescent="0.3">
      <c r="A3523" s="2">
        <v>3519</v>
      </c>
      <c r="B3523" s="66" t="s">
        <v>4035</v>
      </c>
      <c r="C3523" s="66" t="s">
        <v>3245</v>
      </c>
      <c r="D3523" s="11">
        <v>3900</v>
      </c>
      <c r="E3523" s="11">
        <v>3900</v>
      </c>
      <c r="F3523" s="3">
        <v>42186</v>
      </c>
      <c r="G3523" s="2" t="s">
        <v>14104</v>
      </c>
      <c r="H3523" s="3">
        <v>43053</v>
      </c>
      <c r="I3523" s="2" t="s">
        <v>19506</v>
      </c>
      <c r="J3523" s="2" t="s">
        <v>13904</v>
      </c>
      <c r="K3523" s="2" t="s">
        <v>19203</v>
      </c>
      <c r="L3523" s="82" t="s">
        <v>19512</v>
      </c>
    </row>
    <row r="3524" spans="1:15" ht="96" customHeight="1" x14ac:dyDescent="0.3">
      <c r="A3524" s="2">
        <v>3520</v>
      </c>
      <c r="B3524" s="66" t="s">
        <v>4036</v>
      </c>
      <c r="C3524" s="66" t="s">
        <v>3246</v>
      </c>
      <c r="D3524" s="11">
        <v>5200</v>
      </c>
      <c r="E3524" s="11">
        <v>5200</v>
      </c>
      <c r="F3524" s="3">
        <v>42186</v>
      </c>
      <c r="G3524" s="2" t="s">
        <v>14104</v>
      </c>
      <c r="H3524" s="3">
        <v>43053</v>
      </c>
      <c r="I3524" s="2" t="s">
        <v>19506</v>
      </c>
      <c r="J3524" s="2" t="s">
        <v>13904</v>
      </c>
      <c r="K3524" s="2" t="s">
        <v>19203</v>
      </c>
      <c r="L3524" s="82" t="s">
        <v>19512</v>
      </c>
    </row>
    <row r="3525" spans="1:15" ht="96" customHeight="1" x14ac:dyDescent="0.3">
      <c r="A3525" s="2">
        <v>3521</v>
      </c>
      <c r="B3525" s="66" t="s">
        <v>4037</v>
      </c>
      <c r="C3525" s="66" t="s">
        <v>3384</v>
      </c>
      <c r="D3525" s="11">
        <v>6900</v>
      </c>
      <c r="E3525" s="11">
        <v>6900</v>
      </c>
      <c r="F3525" s="3">
        <v>42186</v>
      </c>
      <c r="G3525" s="2" t="s">
        <v>14104</v>
      </c>
      <c r="H3525" s="3">
        <v>43053</v>
      </c>
      <c r="I3525" s="2" t="s">
        <v>19506</v>
      </c>
      <c r="J3525" s="2" t="s">
        <v>13904</v>
      </c>
      <c r="K3525" s="2" t="s">
        <v>19203</v>
      </c>
      <c r="L3525" s="82" t="s">
        <v>19512</v>
      </c>
    </row>
    <row r="3526" spans="1:15" ht="96" customHeight="1" x14ac:dyDescent="0.3">
      <c r="A3526" s="2">
        <v>3522</v>
      </c>
      <c r="B3526" s="66" t="s">
        <v>3653</v>
      </c>
      <c r="C3526" s="66" t="s">
        <v>3339</v>
      </c>
      <c r="D3526" s="11">
        <v>4319.9799999999996</v>
      </c>
      <c r="E3526" s="11">
        <v>4319.9799999999996</v>
      </c>
      <c r="F3526" s="3">
        <v>41115</v>
      </c>
      <c r="G3526" s="2" t="s">
        <v>14104</v>
      </c>
      <c r="H3526" s="3">
        <v>43053</v>
      </c>
      <c r="I3526" s="2" t="s">
        <v>19506</v>
      </c>
      <c r="J3526" s="2" t="s">
        <v>13904</v>
      </c>
      <c r="K3526" s="2" t="s">
        <v>19203</v>
      </c>
      <c r="L3526" s="82" t="s">
        <v>19512</v>
      </c>
    </row>
    <row r="3527" spans="1:15" ht="96" customHeight="1" x14ac:dyDescent="0.3">
      <c r="A3527" s="2">
        <v>3523</v>
      </c>
      <c r="B3527" s="66" t="s">
        <v>4038</v>
      </c>
      <c r="C3527" s="66" t="s">
        <v>4039</v>
      </c>
      <c r="D3527" s="11">
        <v>5699.99</v>
      </c>
      <c r="E3527" s="11">
        <v>5699.99</v>
      </c>
      <c r="F3527" s="3">
        <v>41145</v>
      </c>
      <c r="G3527" s="2" t="s">
        <v>14104</v>
      </c>
      <c r="H3527" s="3">
        <v>43053</v>
      </c>
      <c r="I3527" s="2" t="s">
        <v>19506</v>
      </c>
      <c r="J3527" s="2" t="s">
        <v>13904</v>
      </c>
      <c r="K3527" s="2" t="s">
        <v>19203</v>
      </c>
      <c r="L3527" s="82" t="s">
        <v>19512</v>
      </c>
    </row>
    <row r="3528" spans="1:15" ht="96" customHeight="1" x14ac:dyDescent="0.3">
      <c r="A3528" s="2">
        <v>3524</v>
      </c>
      <c r="B3528" s="66" t="s">
        <v>4038</v>
      </c>
      <c r="C3528" s="66" t="s">
        <v>4040</v>
      </c>
      <c r="D3528" s="11">
        <v>5699.99</v>
      </c>
      <c r="E3528" s="11">
        <v>5699.99</v>
      </c>
      <c r="F3528" s="3">
        <v>41145</v>
      </c>
      <c r="G3528" s="2" t="s">
        <v>14104</v>
      </c>
      <c r="H3528" s="3">
        <v>43053</v>
      </c>
      <c r="I3528" s="2" t="s">
        <v>19506</v>
      </c>
      <c r="J3528" s="2" t="s">
        <v>13904</v>
      </c>
      <c r="K3528" s="2" t="s">
        <v>19203</v>
      </c>
      <c r="L3528" s="82" t="s">
        <v>19512</v>
      </c>
    </row>
    <row r="3529" spans="1:15" ht="96" customHeight="1" x14ac:dyDescent="0.3">
      <c r="A3529" s="2">
        <v>3525</v>
      </c>
      <c r="B3529" s="66" t="s">
        <v>4038</v>
      </c>
      <c r="C3529" s="66" t="s">
        <v>4041</v>
      </c>
      <c r="D3529" s="11">
        <v>5699.99</v>
      </c>
      <c r="E3529" s="11">
        <v>5699.99</v>
      </c>
      <c r="F3529" s="3">
        <v>41145</v>
      </c>
      <c r="G3529" s="2" t="s">
        <v>14104</v>
      </c>
      <c r="H3529" s="3">
        <v>43053</v>
      </c>
      <c r="I3529" s="2" t="s">
        <v>19506</v>
      </c>
      <c r="J3529" s="2" t="s">
        <v>13904</v>
      </c>
      <c r="K3529" s="2" t="s">
        <v>19203</v>
      </c>
      <c r="L3529" s="82" t="s">
        <v>19512</v>
      </c>
    </row>
    <row r="3530" spans="1:15" ht="96" customHeight="1" x14ac:dyDescent="0.3">
      <c r="A3530" s="2">
        <v>3526</v>
      </c>
      <c r="B3530" s="66" t="s">
        <v>4042</v>
      </c>
      <c r="C3530" s="66" t="s">
        <v>3151</v>
      </c>
      <c r="D3530" s="11">
        <v>29600</v>
      </c>
      <c r="E3530" s="11">
        <v>29600</v>
      </c>
      <c r="F3530" s="3">
        <v>41969</v>
      </c>
      <c r="G3530" s="2" t="s">
        <v>14104</v>
      </c>
      <c r="H3530" s="3">
        <v>43053</v>
      </c>
      <c r="I3530" s="2" t="s">
        <v>19506</v>
      </c>
      <c r="J3530" s="2" t="s">
        <v>13904</v>
      </c>
      <c r="K3530" s="2" t="s">
        <v>19203</v>
      </c>
      <c r="L3530" s="82" t="s">
        <v>19512</v>
      </c>
    </row>
    <row r="3531" spans="1:15" s="19" customFormat="1" ht="96" customHeight="1" x14ac:dyDescent="0.3">
      <c r="A3531" s="2">
        <v>3527</v>
      </c>
      <c r="B3531" s="66" t="s">
        <v>1062</v>
      </c>
      <c r="C3531" s="66" t="s">
        <v>4043</v>
      </c>
      <c r="D3531" s="11">
        <v>99761.51</v>
      </c>
      <c r="E3531" s="11">
        <v>36579.18</v>
      </c>
      <c r="F3531" s="3">
        <v>42004</v>
      </c>
      <c r="G3531" s="2"/>
      <c r="H3531" s="2"/>
      <c r="I3531" s="2"/>
      <c r="J3531" s="2" t="s">
        <v>13904</v>
      </c>
      <c r="K3531" s="2" t="s">
        <v>19270</v>
      </c>
      <c r="L3531" s="2" t="s">
        <v>18753</v>
      </c>
      <c r="M3531" s="18"/>
      <c r="N3531" s="18"/>
      <c r="O3531" s="18"/>
    </row>
    <row r="3532" spans="1:15" ht="96" customHeight="1" x14ac:dyDescent="0.3">
      <c r="A3532" s="2">
        <v>3528</v>
      </c>
      <c r="B3532" s="66" t="s">
        <v>4044</v>
      </c>
      <c r="C3532" s="66" t="s">
        <v>3937</v>
      </c>
      <c r="D3532" s="11">
        <v>40000</v>
      </c>
      <c r="E3532" s="11">
        <v>40000</v>
      </c>
      <c r="F3532" s="3">
        <v>41878</v>
      </c>
      <c r="G3532" s="2"/>
      <c r="H3532" s="3">
        <v>43053</v>
      </c>
      <c r="I3532" s="2" t="s">
        <v>19506</v>
      </c>
      <c r="J3532" s="2" t="s">
        <v>13904</v>
      </c>
      <c r="K3532" s="2" t="s">
        <v>19270</v>
      </c>
      <c r="L3532" s="82" t="s">
        <v>19512</v>
      </c>
    </row>
    <row r="3533" spans="1:15" ht="96" customHeight="1" x14ac:dyDescent="0.3">
      <c r="A3533" s="2">
        <v>3529</v>
      </c>
      <c r="B3533" s="66" t="s">
        <v>4045</v>
      </c>
      <c r="C3533" s="66" t="s">
        <v>4046</v>
      </c>
      <c r="D3533" s="11">
        <v>3448</v>
      </c>
      <c r="E3533" s="11">
        <v>3448</v>
      </c>
      <c r="F3533" s="3">
        <v>41143</v>
      </c>
      <c r="G3533" s="2"/>
      <c r="H3533" s="3">
        <v>43053</v>
      </c>
      <c r="I3533" s="2" t="s">
        <v>19506</v>
      </c>
      <c r="J3533" s="2" t="s">
        <v>13904</v>
      </c>
      <c r="K3533" s="2" t="s">
        <v>19270</v>
      </c>
      <c r="L3533" s="82" t="s">
        <v>19512</v>
      </c>
    </row>
    <row r="3534" spans="1:15" ht="96" customHeight="1" x14ac:dyDescent="0.3">
      <c r="A3534" s="2">
        <v>3530</v>
      </c>
      <c r="B3534" s="66" t="s">
        <v>4047</v>
      </c>
      <c r="C3534" s="66" t="s">
        <v>3148</v>
      </c>
      <c r="D3534" s="11">
        <v>21450</v>
      </c>
      <c r="E3534" s="11">
        <v>21450</v>
      </c>
      <c r="F3534" s="3">
        <v>41845</v>
      </c>
      <c r="G3534" s="2"/>
      <c r="H3534" s="3">
        <v>43053</v>
      </c>
      <c r="I3534" s="2" t="s">
        <v>19506</v>
      </c>
      <c r="J3534" s="2" t="s">
        <v>13904</v>
      </c>
      <c r="K3534" s="2" t="s">
        <v>19270</v>
      </c>
      <c r="L3534" s="82" t="s">
        <v>19512</v>
      </c>
    </row>
    <row r="3535" spans="1:15" ht="96" customHeight="1" x14ac:dyDescent="0.3">
      <c r="A3535" s="2">
        <v>3531</v>
      </c>
      <c r="B3535" s="66" t="s">
        <v>4048</v>
      </c>
      <c r="C3535" s="66" t="s">
        <v>3618</v>
      </c>
      <c r="D3535" s="11">
        <v>19459.990000000002</v>
      </c>
      <c r="E3535" s="11">
        <v>19459.990000000002</v>
      </c>
      <c r="F3535" s="3">
        <v>39408</v>
      </c>
      <c r="G3535" s="2"/>
      <c r="H3535" s="3">
        <v>43053</v>
      </c>
      <c r="I3535" s="2" t="s">
        <v>19506</v>
      </c>
      <c r="J3535" s="2" t="s">
        <v>13904</v>
      </c>
      <c r="K3535" s="2" t="s">
        <v>19270</v>
      </c>
      <c r="L3535" s="82" t="s">
        <v>19512</v>
      </c>
    </row>
    <row r="3536" spans="1:15" ht="96" customHeight="1" x14ac:dyDescent="0.3">
      <c r="A3536" s="2">
        <v>3532</v>
      </c>
      <c r="B3536" s="66" t="s">
        <v>4049</v>
      </c>
      <c r="C3536" s="66" t="s">
        <v>3601</v>
      </c>
      <c r="D3536" s="11">
        <v>10873</v>
      </c>
      <c r="E3536" s="11">
        <v>10873</v>
      </c>
      <c r="F3536" s="3">
        <v>39437</v>
      </c>
      <c r="G3536" s="2"/>
      <c r="H3536" s="3">
        <v>43053</v>
      </c>
      <c r="I3536" s="2" t="s">
        <v>19506</v>
      </c>
      <c r="J3536" s="2" t="s">
        <v>13904</v>
      </c>
      <c r="K3536" s="2" t="s">
        <v>19270</v>
      </c>
      <c r="L3536" s="82" t="s">
        <v>19512</v>
      </c>
    </row>
    <row r="3537" spans="1:12" ht="96" customHeight="1" x14ac:dyDescent="0.3">
      <c r="A3537" s="2">
        <v>3533</v>
      </c>
      <c r="B3537" s="66" t="s">
        <v>222</v>
      </c>
      <c r="C3537" s="66" t="s">
        <v>4050</v>
      </c>
      <c r="D3537" s="11">
        <v>5753.65</v>
      </c>
      <c r="E3537" s="11">
        <v>5753.65</v>
      </c>
      <c r="F3537" s="3">
        <v>40269</v>
      </c>
      <c r="G3537" s="2"/>
      <c r="H3537" s="3">
        <v>43053</v>
      </c>
      <c r="I3537" s="2" t="s">
        <v>19506</v>
      </c>
      <c r="J3537" s="2" t="s">
        <v>13904</v>
      </c>
      <c r="K3537" s="2" t="s">
        <v>19270</v>
      </c>
      <c r="L3537" s="82" t="s">
        <v>19512</v>
      </c>
    </row>
    <row r="3538" spans="1:12" ht="96" customHeight="1" x14ac:dyDescent="0.3">
      <c r="A3538" s="2">
        <v>3534</v>
      </c>
      <c r="B3538" s="66" t="s">
        <v>4051</v>
      </c>
      <c r="C3538" s="66" t="s">
        <v>4052</v>
      </c>
      <c r="D3538" s="11">
        <v>13194.64</v>
      </c>
      <c r="E3538" s="11">
        <v>13194.64</v>
      </c>
      <c r="F3538" s="3">
        <v>40892</v>
      </c>
      <c r="G3538" s="2"/>
      <c r="H3538" s="3">
        <v>43053</v>
      </c>
      <c r="I3538" s="2" t="s">
        <v>19506</v>
      </c>
      <c r="J3538" s="2" t="s">
        <v>13904</v>
      </c>
      <c r="K3538" s="2" t="s">
        <v>19270</v>
      </c>
      <c r="L3538" s="82" t="s">
        <v>19512</v>
      </c>
    </row>
    <row r="3539" spans="1:12" ht="96" customHeight="1" x14ac:dyDescent="0.3">
      <c r="A3539" s="2">
        <v>3535</v>
      </c>
      <c r="B3539" s="66" t="s">
        <v>4053</v>
      </c>
      <c r="C3539" s="66" t="s">
        <v>3299</v>
      </c>
      <c r="D3539" s="11">
        <v>9398</v>
      </c>
      <c r="E3539" s="11">
        <v>9398</v>
      </c>
      <c r="F3539" s="3">
        <v>35197</v>
      </c>
      <c r="G3539" s="2"/>
      <c r="H3539" s="3">
        <v>43053</v>
      </c>
      <c r="I3539" s="2" t="s">
        <v>19506</v>
      </c>
      <c r="J3539" s="2" t="s">
        <v>13904</v>
      </c>
      <c r="K3539" s="2" t="s">
        <v>19270</v>
      </c>
      <c r="L3539" s="82" t="s">
        <v>19512</v>
      </c>
    </row>
    <row r="3540" spans="1:12" ht="96" customHeight="1" x14ac:dyDescent="0.3">
      <c r="A3540" s="2">
        <v>3536</v>
      </c>
      <c r="B3540" s="66" t="s">
        <v>4054</v>
      </c>
      <c r="C3540" s="66" t="s">
        <v>3456</v>
      </c>
      <c r="D3540" s="11">
        <v>4000</v>
      </c>
      <c r="E3540" s="11">
        <v>4000</v>
      </c>
      <c r="F3540" s="3">
        <v>39441</v>
      </c>
      <c r="G3540" s="2"/>
      <c r="H3540" s="3">
        <v>43053</v>
      </c>
      <c r="I3540" s="2" t="s">
        <v>19506</v>
      </c>
      <c r="J3540" s="2" t="s">
        <v>13904</v>
      </c>
      <c r="K3540" s="2" t="s">
        <v>19270</v>
      </c>
      <c r="L3540" s="82" t="s">
        <v>19512</v>
      </c>
    </row>
    <row r="3541" spans="1:12" ht="96" customHeight="1" x14ac:dyDescent="0.3">
      <c r="A3541" s="2">
        <v>3537</v>
      </c>
      <c r="B3541" s="66" t="s">
        <v>2899</v>
      </c>
      <c r="C3541" s="66" t="s">
        <v>3612</v>
      </c>
      <c r="D3541" s="11">
        <v>8961.6299999999992</v>
      </c>
      <c r="E3541" s="11">
        <v>8961.6299999999992</v>
      </c>
      <c r="F3541" s="3">
        <v>28736</v>
      </c>
      <c r="G3541" s="2"/>
      <c r="H3541" s="3">
        <v>43053</v>
      </c>
      <c r="I3541" s="2" t="s">
        <v>19506</v>
      </c>
      <c r="J3541" s="2" t="s">
        <v>13904</v>
      </c>
      <c r="K3541" s="2" t="s">
        <v>19270</v>
      </c>
      <c r="L3541" s="82" t="s">
        <v>19512</v>
      </c>
    </row>
    <row r="3542" spans="1:12" ht="96" customHeight="1" x14ac:dyDescent="0.3">
      <c r="A3542" s="2">
        <v>3538</v>
      </c>
      <c r="B3542" s="66" t="s">
        <v>3896</v>
      </c>
      <c r="C3542" s="66" t="s">
        <v>4055</v>
      </c>
      <c r="D3542" s="11">
        <v>27964</v>
      </c>
      <c r="E3542" s="11">
        <v>27964</v>
      </c>
      <c r="F3542" s="3">
        <v>40898</v>
      </c>
      <c r="G3542" s="2"/>
      <c r="H3542" s="3">
        <v>43053</v>
      </c>
      <c r="I3542" s="2" t="s">
        <v>19506</v>
      </c>
      <c r="J3542" s="2" t="s">
        <v>13904</v>
      </c>
      <c r="K3542" s="2" t="s">
        <v>19270</v>
      </c>
      <c r="L3542" s="82" t="s">
        <v>19512</v>
      </c>
    </row>
    <row r="3543" spans="1:12" ht="96" customHeight="1" x14ac:dyDescent="0.3">
      <c r="A3543" s="2">
        <v>3539</v>
      </c>
      <c r="B3543" s="66" t="s">
        <v>217</v>
      </c>
      <c r="C3543" s="66" t="s">
        <v>3353</v>
      </c>
      <c r="D3543" s="11">
        <v>3330.65</v>
      </c>
      <c r="E3543" s="11">
        <v>3330.65</v>
      </c>
      <c r="F3543" s="3">
        <v>36636</v>
      </c>
      <c r="G3543" s="2"/>
      <c r="H3543" s="3">
        <v>43053</v>
      </c>
      <c r="I3543" s="2" t="s">
        <v>19506</v>
      </c>
      <c r="J3543" s="2" t="s">
        <v>13904</v>
      </c>
      <c r="K3543" s="2" t="s">
        <v>19270</v>
      </c>
      <c r="L3543" s="82" t="s">
        <v>19512</v>
      </c>
    </row>
    <row r="3544" spans="1:12" ht="96" customHeight="1" x14ac:dyDescent="0.3">
      <c r="A3544" s="2">
        <v>3540</v>
      </c>
      <c r="B3544" s="66" t="s">
        <v>3172</v>
      </c>
      <c r="C3544" s="66" t="s">
        <v>4056</v>
      </c>
      <c r="D3544" s="11">
        <v>4000</v>
      </c>
      <c r="E3544" s="11">
        <v>4000</v>
      </c>
      <c r="F3544" s="3">
        <v>40898</v>
      </c>
      <c r="G3544" s="2"/>
      <c r="H3544" s="3">
        <v>43053</v>
      </c>
      <c r="I3544" s="2" t="s">
        <v>19506</v>
      </c>
      <c r="J3544" s="2" t="s">
        <v>13904</v>
      </c>
      <c r="K3544" s="2" t="s">
        <v>19270</v>
      </c>
      <c r="L3544" s="82" t="s">
        <v>19512</v>
      </c>
    </row>
    <row r="3545" spans="1:12" ht="96" customHeight="1" x14ac:dyDescent="0.3">
      <c r="A3545" s="2">
        <v>3541</v>
      </c>
      <c r="B3545" s="66" t="s">
        <v>2138</v>
      </c>
      <c r="C3545" s="66" t="s">
        <v>3681</v>
      </c>
      <c r="D3545" s="11">
        <v>3493.77</v>
      </c>
      <c r="E3545" s="11">
        <v>3493.77</v>
      </c>
      <c r="F3545" s="3">
        <v>33226</v>
      </c>
      <c r="G3545" s="2"/>
      <c r="H3545" s="3">
        <v>43053</v>
      </c>
      <c r="I3545" s="2" t="s">
        <v>19506</v>
      </c>
      <c r="J3545" s="2" t="s">
        <v>13904</v>
      </c>
      <c r="K3545" s="2" t="s">
        <v>19270</v>
      </c>
      <c r="L3545" s="82" t="s">
        <v>19512</v>
      </c>
    </row>
    <row r="3546" spans="1:12" ht="96" customHeight="1" x14ac:dyDescent="0.3">
      <c r="A3546" s="2">
        <v>3542</v>
      </c>
      <c r="B3546" s="66" t="s">
        <v>223</v>
      </c>
      <c r="C3546" s="66" t="s">
        <v>3199</v>
      </c>
      <c r="D3546" s="11">
        <v>11442.08</v>
      </c>
      <c r="E3546" s="11">
        <v>11442.08</v>
      </c>
      <c r="F3546" s="3">
        <v>38736</v>
      </c>
      <c r="G3546" s="2"/>
      <c r="H3546" s="3">
        <v>43053</v>
      </c>
      <c r="I3546" s="2" t="s">
        <v>19506</v>
      </c>
      <c r="J3546" s="2" t="s">
        <v>13904</v>
      </c>
      <c r="K3546" s="2" t="s">
        <v>19270</v>
      </c>
      <c r="L3546" s="82" t="s">
        <v>19512</v>
      </c>
    </row>
    <row r="3547" spans="1:12" ht="96" customHeight="1" x14ac:dyDescent="0.3">
      <c r="A3547" s="2">
        <v>3543</v>
      </c>
      <c r="B3547" s="66" t="s">
        <v>4057</v>
      </c>
      <c r="C3547" s="66" t="s">
        <v>3203</v>
      </c>
      <c r="D3547" s="11">
        <v>3694.6</v>
      </c>
      <c r="E3547" s="11">
        <v>3694.6</v>
      </c>
      <c r="F3547" s="3">
        <v>36572</v>
      </c>
      <c r="G3547" s="2"/>
      <c r="H3547" s="3">
        <v>43053</v>
      </c>
      <c r="I3547" s="2" t="s">
        <v>19506</v>
      </c>
      <c r="J3547" s="2" t="s">
        <v>13904</v>
      </c>
      <c r="K3547" s="2" t="s">
        <v>19270</v>
      </c>
      <c r="L3547" s="82" t="s">
        <v>19512</v>
      </c>
    </row>
    <row r="3548" spans="1:12" ht="96" customHeight="1" x14ac:dyDescent="0.3">
      <c r="A3548" s="2">
        <v>3544</v>
      </c>
      <c r="B3548" s="66" t="s">
        <v>4058</v>
      </c>
      <c r="C3548" s="66" t="s">
        <v>3608</v>
      </c>
      <c r="D3548" s="11">
        <v>5962.65</v>
      </c>
      <c r="E3548" s="11">
        <v>5962.65</v>
      </c>
      <c r="F3548" s="3">
        <v>33185</v>
      </c>
      <c r="G3548" s="2"/>
      <c r="H3548" s="3">
        <v>43053</v>
      </c>
      <c r="I3548" s="2" t="s">
        <v>19506</v>
      </c>
      <c r="J3548" s="2" t="s">
        <v>13904</v>
      </c>
      <c r="K3548" s="2" t="s">
        <v>19270</v>
      </c>
      <c r="L3548" s="82" t="s">
        <v>19512</v>
      </c>
    </row>
    <row r="3549" spans="1:12" ht="96" customHeight="1" x14ac:dyDescent="0.3">
      <c r="A3549" s="2">
        <v>3545</v>
      </c>
      <c r="B3549" s="66" t="s">
        <v>4059</v>
      </c>
      <c r="C3549" s="66" t="s">
        <v>3602</v>
      </c>
      <c r="D3549" s="11">
        <v>8651.24</v>
      </c>
      <c r="E3549" s="11">
        <v>8651.24</v>
      </c>
      <c r="F3549" s="3">
        <v>33020</v>
      </c>
      <c r="G3549" s="2"/>
      <c r="H3549" s="3">
        <v>43053</v>
      </c>
      <c r="I3549" s="2" t="s">
        <v>19506</v>
      </c>
      <c r="J3549" s="2" t="s">
        <v>13904</v>
      </c>
      <c r="K3549" s="2" t="s">
        <v>19270</v>
      </c>
      <c r="L3549" s="82" t="s">
        <v>19512</v>
      </c>
    </row>
    <row r="3550" spans="1:12" ht="96" customHeight="1" x14ac:dyDescent="0.3">
      <c r="A3550" s="2">
        <v>3546</v>
      </c>
      <c r="B3550" s="66" t="s">
        <v>4060</v>
      </c>
      <c r="C3550" s="66" t="s">
        <v>3776</v>
      </c>
      <c r="D3550" s="11">
        <v>3981</v>
      </c>
      <c r="E3550" s="11">
        <v>3981</v>
      </c>
      <c r="F3550" s="3">
        <v>39408</v>
      </c>
      <c r="G3550" s="2"/>
      <c r="H3550" s="3">
        <v>43053</v>
      </c>
      <c r="I3550" s="2" t="s">
        <v>19506</v>
      </c>
      <c r="J3550" s="2" t="s">
        <v>13904</v>
      </c>
      <c r="K3550" s="2" t="s">
        <v>19270</v>
      </c>
      <c r="L3550" s="82" t="s">
        <v>19512</v>
      </c>
    </row>
    <row r="3551" spans="1:12" ht="96" customHeight="1" x14ac:dyDescent="0.3">
      <c r="A3551" s="2">
        <v>3547</v>
      </c>
      <c r="B3551" s="66" t="s">
        <v>224</v>
      </c>
      <c r="C3551" s="66" t="s">
        <v>3201</v>
      </c>
      <c r="D3551" s="11">
        <v>5792.1</v>
      </c>
      <c r="E3551" s="11">
        <v>5792.1</v>
      </c>
      <c r="F3551" s="3">
        <v>36888</v>
      </c>
      <c r="G3551" s="2"/>
      <c r="H3551" s="3">
        <v>43053</v>
      </c>
      <c r="I3551" s="2" t="s">
        <v>19506</v>
      </c>
      <c r="J3551" s="2" t="s">
        <v>13904</v>
      </c>
      <c r="K3551" s="2" t="s">
        <v>19270</v>
      </c>
      <c r="L3551" s="82" t="s">
        <v>19512</v>
      </c>
    </row>
    <row r="3552" spans="1:12" ht="96" customHeight="1" x14ac:dyDescent="0.3">
      <c r="A3552" s="2">
        <v>3548</v>
      </c>
      <c r="B3552" s="66" t="s">
        <v>4061</v>
      </c>
      <c r="C3552" s="66" t="s">
        <v>3457</v>
      </c>
      <c r="D3552" s="11">
        <v>8333</v>
      </c>
      <c r="E3552" s="11">
        <v>8333</v>
      </c>
      <c r="F3552" s="3">
        <v>39445</v>
      </c>
      <c r="G3552" s="2"/>
      <c r="H3552" s="3">
        <v>43053</v>
      </c>
      <c r="I3552" s="2" t="s">
        <v>19506</v>
      </c>
      <c r="J3552" s="2" t="s">
        <v>13904</v>
      </c>
      <c r="K3552" s="2" t="s">
        <v>19270</v>
      </c>
      <c r="L3552" s="82" t="s">
        <v>19512</v>
      </c>
    </row>
    <row r="3553" spans="1:12" ht="96" customHeight="1" x14ac:dyDescent="0.3">
      <c r="A3553" s="2">
        <v>3549</v>
      </c>
      <c r="B3553" s="66" t="s">
        <v>4062</v>
      </c>
      <c r="C3553" s="66" t="s">
        <v>3300</v>
      </c>
      <c r="D3553" s="11">
        <v>6052.82</v>
      </c>
      <c r="E3553" s="11">
        <v>6052.82</v>
      </c>
      <c r="F3553" s="3">
        <v>35925</v>
      </c>
      <c r="G3553" s="2"/>
      <c r="H3553" s="3">
        <v>43053</v>
      </c>
      <c r="I3553" s="2" t="s">
        <v>19506</v>
      </c>
      <c r="J3553" s="2" t="s">
        <v>13904</v>
      </c>
      <c r="K3553" s="2" t="s">
        <v>19270</v>
      </c>
      <c r="L3553" s="82" t="s">
        <v>19512</v>
      </c>
    </row>
    <row r="3554" spans="1:12" ht="96" customHeight="1" x14ac:dyDescent="0.3">
      <c r="A3554" s="2">
        <v>3550</v>
      </c>
      <c r="B3554" s="66" t="s">
        <v>4063</v>
      </c>
      <c r="C3554" s="66" t="s">
        <v>3298</v>
      </c>
      <c r="D3554" s="11">
        <v>10800.26</v>
      </c>
      <c r="E3554" s="11">
        <v>10800.26</v>
      </c>
      <c r="F3554" s="3">
        <v>39072</v>
      </c>
      <c r="G3554" s="2"/>
      <c r="H3554" s="3">
        <v>43053</v>
      </c>
      <c r="I3554" s="2" t="s">
        <v>19506</v>
      </c>
      <c r="J3554" s="2" t="s">
        <v>13904</v>
      </c>
      <c r="K3554" s="2" t="s">
        <v>19270</v>
      </c>
      <c r="L3554" s="82" t="s">
        <v>19512</v>
      </c>
    </row>
    <row r="3555" spans="1:12" ht="96" customHeight="1" x14ac:dyDescent="0.3">
      <c r="A3555" s="2">
        <v>3551</v>
      </c>
      <c r="B3555" s="66" t="s">
        <v>4064</v>
      </c>
      <c r="C3555" s="66" t="s">
        <v>3889</v>
      </c>
      <c r="D3555" s="11">
        <v>3693.16</v>
      </c>
      <c r="E3555" s="11">
        <v>3693.16</v>
      </c>
      <c r="F3555" s="3">
        <v>3448</v>
      </c>
      <c r="G3555" s="2"/>
      <c r="H3555" s="3">
        <v>43053</v>
      </c>
      <c r="I3555" s="2" t="s">
        <v>19506</v>
      </c>
      <c r="J3555" s="2" t="s">
        <v>13904</v>
      </c>
      <c r="K3555" s="2" t="s">
        <v>19270</v>
      </c>
      <c r="L3555" s="82" t="s">
        <v>19512</v>
      </c>
    </row>
    <row r="3556" spans="1:12" ht="96" customHeight="1" x14ac:dyDescent="0.3">
      <c r="A3556" s="2">
        <v>3552</v>
      </c>
      <c r="B3556" s="66" t="s">
        <v>19850</v>
      </c>
      <c r="C3556" s="66">
        <v>4101260280</v>
      </c>
      <c r="D3556" s="11">
        <v>75000</v>
      </c>
      <c r="E3556" s="11">
        <v>0</v>
      </c>
      <c r="F3556" s="3">
        <v>43069</v>
      </c>
      <c r="G3556" s="2" t="s">
        <v>19851</v>
      </c>
      <c r="H3556" s="3"/>
      <c r="I3556" s="2"/>
      <c r="J3556" s="2" t="s">
        <v>13904</v>
      </c>
      <c r="K3556" s="2" t="s">
        <v>19852</v>
      </c>
      <c r="L3556" s="82" t="s">
        <v>20499</v>
      </c>
    </row>
    <row r="3557" spans="1:12" ht="96" customHeight="1" x14ac:dyDescent="0.3">
      <c r="A3557" s="2">
        <v>3553</v>
      </c>
      <c r="B3557" s="66" t="s">
        <v>4065</v>
      </c>
      <c r="C3557" s="66" t="s">
        <v>4066</v>
      </c>
      <c r="D3557" s="11">
        <v>10700</v>
      </c>
      <c r="E3557" s="11">
        <v>10700</v>
      </c>
      <c r="F3557" s="3">
        <v>41214</v>
      </c>
      <c r="G3557" s="2"/>
      <c r="H3557" s="3">
        <v>43053</v>
      </c>
      <c r="I3557" s="2" t="s">
        <v>19506</v>
      </c>
      <c r="J3557" s="2" t="s">
        <v>13904</v>
      </c>
      <c r="K3557" s="2" t="s">
        <v>19270</v>
      </c>
      <c r="L3557" s="82" t="s">
        <v>19512</v>
      </c>
    </row>
    <row r="3558" spans="1:12" ht="96" customHeight="1" x14ac:dyDescent="0.3">
      <c r="A3558" s="2">
        <v>3554</v>
      </c>
      <c r="B3558" s="66" t="s">
        <v>4067</v>
      </c>
      <c r="C3558" s="66" t="s">
        <v>4068</v>
      </c>
      <c r="D3558" s="11">
        <v>4750</v>
      </c>
      <c r="E3558" s="11">
        <v>4750</v>
      </c>
      <c r="F3558" s="3">
        <v>41145</v>
      </c>
      <c r="G3558" s="2"/>
      <c r="H3558" s="3">
        <v>43053</v>
      </c>
      <c r="I3558" s="2" t="s">
        <v>19506</v>
      </c>
      <c r="J3558" s="2" t="s">
        <v>13904</v>
      </c>
      <c r="K3558" s="2" t="s">
        <v>19270</v>
      </c>
      <c r="L3558" s="82" t="s">
        <v>19512</v>
      </c>
    </row>
    <row r="3559" spans="1:12" ht="96" customHeight="1" x14ac:dyDescent="0.3">
      <c r="A3559" s="2">
        <v>3555</v>
      </c>
      <c r="B3559" s="66" t="s">
        <v>4067</v>
      </c>
      <c r="C3559" s="66" t="s">
        <v>4069</v>
      </c>
      <c r="D3559" s="11">
        <v>4749.99</v>
      </c>
      <c r="E3559" s="11">
        <v>4749.99</v>
      </c>
      <c r="F3559" s="3">
        <v>41145</v>
      </c>
      <c r="G3559" s="2"/>
      <c r="H3559" s="3">
        <v>43053</v>
      </c>
      <c r="I3559" s="2" t="s">
        <v>19506</v>
      </c>
      <c r="J3559" s="2" t="s">
        <v>13904</v>
      </c>
      <c r="K3559" s="2" t="s">
        <v>19270</v>
      </c>
      <c r="L3559" s="82" t="s">
        <v>19512</v>
      </c>
    </row>
    <row r="3560" spans="1:12" ht="96" customHeight="1" x14ac:dyDescent="0.3">
      <c r="A3560" s="2">
        <v>3556</v>
      </c>
      <c r="B3560" s="66" t="s">
        <v>4070</v>
      </c>
      <c r="C3560" s="66" t="s">
        <v>3145</v>
      </c>
      <c r="D3560" s="11">
        <v>9500</v>
      </c>
      <c r="E3560" s="11">
        <v>9500</v>
      </c>
      <c r="F3560" s="3">
        <v>41866</v>
      </c>
      <c r="G3560" s="2"/>
      <c r="H3560" s="3">
        <v>43053</v>
      </c>
      <c r="I3560" s="2" t="s">
        <v>19506</v>
      </c>
      <c r="J3560" s="2" t="s">
        <v>13904</v>
      </c>
      <c r="K3560" s="2" t="s">
        <v>19270</v>
      </c>
      <c r="L3560" s="82" t="s">
        <v>19512</v>
      </c>
    </row>
    <row r="3561" spans="1:12" ht="96" customHeight="1" x14ac:dyDescent="0.3">
      <c r="A3561" s="2">
        <v>3557</v>
      </c>
      <c r="B3561" s="66" t="s">
        <v>4071</v>
      </c>
      <c r="C3561" s="66" t="s">
        <v>3146</v>
      </c>
      <c r="D3561" s="11">
        <v>5500</v>
      </c>
      <c r="E3561" s="11">
        <v>5500</v>
      </c>
      <c r="F3561" s="3">
        <v>41866</v>
      </c>
      <c r="G3561" s="2"/>
      <c r="H3561" s="3">
        <v>43053</v>
      </c>
      <c r="I3561" s="2" t="s">
        <v>19506</v>
      </c>
      <c r="J3561" s="2" t="s">
        <v>13904</v>
      </c>
      <c r="K3561" s="2" t="s">
        <v>19270</v>
      </c>
      <c r="L3561" s="82" t="s">
        <v>19512</v>
      </c>
    </row>
    <row r="3562" spans="1:12" ht="96" customHeight="1" x14ac:dyDescent="0.3">
      <c r="A3562" s="2">
        <v>3558</v>
      </c>
      <c r="B3562" s="66" t="s">
        <v>4072</v>
      </c>
      <c r="C3562" s="66" t="s">
        <v>3147</v>
      </c>
      <c r="D3562" s="11">
        <v>3500</v>
      </c>
      <c r="E3562" s="11">
        <v>3500</v>
      </c>
      <c r="F3562" s="3">
        <v>41845</v>
      </c>
      <c r="G3562" s="2"/>
      <c r="H3562" s="3">
        <v>43053</v>
      </c>
      <c r="I3562" s="2" t="s">
        <v>19506</v>
      </c>
      <c r="J3562" s="2" t="s">
        <v>13904</v>
      </c>
      <c r="K3562" s="2" t="s">
        <v>19270</v>
      </c>
      <c r="L3562" s="82" t="s">
        <v>19512</v>
      </c>
    </row>
    <row r="3563" spans="1:12" ht="96" customHeight="1" x14ac:dyDescent="0.3">
      <c r="A3563" s="2">
        <v>3559</v>
      </c>
      <c r="B3563" s="66" t="s">
        <v>4073</v>
      </c>
      <c r="C3563" s="66" t="s">
        <v>3149</v>
      </c>
      <c r="D3563" s="11">
        <v>3200</v>
      </c>
      <c r="E3563" s="11">
        <v>3200</v>
      </c>
      <c r="F3563" s="3">
        <v>41845</v>
      </c>
      <c r="G3563" s="2"/>
      <c r="H3563" s="3">
        <v>43053</v>
      </c>
      <c r="I3563" s="2" t="s">
        <v>19506</v>
      </c>
      <c r="J3563" s="2" t="s">
        <v>13904</v>
      </c>
      <c r="K3563" s="2" t="s">
        <v>19270</v>
      </c>
      <c r="L3563" s="82" t="s">
        <v>19512</v>
      </c>
    </row>
    <row r="3564" spans="1:12" ht="96" customHeight="1" x14ac:dyDescent="0.3">
      <c r="A3564" s="2">
        <v>3560</v>
      </c>
      <c r="B3564" s="66" t="s">
        <v>4074</v>
      </c>
      <c r="C3564" s="66" t="s">
        <v>4075</v>
      </c>
      <c r="D3564" s="11">
        <v>7263.13</v>
      </c>
      <c r="E3564" s="11">
        <v>7263.13</v>
      </c>
      <c r="F3564" s="3">
        <v>33090</v>
      </c>
      <c r="G3564" s="2"/>
      <c r="H3564" s="3">
        <v>43053</v>
      </c>
      <c r="I3564" s="2" t="s">
        <v>19506</v>
      </c>
      <c r="J3564" s="2" t="s">
        <v>13904</v>
      </c>
      <c r="K3564" s="2" t="s">
        <v>19270</v>
      </c>
      <c r="L3564" s="82" t="s">
        <v>19512</v>
      </c>
    </row>
    <row r="3565" spans="1:12" ht="96" customHeight="1" x14ac:dyDescent="0.3">
      <c r="A3565" s="2">
        <v>3561</v>
      </c>
      <c r="B3565" s="66" t="s">
        <v>4076</v>
      </c>
      <c r="C3565" s="66" t="s">
        <v>4077</v>
      </c>
      <c r="D3565" s="11">
        <v>20180.3</v>
      </c>
      <c r="E3565" s="11">
        <v>20180.3</v>
      </c>
      <c r="F3565" s="3">
        <v>29252</v>
      </c>
      <c r="G3565" s="2"/>
      <c r="H3565" s="3">
        <v>43053</v>
      </c>
      <c r="I3565" s="2" t="s">
        <v>19506</v>
      </c>
      <c r="J3565" s="2" t="s">
        <v>13904</v>
      </c>
      <c r="K3565" s="2" t="s">
        <v>19270</v>
      </c>
      <c r="L3565" s="82" t="s">
        <v>19512</v>
      </c>
    </row>
    <row r="3566" spans="1:12" ht="96" customHeight="1" x14ac:dyDescent="0.3">
      <c r="A3566" s="2">
        <v>3562</v>
      </c>
      <c r="B3566" s="66" t="s">
        <v>4078</v>
      </c>
      <c r="C3566" s="66" t="s">
        <v>4079</v>
      </c>
      <c r="D3566" s="11">
        <v>7687</v>
      </c>
      <c r="E3566" s="11">
        <v>7687</v>
      </c>
      <c r="F3566" s="3">
        <v>39430</v>
      </c>
      <c r="G3566" s="2"/>
      <c r="H3566" s="3">
        <v>43053</v>
      </c>
      <c r="I3566" s="2" t="s">
        <v>19506</v>
      </c>
      <c r="J3566" s="2" t="s">
        <v>13904</v>
      </c>
      <c r="K3566" s="2" t="s">
        <v>19270</v>
      </c>
      <c r="L3566" s="82" t="s">
        <v>19512</v>
      </c>
    </row>
    <row r="3567" spans="1:12" ht="96" customHeight="1" x14ac:dyDescent="0.3">
      <c r="A3567" s="2">
        <v>3563</v>
      </c>
      <c r="B3567" s="66" t="s">
        <v>3270</v>
      </c>
      <c r="C3567" s="66" t="s">
        <v>4080</v>
      </c>
      <c r="D3567" s="11">
        <v>4319.2700000000004</v>
      </c>
      <c r="E3567" s="11">
        <v>4319.2700000000004</v>
      </c>
      <c r="F3567" s="3">
        <v>33217</v>
      </c>
      <c r="G3567" s="2"/>
      <c r="H3567" s="3">
        <v>43053</v>
      </c>
      <c r="I3567" s="2" t="s">
        <v>19506</v>
      </c>
      <c r="J3567" s="2" t="s">
        <v>13904</v>
      </c>
      <c r="K3567" s="2" t="s">
        <v>19270</v>
      </c>
      <c r="L3567" s="82" t="s">
        <v>19512</v>
      </c>
    </row>
    <row r="3568" spans="1:12" ht="96" customHeight="1" x14ac:dyDescent="0.3">
      <c r="A3568" s="2">
        <v>3564</v>
      </c>
      <c r="B3568" s="66" t="s">
        <v>3110</v>
      </c>
      <c r="C3568" s="66" t="s">
        <v>3855</v>
      </c>
      <c r="D3568" s="11">
        <v>4572</v>
      </c>
      <c r="E3568" s="11">
        <v>4572</v>
      </c>
      <c r="F3568" s="3">
        <v>33083</v>
      </c>
      <c r="G3568" s="2"/>
      <c r="H3568" s="3">
        <v>43053</v>
      </c>
      <c r="I3568" s="2" t="s">
        <v>19506</v>
      </c>
      <c r="J3568" s="2" t="s">
        <v>13904</v>
      </c>
      <c r="K3568" s="2" t="s">
        <v>19270</v>
      </c>
      <c r="L3568" s="82" t="s">
        <v>19512</v>
      </c>
    </row>
    <row r="3569" spans="1:15" ht="96" customHeight="1" x14ac:dyDescent="0.3">
      <c r="A3569" s="2">
        <v>3565</v>
      </c>
      <c r="B3569" s="66" t="s">
        <v>3639</v>
      </c>
      <c r="C3569" s="66" t="s">
        <v>4081</v>
      </c>
      <c r="D3569" s="11">
        <v>4139.12</v>
      </c>
      <c r="E3569" s="11">
        <v>4139.12</v>
      </c>
      <c r="F3569" s="3">
        <v>39066</v>
      </c>
      <c r="G3569" s="2"/>
      <c r="H3569" s="3">
        <v>43053</v>
      </c>
      <c r="I3569" s="2" t="s">
        <v>19506</v>
      </c>
      <c r="J3569" s="2" t="s">
        <v>13904</v>
      </c>
      <c r="K3569" s="2" t="s">
        <v>19270</v>
      </c>
      <c r="L3569" s="82" t="s">
        <v>19512</v>
      </c>
    </row>
    <row r="3570" spans="1:15" ht="96" customHeight="1" x14ac:dyDescent="0.3">
      <c r="A3570" s="2">
        <v>3566</v>
      </c>
      <c r="B3570" s="66" t="s">
        <v>4082</v>
      </c>
      <c r="C3570" s="66" t="s">
        <v>4083</v>
      </c>
      <c r="D3570" s="11">
        <v>4319.9799999999996</v>
      </c>
      <c r="E3570" s="11">
        <v>4319.9799999999996</v>
      </c>
      <c r="F3570" s="3">
        <v>41143</v>
      </c>
      <c r="G3570" s="2"/>
      <c r="H3570" s="3">
        <v>43053</v>
      </c>
      <c r="I3570" s="2" t="s">
        <v>19506</v>
      </c>
      <c r="J3570" s="2" t="s">
        <v>13904</v>
      </c>
      <c r="K3570" s="2" t="s">
        <v>19270</v>
      </c>
      <c r="L3570" s="82" t="s">
        <v>19512</v>
      </c>
    </row>
    <row r="3571" spans="1:15" ht="96" customHeight="1" x14ac:dyDescent="0.3">
      <c r="A3571" s="2">
        <v>3567</v>
      </c>
      <c r="B3571" s="66" t="s">
        <v>4084</v>
      </c>
      <c r="C3571" s="66" t="s">
        <v>4085</v>
      </c>
      <c r="D3571" s="11">
        <v>6200</v>
      </c>
      <c r="E3571" s="11">
        <v>6200</v>
      </c>
      <c r="F3571" s="3">
        <v>41267</v>
      </c>
      <c r="G3571" s="2"/>
      <c r="H3571" s="3">
        <v>43053</v>
      </c>
      <c r="I3571" s="2" t="s">
        <v>19506</v>
      </c>
      <c r="J3571" s="2" t="s">
        <v>13904</v>
      </c>
      <c r="K3571" s="2" t="s">
        <v>19270</v>
      </c>
      <c r="L3571" s="82" t="s">
        <v>19512</v>
      </c>
    </row>
    <row r="3572" spans="1:15" ht="96" customHeight="1" x14ac:dyDescent="0.3">
      <c r="A3572" s="2">
        <v>3568</v>
      </c>
      <c r="B3572" s="66" t="s">
        <v>4086</v>
      </c>
      <c r="C3572" s="66" t="s">
        <v>4087</v>
      </c>
      <c r="D3572" s="11">
        <v>7750</v>
      </c>
      <c r="E3572" s="11">
        <v>7750</v>
      </c>
      <c r="F3572" s="3">
        <v>41145</v>
      </c>
      <c r="G3572" s="2"/>
      <c r="H3572" s="3">
        <v>43053</v>
      </c>
      <c r="I3572" s="2" t="s">
        <v>19506</v>
      </c>
      <c r="J3572" s="2" t="s">
        <v>13904</v>
      </c>
      <c r="K3572" s="2" t="s">
        <v>19270</v>
      </c>
      <c r="L3572" s="82" t="s">
        <v>19512</v>
      </c>
    </row>
    <row r="3573" spans="1:15" ht="96" customHeight="1" x14ac:dyDescent="0.3">
      <c r="A3573" s="2">
        <v>3569</v>
      </c>
      <c r="B3573" s="66" t="s">
        <v>4088</v>
      </c>
      <c r="C3573" s="66" t="s">
        <v>4089</v>
      </c>
      <c r="D3573" s="11">
        <v>6100</v>
      </c>
      <c r="E3573" s="11">
        <v>6100</v>
      </c>
      <c r="F3573" s="3">
        <v>41145</v>
      </c>
      <c r="G3573" s="2"/>
      <c r="H3573" s="3">
        <v>43053</v>
      </c>
      <c r="I3573" s="2" t="s">
        <v>19506</v>
      </c>
      <c r="J3573" s="2" t="s">
        <v>13904</v>
      </c>
      <c r="K3573" s="2" t="s">
        <v>19270</v>
      </c>
      <c r="L3573" s="82" t="s">
        <v>19512</v>
      </c>
    </row>
    <row r="3574" spans="1:15" ht="96" customHeight="1" x14ac:dyDescent="0.3">
      <c r="A3574" s="2">
        <v>3570</v>
      </c>
      <c r="B3574" s="66" t="s">
        <v>4088</v>
      </c>
      <c r="C3574" s="66" t="s">
        <v>4090</v>
      </c>
      <c r="D3574" s="11">
        <v>6100</v>
      </c>
      <c r="E3574" s="11">
        <v>6100</v>
      </c>
      <c r="F3574" s="3">
        <v>41145</v>
      </c>
      <c r="G3574" s="2"/>
      <c r="H3574" s="3">
        <v>43053</v>
      </c>
      <c r="I3574" s="2" t="s">
        <v>19506</v>
      </c>
      <c r="J3574" s="2" t="s">
        <v>13904</v>
      </c>
      <c r="K3574" s="2" t="s">
        <v>19270</v>
      </c>
      <c r="L3574" s="82" t="s">
        <v>19512</v>
      </c>
    </row>
    <row r="3575" spans="1:15" ht="96" customHeight="1" x14ac:dyDescent="0.3">
      <c r="A3575" s="2">
        <v>3571</v>
      </c>
      <c r="B3575" s="66" t="s">
        <v>4091</v>
      </c>
      <c r="C3575" s="66" t="s">
        <v>3151</v>
      </c>
      <c r="D3575" s="11">
        <v>7200</v>
      </c>
      <c r="E3575" s="11">
        <v>7200</v>
      </c>
      <c r="F3575" s="3">
        <v>41969</v>
      </c>
      <c r="G3575" s="2"/>
      <c r="H3575" s="3">
        <v>43053</v>
      </c>
      <c r="I3575" s="2" t="s">
        <v>19506</v>
      </c>
      <c r="J3575" s="2" t="s">
        <v>13904</v>
      </c>
      <c r="K3575" s="2" t="s">
        <v>19270</v>
      </c>
      <c r="L3575" s="82" t="s">
        <v>19512</v>
      </c>
    </row>
    <row r="3576" spans="1:15" ht="96" customHeight="1" x14ac:dyDescent="0.3">
      <c r="A3576" s="2">
        <v>3572</v>
      </c>
      <c r="B3576" s="66" t="s">
        <v>4092</v>
      </c>
      <c r="C3576" s="66" t="s">
        <v>3152</v>
      </c>
      <c r="D3576" s="11">
        <v>15300</v>
      </c>
      <c r="E3576" s="11">
        <v>15300</v>
      </c>
      <c r="F3576" s="3">
        <v>41969</v>
      </c>
      <c r="G3576" s="2"/>
      <c r="H3576" s="3">
        <v>43053</v>
      </c>
      <c r="I3576" s="2" t="s">
        <v>19506</v>
      </c>
      <c r="J3576" s="2" t="s">
        <v>13904</v>
      </c>
      <c r="K3576" s="2" t="s">
        <v>19270</v>
      </c>
      <c r="L3576" s="82" t="s">
        <v>19512</v>
      </c>
    </row>
    <row r="3577" spans="1:15" ht="96" customHeight="1" x14ac:dyDescent="0.3">
      <c r="A3577" s="2">
        <v>3573</v>
      </c>
      <c r="B3577" s="66" t="s">
        <v>4093</v>
      </c>
      <c r="C3577" s="66" t="s">
        <v>3153</v>
      </c>
      <c r="D3577" s="11">
        <v>5150</v>
      </c>
      <c r="E3577" s="11">
        <v>5150</v>
      </c>
      <c r="F3577" s="3">
        <v>41969</v>
      </c>
      <c r="G3577" s="2"/>
      <c r="H3577" s="3">
        <v>43053</v>
      </c>
      <c r="I3577" s="2" t="s">
        <v>19506</v>
      </c>
      <c r="J3577" s="2" t="s">
        <v>13904</v>
      </c>
      <c r="K3577" s="2" t="s">
        <v>19270</v>
      </c>
      <c r="L3577" s="82" t="s">
        <v>19512</v>
      </c>
    </row>
    <row r="3578" spans="1:15" ht="96" customHeight="1" x14ac:dyDescent="0.3">
      <c r="A3578" s="2">
        <v>3574</v>
      </c>
      <c r="B3578" s="66" t="s">
        <v>4094</v>
      </c>
      <c r="C3578" s="66" t="s">
        <v>3154</v>
      </c>
      <c r="D3578" s="11">
        <v>4800</v>
      </c>
      <c r="E3578" s="11">
        <v>4800</v>
      </c>
      <c r="F3578" s="3">
        <v>41969</v>
      </c>
      <c r="G3578" s="2"/>
      <c r="H3578" s="3">
        <v>43053</v>
      </c>
      <c r="I3578" s="2" t="s">
        <v>19506</v>
      </c>
      <c r="J3578" s="2" t="s">
        <v>13904</v>
      </c>
      <c r="K3578" s="2" t="s">
        <v>19270</v>
      </c>
      <c r="L3578" s="82" t="s">
        <v>19512</v>
      </c>
    </row>
    <row r="3579" spans="1:15" ht="96" customHeight="1" x14ac:dyDescent="0.3">
      <c r="A3579" s="2">
        <v>3575</v>
      </c>
      <c r="B3579" s="66" t="s">
        <v>4095</v>
      </c>
      <c r="C3579" s="66" t="s">
        <v>3344</v>
      </c>
      <c r="D3579" s="11">
        <v>5085.7299999999996</v>
      </c>
      <c r="E3579" s="11">
        <v>5085.7299999999996</v>
      </c>
      <c r="F3579" s="3">
        <v>41985</v>
      </c>
      <c r="G3579" s="2"/>
      <c r="H3579" s="3">
        <v>43053</v>
      </c>
      <c r="I3579" s="2" t="s">
        <v>19506</v>
      </c>
      <c r="J3579" s="2" t="s">
        <v>13904</v>
      </c>
      <c r="K3579" s="2" t="s">
        <v>19270</v>
      </c>
      <c r="L3579" s="82" t="s">
        <v>19512</v>
      </c>
    </row>
    <row r="3580" spans="1:15" ht="96" customHeight="1" x14ac:dyDescent="0.3">
      <c r="A3580" s="2">
        <v>3576</v>
      </c>
      <c r="B3580" s="66" t="s">
        <v>4096</v>
      </c>
      <c r="C3580" s="66" t="s">
        <v>3595</v>
      </c>
      <c r="D3580" s="11">
        <v>23690</v>
      </c>
      <c r="E3580" s="11">
        <v>23690</v>
      </c>
      <c r="F3580" s="3">
        <v>41985</v>
      </c>
      <c r="G3580" s="2"/>
      <c r="H3580" s="3">
        <v>43053</v>
      </c>
      <c r="I3580" s="2" t="s">
        <v>19506</v>
      </c>
      <c r="J3580" s="2" t="s">
        <v>13904</v>
      </c>
      <c r="K3580" s="2" t="s">
        <v>19270</v>
      </c>
      <c r="L3580" s="82" t="s">
        <v>19512</v>
      </c>
    </row>
    <row r="3581" spans="1:15" s="19" customFormat="1" ht="84" customHeight="1" x14ac:dyDescent="0.3">
      <c r="A3581" s="2">
        <v>3577</v>
      </c>
      <c r="B3581" s="66" t="s">
        <v>1062</v>
      </c>
      <c r="C3581" s="66">
        <v>4101240001</v>
      </c>
      <c r="D3581" s="11">
        <v>99983.97</v>
      </c>
      <c r="E3581" s="11">
        <v>38327.199999999997</v>
      </c>
      <c r="F3581" s="3">
        <v>42004</v>
      </c>
      <c r="G3581" s="2"/>
      <c r="H3581" s="2"/>
      <c r="I3581" s="2"/>
      <c r="J3581" s="2" t="s">
        <v>13904</v>
      </c>
      <c r="K3581" s="2" t="s">
        <v>19224</v>
      </c>
      <c r="L3581" s="82" t="s">
        <v>18744</v>
      </c>
      <c r="M3581" s="18"/>
      <c r="N3581" s="18"/>
      <c r="O3581" s="18"/>
    </row>
    <row r="3582" spans="1:15" ht="84" customHeight="1" x14ac:dyDescent="0.3">
      <c r="A3582" s="2">
        <v>3578</v>
      </c>
      <c r="B3582" s="66" t="s">
        <v>3764</v>
      </c>
      <c r="C3582" s="66" t="s">
        <v>14256</v>
      </c>
      <c r="D3582" s="11">
        <v>34001</v>
      </c>
      <c r="E3582" s="11">
        <v>34001</v>
      </c>
      <c r="F3582" s="3">
        <v>40536</v>
      </c>
      <c r="G3582" s="2"/>
      <c r="H3582" s="3">
        <v>43053</v>
      </c>
      <c r="I3582" s="2" t="s">
        <v>19506</v>
      </c>
      <c r="J3582" s="2" t="s">
        <v>13904</v>
      </c>
      <c r="K3582" s="2" t="s">
        <v>19223</v>
      </c>
      <c r="L3582" s="82" t="s">
        <v>19512</v>
      </c>
    </row>
    <row r="3583" spans="1:15" ht="84" customHeight="1" x14ac:dyDescent="0.3">
      <c r="A3583" s="2">
        <v>3579</v>
      </c>
      <c r="B3583" s="66" t="s">
        <v>3397</v>
      </c>
      <c r="C3583" s="66" t="s">
        <v>14257</v>
      </c>
      <c r="D3583" s="11">
        <v>31993.51</v>
      </c>
      <c r="E3583" s="11">
        <v>31993.51</v>
      </c>
      <c r="F3583" s="3">
        <v>39689</v>
      </c>
      <c r="G3583" s="2"/>
      <c r="H3583" s="3">
        <v>43053</v>
      </c>
      <c r="I3583" s="2" t="s">
        <v>19506</v>
      </c>
      <c r="J3583" s="2" t="s">
        <v>13904</v>
      </c>
      <c r="K3583" s="2" t="s">
        <v>19223</v>
      </c>
      <c r="L3583" s="82" t="s">
        <v>19512</v>
      </c>
    </row>
    <row r="3584" spans="1:15" ht="84" customHeight="1" x14ac:dyDescent="0.3">
      <c r="A3584" s="2">
        <v>3580</v>
      </c>
      <c r="B3584" s="66" t="s">
        <v>4097</v>
      </c>
      <c r="C3584" s="66" t="s">
        <v>18742</v>
      </c>
      <c r="D3584" s="11">
        <v>74535.88</v>
      </c>
      <c r="E3584" s="11">
        <v>74535.88</v>
      </c>
      <c r="F3584" s="3">
        <v>39401</v>
      </c>
      <c r="G3584" s="2"/>
      <c r="H3584" s="2"/>
      <c r="I3584" s="2"/>
      <c r="J3584" s="2" t="s">
        <v>13904</v>
      </c>
      <c r="K3584" s="2" t="s">
        <v>19224</v>
      </c>
      <c r="L3584" s="82" t="s">
        <v>18744</v>
      </c>
    </row>
    <row r="3585" spans="1:12" ht="84" customHeight="1" x14ac:dyDescent="0.3">
      <c r="A3585" s="2">
        <v>3581</v>
      </c>
      <c r="B3585" s="66" t="s">
        <v>4098</v>
      </c>
      <c r="C3585" s="66" t="s">
        <v>3565</v>
      </c>
      <c r="D3585" s="11">
        <v>24024</v>
      </c>
      <c r="E3585" s="11">
        <v>18986.64</v>
      </c>
      <c r="F3585" s="3">
        <v>39064</v>
      </c>
      <c r="G3585" s="2"/>
      <c r="H3585" s="3">
        <v>43053</v>
      </c>
      <c r="I3585" s="2" t="s">
        <v>19506</v>
      </c>
      <c r="J3585" s="2" t="s">
        <v>13904</v>
      </c>
      <c r="K3585" s="2" t="s">
        <v>19223</v>
      </c>
      <c r="L3585" s="82" t="s">
        <v>19512</v>
      </c>
    </row>
    <row r="3586" spans="1:12" ht="84" customHeight="1" x14ac:dyDescent="0.3">
      <c r="A3586" s="2">
        <v>3582</v>
      </c>
      <c r="B3586" s="66" t="s">
        <v>222</v>
      </c>
      <c r="C3586" s="66" t="s">
        <v>3673</v>
      </c>
      <c r="D3586" s="11">
        <v>7557.4</v>
      </c>
      <c r="E3586" s="11">
        <v>7557.4</v>
      </c>
      <c r="F3586" s="3">
        <v>39619</v>
      </c>
      <c r="G3586" s="2"/>
      <c r="H3586" s="3">
        <v>43053</v>
      </c>
      <c r="I3586" s="2" t="s">
        <v>19506</v>
      </c>
      <c r="J3586" s="2" t="s">
        <v>13904</v>
      </c>
      <c r="K3586" s="2" t="s">
        <v>19223</v>
      </c>
      <c r="L3586" s="82" t="s">
        <v>19512</v>
      </c>
    </row>
    <row r="3587" spans="1:12" ht="84" customHeight="1" x14ac:dyDescent="0.3">
      <c r="A3587" s="2">
        <v>3583</v>
      </c>
      <c r="B3587" s="66" t="s">
        <v>223</v>
      </c>
      <c r="C3587" s="66" t="s">
        <v>3457</v>
      </c>
      <c r="D3587" s="11">
        <v>17953.439999999999</v>
      </c>
      <c r="E3587" s="11">
        <v>17953.439999999999</v>
      </c>
      <c r="F3587" s="3">
        <v>39619</v>
      </c>
      <c r="G3587" s="2"/>
      <c r="H3587" s="3">
        <v>43053</v>
      </c>
      <c r="I3587" s="2" t="s">
        <v>19506</v>
      </c>
      <c r="J3587" s="2" t="s">
        <v>13904</v>
      </c>
      <c r="K3587" s="2" t="s">
        <v>19223</v>
      </c>
      <c r="L3587" s="82" t="s">
        <v>19512</v>
      </c>
    </row>
    <row r="3588" spans="1:12" ht="84" customHeight="1" x14ac:dyDescent="0.3">
      <c r="A3588" s="2">
        <v>3584</v>
      </c>
      <c r="B3588" s="66" t="s">
        <v>4099</v>
      </c>
      <c r="C3588" s="66" t="s">
        <v>4100</v>
      </c>
      <c r="D3588" s="11">
        <v>15500</v>
      </c>
      <c r="E3588" s="11">
        <v>15500</v>
      </c>
      <c r="F3588" s="3">
        <v>41361</v>
      </c>
      <c r="G3588" s="2"/>
      <c r="H3588" s="3">
        <v>43053</v>
      </c>
      <c r="I3588" s="2" t="s">
        <v>19506</v>
      </c>
      <c r="J3588" s="2" t="s">
        <v>13904</v>
      </c>
      <c r="K3588" s="2" t="s">
        <v>19223</v>
      </c>
      <c r="L3588" s="82" t="s">
        <v>19512</v>
      </c>
    </row>
    <row r="3589" spans="1:12" ht="84" customHeight="1" x14ac:dyDescent="0.3">
      <c r="A3589" s="2">
        <v>3585</v>
      </c>
      <c r="B3589" s="66" t="s">
        <v>4101</v>
      </c>
      <c r="C3589" s="66" t="s">
        <v>4102</v>
      </c>
      <c r="D3589" s="11">
        <v>12550</v>
      </c>
      <c r="E3589" s="11">
        <v>12550</v>
      </c>
      <c r="F3589" s="3">
        <v>41345</v>
      </c>
      <c r="G3589" s="2"/>
      <c r="H3589" s="3">
        <v>43053</v>
      </c>
      <c r="I3589" s="2" t="s">
        <v>19506</v>
      </c>
      <c r="J3589" s="2" t="s">
        <v>13904</v>
      </c>
      <c r="K3589" s="2" t="s">
        <v>19223</v>
      </c>
      <c r="L3589" s="82" t="s">
        <v>19512</v>
      </c>
    </row>
    <row r="3590" spans="1:12" ht="84" customHeight="1" x14ac:dyDescent="0.3">
      <c r="A3590" s="2">
        <v>3586</v>
      </c>
      <c r="B3590" s="66" t="s">
        <v>4103</v>
      </c>
      <c r="C3590" s="66" t="s">
        <v>4104</v>
      </c>
      <c r="D3590" s="11">
        <v>7316.01</v>
      </c>
      <c r="E3590" s="11">
        <v>7316.01</v>
      </c>
      <c r="F3590" s="3">
        <v>38372</v>
      </c>
      <c r="G3590" s="2"/>
      <c r="H3590" s="3">
        <v>43053</v>
      </c>
      <c r="I3590" s="2" t="s">
        <v>19506</v>
      </c>
      <c r="J3590" s="2" t="s">
        <v>13904</v>
      </c>
      <c r="K3590" s="2" t="s">
        <v>19223</v>
      </c>
      <c r="L3590" s="82" t="s">
        <v>19512</v>
      </c>
    </row>
    <row r="3591" spans="1:12" ht="84" customHeight="1" x14ac:dyDescent="0.3">
      <c r="A3591" s="2">
        <v>3587</v>
      </c>
      <c r="B3591" s="66" t="s">
        <v>216</v>
      </c>
      <c r="C3591" s="66" t="s">
        <v>3612</v>
      </c>
      <c r="D3591" s="11">
        <v>9298.2999999999993</v>
      </c>
      <c r="E3591" s="11">
        <v>9298.2999999999993</v>
      </c>
      <c r="F3591" s="3">
        <v>38492</v>
      </c>
      <c r="G3591" s="2"/>
      <c r="H3591" s="3">
        <v>43053</v>
      </c>
      <c r="I3591" s="2" t="s">
        <v>19506</v>
      </c>
      <c r="J3591" s="2" t="s">
        <v>13904</v>
      </c>
      <c r="K3591" s="2" t="s">
        <v>19223</v>
      </c>
      <c r="L3591" s="82" t="s">
        <v>19512</v>
      </c>
    </row>
    <row r="3592" spans="1:12" ht="84" customHeight="1" x14ac:dyDescent="0.3">
      <c r="A3592" s="2">
        <v>3588</v>
      </c>
      <c r="B3592" s="66" t="s">
        <v>4105</v>
      </c>
      <c r="C3592" s="66" t="s">
        <v>3681</v>
      </c>
      <c r="D3592" s="11">
        <v>9135</v>
      </c>
      <c r="E3592" s="11">
        <v>9135</v>
      </c>
      <c r="F3592" s="3">
        <v>39076</v>
      </c>
      <c r="G3592" s="2"/>
      <c r="H3592" s="3">
        <v>43053</v>
      </c>
      <c r="I3592" s="2" t="s">
        <v>19506</v>
      </c>
      <c r="J3592" s="2" t="s">
        <v>13904</v>
      </c>
      <c r="K3592" s="2" t="s">
        <v>19223</v>
      </c>
      <c r="L3592" s="82" t="s">
        <v>19512</v>
      </c>
    </row>
    <row r="3593" spans="1:12" ht="84" customHeight="1" x14ac:dyDescent="0.3">
      <c r="A3593" s="2">
        <v>3589</v>
      </c>
      <c r="B3593" s="66" t="s">
        <v>4106</v>
      </c>
      <c r="C3593" s="66" t="s">
        <v>3198</v>
      </c>
      <c r="D3593" s="11">
        <v>12535.8</v>
      </c>
      <c r="E3593" s="11">
        <v>12535.8</v>
      </c>
      <c r="F3593" s="3">
        <v>38729</v>
      </c>
      <c r="G3593" s="2"/>
      <c r="H3593" s="3">
        <v>43053</v>
      </c>
      <c r="I3593" s="2" t="s">
        <v>19506</v>
      </c>
      <c r="J3593" s="2" t="s">
        <v>13904</v>
      </c>
      <c r="K3593" s="2" t="s">
        <v>19223</v>
      </c>
      <c r="L3593" s="82" t="s">
        <v>19512</v>
      </c>
    </row>
    <row r="3594" spans="1:12" ht="84" customHeight="1" x14ac:dyDescent="0.3">
      <c r="A3594" s="2">
        <v>3590</v>
      </c>
      <c r="B3594" s="66" t="s">
        <v>4107</v>
      </c>
      <c r="C3594" s="66" t="s">
        <v>3602</v>
      </c>
      <c r="D3594" s="11">
        <v>5290.9</v>
      </c>
      <c r="E3594" s="11">
        <v>5290.9</v>
      </c>
      <c r="F3594" s="3">
        <v>39416</v>
      </c>
      <c r="G3594" s="2"/>
      <c r="H3594" s="3">
        <v>43053</v>
      </c>
      <c r="I3594" s="2" t="s">
        <v>19506</v>
      </c>
      <c r="J3594" s="2" t="s">
        <v>13904</v>
      </c>
      <c r="K3594" s="2" t="s">
        <v>19223</v>
      </c>
      <c r="L3594" s="82" t="s">
        <v>19512</v>
      </c>
    </row>
    <row r="3595" spans="1:12" ht="84" customHeight="1" x14ac:dyDescent="0.3">
      <c r="A3595" s="2">
        <v>3591</v>
      </c>
      <c r="B3595" s="66" t="s">
        <v>4054</v>
      </c>
      <c r="C3595" s="66" t="s">
        <v>3677</v>
      </c>
      <c r="D3595" s="11">
        <v>4000</v>
      </c>
      <c r="E3595" s="11">
        <v>4000</v>
      </c>
      <c r="F3595" s="3">
        <v>39441</v>
      </c>
      <c r="G3595" s="2"/>
      <c r="H3595" s="3">
        <v>43053</v>
      </c>
      <c r="I3595" s="2" t="s">
        <v>19506</v>
      </c>
      <c r="J3595" s="2" t="s">
        <v>13904</v>
      </c>
      <c r="K3595" s="2" t="s">
        <v>19223</v>
      </c>
      <c r="L3595" s="82" t="s">
        <v>19512</v>
      </c>
    </row>
    <row r="3596" spans="1:12" ht="84" customHeight="1" x14ac:dyDescent="0.3">
      <c r="A3596" s="2">
        <v>3592</v>
      </c>
      <c r="B3596" s="66" t="s">
        <v>3689</v>
      </c>
      <c r="C3596" s="66" t="s">
        <v>4108</v>
      </c>
      <c r="D3596" s="11">
        <v>5980</v>
      </c>
      <c r="E3596" s="11">
        <v>5980</v>
      </c>
      <c r="F3596" s="3">
        <v>40536</v>
      </c>
      <c r="G3596" s="2"/>
      <c r="H3596" s="3">
        <v>43053</v>
      </c>
      <c r="I3596" s="2" t="s">
        <v>19506</v>
      </c>
      <c r="J3596" s="2" t="s">
        <v>13904</v>
      </c>
      <c r="K3596" s="2" t="s">
        <v>19223</v>
      </c>
      <c r="L3596" s="82" t="s">
        <v>19512</v>
      </c>
    </row>
    <row r="3597" spans="1:12" ht="84" customHeight="1" x14ac:dyDescent="0.3">
      <c r="A3597" s="2">
        <v>3593</v>
      </c>
      <c r="B3597" s="66" t="s">
        <v>3404</v>
      </c>
      <c r="C3597" s="66" t="s">
        <v>3614</v>
      </c>
      <c r="D3597" s="11">
        <v>4052.57</v>
      </c>
      <c r="E3597" s="11">
        <v>4052.57</v>
      </c>
      <c r="F3597" s="3">
        <v>39426</v>
      </c>
      <c r="G3597" s="2"/>
      <c r="H3597" s="3">
        <v>43053</v>
      </c>
      <c r="I3597" s="2" t="s">
        <v>19506</v>
      </c>
      <c r="J3597" s="2" t="s">
        <v>13904</v>
      </c>
      <c r="K3597" s="2" t="s">
        <v>19223</v>
      </c>
      <c r="L3597" s="82" t="s">
        <v>19512</v>
      </c>
    </row>
    <row r="3598" spans="1:12" ht="84" customHeight="1" x14ac:dyDescent="0.3">
      <c r="A3598" s="2">
        <v>3594</v>
      </c>
      <c r="B3598" s="66" t="s">
        <v>3101</v>
      </c>
      <c r="C3598" s="66" t="s">
        <v>3300</v>
      </c>
      <c r="D3598" s="11">
        <v>25704</v>
      </c>
      <c r="E3598" s="11">
        <v>25704</v>
      </c>
      <c r="F3598" s="3">
        <v>38729</v>
      </c>
      <c r="G3598" s="2"/>
      <c r="H3598" s="3">
        <v>43053</v>
      </c>
      <c r="I3598" s="2" t="s">
        <v>19506</v>
      </c>
      <c r="J3598" s="2" t="s">
        <v>13904</v>
      </c>
      <c r="K3598" s="2" t="s">
        <v>19223</v>
      </c>
      <c r="L3598" s="82" t="s">
        <v>19512</v>
      </c>
    </row>
    <row r="3599" spans="1:12" ht="84" customHeight="1" x14ac:dyDescent="0.3">
      <c r="A3599" s="2">
        <v>3595</v>
      </c>
      <c r="B3599" s="66" t="s">
        <v>223</v>
      </c>
      <c r="C3599" s="66" t="s">
        <v>4109</v>
      </c>
      <c r="D3599" s="11">
        <v>7000</v>
      </c>
      <c r="E3599" s="11">
        <v>7000</v>
      </c>
      <c r="F3599" s="3">
        <v>40148</v>
      </c>
      <c r="G3599" s="2"/>
      <c r="H3599" s="3">
        <v>43053</v>
      </c>
      <c r="I3599" s="2" t="s">
        <v>19506</v>
      </c>
      <c r="J3599" s="2" t="s">
        <v>13904</v>
      </c>
      <c r="K3599" s="2" t="s">
        <v>19223</v>
      </c>
      <c r="L3599" s="82" t="s">
        <v>19512</v>
      </c>
    </row>
    <row r="3600" spans="1:12" ht="84" customHeight="1" x14ac:dyDescent="0.3">
      <c r="A3600" s="2">
        <v>3596</v>
      </c>
      <c r="B3600" s="66" t="s">
        <v>971</v>
      </c>
      <c r="C3600" s="66" t="s">
        <v>3608</v>
      </c>
      <c r="D3600" s="11">
        <v>11107.8</v>
      </c>
      <c r="E3600" s="11">
        <v>11107.8</v>
      </c>
      <c r="F3600" s="3">
        <v>33948</v>
      </c>
      <c r="G3600" s="2"/>
      <c r="H3600" s="3">
        <v>43053</v>
      </c>
      <c r="I3600" s="2" t="s">
        <v>19506</v>
      </c>
      <c r="J3600" s="2" t="s">
        <v>13904</v>
      </c>
      <c r="K3600" s="2" t="s">
        <v>19223</v>
      </c>
      <c r="L3600" s="82" t="s">
        <v>19512</v>
      </c>
    </row>
    <row r="3601" spans="1:12" ht="84" customHeight="1" x14ac:dyDescent="0.3">
      <c r="A3601" s="2">
        <v>3597</v>
      </c>
      <c r="B3601" s="66" t="s">
        <v>4110</v>
      </c>
      <c r="C3601" s="66" t="s">
        <v>3200</v>
      </c>
      <c r="D3601" s="11">
        <v>7130</v>
      </c>
      <c r="E3601" s="11">
        <v>7130</v>
      </c>
      <c r="F3601" s="3">
        <v>39416</v>
      </c>
      <c r="G3601" s="2"/>
      <c r="H3601" s="3">
        <v>43053</v>
      </c>
      <c r="I3601" s="2" t="s">
        <v>19506</v>
      </c>
      <c r="J3601" s="2" t="s">
        <v>13904</v>
      </c>
      <c r="K3601" s="2" t="s">
        <v>19223</v>
      </c>
      <c r="L3601" s="82" t="s">
        <v>19512</v>
      </c>
    </row>
    <row r="3602" spans="1:12" ht="84" customHeight="1" x14ac:dyDescent="0.3">
      <c r="A3602" s="2">
        <v>3598</v>
      </c>
      <c r="B3602" s="66" t="s">
        <v>267</v>
      </c>
      <c r="C3602" s="66" t="s">
        <v>3298</v>
      </c>
      <c r="D3602" s="11">
        <v>10209.799999999999</v>
      </c>
      <c r="E3602" s="11">
        <v>10209.799999999999</v>
      </c>
      <c r="F3602" s="3">
        <v>38729</v>
      </c>
      <c r="G3602" s="2"/>
      <c r="H3602" s="3">
        <v>43053</v>
      </c>
      <c r="I3602" s="2" t="s">
        <v>19506</v>
      </c>
      <c r="J3602" s="2" t="s">
        <v>13904</v>
      </c>
      <c r="K3602" s="2" t="s">
        <v>19223</v>
      </c>
      <c r="L3602" s="82" t="s">
        <v>19512</v>
      </c>
    </row>
    <row r="3603" spans="1:12" ht="84" customHeight="1" x14ac:dyDescent="0.3">
      <c r="A3603" s="2">
        <v>3599</v>
      </c>
      <c r="B3603" s="66" t="s">
        <v>3106</v>
      </c>
      <c r="C3603" s="66" t="s">
        <v>4111</v>
      </c>
      <c r="D3603" s="11">
        <v>9430.56</v>
      </c>
      <c r="E3603" s="11">
        <v>9430.56</v>
      </c>
      <c r="F3603" s="3">
        <v>41115</v>
      </c>
      <c r="G3603" s="2"/>
      <c r="H3603" s="3">
        <v>43053</v>
      </c>
      <c r="I3603" s="2" t="s">
        <v>19506</v>
      </c>
      <c r="J3603" s="2" t="s">
        <v>13904</v>
      </c>
      <c r="K3603" s="2" t="s">
        <v>19223</v>
      </c>
      <c r="L3603" s="82" t="s">
        <v>19512</v>
      </c>
    </row>
    <row r="3604" spans="1:12" ht="84" customHeight="1" x14ac:dyDescent="0.3">
      <c r="A3604" s="2">
        <v>3600</v>
      </c>
      <c r="B3604" s="66" t="s">
        <v>4112</v>
      </c>
      <c r="C3604" s="66" t="s">
        <v>4113</v>
      </c>
      <c r="D3604" s="11">
        <v>17900</v>
      </c>
      <c r="E3604" s="11">
        <v>17900</v>
      </c>
      <c r="F3604" s="3">
        <v>41176</v>
      </c>
      <c r="G3604" s="2"/>
      <c r="H3604" s="3">
        <v>43053</v>
      </c>
      <c r="I3604" s="2" t="s">
        <v>19506</v>
      </c>
      <c r="J3604" s="2" t="s">
        <v>13904</v>
      </c>
      <c r="K3604" s="2" t="s">
        <v>19223</v>
      </c>
      <c r="L3604" s="82" t="s">
        <v>19512</v>
      </c>
    </row>
    <row r="3605" spans="1:12" ht="84" customHeight="1" x14ac:dyDescent="0.3">
      <c r="A3605" s="2">
        <v>3601</v>
      </c>
      <c r="B3605" s="66" t="s">
        <v>4114</v>
      </c>
      <c r="C3605" s="66" t="s">
        <v>4115</v>
      </c>
      <c r="D3605" s="11">
        <v>3500</v>
      </c>
      <c r="E3605" s="11">
        <v>3500</v>
      </c>
      <c r="F3605" s="3">
        <v>41256</v>
      </c>
      <c r="G3605" s="2"/>
      <c r="H3605" s="3">
        <v>43053</v>
      </c>
      <c r="I3605" s="2" t="s">
        <v>19506</v>
      </c>
      <c r="J3605" s="2" t="s">
        <v>13904</v>
      </c>
      <c r="K3605" s="2" t="s">
        <v>19223</v>
      </c>
      <c r="L3605" s="82" t="s">
        <v>19512</v>
      </c>
    </row>
    <row r="3606" spans="1:12" ht="84" customHeight="1" x14ac:dyDescent="0.3">
      <c r="A3606" s="2">
        <v>3602</v>
      </c>
      <c r="B3606" s="66" t="s">
        <v>4116</v>
      </c>
      <c r="C3606" s="66" t="s">
        <v>4117</v>
      </c>
      <c r="D3606" s="11">
        <v>7687</v>
      </c>
      <c r="E3606" s="11">
        <v>7687</v>
      </c>
      <c r="F3606" s="3">
        <v>39430</v>
      </c>
      <c r="G3606" s="2"/>
      <c r="H3606" s="3">
        <v>43053</v>
      </c>
      <c r="I3606" s="2" t="s">
        <v>19506</v>
      </c>
      <c r="J3606" s="2" t="s">
        <v>13904</v>
      </c>
      <c r="K3606" s="2" t="s">
        <v>19223</v>
      </c>
      <c r="L3606" s="82" t="s">
        <v>19512</v>
      </c>
    </row>
    <row r="3607" spans="1:12" ht="84" customHeight="1" x14ac:dyDescent="0.3">
      <c r="A3607" s="2">
        <v>3603</v>
      </c>
      <c r="B3607" s="66" t="s">
        <v>4118</v>
      </c>
      <c r="C3607" s="66" t="s">
        <v>3976</v>
      </c>
      <c r="D3607" s="11">
        <v>18149.04</v>
      </c>
      <c r="E3607" s="11">
        <v>18149.04</v>
      </c>
      <c r="F3607" s="3">
        <v>38994</v>
      </c>
      <c r="G3607" s="2"/>
      <c r="H3607" s="3">
        <v>43053</v>
      </c>
      <c r="I3607" s="2" t="s">
        <v>19506</v>
      </c>
      <c r="J3607" s="2" t="s">
        <v>13904</v>
      </c>
      <c r="K3607" s="2" t="s">
        <v>19223</v>
      </c>
      <c r="L3607" s="82" t="s">
        <v>19512</v>
      </c>
    </row>
    <row r="3608" spans="1:12" ht="84" customHeight="1" x14ac:dyDescent="0.3">
      <c r="A3608" s="2">
        <v>3604</v>
      </c>
      <c r="B3608" s="66" t="s">
        <v>4119</v>
      </c>
      <c r="C3608" s="66" t="s">
        <v>4120</v>
      </c>
      <c r="D3608" s="11">
        <v>3436</v>
      </c>
      <c r="E3608" s="11">
        <v>3436</v>
      </c>
      <c r="F3608" s="3">
        <v>40472</v>
      </c>
      <c r="G3608" s="2"/>
      <c r="H3608" s="3">
        <v>43053</v>
      </c>
      <c r="I3608" s="2" t="s">
        <v>19506</v>
      </c>
      <c r="J3608" s="2" t="s">
        <v>13904</v>
      </c>
      <c r="K3608" s="2" t="s">
        <v>19223</v>
      </c>
      <c r="L3608" s="82" t="s">
        <v>19512</v>
      </c>
    </row>
    <row r="3609" spans="1:12" ht="84" customHeight="1" x14ac:dyDescent="0.3">
      <c r="A3609" s="2">
        <v>3605</v>
      </c>
      <c r="B3609" s="66" t="s">
        <v>4121</v>
      </c>
      <c r="C3609" s="66" t="s">
        <v>3870</v>
      </c>
      <c r="D3609" s="11">
        <v>17099.990000000002</v>
      </c>
      <c r="E3609" s="11">
        <v>17099.990000000002</v>
      </c>
      <c r="F3609" s="3">
        <v>40147</v>
      </c>
      <c r="G3609" s="2"/>
      <c r="H3609" s="3">
        <v>43053</v>
      </c>
      <c r="I3609" s="2" t="s">
        <v>19506</v>
      </c>
      <c r="J3609" s="2" t="s">
        <v>13904</v>
      </c>
      <c r="K3609" s="2" t="s">
        <v>19223</v>
      </c>
      <c r="L3609" s="82" t="s">
        <v>19512</v>
      </c>
    </row>
    <row r="3610" spans="1:12" ht="84" customHeight="1" x14ac:dyDescent="0.3">
      <c r="A3610" s="2">
        <v>3606</v>
      </c>
      <c r="B3610" s="66" t="s">
        <v>3570</v>
      </c>
      <c r="C3610" s="66" t="s">
        <v>3550</v>
      </c>
      <c r="D3610" s="11">
        <v>5000</v>
      </c>
      <c r="E3610" s="11">
        <v>5000</v>
      </c>
      <c r="F3610" s="3">
        <v>39442</v>
      </c>
      <c r="G3610" s="2"/>
      <c r="H3610" s="3">
        <v>43053</v>
      </c>
      <c r="I3610" s="2" t="s">
        <v>19506</v>
      </c>
      <c r="J3610" s="2" t="s">
        <v>13904</v>
      </c>
      <c r="K3610" s="2" t="s">
        <v>19223</v>
      </c>
      <c r="L3610" s="82" t="s">
        <v>19512</v>
      </c>
    </row>
    <row r="3611" spans="1:12" ht="84" customHeight="1" x14ac:dyDescent="0.3">
      <c r="A3611" s="2">
        <v>3607</v>
      </c>
      <c r="B3611" s="66" t="s">
        <v>4122</v>
      </c>
      <c r="C3611" s="66" t="s">
        <v>4123</v>
      </c>
      <c r="D3611" s="11">
        <v>17099.990000000002</v>
      </c>
      <c r="E3611" s="11">
        <v>17099.990000000002</v>
      </c>
      <c r="F3611" s="3">
        <v>39808</v>
      </c>
      <c r="G3611" s="2"/>
      <c r="H3611" s="3">
        <v>43053</v>
      </c>
      <c r="I3611" s="2" t="s">
        <v>19506</v>
      </c>
      <c r="J3611" s="2" t="s">
        <v>13904</v>
      </c>
      <c r="K3611" s="2" t="s">
        <v>19223</v>
      </c>
      <c r="L3611" s="82" t="s">
        <v>19512</v>
      </c>
    </row>
    <row r="3612" spans="1:12" ht="84" customHeight="1" x14ac:dyDescent="0.3">
      <c r="A3612" s="2">
        <v>3608</v>
      </c>
      <c r="B3612" s="66" t="s">
        <v>3639</v>
      </c>
      <c r="C3612" s="66" t="s">
        <v>3218</v>
      </c>
      <c r="D3612" s="11">
        <v>3909.17</v>
      </c>
      <c r="E3612" s="11">
        <v>3909.17</v>
      </c>
      <c r="F3612" s="3">
        <v>39066</v>
      </c>
      <c r="G3612" s="2"/>
      <c r="H3612" s="3">
        <v>43053</v>
      </c>
      <c r="I3612" s="2" t="s">
        <v>19506</v>
      </c>
      <c r="J3612" s="2" t="s">
        <v>13904</v>
      </c>
      <c r="K3612" s="2" t="s">
        <v>19223</v>
      </c>
      <c r="L3612" s="82" t="s">
        <v>19512</v>
      </c>
    </row>
    <row r="3613" spans="1:12" ht="84" customHeight="1" x14ac:dyDescent="0.3">
      <c r="A3613" s="2">
        <v>3609</v>
      </c>
      <c r="B3613" s="66" t="s">
        <v>3783</v>
      </c>
      <c r="C3613" s="66" t="s">
        <v>3223</v>
      </c>
      <c r="D3613" s="11">
        <v>18482.400000000001</v>
      </c>
      <c r="E3613" s="11">
        <v>18482.400000000001</v>
      </c>
      <c r="F3613" s="3">
        <v>38729</v>
      </c>
      <c r="G3613" s="2"/>
      <c r="H3613" s="3">
        <v>43053</v>
      </c>
      <c r="I3613" s="2" t="s">
        <v>19506</v>
      </c>
      <c r="J3613" s="2" t="s">
        <v>13904</v>
      </c>
      <c r="K3613" s="2" t="s">
        <v>19223</v>
      </c>
      <c r="L3613" s="82" t="s">
        <v>19512</v>
      </c>
    </row>
    <row r="3614" spans="1:12" ht="84" customHeight="1" x14ac:dyDescent="0.3">
      <c r="A3614" s="2">
        <v>3610</v>
      </c>
      <c r="B3614" s="66" t="s">
        <v>3642</v>
      </c>
      <c r="C3614" s="66" t="s">
        <v>4124</v>
      </c>
      <c r="D3614" s="11">
        <v>6200</v>
      </c>
      <c r="E3614" s="11">
        <v>6200</v>
      </c>
      <c r="F3614" s="3">
        <v>41267</v>
      </c>
      <c r="G3614" s="2"/>
      <c r="H3614" s="3">
        <v>43053</v>
      </c>
      <c r="I3614" s="2" t="s">
        <v>19506</v>
      </c>
      <c r="J3614" s="2" t="s">
        <v>13904</v>
      </c>
      <c r="K3614" s="2" t="s">
        <v>19223</v>
      </c>
      <c r="L3614" s="82" t="s">
        <v>19512</v>
      </c>
    </row>
    <row r="3615" spans="1:12" ht="84" customHeight="1" x14ac:dyDescent="0.3">
      <c r="A3615" s="2">
        <v>3611</v>
      </c>
      <c r="B3615" s="66" t="s">
        <v>4125</v>
      </c>
      <c r="C3615" s="66" t="s">
        <v>4126</v>
      </c>
      <c r="D3615" s="11">
        <v>5970</v>
      </c>
      <c r="E3615" s="11">
        <v>5970</v>
      </c>
      <c r="F3615" s="3">
        <v>41267</v>
      </c>
      <c r="G3615" s="2"/>
      <c r="H3615" s="3">
        <v>43053</v>
      </c>
      <c r="I3615" s="2" t="s">
        <v>19506</v>
      </c>
      <c r="J3615" s="2" t="s">
        <v>13904</v>
      </c>
      <c r="K3615" s="2" t="s">
        <v>19223</v>
      </c>
      <c r="L3615" s="82" t="s">
        <v>19512</v>
      </c>
    </row>
    <row r="3616" spans="1:12" ht="84" customHeight="1" x14ac:dyDescent="0.3">
      <c r="A3616" s="2">
        <v>3612</v>
      </c>
      <c r="B3616" s="66" t="s">
        <v>4127</v>
      </c>
      <c r="C3616" s="66" t="s">
        <v>4128</v>
      </c>
      <c r="D3616" s="11">
        <v>4899.95</v>
      </c>
      <c r="E3616" s="11">
        <v>4899.95</v>
      </c>
      <c r="F3616" s="3">
        <v>41558</v>
      </c>
      <c r="G3616" s="2"/>
      <c r="H3616" s="3">
        <v>43053</v>
      </c>
      <c r="I3616" s="2" t="s">
        <v>19506</v>
      </c>
      <c r="J3616" s="2" t="s">
        <v>13904</v>
      </c>
      <c r="K3616" s="2" t="s">
        <v>19223</v>
      </c>
      <c r="L3616" s="82" t="s">
        <v>19512</v>
      </c>
    </row>
    <row r="3617" spans="1:12" ht="84" customHeight="1" x14ac:dyDescent="0.3">
      <c r="A3617" s="2">
        <v>3613</v>
      </c>
      <c r="B3617" s="66" t="s">
        <v>4127</v>
      </c>
      <c r="C3617" s="66" t="s">
        <v>4129</v>
      </c>
      <c r="D3617" s="11">
        <v>4899.95</v>
      </c>
      <c r="E3617" s="11">
        <v>4899.95</v>
      </c>
      <c r="F3617" s="3">
        <v>41558</v>
      </c>
      <c r="G3617" s="2"/>
      <c r="H3617" s="3">
        <v>43053</v>
      </c>
      <c r="I3617" s="2" t="s">
        <v>19506</v>
      </c>
      <c r="J3617" s="2" t="s">
        <v>13904</v>
      </c>
      <c r="K3617" s="2" t="s">
        <v>19223</v>
      </c>
      <c r="L3617" s="82" t="s">
        <v>19512</v>
      </c>
    </row>
    <row r="3618" spans="1:12" ht="84" customHeight="1" x14ac:dyDescent="0.3">
      <c r="A3618" s="2">
        <v>3614</v>
      </c>
      <c r="B3618" s="66" t="s">
        <v>4127</v>
      </c>
      <c r="C3618" s="66" t="s">
        <v>4130</v>
      </c>
      <c r="D3618" s="11">
        <v>4899.95</v>
      </c>
      <c r="E3618" s="11">
        <v>4899.95</v>
      </c>
      <c r="F3618" s="3">
        <v>41558</v>
      </c>
      <c r="G3618" s="2"/>
      <c r="H3618" s="3">
        <v>43053</v>
      </c>
      <c r="I3618" s="2" t="s">
        <v>19506</v>
      </c>
      <c r="J3618" s="2" t="s">
        <v>13904</v>
      </c>
      <c r="K3618" s="2" t="s">
        <v>19223</v>
      </c>
      <c r="L3618" s="82" t="s">
        <v>19512</v>
      </c>
    </row>
    <row r="3619" spans="1:12" ht="84" customHeight="1" x14ac:dyDescent="0.3">
      <c r="A3619" s="2">
        <v>3615</v>
      </c>
      <c r="B3619" s="66" t="s">
        <v>4127</v>
      </c>
      <c r="C3619" s="66" t="s">
        <v>4131</v>
      </c>
      <c r="D3619" s="11">
        <v>4899.95</v>
      </c>
      <c r="E3619" s="11">
        <v>4899.95</v>
      </c>
      <c r="F3619" s="3">
        <v>41558</v>
      </c>
      <c r="G3619" s="2"/>
      <c r="H3619" s="3">
        <v>43053</v>
      </c>
      <c r="I3619" s="2" t="s">
        <v>19506</v>
      </c>
      <c r="J3619" s="2" t="s">
        <v>13904</v>
      </c>
      <c r="K3619" s="2" t="s">
        <v>19223</v>
      </c>
      <c r="L3619" s="82" t="s">
        <v>19512</v>
      </c>
    </row>
    <row r="3620" spans="1:12" ht="84" customHeight="1" x14ac:dyDescent="0.3">
      <c r="A3620" s="2">
        <v>3616</v>
      </c>
      <c r="B3620" s="66" t="s">
        <v>4127</v>
      </c>
      <c r="C3620" s="66" t="s">
        <v>4132</v>
      </c>
      <c r="D3620" s="11">
        <v>4899.95</v>
      </c>
      <c r="E3620" s="11">
        <v>4899.95</v>
      </c>
      <c r="F3620" s="3">
        <v>41558</v>
      </c>
      <c r="G3620" s="2"/>
      <c r="H3620" s="3">
        <v>43053</v>
      </c>
      <c r="I3620" s="2" t="s">
        <v>19506</v>
      </c>
      <c r="J3620" s="2" t="s">
        <v>13904</v>
      </c>
      <c r="K3620" s="2" t="s">
        <v>19223</v>
      </c>
      <c r="L3620" s="82" t="s">
        <v>19512</v>
      </c>
    </row>
    <row r="3621" spans="1:12" ht="84" customHeight="1" x14ac:dyDescent="0.3">
      <c r="A3621" s="2">
        <v>3617</v>
      </c>
      <c r="B3621" s="66" t="s">
        <v>4133</v>
      </c>
      <c r="C3621" s="66" t="s">
        <v>4134</v>
      </c>
      <c r="D3621" s="11">
        <v>10523.64</v>
      </c>
      <c r="E3621" s="11">
        <v>10523.64</v>
      </c>
      <c r="F3621" s="3">
        <v>41558</v>
      </c>
      <c r="G3621" s="2"/>
      <c r="H3621" s="3">
        <v>43053</v>
      </c>
      <c r="I3621" s="2" t="s">
        <v>19506</v>
      </c>
      <c r="J3621" s="2" t="s">
        <v>13904</v>
      </c>
      <c r="K3621" s="2" t="s">
        <v>19223</v>
      </c>
      <c r="L3621" s="82" t="s">
        <v>19512</v>
      </c>
    </row>
    <row r="3622" spans="1:12" ht="84" customHeight="1" x14ac:dyDescent="0.3">
      <c r="A3622" s="2">
        <v>3618</v>
      </c>
      <c r="B3622" s="66" t="s">
        <v>4119</v>
      </c>
      <c r="C3622" s="66" t="s">
        <v>4135</v>
      </c>
      <c r="D3622" s="11">
        <v>3436</v>
      </c>
      <c r="E3622" s="11">
        <v>3436</v>
      </c>
      <c r="F3622" s="3">
        <v>40472</v>
      </c>
      <c r="G3622" s="2"/>
      <c r="H3622" s="3">
        <v>43053</v>
      </c>
      <c r="I3622" s="2" t="s">
        <v>19506</v>
      </c>
      <c r="J3622" s="2" t="s">
        <v>13904</v>
      </c>
      <c r="K3622" s="2" t="s">
        <v>19223</v>
      </c>
      <c r="L3622" s="82" t="s">
        <v>19512</v>
      </c>
    </row>
    <row r="3623" spans="1:12" ht="84" customHeight="1" x14ac:dyDescent="0.3">
      <c r="A3623" s="2">
        <v>3619</v>
      </c>
      <c r="B3623" s="66" t="s">
        <v>4119</v>
      </c>
      <c r="C3623" s="66" t="s">
        <v>4136</v>
      </c>
      <c r="D3623" s="11">
        <v>3436</v>
      </c>
      <c r="E3623" s="11">
        <v>3436</v>
      </c>
      <c r="F3623" s="3">
        <v>40472</v>
      </c>
      <c r="G3623" s="2"/>
      <c r="H3623" s="3">
        <v>43053</v>
      </c>
      <c r="I3623" s="2" t="s">
        <v>19506</v>
      </c>
      <c r="J3623" s="2" t="s">
        <v>13904</v>
      </c>
      <c r="K3623" s="2" t="s">
        <v>19223</v>
      </c>
      <c r="L3623" s="82" t="s">
        <v>19512</v>
      </c>
    </row>
    <row r="3624" spans="1:12" ht="84" customHeight="1" x14ac:dyDescent="0.3">
      <c r="A3624" s="2">
        <v>3620</v>
      </c>
      <c r="B3624" s="66" t="s">
        <v>4119</v>
      </c>
      <c r="C3624" s="66" t="s">
        <v>4137</v>
      </c>
      <c r="D3624" s="11">
        <v>3436</v>
      </c>
      <c r="E3624" s="11">
        <v>3436</v>
      </c>
      <c r="F3624" s="3">
        <v>40472</v>
      </c>
      <c r="G3624" s="2"/>
      <c r="H3624" s="3">
        <v>43053</v>
      </c>
      <c r="I3624" s="2" t="s">
        <v>19506</v>
      </c>
      <c r="J3624" s="2" t="s">
        <v>13904</v>
      </c>
      <c r="K3624" s="2" t="s">
        <v>19223</v>
      </c>
      <c r="L3624" s="82" t="s">
        <v>19512</v>
      </c>
    </row>
    <row r="3625" spans="1:12" ht="84" customHeight="1" x14ac:dyDescent="0.3">
      <c r="A3625" s="2">
        <v>3621</v>
      </c>
      <c r="B3625" s="66" t="s">
        <v>4119</v>
      </c>
      <c r="C3625" s="66" t="s">
        <v>4138</v>
      </c>
      <c r="D3625" s="11">
        <v>3436</v>
      </c>
      <c r="E3625" s="11">
        <v>3436</v>
      </c>
      <c r="F3625" s="3">
        <v>40472</v>
      </c>
      <c r="G3625" s="2"/>
      <c r="H3625" s="3">
        <v>43053</v>
      </c>
      <c r="I3625" s="2" t="s">
        <v>19506</v>
      </c>
      <c r="J3625" s="2" t="s">
        <v>13904</v>
      </c>
      <c r="K3625" s="2" t="s">
        <v>19223</v>
      </c>
      <c r="L3625" s="82" t="s">
        <v>19512</v>
      </c>
    </row>
    <row r="3626" spans="1:12" ht="84" customHeight="1" x14ac:dyDescent="0.3">
      <c r="A3626" s="2">
        <v>3622</v>
      </c>
      <c r="B3626" s="66" t="s">
        <v>4119</v>
      </c>
      <c r="C3626" s="66" t="s">
        <v>3538</v>
      </c>
      <c r="D3626" s="11">
        <v>3436</v>
      </c>
      <c r="E3626" s="11">
        <v>3436</v>
      </c>
      <c r="F3626" s="3">
        <v>40472</v>
      </c>
      <c r="G3626" s="2"/>
      <c r="H3626" s="3">
        <v>43053</v>
      </c>
      <c r="I3626" s="2" t="s">
        <v>19506</v>
      </c>
      <c r="J3626" s="2" t="s">
        <v>13904</v>
      </c>
      <c r="K3626" s="2" t="s">
        <v>19223</v>
      </c>
      <c r="L3626" s="82" t="s">
        <v>19512</v>
      </c>
    </row>
    <row r="3627" spans="1:12" ht="84" customHeight="1" x14ac:dyDescent="0.3">
      <c r="A3627" s="2">
        <v>3623</v>
      </c>
      <c r="B3627" s="66" t="s">
        <v>4119</v>
      </c>
      <c r="C3627" s="66" t="s">
        <v>4139</v>
      </c>
      <c r="D3627" s="11">
        <v>3436</v>
      </c>
      <c r="E3627" s="11">
        <v>3436</v>
      </c>
      <c r="F3627" s="3">
        <v>40472</v>
      </c>
      <c r="G3627" s="2"/>
      <c r="H3627" s="3">
        <v>43053</v>
      </c>
      <c r="I3627" s="2" t="s">
        <v>19506</v>
      </c>
      <c r="J3627" s="2" t="s">
        <v>13904</v>
      </c>
      <c r="K3627" s="2" t="s">
        <v>19223</v>
      </c>
      <c r="L3627" s="82" t="s">
        <v>19512</v>
      </c>
    </row>
    <row r="3628" spans="1:12" ht="84" customHeight="1" x14ac:dyDescent="0.3">
      <c r="A3628" s="2">
        <v>3624</v>
      </c>
      <c r="B3628" s="66" t="s">
        <v>4119</v>
      </c>
      <c r="C3628" s="66" t="s">
        <v>4140</v>
      </c>
      <c r="D3628" s="11">
        <v>3436</v>
      </c>
      <c r="E3628" s="11">
        <v>3436</v>
      </c>
      <c r="F3628" s="3">
        <v>40472</v>
      </c>
      <c r="G3628" s="2"/>
      <c r="H3628" s="3">
        <v>43053</v>
      </c>
      <c r="I3628" s="2" t="s">
        <v>19506</v>
      </c>
      <c r="J3628" s="2" t="s">
        <v>13904</v>
      </c>
      <c r="K3628" s="2" t="s">
        <v>19223</v>
      </c>
      <c r="L3628" s="82" t="s">
        <v>19512</v>
      </c>
    </row>
    <row r="3629" spans="1:12" ht="84" customHeight="1" x14ac:dyDescent="0.3">
      <c r="A3629" s="2">
        <v>3625</v>
      </c>
      <c r="B3629" s="66" t="s">
        <v>4119</v>
      </c>
      <c r="C3629" s="66" t="s">
        <v>4141</v>
      </c>
      <c r="D3629" s="11">
        <v>3436</v>
      </c>
      <c r="E3629" s="11">
        <v>3436</v>
      </c>
      <c r="F3629" s="3">
        <v>40472</v>
      </c>
      <c r="G3629" s="2"/>
      <c r="H3629" s="3">
        <v>43053</v>
      </c>
      <c r="I3629" s="2" t="s">
        <v>19506</v>
      </c>
      <c r="J3629" s="2" t="s">
        <v>13904</v>
      </c>
      <c r="K3629" s="2" t="s">
        <v>19223</v>
      </c>
      <c r="L3629" s="82" t="s">
        <v>19512</v>
      </c>
    </row>
    <row r="3630" spans="1:12" ht="84" customHeight="1" x14ac:dyDescent="0.3">
      <c r="A3630" s="2">
        <v>3626</v>
      </c>
      <c r="B3630" s="66" t="s">
        <v>4119</v>
      </c>
      <c r="C3630" s="66" t="s">
        <v>4142</v>
      </c>
      <c r="D3630" s="11">
        <v>3436</v>
      </c>
      <c r="E3630" s="11">
        <v>3436</v>
      </c>
      <c r="F3630" s="3">
        <v>40472</v>
      </c>
      <c r="G3630" s="2"/>
      <c r="H3630" s="3">
        <v>43053</v>
      </c>
      <c r="I3630" s="2" t="s">
        <v>19506</v>
      </c>
      <c r="J3630" s="2" t="s">
        <v>13904</v>
      </c>
      <c r="K3630" s="2" t="s">
        <v>19223</v>
      </c>
      <c r="L3630" s="82" t="s">
        <v>19512</v>
      </c>
    </row>
    <row r="3631" spans="1:12" ht="84" customHeight="1" x14ac:dyDescent="0.3">
      <c r="A3631" s="2">
        <v>3627</v>
      </c>
      <c r="B3631" s="66" t="s">
        <v>4119</v>
      </c>
      <c r="C3631" s="66" t="s">
        <v>4143</v>
      </c>
      <c r="D3631" s="11">
        <v>3436</v>
      </c>
      <c r="E3631" s="11">
        <v>3436</v>
      </c>
      <c r="F3631" s="3">
        <v>40472</v>
      </c>
      <c r="G3631" s="2"/>
      <c r="H3631" s="3">
        <v>43053</v>
      </c>
      <c r="I3631" s="2" t="s">
        <v>19506</v>
      </c>
      <c r="J3631" s="2" t="s">
        <v>13904</v>
      </c>
      <c r="K3631" s="2" t="s">
        <v>19223</v>
      </c>
      <c r="L3631" s="82" t="s">
        <v>19512</v>
      </c>
    </row>
    <row r="3632" spans="1:12" ht="84" customHeight="1" x14ac:dyDescent="0.3">
      <c r="A3632" s="2">
        <v>3628</v>
      </c>
      <c r="B3632" s="66" t="s">
        <v>4119</v>
      </c>
      <c r="C3632" s="66" t="s">
        <v>4144</v>
      </c>
      <c r="D3632" s="11">
        <v>3436</v>
      </c>
      <c r="E3632" s="11">
        <v>3436</v>
      </c>
      <c r="F3632" s="3">
        <v>40472</v>
      </c>
      <c r="G3632" s="2"/>
      <c r="H3632" s="3">
        <v>43053</v>
      </c>
      <c r="I3632" s="2" t="s">
        <v>19506</v>
      </c>
      <c r="J3632" s="2" t="s">
        <v>13904</v>
      </c>
      <c r="K3632" s="2" t="s">
        <v>19223</v>
      </c>
      <c r="L3632" s="82" t="s">
        <v>19512</v>
      </c>
    </row>
    <row r="3633" spans="1:12" ht="84" customHeight="1" x14ac:dyDescent="0.3">
      <c r="A3633" s="2">
        <v>3629</v>
      </c>
      <c r="B3633" s="66" t="s">
        <v>4119</v>
      </c>
      <c r="C3633" s="66" t="s">
        <v>3699</v>
      </c>
      <c r="D3633" s="11">
        <v>3436</v>
      </c>
      <c r="E3633" s="11">
        <v>3436</v>
      </c>
      <c r="F3633" s="3">
        <v>40472</v>
      </c>
      <c r="G3633" s="2"/>
      <c r="H3633" s="3">
        <v>43053</v>
      </c>
      <c r="I3633" s="2" t="s">
        <v>19506</v>
      </c>
      <c r="J3633" s="2" t="s">
        <v>13904</v>
      </c>
      <c r="K3633" s="2" t="s">
        <v>19223</v>
      </c>
      <c r="L3633" s="82" t="s">
        <v>19512</v>
      </c>
    </row>
    <row r="3634" spans="1:12" ht="84" customHeight="1" x14ac:dyDescent="0.3">
      <c r="A3634" s="2">
        <v>3630</v>
      </c>
      <c r="B3634" s="66" t="s">
        <v>4119</v>
      </c>
      <c r="C3634" s="66" t="s">
        <v>4145</v>
      </c>
      <c r="D3634" s="11">
        <v>3436</v>
      </c>
      <c r="E3634" s="11">
        <v>3436</v>
      </c>
      <c r="F3634" s="3">
        <v>40472</v>
      </c>
      <c r="G3634" s="2"/>
      <c r="H3634" s="3">
        <v>43053</v>
      </c>
      <c r="I3634" s="2" t="s">
        <v>19506</v>
      </c>
      <c r="J3634" s="2" t="s">
        <v>13904</v>
      </c>
      <c r="K3634" s="2" t="s">
        <v>19223</v>
      </c>
      <c r="L3634" s="82" t="s">
        <v>19512</v>
      </c>
    </row>
    <row r="3635" spans="1:12" ht="84" customHeight="1" x14ac:dyDescent="0.3">
      <c r="A3635" s="2">
        <v>3631</v>
      </c>
      <c r="B3635" s="66" t="s">
        <v>4119</v>
      </c>
      <c r="C3635" s="66" t="s">
        <v>3700</v>
      </c>
      <c r="D3635" s="11">
        <v>3436</v>
      </c>
      <c r="E3635" s="11">
        <v>3436</v>
      </c>
      <c r="F3635" s="3">
        <v>40472</v>
      </c>
      <c r="G3635" s="2"/>
      <c r="H3635" s="3">
        <v>43053</v>
      </c>
      <c r="I3635" s="2" t="s">
        <v>19506</v>
      </c>
      <c r="J3635" s="2" t="s">
        <v>13904</v>
      </c>
      <c r="K3635" s="2" t="s">
        <v>19223</v>
      </c>
      <c r="L3635" s="82" t="s">
        <v>19512</v>
      </c>
    </row>
    <row r="3636" spans="1:12" ht="84" customHeight="1" x14ac:dyDescent="0.3">
      <c r="A3636" s="2">
        <v>3632</v>
      </c>
      <c r="B3636" s="66" t="s">
        <v>4146</v>
      </c>
      <c r="C3636" s="66" t="s">
        <v>4147</v>
      </c>
      <c r="D3636" s="11">
        <v>4319.9799999999996</v>
      </c>
      <c r="E3636" s="11">
        <v>4319.9799999999996</v>
      </c>
      <c r="F3636" s="3">
        <v>41115</v>
      </c>
      <c r="G3636" s="2"/>
      <c r="H3636" s="3">
        <v>43053</v>
      </c>
      <c r="I3636" s="2" t="s">
        <v>19506</v>
      </c>
      <c r="J3636" s="2" t="s">
        <v>13904</v>
      </c>
      <c r="K3636" s="2" t="s">
        <v>19223</v>
      </c>
      <c r="L3636" s="82" t="s">
        <v>19512</v>
      </c>
    </row>
    <row r="3637" spans="1:12" ht="84" customHeight="1" x14ac:dyDescent="0.3">
      <c r="A3637" s="2">
        <v>3633</v>
      </c>
      <c r="B3637" s="66" t="s">
        <v>4148</v>
      </c>
      <c r="C3637" s="66" t="s">
        <v>3146</v>
      </c>
      <c r="D3637" s="11">
        <v>6500</v>
      </c>
      <c r="E3637" s="11">
        <v>6500</v>
      </c>
      <c r="F3637" s="3">
        <v>41849</v>
      </c>
      <c r="G3637" s="2"/>
      <c r="H3637" s="3">
        <v>43053</v>
      </c>
      <c r="I3637" s="2" t="s">
        <v>19506</v>
      </c>
      <c r="J3637" s="2" t="s">
        <v>13904</v>
      </c>
      <c r="K3637" s="2" t="s">
        <v>19223</v>
      </c>
      <c r="L3637" s="82" t="s">
        <v>19512</v>
      </c>
    </row>
    <row r="3638" spans="1:12" ht="84" customHeight="1" x14ac:dyDescent="0.3">
      <c r="A3638" s="2">
        <v>3634</v>
      </c>
      <c r="B3638" s="66" t="s">
        <v>4148</v>
      </c>
      <c r="C3638" s="66" t="s">
        <v>4149</v>
      </c>
      <c r="D3638" s="11">
        <v>6500</v>
      </c>
      <c r="E3638" s="11">
        <v>6500</v>
      </c>
      <c r="F3638" s="3">
        <v>41849</v>
      </c>
      <c r="G3638" s="2"/>
      <c r="H3638" s="3">
        <v>43053</v>
      </c>
      <c r="I3638" s="2" t="s">
        <v>19506</v>
      </c>
      <c r="J3638" s="2" t="s">
        <v>13904</v>
      </c>
      <c r="K3638" s="2" t="s">
        <v>19223</v>
      </c>
      <c r="L3638" s="82" t="s">
        <v>19512</v>
      </c>
    </row>
    <row r="3639" spans="1:12" ht="84" customHeight="1" x14ac:dyDescent="0.3">
      <c r="A3639" s="2">
        <v>3635</v>
      </c>
      <c r="B3639" s="66" t="s">
        <v>4148</v>
      </c>
      <c r="C3639" s="66" t="s">
        <v>4150</v>
      </c>
      <c r="D3639" s="11">
        <v>6500</v>
      </c>
      <c r="E3639" s="11">
        <v>6500</v>
      </c>
      <c r="F3639" s="3">
        <v>41849</v>
      </c>
      <c r="G3639" s="2"/>
      <c r="H3639" s="3">
        <v>43053</v>
      </c>
      <c r="I3639" s="2" t="s">
        <v>19506</v>
      </c>
      <c r="J3639" s="2" t="s">
        <v>13904</v>
      </c>
      <c r="K3639" s="2" t="s">
        <v>19223</v>
      </c>
      <c r="L3639" s="82" t="s">
        <v>19512</v>
      </c>
    </row>
    <row r="3640" spans="1:12" ht="84" customHeight="1" x14ac:dyDescent="0.3">
      <c r="A3640" s="2">
        <v>3636</v>
      </c>
      <c r="B3640" s="66" t="s">
        <v>4148</v>
      </c>
      <c r="C3640" s="66" t="s">
        <v>4151</v>
      </c>
      <c r="D3640" s="11">
        <v>6500</v>
      </c>
      <c r="E3640" s="11">
        <v>6500</v>
      </c>
      <c r="F3640" s="3">
        <v>41849</v>
      </c>
      <c r="G3640" s="2"/>
      <c r="H3640" s="3">
        <v>43053</v>
      </c>
      <c r="I3640" s="2" t="s">
        <v>19506</v>
      </c>
      <c r="J3640" s="2" t="s">
        <v>13904</v>
      </c>
      <c r="K3640" s="2" t="s">
        <v>19223</v>
      </c>
      <c r="L3640" s="82" t="s">
        <v>19512</v>
      </c>
    </row>
    <row r="3641" spans="1:12" ht="84" customHeight="1" x14ac:dyDescent="0.3">
      <c r="A3641" s="2">
        <v>3637</v>
      </c>
      <c r="B3641" s="66" t="s">
        <v>4152</v>
      </c>
      <c r="C3641" s="66" t="s">
        <v>4153</v>
      </c>
      <c r="D3641" s="11">
        <v>9500</v>
      </c>
      <c r="E3641" s="11">
        <v>9500</v>
      </c>
      <c r="F3641" s="3">
        <v>41849</v>
      </c>
      <c r="G3641" s="2"/>
      <c r="H3641" s="3">
        <v>43053</v>
      </c>
      <c r="I3641" s="2" t="s">
        <v>19506</v>
      </c>
      <c r="J3641" s="2" t="s">
        <v>13904</v>
      </c>
      <c r="K3641" s="2" t="s">
        <v>19223</v>
      </c>
      <c r="L3641" s="82" t="s">
        <v>19512</v>
      </c>
    </row>
    <row r="3642" spans="1:12" ht="84" customHeight="1" x14ac:dyDescent="0.3">
      <c r="A3642" s="2">
        <v>3638</v>
      </c>
      <c r="B3642" s="66" t="s">
        <v>4152</v>
      </c>
      <c r="C3642" s="66" t="s">
        <v>4154</v>
      </c>
      <c r="D3642" s="11">
        <v>9500</v>
      </c>
      <c r="E3642" s="11">
        <v>9500</v>
      </c>
      <c r="F3642" s="3">
        <v>41849</v>
      </c>
      <c r="G3642" s="2"/>
      <c r="H3642" s="3">
        <v>43053</v>
      </c>
      <c r="I3642" s="2" t="s">
        <v>19506</v>
      </c>
      <c r="J3642" s="2" t="s">
        <v>13904</v>
      </c>
      <c r="K3642" s="2" t="s">
        <v>19223</v>
      </c>
      <c r="L3642" s="82" t="s">
        <v>19512</v>
      </c>
    </row>
    <row r="3643" spans="1:12" ht="84" customHeight="1" x14ac:dyDescent="0.3">
      <c r="A3643" s="2">
        <v>3639</v>
      </c>
      <c r="B3643" s="66" t="s">
        <v>885</v>
      </c>
      <c r="C3643" s="66" t="s">
        <v>4155</v>
      </c>
      <c r="D3643" s="11">
        <v>5000</v>
      </c>
      <c r="E3643" s="11">
        <v>5000</v>
      </c>
      <c r="F3643" s="3">
        <v>41849</v>
      </c>
      <c r="G3643" s="2"/>
      <c r="H3643" s="3">
        <v>43053</v>
      </c>
      <c r="I3643" s="2" t="s">
        <v>19506</v>
      </c>
      <c r="J3643" s="2" t="s">
        <v>13904</v>
      </c>
      <c r="K3643" s="2" t="s">
        <v>19223</v>
      </c>
      <c r="L3643" s="82" t="s">
        <v>19512</v>
      </c>
    </row>
    <row r="3644" spans="1:12" ht="84" customHeight="1" x14ac:dyDescent="0.3">
      <c r="A3644" s="2">
        <v>3640</v>
      </c>
      <c r="B3644" s="66" t="s">
        <v>4156</v>
      </c>
      <c r="C3644" s="66" t="s">
        <v>4157</v>
      </c>
      <c r="D3644" s="11">
        <v>10230.6</v>
      </c>
      <c r="E3644" s="11">
        <v>10230.6</v>
      </c>
      <c r="F3644" s="3">
        <v>38762</v>
      </c>
      <c r="G3644" s="2"/>
      <c r="H3644" s="3">
        <v>43053</v>
      </c>
      <c r="I3644" s="2" t="s">
        <v>19506</v>
      </c>
      <c r="J3644" s="2" t="s">
        <v>13904</v>
      </c>
      <c r="K3644" s="2" t="s">
        <v>19223</v>
      </c>
      <c r="L3644" s="82" t="s">
        <v>19512</v>
      </c>
    </row>
    <row r="3645" spans="1:12" ht="84" customHeight="1" x14ac:dyDescent="0.3">
      <c r="A3645" s="2">
        <v>3641</v>
      </c>
      <c r="B3645" s="66" t="s">
        <v>4158</v>
      </c>
      <c r="C3645" s="66" t="s">
        <v>4159</v>
      </c>
      <c r="D3645" s="11">
        <v>6750</v>
      </c>
      <c r="E3645" s="11">
        <v>6750</v>
      </c>
      <c r="F3645" s="3">
        <v>39723</v>
      </c>
      <c r="G3645" s="2"/>
      <c r="H3645" s="3">
        <v>43053</v>
      </c>
      <c r="I3645" s="2" t="s">
        <v>19506</v>
      </c>
      <c r="J3645" s="2" t="s">
        <v>13904</v>
      </c>
      <c r="K3645" s="2" t="s">
        <v>19223</v>
      </c>
      <c r="L3645" s="82" t="s">
        <v>19512</v>
      </c>
    </row>
    <row r="3646" spans="1:12" ht="84" customHeight="1" x14ac:dyDescent="0.3">
      <c r="A3646" s="2">
        <v>3642</v>
      </c>
      <c r="B3646" s="66" t="s">
        <v>4160</v>
      </c>
      <c r="C3646" s="66" t="s">
        <v>3151</v>
      </c>
      <c r="D3646" s="11">
        <v>5300</v>
      </c>
      <c r="E3646" s="11">
        <v>5300</v>
      </c>
      <c r="F3646" s="3">
        <v>41983</v>
      </c>
      <c r="G3646" s="2"/>
      <c r="H3646" s="3">
        <v>43053</v>
      </c>
      <c r="I3646" s="2" t="s">
        <v>19506</v>
      </c>
      <c r="J3646" s="2" t="s">
        <v>13904</v>
      </c>
      <c r="K3646" s="2" t="s">
        <v>19223</v>
      </c>
      <c r="L3646" s="82" t="s">
        <v>19512</v>
      </c>
    </row>
    <row r="3647" spans="1:12" ht="84" customHeight="1" x14ac:dyDescent="0.3">
      <c r="A3647" s="2">
        <v>3643</v>
      </c>
      <c r="B3647" s="66" t="s">
        <v>4160</v>
      </c>
      <c r="C3647" s="66" t="s">
        <v>3152</v>
      </c>
      <c r="D3647" s="11">
        <v>5300</v>
      </c>
      <c r="E3647" s="11">
        <v>5300</v>
      </c>
      <c r="F3647" s="3">
        <v>41983</v>
      </c>
      <c r="G3647" s="2"/>
      <c r="H3647" s="3">
        <v>43053</v>
      </c>
      <c r="I3647" s="2" t="s">
        <v>19506</v>
      </c>
      <c r="J3647" s="2" t="s">
        <v>13904</v>
      </c>
      <c r="K3647" s="2" t="s">
        <v>19223</v>
      </c>
      <c r="L3647" s="82" t="s">
        <v>19512</v>
      </c>
    </row>
    <row r="3648" spans="1:12" ht="84" customHeight="1" x14ac:dyDescent="0.3">
      <c r="A3648" s="2">
        <v>3644</v>
      </c>
      <c r="B3648" s="66" t="s">
        <v>4160</v>
      </c>
      <c r="C3648" s="66" t="s">
        <v>3153</v>
      </c>
      <c r="D3648" s="11">
        <v>5300</v>
      </c>
      <c r="E3648" s="11">
        <v>5300</v>
      </c>
      <c r="F3648" s="3">
        <v>41983</v>
      </c>
      <c r="G3648" s="2"/>
      <c r="H3648" s="3">
        <v>43053</v>
      </c>
      <c r="I3648" s="2" t="s">
        <v>19506</v>
      </c>
      <c r="J3648" s="2" t="s">
        <v>13904</v>
      </c>
      <c r="K3648" s="2" t="s">
        <v>19223</v>
      </c>
      <c r="L3648" s="82" t="s">
        <v>19512</v>
      </c>
    </row>
    <row r="3649" spans="1:12" ht="84" customHeight="1" x14ac:dyDescent="0.3">
      <c r="A3649" s="2">
        <v>3645</v>
      </c>
      <c r="B3649" s="66" t="s">
        <v>4161</v>
      </c>
      <c r="C3649" s="66" t="s">
        <v>3751</v>
      </c>
      <c r="D3649" s="11">
        <v>29600</v>
      </c>
      <c r="E3649" s="11">
        <v>29600</v>
      </c>
      <c r="F3649" s="3">
        <v>41969</v>
      </c>
      <c r="G3649" s="2"/>
      <c r="H3649" s="3">
        <v>43053</v>
      </c>
      <c r="I3649" s="2" t="s">
        <v>19506</v>
      </c>
      <c r="J3649" s="2" t="s">
        <v>13904</v>
      </c>
      <c r="K3649" s="2" t="s">
        <v>19223</v>
      </c>
      <c r="L3649" s="82" t="s">
        <v>19512</v>
      </c>
    </row>
    <row r="3650" spans="1:12" ht="84" customHeight="1" x14ac:dyDescent="0.3">
      <c r="A3650" s="2">
        <v>3646</v>
      </c>
      <c r="B3650" s="66" t="s">
        <v>4162</v>
      </c>
      <c r="C3650" s="66" t="s">
        <v>3744</v>
      </c>
      <c r="D3650" s="11">
        <v>4200</v>
      </c>
      <c r="E3650" s="11">
        <v>4200</v>
      </c>
      <c r="F3650" s="3">
        <v>41969</v>
      </c>
      <c r="G3650" s="2"/>
      <c r="H3650" s="3">
        <v>43053</v>
      </c>
      <c r="I3650" s="2" t="s">
        <v>19506</v>
      </c>
      <c r="J3650" s="2" t="s">
        <v>13904</v>
      </c>
      <c r="K3650" s="2" t="s">
        <v>19223</v>
      </c>
      <c r="L3650" s="82" t="s">
        <v>19512</v>
      </c>
    </row>
    <row r="3651" spans="1:12" ht="84" customHeight="1" x14ac:dyDescent="0.3">
      <c r="A3651" s="2">
        <v>3647</v>
      </c>
      <c r="B3651" s="66" t="s">
        <v>4163</v>
      </c>
      <c r="C3651" s="66" t="s">
        <v>3749</v>
      </c>
      <c r="D3651" s="11">
        <v>16650</v>
      </c>
      <c r="E3651" s="11">
        <v>16650</v>
      </c>
      <c r="F3651" s="3">
        <v>41969</v>
      </c>
      <c r="G3651" s="2"/>
      <c r="H3651" s="3">
        <v>43053</v>
      </c>
      <c r="I3651" s="2" t="s">
        <v>19506</v>
      </c>
      <c r="J3651" s="2" t="s">
        <v>13904</v>
      </c>
      <c r="K3651" s="2" t="s">
        <v>19223</v>
      </c>
      <c r="L3651" s="82" t="s">
        <v>19512</v>
      </c>
    </row>
    <row r="3652" spans="1:12" ht="84" customHeight="1" x14ac:dyDescent="0.3">
      <c r="A3652" s="2">
        <v>3648</v>
      </c>
      <c r="B3652" s="66" t="s">
        <v>4164</v>
      </c>
      <c r="C3652" s="66" t="s">
        <v>3756</v>
      </c>
      <c r="D3652" s="11">
        <v>6250</v>
      </c>
      <c r="E3652" s="11">
        <v>6250</v>
      </c>
      <c r="F3652" s="3">
        <v>41969</v>
      </c>
      <c r="G3652" s="2"/>
      <c r="H3652" s="3">
        <v>43053</v>
      </c>
      <c r="I3652" s="2" t="s">
        <v>19506</v>
      </c>
      <c r="J3652" s="2" t="s">
        <v>13904</v>
      </c>
      <c r="K3652" s="2" t="s">
        <v>19223</v>
      </c>
      <c r="L3652" s="82" t="s">
        <v>19512</v>
      </c>
    </row>
    <row r="3653" spans="1:12" ht="84" customHeight="1" x14ac:dyDescent="0.3">
      <c r="A3653" s="2">
        <v>3649</v>
      </c>
      <c r="B3653" s="66" t="s">
        <v>4165</v>
      </c>
      <c r="C3653" s="66" t="s">
        <v>3758</v>
      </c>
      <c r="D3653" s="11">
        <v>5200</v>
      </c>
      <c r="E3653" s="11">
        <v>5200</v>
      </c>
      <c r="F3653" s="3">
        <v>41969</v>
      </c>
      <c r="G3653" s="2"/>
      <c r="H3653" s="3">
        <v>43053</v>
      </c>
      <c r="I3653" s="2" t="s">
        <v>19506</v>
      </c>
      <c r="J3653" s="2" t="s">
        <v>13904</v>
      </c>
      <c r="K3653" s="2" t="s">
        <v>19223</v>
      </c>
      <c r="L3653" s="82" t="s">
        <v>19512</v>
      </c>
    </row>
    <row r="3654" spans="1:12" ht="84" customHeight="1" x14ac:dyDescent="0.3">
      <c r="A3654" s="2">
        <v>3650</v>
      </c>
      <c r="B3654" s="66" t="s">
        <v>4166</v>
      </c>
      <c r="C3654" s="66" t="s">
        <v>3759</v>
      </c>
      <c r="D3654" s="11">
        <v>9400</v>
      </c>
      <c r="E3654" s="11">
        <v>9400</v>
      </c>
      <c r="F3654" s="3">
        <v>41969</v>
      </c>
      <c r="G3654" s="2"/>
      <c r="H3654" s="3">
        <v>43053</v>
      </c>
      <c r="I3654" s="2" t="s">
        <v>19506</v>
      </c>
      <c r="J3654" s="2" t="s">
        <v>13904</v>
      </c>
      <c r="K3654" s="2" t="s">
        <v>19223</v>
      </c>
      <c r="L3654" s="82" t="s">
        <v>19512</v>
      </c>
    </row>
    <row r="3655" spans="1:12" ht="84" customHeight="1" x14ac:dyDescent="0.3">
      <c r="A3655" s="2">
        <v>3651</v>
      </c>
      <c r="B3655" s="66" t="s">
        <v>4167</v>
      </c>
      <c r="C3655" s="66" t="s">
        <v>3248</v>
      </c>
      <c r="D3655" s="11">
        <v>7050</v>
      </c>
      <c r="E3655" s="11">
        <v>7050</v>
      </c>
      <c r="F3655" s="3">
        <v>41969</v>
      </c>
      <c r="G3655" s="2"/>
      <c r="H3655" s="3">
        <v>43053</v>
      </c>
      <c r="I3655" s="2" t="s">
        <v>19506</v>
      </c>
      <c r="J3655" s="2" t="s">
        <v>13904</v>
      </c>
      <c r="K3655" s="2" t="s">
        <v>19223</v>
      </c>
      <c r="L3655" s="82" t="s">
        <v>19512</v>
      </c>
    </row>
    <row r="3656" spans="1:12" ht="84" customHeight="1" x14ac:dyDescent="0.3">
      <c r="A3656" s="2">
        <v>3652</v>
      </c>
      <c r="B3656" s="66" t="s">
        <v>3818</v>
      </c>
      <c r="C3656" s="66" t="s">
        <v>3249</v>
      </c>
      <c r="D3656" s="11">
        <v>22550</v>
      </c>
      <c r="E3656" s="11">
        <v>22550</v>
      </c>
      <c r="F3656" s="3">
        <v>41969</v>
      </c>
      <c r="G3656" s="2"/>
      <c r="H3656" s="3">
        <v>43053</v>
      </c>
      <c r="I3656" s="2" t="s">
        <v>19506</v>
      </c>
      <c r="J3656" s="2" t="s">
        <v>13904</v>
      </c>
      <c r="K3656" s="2" t="s">
        <v>19223</v>
      </c>
      <c r="L3656" s="82" t="s">
        <v>19512</v>
      </c>
    </row>
    <row r="3657" spans="1:12" ht="84" customHeight="1" x14ac:dyDescent="0.3">
      <c r="A3657" s="2">
        <v>3653</v>
      </c>
      <c r="B3657" s="66" t="s">
        <v>4168</v>
      </c>
      <c r="C3657" s="66" t="s">
        <v>3250</v>
      </c>
      <c r="D3657" s="11">
        <v>5000</v>
      </c>
      <c r="E3657" s="11">
        <v>5000</v>
      </c>
      <c r="F3657" s="3">
        <v>41989</v>
      </c>
      <c r="G3657" s="2"/>
      <c r="H3657" s="3">
        <v>43053</v>
      </c>
      <c r="I3657" s="2" t="s">
        <v>19506</v>
      </c>
      <c r="J3657" s="2" t="s">
        <v>13904</v>
      </c>
      <c r="K3657" s="2" t="s">
        <v>19223</v>
      </c>
      <c r="L3657" s="82" t="s">
        <v>19512</v>
      </c>
    </row>
    <row r="3658" spans="1:12" ht="84" customHeight="1" x14ac:dyDescent="0.3">
      <c r="A3658" s="2">
        <v>3654</v>
      </c>
      <c r="B3658" s="66" t="s">
        <v>4168</v>
      </c>
      <c r="C3658" s="66" t="s">
        <v>3251</v>
      </c>
      <c r="D3658" s="11">
        <v>5000</v>
      </c>
      <c r="E3658" s="11">
        <v>5000</v>
      </c>
      <c r="F3658" s="3">
        <v>41989</v>
      </c>
      <c r="G3658" s="2"/>
      <c r="H3658" s="3">
        <v>43053</v>
      </c>
      <c r="I3658" s="2" t="s">
        <v>19506</v>
      </c>
      <c r="J3658" s="2" t="s">
        <v>13904</v>
      </c>
      <c r="K3658" s="2" t="s">
        <v>19223</v>
      </c>
      <c r="L3658" s="82" t="s">
        <v>19512</v>
      </c>
    </row>
    <row r="3659" spans="1:12" ht="84" customHeight="1" x14ac:dyDescent="0.3">
      <c r="A3659" s="2">
        <v>3655</v>
      </c>
      <c r="B3659" s="66" t="s">
        <v>4168</v>
      </c>
      <c r="C3659" s="66" t="s">
        <v>3252</v>
      </c>
      <c r="D3659" s="11">
        <v>5000</v>
      </c>
      <c r="E3659" s="11">
        <v>5000</v>
      </c>
      <c r="F3659" s="3">
        <v>41989</v>
      </c>
      <c r="G3659" s="2"/>
      <c r="H3659" s="3">
        <v>43053</v>
      </c>
      <c r="I3659" s="2" t="s">
        <v>19506</v>
      </c>
      <c r="J3659" s="2" t="s">
        <v>13904</v>
      </c>
      <c r="K3659" s="2" t="s">
        <v>19223</v>
      </c>
      <c r="L3659" s="82" t="s">
        <v>19512</v>
      </c>
    </row>
    <row r="3660" spans="1:12" ht="84" customHeight="1" x14ac:dyDescent="0.3">
      <c r="A3660" s="2">
        <v>3656</v>
      </c>
      <c r="B3660" s="66" t="s">
        <v>4168</v>
      </c>
      <c r="C3660" s="66" t="s">
        <v>3253</v>
      </c>
      <c r="D3660" s="11">
        <v>5000</v>
      </c>
      <c r="E3660" s="11">
        <v>5000</v>
      </c>
      <c r="F3660" s="3">
        <v>41989</v>
      </c>
      <c r="G3660" s="2"/>
      <c r="H3660" s="3">
        <v>43053</v>
      </c>
      <c r="I3660" s="2" t="s">
        <v>19506</v>
      </c>
      <c r="J3660" s="2" t="s">
        <v>13904</v>
      </c>
      <c r="K3660" s="2" t="s">
        <v>19223</v>
      </c>
      <c r="L3660" s="82" t="s">
        <v>19512</v>
      </c>
    </row>
    <row r="3661" spans="1:12" ht="84" customHeight="1" x14ac:dyDescent="0.3">
      <c r="A3661" s="2">
        <v>3657</v>
      </c>
      <c r="B3661" s="66" t="s">
        <v>4168</v>
      </c>
      <c r="C3661" s="66" t="s">
        <v>4169</v>
      </c>
      <c r="D3661" s="11">
        <v>5000</v>
      </c>
      <c r="E3661" s="11">
        <v>5000</v>
      </c>
      <c r="F3661" s="3">
        <v>41989</v>
      </c>
      <c r="G3661" s="2"/>
      <c r="H3661" s="3">
        <v>43053</v>
      </c>
      <c r="I3661" s="2" t="s">
        <v>19506</v>
      </c>
      <c r="J3661" s="2" t="s">
        <v>13904</v>
      </c>
      <c r="K3661" s="2" t="s">
        <v>19223</v>
      </c>
      <c r="L3661" s="82" t="s">
        <v>19512</v>
      </c>
    </row>
    <row r="3662" spans="1:12" ht="84" customHeight="1" x14ac:dyDescent="0.3">
      <c r="A3662" s="2">
        <v>3658</v>
      </c>
      <c r="B3662" s="66" t="s">
        <v>4170</v>
      </c>
      <c r="C3662" s="66" t="s">
        <v>4171</v>
      </c>
      <c r="D3662" s="11">
        <v>5000</v>
      </c>
      <c r="E3662" s="11">
        <v>5000</v>
      </c>
      <c r="F3662" s="3">
        <v>41989</v>
      </c>
      <c r="G3662" s="2"/>
      <c r="H3662" s="3">
        <v>43053</v>
      </c>
      <c r="I3662" s="2" t="s">
        <v>19506</v>
      </c>
      <c r="J3662" s="2" t="s">
        <v>13904</v>
      </c>
      <c r="K3662" s="2" t="s">
        <v>19223</v>
      </c>
      <c r="L3662" s="82" t="s">
        <v>19512</v>
      </c>
    </row>
    <row r="3663" spans="1:12" ht="84" customHeight="1" x14ac:dyDescent="0.3">
      <c r="A3663" s="2">
        <v>3659</v>
      </c>
      <c r="B3663" s="66" t="s">
        <v>4170</v>
      </c>
      <c r="C3663" s="66" t="s">
        <v>4172</v>
      </c>
      <c r="D3663" s="11">
        <v>5000</v>
      </c>
      <c r="E3663" s="11">
        <v>5000</v>
      </c>
      <c r="F3663" s="3">
        <v>41989</v>
      </c>
      <c r="G3663" s="2"/>
      <c r="H3663" s="3">
        <v>43053</v>
      </c>
      <c r="I3663" s="2" t="s">
        <v>19506</v>
      </c>
      <c r="J3663" s="2" t="s">
        <v>13904</v>
      </c>
      <c r="K3663" s="2" t="s">
        <v>19223</v>
      </c>
      <c r="L3663" s="82" t="s">
        <v>19512</v>
      </c>
    </row>
    <row r="3664" spans="1:12" ht="84" customHeight="1" x14ac:dyDescent="0.3">
      <c r="A3664" s="2">
        <v>3660</v>
      </c>
      <c r="B3664" s="66" t="s">
        <v>4173</v>
      </c>
      <c r="C3664" s="66" t="s">
        <v>4174</v>
      </c>
      <c r="D3664" s="11">
        <v>4200</v>
      </c>
      <c r="E3664" s="11">
        <v>4200</v>
      </c>
      <c r="F3664" s="3">
        <v>41989</v>
      </c>
      <c r="G3664" s="2"/>
      <c r="H3664" s="3">
        <v>43053</v>
      </c>
      <c r="I3664" s="2" t="s">
        <v>19506</v>
      </c>
      <c r="J3664" s="2" t="s">
        <v>13904</v>
      </c>
      <c r="K3664" s="2" t="s">
        <v>19223</v>
      </c>
      <c r="L3664" s="82" t="s">
        <v>19512</v>
      </c>
    </row>
    <row r="3665" spans="1:15" ht="84" customHeight="1" x14ac:dyDescent="0.3">
      <c r="A3665" s="2">
        <v>3661</v>
      </c>
      <c r="B3665" s="66" t="s">
        <v>4175</v>
      </c>
      <c r="C3665" s="66" t="s">
        <v>4176</v>
      </c>
      <c r="D3665" s="11">
        <v>5900</v>
      </c>
      <c r="E3665" s="11">
        <v>5900</v>
      </c>
      <c r="F3665" s="3">
        <v>41989</v>
      </c>
      <c r="G3665" s="2"/>
      <c r="H3665" s="3">
        <v>43053</v>
      </c>
      <c r="I3665" s="2" t="s">
        <v>19506</v>
      </c>
      <c r="J3665" s="2" t="s">
        <v>13904</v>
      </c>
      <c r="K3665" s="2" t="s">
        <v>19223</v>
      </c>
      <c r="L3665" s="82" t="s">
        <v>19512</v>
      </c>
    </row>
    <row r="3666" spans="1:15" ht="84" customHeight="1" x14ac:dyDescent="0.3">
      <c r="A3666" s="2">
        <v>3662</v>
      </c>
      <c r="B3666" s="66" t="s">
        <v>4177</v>
      </c>
      <c r="C3666" s="66" t="s">
        <v>4178</v>
      </c>
      <c r="D3666" s="11">
        <v>5600</v>
      </c>
      <c r="E3666" s="11">
        <v>5600</v>
      </c>
      <c r="F3666" s="3">
        <v>41989</v>
      </c>
      <c r="G3666" s="2"/>
      <c r="H3666" s="3">
        <v>43053</v>
      </c>
      <c r="I3666" s="2" t="s">
        <v>19506</v>
      </c>
      <c r="J3666" s="2" t="s">
        <v>13904</v>
      </c>
      <c r="K3666" s="2" t="s">
        <v>19223</v>
      </c>
      <c r="L3666" s="82" t="s">
        <v>19512</v>
      </c>
    </row>
    <row r="3667" spans="1:15" ht="84" customHeight="1" x14ac:dyDescent="0.3">
      <c r="A3667" s="2">
        <v>3663</v>
      </c>
      <c r="B3667" s="66" t="s">
        <v>3874</v>
      </c>
      <c r="C3667" s="66" t="s">
        <v>4179</v>
      </c>
      <c r="D3667" s="11">
        <v>3400</v>
      </c>
      <c r="E3667" s="11">
        <v>3400</v>
      </c>
      <c r="F3667" s="3">
        <v>41989</v>
      </c>
      <c r="G3667" s="2"/>
      <c r="H3667" s="3">
        <v>43053</v>
      </c>
      <c r="I3667" s="2" t="s">
        <v>19506</v>
      </c>
      <c r="J3667" s="2" t="s">
        <v>13904</v>
      </c>
      <c r="K3667" s="2" t="s">
        <v>19223</v>
      </c>
      <c r="L3667" s="82" t="s">
        <v>19512</v>
      </c>
    </row>
    <row r="3668" spans="1:15" ht="84" customHeight="1" x14ac:dyDescent="0.3">
      <c r="A3668" s="2">
        <v>3664</v>
      </c>
      <c r="B3668" s="66" t="s">
        <v>4180</v>
      </c>
      <c r="C3668" s="66" t="s">
        <v>4181</v>
      </c>
      <c r="D3668" s="11">
        <v>5000</v>
      </c>
      <c r="E3668" s="11">
        <v>5000</v>
      </c>
      <c r="F3668" s="3">
        <v>41989</v>
      </c>
      <c r="G3668" s="2"/>
      <c r="H3668" s="3">
        <v>43053</v>
      </c>
      <c r="I3668" s="2" t="s">
        <v>19506</v>
      </c>
      <c r="J3668" s="2" t="s">
        <v>13904</v>
      </c>
      <c r="K3668" s="2" t="s">
        <v>19223</v>
      </c>
      <c r="L3668" s="82" t="s">
        <v>19512</v>
      </c>
    </row>
    <row r="3669" spans="1:15" ht="84" customHeight="1" x14ac:dyDescent="0.3">
      <c r="A3669" s="2">
        <v>3665</v>
      </c>
      <c r="B3669" s="66" t="s">
        <v>4158</v>
      </c>
      <c r="C3669" s="66" t="s">
        <v>4182</v>
      </c>
      <c r="D3669" s="11">
        <v>6750</v>
      </c>
      <c r="E3669" s="11">
        <v>6750</v>
      </c>
      <c r="F3669" s="3">
        <v>39723</v>
      </c>
      <c r="G3669" s="2"/>
      <c r="H3669" s="3">
        <v>43053</v>
      </c>
      <c r="I3669" s="2" t="s">
        <v>19506</v>
      </c>
      <c r="J3669" s="2" t="s">
        <v>13904</v>
      </c>
      <c r="K3669" s="2" t="s">
        <v>19223</v>
      </c>
      <c r="L3669" s="82" t="s">
        <v>19512</v>
      </c>
    </row>
    <row r="3670" spans="1:15" ht="84" customHeight="1" x14ac:dyDescent="0.3">
      <c r="A3670" s="2">
        <v>3666</v>
      </c>
      <c r="B3670" s="66" t="s">
        <v>4183</v>
      </c>
      <c r="C3670" s="66" t="s">
        <v>3154</v>
      </c>
      <c r="D3670" s="11">
        <v>10200</v>
      </c>
      <c r="E3670" s="11">
        <v>10200</v>
      </c>
      <c r="F3670" s="3">
        <v>41983</v>
      </c>
      <c r="G3670" s="2"/>
      <c r="H3670" s="3">
        <v>43053</v>
      </c>
      <c r="I3670" s="2" t="s">
        <v>19506</v>
      </c>
      <c r="J3670" s="2" t="s">
        <v>13904</v>
      </c>
      <c r="K3670" s="2" t="s">
        <v>19223</v>
      </c>
      <c r="L3670" s="82" t="s">
        <v>19512</v>
      </c>
    </row>
    <row r="3671" spans="1:15" ht="84" customHeight="1" x14ac:dyDescent="0.3">
      <c r="A3671" s="2">
        <v>3667</v>
      </c>
      <c r="B3671" s="66" t="s">
        <v>4184</v>
      </c>
      <c r="C3671" s="66" t="s">
        <v>3155</v>
      </c>
      <c r="D3671" s="11">
        <v>3100</v>
      </c>
      <c r="E3671" s="11">
        <v>3100</v>
      </c>
      <c r="F3671" s="3">
        <v>41983</v>
      </c>
      <c r="G3671" s="2"/>
      <c r="H3671" s="3">
        <v>43053</v>
      </c>
      <c r="I3671" s="2" t="s">
        <v>19506</v>
      </c>
      <c r="J3671" s="2" t="s">
        <v>13904</v>
      </c>
      <c r="K3671" s="2" t="s">
        <v>19223</v>
      </c>
      <c r="L3671" s="82" t="s">
        <v>19512</v>
      </c>
    </row>
    <row r="3672" spans="1:15" s="19" customFormat="1" ht="84" customHeight="1" x14ac:dyDescent="0.3">
      <c r="A3672" s="2">
        <v>3668</v>
      </c>
      <c r="B3672" s="66" t="s">
        <v>4185</v>
      </c>
      <c r="C3672" s="66" t="s">
        <v>4186</v>
      </c>
      <c r="D3672" s="244">
        <v>471696.34</v>
      </c>
      <c r="E3672" s="11">
        <v>34067.019999999997</v>
      </c>
      <c r="F3672" s="3">
        <v>41871</v>
      </c>
      <c r="G3672" s="2"/>
      <c r="H3672" s="2"/>
      <c r="I3672" s="2"/>
      <c r="J3672" s="2" t="s">
        <v>13904</v>
      </c>
      <c r="K3672" s="2" t="s">
        <v>19210</v>
      </c>
      <c r="L3672" s="82" t="s">
        <v>18608</v>
      </c>
      <c r="M3672" s="18"/>
      <c r="N3672" s="18"/>
      <c r="O3672" s="18"/>
    </row>
    <row r="3673" spans="1:15" ht="84" customHeight="1" x14ac:dyDescent="0.3">
      <c r="A3673" s="2">
        <v>3669</v>
      </c>
      <c r="B3673" s="66" t="s">
        <v>3819</v>
      </c>
      <c r="C3673" s="66" t="s">
        <v>4187</v>
      </c>
      <c r="D3673" s="244">
        <v>896536.42</v>
      </c>
      <c r="E3673" s="11">
        <v>54788.36</v>
      </c>
      <c r="F3673" s="3">
        <v>41996</v>
      </c>
      <c r="G3673" s="2"/>
      <c r="H3673" s="2"/>
      <c r="I3673" s="2"/>
      <c r="J3673" s="2" t="s">
        <v>13904</v>
      </c>
      <c r="K3673" s="2" t="s">
        <v>19210</v>
      </c>
      <c r="L3673" s="82" t="s">
        <v>18608</v>
      </c>
    </row>
    <row r="3674" spans="1:15" ht="84" customHeight="1" x14ac:dyDescent="0.3">
      <c r="A3674" s="2">
        <v>3670</v>
      </c>
      <c r="B3674" s="66" t="s">
        <v>1062</v>
      </c>
      <c r="C3674" s="66" t="s">
        <v>4188</v>
      </c>
      <c r="D3674" s="244">
        <v>98556.800000000003</v>
      </c>
      <c r="E3674" s="11">
        <v>58491.39</v>
      </c>
      <c r="F3674" s="3">
        <v>42004</v>
      </c>
      <c r="G3674" s="2"/>
      <c r="H3674" s="2"/>
      <c r="I3674" s="2"/>
      <c r="J3674" s="2" t="s">
        <v>13904</v>
      </c>
      <c r="K3674" s="2" t="s">
        <v>19210</v>
      </c>
      <c r="L3674" s="82" t="s">
        <v>18608</v>
      </c>
    </row>
    <row r="3675" spans="1:15" ht="84" customHeight="1" x14ac:dyDescent="0.3">
      <c r="A3675" s="2">
        <v>3671</v>
      </c>
      <c r="B3675" s="66" t="s">
        <v>4189</v>
      </c>
      <c r="C3675" s="66" t="s">
        <v>4190</v>
      </c>
      <c r="D3675" s="244">
        <v>74535.88</v>
      </c>
      <c r="E3675" s="11">
        <v>74535.88</v>
      </c>
      <c r="F3675" s="3">
        <v>39401</v>
      </c>
      <c r="G3675" s="2"/>
      <c r="H3675" s="2"/>
      <c r="I3675" s="2"/>
      <c r="J3675" s="2" t="s">
        <v>13904</v>
      </c>
      <c r="K3675" s="2" t="s">
        <v>19210</v>
      </c>
      <c r="L3675" s="82" t="s">
        <v>19703</v>
      </c>
    </row>
    <row r="3676" spans="1:15" ht="84" customHeight="1" x14ac:dyDescent="0.3">
      <c r="A3676" s="2">
        <v>3672</v>
      </c>
      <c r="B3676" s="66" t="s">
        <v>22245</v>
      </c>
      <c r="C3676" s="66">
        <v>4101260002</v>
      </c>
      <c r="D3676" s="11">
        <v>92220</v>
      </c>
      <c r="E3676" s="11">
        <v>28178.37</v>
      </c>
      <c r="F3676" s="3">
        <v>43090</v>
      </c>
      <c r="G3676" s="2" t="s">
        <v>22246</v>
      </c>
      <c r="H3676" s="3"/>
      <c r="I3676" s="2"/>
      <c r="J3676" s="2" t="s">
        <v>13904</v>
      </c>
      <c r="K3676" s="2" t="s">
        <v>22244</v>
      </c>
      <c r="L3676" s="82" t="s">
        <v>22996</v>
      </c>
    </row>
    <row r="3677" spans="1:15" ht="84" customHeight="1" x14ac:dyDescent="0.3">
      <c r="A3677" s="2">
        <v>3673</v>
      </c>
      <c r="B3677" s="66" t="s">
        <v>22247</v>
      </c>
      <c r="C3677" s="66">
        <v>4101262231</v>
      </c>
      <c r="D3677" s="11">
        <v>74800</v>
      </c>
      <c r="E3677" s="11">
        <v>20777.8</v>
      </c>
      <c r="F3677" s="3">
        <v>43090</v>
      </c>
      <c r="G3677" s="2" t="s">
        <v>22246</v>
      </c>
      <c r="H3677" s="3"/>
      <c r="I3677" s="2"/>
      <c r="J3677" s="2" t="s">
        <v>13904</v>
      </c>
      <c r="K3677" s="2" t="s">
        <v>22244</v>
      </c>
      <c r="L3677" s="246" t="s">
        <v>22996</v>
      </c>
    </row>
    <row r="3678" spans="1:15" ht="84" customHeight="1" x14ac:dyDescent="0.3">
      <c r="A3678" s="2">
        <v>3674</v>
      </c>
      <c r="B3678" s="66" t="s">
        <v>19704</v>
      </c>
      <c r="C3678" s="66">
        <v>41012300004</v>
      </c>
      <c r="D3678" s="244">
        <v>245000</v>
      </c>
      <c r="E3678" s="11">
        <v>9527.77</v>
      </c>
      <c r="F3678" s="3">
        <v>42667</v>
      </c>
      <c r="G3678" s="2" t="s">
        <v>14104</v>
      </c>
      <c r="H3678" s="3"/>
      <c r="I3678" s="2"/>
      <c r="J3678" s="2" t="s">
        <v>13904</v>
      </c>
      <c r="K3678" s="2" t="s">
        <v>19210</v>
      </c>
      <c r="L3678" s="82" t="s">
        <v>20500</v>
      </c>
    </row>
    <row r="3679" spans="1:15" ht="84" customHeight="1" x14ac:dyDescent="0.3">
      <c r="A3679" s="2">
        <v>3675</v>
      </c>
      <c r="B3679" s="66" t="s">
        <v>4191</v>
      </c>
      <c r="C3679" s="66" t="s">
        <v>4192</v>
      </c>
      <c r="D3679" s="11">
        <v>3750</v>
      </c>
      <c r="E3679" s="11">
        <v>3750</v>
      </c>
      <c r="F3679" s="3">
        <v>41747</v>
      </c>
      <c r="G3679" s="2"/>
      <c r="H3679" s="3">
        <v>43053</v>
      </c>
      <c r="I3679" s="2" t="s">
        <v>19506</v>
      </c>
      <c r="J3679" s="2" t="s">
        <v>13904</v>
      </c>
      <c r="K3679" s="2"/>
      <c r="L3679" s="82" t="s">
        <v>19512</v>
      </c>
    </row>
    <row r="3680" spans="1:15" ht="84" customHeight="1" x14ac:dyDescent="0.3">
      <c r="A3680" s="2">
        <v>3676</v>
      </c>
      <c r="B3680" s="66" t="s">
        <v>4193</v>
      </c>
      <c r="C3680" s="66" t="s">
        <v>4194</v>
      </c>
      <c r="D3680" s="11">
        <v>7850</v>
      </c>
      <c r="E3680" s="11">
        <v>7850</v>
      </c>
      <c r="F3680" s="3">
        <v>42153</v>
      </c>
      <c r="G3680" s="2"/>
      <c r="H3680" s="3">
        <v>43053</v>
      </c>
      <c r="I3680" s="2" t="s">
        <v>19506</v>
      </c>
      <c r="J3680" s="2" t="s">
        <v>13904</v>
      </c>
      <c r="K3680" s="2"/>
      <c r="L3680" s="82" t="s">
        <v>19512</v>
      </c>
    </row>
    <row r="3681" spans="1:12" ht="84" customHeight="1" x14ac:dyDescent="0.3">
      <c r="A3681" s="2">
        <v>3677</v>
      </c>
      <c r="B3681" s="66" t="s">
        <v>4195</v>
      </c>
      <c r="C3681" s="66" t="s">
        <v>4196</v>
      </c>
      <c r="D3681" s="11">
        <v>12090</v>
      </c>
      <c r="E3681" s="11">
        <v>12090</v>
      </c>
      <c r="F3681" s="3">
        <v>41330</v>
      </c>
      <c r="G3681" s="2"/>
      <c r="H3681" s="3">
        <v>43053</v>
      </c>
      <c r="I3681" s="2" t="s">
        <v>19506</v>
      </c>
      <c r="J3681" s="2" t="s">
        <v>13904</v>
      </c>
      <c r="K3681" s="2"/>
      <c r="L3681" s="82" t="s">
        <v>19512</v>
      </c>
    </row>
    <row r="3682" spans="1:12" ht="84" customHeight="1" x14ac:dyDescent="0.3">
      <c r="A3682" s="2">
        <v>3678</v>
      </c>
      <c r="B3682" s="66" t="s">
        <v>4197</v>
      </c>
      <c r="C3682" s="66" t="s">
        <v>4198</v>
      </c>
      <c r="D3682" s="244">
        <v>6980</v>
      </c>
      <c r="E3682" s="11">
        <v>6980</v>
      </c>
      <c r="F3682" s="3">
        <v>41179</v>
      </c>
      <c r="G3682" s="2"/>
      <c r="H3682" s="3">
        <v>43053</v>
      </c>
      <c r="I3682" s="2" t="s">
        <v>19506</v>
      </c>
      <c r="J3682" s="2" t="s">
        <v>13904</v>
      </c>
      <c r="K3682" s="2" t="s">
        <v>19210</v>
      </c>
      <c r="L3682" s="82" t="s">
        <v>19512</v>
      </c>
    </row>
    <row r="3683" spans="1:12" ht="84" customHeight="1" x14ac:dyDescent="0.3">
      <c r="A3683" s="2">
        <v>3679</v>
      </c>
      <c r="B3683" s="66" t="s">
        <v>4199</v>
      </c>
      <c r="C3683" s="66" t="s">
        <v>3128</v>
      </c>
      <c r="D3683" s="244">
        <v>12895.56</v>
      </c>
      <c r="E3683" s="11">
        <v>12895.56</v>
      </c>
      <c r="F3683" s="3">
        <v>39416</v>
      </c>
      <c r="G3683" s="2"/>
      <c r="H3683" s="3">
        <v>43053</v>
      </c>
      <c r="I3683" s="2" t="s">
        <v>19506</v>
      </c>
      <c r="J3683" s="2" t="s">
        <v>13904</v>
      </c>
      <c r="K3683" s="2" t="s">
        <v>19210</v>
      </c>
      <c r="L3683" s="82" t="s">
        <v>19512</v>
      </c>
    </row>
    <row r="3684" spans="1:12" ht="84" customHeight="1" x14ac:dyDescent="0.3">
      <c r="A3684" s="2">
        <v>3680</v>
      </c>
      <c r="B3684" s="66" t="s">
        <v>4200</v>
      </c>
      <c r="C3684" s="66" t="s">
        <v>3303</v>
      </c>
      <c r="D3684" s="244">
        <v>8225.2800000000007</v>
      </c>
      <c r="E3684" s="11">
        <v>8225.2800000000007</v>
      </c>
      <c r="F3684" s="3">
        <v>38990</v>
      </c>
      <c r="G3684" s="2"/>
      <c r="H3684" s="3">
        <v>43053</v>
      </c>
      <c r="I3684" s="2" t="s">
        <v>19506</v>
      </c>
      <c r="J3684" s="2" t="s">
        <v>13904</v>
      </c>
      <c r="K3684" s="2" t="s">
        <v>19210</v>
      </c>
      <c r="L3684" s="82" t="s">
        <v>19512</v>
      </c>
    </row>
    <row r="3685" spans="1:12" ht="84" customHeight="1" x14ac:dyDescent="0.3">
      <c r="A3685" s="2">
        <v>3681</v>
      </c>
      <c r="B3685" s="66" t="s">
        <v>4201</v>
      </c>
      <c r="C3685" s="66" t="s">
        <v>4202</v>
      </c>
      <c r="D3685" s="244">
        <v>31895.4</v>
      </c>
      <c r="E3685" s="11">
        <v>31895.4</v>
      </c>
      <c r="F3685" s="3">
        <v>38729</v>
      </c>
      <c r="G3685" s="2"/>
      <c r="H3685" s="3">
        <v>43053</v>
      </c>
      <c r="I3685" s="2" t="s">
        <v>19506</v>
      </c>
      <c r="J3685" s="2" t="s">
        <v>13904</v>
      </c>
      <c r="K3685" s="2" t="s">
        <v>19210</v>
      </c>
      <c r="L3685" s="82" t="s">
        <v>19512</v>
      </c>
    </row>
    <row r="3686" spans="1:12" ht="84" customHeight="1" x14ac:dyDescent="0.3">
      <c r="A3686" s="2">
        <v>3682</v>
      </c>
      <c r="B3686" s="66" t="s">
        <v>4203</v>
      </c>
      <c r="C3686" s="66" t="s">
        <v>3427</v>
      </c>
      <c r="D3686" s="244">
        <v>14619.66</v>
      </c>
      <c r="E3686" s="11">
        <v>14619.66</v>
      </c>
      <c r="F3686" s="3">
        <v>38729</v>
      </c>
      <c r="G3686" s="2"/>
      <c r="H3686" s="3">
        <v>43053</v>
      </c>
      <c r="I3686" s="2" t="s">
        <v>19506</v>
      </c>
      <c r="J3686" s="2" t="s">
        <v>13904</v>
      </c>
      <c r="K3686" s="2" t="s">
        <v>19210</v>
      </c>
      <c r="L3686" s="82" t="s">
        <v>19512</v>
      </c>
    </row>
    <row r="3687" spans="1:12" ht="84" customHeight="1" x14ac:dyDescent="0.3">
      <c r="A3687" s="2">
        <v>3683</v>
      </c>
      <c r="B3687" s="66" t="s">
        <v>4204</v>
      </c>
      <c r="C3687" s="66" t="s">
        <v>3461</v>
      </c>
      <c r="D3687" s="244">
        <v>11587.51</v>
      </c>
      <c r="E3687" s="11">
        <v>11587.51</v>
      </c>
      <c r="F3687" s="3">
        <v>39437</v>
      </c>
      <c r="G3687" s="2"/>
      <c r="H3687" s="3">
        <v>43053</v>
      </c>
      <c r="I3687" s="2" t="s">
        <v>19506</v>
      </c>
      <c r="J3687" s="2" t="s">
        <v>13904</v>
      </c>
      <c r="K3687" s="2" t="s">
        <v>19210</v>
      </c>
      <c r="L3687" s="82" t="s">
        <v>19512</v>
      </c>
    </row>
    <row r="3688" spans="1:12" ht="84" customHeight="1" x14ac:dyDescent="0.3">
      <c r="A3688" s="2">
        <v>3684</v>
      </c>
      <c r="B3688" s="66" t="s">
        <v>4205</v>
      </c>
      <c r="C3688" s="66" t="s">
        <v>4206</v>
      </c>
      <c r="D3688" s="244">
        <v>10602.9</v>
      </c>
      <c r="E3688" s="11">
        <v>10602.9</v>
      </c>
      <c r="F3688" s="3">
        <v>38729</v>
      </c>
      <c r="G3688" s="2"/>
      <c r="H3688" s="3">
        <v>43053</v>
      </c>
      <c r="I3688" s="2" t="s">
        <v>19506</v>
      </c>
      <c r="J3688" s="2" t="s">
        <v>13904</v>
      </c>
      <c r="K3688" s="2" t="s">
        <v>19210</v>
      </c>
      <c r="L3688" s="82" t="s">
        <v>19512</v>
      </c>
    </row>
    <row r="3689" spans="1:12" ht="84" customHeight="1" x14ac:dyDescent="0.3">
      <c r="A3689" s="2">
        <v>3685</v>
      </c>
      <c r="B3689" s="66" t="s">
        <v>4207</v>
      </c>
      <c r="C3689" s="66" t="s">
        <v>3843</v>
      </c>
      <c r="D3689" s="244">
        <v>19459.990000000002</v>
      </c>
      <c r="E3689" s="11">
        <v>19459.990000000002</v>
      </c>
      <c r="F3689" s="3">
        <v>39401</v>
      </c>
      <c r="G3689" s="2"/>
      <c r="H3689" s="3">
        <v>43053</v>
      </c>
      <c r="I3689" s="2" t="s">
        <v>19506</v>
      </c>
      <c r="J3689" s="2" t="s">
        <v>13904</v>
      </c>
      <c r="K3689" s="2" t="s">
        <v>19210</v>
      </c>
      <c r="L3689" s="82" t="s">
        <v>19512</v>
      </c>
    </row>
    <row r="3690" spans="1:12" ht="84" customHeight="1" x14ac:dyDescent="0.3">
      <c r="A3690" s="2">
        <v>3686</v>
      </c>
      <c r="B3690" s="66" t="s">
        <v>4208</v>
      </c>
      <c r="C3690" s="66" t="s">
        <v>4209</v>
      </c>
      <c r="D3690" s="244">
        <v>3605.7</v>
      </c>
      <c r="E3690" s="11">
        <v>3605.7</v>
      </c>
      <c r="F3690" s="3">
        <v>39051</v>
      </c>
      <c r="G3690" s="2"/>
      <c r="H3690" s="3">
        <v>43053</v>
      </c>
      <c r="I3690" s="2" t="s">
        <v>19506</v>
      </c>
      <c r="J3690" s="2" t="s">
        <v>13904</v>
      </c>
      <c r="K3690" s="2" t="s">
        <v>19210</v>
      </c>
      <c r="L3690" s="82" t="s">
        <v>19512</v>
      </c>
    </row>
    <row r="3691" spans="1:12" ht="84" customHeight="1" x14ac:dyDescent="0.3">
      <c r="A3691" s="2">
        <v>3687</v>
      </c>
      <c r="B3691" s="66" t="s">
        <v>4210</v>
      </c>
      <c r="C3691" s="66" t="s">
        <v>3824</v>
      </c>
      <c r="D3691" s="244">
        <v>16350</v>
      </c>
      <c r="E3691" s="11">
        <v>16350</v>
      </c>
      <c r="F3691" s="3">
        <v>39401</v>
      </c>
      <c r="G3691" s="2"/>
      <c r="H3691" s="3">
        <v>43053</v>
      </c>
      <c r="I3691" s="2" t="s">
        <v>19506</v>
      </c>
      <c r="J3691" s="2" t="s">
        <v>13904</v>
      </c>
      <c r="K3691" s="2" t="s">
        <v>19210</v>
      </c>
      <c r="L3691" s="82" t="s">
        <v>19512</v>
      </c>
    </row>
    <row r="3692" spans="1:12" ht="84" customHeight="1" x14ac:dyDescent="0.3">
      <c r="A3692" s="2">
        <v>3688</v>
      </c>
      <c r="B3692" s="66" t="s">
        <v>4211</v>
      </c>
      <c r="C3692" s="66" t="s">
        <v>4212</v>
      </c>
      <c r="D3692" s="244">
        <v>13603.74</v>
      </c>
      <c r="E3692" s="11">
        <v>13603.74</v>
      </c>
      <c r="F3692" s="3">
        <v>38729</v>
      </c>
      <c r="G3692" s="2"/>
      <c r="H3692" s="3">
        <v>43053</v>
      </c>
      <c r="I3692" s="2" t="s">
        <v>19506</v>
      </c>
      <c r="J3692" s="2" t="s">
        <v>13904</v>
      </c>
      <c r="K3692" s="2" t="s">
        <v>19210</v>
      </c>
      <c r="L3692" s="82" t="s">
        <v>19512</v>
      </c>
    </row>
    <row r="3693" spans="1:12" ht="84" customHeight="1" x14ac:dyDescent="0.3">
      <c r="A3693" s="2">
        <v>3689</v>
      </c>
      <c r="B3693" s="66" t="s">
        <v>4213</v>
      </c>
      <c r="C3693" s="66" t="s">
        <v>4214</v>
      </c>
      <c r="D3693" s="244">
        <v>4000</v>
      </c>
      <c r="E3693" s="11">
        <v>4000</v>
      </c>
      <c r="F3693" s="3">
        <v>40148</v>
      </c>
      <c r="G3693" s="2"/>
      <c r="H3693" s="3">
        <v>43053</v>
      </c>
      <c r="I3693" s="2" t="s">
        <v>19506</v>
      </c>
      <c r="J3693" s="2" t="s">
        <v>13904</v>
      </c>
      <c r="K3693" s="2" t="s">
        <v>19210</v>
      </c>
      <c r="L3693" s="82" t="s">
        <v>19512</v>
      </c>
    </row>
    <row r="3694" spans="1:12" ht="84" customHeight="1" x14ac:dyDescent="0.3">
      <c r="A3694" s="2">
        <v>3690</v>
      </c>
      <c r="B3694" s="66" t="s">
        <v>4213</v>
      </c>
      <c r="C3694" s="66" t="s">
        <v>4215</v>
      </c>
      <c r="D3694" s="244">
        <v>4000</v>
      </c>
      <c r="E3694" s="11">
        <v>4000</v>
      </c>
      <c r="F3694" s="3">
        <v>40148</v>
      </c>
      <c r="G3694" s="2"/>
      <c r="H3694" s="3">
        <v>43053</v>
      </c>
      <c r="I3694" s="2" t="s">
        <v>19506</v>
      </c>
      <c r="J3694" s="2" t="s">
        <v>13904</v>
      </c>
      <c r="K3694" s="2" t="s">
        <v>19210</v>
      </c>
      <c r="L3694" s="82" t="s">
        <v>19512</v>
      </c>
    </row>
    <row r="3695" spans="1:12" ht="84" customHeight="1" x14ac:dyDescent="0.3">
      <c r="A3695" s="2">
        <v>3691</v>
      </c>
      <c r="B3695" s="66" t="s">
        <v>4216</v>
      </c>
      <c r="C3695" s="66" t="s">
        <v>4217</v>
      </c>
      <c r="D3695" s="244">
        <v>5145.8999999999996</v>
      </c>
      <c r="E3695" s="11">
        <v>5145.8999999999996</v>
      </c>
      <c r="F3695" s="3">
        <v>39051</v>
      </c>
      <c r="G3695" s="2"/>
      <c r="H3695" s="3">
        <v>43053</v>
      </c>
      <c r="I3695" s="2" t="s">
        <v>19506</v>
      </c>
      <c r="J3695" s="2" t="s">
        <v>13904</v>
      </c>
      <c r="K3695" s="2" t="s">
        <v>19210</v>
      </c>
      <c r="L3695" s="82" t="s">
        <v>19512</v>
      </c>
    </row>
    <row r="3696" spans="1:12" ht="84" customHeight="1" x14ac:dyDescent="0.3">
      <c r="A3696" s="2">
        <v>3692</v>
      </c>
      <c r="B3696" s="66" t="s">
        <v>4218</v>
      </c>
      <c r="C3696" s="66" t="s">
        <v>4219</v>
      </c>
      <c r="D3696" s="244">
        <v>26849.71</v>
      </c>
      <c r="E3696" s="11">
        <v>26849.71</v>
      </c>
      <c r="F3696" s="3">
        <v>39447</v>
      </c>
      <c r="G3696" s="2"/>
      <c r="H3696" s="3">
        <v>43053</v>
      </c>
      <c r="I3696" s="2" t="s">
        <v>19506</v>
      </c>
      <c r="J3696" s="2" t="s">
        <v>13904</v>
      </c>
      <c r="K3696" s="2" t="s">
        <v>19210</v>
      </c>
      <c r="L3696" s="82" t="s">
        <v>19512</v>
      </c>
    </row>
    <row r="3697" spans="1:12" ht="84" customHeight="1" x14ac:dyDescent="0.3">
      <c r="A3697" s="2">
        <v>3693</v>
      </c>
      <c r="B3697" s="66" t="s">
        <v>4220</v>
      </c>
      <c r="C3697" s="66" t="s">
        <v>3425</v>
      </c>
      <c r="D3697" s="244">
        <v>5000</v>
      </c>
      <c r="E3697" s="11">
        <v>5000</v>
      </c>
      <c r="F3697" s="3">
        <v>40148</v>
      </c>
      <c r="G3697" s="2"/>
      <c r="H3697" s="3">
        <v>43053</v>
      </c>
      <c r="I3697" s="2" t="s">
        <v>19506</v>
      </c>
      <c r="J3697" s="2" t="s">
        <v>13904</v>
      </c>
      <c r="K3697" s="2" t="s">
        <v>19210</v>
      </c>
      <c r="L3697" s="82" t="s">
        <v>19512</v>
      </c>
    </row>
    <row r="3698" spans="1:12" ht="84" customHeight="1" x14ac:dyDescent="0.3">
      <c r="A3698" s="2">
        <v>3694</v>
      </c>
      <c r="B3698" s="66" t="s">
        <v>4221</v>
      </c>
      <c r="C3698" s="66" t="s">
        <v>4222</v>
      </c>
      <c r="D3698" s="244">
        <v>5980</v>
      </c>
      <c r="E3698" s="11">
        <v>5980</v>
      </c>
      <c r="F3698" s="3">
        <v>40536</v>
      </c>
      <c r="G3698" s="2"/>
      <c r="H3698" s="3">
        <v>43053</v>
      </c>
      <c r="I3698" s="2" t="s">
        <v>19506</v>
      </c>
      <c r="J3698" s="2" t="s">
        <v>13904</v>
      </c>
      <c r="K3698" s="2" t="s">
        <v>19210</v>
      </c>
      <c r="L3698" s="82" t="s">
        <v>19512</v>
      </c>
    </row>
    <row r="3699" spans="1:12" ht="84" customHeight="1" x14ac:dyDescent="0.3">
      <c r="A3699" s="2">
        <v>3695</v>
      </c>
      <c r="B3699" s="66" t="s">
        <v>4223</v>
      </c>
      <c r="C3699" s="66" t="s">
        <v>4224</v>
      </c>
      <c r="D3699" s="11">
        <v>12100</v>
      </c>
      <c r="E3699" s="11">
        <v>12100</v>
      </c>
      <c r="F3699" s="3">
        <v>37212</v>
      </c>
      <c r="G3699" s="2"/>
      <c r="H3699" s="3">
        <v>43053</v>
      </c>
      <c r="I3699" s="2" t="s">
        <v>19506</v>
      </c>
      <c r="J3699" s="2" t="s">
        <v>13904</v>
      </c>
      <c r="K3699" s="2"/>
      <c r="L3699" s="82" t="s">
        <v>19512</v>
      </c>
    </row>
    <row r="3700" spans="1:12" ht="84" customHeight="1" x14ac:dyDescent="0.3">
      <c r="A3700" s="2">
        <v>3696</v>
      </c>
      <c r="B3700" s="66" t="s">
        <v>4225</v>
      </c>
      <c r="C3700" s="66" t="s">
        <v>4226</v>
      </c>
      <c r="D3700" s="11">
        <v>3800</v>
      </c>
      <c r="E3700" s="11">
        <v>3800</v>
      </c>
      <c r="F3700" s="3">
        <v>41992</v>
      </c>
      <c r="G3700" s="2"/>
      <c r="H3700" s="3">
        <v>43053</v>
      </c>
      <c r="I3700" s="2" t="s">
        <v>19506</v>
      </c>
      <c r="J3700" s="2" t="s">
        <v>13904</v>
      </c>
      <c r="K3700" s="2"/>
      <c r="L3700" s="82" t="s">
        <v>19512</v>
      </c>
    </row>
    <row r="3701" spans="1:12" ht="84" customHeight="1" x14ac:dyDescent="0.3">
      <c r="A3701" s="2">
        <v>3697</v>
      </c>
      <c r="B3701" s="66" t="s">
        <v>4225</v>
      </c>
      <c r="C3701" s="66" t="s">
        <v>4227</v>
      </c>
      <c r="D3701" s="11">
        <v>3800</v>
      </c>
      <c r="E3701" s="11">
        <v>3800</v>
      </c>
      <c r="F3701" s="3">
        <v>41992</v>
      </c>
      <c r="G3701" s="2"/>
      <c r="H3701" s="3">
        <v>43053</v>
      </c>
      <c r="I3701" s="2" t="s">
        <v>19506</v>
      </c>
      <c r="J3701" s="2" t="s">
        <v>13904</v>
      </c>
      <c r="K3701" s="2"/>
      <c r="L3701" s="82" t="s">
        <v>19512</v>
      </c>
    </row>
    <row r="3702" spans="1:12" ht="84" customHeight="1" x14ac:dyDescent="0.3">
      <c r="A3702" s="2">
        <v>3698</v>
      </c>
      <c r="B3702" s="66" t="s">
        <v>4228</v>
      </c>
      <c r="C3702" s="66" t="s">
        <v>4229</v>
      </c>
      <c r="D3702" s="11">
        <v>5200</v>
      </c>
      <c r="E3702" s="11">
        <v>5200</v>
      </c>
      <c r="F3702" s="3">
        <v>41992</v>
      </c>
      <c r="G3702" s="2"/>
      <c r="H3702" s="3">
        <v>43053</v>
      </c>
      <c r="I3702" s="2" t="s">
        <v>19506</v>
      </c>
      <c r="J3702" s="2" t="s">
        <v>13904</v>
      </c>
      <c r="K3702" s="2"/>
      <c r="L3702" s="82" t="s">
        <v>19512</v>
      </c>
    </row>
    <row r="3703" spans="1:12" ht="84" customHeight="1" x14ac:dyDescent="0.3">
      <c r="A3703" s="2">
        <v>3699</v>
      </c>
      <c r="B3703" s="66" t="s">
        <v>4228</v>
      </c>
      <c r="C3703" s="66" t="s">
        <v>4230</v>
      </c>
      <c r="D3703" s="11">
        <v>5200</v>
      </c>
      <c r="E3703" s="11">
        <v>5200</v>
      </c>
      <c r="F3703" s="3">
        <v>41992</v>
      </c>
      <c r="G3703" s="2"/>
      <c r="H3703" s="3">
        <v>43053</v>
      </c>
      <c r="I3703" s="2" t="s">
        <v>19506</v>
      </c>
      <c r="J3703" s="2" t="s">
        <v>13904</v>
      </c>
      <c r="K3703" s="2"/>
      <c r="L3703" s="82" t="s">
        <v>19512</v>
      </c>
    </row>
    <row r="3704" spans="1:12" ht="84" customHeight="1" x14ac:dyDescent="0.3">
      <c r="A3704" s="2">
        <v>3700</v>
      </c>
      <c r="B3704" s="66" t="s">
        <v>4228</v>
      </c>
      <c r="C3704" s="66" t="s">
        <v>4231</v>
      </c>
      <c r="D3704" s="11">
        <v>5200</v>
      </c>
      <c r="E3704" s="11">
        <v>5200</v>
      </c>
      <c r="F3704" s="3">
        <v>41992</v>
      </c>
      <c r="G3704" s="2"/>
      <c r="H3704" s="3">
        <v>43053</v>
      </c>
      <c r="I3704" s="2" t="s">
        <v>19506</v>
      </c>
      <c r="J3704" s="2" t="s">
        <v>13904</v>
      </c>
      <c r="K3704" s="2"/>
      <c r="L3704" s="82" t="s">
        <v>19512</v>
      </c>
    </row>
    <row r="3705" spans="1:12" ht="84" customHeight="1" x14ac:dyDescent="0.3">
      <c r="A3705" s="2">
        <v>3701</v>
      </c>
      <c r="B3705" s="66" t="s">
        <v>4232</v>
      </c>
      <c r="C3705" s="66" t="s">
        <v>4233</v>
      </c>
      <c r="D3705" s="11">
        <v>3140</v>
      </c>
      <c r="E3705" s="11">
        <v>3140</v>
      </c>
      <c r="F3705" s="3">
        <v>41330</v>
      </c>
      <c r="G3705" s="2"/>
      <c r="H3705" s="3">
        <v>43053</v>
      </c>
      <c r="I3705" s="2" t="s">
        <v>19506</v>
      </c>
      <c r="J3705" s="2" t="s">
        <v>13904</v>
      </c>
      <c r="K3705" s="2"/>
      <c r="L3705" s="82" t="s">
        <v>19512</v>
      </c>
    </row>
    <row r="3706" spans="1:12" ht="84" customHeight="1" x14ac:dyDescent="0.3">
      <c r="A3706" s="2">
        <v>3702</v>
      </c>
      <c r="B3706" s="66" t="s">
        <v>4234</v>
      </c>
      <c r="C3706" s="66" t="s">
        <v>4235</v>
      </c>
      <c r="D3706" s="11">
        <v>8500</v>
      </c>
      <c r="E3706" s="11">
        <v>8500</v>
      </c>
      <c r="F3706" s="3">
        <v>42158</v>
      </c>
      <c r="G3706" s="2"/>
      <c r="H3706" s="3">
        <v>43053</v>
      </c>
      <c r="I3706" s="2" t="s">
        <v>19506</v>
      </c>
      <c r="J3706" s="2" t="s">
        <v>13904</v>
      </c>
      <c r="K3706" s="2"/>
      <c r="L3706" s="82" t="s">
        <v>19512</v>
      </c>
    </row>
    <row r="3707" spans="1:12" ht="84" customHeight="1" x14ac:dyDescent="0.3">
      <c r="A3707" s="2">
        <v>3703</v>
      </c>
      <c r="B3707" s="66" t="s">
        <v>4236</v>
      </c>
      <c r="C3707" s="66" t="s">
        <v>4237</v>
      </c>
      <c r="D3707" s="244">
        <v>14020.76</v>
      </c>
      <c r="E3707" s="11">
        <v>14020.76</v>
      </c>
      <c r="F3707" s="3">
        <v>41179</v>
      </c>
      <c r="G3707" s="2"/>
      <c r="H3707" s="3">
        <v>43053</v>
      </c>
      <c r="I3707" s="2" t="s">
        <v>19506</v>
      </c>
      <c r="J3707" s="2" t="s">
        <v>13904</v>
      </c>
      <c r="K3707" s="2" t="s">
        <v>19210</v>
      </c>
      <c r="L3707" s="82" t="s">
        <v>19512</v>
      </c>
    </row>
    <row r="3708" spans="1:12" ht="84" customHeight="1" x14ac:dyDescent="0.3">
      <c r="A3708" s="2">
        <v>3704</v>
      </c>
      <c r="B3708" s="66" t="s">
        <v>4238</v>
      </c>
      <c r="C3708" s="66" t="s">
        <v>4239</v>
      </c>
      <c r="D3708" s="11">
        <v>4799.99</v>
      </c>
      <c r="E3708" s="11">
        <v>4799.99</v>
      </c>
      <c r="F3708" s="3">
        <v>41179</v>
      </c>
      <c r="G3708" s="2"/>
      <c r="H3708" s="3">
        <v>43053</v>
      </c>
      <c r="I3708" s="2" t="s">
        <v>19506</v>
      </c>
      <c r="J3708" s="2" t="s">
        <v>13904</v>
      </c>
      <c r="K3708" s="2"/>
      <c r="L3708" s="82" t="s">
        <v>19512</v>
      </c>
    </row>
    <row r="3709" spans="1:12" ht="84" customHeight="1" x14ac:dyDescent="0.3">
      <c r="A3709" s="2">
        <v>3705</v>
      </c>
      <c r="B3709" s="66" t="s">
        <v>4240</v>
      </c>
      <c r="C3709" s="66" t="s">
        <v>4241</v>
      </c>
      <c r="D3709" s="244">
        <v>14020.76</v>
      </c>
      <c r="E3709" s="11">
        <v>14020.76</v>
      </c>
      <c r="F3709" s="3">
        <v>41179</v>
      </c>
      <c r="G3709" s="2"/>
      <c r="H3709" s="3">
        <v>43053</v>
      </c>
      <c r="I3709" s="2" t="s">
        <v>19506</v>
      </c>
      <c r="J3709" s="2" t="s">
        <v>13904</v>
      </c>
      <c r="K3709" s="2" t="s">
        <v>19210</v>
      </c>
      <c r="L3709" s="82" t="s">
        <v>19512</v>
      </c>
    </row>
    <row r="3710" spans="1:12" ht="84" customHeight="1" x14ac:dyDescent="0.3">
      <c r="A3710" s="2">
        <v>3706</v>
      </c>
      <c r="B3710" s="66" t="s">
        <v>4242</v>
      </c>
      <c r="C3710" s="66" t="s">
        <v>3865</v>
      </c>
      <c r="D3710" s="244">
        <v>3931.76</v>
      </c>
      <c r="E3710" s="11">
        <v>3931.76</v>
      </c>
      <c r="F3710" s="3">
        <v>37006</v>
      </c>
      <c r="G3710" s="2"/>
      <c r="H3710" s="3">
        <v>43053</v>
      </c>
      <c r="I3710" s="2" t="s">
        <v>19506</v>
      </c>
      <c r="J3710" s="2" t="s">
        <v>13904</v>
      </c>
      <c r="K3710" s="2" t="s">
        <v>19210</v>
      </c>
      <c r="L3710" s="82" t="s">
        <v>19512</v>
      </c>
    </row>
    <row r="3711" spans="1:12" ht="84" customHeight="1" x14ac:dyDescent="0.3">
      <c r="A3711" s="2">
        <v>3707</v>
      </c>
      <c r="B3711" s="66" t="s">
        <v>4243</v>
      </c>
      <c r="C3711" s="66" t="s">
        <v>4244</v>
      </c>
      <c r="D3711" s="244">
        <v>4650</v>
      </c>
      <c r="E3711" s="11">
        <v>4650</v>
      </c>
      <c r="F3711" s="3">
        <v>39422</v>
      </c>
      <c r="G3711" s="2"/>
      <c r="H3711" s="3">
        <v>43053</v>
      </c>
      <c r="I3711" s="2" t="s">
        <v>19506</v>
      </c>
      <c r="J3711" s="2" t="s">
        <v>13904</v>
      </c>
      <c r="K3711" s="2" t="s">
        <v>19210</v>
      </c>
      <c r="L3711" s="82" t="s">
        <v>19512</v>
      </c>
    </row>
    <row r="3712" spans="1:12" ht="84" customHeight="1" x14ac:dyDescent="0.3">
      <c r="A3712" s="2">
        <v>3708</v>
      </c>
      <c r="B3712" s="66" t="s">
        <v>4245</v>
      </c>
      <c r="C3712" s="66" t="s">
        <v>4246</v>
      </c>
      <c r="D3712" s="244">
        <v>5300</v>
      </c>
      <c r="E3712" s="11">
        <v>5300</v>
      </c>
      <c r="F3712" s="3">
        <v>39422</v>
      </c>
      <c r="G3712" s="2"/>
      <c r="H3712" s="3">
        <v>43053</v>
      </c>
      <c r="I3712" s="2" t="s">
        <v>19506</v>
      </c>
      <c r="J3712" s="2" t="s">
        <v>13904</v>
      </c>
      <c r="K3712" s="2" t="s">
        <v>19210</v>
      </c>
      <c r="L3712" s="82" t="s">
        <v>19512</v>
      </c>
    </row>
    <row r="3713" spans="1:12" ht="84" customHeight="1" x14ac:dyDescent="0.3">
      <c r="A3713" s="2">
        <v>3709</v>
      </c>
      <c r="B3713" s="66" t="s">
        <v>4247</v>
      </c>
      <c r="C3713" s="66" t="s">
        <v>4248</v>
      </c>
      <c r="D3713" s="244">
        <v>5857.32</v>
      </c>
      <c r="E3713" s="11">
        <v>5857.32</v>
      </c>
      <c r="F3713" s="3">
        <v>38107</v>
      </c>
      <c r="G3713" s="2"/>
      <c r="H3713" s="3">
        <v>43053</v>
      </c>
      <c r="I3713" s="2" t="s">
        <v>19506</v>
      </c>
      <c r="J3713" s="2" t="s">
        <v>13904</v>
      </c>
      <c r="K3713" s="2" t="s">
        <v>19210</v>
      </c>
      <c r="L3713" s="82" t="s">
        <v>19512</v>
      </c>
    </row>
    <row r="3714" spans="1:12" ht="84" customHeight="1" x14ac:dyDescent="0.3">
      <c r="A3714" s="2">
        <v>3710</v>
      </c>
      <c r="B3714" s="66" t="s">
        <v>4249</v>
      </c>
      <c r="C3714" s="66" t="s">
        <v>3143</v>
      </c>
      <c r="D3714" s="244">
        <v>9658.31</v>
      </c>
      <c r="E3714" s="11">
        <v>9658.31</v>
      </c>
      <c r="F3714" s="3">
        <v>39051</v>
      </c>
      <c r="G3714" s="2"/>
      <c r="H3714" s="3">
        <v>43053</v>
      </c>
      <c r="I3714" s="2" t="s">
        <v>19506</v>
      </c>
      <c r="J3714" s="2" t="s">
        <v>13904</v>
      </c>
      <c r="K3714" s="2" t="s">
        <v>19210</v>
      </c>
      <c r="L3714" s="82" t="s">
        <v>19512</v>
      </c>
    </row>
    <row r="3715" spans="1:12" ht="84" customHeight="1" x14ac:dyDescent="0.3">
      <c r="A3715" s="2">
        <v>3711</v>
      </c>
      <c r="B3715" s="66" t="s">
        <v>4250</v>
      </c>
      <c r="C3715" s="66" t="s">
        <v>3142</v>
      </c>
      <c r="D3715" s="244">
        <v>4850</v>
      </c>
      <c r="E3715" s="11">
        <v>4850</v>
      </c>
      <c r="F3715" s="3">
        <v>39422</v>
      </c>
      <c r="G3715" s="2"/>
      <c r="H3715" s="3">
        <v>43053</v>
      </c>
      <c r="I3715" s="2" t="s">
        <v>19506</v>
      </c>
      <c r="J3715" s="2" t="s">
        <v>13904</v>
      </c>
      <c r="K3715" s="2" t="s">
        <v>19210</v>
      </c>
      <c r="L3715" s="82" t="s">
        <v>19512</v>
      </c>
    </row>
    <row r="3716" spans="1:12" ht="84" customHeight="1" x14ac:dyDescent="0.3">
      <c r="A3716" s="2">
        <v>3712</v>
      </c>
      <c r="B3716" s="66" t="s">
        <v>3441</v>
      </c>
      <c r="C3716" s="66" t="s">
        <v>3140</v>
      </c>
      <c r="D3716" s="244">
        <v>7017.6</v>
      </c>
      <c r="E3716" s="11">
        <v>7017.6</v>
      </c>
      <c r="F3716" s="3">
        <v>39051</v>
      </c>
      <c r="G3716" s="2"/>
      <c r="H3716" s="3">
        <v>43053</v>
      </c>
      <c r="I3716" s="2" t="s">
        <v>19506</v>
      </c>
      <c r="J3716" s="2" t="s">
        <v>13904</v>
      </c>
      <c r="K3716" s="2" t="s">
        <v>19210</v>
      </c>
      <c r="L3716" s="82" t="s">
        <v>19512</v>
      </c>
    </row>
    <row r="3717" spans="1:12" ht="84" customHeight="1" x14ac:dyDescent="0.3">
      <c r="A3717" s="2">
        <v>3713</v>
      </c>
      <c r="B3717" s="66" t="s">
        <v>4251</v>
      </c>
      <c r="C3717" s="66" t="s">
        <v>4252</v>
      </c>
      <c r="D3717" s="244">
        <v>11857.5</v>
      </c>
      <c r="E3717" s="11">
        <v>11857.5</v>
      </c>
      <c r="F3717" s="3">
        <v>38855</v>
      </c>
      <c r="G3717" s="2"/>
      <c r="H3717" s="3">
        <v>43053</v>
      </c>
      <c r="I3717" s="2" t="s">
        <v>19506</v>
      </c>
      <c r="J3717" s="2" t="s">
        <v>13904</v>
      </c>
      <c r="K3717" s="2" t="s">
        <v>19210</v>
      </c>
      <c r="L3717" s="82" t="s">
        <v>19512</v>
      </c>
    </row>
    <row r="3718" spans="1:12" ht="84" customHeight="1" x14ac:dyDescent="0.3">
      <c r="A3718" s="2">
        <v>3714</v>
      </c>
      <c r="B3718" s="66" t="s">
        <v>4251</v>
      </c>
      <c r="C3718" s="66" t="s">
        <v>3503</v>
      </c>
      <c r="D3718" s="244">
        <v>11857.5</v>
      </c>
      <c r="E3718" s="11">
        <v>11857.5</v>
      </c>
      <c r="F3718" s="3">
        <v>38855</v>
      </c>
      <c r="G3718" s="2"/>
      <c r="H3718" s="3">
        <v>43053</v>
      </c>
      <c r="I3718" s="2" t="s">
        <v>19506</v>
      </c>
      <c r="J3718" s="2" t="s">
        <v>13904</v>
      </c>
      <c r="K3718" s="2" t="s">
        <v>19210</v>
      </c>
      <c r="L3718" s="82" t="s">
        <v>19512</v>
      </c>
    </row>
    <row r="3719" spans="1:12" ht="84" customHeight="1" x14ac:dyDescent="0.3">
      <c r="A3719" s="2">
        <v>3715</v>
      </c>
      <c r="B3719" s="66" t="s">
        <v>4251</v>
      </c>
      <c r="C3719" s="66" t="s">
        <v>4253</v>
      </c>
      <c r="D3719" s="244">
        <v>11857.5</v>
      </c>
      <c r="E3719" s="11">
        <v>11857.5</v>
      </c>
      <c r="F3719" s="3">
        <v>38855</v>
      </c>
      <c r="G3719" s="2"/>
      <c r="H3719" s="3">
        <v>43053</v>
      </c>
      <c r="I3719" s="2" t="s">
        <v>19506</v>
      </c>
      <c r="J3719" s="2" t="s">
        <v>13904</v>
      </c>
      <c r="K3719" s="2" t="s">
        <v>19210</v>
      </c>
      <c r="L3719" s="82" t="s">
        <v>19512</v>
      </c>
    </row>
    <row r="3720" spans="1:12" ht="84" customHeight="1" x14ac:dyDescent="0.3">
      <c r="A3720" s="2">
        <v>3716</v>
      </c>
      <c r="B3720" s="66" t="s">
        <v>4251</v>
      </c>
      <c r="C3720" s="66" t="s">
        <v>3525</v>
      </c>
      <c r="D3720" s="244">
        <v>11857.5</v>
      </c>
      <c r="E3720" s="11">
        <v>11857.5</v>
      </c>
      <c r="F3720" s="3">
        <v>38855</v>
      </c>
      <c r="G3720" s="2"/>
      <c r="H3720" s="3">
        <v>43053</v>
      </c>
      <c r="I3720" s="2" t="s">
        <v>19506</v>
      </c>
      <c r="J3720" s="2" t="s">
        <v>13904</v>
      </c>
      <c r="K3720" s="2" t="s">
        <v>19210</v>
      </c>
      <c r="L3720" s="82" t="s">
        <v>19512</v>
      </c>
    </row>
    <row r="3721" spans="1:12" ht="84" customHeight="1" x14ac:dyDescent="0.3">
      <c r="A3721" s="2">
        <v>3717</v>
      </c>
      <c r="B3721" s="66" t="s">
        <v>4254</v>
      </c>
      <c r="C3721" s="66" t="s">
        <v>4255</v>
      </c>
      <c r="D3721" s="244">
        <v>9650</v>
      </c>
      <c r="E3721" s="11">
        <v>9650</v>
      </c>
      <c r="F3721" s="3">
        <v>39422</v>
      </c>
      <c r="G3721" s="2"/>
      <c r="H3721" s="3">
        <v>43053</v>
      </c>
      <c r="I3721" s="2" t="s">
        <v>19506</v>
      </c>
      <c r="J3721" s="2" t="s">
        <v>13904</v>
      </c>
      <c r="K3721" s="2" t="s">
        <v>19210</v>
      </c>
      <c r="L3721" s="82" t="s">
        <v>19512</v>
      </c>
    </row>
    <row r="3722" spans="1:12" ht="84" customHeight="1" x14ac:dyDescent="0.3">
      <c r="A3722" s="2">
        <v>3718</v>
      </c>
      <c r="B3722" s="66" t="s">
        <v>3540</v>
      </c>
      <c r="C3722" s="66" t="s">
        <v>3812</v>
      </c>
      <c r="D3722" s="244">
        <v>4064.13</v>
      </c>
      <c r="E3722" s="11">
        <v>4064.13</v>
      </c>
      <c r="F3722" s="3">
        <v>39422</v>
      </c>
      <c r="G3722" s="2"/>
      <c r="H3722" s="3">
        <v>43053</v>
      </c>
      <c r="I3722" s="2" t="s">
        <v>19506</v>
      </c>
      <c r="J3722" s="2" t="s">
        <v>13904</v>
      </c>
      <c r="K3722" s="2" t="s">
        <v>19210</v>
      </c>
      <c r="L3722" s="82" t="s">
        <v>19512</v>
      </c>
    </row>
    <row r="3723" spans="1:12" ht="84" customHeight="1" x14ac:dyDescent="0.3">
      <c r="A3723" s="2">
        <v>3719</v>
      </c>
      <c r="B3723" s="66" t="s">
        <v>4256</v>
      </c>
      <c r="C3723" s="66" t="s">
        <v>4257</v>
      </c>
      <c r="D3723" s="244">
        <v>8000</v>
      </c>
      <c r="E3723" s="11">
        <v>8000</v>
      </c>
      <c r="F3723" s="3">
        <v>41137</v>
      </c>
      <c r="G3723" s="2"/>
      <c r="H3723" s="3">
        <v>43053</v>
      </c>
      <c r="I3723" s="2" t="s">
        <v>19506</v>
      </c>
      <c r="J3723" s="2" t="s">
        <v>13904</v>
      </c>
      <c r="K3723" s="2" t="s">
        <v>19210</v>
      </c>
      <c r="L3723" s="82" t="s">
        <v>19512</v>
      </c>
    </row>
    <row r="3724" spans="1:12" ht="84" customHeight="1" x14ac:dyDescent="0.3">
      <c r="A3724" s="2">
        <v>3720</v>
      </c>
      <c r="B3724" s="66" t="s">
        <v>4258</v>
      </c>
      <c r="C3724" s="66" t="s">
        <v>4259</v>
      </c>
      <c r="D3724" s="244">
        <v>23850.05</v>
      </c>
      <c r="E3724" s="11">
        <v>23850.05</v>
      </c>
      <c r="F3724" s="3" t="s">
        <v>11551</v>
      </c>
      <c r="G3724" s="2"/>
      <c r="H3724" s="3">
        <v>43053</v>
      </c>
      <c r="I3724" s="2" t="s">
        <v>19506</v>
      </c>
      <c r="J3724" s="2" t="s">
        <v>13904</v>
      </c>
      <c r="K3724" s="2" t="s">
        <v>19210</v>
      </c>
      <c r="L3724" s="82" t="s">
        <v>19512</v>
      </c>
    </row>
    <row r="3725" spans="1:12" ht="84" customHeight="1" x14ac:dyDescent="0.3">
      <c r="A3725" s="2">
        <v>3721</v>
      </c>
      <c r="B3725" s="66" t="s">
        <v>4260</v>
      </c>
      <c r="C3725" s="66" t="s">
        <v>4261</v>
      </c>
      <c r="D3725" s="244">
        <v>8199.9500000000007</v>
      </c>
      <c r="E3725" s="11">
        <v>8199.9500000000007</v>
      </c>
      <c r="F3725" s="3" t="s">
        <v>11551</v>
      </c>
      <c r="G3725" s="2"/>
      <c r="H3725" s="3">
        <v>43053</v>
      </c>
      <c r="I3725" s="2" t="s">
        <v>19506</v>
      </c>
      <c r="J3725" s="2" t="s">
        <v>13904</v>
      </c>
      <c r="K3725" s="2" t="s">
        <v>19210</v>
      </c>
      <c r="L3725" s="82" t="s">
        <v>19512</v>
      </c>
    </row>
    <row r="3726" spans="1:12" ht="84" customHeight="1" x14ac:dyDescent="0.3">
      <c r="A3726" s="2">
        <v>3722</v>
      </c>
      <c r="B3726" s="66" t="s">
        <v>3510</v>
      </c>
      <c r="C3726" s="66" t="s">
        <v>4262</v>
      </c>
      <c r="D3726" s="244">
        <v>3909.17</v>
      </c>
      <c r="E3726" s="11">
        <v>3909.17</v>
      </c>
      <c r="F3726" s="3">
        <v>39073</v>
      </c>
      <c r="G3726" s="2"/>
      <c r="H3726" s="3">
        <v>43053</v>
      </c>
      <c r="I3726" s="2" t="s">
        <v>19506</v>
      </c>
      <c r="J3726" s="2" t="s">
        <v>13904</v>
      </c>
      <c r="K3726" s="2" t="s">
        <v>19210</v>
      </c>
      <c r="L3726" s="82" t="s">
        <v>19512</v>
      </c>
    </row>
    <row r="3727" spans="1:12" ht="84" customHeight="1" x14ac:dyDescent="0.3">
      <c r="A3727" s="2">
        <v>3723</v>
      </c>
      <c r="B3727" s="66" t="s">
        <v>3510</v>
      </c>
      <c r="C3727" s="66" t="s">
        <v>4263</v>
      </c>
      <c r="D3727" s="244">
        <v>3909.17</v>
      </c>
      <c r="E3727" s="11">
        <v>3909.17</v>
      </c>
      <c r="F3727" s="3">
        <v>39073</v>
      </c>
      <c r="G3727" s="2"/>
      <c r="H3727" s="3">
        <v>43053</v>
      </c>
      <c r="I3727" s="2" t="s">
        <v>19506</v>
      </c>
      <c r="J3727" s="2" t="s">
        <v>13904</v>
      </c>
      <c r="K3727" s="2" t="s">
        <v>19210</v>
      </c>
      <c r="L3727" s="82" t="s">
        <v>19512</v>
      </c>
    </row>
    <row r="3728" spans="1:12" ht="84" customHeight="1" x14ac:dyDescent="0.3">
      <c r="A3728" s="2">
        <v>3724</v>
      </c>
      <c r="B3728" s="66" t="s">
        <v>4264</v>
      </c>
      <c r="C3728" s="66" t="s">
        <v>4265</v>
      </c>
      <c r="D3728" s="244">
        <v>5500</v>
      </c>
      <c r="E3728" s="11">
        <v>5500</v>
      </c>
      <c r="F3728" s="3">
        <v>41978</v>
      </c>
      <c r="G3728" s="2"/>
      <c r="H3728" s="3">
        <v>43053</v>
      </c>
      <c r="I3728" s="2" t="s">
        <v>19506</v>
      </c>
      <c r="J3728" s="2" t="s">
        <v>13904</v>
      </c>
      <c r="K3728" s="2" t="s">
        <v>19210</v>
      </c>
      <c r="L3728" s="82" t="s">
        <v>19512</v>
      </c>
    </row>
    <row r="3729" spans="1:12" ht="84" customHeight="1" x14ac:dyDescent="0.3">
      <c r="A3729" s="2">
        <v>3725</v>
      </c>
      <c r="B3729" s="66" t="s">
        <v>4264</v>
      </c>
      <c r="C3729" s="66" t="s">
        <v>4266</v>
      </c>
      <c r="D3729" s="244">
        <v>5500</v>
      </c>
      <c r="E3729" s="11">
        <v>5500</v>
      </c>
      <c r="F3729" s="3">
        <v>41978</v>
      </c>
      <c r="G3729" s="2"/>
      <c r="H3729" s="3">
        <v>43053</v>
      </c>
      <c r="I3729" s="2" t="s">
        <v>19506</v>
      </c>
      <c r="J3729" s="2" t="s">
        <v>13904</v>
      </c>
      <c r="K3729" s="2" t="s">
        <v>19210</v>
      </c>
      <c r="L3729" s="82" t="s">
        <v>19512</v>
      </c>
    </row>
    <row r="3730" spans="1:12" ht="84" customHeight="1" x14ac:dyDescent="0.3">
      <c r="A3730" s="2">
        <v>3726</v>
      </c>
      <c r="B3730" s="66" t="s">
        <v>4264</v>
      </c>
      <c r="C3730" s="66" t="s">
        <v>4267</v>
      </c>
      <c r="D3730" s="244">
        <v>5500</v>
      </c>
      <c r="E3730" s="11">
        <v>5500</v>
      </c>
      <c r="F3730" s="3">
        <v>41978</v>
      </c>
      <c r="G3730" s="2"/>
      <c r="H3730" s="3">
        <v>43053</v>
      </c>
      <c r="I3730" s="2" t="s">
        <v>19506</v>
      </c>
      <c r="J3730" s="2" t="s">
        <v>13904</v>
      </c>
      <c r="K3730" s="2" t="s">
        <v>19210</v>
      </c>
      <c r="L3730" s="82" t="s">
        <v>19512</v>
      </c>
    </row>
    <row r="3731" spans="1:12" ht="84" customHeight="1" x14ac:dyDescent="0.3">
      <c r="A3731" s="2">
        <v>3727</v>
      </c>
      <c r="B3731" s="66" t="s">
        <v>4264</v>
      </c>
      <c r="C3731" s="66" t="s">
        <v>4268</v>
      </c>
      <c r="D3731" s="244">
        <v>5500</v>
      </c>
      <c r="E3731" s="11">
        <v>5500</v>
      </c>
      <c r="F3731" s="3">
        <v>41978</v>
      </c>
      <c r="G3731" s="2"/>
      <c r="H3731" s="3">
        <v>43053</v>
      </c>
      <c r="I3731" s="2" t="s">
        <v>19506</v>
      </c>
      <c r="J3731" s="2" t="s">
        <v>13904</v>
      </c>
      <c r="K3731" s="2" t="s">
        <v>19210</v>
      </c>
      <c r="L3731" s="82" t="s">
        <v>19512</v>
      </c>
    </row>
    <row r="3732" spans="1:12" ht="84" customHeight="1" x14ac:dyDescent="0.3">
      <c r="A3732" s="2">
        <v>3728</v>
      </c>
      <c r="B3732" s="66" t="s">
        <v>4264</v>
      </c>
      <c r="C3732" s="66" t="s">
        <v>4269</v>
      </c>
      <c r="D3732" s="244">
        <v>5500</v>
      </c>
      <c r="E3732" s="11">
        <v>5500</v>
      </c>
      <c r="F3732" s="3">
        <v>41978</v>
      </c>
      <c r="G3732" s="2"/>
      <c r="H3732" s="3">
        <v>43053</v>
      </c>
      <c r="I3732" s="2" t="s">
        <v>19506</v>
      </c>
      <c r="J3732" s="2" t="s">
        <v>13904</v>
      </c>
      <c r="K3732" s="2" t="s">
        <v>19210</v>
      </c>
      <c r="L3732" s="82" t="s">
        <v>19512</v>
      </c>
    </row>
    <row r="3733" spans="1:12" ht="84" customHeight="1" x14ac:dyDescent="0.3">
      <c r="A3733" s="2">
        <v>3729</v>
      </c>
      <c r="B3733" s="66" t="s">
        <v>4264</v>
      </c>
      <c r="C3733" s="66" t="s">
        <v>4270</v>
      </c>
      <c r="D3733" s="244">
        <v>5500</v>
      </c>
      <c r="E3733" s="11">
        <v>5500</v>
      </c>
      <c r="F3733" s="3">
        <v>41978</v>
      </c>
      <c r="G3733" s="2"/>
      <c r="H3733" s="3">
        <v>43053</v>
      </c>
      <c r="I3733" s="2" t="s">
        <v>19506</v>
      </c>
      <c r="J3733" s="2" t="s">
        <v>13904</v>
      </c>
      <c r="K3733" s="2" t="s">
        <v>19210</v>
      </c>
      <c r="L3733" s="82" t="s">
        <v>19512</v>
      </c>
    </row>
    <row r="3734" spans="1:12" ht="84" customHeight="1" x14ac:dyDescent="0.3">
      <c r="A3734" s="2">
        <v>3730</v>
      </c>
      <c r="B3734" s="66" t="s">
        <v>4264</v>
      </c>
      <c r="C3734" s="66" t="s">
        <v>4271</v>
      </c>
      <c r="D3734" s="244">
        <v>5500</v>
      </c>
      <c r="E3734" s="11">
        <v>5500</v>
      </c>
      <c r="F3734" s="3">
        <v>41978</v>
      </c>
      <c r="G3734" s="2"/>
      <c r="H3734" s="3">
        <v>43053</v>
      </c>
      <c r="I3734" s="2" t="s">
        <v>19506</v>
      </c>
      <c r="J3734" s="2" t="s">
        <v>13904</v>
      </c>
      <c r="K3734" s="2" t="s">
        <v>19210</v>
      </c>
      <c r="L3734" s="82" t="s">
        <v>19512</v>
      </c>
    </row>
    <row r="3735" spans="1:12" ht="84" customHeight="1" x14ac:dyDescent="0.3">
      <c r="A3735" s="2">
        <v>3731</v>
      </c>
      <c r="B3735" s="66" t="s">
        <v>4264</v>
      </c>
      <c r="C3735" s="66" t="s">
        <v>4272</v>
      </c>
      <c r="D3735" s="244">
        <v>5500</v>
      </c>
      <c r="E3735" s="11">
        <v>5500</v>
      </c>
      <c r="F3735" s="3">
        <v>41978</v>
      </c>
      <c r="G3735" s="2"/>
      <c r="H3735" s="3">
        <v>43053</v>
      </c>
      <c r="I3735" s="2" t="s">
        <v>19506</v>
      </c>
      <c r="J3735" s="2" t="s">
        <v>13904</v>
      </c>
      <c r="K3735" s="2" t="s">
        <v>19210</v>
      </c>
      <c r="L3735" s="82" t="s">
        <v>19512</v>
      </c>
    </row>
    <row r="3736" spans="1:12" ht="84" customHeight="1" x14ac:dyDescent="0.3">
      <c r="A3736" s="2">
        <v>3732</v>
      </c>
      <c r="B3736" s="66" t="s">
        <v>4264</v>
      </c>
      <c r="C3736" s="66" t="s">
        <v>4273</v>
      </c>
      <c r="D3736" s="244">
        <v>5500</v>
      </c>
      <c r="E3736" s="11">
        <v>5500</v>
      </c>
      <c r="F3736" s="3">
        <v>41978</v>
      </c>
      <c r="G3736" s="2"/>
      <c r="H3736" s="3">
        <v>43053</v>
      </c>
      <c r="I3736" s="2" t="s">
        <v>19506</v>
      </c>
      <c r="J3736" s="2" t="s">
        <v>13904</v>
      </c>
      <c r="K3736" s="2" t="s">
        <v>19210</v>
      </c>
      <c r="L3736" s="82" t="s">
        <v>19512</v>
      </c>
    </row>
    <row r="3737" spans="1:12" ht="84" customHeight="1" x14ac:dyDescent="0.3">
      <c r="A3737" s="2">
        <v>3733</v>
      </c>
      <c r="B3737" s="66" t="s">
        <v>4264</v>
      </c>
      <c r="C3737" s="66" t="s">
        <v>4274</v>
      </c>
      <c r="D3737" s="244">
        <v>5500</v>
      </c>
      <c r="E3737" s="11">
        <v>5500</v>
      </c>
      <c r="F3737" s="3">
        <v>41978</v>
      </c>
      <c r="G3737" s="2"/>
      <c r="H3737" s="3">
        <v>43053</v>
      </c>
      <c r="I3737" s="2" t="s">
        <v>19506</v>
      </c>
      <c r="J3737" s="2" t="s">
        <v>13904</v>
      </c>
      <c r="K3737" s="2" t="s">
        <v>19210</v>
      </c>
      <c r="L3737" s="82" t="s">
        <v>19512</v>
      </c>
    </row>
    <row r="3738" spans="1:12" ht="84" customHeight="1" x14ac:dyDescent="0.3">
      <c r="A3738" s="2">
        <v>3734</v>
      </c>
      <c r="B3738" s="66" t="s">
        <v>4264</v>
      </c>
      <c r="C3738" s="66" t="s">
        <v>4275</v>
      </c>
      <c r="D3738" s="244">
        <v>5500</v>
      </c>
      <c r="E3738" s="11">
        <v>5500</v>
      </c>
      <c r="F3738" s="3">
        <v>41978</v>
      </c>
      <c r="G3738" s="2"/>
      <c r="H3738" s="3">
        <v>43053</v>
      </c>
      <c r="I3738" s="2" t="s">
        <v>19506</v>
      </c>
      <c r="J3738" s="2" t="s">
        <v>13904</v>
      </c>
      <c r="K3738" s="2" t="s">
        <v>19210</v>
      </c>
      <c r="L3738" s="82" t="s">
        <v>19512</v>
      </c>
    </row>
    <row r="3739" spans="1:12" ht="84" customHeight="1" x14ac:dyDescent="0.3">
      <c r="A3739" s="2">
        <v>3735</v>
      </c>
      <c r="B3739" s="66" t="s">
        <v>4264</v>
      </c>
      <c r="C3739" s="66" t="s">
        <v>4276</v>
      </c>
      <c r="D3739" s="244">
        <v>5500</v>
      </c>
      <c r="E3739" s="11">
        <v>5500</v>
      </c>
      <c r="F3739" s="3">
        <v>41978</v>
      </c>
      <c r="G3739" s="2"/>
      <c r="H3739" s="3">
        <v>43053</v>
      </c>
      <c r="I3739" s="2" t="s">
        <v>19506</v>
      </c>
      <c r="J3739" s="2" t="s">
        <v>13904</v>
      </c>
      <c r="K3739" s="2" t="s">
        <v>19210</v>
      </c>
      <c r="L3739" s="82" t="s">
        <v>19512</v>
      </c>
    </row>
    <row r="3740" spans="1:12" ht="84" customHeight="1" x14ac:dyDescent="0.3">
      <c r="A3740" s="2">
        <v>3736</v>
      </c>
      <c r="B3740" s="66" t="s">
        <v>4264</v>
      </c>
      <c r="C3740" s="66" t="s">
        <v>4277</v>
      </c>
      <c r="D3740" s="244">
        <v>5500</v>
      </c>
      <c r="E3740" s="11">
        <v>5500</v>
      </c>
      <c r="F3740" s="3">
        <v>41978</v>
      </c>
      <c r="G3740" s="2"/>
      <c r="H3740" s="3">
        <v>43053</v>
      </c>
      <c r="I3740" s="2" t="s">
        <v>19506</v>
      </c>
      <c r="J3740" s="2" t="s">
        <v>13904</v>
      </c>
      <c r="K3740" s="2" t="s">
        <v>19210</v>
      </c>
      <c r="L3740" s="82" t="s">
        <v>19512</v>
      </c>
    </row>
    <row r="3741" spans="1:12" ht="84" customHeight="1" x14ac:dyDescent="0.3">
      <c r="A3741" s="2">
        <v>3737</v>
      </c>
      <c r="B3741" s="66" t="s">
        <v>4264</v>
      </c>
      <c r="C3741" s="66" t="s">
        <v>4278</v>
      </c>
      <c r="D3741" s="244">
        <v>5500</v>
      </c>
      <c r="E3741" s="11">
        <v>5500</v>
      </c>
      <c r="F3741" s="3">
        <v>41978</v>
      </c>
      <c r="G3741" s="2"/>
      <c r="H3741" s="3">
        <v>43053</v>
      </c>
      <c r="I3741" s="2" t="s">
        <v>19506</v>
      </c>
      <c r="J3741" s="2" t="s">
        <v>13904</v>
      </c>
      <c r="K3741" s="2" t="s">
        <v>19210</v>
      </c>
      <c r="L3741" s="82" t="s">
        <v>19512</v>
      </c>
    </row>
    <row r="3742" spans="1:12" ht="84" customHeight="1" x14ac:dyDescent="0.3">
      <c r="A3742" s="2">
        <v>3738</v>
      </c>
      <c r="B3742" s="66" t="s">
        <v>4264</v>
      </c>
      <c r="C3742" s="66" t="s">
        <v>4279</v>
      </c>
      <c r="D3742" s="244">
        <v>5500</v>
      </c>
      <c r="E3742" s="11">
        <v>5500</v>
      </c>
      <c r="F3742" s="3">
        <v>41978</v>
      </c>
      <c r="G3742" s="2"/>
      <c r="H3742" s="3">
        <v>43053</v>
      </c>
      <c r="I3742" s="2" t="s">
        <v>19506</v>
      </c>
      <c r="J3742" s="2" t="s">
        <v>13904</v>
      </c>
      <c r="K3742" s="2" t="s">
        <v>19210</v>
      </c>
      <c r="L3742" s="82" t="s">
        <v>19512</v>
      </c>
    </row>
    <row r="3743" spans="1:12" ht="84" customHeight="1" x14ac:dyDescent="0.3">
      <c r="A3743" s="2">
        <v>3739</v>
      </c>
      <c r="B3743" s="66" t="s">
        <v>4264</v>
      </c>
      <c r="C3743" s="66" t="s">
        <v>4280</v>
      </c>
      <c r="D3743" s="244">
        <v>5500</v>
      </c>
      <c r="E3743" s="11">
        <v>5500</v>
      </c>
      <c r="F3743" s="3">
        <v>41978</v>
      </c>
      <c r="G3743" s="2"/>
      <c r="H3743" s="3">
        <v>43053</v>
      </c>
      <c r="I3743" s="2" t="s">
        <v>19506</v>
      </c>
      <c r="J3743" s="2" t="s">
        <v>13904</v>
      </c>
      <c r="K3743" s="2" t="s">
        <v>19210</v>
      </c>
      <c r="L3743" s="82" t="s">
        <v>19512</v>
      </c>
    </row>
    <row r="3744" spans="1:12" ht="84" customHeight="1" x14ac:dyDescent="0.3">
      <c r="A3744" s="2">
        <v>3740</v>
      </c>
      <c r="B3744" s="66" t="s">
        <v>4264</v>
      </c>
      <c r="C3744" s="66" t="s">
        <v>4281</v>
      </c>
      <c r="D3744" s="244">
        <v>5500</v>
      </c>
      <c r="E3744" s="11">
        <v>5500</v>
      </c>
      <c r="F3744" s="3">
        <v>41978</v>
      </c>
      <c r="G3744" s="2"/>
      <c r="H3744" s="3">
        <v>43053</v>
      </c>
      <c r="I3744" s="2" t="s">
        <v>19506</v>
      </c>
      <c r="J3744" s="2" t="s">
        <v>13904</v>
      </c>
      <c r="K3744" s="2" t="s">
        <v>19210</v>
      </c>
      <c r="L3744" s="82" t="s">
        <v>19512</v>
      </c>
    </row>
    <row r="3745" spans="1:12" ht="84" customHeight="1" x14ac:dyDescent="0.3">
      <c r="A3745" s="2">
        <v>3741</v>
      </c>
      <c r="B3745" s="66" t="s">
        <v>4264</v>
      </c>
      <c r="C3745" s="66" t="s">
        <v>4282</v>
      </c>
      <c r="D3745" s="244">
        <v>5500</v>
      </c>
      <c r="E3745" s="11">
        <v>5500</v>
      </c>
      <c r="F3745" s="3">
        <v>41978</v>
      </c>
      <c r="G3745" s="2"/>
      <c r="H3745" s="3">
        <v>43053</v>
      </c>
      <c r="I3745" s="2" t="s">
        <v>19506</v>
      </c>
      <c r="J3745" s="2" t="s">
        <v>13904</v>
      </c>
      <c r="K3745" s="2" t="s">
        <v>19210</v>
      </c>
      <c r="L3745" s="82" t="s">
        <v>19512</v>
      </c>
    </row>
    <row r="3746" spans="1:12" ht="84" customHeight="1" x14ac:dyDescent="0.3">
      <c r="A3746" s="2">
        <v>3742</v>
      </c>
      <c r="B3746" s="66" t="s">
        <v>4264</v>
      </c>
      <c r="C3746" s="66" t="s">
        <v>4283</v>
      </c>
      <c r="D3746" s="244">
        <v>5500</v>
      </c>
      <c r="E3746" s="11">
        <v>5500</v>
      </c>
      <c r="F3746" s="3">
        <v>41978</v>
      </c>
      <c r="G3746" s="2"/>
      <c r="H3746" s="3">
        <v>43053</v>
      </c>
      <c r="I3746" s="2" t="s">
        <v>19506</v>
      </c>
      <c r="J3746" s="2" t="s">
        <v>13904</v>
      </c>
      <c r="K3746" s="2" t="s">
        <v>19210</v>
      </c>
      <c r="L3746" s="82" t="s">
        <v>19512</v>
      </c>
    </row>
    <row r="3747" spans="1:12" ht="84" customHeight="1" x14ac:dyDescent="0.3">
      <c r="A3747" s="2">
        <v>3743</v>
      </c>
      <c r="B3747" s="66" t="s">
        <v>4264</v>
      </c>
      <c r="C3747" s="66" t="s">
        <v>4284</v>
      </c>
      <c r="D3747" s="244">
        <v>5500</v>
      </c>
      <c r="E3747" s="11">
        <v>5500</v>
      </c>
      <c r="F3747" s="3">
        <v>41978</v>
      </c>
      <c r="G3747" s="2"/>
      <c r="H3747" s="3">
        <v>43053</v>
      </c>
      <c r="I3747" s="2" t="s">
        <v>19506</v>
      </c>
      <c r="J3747" s="2" t="s">
        <v>13904</v>
      </c>
      <c r="K3747" s="2" t="s">
        <v>19210</v>
      </c>
      <c r="L3747" s="82" t="s">
        <v>19512</v>
      </c>
    </row>
    <row r="3748" spans="1:12" ht="84" customHeight="1" x14ac:dyDescent="0.3">
      <c r="A3748" s="2">
        <v>3744</v>
      </c>
      <c r="B3748" s="66" t="s">
        <v>4180</v>
      </c>
      <c r="C3748" s="66" t="s">
        <v>4285</v>
      </c>
      <c r="D3748" s="244">
        <v>5000</v>
      </c>
      <c r="E3748" s="11">
        <v>5000</v>
      </c>
      <c r="F3748" s="3">
        <v>41978</v>
      </c>
      <c r="G3748" s="2"/>
      <c r="H3748" s="3">
        <v>43053</v>
      </c>
      <c r="I3748" s="2" t="s">
        <v>19506</v>
      </c>
      <c r="J3748" s="2" t="s">
        <v>13904</v>
      </c>
      <c r="K3748" s="2" t="s">
        <v>19210</v>
      </c>
      <c r="L3748" s="82" t="s">
        <v>19512</v>
      </c>
    </row>
    <row r="3749" spans="1:12" ht="84" customHeight="1" x14ac:dyDescent="0.3">
      <c r="A3749" s="2">
        <v>3745</v>
      </c>
      <c r="B3749" s="66" t="s">
        <v>4180</v>
      </c>
      <c r="C3749" s="66" t="s">
        <v>4286</v>
      </c>
      <c r="D3749" s="244">
        <v>5000</v>
      </c>
      <c r="E3749" s="11">
        <v>5000</v>
      </c>
      <c r="F3749" s="3">
        <v>41978</v>
      </c>
      <c r="G3749" s="2"/>
      <c r="H3749" s="3">
        <v>43053</v>
      </c>
      <c r="I3749" s="2" t="s">
        <v>19506</v>
      </c>
      <c r="J3749" s="2" t="s">
        <v>13904</v>
      </c>
      <c r="K3749" s="2" t="s">
        <v>19210</v>
      </c>
      <c r="L3749" s="82" t="s">
        <v>19512</v>
      </c>
    </row>
    <row r="3750" spans="1:12" ht="84" customHeight="1" x14ac:dyDescent="0.3">
      <c r="A3750" s="2">
        <v>3746</v>
      </c>
      <c r="B3750" s="66" t="s">
        <v>4287</v>
      </c>
      <c r="C3750" s="66" t="s">
        <v>3380</v>
      </c>
      <c r="D3750" s="244">
        <v>14000</v>
      </c>
      <c r="E3750" s="11">
        <v>14000</v>
      </c>
      <c r="F3750" s="3">
        <v>41907</v>
      </c>
      <c r="G3750" s="2"/>
      <c r="H3750" s="3">
        <v>43053</v>
      </c>
      <c r="I3750" s="2" t="s">
        <v>19506</v>
      </c>
      <c r="J3750" s="2" t="s">
        <v>13904</v>
      </c>
      <c r="K3750" s="2" t="s">
        <v>19210</v>
      </c>
      <c r="L3750" s="82" t="s">
        <v>19512</v>
      </c>
    </row>
    <row r="3751" spans="1:12" ht="84" customHeight="1" x14ac:dyDescent="0.3">
      <c r="A3751" s="2">
        <v>3747</v>
      </c>
      <c r="B3751" s="66" t="s">
        <v>4288</v>
      </c>
      <c r="C3751" s="66" t="s">
        <v>4289</v>
      </c>
      <c r="D3751" s="244">
        <v>16000</v>
      </c>
      <c r="E3751" s="11">
        <v>16000</v>
      </c>
      <c r="F3751" s="3">
        <v>41907</v>
      </c>
      <c r="G3751" s="2"/>
      <c r="H3751" s="3">
        <v>43053</v>
      </c>
      <c r="I3751" s="2" t="s">
        <v>19506</v>
      </c>
      <c r="J3751" s="2" t="s">
        <v>13904</v>
      </c>
      <c r="K3751" s="2" t="s">
        <v>19210</v>
      </c>
      <c r="L3751" s="82" t="s">
        <v>19512</v>
      </c>
    </row>
    <row r="3752" spans="1:12" ht="84" customHeight="1" x14ac:dyDescent="0.3">
      <c r="A3752" s="2">
        <v>3748</v>
      </c>
      <c r="B3752" s="66" t="s">
        <v>4290</v>
      </c>
      <c r="C3752" s="66" t="s">
        <v>4291</v>
      </c>
      <c r="D3752" s="244">
        <v>9462.89</v>
      </c>
      <c r="E3752" s="11">
        <v>9462.89</v>
      </c>
      <c r="F3752" s="3">
        <v>41613</v>
      </c>
      <c r="G3752" s="2"/>
      <c r="H3752" s="3">
        <v>43053</v>
      </c>
      <c r="I3752" s="2" t="s">
        <v>19506</v>
      </c>
      <c r="J3752" s="2" t="s">
        <v>13904</v>
      </c>
      <c r="K3752" s="2" t="s">
        <v>19210</v>
      </c>
      <c r="L3752" s="82" t="s">
        <v>19512</v>
      </c>
    </row>
    <row r="3753" spans="1:12" ht="84" customHeight="1" x14ac:dyDescent="0.3">
      <c r="A3753" s="2">
        <v>3749</v>
      </c>
      <c r="B3753" s="66" t="s">
        <v>4292</v>
      </c>
      <c r="C3753" s="66" t="s">
        <v>4293</v>
      </c>
      <c r="D3753" s="244">
        <v>14999.99</v>
      </c>
      <c r="E3753" s="11">
        <v>14999.99</v>
      </c>
      <c r="F3753" s="3">
        <v>41449</v>
      </c>
      <c r="G3753" s="2"/>
      <c r="H3753" s="3">
        <v>43053</v>
      </c>
      <c r="I3753" s="2" t="s">
        <v>19506</v>
      </c>
      <c r="J3753" s="2" t="s">
        <v>13904</v>
      </c>
      <c r="K3753" s="2" t="s">
        <v>19210</v>
      </c>
      <c r="L3753" s="82" t="s">
        <v>19512</v>
      </c>
    </row>
    <row r="3754" spans="1:12" ht="84" customHeight="1" x14ac:dyDescent="0.3">
      <c r="A3754" s="2">
        <v>3750</v>
      </c>
      <c r="B3754" s="66" t="s">
        <v>4294</v>
      </c>
      <c r="C3754" s="66" t="s">
        <v>4295</v>
      </c>
      <c r="D3754" s="244">
        <v>6000.3</v>
      </c>
      <c r="E3754" s="11">
        <v>6000.3</v>
      </c>
      <c r="F3754" s="3">
        <v>41115</v>
      </c>
      <c r="G3754" s="2"/>
      <c r="H3754" s="3">
        <v>43053</v>
      </c>
      <c r="I3754" s="2" t="s">
        <v>19506</v>
      </c>
      <c r="J3754" s="2" t="s">
        <v>13904</v>
      </c>
      <c r="K3754" s="2" t="s">
        <v>19210</v>
      </c>
      <c r="L3754" s="82" t="s">
        <v>19512</v>
      </c>
    </row>
    <row r="3755" spans="1:12" ht="84" customHeight="1" x14ac:dyDescent="0.3">
      <c r="A3755" s="2">
        <v>3751</v>
      </c>
      <c r="B3755" s="66" t="s">
        <v>4296</v>
      </c>
      <c r="C3755" s="66" t="s">
        <v>3146</v>
      </c>
      <c r="D3755" s="244">
        <v>5300</v>
      </c>
      <c r="E3755" s="11">
        <v>5300</v>
      </c>
      <c r="F3755" s="3">
        <v>41849</v>
      </c>
      <c r="G3755" s="2"/>
      <c r="H3755" s="3">
        <v>43053</v>
      </c>
      <c r="I3755" s="2" t="s">
        <v>19506</v>
      </c>
      <c r="J3755" s="2" t="s">
        <v>13904</v>
      </c>
      <c r="K3755" s="2" t="s">
        <v>19210</v>
      </c>
      <c r="L3755" s="82" t="s">
        <v>19512</v>
      </c>
    </row>
    <row r="3756" spans="1:12" ht="84" customHeight="1" x14ac:dyDescent="0.3">
      <c r="A3756" s="2">
        <v>3752</v>
      </c>
      <c r="B3756" s="66" t="s">
        <v>4297</v>
      </c>
      <c r="C3756" s="66" t="s">
        <v>3145</v>
      </c>
      <c r="D3756" s="244">
        <v>5300</v>
      </c>
      <c r="E3756" s="11">
        <v>5300</v>
      </c>
      <c r="F3756" s="3">
        <v>41849</v>
      </c>
      <c r="G3756" s="2"/>
      <c r="H3756" s="3">
        <v>43053</v>
      </c>
      <c r="I3756" s="2" t="s">
        <v>19506</v>
      </c>
      <c r="J3756" s="2" t="s">
        <v>13904</v>
      </c>
      <c r="K3756" s="2" t="s">
        <v>19210</v>
      </c>
      <c r="L3756" s="82" t="s">
        <v>19512</v>
      </c>
    </row>
    <row r="3757" spans="1:12" ht="84" customHeight="1" x14ac:dyDescent="0.3">
      <c r="A3757" s="2">
        <v>3753</v>
      </c>
      <c r="B3757" s="66" t="s">
        <v>4297</v>
      </c>
      <c r="C3757" s="66" t="s">
        <v>3148</v>
      </c>
      <c r="D3757" s="244">
        <v>5300</v>
      </c>
      <c r="E3757" s="11">
        <v>5300</v>
      </c>
      <c r="F3757" s="3">
        <v>41849</v>
      </c>
      <c r="G3757" s="2"/>
      <c r="H3757" s="3">
        <v>43053</v>
      </c>
      <c r="I3757" s="2" t="s">
        <v>19506</v>
      </c>
      <c r="J3757" s="2" t="s">
        <v>13904</v>
      </c>
      <c r="K3757" s="2" t="s">
        <v>19210</v>
      </c>
      <c r="L3757" s="82" t="s">
        <v>19512</v>
      </c>
    </row>
    <row r="3758" spans="1:12" ht="84" customHeight="1" x14ac:dyDescent="0.3">
      <c r="A3758" s="2">
        <v>3754</v>
      </c>
      <c r="B3758" s="66" t="s">
        <v>4297</v>
      </c>
      <c r="C3758" s="66" t="s">
        <v>3147</v>
      </c>
      <c r="D3758" s="244">
        <v>5300</v>
      </c>
      <c r="E3758" s="11">
        <v>5300</v>
      </c>
      <c r="F3758" s="3">
        <v>41849</v>
      </c>
      <c r="G3758" s="2"/>
      <c r="H3758" s="3">
        <v>43053</v>
      </c>
      <c r="I3758" s="2" t="s">
        <v>19506</v>
      </c>
      <c r="J3758" s="2" t="s">
        <v>13904</v>
      </c>
      <c r="K3758" s="2" t="s">
        <v>19210</v>
      </c>
      <c r="L3758" s="82" t="s">
        <v>19512</v>
      </c>
    </row>
    <row r="3759" spans="1:12" ht="84" customHeight="1" x14ac:dyDescent="0.3">
      <c r="A3759" s="2">
        <v>3755</v>
      </c>
      <c r="B3759" s="66" t="s">
        <v>4297</v>
      </c>
      <c r="C3759" s="66" t="s">
        <v>3149</v>
      </c>
      <c r="D3759" s="244">
        <v>5300</v>
      </c>
      <c r="E3759" s="11">
        <v>5300</v>
      </c>
      <c r="F3759" s="3">
        <v>41849</v>
      </c>
      <c r="G3759" s="2"/>
      <c r="H3759" s="3">
        <v>43053</v>
      </c>
      <c r="I3759" s="2" t="s">
        <v>19506</v>
      </c>
      <c r="J3759" s="2" t="s">
        <v>13904</v>
      </c>
      <c r="K3759" s="2" t="s">
        <v>19210</v>
      </c>
      <c r="L3759" s="82" t="s">
        <v>19512</v>
      </c>
    </row>
    <row r="3760" spans="1:12" ht="84" customHeight="1" x14ac:dyDescent="0.3">
      <c r="A3760" s="2">
        <v>3756</v>
      </c>
      <c r="B3760" s="66" t="s">
        <v>4298</v>
      </c>
      <c r="C3760" s="66" t="s">
        <v>3241</v>
      </c>
      <c r="D3760" s="244">
        <v>7100</v>
      </c>
      <c r="E3760" s="11">
        <v>7100</v>
      </c>
      <c r="F3760" s="3">
        <v>41849</v>
      </c>
      <c r="G3760" s="2"/>
      <c r="H3760" s="3">
        <v>43053</v>
      </c>
      <c r="I3760" s="2" t="s">
        <v>19506</v>
      </c>
      <c r="J3760" s="2" t="s">
        <v>13904</v>
      </c>
      <c r="K3760" s="2" t="s">
        <v>19210</v>
      </c>
      <c r="L3760" s="82" t="s">
        <v>19512</v>
      </c>
    </row>
    <row r="3761" spans="1:12" ht="84" customHeight="1" x14ac:dyDescent="0.3">
      <c r="A3761" s="2">
        <v>3757</v>
      </c>
      <c r="B3761" s="66" t="s">
        <v>4298</v>
      </c>
      <c r="C3761" s="66" t="s">
        <v>3242</v>
      </c>
      <c r="D3761" s="244">
        <v>7100</v>
      </c>
      <c r="E3761" s="11">
        <v>7100</v>
      </c>
      <c r="F3761" s="3">
        <v>41849</v>
      </c>
      <c r="G3761" s="2"/>
      <c r="H3761" s="3">
        <v>43053</v>
      </c>
      <c r="I3761" s="2" t="s">
        <v>19506</v>
      </c>
      <c r="J3761" s="2" t="s">
        <v>13904</v>
      </c>
      <c r="K3761" s="2" t="s">
        <v>19210</v>
      </c>
      <c r="L3761" s="82" t="s">
        <v>19512</v>
      </c>
    </row>
    <row r="3762" spans="1:12" ht="84" customHeight="1" x14ac:dyDescent="0.3">
      <c r="A3762" s="2">
        <v>3758</v>
      </c>
      <c r="B3762" s="66" t="s">
        <v>4299</v>
      </c>
      <c r="C3762" s="66" t="s">
        <v>3243</v>
      </c>
      <c r="D3762" s="244">
        <v>5400</v>
      </c>
      <c r="E3762" s="11">
        <v>5400</v>
      </c>
      <c r="F3762" s="3">
        <v>41849</v>
      </c>
      <c r="G3762" s="2"/>
      <c r="H3762" s="3">
        <v>43053</v>
      </c>
      <c r="I3762" s="2" t="s">
        <v>19506</v>
      </c>
      <c r="J3762" s="2" t="s">
        <v>13904</v>
      </c>
      <c r="K3762" s="2" t="s">
        <v>19210</v>
      </c>
      <c r="L3762" s="82" t="s">
        <v>19512</v>
      </c>
    </row>
    <row r="3763" spans="1:12" ht="84" customHeight="1" x14ac:dyDescent="0.3">
      <c r="A3763" s="2">
        <v>3759</v>
      </c>
      <c r="B3763" s="66" t="s">
        <v>3878</v>
      </c>
      <c r="C3763" s="66" t="s">
        <v>3244</v>
      </c>
      <c r="D3763" s="244">
        <v>4700</v>
      </c>
      <c r="E3763" s="11">
        <v>4700</v>
      </c>
      <c r="F3763" s="3">
        <v>41849</v>
      </c>
      <c r="G3763" s="2"/>
      <c r="H3763" s="3">
        <v>43053</v>
      </c>
      <c r="I3763" s="2" t="s">
        <v>19506</v>
      </c>
      <c r="J3763" s="2" t="s">
        <v>13904</v>
      </c>
      <c r="K3763" s="2" t="s">
        <v>19210</v>
      </c>
      <c r="L3763" s="82" t="s">
        <v>19512</v>
      </c>
    </row>
    <row r="3764" spans="1:12" ht="84" customHeight="1" x14ac:dyDescent="0.3">
      <c r="A3764" s="2">
        <v>3760</v>
      </c>
      <c r="B3764" s="66" t="s">
        <v>3878</v>
      </c>
      <c r="C3764" s="66" t="s">
        <v>3245</v>
      </c>
      <c r="D3764" s="244">
        <v>4700</v>
      </c>
      <c r="E3764" s="11">
        <v>4700</v>
      </c>
      <c r="F3764" s="3">
        <v>41849</v>
      </c>
      <c r="G3764" s="2"/>
      <c r="H3764" s="3">
        <v>43053</v>
      </c>
      <c r="I3764" s="2" t="s">
        <v>19506</v>
      </c>
      <c r="J3764" s="2" t="s">
        <v>13904</v>
      </c>
      <c r="K3764" s="2" t="s">
        <v>19210</v>
      </c>
      <c r="L3764" s="82" t="s">
        <v>19512</v>
      </c>
    </row>
    <row r="3765" spans="1:12" ht="84" customHeight="1" x14ac:dyDescent="0.3">
      <c r="A3765" s="2">
        <v>3761</v>
      </c>
      <c r="B3765" s="66" t="s">
        <v>3878</v>
      </c>
      <c r="C3765" s="66" t="s">
        <v>3246</v>
      </c>
      <c r="D3765" s="244">
        <v>4700</v>
      </c>
      <c r="E3765" s="11">
        <v>4700</v>
      </c>
      <c r="F3765" s="3">
        <v>41849</v>
      </c>
      <c r="G3765" s="2"/>
      <c r="H3765" s="3">
        <v>43053</v>
      </c>
      <c r="I3765" s="2" t="s">
        <v>19506</v>
      </c>
      <c r="J3765" s="2" t="s">
        <v>13904</v>
      </c>
      <c r="K3765" s="2" t="s">
        <v>19210</v>
      </c>
      <c r="L3765" s="82" t="s">
        <v>19512</v>
      </c>
    </row>
    <row r="3766" spans="1:12" ht="84" customHeight="1" x14ac:dyDescent="0.3">
      <c r="A3766" s="2">
        <v>3762</v>
      </c>
      <c r="B3766" s="66" t="s">
        <v>4300</v>
      </c>
      <c r="C3766" s="66" t="s">
        <v>3384</v>
      </c>
      <c r="D3766" s="244">
        <v>3200</v>
      </c>
      <c r="E3766" s="11">
        <v>3200</v>
      </c>
      <c r="F3766" s="3">
        <v>41849</v>
      </c>
      <c r="G3766" s="2"/>
      <c r="H3766" s="3">
        <v>43053</v>
      </c>
      <c r="I3766" s="2" t="s">
        <v>19506</v>
      </c>
      <c r="J3766" s="2" t="s">
        <v>13904</v>
      </c>
      <c r="K3766" s="2" t="s">
        <v>19210</v>
      </c>
      <c r="L3766" s="82" t="s">
        <v>19512</v>
      </c>
    </row>
    <row r="3767" spans="1:12" ht="84" customHeight="1" x14ac:dyDescent="0.3">
      <c r="A3767" s="2">
        <v>3763</v>
      </c>
      <c r="B3767" s="66" t="s">
        <v>4180</v>
      </c>
      <c r="C3767" s="66" t="s">
        <v>3383</v>
      </c>
      <c r="D3767" s="244">
        <v>5000</v>
      </c>
      <c r="E3767" s="11">
        <v>5000</v>
      </c>
      <c r="F3767" s="3">
        <v>41849</v>
      </c>
      <c r="G3767" s="2"/>
      <c r="H3767" s="3">
        <v>43053</v>
      </c>
      <c r="I3767" s="2" t="s">
        <v>19506</v>
      </c>
      <c r="J3767" s="2" t="s">
        <v>13904</v>
      </c>
      <c r="K3767" s="2" t="s">
        <v>19210</v>
      </c>
      <c r="L3767" s="82" t="s">
        <v>19512</v>
      </c>
    </row>
    <row r="3768" spans="1:12" ht="84" customHeight="1" x14ac:dyDescent="0.3">
      <c r="A3768" s="2">
        <v>3764</v>
      </c>
      <c r="B3768" s="66" t="s">
        <v>4301</v>
      </c>
      <c r="C3768" s="66" t="s">
        <v>3381</v>
      </c>
      <c r="D3768" s="244">
        <v>3900</v>
      </c>
      <c r="E3768" s="11">
        <v>3900</v>
      </c>
      <c r="F3768" s="3">
        <v>41849</v>
      </c>
      <c r="G3768" s="2"/>
      <c r="H3768" s="3">
        <v>43053</v>
      </c>
      <c r="I3768" s="2" t="s">
        <v>19506</v>
      </c>
      <c r="J3768" s="2" t="s">
        <v>13904</v>
      </c>
      <c r="K3768" s="2" t="s">
        <v>19210</v>
      </c>
      <c r="L3768" s="82" t="s">
        <v>19512</v>
      </c>
    </row>
    <row r="3769" spans="1:12" ht="84" customHeight="1" x14ac:dyDescent="0.3">
      <c r="A3769" s="2">
        <v>3765</v>
      </c>
      <c r="B3769" s="66" t="s">
        <v>4302</v>
      </c>
      <c r="C3769" s="66" t="s">
        <v>3382</v>
      </c>
      <c r="D3769" s="244">
        <v>5400</v>
      </c>
      <c r="E3769" s="11">
        <v>5400</v>
      </c>
      <c r="F3769" s="3">
        <v>41849</v>
      </c>
      <c r="G3769" s="2"/>
      <c r="H3769" s="3">
        <v>43053</v>
      </c>
      <c r="I3769" s="2" t="s">
        <v>19506</v>
      </c>
      <c r="J3769" s="2" t="s">
        <v>13904</v>
      </c>
      <c r="K3769" s="2" t="s">
        <v>19210</v>
      </c>
      <c r="L3769" s="82" t="s">
        <v>19512</v>
      </c>
    </row>
    <row r="3770" spans="1:12" ht="84" customHeight="1" x14ac:dyDescent="0.3">
      <c r="A3770" s="2">
        <v>3766</v>
      </c>
      <c r="B3770" s="66" t="s">
        <v>4303</v>
      </c>
      <c r="C3770" s="66" t="s">
        <v>4304</v>
      </c>
      <c r="D3770" s="244">
        <v>4073.99</v>
      </c>
      <c r="E3770" s="11">
        <v>4073.99</v>
      </c>
      <c r="F3770" s="3">
        <v>41773</v>
      </c>
      <c r="G3770" s="2"/>
      <c r="H3770" s="3">
        <v>43053</v>
      </c>
      <c r="I3770" s="2" t="s">
        <v>19506</v>
      </c>
      <c r="J3770" s="2" t="s">
        <v>13904</v>
      </c>
      <c r="K3770" s="2" t="s">
        <v>19210</v>
      </c>
      <c r="L3770" s="82" t="s">
        <v>19512</v>
      </c>
    </row>
    <row r="3771" spans="1:12" ht="84" customHeight="1" x14ac:dyDescent="0.3">
      <c r="A3771" s="2">
        <v>3767</v>
      </c>
      <c r="B3771" s="66" t="s">
        <v>4305</v>
      </c>
      <c r="C3771" s="66" t="s">
        <v>4306</v>
      </c>
      <c r="D3771" s="244">
        <v>8158.49</v>
      </c>
      <c r="E3771" s="11">
        <v>8158.49</v>
      </c>
      <c r="F3771" s="3">
        <v>41773</v>
      </c>
      <c r="G3771" s="2"/>
      <c r="H3771" s="3">
        <v>43053</v>
      </c>
      <c r="I3771" s="2" t="s">
        <v>19506</v>
      </c>
      <c r="J3771" s="2" t="s">
        <v>13904</v>
      </c>
      <c r="K3771" s="2" t="s">
        <v>19210</v>
      </c>
      <c r="L3771" s="82" t="s">
        <v>19512</v>
      </c>
    </row>
    <row r="3772" spans="1:12" ht="84" customHeight="1" x14ac:dyDescent="0.3">
      <c r="A3772" s="2">
        <v>3768</v>
      </c>
      <c r="B3772" s="66" t="s">
        <v>4307</v>
      </c>
      <c r="C3772" s="66" t="s">
        <v>4308</v>
      </c>
      <c r="D3772" s="244">
        <v>9964.5</v>
      </c>
      <c r="E3772" s="11">
        <v>9964.5</v>
      </c>
      <c r="F3772" s="3">
        <v>41773</v>
      </c>
      <c r="G3772" s="2"/>
      <c r="H3772" s="3">
        <v>43053</v>
      </c>
      <c r="I3772" s="2" t="s">
        <v>19506</v>
      </c>
      <c r="J3772" s="2" t="s">
        <v>13904</v>
      </c>
      <c r="K3772" s="2" t="s">
        <v>19210</v>
      </c>
      <c r="L3772" s="82" t="s">
        <v>19512</v>
      </c>
    </row>
    <row r="3773" spans="1:12" ht="84" customHeight="1" x14ac:dyDescent="0.3">
      <c r="A3773" s="2">
        <v>3769</v>
      </c>
      <c r="B3773" s="66" t="s">
        <v>4309</v>
      </c>
      <c r="C3773" s="66" t="s">
        <v>4081</v>
      </c>
      <c r="D3773" s="244">
        <v>4000</v>
      </c>
      <c r="E3773" s="11">
        <v>4000</v>
      </c>
      <c r="F3773" s="3">
        <v>40483</v>
      </c>
      <c r="G3773" s="2"/>
      <c r="H3773" s="3">
        <v>43053</v>
      </c>
      <c r="I3773" s="2" t="s">
        <v>19506</v>
      </c>
      <c r="J3773" s="2" t="s">
        <v>13904</v>
      </c>
      <c r="K3773" s="2" t="s">
        <v>19210</v>
      </c>
      <c r="L3773" s="82" t="s">
        <v>19512</v>
      </c>
    </row>
    <row r="3774" spans="1:12" ht="84" customHeight="1" x14ac:dyDescent="0.3">
      <c r="A3774" s="2">
        <v>3770</v>
      </c>
      <c r="B3774" s="66" t="s">
        <v>3570</v>
      </c>
      <c r="C3774" s="66" t="s">
        <v>4310</v>
      </c>
      <c r="D3774" s="244">
        <v>5000</v>
      </c>
      <c r="E3774" s="11">
        <v>5000</v>
      </c>
      <c r="F3774" s="3">
        <v>39435</v>
      </c>
      <c r="G3774" s="2"/>
      <c r="H3774" s="3">
        <v>43053</v>
      </c>
      <c r="I3774" s="2" t="s">
        <v>19506</v>
      </c>
      <c r="J3774" s="2" t="s">
        <v>13904</v>
      </c>
      <c r="K3774" s="2" t="s">
        <v>19210</v>
      </c>
      <c r="L3774" s="82" t="s">
        <v>19512</v>
      </c>
    </row>
    <row r="3775" spans="1:12" ht="84" customHeight="1" x14ac:dyDescent="0.3">
      <c r="A3775" s="2">
        <v>3771</v>
      </c>
      <c r="B3775" s="66" t="s">
        <v>258</v>
      </c>
      <c r="C3775" s="66" t="s">
        <v>4311</v>
      </c>
      <c r="D3775" s="244">
        <v>9090</v>
      </c>
      <c r="E3775" s="11">
        <v>9090</v>
      </c>
      <c r="F3775" s="3">
        <v>39442</v>
      </c>
      <c r="G3775" s="2"/>
      <c r="H3775" s="3">
        <v>43053</v>
      </c>
      <c r="I3775" s="2" t="s">
        <v>19506</v>
      </c>
      <c r="J3775" s="2" t="s">
        <v>13904</v>
      </c>
      <c r="K3775" s="2" t="s">
        <v>19210</v>
      </c>
      <c r="L3775" s="82" t="s">
        <v>19512</v>
      </c>
    </row>
    <row r="3776" spans="1:12" ht="84" customHeight="1" x14ac:dyDescent="0.3">
      <c r="A3776" s="2">
        <v>3772</v>
      </c>
      <c r="B3776" s="66" t="s">
        <v>4312</v>
      </c>
      <c r="C3776" s="66" t="s">
        <v>4313</v>
      </c>
      <c r="D3776" s="244">
        <v>5000</v>
      </c>
      <c r="E3776" s="11">
        <v>5000</v>
      </c>
      <c r="F3776" s="3">
        <v>39442</v>
      </c>
      <c r="G3776" s="2"/>
      <c r="H3776" s="3">
        <v>43053</v>
      </c>
      <c r="I3776" s="2" t="s">
        <v>19506</v>
      </c>
      <c r="J3776" s="2" t="s">
        <v>13904</v>
      </c>
      <c r="K3776" s="2" t="s">
        <v>19210</v>
      </c>
      <c r="L3776" s="82" t="s">
        <v>19512</v>
      </c>
    </row>
    <row r="3777" spans="1:15" ht="84" customHeight="1" x14ac:dyDescent="0.3">
      <c r="A3777" s="2">
        <v>3773</v>
      </c>
      <c r="B3777" s="66" t="s">
        <v>4314</v>
      </c>
      <c r="C3777" s="66" t="s">
        <v>4315</v>
      </c>
      <c r="D3777" s="244">
        <v>24250</v>
      </c>
      <c r="E3777" s="11">
        <v>24250</v>
      </c>
      <c r="F3777" s="3">
        <v>41995</v>
      </c>
      <c r="G3777" s="2"/>
      <c r="H3777" s="3">
        <v>43053</v>
      </c>
      <c r="I3777" s="2" t="s">
        <v>19506</v>
      </c>
      <c r="J3777" s="2" t="s">
        <v>13904</v>
      </c>
      <c r="K3777" s="2" t="s">
        <v>19210</v>
      </c>
      <c r="L3777" s="82" t="s">
        <v>19512</v>
      </c>
    </row>
    <row r="3778" spans="1:15" ht="84" customHeight="1" x14ac:dyDescent="0.3">
      <c r="A3778" s="2">
        <v>3774</v>
      </c>
      <c r="B3778" s="66" t="s">
        <v>4316</v>
      </c>
      <c r="C3778" s="66" t="s">
        <v>3742</v>
      </c>
      <c r="D3778" s="244">
        <v>257.12</v>
      </c>
      <c r="E3778" s="11">
        <v>257.12</v>
      </c>
      <c r="F3778" s="3">
        <v>38735</v>
      </c>
      <c r="G3778" s="2"/>
      <c r="H3778" s="3">
        <v>43053</v>
      </c>
      <c r="I3778" s="2" t="s">
        <v>19506</v>
      </c>
      <c r="J3778" s="2" t="s">
        <v>13904</v>
      </c>
      <c r="K3778" s="2" t="s">
        <v>19210</v>
      </c>
      <c r="L3778" s="82" t="s">
        <v>19512</v>
      </c>
    </row>
    <row r="3779" spans="1:15" ht="84" customHeight="1" x14ac:dyDescent="0.3">
      <c r="A3779" s="2">
        <v>3775</v>
      </c>
      <c r="B3779" s="66" t="s">
        <v>4317</v>
      </c>
      <c r="C3779" s="66" t="s">
        <v>4318</v>
      </c>
      <c r="D3779" s="11">
        <v>4800</v>
      </c>
      <c r="E3779" s="11">
        <v>4800</v>
      </c>
      <c r="F3779" s="3">
        <v>41992</v>
      </c>
      <c r="G3779" s="2"/>
      <c r="H3779" s="3">
        <v>43053</v>
      </c>
      <c r="I3779" s="2" t="s">
        <v>19506</v>
      </c>
      <c r="J3779" s="2" t="s">
        <v>13904</v>
      </c>
      <c r="K3779" s="2"/>
      <c r="L3779" s="82" t="s">
        <v>19512</v>
      </c>
    </row>
    <row r="3780" spans="1:15" ht="84" customHeight="1" x14ac:dyDescent="0.3">
      <c r="A3780" s="2">
        <v>3776</v>
      </c>
      <c r="B3780" s="66" t="s">
        <v>4042</v>
      </c>
      <c r="C3780" s="66" t="s">
        <v>3152</v>
      </c>
      <c r="D3780" s="244">
        <v>29600</v>
      </c>
      <c r="E3780" s="11">
        <v>29600</v>
      </c>
      <c r="F3780" s="3">
        <v>41995</v>
      </c>
      <c r="G3780" s="2"/>
      <c r="H3780" s="3">
        <v>43053</v>
      </c>
      <c r="I3780" s="2" t="s">
        <v>19506</v>
      </c>
      <c r="J3780" s="2" t="s">
        <v>13904</v>
      </c>
      <c r="K3780" s="2" t="s">
        <v>19210</v>
      </c>
      <c r="L3780" s="82" t="s">
        <v>19512</v>
      </c>
    </row>
    <row r="3781" spans="1:15" ht="84" customHeight="1" x14ac:dyDescent="0.3">
      <c r="A3781" s="2">
        <v>3777</v>
      </c>
      <c r="B3781" s="66" t="s">
        <v>4319</v>
      </c>
      <c r="C3781" s="66" t="s">
        <v>3153</v>
      </c>
      <c r="D3781" s="244">
        <v>8000</v>
      </c>
      <c r="E3781" s="11">
        <v>8000</v>
      </c>
      <c r="F3781" s="3">
        <v>41995</v>
      </c>
      <c r="G3781" s="2"/>
      <c r="H3781" s="3">
        <v>43053</v>
      </c>
      <c r="I3781" s="2" t="s">
        <v>19506</v>
      </c>
      <c r="J3781" s="2" t="s">
        <v>13904</v>
      </c>
      <c r="K3781" s="2" t="s">
        <v>19210</v>
      </c>
      <c r="L3781" s="82" t="s">
        <v>19512</v>
      </c>
    </row>
    <row r="3782" spans="1:15" ht="84" customHeight="1" x14ac:dyDescent="0.3">
      <c r="A3782" s="2">
        <v>3778</v>
      </c>
      <c r="B3782" s="66" t="s">
        <v>3579</v>
      </c>
      <c r="C3782" s="66" t="s">
        <v>4320</v>
      </c>
      <c r="D3782" s="244">
        <v>4556.1000000000004</v>
      </c>
      <c r="E3782" s="11">
        <v>4556.1000000000004</v>
      </c>
      <c r="F3782" s="3">
        <v>39444</v>
      </c>
      <c r="G3782" s="2"/>
      <c r="H3782" s="3">
        <v>43053</v>
      </c>
      <c r="I3782" s="2" t="s">
        <v>19506</v>
      </c>
      <c r="J3782" s="2" t="s">
        <v>13904</v>
      </c>
      <c r="K3782" s="2" t="s">
        <v>19210</v>
      </c>
      <c r="L3782" s="82" t="s">
        <v>19512</v>
      </c>
    </row>
    <row r="3783" spans="1:15" s="19" customFormat="1" ht="84" customHeight="1" x14ac:dyDescent="0.3">
      <c r="A3783" s="2">
        <v>3779</v>
      </c>
      <c r="B3783" s="66" t="s">
        <v>1062</v>
      </c>
      <c r="C3783" s="66" t="s">
        <v>4043</v>
      </c>
      <c r="D3783" s="11">
        <v>98211.38</v>
      </c>
      <c r="E3783" s="11">
        <v>57290.06</v>
      </c>
      <c r="F3783" s="3">
        <v>42004</v>
      </c>
      <c r="G3783" s="2" t="s">
        <v>14104</v>
      </c>
      <c r="H3783" s="2"/>
      <c r="I3783" s="2"/>
      <c r="J3783" s="2" t="s">
        <v>13904</v>
      </c>
      <c r="K3783" s="2" t="s">
        <v>19202</v>
      </c>
      <c r="L3783" s="2" t="s">
        <v>18740</v>
      </c>
      <c r="M3783" s="18"/>
      <c r="N3783" s="18"/>
      <c r="O3783" s="18"/>
    </row>
    <row r="3784" spans="1:15" ht="84" customHeight="1" x14ac:dyDescent="0.3">
      <c r="A3784" s="2">
        <v>3780</v>
      </c>
      <c r="B3784" s="66" t="s">
        <v>4321</v>
      </c>
      <c r="C3784" s="66" t="s">
        <v>4322</v>
      </c>
      <c r="D3784" s="11">
        <v>70000</v>
      </c>
      <c r="E3784" s="11">
        <v>37333.440000000002</v>
      </c>
      <c r="F3784" s="3">
        <v>41702</v>
      </c>
      <c r="G3784" s="2" t="s">
        <v>14104</v>
      </c>
      <c r="H3784" s="2"/>
      <c r="I3784" s="2"/>
      <c r="J3784" s="2" t="s">
        <v>13904</v>
      </c>
      <c r="K3784" s="2" t="s">
        <v>19202</v>
      </c>
      <c r="L3784" s="82" t="s">
        <v>18740</v>
      </c>
    </row>
    <row r="3785" spans="1:15" ht="84" customHeight="1" x14ac:dyDescent="0.3">
      <c r="A3785" s="2">
        <v>3781</v>
      </c>
      <c r="B3785" s="66" t="s">
        <v>4323</v>
      </c>
      <c r="C3785" s="66" t="s">
        <v>3765</v>
      </c>
      <c r="D3785" s="11">
        <v>21176.28</v>
      </c>
      <c r="E3785" s="11">
        <v>16174.88</v>
      </c>
      <c r="F3785" s="3">
        <v>39399</v>
      </c>
      <c r="G3785" s="2" t="s">
        <v>14104</v>
      </c>
      <c r="H3785" s="3">
        <v>43053</v>
      </c>
      <c r="I3785" s="2" t="s">
        <v>19506</v>
      </c>
      <c r="J3785" s="2" t="s">
        <v>13904</v>
      </c>
      <c r="K3785" s="2" t="s">
        <v>19202</v>
      </c>
      <c r="L3785" s="82" t="s">
        <v>19512</v>
      </c>
    </row>
    <row r="3786" spans="1:15" ht="84" customHeight="1" x14ac:dyDescent="0.3">
      <c r="A3786" s="2">
        <v>3782</v>
      </c>
      <c r="B3786" s="66" t="s">
        <v>4324</v>
      </c>
      <c r="C3786" s="66" t="s">
        <v>4325</v>
      </c>
      <c r="D3786" s="11">
        <v>46490</v>
      </c>
      <c r="E3786" s="11">
        <v>7748.3</v>
      </c>
      <c r="F3786" s="3">
        <v>41876</v>
      </c>
      <c r="G3786" s="2" t="s">
        <v>14104</v>
      </c>
      <c r="H3786" s="3">
        <v>43053</v>
      </c>
      <c r="I3786" s="2" t="s">
        <v>19506</v>
      </c>
      <c r="J3786" s="2" t="s">
        <v>13904</v>
      </c>
      <c r="K3786" s="2" t="s">
        <v>19202</v>
      </c>
      <c r="L3786" s="82" t="s">
        <v>19512</v>
      </c>
    </row>
    <row r="3787" spans="1:15" ht="84" customHeight="1" x14ac:dyDescent="0.3">
      <c r="A3787" s="2">
        <v>3783</v>
      </c>
      <c r="B3787" s="66" t="s">
        <v>4326</v>
      </c>
      <c r="C3787" s="66" t="s">
        <v>4327</v>
      </c>
      <c r="D3787" s="11">
        <v>46765</v>
      </c>
      <c r="E3787" s="11">
        <v>3340.38</v>
      </c>
      <c r="F3787" s="3">
        <v>41981</v>
      </c>
      <c r="G3787" s="2" t="s">
        <v>14104</v>
      </c>
      <c r="H3787" s="3">
        <v>43053</v>
      </c>
      <c r="I3787" s="2" t="s">
        <v>19506</v>
      </c>
      <c r="J3787" s="2" t="s">
        <v>13904</v>
      </c>
      <c r="K3787" s="2" t="s">
        <v>19202</v>
      </c>
      <c r="L3787" s="82" t="s">
        <v>19512</v>
      </c>
    </row>
    <row r="3788" spans="1:15" ht="84" customHeight="1" x14ac:dyDescent="0.3">
      <c r="A3788" s="2">
        <v>3784</v>
      </c>
      <c r="B3788" s="66" t="s">
        <v>4328</v>
      </c>
      <c r="C3788" s="66" t="s">
        <v>3595</v>
      </c>
      <c r="D3788" s="11">
        <v>96166.75</v>
      </c>
      <c r="E3788" s="11">
        <v>26331.32</v>
      </c>
      <c r="F3788" s="3">
        <v>41981</v>
      </c>
      <c r="G3788" s="2" t="s">
        <v>14104</v>
      </c>
      <c r="H3788" s="2"/>
      <c r="I3788" s="2"/>
      <c r="J3788" s="2" t="s">
        <v>13904</v>
      </c>
      <c r="K3788" s="2" t="s">
        <v>19202</v>
      </c>
      <c r="L3788" s="82" t="s">
        <v>18740</v>
      </c>
    </row>
    <row r="3789" spans="1:15" ht="84" customHeight="1" x14ac:dyDescent="0.3">
      <c r="A3789" s="2">
        <v>3785</v>
      </c>
      <c r="B3789" s="66" t="s">
        <v>4329</v>
      </c>
      <c r="C3789" s="66" t="s">
        <v>3822</v>
      </c>
      <c r="D3789" s="11">
        <v>87012.75</v>
      </c>
      <c r="E3789" s="11">
        <v>23825.01</v>
      </c>
      <c r="F3789" s="3">
        <v>41981</v>
      </c>
      <c r="G3789" s="2" t="s">
        <v>14104</v>
      </c>
      <c r="H3789" s="2"/>
      <c r="I3789" s="2"/>
      <c r="J3789" s="2" t="s">
        <v>13904</v>
      </c>
      <c r="K3789" s="2" t="s">
        <v>19202</v>
      </c>
      <c r="L3789" s="82" t="s">
        <v>18740</v>
      </c>
    </row>
    <row r="3790" spans="1:15" ht="84" customHeight="1" x14ac:dyDescent="0.3">
      <c r="A3790" s="2">
        <v>3786</v>
      </c>
      <c r="B3790" s="66" t="s">
        <v>4330</v>
      </c>
      <c r="C3790" s="66" t="s">
        <v>4331</v>
      </c>
      <c r="D3790" s="11">
        <v>122521.75</v>
      </c>
      <c r="E3790" s="11">
        <v>33547.57</v>
      </c>
      <c r="F3790" s="3">
        <v>41981</v>
      </c>
      <c r="G3790" s="2" t="s">
        <v>14104</v>
      </c>
      <c r="H3790" s="2"/>
      <c r="I3790" s="2"/>
      <c r="J3790" s="2" t="s">
        <v>13904</v>
      </c>
      <c r="K3790" s="2" t="s">
        <v>19202</v>
      </c>
      <c r="L3790" s="82" t="s">
        <v>18740</v>
      </c>
    </row>
    <row r="3791" spans="1:15" ht="84" customHeight="1" x14ac:dyDescent="0.3">
      <c r="A3791" s="2">
        <v>3787</v>
      </c>
      <c r="B3791" s="66" t="s">
        <v>4332</v>
      </c>
      <c r="C3791" s="66" t="s">
        <v>4217</v>
      </c>
      <c r="D3791" s="11">
        <v>26849.72</v>
      </c>
      <c r="E3791" s="11">
        <v>20137.5</v>
      </c>
      <c r="F3791" s="3">
        <v>39447</v>
      </c>
      <c r="G3791" s="2" t="s">
        <v>14104</v>
      </c>
      <c r="H3791" s="3">
        <v>43053</v>
      </c>
      <c r="I3791" s="2" t="s">
        <v>19506</v>
      </c>
      <c r="J3791" s="2" t="s">
        <v>13904</v>
      </c>
      <c r="K3791" s="2" t="s">
        <v>19202</v>
      </c>
      <c r="L3791" s="82" t="s">
        <v>19512</v>
      </c>
    </row>
    <row r="3792" spans="1:15" ht="84" customHeight="1" x14ac:dyDescent="0.3">
      <c r="A3792" s="2">
        <v>3788</v>
      </c>
      <c r="B3792" s="66" t="s">
        <v>4333</v>
      </c>
      <c r="C3792" s="66" t="s">
        <v>4334</v>
      </c>
      <c r="D3792" s="11">
        <v>34001</v>
      </c>
      <c r="E3792" s="11">
        <v>34001</v>
      </c>
      <c r="F3792" s="3">
        <v>40536</v>
      </c>
      <c r="G3792" s="2" t="s">
        <v>14104</v>
      </c>
      <c r="H3792" s="3">
        <v>43053</v>
      </c>
      <c r="I3792" s="2" t="s">
        <v>19506</v>
      </c>
      <c r="J3792" s="2" t="s">
        <v>13904</v>
      </c>
      <c r="K3792" s="2" t="s">
        <v>19202</v>
      </c>
      <c r="L3792" s="82" t="s">
        <v>19512</v>
      </c>
    </row>
    <row r="3793" spans="1:12" ht="84" customHeight="1" x14ac:dyDescent="0.3">
      <c r="A3793" s="2">
        <v>3789</v>
      </c>
      <c r="B3793" s="66" t="s">
        <v>4335</v>
      </c>
      <c r="C3793" s="66" t="s">
        <v>3769</v>
      </c>
      <c r="D3793" s="11">
        <v>43200</v>
      </c>
      <c r="E3793" s="11">
        <v>3600.03</v>
      </c>
      <c r="F3793" s="3">
        <v>41969</v>
      </c>
      <c r="G3793" s="2" t="s">
        <v>14104</v>
      </c>
      <c r="H3793" s="3">
        <v>43053</v>
      </c>
      <c r="I3793" s="2" t="s">
        <v>19506</v>
      </c>
      <c r="J3793" s="2" t="s">
        <v>13904</v>
      </c>
      <c r="K3793" s="2" t="s">
        <v>19202</v>
      </c>
      <c r="L3793" s="82" t="s">
        <v>19512</v>
      </c>
    </row>
    <row r="3794" spans="1:12" ht="84" customHeight="1" x14ac:dyDescent="0.3">
      <c r="A3794" s="2">
        <v>3790</v>
      </c>
      <c r="B3794" s="66" t="s">
        <v>3768</v>
      </c>
      <c r="C3794" s="66" t="s">
        <v>4336</v>
      </c>
      <c r="D3794" s="11">
        <v>54750</v>
      </c>
      <c r="E3794" s="11">
        <v>4380</v>
      </c>
      <c r="F3794" s="3">
        <v>41969</v>
      </c>
      <c r="G3794" s="2" t="s">
        <v>14104</v>
      </c>
      <c r="H3794" s="2"/>
      <c r="I3794" s="2"/>
      <c r="J3794" s="2" t="s">
        <v>13904</v>
      </c>
      <c r="K3794" s="2" t="s">
        <v>19202</v>
      </c>
      <c r="L3794" s="82" t="s">
        <v>18740</v>
      </c>
    </row>
    <row r="3795" spans="1:12" ht="84" customHeight="1" x14ac:dyDescent="0.3">
      <c r="A3795" s="2">
        <v>3791</v>
      </c>
      <c r="B3795" s="66" t="s">
        <v>4337</v>
      </c>
      <c r="C3795" s="66" t="s">
        <v>4338</v>
      </c>
      <c r="D3795" s="11">
        <v>35000</v>
      </c>
      <c r="E3795" s="11">
        <v>35000</v>
      </c>
      <c r="F3795" s="3">
        <v>41851</v>
      </c>
      <c r="G3795" s="2" t="s">
        <v>14104</v>
      </c>
      <c r="H3795" s="3">
        <v>43053</v>
      </c>
      <c r="I3795" s="2" t="s">
        <v>19506</v>
      </c>
      <c r="J3795" s="2" t="s">
        <v>13904</v>
      </c>
      <c r="K3795" s="2" t="s">
        <v>19202</v>
      </c>
      <c r="L3795" s="82" t="s">
        <v>19512</v>
      </c>
    </row>
    <row r="3796" spans="1:12" ht="84" customHeight="1" x14ac:dyDescent="0.3">
      <c r="A3796" s="2">
        <v>3792</v>
      </c>
      <c r="B3796" s="66" t="s">
        <v>4339</v>
      </c>
      <c r="C3796" s="66" t="s">
        <v>4340</v>
      </c>
      <c r="D3796" s="11">
        <v>6623.3</v>
      </c>
      <c r="E3796" s="11">
        <v>6623.3</v>
      </c>
      <c r="F3796" s="3">
        <v>38456</v>
      </c>
      <c r="G3796" s="2" t="s">
        <v>14104</v>
      </c>
      <c r="H3796" s="3">
        <v>43053</v>
      </c>
      <c r="I3796" s="2" t="s">
        <v>19506</v>
      </c>
      <c r="J3796" s="2" t="s">
        <v>13904</v>
      </c>
      <c r="K3796" s="2" t="s">
        <v>19202</v>
      </c>
      <c r="L3796" s="82" t="s">
        <v>19512</v>
      </c>
    </row>
    <row r="3797" spans="1:12" ht="84" customHeight="1" x14ac:dyDescent="0.3">
      <c r="A3797" s="2">
        <v>3793</v>
      </c>
      <c r="B3797" s="66" t="s">
        <v>4341</v>
      </c>
      <c r="C3797" s="66" t="s">
        <v>4342</v>
      </c>
      <c r="D3797" s="11">
        <v>20000</v>
      </c>
      <c r="E3797" s="11">
        <v>20000</v>
      </c>
      <c r="F3797" s="3">
        <v>40113</v>
      </c>
      <c r="G3797" s="2" t="s">
        <v>14104</v>
      </c>
      <c r="H3797" s="3">
        <v>43053</v>
      </c>
      <c r="I3797" s="2" t="s">
        <v>19506</v>
      </c>
      <c r="J3797" s="2" t="s">
        <v>13904</v>
      </c>
      <c r="K3797" s="2" t="s">
        <v>19202</v>
      </c>
      <c r="L3797" s="82" t="s">
        <v>19512</v>
      </c>
    </row>
    <row r="3798" spans="1:12" ht="84" customHeight="1" x14ac:dyDescent="0.3">
      <c r="A3798" s="2">
        <v>3794</v>
      </c>
      <c r="B3798" s="66" t="s">
        <v>4343</v>
      </c>
      <c r="C3798" s="66" t="s">
        <v>4344</v>
      </c>
      <c r="D3798" s="11">
        <v>4000</v>
      </c>
      <c r="E3798" s="11">
        <v>4000</v>
      </c>
      <c r="F3798" s="3">
        <v>39442</v>
      </c>
      <c r="G3798" s="2" t="s">
        <v>14104</v>
      </c>
      <c r="H3798" s="3">
        <v>43053</v>
      </c>
      <c r="I3798" s="2" t="s">
        <v>19506</v>
      </c>
      <c r="J3798" s="2" t="s">
        <v>13904</v>
      </c>
      <c r="K3798" s="2" t="s">
        <v>19202</v>
      </c>
      <c r="L3798" s="82" t="s">
        <v>19512</v>
      </c>
    </row>
    <row r="3799" spans="1:12" ht="84" customHeight="1" x14ac:dyDescent="0.3">
      <c r="A3799" s="2">
        <v>3795</v>
      </c>
      <c r="B3799" s="66" t="s">
        <v>4345</v>
      </c>
      <c r="C3799" s="66" t="s">
        <v>4346</v>
      </c>
      <c r="D3799" s="11">
        <v>7190</v>
      </c>
      <c r="E3799" s="11">
        <v>7190</v>
      </c>
      <c r="F3799" s="3">
        <v>39051</v>
      </c>
      <c r="G3799" s="2" t="s">
        <v>14104</v>
      </c>
      <c r="H3799" s="3">
        <v>43053</v>
      </c>
      <c r="I3799" s="2" t="s">
        <v>19506</v>
      </c>
      <c r="J3799" s="2" t="s">
        <v>13904</v>
      </c>
      <c r="K3799" s="2" t="s">
        <v>19202</v>
      </c>
      <c r="L3799" s="82" t="s">
        <v>19512</v>
      </c>
    </row>
    <row r="3800" spans="1:12" ht="84" customHeight="1" x14ac:dyDescent="0.3">
      <c r="A3800" s="2">
        <v>3796</v>
      </c>
      <c r="B3800" s="66" t="s">
        <v>4347</v>
      </c>
      <c r="C3800" s="66" t="s">
        <v>4348</v>
      </c>
      <c r="D3800" s="11">
        <v>26061</v>
      </c>
      <c r="E3800" s="11">
        <v>26061</v>
      </c>
      <c r="F3800" s="3">
        <v>38729</v>
      </c>
      <c r="G3800" s="2" t="s">
        <v>14104</v>
      </c>
      <c r="H3800" s="3">
        <v>43053</v>
      </c>
      <c r="I3800" s="2" t="s">
        <v>19506</v>
      </c>
      <c r="J3800" s="2" t="s">
        <v>13904</v>
      </c>
      <c r="K3800" s="2" t="s">
        <v>19202</v>
      </c>
      <c r="L3800" s="82" t="s">
        <v>19512</v>
      </c>
    </row>
    <row r="3801" spans="1:12" ht="84" customHeight="1" x14ac:dyDescent="0.3">
      <c r="A3801" s="2">
        <v>3797</v>
      </c>
      <c r="B3801" s="66" t="s">
        <v>971</v>
      </c>
      <c r="C3801" s="66" t="s">
        <v>4219</v>
      </c>
      <c r="D3801" s="11">
        <v>5508</v>
      </c>
      <c r="E3801" s="11">
        <v>5508</v>
      </c>
      <c r="F3801" s="3">
        <v>39051</v>
      </c>
      <c r="G3801" s="2" t="s">
        <v>14104</v>
      </c>
      <c r="H3801" s="3">
        <v>43053</v>
      </c>
      <c r="I3801" s="2" t="s">
        <v>19506</v>
      </c>
      <c r="J3801" s="2" t="s">
        <v>13904</v>
      </c>
      <c r="K3801" s="2" t="s">
        <v>19202</v>
      </c>
      <c r="L3801" s="82" t="s">
        <v>19512</v>
      </c>
    </row>
    <row r="3802" spans="1:12" ht="84" customHeight="1" x14ac:dyDescent="0.3">
      <c r="A3802" s="2">
        <v>3798</v>
      </c>
      <c r="B3802" s="66" t="s">
        <v>4349</v>
      </c>
      <c r="C3802" s="66" t="s">
        <v>3436</v>
      </c>
      <c r="D3802" s="11">
        <v>5100</v>
      </c>
      <c r="E3802" s="11">
        <v>5100</v>
      </c>
      <c r="F3802" s="3">
        <v>39051</v>
      </c>
      <c r="G3802" s="2" t="s">
        <v>14104</v>
      </c>
      <c r="H3802" s="3">
        <v>43053</v>
      </c>
      <c r="I3802" s="2" t="s">
        <v>19506</v>
      </c>
      <c r="J3802" s="2" t="s">
        <v>13904</v>
      </c>
      <c r="K3802" s="2" t="s">
        <v>19202</v>
      </c>
      <c r="L3802" s="82" t="s">
        <v>19512</v>
      </c>
    </row>
    <row r="3803" spans="1:12" ht="84" customHeight="1" x14ac:dyDescent="0.3">
      <c r="A3803" s="2">
        <v>3799</v>
      </c>
      <c r="B3803" s="66" t="s">
        <v>3555</v>
      </c>
      <c r="C3803" s="66" t="s">
        <v>4350</v>
      </c>
      <c r="D3803" s="11">
        <v>11106.6</v>
      </c>
      <c r="E3803" s="11">
        <v>11106.6</v>
      </c>
      <c r="F3803" s="3">
        <v>39399</v>
      </c>
      <c r="G3803" s="2" t="s">
        <v>14104</v>
      </c>
      <c r="H3803" s="3">
        <v>43053</v>
      </c>
      <c r="I3803" s="2" t="s">
        <v>19506</v>
      </c>
      <c r="J3803" s="2" t="s">
        <v>13904</v>
      </c>
      <c r="K3803" s="2" t="s">
        <v>19202</v>
      </c>
      <c r="L3803" s="82" t="s">
        <v>19512</v>
      </c>
    </row>
    <row r="3804" spans="1:12" ht="84" customHeight="1" x14ac:dyDescent="0.3">
      <c r="A3804" s="2">
        <v>3800</v>
      </c>
      <c r="B3804" s="66" t="s">
        <v>4351</v>
      </c>
      <c r="C3804" s="66" t="s">
        <v>4352</v>
      </c>
      <c r="D3804" s="11">
        <v>13854.4</v>
      </c>
      <c r="E3804" s="11">
        <v>13854.4</v>
      </c>
      <c r="F3804" s="3">
        <v>40368</v>
      </c>
      <c r="G3804" s="2" t="s">
        <v>14104</v>
      </c>
      <c r="H3804" s="3">
        <v>43053</v>
      </c>
      <c r="I3804" s="2" t="s">
        <v>19506</v>
      </c>
      <c r="J3804" s="2" t="s">
        <v>13904</v>
      </c>
      <c r="K3804" s="2" t="s">
        <v>19202</v>
      </c>
      <c r="L3804" s="82" t="s">
        <v>19512</v>
      </c>
    </row>
    <row r="3805" spans="1:12" ht="84" customHeight="1" x14ac:dyDescent="0.3">
      <c r="A3805" s="2">
        <v>3801</v>
      </c>
      <c r="B3805" s="66" t="s">
        <v>4353</v>
      </c>
      <c r="C3805" s="66" t="s">
        <v>4354</v>
      </c>
      <c r="D3805" s="11">
        <v>12148.09</v>
      </c>
      <c r="E3805" s="11">
        <v>12148.09</v>
      </c>
      <c r="F3805" s="3">
        <v>39057</v>
      </c>
      <c r="G3805" s="2" t="s">
        <v>14104</v>
      </c>
      <c r="H3805" s="3">
        <v>43053</v>
      </c>
      <c r="I3805" s="2" t="s">
        <v>19506</v>
      </c>
      <c r="J3805" s="2" t="s">
        <v>13904</v>
      </c>
      <c r="K3805" s="2" t="s">
        <v>19202</v>
      </c>
      <c r="L3805" s="82" t="s">
        <v>19512</v>
      </c>
    </row>
    <row r="3806" spans="1:12" ht="84" customHeight="1" x14ac:dyDescent="0.3">
      <c r="A3806" s="2">
        <v>3802</v>
      </c>
      <c r="B3806" s="66" t="s">
        <v>4211</v>
      </c>
      <c r="C3806" s="66" t="s">
        <v>4355</v>
      </c>
      <c r="D3806" s="11">
        <v>12247.14</v>
      </c>
      <c r="E3806" s="11">
        <v>12247.14</v>
      </c>
      <c r="F3806" s="3">
        <v>38730</v>
      </c>
      <c r="G3806" s="2" t="s">
        <v>14104</v>
      </c>
      <c r="H3806" s="3">
        <v>43053</v>
      </c>
      <c r="I3806" s="2" t="s">
        <v>19506</v>
      </c>
      <c r="J3806" s="2" t="s">
        <v>13904</v>
      </c>
      <c r="K3806" s="2" t="s">
        <v>19202</v>
      </c>
      <c r="L3806" s="82" t="s">
        <v>19512</v>
      </c>
    </row>
    <row r="3807" spans="1:12" ht="84" customHeight="1" x14ac:dyDescent="0.3">
      <c r="A3807" s="2">
        <v>3803</v>
      </c>
      <c r="B3807" s="66" t="s">
        <v>4356</v>
      </c>
      <c r="C3807" s="66" t="s">
        <v>4357</v>
      </c>
      <c r="D3807" s="11">
        <v>19650</v>
      </c>
      <c r="E3807" s="11">
        <v>19650</v>
      </c>
      <c r="F3807" s="3">
        <v>41272</v>
      </c>
      <c r="G3807" s="2" t="s">
        <v>14104</v>
      </c>
      <c r="H3807" s="3">
        <v>43053</v>
      </c>
      <c r="I3807" s="2" t="s">
        <v>19506</v>
      </c>
      <c r="J3807" s="2" t="s">
        <v>13904</v>
      </c>
      <c r="K3807" s="2" t="s">
        <v>19202</v>
      </c>
      <c r="L3807" s="82" t="s">
        <v>19512</v>
      </c>
    </row>
    <row r="3808" spans="1:12" ht="84" customHeight="1" x14ac:dyDescent="0.3">
      <c r="A3808" s="2">
        <v>3804</v>
      </c>
      <c r="B3808" s="66" t="s">
        <v>4358</v>
      </c>
      <c r="C3808" s="66" t="s">
        <v>4359</v>
      </c>
      <c r="D3808" s="11">
        <v>8500</v>
      </c>
      <c r="E3808" s="11">
        <v>8500</v>
      </c>
      <c r="F3808" s="3">
        <v>41272</v>
      </c>
      <c r="G3808" s="2" t="s">
        <v>14104</v>
      </c>
      <c r="H3808" s="3">
        <v>43053</v>
      </c>
      <c r="I3808" s="2" t="s">
        <v>19506</v>
      </c>
      <c r="J3808" s="2" t="s">
        <v>13904</v>
      </c>
      <c r="K3808" s="2" t="s">
        <v>19202</v>
      </c>
      <c r="L3808" s="82" t="s">
        <v>19512</v>
      </c>
    </row>
    <row r="3809" spans="1:12" ht="84" customHeight="1" x14ac:dyDescent="0.3">
      <c r="A3809" s="2">
        <v>3805</v>
      </c>
      <c r="B3809" s="66" t="s">
        <v>4343</v>
      </c>
      <c r="C3809" s="66" t="s">
        <v>4360</v>
      </c>
      <c r="D3809" s="11">
        <v>4000</v>
      </c>
      <c r="E3809" s="11">
        <v>4000</v>
      </c>
      <c r="F3809" s="3">
        <v>39442</v>
      </c>
      <c r="G3809" s="2" t="s">
        <v>14104</v>
      </c>
      <c r="H3809" s="3">
        <v>43053</v>
      </c>
      <c r="I3809" s="2" t="s">
        <v>19506</v>
      </c>
      <c r="J3809" s="2" t="s">
        <v>13904</v>
      </c>
      <c r="K3809" s="2" t="s">
        <v>19202</v>
      </c>
      <c r="L3809" s="82" t="s">
        <v>19512</v>
      </c>
    </row>
    <row r="3810" spans="1:12" ht="84" customHeight="1" x14ac:dyDescent="0.3">
      <c r="A3810" s="2">
        <v>3806</v>
      </c>
      <c r="B3810" s="66" t="s">
        <v>3792</v>
      </c>
      <c r="C3810" s="66" t="s">
        <v>4361</v>
      </c>
      <c r="D3810" s="11">
        <v>9430.56</v>
      </c>
      <c r="E3810" s="11">
        <v>9430.56</v>
      </c>
      <c r="F3810" s="3">
        <v>41115</v>
      </c>
      <c r="G3810" s="2" t="s">
        <v>14104</v>
      </c>
      <c r="H3810" s="3">
        <v>43053</v>
      </c>
      <c r="I3810" s="2" t="s">
        <v>19506</v>
      </c>
      <c r="J3810" s="2" t="s">
        <v>13904</v>
      </c>
      <c r="K3810" s="2" t="s">
        <v>19202</v>
      </c>
      <c r="L3810" s="82" t="s">
        <v>19512</v>
      </c>
    </row>
    <row r="3811" spans="1:12" ht="84" customHeight="1" x14ac:dyDescent="0.3">
      <c r="A3811" s="2">
        <v>3807</v>
      </c>
      <c r="B3811" s="66" t="s">
        <v>222</v>
      </c>
      <c r="C3811" s="66" t="s">
        <v>4362</v>
      </c>
      <c r="D3811" s="11">
        <v>5600</v>
      </c>
      <c r="E3811" s="11">
        <v>5600</v>
      </c>
      <c r="F3811" s="3">
        <v>40109</v>
      </c>
      <c r="G3811" s="2" t="s">
        <v>14104</v>
      </c>
      <c r="H3811" s="3">
        <v>43053</v>
      </c>
      <c r="I3811" s="2" t="s">
        <v>19506</v>
      </c>
      <c r="J3811" s="2" t="s">
        <v>13904</v>
      </c>
      <c r="K3811" s="2" t="s">
        <v>19202</v>
      </c>
      <c r="L3811" s="82" t="s">
        <v>19512</v>
      </c>
    </row>
    <row r="3812" spans="1:12" ht="84" customHeight="1" x14ac:dyDescent="0.3">
      <c r="A3812" s="2">
        <v>3808</v>
      </c>
      <c r="B3812" s="66" t="s">
        <v>223</v>
      </c>
      <c r="C3812" s="66" t="s">
        <v>4363</v>
      </c>
      <c r="D3812" s="11">
        <v>11400</v>
      </c>
      <c r="E3812" s="11">
        <v>11400</v>
      </c>
      <c r="F3812" s="3">
        <v>40109</v>
      </c>
      <c r="G3812" s="2" t="s">
        <v>14104</v>
      </c>
      <c r="H3812" s="3">
        <v>43053</v>
      </c>
      <c r="I3812" s="2" t="s">
        <v>19506</v>
      </c>
      <c r="J3812" s="2" t="s">
        <v>13904</v>
      </c>
      <c r="K3812" s="2" t="s">
        <v>19202</v>
      </c>
      <c r="L3812" s="82" t="s">
        <v>19512</v>
      </c>
    </row>
    <row r="3813" spans="1:12" ht="84" customHeight="1" x14ac:dyDescent="0.3">
      <c r="A3813" s="2">
        <v>3809</v>
      </c>
      <c r="B3813" s="66" t="s">
        <v>4364</v>
      </c>
      <c r="C3813" s="66" t="s">
        <v>4365</v>
      </c>
      <c r="D3813" s="11">
        <v>5980</v>
      </c>
      <c r="E3813" s="11">
        <v>5980</v>
      </c>
      <c r="F3813" s="3">
        <v>40536</v>
      </c>
      <c r="G3813" s="2" t="s">
        <v>14104</v>
      </c>
      <c r="H3813" s="3">
        <v>43053</v>
      </c>
      <c r="I3813" s="2" t="s">
        <v>19506</v>
      </c>
      <c r="J3813" s="2" t="s">
        <v>13904</v>
      </c>
      <c r="K3813" s="2" t="s">
        <v>19202</v>
      </c>
      <c r="L3813" s="82" t="s">
        <v>19512</v>
      </c>
    </row>
    <row r="3814" spans="1:12" ht="84" customHeight="1" x14ac:dyDescent="0.3">
      <c r="A3814" s="2">
        <v>3810</v>
      </c>
      <c r="B3814" s="66" t="s">
        <v>4366</v>
      </c>
      <c r="C3814" s="66" t="s">
        <v>4367</v>
      </c>
      <c r="D3814" s="11">
        <v>21251.8</v>
      </c>
      <c r="E3814" s="11">
        <v>21251.8</v>
      </c>
      <c r="F3814" s="3">
        <v>40569</v>
      </c>
      <c r="G3814" s="2" t="s">
        <v>14104</v>
      </c>
      <c r="H3814" s="3">
        <v>43053</v>
      </c>
      <c r="I3814" s="2" t="s">
        <v>19506</v>
      </c>
      <c r="J3814" s="2" t="s">
        <v>13904</v>
      </c>
      <c r="K3814" s="2" t="s">
        <v>19202</v>
      </c>
      <c r="L3814" s="82" t="s">
        <v>19512</v>
      </c>
    </row>
    <row r="3815" spans="1:12" ht="84" customHeight="1" x14ac:dyDescent="0.3">
      <c r="A3815" s="2">
        <v>3811</v>
      </c>
      <c r="B3815" s="66" t="s">
        <v>4368</v>
      </c>
      <c r="C3815" s="66" t="s">
        <v>4369</v>
      </c>
      <c r="D3815" s="11">
        <v>7210</v>
      </c>
      <c r="E3815" s="11">
        <v>7210</v>
      </c>
      <c r="F3815" s="3">
        <v>40819</v>
      </c>
      <c r="G3815" s="2" t="s">
        <v>14104</v>
      </c>
      <c r="H3815" s="3">
        <v>43053</v>
      </c>
      <c r="I3815" s="2" t="s">
        <v>19506</v>
      </c>
      <c r="J3815" s="2" t="s">
        <v>13904</v>
      </c>
      <c r="K3815" s="2" t="s">
        <v>19202</v>
      </c>
      <c r="L3815" s="82" t="s">
        <v>19512</v>
      </c>
    </row>
    <row r="3816" spans="1:12" ht="84" customHeight="1" x14ac:dyDescent="0.3">
      <c r="A3816" s="2">
        <v>3812</v>
      </c>
      <c r="B3816" s="66" t="s">
        <v>4370</v>
      </c>
      <c r="C3816" s="66" t="s">
        <v>4371</v>
      </c>
      <c r="D3816" s="11">
        <v>10680</v>
      </c>
      <c r="E3816" s="11">
        <v>10680</v>
      </c>
      <c r="F3816" s="3">
        <v>40819</v>
      </c>
      <c r="G3816" s="2" t="s">
        <v>14104</v>
      </c>
      <c r="H3816" s="3">
        <v>43053</v>
      </c>
      <c r="I3816" s="2" t="s">
        <v>19506</v>
      </c>
      <c r="J3816" s="2" t="s">
        <v>13904</v>
      </c>
      <c r="K3816" s="2" t="s">
        <v>19202</v>
      </c>
      <c r="L3816" s="82" t="s">
        <v>19512</v>
      </c>
    </row>
    <row r="3817" spans="1:12" ht="84" customHeight="1" x14ac:dyDescent="0.3">
      <c r="A3817" s="2">
        <v>3813</v>
      </c>
      <c r="B3817" s="66" t="s">
        <v>4372</v>
      </c>
      <c r="C3817" s="66" t="s">
        <v>4373</v>
      </c>
      <c r="D3817" s="11">
        <v>4925.91</v>
      </c>
      <c r="E3817" s="11">
        <v>4925.91</v>
      </c>
      <c r="F3817" s="3">
        <v>40778</v>
      </c>
      <c r="G3817" s="2" t="s">
        <v>14104</v>
      </c>
      <c r="H3817" s="3">
        <v>43053</v>
      </c>
      <c r="I3817" s="2" t="s">
        <v>19506</v>
      </c>
      <c r="J3817" s="2" t="s">
        <v>13904</v>
      </c>
      <c r="K3817" s="2" t="s">
        <v>19202</v>
      </c>
      <c r="L3817" s="82" t="s">
        <v>19512</v>
      </c>
    </row>
    <row r="3818" spans="1:12" ht="84" customHeight="1" x14ac:dyDescent="0.3">
      <c r="A3818" s="2">
        <v>3814</v>
      </c>
      <c r="B3818" s="66" t="s">
        <v>4374</v>
      </c>
      <c r="C3818" s="66" t="s">
        <v>4375</v>
      </c>
      <c r="D3818" s="11">
        <v>3800</v>
      </c>
      <c r="E3818" s="11">
        <v>3800</v>
      </c>
      <c r="F3818" s="3"/>
      <c r="G3818" s="2" t="s">
        <v>14104</v>
      </c>
      <c r="H3818" s="3">
        <v>43053</v>
      </c>
      <c r="I3818" s="2" t="s">
        <v>19506</v>
      </c>
      <c r="J3818" s="2" t="s">
        <v>13904</v>
      </c>
      <c r="K3818" s="2" t="s">
        <v>19202</v>
      </c>
      <c r="L3818" s="82" t="s">
        <v>19512</v>
      </c>
    </row>
    <row r="3819" spans="1:12" ht="84" customHeight="1" x14ac:dyDescent="0.3">
      <c r="A3819" s="2">
        <v>3815</v>
      </c>
      <c r="B3819" s="66" t="s">
        <v>4376</v>
      </c>
      <c r="C3819" s="66" t="s">
        <v>4377</v>
      </c>
      <c r="D3819" s="11">
        <v>7300</v>
      </c>
      <c r="E3819" s="11">
        <v>7300</v>
      </c>
      <c r="F3819" s="3">
        <v>41050</v>
      </c>
      <c r="G3819" s="2" t="s">
        <v>14104</v>
      </c>
      <c r="H3819" s="3">
        <v>43053</v>
      </c>
      <c r="I3819" s="2" t="s">
        <v>19506</v>
      </c>
      <c r="J3819" s="2" t="s">
        <v>13904</v>
      </c>
      <c r="K3819" s="2" t="s">
        <v>19202</v>
      </c>
      <c r="L3819" s="82" t="s">
        <v>19512</v>
      </c>
    </row>
    <row r="3820" spans="1:12" ht="84" customHeight="1" x14ac:dyDescent="0.3">
      <c r="A3820" s="2">
        <v>3816</v>
      </c>
      <c r="B3820" s="66" t="s">
        <v>4378</v>
      </c>
      <c r="C3820" s="66" t="s">
        <v>4379</v>
      </c>
      <c r="D3820" s="11">
        <v>8000</v>
      </c>
      <c r="E3820" s="11">
        <v>8000</v>
      </c>
      <c r="F3820" s="3">
        <v>41411</v>
      </c>
      <c r="G3820" s="2" t="s">
        <v>14104</v>
      </c>
      <c r="H3820" s="3">
        <v>43053</v>
      </c>
      <c r="I3820" s="2" t="s">
        <v>19506</v>
      </c>
      <c r="J3820" s="2" t="s">
        <v>13904</v>
      </c>
      <c r="K3820" s="2" t="s">
        <v>19202</v>
      </c>
      <c r="L3820" s="82" t="s">
        <v>19512</v>
      </c>
    </row>
    <row r="3821" spans="1:12" ht="84" customHeight="1" x14ac:dyDescent="0.3">
      <c r="A3821" s="2">
        <v>3817</v>
      </c>
      <c r="B3821" s="66" t="s">
        <v>4380</v>
      </c>
      <c r="C3821" s="66" t="s">
        <v>4381</v>
      </c>
      <c r="D3821" s="11">
        <v>10500</v>
      </c>
      <c r="E3821" s="11">
        <v>10500</v>
      </c>
      <c r="F3821" s="3">
        <v>41411</v>
      </c>
      <c r="G3821" s="2" t="s">
        <v>14104</v>
      </c>
      <c r="H3821" s="3">
        <v>43053</v>
      </c>
      <c r="I3821" s="2" t="s">
        <v>19506</v>
      </c>
      <c r="J3821" s="2" t="s">
        <v>13904</v>
      </c>
      <c r="K3821" s="2" t="s">
        <v>19202</v>
      </c>
      <c r="L3821" s="82" t="s">
        <v>19512</v>
      </c>
    </row>
    <row r="3822" spans="1:12" ht="84" customHeight="1" x14ac:dyDescent="0.3">
      <c r="A3822" s="2">
        <v>3818</v>
      </c>
      <c r="B3822" s="66" t="s">
        <v>4382</v>
      </c>
      <c r="C3822" s="66" t="s">
        <v>4383</v>
      </c>
      <c r="D3822" s="11">
        <v>10000</v>
      </c>
      <c r="E3822" s="11">
        <v>10000</v>
      </c>
      <c r="F3822" s="3">
        <v>41243</v>
      </c>
      <c r="G3822" s="2" t="s">
        <v>14104</v>
      </c>
      <c r="H3822" s="3">
        <v>43053</v>
      </c>
      <c r="I3822" s="2" t="s">
        <v>19506</v>
      </c>
      <c r="J3822" s="2" t="s">
        <v>13904</v>
      </c>
      <c r="K3822" s="2" t="s">
        <v>19202</v>
      </c>
      <c r="L3822" s="82" t="s">
        <v>19512</v>
      </c>
    </row>
    <row r="3823" spans="1:12" ht="84" customHeight="1" x14ac:dyDescent="0.3">
      <c r="A3823" s="2">
        <v>3819</v>
      </c>
      <c r="B3823" s="66" t="s">
        <v>4384</v>
      </c>
      <c r="C3823" s="66" t="s">
        <v>4385</v>
      </c>
      <c r="D3823" s="11">
        <v>6000</v>
      </c>
      <c r="E3823" s="11">
        <v>6000</v>
      </c>
      <c r="F3823" s="3">
        <v>41243</v>
      </c>
      <c r="G3823" s="2" t="s">
        <v>14104</v>
      </c>
      <c r="H3823" s="3">
        <v>43053</v>
      </c>
      <c r="I3823" s="2" t="s">
        <v>19506</v>
      </c>
      <c r="J3823" s="2" t="s">
        <v>13904</v>
      </c>
      <c r="K3823" s="2" t="s">
        <v>19202</v>
      </c>
      <c r="L3823" s="82" t="s">
        <v>19512</v>
      </c>
    </row>
    <row r="3824" spans="1:12" ht="84" customHeight="1" x14ac:dyDescent="0.3">
      <c r="A3824" s="2">
        <v>3820</v>
      </c>
      <c r="B3824" s="66" t="s">
        <v>4386</v>
      </c>
      <c r="C3824" s="66" t="s">
        <v>4387</v>
      </c>
      <c r="D3824" s="11">
        <v>19600</v>
      </c>
      <c r="E3824" s="11">
        <v>19600</v>
      </c>
      <c r="F3824" s="3">
        <v>41590</v>
      </c>
      <c r="G3824" s="2" t="s">
        <v>14104</v>
      </c>
      <c r="H3824" s="3">
        <v>43053</v>
      </c>
      <c r="I3824" s="2" t="s">
        <v>19506</v>
      </c>
      <c r="J3824" s="2" t="s">
        <v>13904</v>
      </c>
      <c r="K3824" s="2" t="s">
        <v>19202</v>
      </c>
      <c r="L3824" s="82" t="s">
        <v>19512</v>
      </c>
    </row>
    <row r="3825" spans="1:12" ht="84" customHeight="1" x14ac:dyDescent="0.3">
      <c r="A3825" s="2">
        <v>3821</v>
      </c>
      <c r="B3825" s="66" t="s">
        <v>4388</v>
      </c>
      <c r="C3825" s="66" t="s">
        <v>4389</v>
      </c>
      <c r="D3825" s="11">
        <v>4560</v>
      </c>
      <c r="E3825" s="11">
        <v>4560</v>
      </c>
      <c r="F3825" s="3">
        <v>39416</v>
      </c>
      <c r="G3825" s="2" t="s">
        <v>14104</v>
      </c>
      <c r="H3825" s="3">
        <v>43053</v>
      </c>
      <c r="I3825" s="2" t="s">
        <v>19506</v>
      </c>
      <c r="J3825" s="2" t="s">
        <v>13904</v>
      </c>
      <c r="K3825" s="2" t="s">
        <v>19202</v>
      </c>
      <c r="L3825" s="82" t="s">
        <v>19512</v>
      </c>
    </row>
    <row r="3826" spans="1:12" ht="84" customHeight="1" x14ac:dyDescent="0.3">
      <c r="A3826" s="2">
        <v>3822</v>
      </c>
      <c r="B3826" s="66" t="s">
        <v>4390</v>
      </c>
      <c r="C3826" s="66" t="s">
        <v>4138</v>
      </c>
      <c r="D3826" s="11">
        <v>4355.3999999999996</v>
      </c>
      <c r="E3826" s="11">
        <v>4355.3999999999996</v>
      </c>
      <c r="F3826" s="3">
        <v>38448</v>
      </c>
      <c r="G3826" s="2" t="s">
        <v>14104</v>
      </c>
      <c r="H3826" s="3">
        <v>43053</v>
      </c>
      <c r="I3826" s="2" t="s">
        <v>19506</v>
      </c>
      <c r="J3826" s="2" t="s">
        <v>13904</v>
      </c>
      <c r="K3826" s="2" t="s">
        <v>19202</v>
      </c>
      <c r="L3826" s="82" t="s">
        <v>19512</v>
      </c>
    </row>
    <row r="3827" spans="1:12" ht="84" customHeight="1" x14ac:dyDescent="0.3">
      <c r="A3827" s="2">
        <v>3823</v>
      </c>
      <c r="B3827" s="66" t="s">
        <v>4391</v>
      </c>
      <c r="C3827" s="66" t="s">
        <v>4140</v>
      </c>
      <c r="D3827" s="11">
        <v>4470.3999999999996</v>
      </c>
      <c r="E3827" s="11">
        <v>4470.3999999999996</v>
      </c>
      <c r="F3827" s="3">
        <v>35544</v>
      </c>
      <c r="G3827" s="2" t="s">
        <v>14104</v>
      </c>
      <c r="H3827" s="3">
        <v>43053</v>
      </c>
      <c r="I3827" s="2" t="s">
        <v>19506</v>
      </c>
      <c r="J3827" s="2" t="s">
        <v>13904</v>
      </c>
      <c r="K3827" s="2" t="s">
        <v>19202</v>
      </c>
      <c r="L3827" s="82" t="s">
        <v>19512</v>
      </c>
    </row>
    <row r="3828" spans="1:12" ht="84" customHeight="1" x14ac:dyDescent="0.3">
      <c r="A3828" s="2">
        <v>3824</v>
      </c>
      <c r="B3828" s="66" t="s">
        <v>4392</v>
      </c>
      <c r="C3828" s="66" t="s">
        <v>4393</v>
      </c>
      <c r="D3828" s="11">
        <v>9885.68</v>
      </c>
      <c r="E3828" s="11">
        <v>9885.68</v>
      </c>
      <c r="F3828" s="3">
        <v>35544</v>
      </c>
      <c r="G3828" s="2" t="s">
        <v>14104</v>
      </c>
      <c r="H3828" s="3">
        <v>43053</v>
      </c>
      <c r="I3828" s="2" t="s">
        <v>19506</v>
      </c>
      <c r="J3828" s="2" t="s">
        <v>13904</v>
      </c>
      <c r="K3828" s="2" t="s">
        <v>19202</v>
      </c>
      <c r="L3828" s="82" t="s">
        <v>19512</v>
      </c>
    </row>
    <row r="3829" spans="1:12" ht="84" customHeight="1" x14ac:dyDescent="0.3">
      <c r="A3829" s="2">
        <v>3825</v>
      </c>
      <c r="B3829" s="66" t="s">
        <v>3510</v>
      </c>
      <c r="C3829" s="66" t="s">
        <v>4394</v>
      </c>
      <c r="D3829" s="11">
        <v>3909.17</v>
      </c>
      <c r="E3829" s="11">
        <v>3909.17</v>
      </c>
      <c r="F3829" s="3">
        <v>39038</v>
      </c>
      <c r="G3829" s="2" t="s">
        <v>14104</v>
      </c>
      <c r="H3829" s="3">
        <v>43053</v>
      </c>
      <c r="I3829" s="2" t="s">
        <v>19506</v>
      </c>
      <c r="J3829" s="2" t="s">
        <v>13904</v>
      </c>
      <c r="K3829" s="2" t="s">
        <v>19202</v>
      </c>
      <c r="L3829" s="82" t="s">
        <v>19512</v>
      </c>
    </row>
    <row r="3830" spans="1:12" ht="84" customHeight="1" x14ac:dyDescent="0.3">
      <c r="A3830" s="2">
        <v>3826</v>
      </c>
      <c r="B3830" s="66" t="s">
        <v>258</v>
      </c>
      <c r="C3830" s="66" t="s">
        <v>4395</v>
      </c>
      <c r="D3830" s="11">
        <v>9090</v>
      </c>
      <c r="E3830" s="11">
        <v>9090</v>
      </c>
      <c r="F3830" s="3">
        <v>39442</v>
      </c>
      <c r="G3830" s="2" t="s">
        <v>14104</v>
      </c>
      <c r="H3830" s="3">
        <v>43053</v>
      </c>
      <c r="I3830" s="2" t="s">
        <v>19506</v>
      </c>
      <c r="J3830" s="2" t="s">
        <v>13904</v>
      </c>
      <c r="K3830" s="2" t="s">
        <v>19202</v>
      </c>
      <c r="L3830" s="82" t="s">
        <v>19512</v>
      </c>
    </row>
    <row r="3831" spans="1:12" ht="84" customHeight="1" x14ac:dyDescent="0.3">
      <c r="A3831" s="2">
        <v>3827</v>
      </c>
      <c r="B3831" s="66" t="s">
        <v>1938</v>
      </c>
      <c r="C3831" s="66" t="s">
        <v>4145</v>
      </c>
      <c r="D3831" s="11">
        <v>6936</v>
      </c>
      <c r="E3831" s="11">
        <v>6936</v>
      </c>
      <c r="F3831" s="3">
        <v>39065</v>
      </c>
      <c r="G3831" s="2" t="s">
        <v>14104</v>
      </c>
      <c r="H3831" s="3">
        <v>43053</v>
      </c>
      <c r="I3831" s="2" t="s">
        <v>19506</v>
      </c>
      <c r="J3831" s="2" t="s">
        <v>13904</v>
      </c>
      <c r="K3831" s="2" t="s">
        <v>19202</v>
      </c>
      <c r="L3831" s="82" t="s">
        <v>19512</v>
      </c>
    </row>
    <row r="3832" spans="1:12" ht="84" customHeight="1" x14ac:dyDescent="0.3">
      <c r="A3832" s="2">
        <v>3828</v>
      </c>
      <c r="B3832" s="66" t="s">
        <v>4396</v>
      </c>
      <c r="C3832" s="66" t="s">
        <v>3530</v>
      </c>
      <c r="D3832" s="11">
        <v>9000</v>
      </c>
      <c r="E3832" s="11">
        <v>9000</v>
      </c>
      <c r="F3832" s="3">
        <v>39423</v>
      </c>
      <c r="G3832" s="2" t="s">
        <v>14104</v>
      </c>
      <c r="H3832" s="3">
        <v>43053</v>
      </c>
      <c r="I3832" s="2" t="s">
        <v>19506</v>
      </c>
      <c r="J3832" s="2" t="s">
        <v>13904</v>
      </c>
      <c r="K3832" s="2" t="s">
        <v>19202</v>
      </c>
      <c r="L3832" s="82" t="s">
        <v>19512</v>
      </c>
    </row>
    <row r="3833" spans="1:12" ht="84" customHeight="1" x14ac:dyDescent="0.3">
      <c r="A3833" s="2">
        <v>3829</v>
      </c>
      <c r="B3833" s="66" t="s">
        <v>3441</v>
      </c>
      <c r="C3833" s="66" t="s">
        <v>3809</v>
      </c>
      <c r="D3833" s="11">
        <v>7017.6</v>
      </c>
      <c r="E3833" s="11">
        <v>7017.6</v>
      </c>
      <c r="F3833" s="3">
        <v>39046</v>
      </c>
      <c r="G3833" s="2" t="s">
        <v>14104</v>
      </c>
      <c r="H3833" s="3">
        <v>43053</v>
      </c>
      <c r="I3833" s="2" t="s">
        <v>19506</v>
      </c>
      <c r="J3833" s="2" t="s">
        <v>13904</v>
      </c>
      <c r="K3833" s="2" t="s">
        <v>19202</v>
      </c>
      <c r="L3833" s="82" t="s">
        <v>19512</v>
      </c>
    </row>
    <row r="3834" spans="1:12" ht="84" customHeight="1" x14ac:dyDescent="0.3">
      <c r="A3834" s="2">
        <v>3830</v>
      </c>
      <c r="B3834" s="66" t="s">
        <v>4397</v>
      </c>
      <c r="C3834" s="66" t="s">
        <v>3531</v>
      </c>
      <c r="D3834" s="11">
        <v>7037.12</v>
      </c>
      <c r="E3834" s="11">
        <v>7037.12</v>
      </c>
      <c r="F3834" s="3">
        <v>39423</v>
      </c>
      <c r="G3834" s="2" t="s">
        <v>14104</v>
      </c>
      <c r="H3834" s="3">
        <v>43053</v>
      </c>
      <c r="I3834" s="2" t="s">
        <v>19506</v>
      </c>
      <c r="J3834" s="2" t="s">
        <v>13904</v>
      </c>
      <c r="K3834" s="2" t="s">
        <v>19202</v>
      </c>
      <c r="L3834" s="82" t="s">
        <v>19512</v>
      </c>
    </row>
    <row r="3835" spans="1:12" ht="84" customHeight="1" x14ac:dyDescent="0.3">
      <c r="A3835" s="2">
        <v>3831</v>
      </c>
      <c r="B3835" s="66" t="s">
        <v>4398</v>
      </c>
      <c r="C3835" s="66" t="s">
        <v>3532</v>
      </c>
      <c r="D3835" s="11">
        <v>8600</v>
      </c>
      <c r="E3835" s="11">
        <v>8600</v>
      </c>
      <c r="F3835" s="3">
        <v>39423</v>
      </c>
      <c r="G3835" s="2" t="s">
        <v>14104</v>
      </c>
      <c r="H3835" s="3">
        <v>43053</v>
      </c>
      <c r="I3835" s="2" t="s">
        <v>19506</v>
      </c>
      <c r="J3835" s="2" t="s">
        <v>13904</v>
      </c>
      <c r="K3835" s="2" t="s">
        <v>19202</v>
      </c>
      <c r="L3835" s="82" t="s">
        <v>19512</v>
      </c>
    </row>
    <row r="3836" spans="1:12" ht="84" customHeight="1" x14ac:dyDescent="0.3">
      <c r="A3836" s="2">
        <v>3832</v>
      </c>
      <c r="B3836" s="66" t="s">
        <v>3784</v>
      </c>
      <c r="C3836" s="66" t="s">
        <v>4399</v>
      </c>
      <c r="D3836" s="11">
        <v>8333</v>
      </c>
      <c r="E3836" s="11">
        <v>8333</v>
      </c>
      <c r="F3836" s="3">
        <v>39445</v>
      </c>
      <c r="G3836" s="2" t="s">
        <v>14104</v>
      </c>
      <c r="H3836" s="3">
        <v>43053</v>
      </c>
      <c r="I3836" s="2" t="s">
        <v>19506</v>
      </c>
      <c r="J3836" s="2" t="s">
        <v>13904</v>
      </c>
      <c r="K3836" s="2" t="s">
        <v>19202</v>
      </c>
      <c r="L3836" s="82" t="s">
        <v>19512</v>
      </c>
    </row>
    <row r="3837" spans="1:12" ht="84" customHeight="1" x14ac:dyDescent="0.3">
      <c r="A3837" s="2">
        <v>3833</v>
      </c>
      <c r="B3837" s="66" t="s">
        <v>4400</v>
      </c>
      <c r="C3837" s="66" t="s">
        <v>3142</v>
      </c>
      <c r="D3837" s="11">
        <v>8790.94</v>
      </c>
      <c r="E3837" s="11">
        <v>8790.94</v>
      </c>
      <c r="F3837" s="3">
        <v>35541</v>
      </c>
      <c r="G3837" s="2" t="s">
        <v>14104</v>
      </c>
      <c r="H3837" s="3">
        <v>43053</v>
      </c>
      <c r="I3837" s="2" t="s">
        <v>19506</v>
      </c>
      <c r="J3837" s="2" t="s">
        <v>13904</v>
      </c>
      <c r="K3837" s="2" t="s">
        <v>19202</v>
      </c>
      <c r="L3837" s="82" t="s">
        <v>19512</v>
      </c>
    </row>
    <row r="3838" spans="1:12" ht="84" customHeight="1" x14ac:dyDescent="0.3">
      <c r="A3838" s="2">
        <v>3834</v>
      </c>
      <c r="B3838" s="66" t="s">
        <v>4401</v>
      </c>
      <c r="C3838" s="66" t="s">
        <v>4246</v>
      </c>
      <c r="D3838" s="11">
        <v>5946.14</v>
      </c>
      <c r="E3838" s="11">
        <v>5946.14</v>
      </c>
      <c r="F3838" s="3">
        <v>36272</v>
      </c>
      <c r="G3838" s="2" t="s">
        <v>14104</v>
      </c>
      <c r="H3838" s="3">
        <v>43053</v>
      </c>
      <c r="I3838" s="2" t="s">
        <v>19506</v>
      </c>
      <c r="J3838" s="2" t="s">
        <v>13904</v>
      </c>
      <c r="K3838" s="2" t="s">
        <v>19202</v>
      </c>
      <c r="L3838" s="82" t="s">
        <v>19512</v>
      </c>
    </row>
    <row r="3839" spans="1:12" ht="84" customHeight="1" x14ac:dyDescent="0.3">
      <c r="A3839" s="2">
        <v>3835</v>
      </c>
      <c r="B3839" s="66" t="s">
        <v>4402</v>
      </c>
      <c r="C3839" s="66" t="s">
        <v>4403</v>
      </c>
      <c r="D3839" s="11">
        <v>3300</v>
      </c>
      <c r="E3839" s="11">
        <v>3300</v>
      </c>
      <c r="F3839" s="3">
        <v>41879</v>
      </c>
      <c r="G3839" s="2" t="s">
        <v>14104</v>
      </c>
      <c r="H3839" s="3">
        <v>43053</v>
      </c>
      <c r="I3839" s="2" t="s">
        <v>19506</v>
      </c>
      <c r="J3839" s="2" t="s">
        <v>13904</v>
      </c>
      <c r="K3839" s="2" t="s">
        <v>19202</v>
      </c>
      <c r="L3839" s="82" t="s">
        <v>19512</v>
      </c>
    </row>
    <row r="3840" spans="1:12" ht="84" customHeight="1" x14ac:dyDescent="0.3">
      <c r="A3840" s="2">
        <v>3836</v>
      </c>
      <c r="B3840" s="66" t="s">
        <v>4404</v>
      </c>
      <c r="C3840" s="66" t="s">
        <v>4405</v>
      </c>
      <c r="D3840" s="11">
        <v>7650</v>
      </c>
      <c r="E3840" s="11">
        <v>7650</v>
      </c>
      <c r="F3840" s="3">
        <v>41879</v>
      </c>
      <c r="G3840" s="2" t="s">
        <v>14104</v>
      </c>
      <c r="H3840" s="3">
        <v>43053</v>
      </c>
      <c r="I3840" s="2" t="s">
        <v>19506</v>
      </c>
      <c r="J3840" s="2" t="s">
        <v>13904</v>
      </c>
      <c r="K3840" s="2" t="s">
        <v>19202</v>
      </c>
      <c r="L3840" s="82" t="s">
        <v>19512</v>
      </c>
    </row>
    <row r="3841" spans="1:12" ht="84" customHeight="1" x14ac:dyDescent="0.3">
      <c r="A3841" s="2">
        <v>3837</v>
      </c>
      <c r="B3841" s="66" t="s">
        <v>4406</v>
      </c>
      <c r="C3841" s="66" t="s">
        <v>4407</v>
      </c>
      <c r="D3841" s="11">
        <v>7900</v>
      </c>
      <c r="E3841" s="11">
        <v>7900</v>
      </c>
      <c r="F3841" s="3">
        <v>41879</v>
      </c>
      <c r="G3841" s="2" t="s">
        <v>14104</v>
      </c>
      <c r="H3841" s="3">
        <v>43053</v>
      </c>
      <c r="I3841" s="2" t="s">
        <v>19506</v>
      </c>
      <c r="J3841" s="2" t="s">
        <v>13904</v>
      </c>
      <c r="K3841" s="2" t="s">
        <v>19202</v>
      </c>
      <c r="L3841" s="82" t="s">
        <v>19512</v>
      </c>
    </row>
    <row r="3842" spans="1:12" ht="84" customHeight="1" x14ac:dyDescent="0.3">
      <c r="A3842" s="2">
        <v>3838</v>
      </c>
      <c r="B3842" s="66" t="s">
        <v>4408</v>
      </c>
      <c r="C3842" s="66" t="s">
        <v>4409</v>
      </c>
      <c r="D3842" s="11">
        <v>4166.66</v>
      </c>
      <c r="E3842" s="11">
        <v>4166.66</v>
      </c>
      <c r="F3842" s="3">
        <v>41542</v>
      </c>
      <c r="G3842" s="2" t="s">
        <v>14104</v>
      </c>
      <c r="H3842" s="3">
        <v>43053</v>
      </c>
      <c r="I3842" s="2" t="s">
        <v>19506</v>
      </c>
      <c r="J3842" s="2" t="s">
        <v>13904</v>
      </c>
      <c r="K3842" s="2" t="s">
        <v>19202</v>
      </c>
      <c r="L3842" s="82" t="s">
        <v>19512</v>
      </c>
    </row>
    <row r="3843" spans="1:12" ht="84" customHeight="1" x14ac:dyDescent="0.3">
      <c r="A3843" s="2">
        <v>3839</v>
      </c>
      <c r="B3843" s="66" t="s">
        <v>4410</v>
      </c>
      <c r="C3843" s="66" t="s">
        <v>4411</v>
      </c>
      <c r="D3843" s="11">
        <v>4166.66</v>
      </c>
      <c r="E3843" s="11">
        <v>4166.66</v>
      </c>
      <c r="F3843" s="3">
        <v>41451</v>
      </c>
      <c r="G3843" s="2" t="s">
        <v>14104</v>
      </c>
      <c r="H3843" s="3">
        <v>43053</v>
      </c>
      <c r="I3843" s="2" t="s">
        <v>19506</v>
      </c>
      <c r="J3843" s="2" t="s">
        <v>13904</v>
      </c>
      <c r="K3843" s="2" t="s">
        <v>19202</v>
      </c>
      <c r="L3843" s="82" t="s">
        <v>19512</v>
      </c>
    </row>
    <row r="3844" spans="1:12" ht="84" customHeight="1" x14ac:dyDescent="0.3">
      <c r="A3844" s="2">
        <v>3840</v>
      </c>
      <c r="B3844" s="66" t="s">
        <v>4412</v>
      </c>
      <c r="C3844" s="66" t="s">
        <v>4413</v>
      </c>
      <c r="D3844" s="11">
        <v>4166.66</v>
      </c>
      <c r="E3844" s="11">
        <v>4166.66</v>
      </c>
      <c r="F3844" s="3">
        <v>41451</v>
      </c>
      <c r="G3844" s="2" t="s">
        <v>14104</v>
      </c>
      <c r="H3844" s="3">
        <v>43053</v>
      </c>
      <c r="I3844" s="2" t="s">
        <v>19506</v>
      </c>
      <c r="J3844" s="2" t="s">
        <v>13904</v>
      </c>
      <c r="K3844" s="2" t="s">
        <v>19202</v>
      </c>
      <c r="L3844" s="82" t="s">
        <v>19512</v>
      </c>
    </row>
    <row r="3845" spans="1:12" ht="84" customHeight="1" x14ac:dyDescent="0.3">
      <c r="A3845" s="2">
        <v>3841</v>
      </c>
      <c r="B3845" s="66" t="s">
        <v>4414</v>
      </c>
      <c r="C3845" s="66" t="s">
        <v>4415</v>
      </c>
      <c r="D3845" s="11">
        <v>4166.66</v>
      </c>
      <c r="E3845" s="11">
        <v>4166.66</v>
      </c>
      <c r="F3845" s="3">
        <v>41451</v>
      </c>
      <c r="G3845" s="2" t="s">
        <v>14104</v>
      </c>
      <c r="H3845" s="3">
        <v>43053</v>
      </c>
      <c r="I3845" s="2" t="s">
        <v>19506</v>
      </c>
      <c r="J3845" s="2" t="s">
        <v>13904</v>
      </c>
      <c r="K3845" s="2" t="s">
        <v>19202</v>
      </c>
      <c r="L3845" s="82" t="s">
        <v>19512</v>
      </c>
    </row>
    <row r="3846" spans="1:12" ht="84" customHeight="1" x14ac:dyDescent="0.3">
      <c r="A3846" s="2">
        <v>3842</v>
      </c>
      <c r="B3846" s="66" t="s">
        <v>4416</v>
      </c>
      <c r="C3846" s="66" t="s">
        <v>4417</v>
      </c>
      <c r="D3846" s="11">
        <v>4166.66</v>
      </c>
      <c r="E3846" s="11">
        <v>4166.66</v>
      </c>
      <c r="F3846" s="3">
        <v>41451</v>
      </c>
      <c r="G3846" s="2" t="s">
        <v>14104</v>
      </c>
      <c r="H3846" s="3">
        <v>43053</v>
      </c>
      <c r="I3846" s="2" t="s">
        <v>19506</v>
      </c>
      <c r="J3846" s="2" t="s">
        <v>13904</v>
      </c>
      <c r="K3846" s="2" t="s">
        <v>19202</v>
      </c>
      <c r="L3846" s="82" t="s">
        <v>19512</v>
      </c>
    </row>
    <row r="3847" spans="1:12" ht="84" customHeight="1" x14ac:dyDescent="0.3">
      <c r="A3847" s="2">
        <v>3843</v>
      </c>
      <c r="B3847" s="66" t="s">
        <v>4418</v>
      </c>
      <c r="C3847" s="66" t="s">
        <v>4419</v>
      </c>
      <c r="D3847" s="11">
        <v>4166.66</v>
      </c>
      <c r="E3847" s="11">
        <v>4166.66</v>
      </c>
      <c r="F3847" s="3">
        <v>41451</v>
      </c>
      <c r="G3847" s="2" t="s">
        <v>14104</v>
      </c>
      <c r="H3847" s="3">
        <v>43053</v>
      </c>
      <c r="I3847" s="2" t="s">
        <v>19506</v>
      </c>
      <c r="J3847" s="2" t="s">
        <v>13904</v>
      </c>
      <c r="K3847" s="2" t="s">
        <v>19202</v>
      </c>
      <c r="L3847" s="82" t="s">
        <v>19512</v>
      </c>
    </row>
    <row r="3848" spans="1:12" ht="84" customHeight="1" x14ac:dyDescent="0.3">
      <c r="A3848" s="2">
        <v>3844</v>
      </c>
      <c r="B3848" s="66" t="s">
        <v>4420</v>
      </c>
      <c r="C3848" s="66" t="s">
        <v>3452</v>
      </c>
      <c r="D3848" s="11">
        <v>4166.66</v>
      </c>
      <c r="E3848" s="11">
        <v>4166.66</v>
      </c>
      <c r="F3848" s="3">
        <v>41451</v>
      </c>
      <c r="G3848" s="2" t="s">
        <v>14104</v>
      </c>
      <c r="H3848" s="3">
        <v>43053</v>
      </c>
      <c r="I3848" s="2" t="s">
        <v>19506</v>
      </c>
      <c r="J3848" s="2" t="s">
        <v>13904</v>
      </c>
      <c r="K3848" s="2" t="s">
        <v>19202</v>
      </c>
      <c r="L3848" s="82" t="s">
        <v>19512</v>
      </c>
    </row>
    <row r="3849" spans="1:12" ht="84" customHeight="1" x14ac:dyDescent="0.3">
      <c r="A3849" s="2">
        <v>3845</v>
      </c>
      <c r="B3849" s="66" t="s">
        <v>4421</v>
      </c>
      <c r="C3849" s="66" t="s">
        <v>3454</v>
      </c>
      <c r="D3849" s="11">
        <v>4166.66</v>
      </c>
      <c r="E3849" s="11">
        <v>4166.66</v>
      </c>
      <c r="F3849" s="3">
        <v>41451</v>
      </c>
      <c r="G3849" s="2" t="s">
        <v>14104</v>
      </c>
      <c r="H3849" s="3">
        <v>43053</v>
      </c>
      <c r="I3849" s="2" t="s">
        <v>19506</v>
      </c>
      <c r="J3849" s="2" t="s">
        <v>13904</v>
      </c>
      <c r="K3849" s="2" t="s">
        <v>19202</v>
      </c>
      <c r="L3849" s="82" t="s">
        <v>19512</v>
      </c>
    </row>
    <row r="3850" spans="1:12" ht="84" customHeight="1" x14ac:dyDescent="0.3">
      <c r="A3850" s="2">
        <v>3846</v>
      </c>
      <c r="B3850" s="66" t="s">
        <v>4422</v>
      </c>
      <c r="C3850" s="66" t="s">
        <v>4423</v>
      </c>
      <c r="D3850" s="11">
        <v>4166.66</v>
      </c>
      <c r="E3850" s="11">
        <v>4166.66</v>
      </c>
      <c r="F3850" s="3">
        <v>41451</v>
      </c>
      <c r="G3850" s="2" t="s">
        <v>14104</v>
      </c>
      <c r="H3850" s="3">
        <v>43053</v>
      </c>
      <c r="I3850" s="2" t="s">
        <v>19506</v>
      </c>
      <c r="J3850" s="2" t="s">
        <v>13904</v>
      </c>
      <c r="K3850" s="2" t="s">
        <v>19202</v>
      </c>
      <c r="L3850" s="82" t="s">
        <v>19512</v>
      </c>
    </row>
    <row r="3851" spans="1:12" ht="84" customHeight="1" x14ac:dyDescent="0.3">
      <c r="A3851" s="2">
        <v>3847</v>
      </c>
      <c r="B3851" s="66" t="s">
        <v>4424</v>
      </c>
      <c r="C3851" s="66" t="s">
        <v>4425</v>
      </c>
      <c r="D3851" s="11">
        <v>4166.66</v>
      </c>
      <c r="E3851" s="11">
        <v>4166.66</v>
      </c>
      <c r="F3851" s="3">
        <v>41451</v>
      </c>
      <c r="G3851" s="2" t="s">
        <v>14104</v>
      </c>
      <c r="H3851" s="3">
        <v>43053</v>
      </c>
      <c r="I3851" s="2" t="s">
        <v>19506</v>
      </c>
      <c r="J3851" s="2" t="s">
        <v>13904</v>
      </c>
      <c r="K3851" s="2" t="s">
        <v>19202</v>
      </c>
      <c r="L3851" s="82" t="s">
        <v>19512</v>
      </c>
    </row>
    <row r="3852" spans="1:12" ht="84" customHeight="1" x14ac:dyDescent="0.3">
      <c r="A3852" s="2">
        <v>3848</v>
      </c>
      <c r="B3852" s="66" t="s">
        <v>4426</v>
      </c>
      <c r="C3852" s="66" t="s">
        <v>4427</v>
      </c>
      <c r="D3852" s="11">
        <v>4166.66</v>
      </c>
      <c r="E3852" s="11">
        <v>4166.66</v>
      </c>
      <c r="F3852" s="3">
        <v>41451</v>
      </c>
      <c r="G3852" s="2" t="s">
        <v>14104</v>
      </c>
      <c r="H3852" s="3">
        <v>43053</v>
      </c>
      <c r="I3852" s="2" t="s">
        <v>19506</v>
      </c>
      <c r="J3852" s="2" t="s">
        <v>13904</v>
      </c>
      <c r="K3852" s="2" t="s">
        <v>19202</v>
      </c>
      <c r="L3852" s="82" t="s">
        <v>19512</v>
      </c>
    </row>
    <row r="3853" spans="1:12" ht="84" customHeight="1" x14ac:dyDescent="0.3">
      <c r="A3853" s="2">
        <v>3849</v>
      </c>
      <c r="B3853" s="66" t="s">
        <v>4418</v>
      </c>
      <c r="C3853" s="66" t="s">
        <v>4428</v>
      </c>
      <c r="D3853" s="11">
        <v>4166.66</v>
      </c>
      <c r="E3853" s="11">
        <v>4166.66</v>
      </c>
      <c r="F3853" s="3">
        <v>41451</v>
      </c>
      <c r="G3853" s="2" t="s">
        <v>14104</v>
      </c>
      <c r="H3853" s="3">
        <v>43053</v>
      </c>
      <c r="I3853" s="2" t="s">
        <v>19506</v>
      </c>
      <c r="J3853" s="2" t="s">
        <v>13904</v>
      </c>
      <c r="K3853" s="2" t="s">
        <v>19202</v>
      </c>
      <c r="L3853" s="82" t="s">
        <v>19512</v>
      </c>
    </row>
    <row r="3854" spans="1:12" ht="84" customHeight="1" x14ac:dyDescent="0.3">
      <c r="A3854" s="2">
        <v>3850</v>
      </c>
      <c r="B3854" s="66" t="s">
        <v>4418</v>
      </c>
      <c r="C3854" s="66" t="s">
        <v>4429</v>
      </c>
      <c r="D3854" s="11">
        <v>4166.66</v>
      </c>
      <c r="E3854" s="11">
        <v>4166.66</v>
      </c>
      <c r="F3854" s="3">
        <v>41451</v>
      </c>
      <c r="G3854" s="2" t="s">
        <v>14104</v>
      </c>
      <c r="H3854" s="3">
        <v>43053</v>
      </c>
      <c r="I3854" s="2" t="s">
        <v>19506</v>
      </c>
      <c r="J3854" s="2" t="s">
        <v>13904</v>
      </c>
      <c r="K3854" s="2" t="s">
        <v>19202</v>
      </c>
      <c r="L3854" s="82" t="s">
        <v>19512</v>
      </c>
    </row>
    <row r="3855" spans="1:12" ht="84" customHeight="1" x14ac:dyDescent="0.3">
      <c r="A3855" s="2">
        <v>3851</v>
      </c>
      <c r="B3855" s="66" t="s">
        <v>4418</v>
      </c>
      <c r="C3855" s="66" t="s">
        <v>4430</v>
      </c>
      <c r="D3855" s="11">
        <v>4166.66</v>
      </c>
      <c r="E3855" s="11">
        <v>4166.66</v>
      </c>
      <c r="F3855" s="3">
        <v>41451</v>
      </c>
      <c r="G3855" s="2" t="s">
        <v>14104</v>
      </c>
      <c r="H3855" s="3">
        <v>43053</v>
      </c>
      <c r="I3855" s="2" t="s">
        <v>19506</v>
      </c>
      <c r="J3855" s="2" t="s">
        <v>13904</v>
      </c>
      <c r="K3855" s="2" t="s">
        <v>19202</v>
      </c>
      <c r="L3855" s="82" t="s">
        <v>19512</v>
      </c>
    </row>
    <row r="3856" spans="1:12" ht="84" customHeight="1" x14ac:dyDescent="0.3">
      <c r="A3856" s="2">
        <v>3852</v>
      </c>
      <c r="B3856" s="66" t="s">
        <v>4431</v>
      </c>
      <c r="C3856" s="66" t="s">
        <v>4432</v>
      </c>
      <c r="D3856" s="11">
        <v>4166.66</v>
      </c>
      <c r="E3856" s="11">
        <v>4166.66</v>
      </c>
      <c r="F3856" s="3">
        <v>41451</v>
      </c>
      <c r="G3856" s="2" t="s">
        <v>14104</v>
      </c>
      <c r="H3856" s="3">
        <v>43053</v>
      </c>
      <c r="I3856" s="2" t="s">
        <v>19506</v>
      </c>
      <c r="J3856" s="2" t="s">
        <v>13904</v>
      </c>
      <c r="K3856" s="2" t="s">
        <v>19202</v>
      </c>
      <c r="L3856" s="82" t="s">
        <v>19512</v>
      </c>
    </row>
    <row r="3857" spans="1:12" ht="84" customHeight="1" x14ac:dyDescent="0.3">
      <c r="A3857" s="2">
        <v>3853</v>
      </c>
      <c r="B3857" s="66" t="s">
        <v>4433</v>
      </c>
      <c r="C3857" s="66" t="s">
        <v>4434</v>
      </c>
      <c r="D3857" s="11">
        <v>4166.66</v>
      </c>
      <c r="E3857" s="11">
        <v>4166.66</v>
      </c>
      <c r="F3857" s="3">
        <v>41451</v>
      </c>
      <c r="G3857" s="2" t="s">
        <v>14104</v>
      </c>
      <c r="H3857" s="3">
        <v>43053</v>
      </c>
      <c r="I3857" s="2" t="s">
        <v>19506</v>
      </c>
      <c r="J3857" s="2" t="s">
        <v>13904</v>
      </c>
      <c r="K3857" s="2" t="s">
        <v>19202</v>
      </c>
      <c r="L3857" s="82" t="s">
        <v>19512</v>
      </c>
    </row>
    <row r="3858" spans="1:12" ht="84" customHeight="1" x14ac:dyDescent="0.3">
      <c r="A3858" s="2">
        <v>3854</v>
      </c>
      <c r="B3858" s="66" t="s">
        <v>4433</v>
      </c>
      <c r="C3858" s="66" t="s">
        <v>4435</v>
      </c>
      <c r="D3858" s="11">
        <v>4166.66</v>
      </c>
      <c r="E3858" s="11">
        <v>4166.66</v>
      </c>
      <c r="F3858" s="3">
        <v>41451</v>
      </c>
      <c r="G3858" s="2" t="s">
        <v>14104</v>
      </c>
      <c r="H3858" s="3">
        <v>43053</v>
      </c>
      <c r="I3858" s="2" t="s">
        <v>19506</v>
      </c>
      <c r="J3858" s="2" t="s">
        <v>13904</v>
      </c>
      <c r="K3858" s="2" t="s">
        <v>19202</v>
      </c>
      <c r="L3858" s="82" t="s">
        <v>19512</v>
      </c>
    </row>
    <row r="3859" spans="1:12" ht="84" customHeight="1" x14ac:dyDescent="0.3">
      <c r="A3859" s="2">
        <v>3855</v>
      </c>
      <c r="B3859" s="66" t="s">
        <v>4433</v>
      </c>
      <c r="C3859" s="66" t="s">
        <v>4436</v>
      </c>
      <c r="D3859" s="11">
        <v>4166.66</v>
      </c>
      <c r="E3859" s="11">
        <v>4166.66</v>
      </c>
      <c r="F3859" s="3">
        <v>41451</v>
      </c>
      <c r="G3859" s="2" t="s">
        <v>14104</v>
      </c>
      <c r="H3859" s="3">
        <v>43053</v>
      </c>
      <c r="I3859" s="2" t="s">
        <v>19506</v>
      </c>
      <c r="J3859" s="2" t="s">
        <v>13904</v>
      </c>
      <c r="K3859" s="2" t="s">
        <v>19202</v>
      </c>
      <c r="L3859" s="82" t="s">
        <v>19512</v>
      </c>
    </row>
    <row r="3860" spans="1:12" ht="84" customHeight="1" x14ac:dyDescent="0.3">
      <c r="A3860" s="2">
        <v>3856</v>
      </c>
      <c r="B3860" s="66" t="s">
        <v>4437</v>
      </c>
      <c r="C3860" s="66" t="s">
        <v>4438</v>
      </c>
      <c r="D3860" s="11">
        <v>4166.66</v>
      </c>
      <c r="E3860" s="11">
        <v>4166.66</v>
      </c>
      <c r="F3860" s="3">
        <v>41451</v>
      </c>
      <c r="G3860" s="2" t="s">
        <v>14104</v>
      </c>
      <c r="H3860" s="3">
        <v>43053</v>
      </c>
      <c r="I3860" s="2" t="s">
        <v>19506</v>
      </c>
      <c r="J3860" s="2" t="s">
        <v>13904</v>
      </c>
      <c r="K3860" s="2" t="s">
        <v>19202</v>
      </c>
      <c r="L3860" s="82" t="s">
        <v>19512</v>
      </c>
    </row>
    <row r="3861" spans="1:12" ht="84" customHeight="1" x14ac:dyDescent="0.3">
      <c r="A3861" s="2">
        <v>3857</v>
      </c>
      <c r="B3861" s="66" t="s">
        <v>4431</v>
      </c>
      <c r="C3861" s="66" t="s">
        <v>4439</v>
      </c>
      <c r="D3861" s="11">
        <v>4166.66</v>
      </c>
      <c r="E3861" s="11">
        <v>4166.66</v>
      </c>
      <c r="F3861" s="3">
        <v>41451</v>
      </c>
      <c r="G3861" s="2" t="s">
        <v>14104</v>
      </c>
      <c r="H3861" s="3">
        <v>43053</v>
      </c>
      <c r="I3861" s="2" t="s">
        <v>19506</v>
      </c>
      <c r="J3861" s="2" t="s">
        <v>13904</v>
      </c>
      <c r="K3861" s="2" t="s">
        <v>19202</v>
      </c>
      <c r="L3861" s="82" t="s">
        <v>19512</v>
      </c>
    </row>
    <row r="3862" spans="1:12" ht="84" customHeight="1" x14ac:dyDescent="0.3">
      <c r="A3862" s="2">
        <v>3858</v>
      </c>
      <c r="B3862" s="66" t="s">
        <v>4440</v>
      </c>
      <c r="C3862" s="66" t="s">
        <v>4441</v>
      </c>
      <c r="D3862" s="11">
        <v>4166.66</v>
      </c>
      <c r="E3862" s="11">
        <v>4166.66</v>
      </c>
      <c r="F3862" s="3">
        <v>41451</v>
      </c>
      <c r="G3862" s="2" t="s">
        <v>14104</v>
      </c>
      <c r="H3862" s="3">
        <v>43053</v>
      </c>
      <c r="I3862" s="2" t="s">
        <v>19506</v>
      </c>
      <c r="J3862" s="2" t="s">
        <v>13904</v>
      </c>
      <c r="K3862" s="2" t="s">
        <v>19202</v>
      </c>
      <c r="L3862" s="82" t="s">
        <v>19512</v>
      </c>
    </row>
    <row r="3863" spans="1:12" ht="84" customHeight="1" x14ac:dyDescent="0.3">
      <c r="A3863" s="2">
        <v>3859</v>
      </c>
      <c r="B3863" s="66" t="s">
        <v>4442</v>
      </c>
      <c r="C3863" s="66" t="s">
        <v>4443</v>
      </c>
      <c r="D3863" s="11">
        <v>4166.66</v>
      </c>
      <c r="E3863" s="11">
        <v>4166.66</v>
      </c>
      <c r="F3863" s="3">
        <v>41451</v>
      </c>
      <c r="G3863" s="2" t="s">
        <v>14104</v>
      </c>
      <c r="H3863" s="3">
        <v>43053</v>
      </c>
      <c r="I3863" s="2" t="s">
        <v>19506</v>
      </c>
      <c r="J3863" s="2" t="s">
        <v>13904</v>
      </c>
      <c r="K3863" s="2" t="s">
        <v>19202</v>
      </c>
      <c r="L3863" s="82" t="s">
        <v>19512</v>
      </c>
    </row>
    <row r="3864" spans="1:12" ht="84" customHeight="1" x14ac:dyDescent="0.3">
      <c r="A3864" s="2">
        <v>3860</v>
      </c>
      <c r="B3864" s="66" t="s">
        <v>4433</v>
      </c>
      <c r="C3864" s="66" t="s">
        <v>4444</v>
      </c>
      <c r="D3864" s="11">
        <v>4166.66</v>
      </c>
      <c r="E3864" s="11">
        <v>4166.66</v>
      </c>
      <c r="F3864" s="3">
        <v>41451</v>
      </c>
      <c r="G3864" s="2" t="s">
        <v>14104</v>
      </c>
      <c r="H3864" s="3">
        <v>43053</v>
      </c>
      <c r="I3864" s="2" t="s">
        <v>19506</v>
      </c>
      <c r="J3864" s="2" t="s">
        <v>13904</v>
      </c>
      <c r="K3864" s="2" t="s">
        <v>19202</v>
      </c>
      <c r="L3864" s="82" t="s">
        <v>19512</v>
      </c>
    </row>
    <row r="3865" spans="1:12" ht="84" customHeight="1" x14ac:dyDescent="0.3">
      <c r="A3865" s="2">
        <v>3861</v>
      </c>
      <c r="B3865" s="66" t="s">
        <v>4437</v>
      </c>
      <c r="C3865" s="66" t="s">
        <v>4445</v>
      </c>
      <c r="D3865" s="11">
        <v>4166.82</v>
      </c>
      <c r="E3865" s="11">
        <v>4166.82</v>
      </c>
      <c r="F3865" s="3">
        <v>41451</v>
      </c>
      <c r="G3865" s="2" t="s">
        <v>14104</v>
      </c>
      <c r="H3865" s="3">
        <v>43053</v>
      </c>
      <c r="I3865" s="2" t="s">
        <v>19506</v>
      </c>
      <c r="J3865" s="2" t="s">
        <v>13904</v>
      </c>
      <c r="K3865" s="2" t="s">
        <v>19202</v>
      </c>
      <c r="L3865" s="82" t="s">
        <v>19512</v>
      </c>
    </row>
    <row r="3866" spans="1:12" ht="84" customHeight="1" x14ac:dyDescent="0.3">
      <c r="A3866" s="2">
        <v>3862</v>
      </c>
      <c r="B3866" s="66" t="s">
        <v>4446</v>
      </c>
      <c r="C3866" s="66" t="s">
        <v>3146</v>
      </c>
      <c r="D3866" s="11">
        <v>25400</v>
      </c>
      <c r="E3866" s="11">
        <v>25400</v>
      </c>
      <c r="F3866" s="3">
        <v>42129</v>
      </c>
      <c r="G3866" s="2" t="s">
        <v>14104</v>
      </c>
      <c r="H3866" s="3">
        <v>43053</v>
      </c>
      <c r="I3866" s="2" t="s">
        <v>19506</v>
      </c>
      <c r="J3866" s="2" t="s">
        <v>13904</v>
      </c>
      <c r="K3866" s="2" t="s">
        <v>19202</v>
      </c>
      <c r="L3866" s="82" t="s">
        <v>19512</v>
      </c>
    </row>
    <row r="3867" spans="1:12" ht="84" customHeight="1" x14ac:dyDescent="0.3">
      <c r="A3867" s="2">
        <v>3863</v>
      </c>
      <c r="B3867" s="66" t="s">
        <v>4447</v>
      </c>
      <c r="C3867" s="66" t="s">
        <v>4448</v>
      </c>
      <c r="D3867" s="11">
        <v>5970</v>
      </c>
      <c r="E3867" s="11">
        <v>5970</v>
      </c>
      <c r="F3867" s="3">
        <v>41267</v>
      </c>
      <c r="G3867" s="2" t="s">
        <v>14104</v>
      </c>
      <c r="H3867" s="3">
        <v>43053</v>
      </c>
      <c r="I3867" s="2" t="s">
        <v>19506</v>
      </c>
      <c r="J3867" s="2" t="s">
        <v>13904</v>
      </c>
      <c r="K3867" s="2" t="s">
        <v>19202</v>
      </c>
      <c r="L3867" s="82" t="s">
        <v>19512</v>
      </c>
    </row>
    <row r="3868" spans="1:12" ht="84" customHeight="1" x14ac:dyDescent="0.3">
      <c r="A3868" s="2">
        <v>3864</v>
      </c>
      <c r="B3868" s="66" t="s">
        <v>4449</v>
      </c>
      <c r="C3868" s="66" t="s">
        <v>3332</v>
      </c>
      <c r="D3868" s="11">
        <v>17223.47</v>
      </c>
      <c r="E3868" s="11">
        <v>17223.47</v>
      </c>
      <c r="F3868" s="3">
        <v>41449</v>
      </c>
      <c r="G3868" s="2" t="s">
        <v>14104</v>
      </c>
      <c r="H3868" s="3">
        <v>43053</v>
      </c>
      <c r="I3868" s="2" t="s">
        <v>19506</v>
      </c>
      <c r="J3868" s="2" t="s">
        <v>13904</v>
      </c>
      <c r="K3868" s="2" t="s">
        <v>19202</v>
      </c>
      <c r="L3868" s="82" t="s">
        <v>19512</v>
      </c>
    </row>
    <row r="3869" spans="1:12" ht="84" customHeight="1" x14ac:dyDescent="0.3">
      <c r="A3869" s="2">
        <v>3865</v>
      </c>
      <c r="B3869" s="66" t="s">
        <v>4450</v>
      </c>
      <c r="C3869" s="66" t="s">
        <v>4451</v>
      </c>
      <c r="D3869" s="11">
        <v>4554.7</v>
      </c>
      <c r="E3869" s="11">
        <v>4554.7</v>
      </c>
      <c r="F3869" s="3">
        <v>41449</v>
      </c>
      <c r="G3869" s="2" t="s">
        <v>14104</v>
      </c>
      <c r="H3869" s="3">
        <v>43053</v>
      </c>
      <c r="I3869" s="2" t="s">
        <v>19506</v>
      </c>
      <c r="J3869" s="2" t="s">
        <v>13904</v>
      </c>
      <c r="K3869" s="2" t="s">
        <v>19202</v>
      </c>
      <c r="L3869" s="82" t="s">
        <v>19512</v>
      </c>
    </row>
    <row r="3870" spans="1:12" ht="84" customHeight="1" x14ac:dyDescent="0.3">
      <c r="A3870" s="2">
        <v>3866</v>
      </c>
      <c r="B3870" s="66" t="s">
        <v>4450</v>
      </c>
      <c r="C3870" s="66" t="s">
        <v>4452</v>
      </c>
      <c r="D3870" s="11">
        <v>4554.7</v>
      </c>
      <c r="E3870" s="11">
        <v>4554.7</v>
      </c>
      <c r="F3870" s="3">
        <v>41449</v>
      </c>
      <c r="G3870" s="2" t="s">
        <v>14104</v>
      </c>
      <c r="H3870" s="3">
        <v>43053</v>
      </c>
      <c r="I3870" s="2" t="s">
        <v>19506</v>
      </c>
      <c r="J3870" s="2" t="s">
        <v>13904</v>
      </c>
      <c r="K3870" s="2" t="s">
        <v>19202</v>
      </c>
      <c r="L3870" s="82" t="s">
        <v>19512</v>
      </c>
    </row>
    <row r="3871" spans="1:12" ht="84" customHeight="1" x14ac:dyDescent="0.3">
      <c r="A3871" s="2">
        <v>3867</v>
      </c>
      <c r="B3871" s="66" t="s">
        <v>4453</v>
      </c>
      <c r="C3871" s="66" t="s">
        <v>4454</v>
      </c>
      <c r="D3871" s="11">
        <v>4554.7</v>
      </c>
      <c r="E3871" s="11">
        <v>4554.7</v>
      </c>
      <c r="F3871" s="3">
        <v>41449</v>
      </c>
      <c r="G3871" s="2" t="s">
        <v>14104</v>
      </c>
      <c r="H3871" s="3">
        <v>43053</v>
      </c>
      <c r="I3871" s="2" t="s">
        <v>19506</v>
      </c>
      <c r="J3871" s="2" t="s">
        <v>13904</v>
      </c>
      <c r="K3871" s="2" t="s">
        <v>19202</v>
      </c>
      <c r="L3871" s="82" t="s">
        <v>19512</v>
      </c>
    </row>
    <row r="3872" spans="1:12" ht="84" customHeight="1" x14ac:dyDescent="0.3">
      <c r="A3872" s="2">
        <v>3868</v>
      </c>
      <c r="B3872" s="66" t="s">
        <v>4455</v>
      </c>
      <c r="C3872" s="66" t="s">
        <v>4456</v>
      </c>
      <c r="D3872" s="11">
        <v>4554.7</v>
      </c>
      <c r="E3872" s="11">
        <v>4554.7</v>
      </c>
      <c r="F3872" s="3">
        <v>41449</v>
      </c>
      <c r="G3872" s="2" t="s">
        <v>14104</v>
      </c>
      <c r="H3872" s="3">
        <v>43053</v>
      </c>
      <c r="I3872" s="2" t="s">
        <v>19506</v>
      </c>
      <c r="J3872" s="2" t="s">
        <v>13904</v>
      </c>
      <c r="K3872" s="2" t="s">
        <v>19202</v>
      </c>
      <c r="L3872" s="82" t="s">
        <v>19512</v>
      </c>
    </row>
    <row r="3873" spans="1:12" ht="84" customHeight="1" x14ac:dyDescent="0.3">
      <c r="A3873" s="2">
        <v>3869</v>
      </c>
      <c r="B3873" s="66" t="s">
        <v>4455</v>
      </c>
      <c r="C3873" s="66" t="s">
        <v>4457</v>
      </c>
      <c r="D3873" s="11">
        <v>4554.7</v>
      </c>
      <c r="E3873" s="11">
        <v>4554.7</v>
      </c>
      <c r="F3873" s="3">
        <v>41449</v>
      </c>
      <c r="G3873" s="2" t="s">
        <v>14104</v>
      </c>
      <c r="H3873" s="3">
        <v>43053</v>
      </c>
      <c r="I3873" s="2" t="s">
        <v>19506</v>
      </c>
      <c r="J3873" s="2" t="s">
        <v>13904</v>
      </c>
      <c r="K3873" s="2" t="s">
        <v>19202</v>
      </c>
      <c r="L3873" s="82" t="s">
        <v>19512</v>
      </c>
    </row>
    <row r="3874" spans="1:12" ht="84" customHeight="1" x14ac:dyDescent="0.3">
      <c r="A3874" s="2">
        <v>3870</v>
      </c>
      <c r="B3874" s="66" t="s">
        <v>4458</v>
      </c>
      <c r="C3874" s="66" t="s">
        <v>4459</v>
      </c>
      <c r="D3874" s="11">
        <v>4554.71</v>
      </c>
      <c r="E3874" s="11">
        <v>4554.71</v>
      </c>
      <c r="F3874" s="3">
        <v>41449</v>
      </c>
      <c r="G3874" s="2" t="s">
        <v>14104</v>
      </c>
      <c r="H3874" s="3">
        <v>43053</v>
      </c>
      <c r="I3874" s="2" t="s">
        <v>19506</v>
      </c>
      <c r="J3874" s="2" t="s">
        <v>13904</v>
      </c>
      <c r="K3874" s="2" t="s">
        <v>19202</v>
      </c>
      <c r="L3874" s="82" t="s">
        <v>19512</v>
      </c>
    </row>
    <row r="3875" spans="1:12" ht="84" customHeight="1" x14ac:dyDescent="0.3">
      <c r="A3875" s="2">
        <v>3871</v>
      </c>
      <c r="B3875" s="66" t="s">
        <v>4460</v>
      </c>
      <c r="C3875" s="66" t="s">
        <v>4461</v>
      </c>
      <c r="D3875" s="11">
        <v>12799.93</v>
      </c>
      <c r="E3875" s="11">
        <v>12799.93</v>
      </c>
      <c r="F3875" s="3">
        <v>41457</v>
      </c>
      <c r="G3875" s="2" t="s">
        <v>14104</v>
      </c>
      <c r="H3875" s="3">
        <v>43053</v>
      </c>
      <c r="I3875" s="2" t="s">
        <v>19506</v>
      </c>
      <c r="J3875" s="2" t="s">
        <v>13904</v>
      </c>
      <c r="K3875" s="2" t="s">
        <v>19202</v>
      </c>
      <c r="L3875" s="82" t="s">
        <v>19512</v>
      </c>
    </row>
    <row r="3876" spans="1:12" ht="84" customHeight="1" x14ac:dyDescent="0.3">
      <c r="A3876" s="2">
        <v>3872</v>
      </c>
      <c r="B3876" s="66" t="s">
        <v>4462</v>
      </c>
      <c r="C3876" s="66" t="s">
        <v>4463</v>
      </c>
      <c r="D3876" s="11">
        <v>6012.57</v>
      </c>
      <c r="E3876" s="11">
        <v>6012.57</v>
      </c>
      <c r="F3876" s="3">
        <v>41457</v>
      </c>
      <c r="G3876" s="2" t="s">
        <v>14104</v>
      </c>
      <c r="H3876" s="3">
        <v>43053</v>
      </c>
      <c r="I3876" s="2" t="s">
        <v>19506</v>
      </c>
      <c r="J3876" s="2" t="s">
        <v>13904</v>
      </c>
      <c r="K3876" s="2" t="s">
        <v>19202</v>
      </c>
      <c r="L3876" s="82" t="s">
        <v>19512</v>
      </c>
    </row>
    <row r="3877" spans="1:12" ht="84" customHeight="1" x14ac:dyDescent="0.3">
      <c r="A3877" s="2">
        <v>3873</v>
      </c>
      <c r="B3877" s="66" t="s">
        <v>4420</v>
      </c>
      <c r="C3877" s="66" t="s">
        <v>4464</v>
      </c>
      <c r="D3877" s="11">
        <v>3960.08</v>
      </c>
      <c r="E3877" s="11">
        <v>3960.08</v>
      </c>
      <c r="F3877" s="3">
        <v>41457</v>
      </c>
      <c r="G3877" s="2" t="s">
        <v>14104</v>
      </c>
      <c r="H3877" s="3">
        <v>43053</v>
      </c>
      <c r="I3877" s="2" t="s">
        <v>19506</v>
      </c>
      <c r="J3877" s="2" t="s">
        <v>13904</v>
      </c>
      <c r="K3877" s="2" t="s">
        <v>19202</v>
      </c>
      <c r="L3877" s="82" t="s">
        <v>19512</v>
      </c>
    </row>
    <row r="3878" spans="1:12" ht="84" customHeight="1" x14ac:dyDescent="0.3">
      <c r="A3878" s="2">
        <v>3874</v>
      </c>
      <c r="B3878" s="66" t="s">
        <v>4420</v>
      </c>
      <c r="C3878" s="66" t="s">
        <v>4465</v>
      </c>
      <c r="D3878" s="11">
        <v>3960.08</v>
      </c>
      <c r="E3878" s="11">
        <v>3960.08</v>
      </c>
      <c r="F3878" s="3">
        <v>41457</v>
      </c>
      <c r="G3878" s="2" t="s">
        <v>14104</v>
      </c>
      <c r="H3878" s="3">
        <v>43053</v>
      </c>
      <c r="I3878" s="2" t="s">
        <v>19506</v>
      </c>
      <c r="J3878" s="2" t="s">
        <v>13904</v>
      </c>
      <c r="K3878" s="2" t="s">
        <v>19202</v>
      </c>
      <c r="L3878" s="82" t="s">
        <v>19512</v>
      </c>
    </row>
    <row r="3879" spans="1:12" ht="84" customHeight="1" x14ac:dyDescent="0.3">
      <c r="A3879" s="2">
        <v>3875</v>
      </c>
      <c r="B3879" s="66" t="s">
        <v>4420</v>
      </c>
      <c r="C3879" s="66" t="s">
        <v>4466</v>
      </c>
      <c r="D3879" s="11">
        <v>3960.08</v>
      </c>
      <c r="E3879" s="11">
        <v>3960.08</v>
      </c>
      <c r="F3879" s="3">
        <v>41457</v>
      </c>
      <c r="G3879" s="2" t="s">
        <v>14104</v>
      </c>
      <c r="H3879" s="3">
        <v>43053</v>
      </c>
      <c r="I3879" s="2" t="s">
        <v>19506</v>
      </c>
      <c r="J3879" s="2" t="s">
        <v>13904</v>
      </c>
      <c r="K3879" s="2" t="s">
        <v>19202</v>
      </c>
      <c r="L3879" s="82" t="s">
        <v>19512</v>
      </c>
    </row>
    <row r="3880" spans="1:12" ht="84" customHeight="1" x14ac:dyDescent="0.3">
      <c r="A3880" s="2">
        <v>3876</v>
      </c>
      <c r="B3880" s="66" t="s">
        <v>4420</v>
      </c>
      <c r="C3880" s="66" t="s">
        <v>4467</v>
      </c>
      <c r="D3880" s="11">
        <v>3960.08</v>
      </c>
      <c r="E3880" s="11">
        <v>3960.08</v>
      </c>
      <c r="F3880" s="3">
        <v>41457</v>
      </c>
      <c r="G3880" s="2" t="s">
        <v>14104</v>
      </c>
      <c r="H3880" s="3">
        <v>43053</v>
      </c>
      <c r="I3880" s="2" t="s">
        <v>19506</v>
      </c>
      <c r="J3880" s="2" t="s">
        <v>13904</v>
      </c>
      <c r="K3880" s="2" t="s">
        <v>19202</v>
      </c>
      <c r="L3880" s="82" t="s">
        <v>19512</v>
      </c>
    </row>
    <row r="3881" spans="1:12" ht="84" customHeight="1" x14ac:dyDescent="0.3">
      <c r="A3881" s="2">
        <v>3877</v>
      </c>
      <c r="B3881" s="66" t="s">
        <v>4420</v>
      </c>
      <c r="C3881" s="66" t="s">
        <v>4308</v>
      </c>
      <c r="D3881" s="11">
        <v>3960.08</v>
      </c>
      <c r="E3881" s="11">
        <v>3960.08</v>
      </c>
      <c r="F3881" s="3">
        <v>41457</v>
      </c>
      <c r="G3881" s="2" t="s">
        <v>14104</v>
      </c>
      <c r="H3881" s="3">
        <v>43053</v>
      </c>
      <c r="I3881" s="2" t="s">
        <v>19506</v>
      </c>
      <c r="J3881" s="2" t="s">
        <v>13904</v>
      </c>
      <c r="K3881" s="2" t="s">
        <v>19202</v>
      </c>
      <c r="L3881" s="82" t="s">
        <v>19512</v>
      </c>
    </row>
    <row r="3882" spans="1:12" ht="84" customHeight="1" x14ac:dyDescent="0.3">
      <c r="A3882" s="2">
        <v>3878</v>
      </c>
      <c r="B3882" s="66" t="s">
        <v>4420</v>
      </c>
      <c r="C3882" s="66" t="s">
        <v>4306</v>
      </c>
      <c r="D3882" s="11">
        <v>3960.08</v>
      </c>
      <c r="E3882" s="11">
        <v>3960.08</v>
      </c>
      <c r="F3882" s="3">
        <v>41457</v>
      </c>
      <c r="G3882" s="2" t="s">
        <v>14104</v>
      </c>
      <c r="H3882" s="3">
        <v>43053</v>
      </c>
      <c r="I3882" s="2" t="s">
        <v>19506</v>
      </c>
      <c r="J3882" s="2" t="s">
        <v>13904</v>
      </c>
      <c r="K3882" s="2" t="s">
        <v>19202</v>
      </c>
      <c r="L3882" s="82" t="s">
        <v>19512</v>
      </c>
    </row>
    <row r="3883" spans="1:12" ht="84" customHeight="1" x14ac:dyDescent="0.3">
      <c r="A3883" s="2">
        <v>3879</v>
      </c>
      <c r="B3883" s="66" t="s">
        <v>4420</v>
      </c>
      <c r="C3883" s="66" t="s">
        <v>4468</v>
      </c>
      <c r="D3883" s="11">
        <v>3960.08</v>
      </c>
      <c r="E3883" s="11">
        <v>3960.08</v>
      </c>
      <c r="F3883" s="3">
        <v>41457</v>
      </c>
      <c r="G3883" s="2" t="s">
        <v>14104</v>
      </c>
      <c r="H3883" s="3">
        <v>43053</v>
      </c>
      <c r="I3883" s="2" t="s">
        <v>19506</v>
      </c>
      <c r="J3883" s="2" t="s">
        <v>13904</v>
      </c>
      <c r="K3883" s="2" t="s">
        <v>19202</v>
      </c>
      <c r="L3883" s="82" t="s">
        <v>19512</v>
      </c>
    </row>
    <row r="3884" spans="1:12" ht="84" customHeight="1" x14ac:dyDescent="0.3">
      <c r="A3884" s="2">
        <v>3880</v>
      </c>
      <c r="B3884" s="66" t="s">
        <v>4420</v>
      </c>
      <c r="C3884" s="66" t="s">
        <v>4469</v>
      </c>
      <c r="D3884" s="11">
        <v>3960.08</v>
      </c>
      <c r="E3884" s="11">
        <v>3960.08</v>
      </c>
      <c r="F3884" s="3">
        <v>41457</v>
      </c>
      <c r="G3884" s="2" t="s">
        <v>14104</v>
      </c>
      <c r="H3884" s="3">
        <v>43053</v>
      </c>
      <c r="I3884" s="2" t="s">
        <v>19506</v>
      </c>
      <c r="J3884" s="2" t="s">
        <v>13904</v>
      </c>
      <c r="K3884" s="2" t="s">
        <v>19202</v>
      </c>
      <c r="L3884" s="82" t="s">
        <v>19512</v>
      </c>
    </row>
    <row r="3885" spans="1:12" ht="84" customHeight="1" x14ac:dyDescent="0.3">
      <c r="A3885" s="2">
        <v>3881</v>
      </c>
      <c r="B3885" s="66" t="s">
        <v>4420</v>
      </c>
      <c r="C3885" s="66" t="s">
        <v>4304</v>
      </c>
      <c r="D3885" s="11">
        <v>3960.08</v>
      </c>
      <c r="E3885" s="11">
        <v>3960.08</v>
      </c>
      <c r="F3885" s="3">
        <v>41457</v>
      </c>
      <c r="G3885" s="2" t="s">
        <v>14104</v>
      </c>
      <c r="H3885" s="3">
        <v>43053</v>
      </c>
      <c r="I3885" s="2" t="s">
        <v>19506</v>
      </c>
      <c r="J3885" s="2" t="s">
        <v>13904</v>
      </c>
      <c r="K3885" s="2" t="s">
        <v>19202</v>
      </c>
      <c r="L3885" s="82" t="s">
        <v>19512</v>
      </c>
    </row>
    <row r="3886" spans="1:12" ht="84" customHeight="1" x14ac:dyDescent="0.3">
      <c r="A3886" s="2">
        <v>3882</v>
      </c>
      <c r="B3886" s="66" t="s">
        <v>4420</v>
      </c>
      <c r="C3886" s="66" t="s">
        <v>4470</v>
      </c>
      <c r="D3886" s="11">
        <v>3960.08</v>
      </c>
      <c r="E3886" s="11">
        <v>3960.08</v>
      </c>
      <c r="F3886" s="3">
        <v>41457</v>
      </c>
      <c r="G3886" s="2" t="s">
        <v>14104</v>
      </c>
      <c r="H3886" s="3">
        <v>43053</v>
      </c>
      <c r="I3886" s="2" t="s">
        <v>19506</v>
      </c>
      <c r="J3886" s="2" t="s">
        <v>13904</v>
      </c>
      <c r="K3886" s="2" t="s">
        <v>19202</v>
      </c>
      <c r="L3886" s="82" t="s">
        <v>19512</v>
      </c>
    </row>
    <row r="3887" spans="1:12" ht="84" customHeight="1" x14ac:dyDescent="0.3">
      <c r="A3887" s="2">
        <v>3883</v>
      </c>
      <c r="B3887" s="66" t="s">
        <v>4420</v>
      </c>
      <c r="C3887" s="66" t="s">
        <v>4471</v>
      </c>
      <c r="D3887" s="11">
        <v>3960.08</v>
      </c>
      <c r="E3887" s="11">
        <v>3960.08</v>
      </c>
      <c r="F3887" s="3">
        <v>41457</v>
      </c>
      <c r="G3887" s="2" t="s">
        <v>14104</v>
      </c>
      <c r="H3887" s="3">
        <v>43053</v>
      </c>
      <c r="I3887" s="2" t="s">
        <v>19506</v>
      </c>
      <c r="J3887" s="2" t="s">
        <v>13904</v>
      </c>
      <c r="K3887" s="2" t="s">
        <v>19202</v>
      </c>
      <c r="L3887" s="82" t="s">
        <v>19512</v>
      </c>
    </row>
    <row r="3888" spans="1:12" ht="84" customHeight="1" x14ac:dyDescent="0.3">
      <c r="A3888" s="2">
        <v>3884</v>
      </c>
      <c r="B3888" s="66" t="s">
        <v>4420</v>
      </c>
      <c r="C3888" s="66" t="s">
        <v>4472</v>
      </c>
      <c r="D3888" s="11">
        <v>3960.08</v>
      </c>
      <c r="E3888" s="11">
        <v>3960.08</v>
      </c>
      <c r="F3888" s="3">
        <v>41457</v>
      </c>
      <c r="G3888" s="2" t="s">
        <v>14104</v>
      </c>
      <c r="H3888" s="3">
        <v>43053</v>
      </c>
      <c r="I3888" s="2" t="s">
        <v>19506</v>
      </c>
      <c r="J3888" s="2" t="s">
        <v>13904</v>
      </c>
      <c r="K3888" s="2" t="s">
        <v>19202</v>
      </c>
      <c r="L3888" s="82" t="s">
        <v>19512</v>
      </c>
    </row>
    <row r="3889" spans="1:12" ht="84" customHeight="1" x14ac:dyDescent="0.3">
      <c r="A3889" s="2">
        <v>3885</v>
      </c>
      <c r="B3889" s="66" t="s">
        <v>4420</v>
      </c>
      <c r="C3889" s="66" t="s">
        <v>4473</v>
      </c>
      <c r="D3889" s="11">
        <v>3960.08</v>
      </c>
      <c r="E3889" s="11">
        <v>3960.08</v>
      </c>
      <c r="F3889" s="3">
        <v>41457</v>
      </c>
      <c r="G3889" s="2" t="s">
        <v>14104</v>
      </c>
      <c r="H3889" s="3">
        <v>43053</v>
      </c>
      <c r="I3889" s="2" t="s">
        <v>19506</v>
      </c>
      <c r="J3889" s="2" t="s">
        <v>13904</v>
      </c>
      <c r="K3889" s="2" t="s">
        <v>19202</v>
      </c>
      <c r="L3889" s="82" t="s">
        <v>19512</v>
      </c>
    </row>
    <row r="3890" spans="1:12" ht="84" customHeight="1" x14ac:dyDescent="0.3">
      <c r="A3890" s="2">
        <v>3886</v>
      </c>
      <c r="B3890" s="66" t="s">
        <v>4420</v>
      </c>
      <c r="C3890" s="66" t="s">
        <v>4474</v>
      </c>
      <c r="D3890" s="11">
        <v>3960.08</v>
      </c>
      <c r="E3890" s="11">
        <v>3960.08</v>
      </c>
      <c r="F3890" s="3">
        <v>41457</v>
      </c>
      <c r="G3890" s="2" t="s">
        <v>14104</v>
      </c>
      <c r="H3890" s="3">
        <v>43053</v>
      </c>
      <c r="I3890" s="2" t="s">
        <v>19506</v>
      </c>
      <c r="J3890" s="2" t="s">
        <v>13904</v>
      </c>
      <c r="K3890" s="2" t="s">
        <v>19202</v>
      </c>
      <c r="L3890" s="82" t="s">
        <v>19512</v>
      </c>
    </row>
    <row r="3891" spans="1:12" ht="84" customHeight="1" x14ac:dyDescent="0.3">
      <c r="A3891" s="2">
        <v>3887</v>
      </c>
      <c r="B3891" s="66" t="s">
        <v>4475</v>
      </c>
      <c r="C3891" s="66" t="s">
        <v>3246</v>
      </c>
      <c r="D3891" s="11">
        <v>3900</v>
      </c>
      <c r="E3891" s="11">
        <v>3900</v>
      </c>
      <c r="F3891" s="3">
        <v>41978</v>
      </c>
      <c r="G3891" s="2" t="s">
        <v>14104</v>
      </c>
      <c r="H3891" s="3">
        <v>43053</v>
      </c>
      <c r="I3891" s="2" t="s">
        <v>19506</v>
      </c>
      <c r="J3891" s="2" t="s">
        <v>13904</v>
      </c>
      <c r="K3891" s="2" t="s">
        <v>19202</v>
      </c>
      <c r="L3891" s="82" t="s">
        <v>19512</v>
      </c>
    </row>
    <row r="3892" spans="1:12" ht="84" customHeight="1" x14ac:dyDescent="0.3">
      <c r="A3892" s="2">
        <v>3888</v>
      </c>
      <c r="B3892" s="66" t="s">
        <v>4476</v>
      </c>
      <c r="C3892" s="66" t="s">
        <v>3384</v>
      </c>
      <c r="D3892" s="11">
        <v>3900</v>
      </c>
      <c r="E3892" s="11">
        <v>3900</v>
      </c>
      <c r="F3892" s="3">
        <v>41978</v>
      </c>
      <c r="G3892" s="2" t="s">
        <v>14104</v>
      </c>
      <c r="H3892" s="3">
        <v>43053</v>
      </c>
      <c r="I3892" s="2" t="s">
        <v>19506</v>
      </c>
      <c r="J3892" s="2" t="s">
        <v>13904</v>
      </c>
      <c r="K3892" s="2" t="s">
        <v>19202</v>
      </c>
      <c r="L3892" s="82" t="s">
        <v>19512</v>
      </c>
    </row>
    <row r="3893" spans="1:12" ht="84" customHeight="1" x14ac:dyDescent="0.3">
      <c r="A3893" s="2">
        <v>3889</v>
      </c>
      <c r="B3893" s="66" t="s">
        <v>4477</v>
      </c>
      <c r="C3893" s="66" t="s">
        <v>3383</v>
      </c>
      <c r="D3893" s="11">
        <v>3900</v>
      </c>
      <c r="E3893" s="11">
        <v>3900</v>
      </c>
      <c r="F3893" s="3">
        <v>41978</v>
      </c>
      <c r="G3893" s="2" t="s">
        <v>14104</v>
      </c>
      <c r="H3893" s="3">
        <v>43053</v>
      </c>
      <c r="I3893" s="2" t="s">
        <v>19506</v>
      </c>
      <c r="J3893" s="2" t="s">
        <v>13904</v>
      </c>
      <c r="K3893" s="2" t="s">
        <v>19202</v>
      </c>
      <c r="L3893" s="82" t="s">
        <v>19512</v>
      </c>
    </row>
    <row r="3894" spans="1:12" ht="84" customHeight="1" x14ac:dyDescent="0.3">
      <c r="A3894" s="2">
        <v>3890</v>
      </c>
      <c r="B3894" s="66" t="s">
        <v>4478</v>
      </c>
      <c r="C3894" s="66" t="s">
        <v>3382</v>
      </c>
      <c r="D3894" s="11">
        <v>3900</v>
      </c>
      <c r="E3894" s="11">
        <v>3900</v>
      </c>
      <c r="F3894" s="3">
        <v>41978</v>
      </c>
      <c r="G3894" s="2" t="s">
        <v>14104</v>
      </c>
      <c r="H3894" s="3">
        <v>43053</v>
      </c>
      <c r="I3894" s="2" t="s">
        <v>19506</v>
      </c>
      <c r="J3894" s="2" t="s">
        <v>13904</v>
      </c>
      <c r="K3894" s="2" t="s">
        <v>19202</v>
      </c>
      <c r="L3894" s="82" t="s">
        <v>19512</v>
      </c>
    </row>
    <row r="3895" spans="1:12" ht="84" customHeight="1" x14ac:dyDescent="0.3">
      <c r="A3895" s="2">
        <v>3891</v>
      </c>
      <c r="B3895" s="66" t="s">
        <v>4479</v>
      </c>
      <c r="C3895" s="66" t="s">
        <v>3381</v>
      </c>
      <c r="D3895" s="11">
        <v>3900</v>
      </c>
      <c r="E3895" s="11">
        <v>3900</v>
      </c>
      <c r="F3895" s="3">
        <v>41978</v>
      </c>
      <c r="G3895" s="2" t="s">
        <v>14104</v>
      </c>
      <c r="H3895" s="3">
        <v>43053</v>
      </c>
      <c r="I3895" s="2" t="s">
        <v>19506</v>
      </c>
      <c r="J3895" s="2" t="s">
        <v>13904</v>
      </c>
      <c r="K3895" s="2" t="s">
        <v>19202</v>
      </c>
      <c r="L3895" s="82" t="s">
        <v>19512</v>
      </c>
    </row>
    <row r="3896" spans="1:12" ht="84" customHeight="1" x14ac:dyDescent="0.3">
      <c r="A3896" s="2">
        <v>3892</v>
      </c>
      <c r="B3896" s="66" t="s">
        <v>4480</v>
      </c>
      <c r="C3896" s="66" t="s">
        <v>3380</v>
      </c>
      <c r="D3896" s="11">
        <v>3900</v>
      </c>
      <c r="E3896" s="11">
        <v>3900</v>
      </c>
      <c r="F3896" s="3">
        <v>41978</v>
      </c>
      <c r="G3896" s="2" t="s">
        <v>14104</v>
      </c>
      <c r="H3896" s="3">
        <v>43053</v>
      </c>
      <c r="I3896" s="2" t="s">
        <v>19506</v>
      </c>
      <c r="J3896" s="2" t="s">
        <v>13904</v>
      </c>
      <c r="K3896" s="2" t="s">
        <v>19202</v>
      </c>
      <c r="L3896" s="82" t="s">
        <v>19512</v>
      </c>
    </row>
    <row r="3897" spans="1:12" ht="84" customHeight="1" x14ac:dyDescent="0.3">
      <c r="A3897" s="2">
        <v>3893</v>
      </c>
      <c r="B3897" s="66" t="s">
        <v>4481</v>
      </c>
      <c r="C3897" s="66" t="s">
        <v>4289</v>
      </c>
      <c r="D3897" s="11">
        <v>3900</v>
      </c>
      <c r="E3897" s="11">
        <v>3900</v>
      </c>
      <c r="F3897" s="3">
        <v>41978</v>
      </c>
      <c r="G3897" s="2" t="s">
        <v>14104</v>
      </c>
      <c r="H3897" s="3">
        <v>43053</v>
      </c>
      <c r="I3897" s="2" t="s">
        <v>19506</v>
      </c>
      <c r="J3897" s="2" t="s">
        <v>13904</v>
      </c>
      <c r="K3897" s="2" t="s">
        <v>19202</v>
      </c>
      <c r="L3897" s="82" t="s">
        <v>19512</v>
      </c>
    </row>
    <row r="3898" spans="1:12" ht="84" customHeight="1" x14ac:dyDescent="0.3">
      <c r="A3898" s="2">
        <v>3894</v>
      </c>
      <c r="B3898" s="66" t="s">
        <v>4482</v>
      </c>
      <c r="C3898" s="66" t="s">
        <v>4483</v>
      </c>
      <c r="D3898" s="11">
        <v>3900</v>
      </c>
      <c r="E3898" s="11">
        <v>3900</v>
      </c>
      <c r="F3898" s="3">
        <v>41978</v>
      </c>
      <c r="G3898" s="2" t="s">
        <v>14104</v>
      </c>
      <c r="H3898" s="3">
        <v>43053</v>
      </c>
      <c r="I3898" s="2" t="s">
        <v>19506</v>
      </c>
      <c r="J3898" s="2" t="s">
        <v>13904</v>
      </c>
      <c r="K3898" s="2" t="s">
        <v>19202</v>
      </c>
      <c r="L3898" s="82" t="s">
        <v>19512</v>
      </c>
    </row>
    <row r="3899" spans="1:12" ht="84" customHeight="1" x14ac:dyDescent="0.3">
      <c r="A3899" s="2">
        <v>3895</v>
      </c>
      <c r="B3899" s="66" t="s">
        <v>4484</v>
      </c>
      <c r="C3899" s="66" t="s">
        <v>4265</v>
      </c>
      <c r="D3899" s="11">
        <v>3900</v>
      </c>
      <c r="E3899" s="11">
        <v>3900</v>
      </c>
      <c r="F3899" s="3">
        <v>41978</v>
      </c>
      <c r="G3899" s="2" t="s">
        <v>14104</v>
      </c>
      <c r="H3899" s="3">
        <v>43053</v>
      </c>
      <c r="I3899" s="2" t="s">
        <v>19506</v>
      </c>
      <c r="J3899" s="2" t="s">
        <v>13904</v>
      </c>
      <c r="K3899" s="2" t="s">
        <v>19202</v>
      </c>
      <c r="L3899" s="82" t="s">
        <v>19512</v>
      </c>
    </row>
    <row r="3900" spans="1:12" ht="84" customHeight="1" x14ac:dyDescent="0.3">
      <c r="A3900" s="2">
        <v>3896</v>
      </c>
      <c r="B3900" s="66" t="s">
        <v>4485</v>
      </c>
      <c r="C3900" s="66" t="s">
        <v>4486</v>
      </c>
      <c r="D3900" s="11">
        <v>3900</v>
      </c>
      <c r="E3900" s="11">
        <v>3900</v>
      </c>
      <c r="F3900" s="3">
        <v>41978</v>
      </c>
      <c r="G3900" s="2" t="s">
        <v>14104</v>
      </c>
      <c r="H3900" s="3">
        <v>43053</v>
      </c>
      <c r="I3900" s="2" t="s">
        <v>19506</v>
      </c>
      <c r="J3900" s="2" t="s">
        <v>13904</v>
      </c>
      <c r="K3900" s="2" t="s">
        <v>19202</v>
      </c>
      <c r="L3900" s="82" t="s">
        <v>19512</v>
      </c>
    </row>
    <row r="3901" spans="1:12" ht="84" customHeight="1" x14ac:dyDescent="0.3">
      <c r="A3901" s="2">
        <v>3897</v>
      </c>
      <c r="B3901" s="66" t="s">
        <v>4487</v>
      </c>
      <c r="C3901" s="66" t="s">
        <v>4266</v>
      </c>
      <c r="D3901" s="11">
        <v>3900</v>
      </c>
      <c r="E3901" s="11">
        <v>3900</v>
      </c>
      <c r="F3901" s="3">
        <v>41978</v>
      </c>
      <c r="G3901" s="2" t="s">
        <v>14104</v>
      </c>
      <c r="H3901" s="3">
        <v>43053</v>
      </c>
      <c r="I3901" s="2" t="s">
        <v>19506</v>
      </c>
      <c r="J3901" s="2" t="s">
        <v>13904</v>
      </c>
      <c r="K3901" s="2" t="s">
        <v>19202</v>
      </c>
      <c r="L3901" s="82" t="s">
        <v>19512</v>
      </c>
    </row>
    <row r="3902" spans="1:12" ht="84" customHeight="1" x14ac:dyDescent="0.3">
      <c r="A3902" s="2">
        <v>3898</v>
      </c>
      <c r="B3902" s="66" t="s">
        <v>4488</v>
      </c>
      <c r="C3902" s="66" t="s">
        <v>4271</v>
      </c>
      <c r="D3902" s="11">
        <v>3900</v>
      </c>
      <c r="E3902" s="11">
        <v>3900</v>
      </c>
      <c r="F3902" s="3">
        <v>41978</v>
      </c>
      <c r="G3902" s="2" t="s">
        <v>14104</v>
      </c>
      <c r="H3902" s="3">
        <v>43053</v>
      </c>
      <c r="I3902" s="2" t="s">
        <v>19506</v>
      </c>
      <c r="J3902" s="2" t="s">
        <v>13904</v>
      </c>
      <c r="K3902" s="2" t="s">
        <v>19202</v>
      </c>
      <c r="L3902" s="82" t="s">
        <v>19512</v>
      </c>
    </row>
    <row r="3903" spans="1:12" ht="84" customHeight="1" x14ac:dyDescent="0.3">
      <c r="A3903" s="2">
        <v>3899</v>
      </c>
      <c r="B3903" s="66" t="s">
        <v>4489</v>
      </c>
      <c r="C3903" s="66" t="s">
        <v>3242</v>
      </c>
      <c r="D3903" s="11">
        <v>3500</v>
      </c>
      <c r="E3903" s="11">
        <v>3500</v>
      </c>
      <c r="F3903" s="3">
        <v>41898</v>
      </c>
      <c r="G3903" s="2" t="s">
        <v>14104</v>
      </c>
      <c r="H3903" s="3">
        <v>43053</v>
      </c>
      <c r="I3903" s="2" t="s">
        <v>19506</v>
      </c>
      <c r="J3903" s="2" t="s">
        <v>13904</v>
      </c>
      <c r="K3903" s="2" t="s">
        <v>19202</v>
      </c>
      <c r="L3903" s="82" t="s">
        <v>19512</v>
      </c>
    </row>
    <row r="3904" spans="1:12" ht="84" customHeight="1" x14ac:dyDescent="0.3">
      <c r="A3904" s="2">
        <v>3900</v>
      </c>
      <c r="B3904" s="66" t="s">
        <v>4490</v>
      </c>
      <c r="C3904" s="66" t="s">
        <v>3149</v>
      </c>
      <c r="D3904" s="11">
        <v>22800</v>
      </c>
      <c r="E3904" s="11">
        <v>22800</v>
      </c>
      <c r="F3904" s="3">
        <v>41898</v>
      </c>
      <c r="G3904" s="2" t="s">
        <v>14104</v>
      </c>
      <c r="H3904" s="3">
        <v>43053</v>
      </c>
      <c r="I3904" s="2" t="s">
        <v>19506</v>
      </c>
      <c r="J3904" s="2" t="s">
        <v>13904</v>
      </c>
      <c r="K3904" s="2" t="s">
        <v>19202</v>
      </c>
      <c r="L3904" s="82" t="s">
        <v>19512</v>
      </c>
    </row>
    <row r="3905" spans="1:12" ht="84" customHeight="1" x14ac:dyDescent="0.3">
      <c r="A3905" s="2">
        <v>3901</v>
      </c>
      <c r="B3905" s="66" t="s">
        <v>4491</v>
      </c>
      <c r="C3905" s="66" t="s">
        <v>3241</v>
      </c>
      <c r="D3905" s="11">
        <v>7210</v>
      </c>
      <c r="E3905" s="11">
        <v>7210</v>
      </c>
      <c r="F3905" s="3">
        <v>41898</v>
      </c>
      <c r="G3905" s="2" t="s">
        <v>14104</v>
      </c>
      <c r="H3905" s="3">
        <v>43053</v>
      </c>
      <c r="I3905" s="2" t="s">
        <v>19506</v>
      </c>
      <c r="J3905" s="2" t="s">
        <v>13904</v>
      </c>
      <c r="K3905" s="2" t="s">
        <v>19202</v>
      </c>
      <c r="L3905" s="82" t="s">
        <v>19512</v>
      </c>
    </row>
    <row r="3906" spans="1:12" ht="84" customHeight="1" x14ac:dyDescent="0.3">
      <c r="A3906" s="2">
        <v>3902</v>
      </c>
      <c r="B3906" s="66" t="s">
        <v>4492</v>
      </c>
      <c r="C3906" s="66" t="s">
        <v>3344</v>
      </c>
      <c r="D3906" s="11">
        <v>37959.25</v>
      </c>
      <c r="E3906" s="11">
        <v>37959.25</v>
      </c>
      <c r="F3906" s="3">
        <v>41981</v>
      </c>
      <c r="G3906" s="2" t="s">
        <v>14104</v>
      </c>
      <c r="H3906" s="3">
        <v>43053</v>
      </c>
      <c r="I3906" s="2" t="s">
        <v>19506</v>
      </c>
      <c r="J3906" s="2" t="s">
        <v>13904</v>
      </c>
      <c r="K3906" s="2" t="s">
        <v>19202</v>
      </c>
      <c r="L3906" s="82" t="s">
        <v>19512</v>
      </c>
    </row>
    <row r="3907" spans="1:12" ht="84" customHeight="1" x14ac:dyDescent="0.3">
      <c r="A3907" s="2">
        <v>3903</v>
      </c>
      <c r="B3907" s="66" t="s">
        <v>4493</v>
      </c>
      <c r="C3907" s="66" t="s">
        <v>4494</v>
      </c>
      <c r="D3907" s="11">
        <v>22039.25</v>
      </c>
      <c r="E3907" s="11">
        <v>22039.25</v>
      </c>
      <c r="F3907" s="3">
        <v>41981</v>
      </c>
      <c r="G3907" s="2" t="s">
        <v>14104</v>
      </c>
      <c r="H3907" s="3">
        <v>43053</v>
      </c>
      <c r="I3907" s="2" t="s">
        <v>19506</v>
      </c>
      <c r="J3907" s="2" t="s">
        <v>13904</v>
      </c>
      <c r="K3907" s="2" t="s">
        <v>19202</v>
      </c>
      <c r="L3907" s="82" t="s">
        <v>19512</v>
      </c>
    </row>
    <row r="3908" spans="1:12" ht="84" customHeight="1" x14ac:dyDescent="0.3">
      <c r="A3908" s="2">
        <v>3904</v>
      </c>
      <c r="B3908" s="66" t="s">
        <v>4495</v>
      </c>
      <c r="C3908" s="66" t="s">
        <v>4496</v>
      </c>
      <c r="D3908" s="11">
        <v>31889.75</v>
      </c>
      <c r="E3908" s="11">
        <v>31889.75</v>
      </c>
      <c r="F3908" s="3">
        <v>41981</v>
      </c>
      <c r="G3908" s="2" t="s">
        <v>14104</v>
      </c>
      <c r="H3908" s="3">
        <v>43053</v>
      </c>
      <c r="I3908" s="2" t="s">
        <v>19506</v>
      </c>
      <c r="J3908" s="2" t="s">
        <v>13904</v>
      </c>
      <c r="K3908" s="2" t="s">
        <v>19202</v>
      </c>
      <c r="L3908" s="82" t="s">
        <v>19512</v>
      </c>
    </row>
    <row r="3909" spans="1:12" ht="84" customHeight="1" x14ac:dyDescent="0.3">
      <c r="A3909" s="2">
        <v>3905</v>
      </c>
      <c r="B3909" s="66" t="s">
        <v>4497</v>
      </c>
      <c r="C3909" s="66" t="s">
        <v>3091</v>
      </c>
      <c r="D3909" s="11">
        <v>28208.25</v>
      </c>
      <c r="E3909" s="11">
        <v>28208.25</v>
      </c>
      <c r="F3909" s="3">
        <v>41981</v>
      </c>
      <c r="G3909" s="2" t="s">
        <v>14104</v>
      </c>
      <c r="H3909" s="3">
        <v>43053</v>
      </c>
      <c r="I3909" s="2" t="s">
        <v>19506</v>
      </c>
      <c r="J3909" s="2" t="s">
        <v>13904</v>
      </c>
      <c r="K3909" s="2" t="s">
        <v>19202</v>
      </c>
      <c r="L3909" s="82" t="s">
        <v>19512</v>
      </c>
    </row>
    <row r="3910" spans="1:12" ht="84" customHeight="1" x14ac:dyDescent="0.3">
      <c r="A3910" s="2">
        <v>3906</v>
      </c>
      <c r="B3910" s="66" t="s">
        <v>4314</v>
      </c>
      <c r="C3910" s="66" t="s">
        <v>4498</v>
      </c>
      <c r="D3910" s="11">
        <v>22437.25</v>
      </c>
      <c r="E3910" s="11">
        <v>22437.25</v>
      </c>
      <c r="F3910" s="3">
        <v>41981</v>
      </c>
      <c r="G3910" s="2" t="s">
        <v>14104</v>
      </c>
      <c r="H3910" s="3">
        <v>43053</v>
      </c>
      <c r="I3910" s="2" t="s">
        <v>19506</v>
      </c>
      <c r="J3910" s="2" t="s">
        <v>13904</v>
      </c>
      <c r="K3910" s="2" t="s">
        <v>19202</v>
      </c>
      <c r="L3910" s="82" t="s">
        <v>19512</v>
      </c>
    </row>
    <row r="3911" spans="1:12" ht="84" customHeight="1" x14ac:dyDescent="0.3">
      <c r="A3911" s="2">
        <v>3907</v>
      </c>
      <c r="B3911" s="66" t="s">
        <v>4290</v>
      </c>
      <c r="C3911" s="66" t="s">
        <v>4499</v>
      </c>
      <c r="D3911" s="11">
        <v>9462.89</v>
      </c>
      <c r="E3911" s="11">
        <v>9462.89</v>
      </c>
      <c r="F3911" s="3">
        <v>41613</v>
      </c>
      <c r="G3911" s="2" t="s">
        <v>14104</v>
      </c>
      <c r="H3911" s="3">
        <v>43053</v>
      </c>
      <c r="I3911" s="2" t="s">
        <v>19506</v>
      </c>
      <c r="J3911" s="2" t="s">
        <v>13904</v>
      </c>
      <c r="K3911" s="2" t="s">
        <v>19202</v>
      </c>
      <c r="L3911" s="82" t="s">
        <v>19512</v>
      </c>
    </row>
    <row r="3912" spans="1:12" ht="84" customHeight="1" x14ac:dyDescent="0.3">
      <c r="A3912" s="2">
        <v>3908</v>
      </c>
      <c r="B3912" s="66" t="s">
        <v>4290</v>
      </c>
      <c r="C3912" s="66" t="s">
        <v>4500</v>
      </c>
      <c r="D3912" s="11">
        <v>9462.89</v>
      </c>
      <c r="E3912" s="11">
        <v>9462.89</v>
      </c>
      <c r="F3912" s="3">
        <v>41613</v>
      </c>
      <c r="G3912" s="2" t="s">
        <v>14104</v>
      </c>
      <c r="H3912" s="3">
        <v>43053</v>
      </c>
      <c r="I3912" s="2" t="s">
        <v>19506</v>
      </c>
      <c r="J3912" s="2" t="s">
        <v>13904</v>
      </c>
      <c r="K3912" s="2" t="s">
        <v>19202</v>
      </c>
      <c r="L3912" s="82" t="s">
        <v>19512</v>
      </c>
    </row>
    <row r="3913" spans="1:12" ht="84" customHeight="1" x14ac:dyDescent="0.3">
      <c r="A3913" s="2">
        <v>3909</v>
      </c>
      <c r="B3913" s="66" t="s">
        <v>4501</v>
      </c>
      <c r="C3913" s="66" t="s">
        <v>4502</v>
      </c>
      <c r="D3913" s="11">
        <v>9462.89</v>
      </c>
      <c r="E3913" s="11">
        <v>9462.89</v>
      </c>
      <c r="F3913" s="3">
        <v>41613</v>
      </c>
      <c r="G3913" s="2" t="s">
        <v>14104</v>
      </c>
      <c r="H3913" s="3">
        <v>43053</v>
      </c>
      <c r="I3913" s="2" t="s">
        <v>19506</v>
      </c>
      <c r="J3913" s="2" t="s">
        <v>13904</v>
      </c>
      <c r="K3913" s="2" t="s">
        <v>19202</v>
      </c>
      <c r="L3913" s="82" t="s">
        <v>19512</v>
      </c>
    </row>
    <row r="3914" spans="1:12" ht="84" customHeight="1" x14ac:dyDescent="0.3">
      <c r="A3914" s="2">
        <v>3910</v>
      </c>
      <c r="B3914" s="66" t="s">
        <v>4501</v>
      </c>
      <c r="C3914" s="66" t="s">
        <v>4503</v>
      </c>
      <c r="D3914" s="11">
        <v>9462.89</v>
      </c>
      <c r="E3914" s="11">
        <v>9462.89</v>
      </c>
      <c r="F3914" s="3">
        <v>41613</v>
      </c>
      <c r="G3914" s="2" t="s">
        <v>14104</v>
      </c>
      <c r="H3914" s="3">
        <v>43053</v>
      </c>
      <c r="I3914" s="2" t="s">
        <v>19506</v>
      </c>
      <c r="J3914" s="2" t="s">
        <v>13904</v>
      </c>
      <c r="K3914" s="2" t="s">
        <v>19202</v>
      </c>
      <c r="L3914" s="82" t="s">
        <v>19512</v>
      </c>
    </row>
    <row r="3915" spans="1:12" ht="84" customHeight="1" x14ac:dyDescent="0.3">
      <c r="A3915" s="2">
        <v>3911</v>
      </c>
      <c r="B3915" s="66" t="s">
        <v>4501</v>
      </c>
      <c r="C3915" s="66" t="s">
        <v>4504</v>
      </c>
      <c r="D3915" s="11">
        <v>7303.97</v>
      </c>
      <c r="E3915" s="11">
        <v>7303.97</v>
      </c>
      <c r="F3915" s="3">
        <v>41613</v>
      </c>
      <c r="G3915" s="2" t="s">
        <v>14104</v>
      </c>
      <c r="H3915" s="3">
        <v>43053</v>
      </c>
      <c r="I3915" s="2" t="s">
        <v>19506</v>
      </c>
      <c r="J3915" s="2" t="s">
        <v>13904</v>
      </c>
      <c r="K3915" s="2" t="s">
        <v>19202</v>
      </c>
      <c r="L3915" s="82" t="s">
        <v>19512</v>
      </c>
    </row>
    <row r="3916" spans="1:12" ht="84" customHeight="1" x14ac:dyDescent="0.3">
      <c r="A3916" s="2">
        <v>3912</v>
      </c>
      <c r="B3916" s="66" t="s">
        <v>3510</v>
      </c>
      <c r="C3916" s="66" t="s">
        <v>4505</v>
      </c>
      <c r="D3916" s="11">
        <v>3909.17</v>
      </c>
      <c r="E3916" s="11">
        <v>3909.17</v>
      </c>
      <c r="F3916" s="3">
        <v>42691</v>
      </c>
      <c r="G3916" s="2" t="s">
        <v>14104</v>
      </c>
      <c r="H3916" s="3">
        <v>43053</v>
      </c>
      <c r="I3916" s="2" t="s">
        <v>19506</v>
      </c>
      <c r="J3916" s="2" t="s">
        <v>13904</v>
      </c>
      <c r="K3916" s="2" t="s">
        <v>19202</v>
      </c>
      <c r="L3916" s="82" t="s">
        <v>19512</v>
      </c>
    </row>
    <row r="3917" spans="1:12" ht="84" customHeight="1" x14ac:dyDescent="0.3">
      <c r="A3917" s="2">
        <v>3913</v>
      </c>
      <c r="B3917" s="66" t="s">
        <v>4506</v>
      </c>
      <c r="C3917" s="66" t="s">
        <v>4507</v>
      </c>
      <c r="D3917" s="11">
        <v>4319.9799999999996</v>
      </c>
      <c r="E3917" s="11">
        <v>4319.9799999999996</v>
      </c>
      <c r="F3917" s="3">
        <v>41115</v>
      </c>
      <c r="G3917" s="2" t="s">
        <v>14104</v>
      </c>
      <c r="H3917" s="3">
        <v>43053</v>
      </c>
      <c r="I3917" s="2" t="s">
        <v>19506</v>
      </c>
      <c r="J3917" s="2" t="s">
        <v>13904</v>
      </c>
      <c r="K3917" s="2" t="s">
        <v>19202</v>
      </c>
      <c r="L3917" s="82" t="s">
        <v>19512</v>
      </c>
    </row>
    <row r="3918" spans="1:12" ht="84" customHeight="1" x14ac:dyDescent="0.3">
      <c r="A3918" s="2">
        <v>3914</v>
      </c>
      <c r="B3918" s="66" t="s">
        <v>4508</v>
      </c>
      <c r="C3918" s="66" t="s">
        <v>4509</v>
      </c>
      <c r="D3918" s="11">
        <v>5000</v>
      </c>
      <c r="E3918" s="11">
        <v>5000</v>
      </c>
      <c r="F3918" s="3">
        <v>39435</v>
      </c>
      <c r="G3918" s="2" t="s">
        <v>14104</v>
      </c>
      <c r="H3918" s="3">
        <v>43053</v>
      </c>
      <c r="I3918" s="2" t="s">
        <v>19506</v>
      </c>
      <c r="J3918" s="2" t="s">
        <v>13904</v>
      </c>
      <c r="K3918" s="2" t="s">
        <v>19202</v>
      </c>
      <c r="L3918" s="82" t="s">
        <v>19512</v>
      </c>
    </row>
    <row r="3919" spans="1:12" ht="84" customHeight="1" x14ac:dyDescent="0.3">
      <c r="A3919" s="2">
        <v>3915</v>
      </c>
      <c r="B3919" s="66" t="s">
        <v>3741</v>
      </c>
      <c r="C3919" s="66" t="s">
        <v>3742</v>
      </c>
      <c r="D3919" s="11">
        <v>72</v>
      </c>
      <c r="E3919" s="11">
        <v>72</v>
      </c>
      <c r="F3919" s="3">
        <v>39447</v>
      </c>
      <c r="G3919" s="2" t="s">
        <v>14104</v>
      </c>
      <c r="H3919" s="3">
        <v>43053</v>
      </c>
      <c r="I3919" s="2" t="s">
        <v>19506</v>
      </c>
      <c r="J3919" s="2" t="s">
        <v>13904</v>
      </c>
      <c r="K3919" s="2" t="s">
        <v>19202</v>
      </c>
      <c r="L3919" s="82" t="s">
        <v>19512</v>
      </c>
    </row>
    <row r="3920" spans="1:12" ht="84" customHeight="1" x14ac:dyDescent="0.3">
      <c r="A3920" s="2">
        <v>3916</v>
      </c>
      <c r="B3920" s="66" t="s">
        <v>4510</v>
      </c>
      <c r="C3920" s="66" t="s">
        <v>4511</v>
      </c>
      <c r="D3920" s="11">
        <v>3205.82</v>
      </c>
      <c r="E3920" s="11">
        <v>3205.82</v>
      </c>
      <c r="F3920" s="3">
        <v>39423</v>
      </c>
      <c r="G3920" s="2" t="s">
        <v>14104</v>
      </c>
      <c r="H3920" s="3">
        <v>43053</v>
      </c>
      <c r="I3920" s="2" t="s">
        <v>19506</v>
      </c>
      <c r="J3920" s="2" t="s">
        <v>13904</v>
      </c>
      <c r="K3920" s="2" t="s">
        <v>19202</v>
      </c>
      <c r="L3920" s="82" t="s">
        <v>19512</v>
      </c>
    </row>
    <row r="3921" spans="1:15" ht="84" customHeight="1" x14ac:dyDescent="0.3">
      <c r="A3921" s="2">
        <v>3917</v>
      </c>
      <c r="B3921" s="66" t="s">
        <v>4512</v>
      </c>
      <c r="C3921" s="66" t="s">
        <v>3151</v>
      </c>
      <c r="D3921" s="11">
        <v>5400</v>
      </c>
      <c r="E3921" s="11">
        <v>5400</v>
      </c>
      <c r="F3921" s="3">
        <v>41879</v>
      </c>
      <c r="G3921" s="2" t="s">
        <v>14104</v>
      </c>
      <c r="H3921" s="3">
        <v>43053</v>
      </c>
      <c r="I3921" s="2" t="s">
        <v>19506</v>
      </c>
      <c r="J3921" s="2" t="s">
        <v>13904</v>
      </c>
      <c r="K3921" s="2" t="s">
        <v>19202</v>
      </c>
      <c r="L3921" s="82" t="s">
        <v>19512</v>
      </c>
    </row>
    <row r="3922" spans="1:15" ht="84" customHeight="1" x14ac:dyDescent="0.3">
      <c r="A3922" s="2">
        <v>3918</v>
      </c>
      <c r="B3922" s="66" t="s">
        <v>4513</v>
      </c>
      <c r="C3922" s="66" t="s">
        <v>4514</v>
      </c>
      <c r="D3922" s="11">
        <v>4300</v>
      </c>
      <c r="E3922" s="11">
        <v>4300</v>
      </c>
      <c r="F3922" s="3">
        <v>41879</v>
      </c>
      <c r="G3922" s="2" t="s">
        <v>14104</v>
      </c>
      <c r="H3922" s="3">
        <v>43053</v>
      </c>
      <c r="I3922" s="2" t="s">
        <v>19506</v>
      </c>
      <c r="J3922" s="2" t="s">
        <v>13904</v>
      </c>
      <c r="K3922" s="2" t="s">
        <v>19202</v>
      </c>
      <c r="L3922" s="82" t="s">
        <v>19512</v>
      </c>
    </row>
    <row r="3923" spans="1:15" ht="84" customHeight="1" x14ac:dyDescent="0.3">
      <c r="A3923" s="2">
        <v>3919</v>
      </c>
      <c r="B3923" s="66" t="s">
        <v>4515</v>
      </c>
      <c r="C3923" s="66" t="s">
        <v>3758</v>
      </c>
      <c r="D3923" s="11">
        <v>13750</v>
      </c>
      <c r="E3923" s="11">
        <v>13750</v>
      </c>
      <c r="F3923" s="3">
        <v>41969</v>
      </c>
      <c r="G3923" s="2" t="s">
        <v>14104</v>
      </c>
      <c r="H3923" s="3">
        <v>43053</v>
      </c>
      <c r="I3923" s="2" t="s">
        <v>19506</v>
      </c>
      <c r="J3923" s="2" t="s">
        <v>13904</v>
      </c>
      <c r="K3923" s="2" t="s">
        <v>19202</v>
      </c>
      <c r="L3923" s="82" t="s">
        <v>19512</v>
      </c>
    </row>
    <row r="3924" spans="1:15" ht="84" customHeight="1" x14ac:dyDescent="0.3">
      <c r="A3924" s="2">
        <v>3920</v>
      </c>
      <c r="B3924" s="66" t="s">
        <v>4516</v>
      </c>
      <c r="C3924" s="66" t="s">
        <v>3153</v>
      </c>
      <c r="D3924" s="11">
        <v>12000</v>
      </c>
      <c r="E3924" s="11">
        <v>12000</v>
      </c>
      <c r="F3924" s="3">
        <v>41969</v>
      </c>
      <c r="G3924" s="2" t="s">
        <v>14104</v>
      </c>
      <c r="H3924" s="3">
        <v>43053</v>
      </c>
      <c r="I3924" s="2" t="s">
        <v>19506</v>
      </c>
      <c r="J3924" s="2" t="s">
        <v>13904</v>
      </c>
      <c r="K3924" s="2" t="s">
        <v>19202</v>
      </c>
      <c r="L3924" s="82" t="s">
        <v>19512</v>
      </c>
    </row>
    <row r="3925" spans="1:15" ht="84" customHeight="1" x14ac:dyDescent="0.3">
      <c r="A3925" s="2">
        <v>3921</v>
      </c>
      <c r="B3925" s="66" t="s">
        <v>4162</v>
      </c>
      <c r="C3925" s="66" t="s">
        <v>3154</v>
      </c>
      <c r="D3925" s="11">
        <v>4200</v>
      </c>
      <c r="E3925" s="11">
        <v>4200</v>
      </c>
      <c r="F3925" s="3">
        <v>41969</v>
      </c>
      <c r="G3925" s="2" t="s">
        <v>14104</v>
      </c>
      <c r="H3925" s="3">
        <v>43053</v>
      </c>
      <c r="I3925" s="2" t="s">
        <v>19506</v>
      </c>
      <c r="J3925" s="2" t="s">
        <v>13904</v>
      </c>
      <c r="K3925" s="2" t="s">
        <v>19202</v>
      </c>
      <c r="L3925" s="82" t="s">
        <v>19512</v>
      </c>
    </row>
    <row r="3926" spans="1:15" ht="84" customHeight="1" x14ac:dyDescent="0.3">
      <c r="A3926" s="2">
        <v>3922</v>
      </c>
      <c r="B3926" s="66" t="s">
        <v>4517</v>
      </c>
      <c r="C3926" s="66" t="s">
        <v>3155</v>
      </c>
      <c r="D3926" s="11">
        <v>16650</v>
      </c>
      <c r="E3926" s="11">
        <v>16650</v>
      </c>
      <c r="F3926" s="3">
        <v>41969</v>
      </c>
      <c r="G3926" s="2" t="s">
        <v>14104</v>
      </c>
      <c r="H3926" s="3">
        <v>43053</v>
      </c>
      <c r="I3926" s="2" t="s">
        <v>19506</v>
      </c>
      <c r="J3926" s="2" t="s">
        <v>13904</v>
      </c>
      <c r="K3926" s="2" t="s">
        <v>19202</v>
      </c>
      <c r="L3926" s="82" t="s">
        <v>19512</v>
      </c>
    </row>
    <row r="3927" spans="1:15" ht="84" customHeight="1" x14ac:dyDescent="0.3">
      <c r="A3927" s="2">
        <v>3923</v>
      </c>
      <c r="B3927" s="66" t="s">
        <v>4518</v>
      </c>
      <c r="C3927" s="66" t="s">
        <v>3751</v>
      </c>
      <c r="D3927" s="11">
        <v>6250</v>
      </c>
      <c r="E3927" s="11">
        <v>6250</v>
      </c>
      <c r="F3927" s="3">
        <v>41969</v>
      </c>
      <c r="G3927" s="2" t="s">
        <v>14104</v>
      </c>
      <c r="H3927" s="3">
        <v>43053</v>
      </c>
      <c r="I3927" s="2" t="s">
        <v>19506</v>
      </c>
      <c r="J3927" s="2" t="s">
        <v>13904</v>
      </c>
      <c r="K3927" s="2" t="s">
        <v>19202</v>
      </c>
      <c r="L3927" s="82" t="s">
        <v>19512</v>
      </c>
    </row>
    <row r="3928" spans="1:15" ht="84" customHeight="1" x14ac:dyDescent="0.3">
      <c r="A3928" s="2">
        <v>3924</v>
      </c>
      <c r="B3928" s="66" t="s">
        <v>4519</v>
      </c>
      <c r="C3928" s="66" t="s">
        <v>3744</v>
      </c>
      <c r="D3928" s="11">
        <v>5200</v>
      </c>
      <c r="E3928" s="11">
        <v>5200</v>
      </c>
      <c r="F3928" s="3">
        <v>41969</v>
      </c>
      <c r="G3928" s="2" t="s">
        <v>14104</v>
      </c>
      <c r="H3928" s="3">
        <v>43053</v>
      </c>
      <c r="I3928" s="2" t="s">
        <v>19506</v>
      </c>
      <c r="J3928" s="2" t="s">
        <v>13904</v>
      </c>
      <c r="K3928" s="2" t="s">
        <v>19202</v>
      </c>
      <c r="L3928" s="82" t="s">
        <v>19512</v>
      </c>
    </row>
    <row r="3929" spans="1:15" ht="84" customHeight="1" x14ac:dyDescent="0.3">
      <c r="A3929" s="2">
        <v>3925</v>
      </c>
      <c r="B3929" s="66" t="s">
        <v>4520</v>
      </c>
      <c r="C3929" s="66" t="s">
        <v>3749</v>
      </c>
      <c r="D3929" s="11">
        <v>9400</v>
      </c>
      <c r="E3929" s="11">
        <v>9400</v>
      </c>
      <c r="F3929" s="3">
        <v>41969</v>
      </c>
      <c r="G3929" s="2" t="s">
        <v>14104</v>
      </c>
      <c r="H3929" s="3">
        <v>43053</v>
      </c>
      <c r="I3929" s="2" t="s">
        <v>19506</v>
      </c>
      <c r="J3929" s="2" t="s">
        <v>13904</v>
      </c>
      <c r="K3929" s="2" t="s">
        <v>19202</v>
      </c>
      <c r="L3929" s="82" t="s">
        <v>19512</v>
      </c>
    </row>
    <row r="3930" spans="1:15" ht="84" customHeight="1" x14ac:dyDescent="0.3">
      <c r="A3930" s="2">
        <v>3926</v>
      </c>
      <c r="B3930" s="66" t="s">
        <v>4521</v>
      </c>
      <c r="C3930" s="66" t="s">
        <v>3756</v>
      </c>
      <c r="D3930" s="11">
        <v>7050</v>
      </c>
      <c r="E3930" s="11">
        <v>7050</v>
      </c>
      <c r="F3930" s="3">
        <v>41969</v>
      </c>
      <c r="G3930" s="2" t="s">
        <v>14104</v>
      </c>
      <c r="H3930" s="3">
        <v>43053</v>
      </c>
      <c r="I3930" s="2" t="s">
        <v>19506</v>
      </c>
      <c r="J3930" s="2" t="s">
        <v>13904</v>
      </c>
      <c r="K3930" s="2" t="s">
        <v>19202</v>
      </c>
      <c r="L3930" s="82" t="s">
        <v>19512</v>
      </c>
    </row>
    <row r="3931" spans="1:15" ht="84" customHeight="1" x14ac:dyDescent="0.3">
      <c r="A3931" s="2">
        <v>3927</v>
      </c>
      <c r="B3931" s="66" t="s">
        <v>4522</v>
      </c>
      <c r="C3931" s="66" t="s">
        <v>4523</v>
      </c>
      <c r="D3931" s="11">
        <v>5000</v>
      </c>
      <c r="E3931" s="11">
        <v>5000</v>
      </c>
      <c r="F3931" s="3">
        <v>41983</v>
      </c>
      <c r="G3931" s="2" t="s">
        <v>14104</v>
      </c>
      <c r="H3931" s="3">
        <v>43053</v>
      </c>
      <c r="I3931" s="2" t="s">
        <v>19506</v>
      </c>
      <c r="J3931" s="2" t="s">
        <v>13904</v>
      </c>
      <c r="K3931" s="2" t="s">
        <v>19202</v>
      </c>
      <c r="L3931" s="82" t="s">
        <v>19512</v>
      </c>
    </row>
    <row r="3932" spans="1:15" s="19" customFormat="1" ht="96" customHeight="1" x14ac:dyDescent="0.3">
      <c r="A3932" s="2">
        <v>3928</v>
      </c>
      <c r="B3932" s="66" t="s">
        <v>4524</v>
      </c>
      <c r="C3932" s="66" t="s">
        <v>4525</v>
      </c>
      <c r="D3932" s="244">
        <v>730630.7</v>
      </c>
      <c r="E3932" s="11">
        <v>70904.02</v>
      </c>
      <c r="F3932" s="3">
        <v>41611</v>
      </c>
      <c r="G3932" s="2" t="s">
        <v>14104</v>
      </c>
      <c r="H3932" s="2"/>
      <c r="I3932" s="2"/>
      <c r="J3932" s="2" t="s">
        <v>13904</v>
      </c>
      <c r="K3932" s="2" t="s">
        <v>19228</v>
      </c>
      <c r="L3932" s="2" t="s">
        <v>18756</v>
      </c>
      <c r="M3932" s="18"/>
      <c r="N3932" s="18"/>
      <c r="O3932" s="18"/>
    </row>
    <row r="3933" spans="1:15" ht="96" customHeight="1" x14ac:dyDescent="0.3">
      <c r="A3933" s="2">
        <v>3929</v>
      </c>
      <c r="B3933" s="66" t="s">
        <v>4526</v>
      </c>
      <c r="C3933" s="66" t="s">
        <v>4360</v>
      </c>
      <c r="D3933" s="244">
        <v>361461.55</v>
      </c>
      <c r="E3933" s="11">
        <v>361461.55</v>
      </c>
      <c r="F3933" s="3">
        <v>39363</v>
      </c>
      <c r="G3933" s="2" t="s">
        <v>14104</v>
      </c>
      <c r="H3933" s="2"/>
      <c r="I3933" s="2"/>
      <c r="J3933" s="2" t="s">
        <v>13904</v>
      </c>
      <c r="K3933" s="2" t="s">
        <v>19228</v>
      </c>
      <c r="L3933" s="82" t="s">
        <v>18756</v>
      </c>
    </row>
    <row r="3934" spans="1:15" ht="96" customHeight="1" x14ac:dyDescent="0.3">
      <c r="A3934" s="2">
        <v>3930</v>
      </c>
      <c r="B3934" s="66" t="s">
        <v>4527</v>
      </c>
      <c r="C3934" s="66" t="s">
        <v>4528</v>
      </c>
      <c r="D3934" s="244">
        <v>466475.87</v>
      </c>
      <c r="E3934" s="11">
        <v>466475.87</v>
      </c>
      <c r="F3934" s="3">
        <v>39076</v>
      </c>
      <c r="G3934" s="2" t="s">
        <v>14104</v>
      </c>
      <c r="H3934" s="2"/>
      <c r="I3934" s="2"/>
      <c r="J3934" s="2" t="s">
        <v>13904</v>
      </c>
      <c r="K3934" s="2" t="s">
        <v>19228</v>
      </c>
      <c r="L3934" s="82" t="s">
        <v>18756</v>
      </c>
    </row>
    <row r="3935" spans="1:15" ht="96" customHeight="1" x14ac:dyDescent="0.3">
      <c r="A3935" s="2">
        <v>3931</v>
      </c>
      <c r="B3935" s="66" t="s">
        <v>4529</v>
      </c>
      <c r="C3935" s="66" t="s">
        <v>3298</v>
      </c>
      <c r="D3935" s="244">
        <v>61407.59</v>
      </c>
      <c r="E3935" s="11">
        <v>51407.59</v>
      </c>
      <c r="F3935" s="3">
        <v>38701</v>
      </c>
      <c r="G3935" s="2" t="s">
        <v>14104</v>
      </c>
      <c r="H3935" s="2"/>
      <c r="I3935" s="2"/>
      <c r="J3935" s="2" t="s">
        <v>13904</v>
      </c>
      <c r="K3935" s="2" t="s">
        <v>19228</v>
      </c>
      <c r="L3935" s="82" t="s">
        <v>18756</v>
      </c>
    </row>
    <row r="3936" spans="1:15" ht="96" customHeight="1" x14ac:dyDescent="0.3">
      <c r="A3936" s="2">
        <v>3932</v>
      </c>
      <c r="B3936" s="66" t="s">
        <v>4530</v>
      </c>
      <c r="C3936" s="66" t="s">
        <v>3610</v>
      </c>
      <c r="D3936" s="244">
        <v>65452.99</v>
      </c>
      <c r="E3936" s="11">
        <v>65452.99</v>
      </c>
      <c r="F3936" s="3">
        <v>38701</v>
      </c>
      <c r="G3936" s="2" t="s">
        <v>14104</v>
      </c>
      <c r="H3936" s="2"/>
      <c r="I3936" s="2"/>
      <c r="J3936" s="2" t="s">
        <v>13904</v>
      </c>
      <c r="K3936" s="2" t="s">
        <v>19228</v>
      </c>
      <c r="L3936" s="82" t="s">
        <v>18756</v>
      </c>
    </row>
    <row r="3937" spans="1:12" ht="96" customHeight="1" x14ac:dyDescent="0.3">
      <c r="A3937" s="2">
        <v>3933</v>
      </c>
      <c r="B3937" s="66" t="s">
        <v>4531</v>
      </c>
      <c r="C3937" s="66" t="s">
        <v>3204</v>
      </c>
      <c r="D3937" s="244">
        <v>58850</v>
      </c>
      <c r="E3937" s="11">
        <v>58850</v>
      </c>
      <c r="F3937" s="3">
        <v>38673</v>
      </c>
      <c r="G3937" s="2" t="s">
        <v>14104</v>
      </c>
      <c r="H3937" s="2"/>
      <c r="I3937" s="2"/>
      <c r="J3937" s="2" t="s">
        <v>13904</v>
      </c>
      <c r="K3937" s="2" t="s">
        <v>19228</v>
      </c>
      <c r="L3937" s="82" t="s">
        <v>18756</v>
      </c>
    </row>
    <row r="3938" spans="1:12" ht="96" customHeight="1" x14ac:dyDescent="0.3">
      <c r="A3938" s="2">
        <v>3934</v>
      </c>
      <c r="B3938" s="66" t="s">
        <v>1062</v>
      </c>
      <c r="C3938" s="66" t="s">
        <v>4043</v>
      </c>
      <c r="D3938" s="244">
        <v>98556.800000000003</v>
      </c>
      <c r="E3938" s="11">
        <v>57491.39</v>
      </c>
      <c r="F3938" s="3">
        <v>42004</v>
      </c>
      <c r="G3938" s="2" t="s">
        <v>14104</v>
      </c>
      <c r="H3938" s="2"/>
      <c r="I3938" s="2"/>
      <c r="J3938" s="2" t="s">
        <v>13904</v>
      </c>
      <c r="K3938" s="2" t="s">
        <v>19228</v>
      </c>
      <c r="L3938" s="82" t="s">
        <v>18756</v>
      </c>
    </row>
    <row r="3939" spans="1:12" ht="96" customHeight="1" x14ac:dyDescent="0.3">
      <c r="A3939" s="2">
        <v>3935</v>
      </c>
      <c r="B3939" s="66" t="s">
        <v>4532</v>
      </c>
      <c r="C3939" s="66" t="s">
        <v>4533</v>
      </c>
      <c r="D3939" s="244">
        <v>50500</v>
      </c>
      <c r="E3939" s="11">
        <v>14729.05</v>
      </c>
      <c r="F3939" s="3">
        <v>41619</v>
      </c>
      <c r="G3939" s="2" t="s">
        <v>14104</v>
      </c>
      <c r="H3939" s="2"/>
      <c r="I3939" s="2"/>
      <c r="J3939" s="2" t="s">
        <v>13904</v>
      </c>
      <c r="K3939" s="2" t="s">
        <v>19228</v>
      </c>
      <c r="L3939" s="82" t="s">
        <v>18756</v>
      </c>
    </row>
    <row r="3940" spans="1:12" ht="96" customHeight="1" x14ac:dyDescent="0.3">
      <c r="A3940" s="2">
        <v>3936</v>
      </c>
      <c r="B3940" s="66" t="s">
        <v>4534</v>
      </c>
      <c r="C3940" s="66" t="s">
        <v>4535</v>
      </c>
      <c r="D3940" s="244">
        <v>62900</v>
      </c>
      <c r="E3940" s="11">
        <v>36691.550000000003</v>
      </c>
      <c r="F3940" s="3">
        <v>41619</v>
      </c>
      <c r="G3940" s="2" t="s">
        <v>14104</v>
      </c>
      <c r="H3940" s="2"/>
      <c r="I3940" s="2"/>
      <c r="J3940" s="2" t="s">
        <v>13904</v>
      </c>
      <c r="K3940" s="2" t="s">
        <v>19228</v>
      </c>
      <c r="L3940" s="82" t="s">
        <v>18756</v>
      </c>
    </row>
    <row r="3941" spans="1:12" ht="96" customHeight="1" x14ac:dyDescent="0.3">
      <c r="A3941" s="2">
        <v>3937</v>
      </c>
      <c r="B3941" s="66" t="s">
        <v>4536</v>
      </c>
      <c r="C3941" s="66" t="s">
        <v>4537</v>
      </c>
      <c r="D3941" s="244">
        <v>98300</v>
      </c>
      <c r="E3941" s="11">
        <v>37681.589999999997</v>
      </c>
      <c r="F3941" s="3">
        <v>41988</v>
      </c>
      <c r="G3941" s="2" t="s">
        <v>14104</v>
      </c>
      <c r="H3941" s="2"/>
      <c r="I3941" s="2"/>
      <c r="J3941" s="2" t="s">
        <v>13904</v>
      </c>
      <c r="K3941" s="2" t="s">
        <v>19228</v>
      </c>
      <c r="L3941" s="82" t="s">
        <v>18756</v>
      </c>
    </row>
    <row r="3942" spans="1:12" ht="96" customHeight="1" x14ac:dyDescent="0.3">
      <c r="A3942" s="2">
        <v>3938</v>
      </c>
      <c r="B3942" s="66" t="s">
        <v>18771</v>
      </c>
      <c r="C3942" s="66">
        <v>4101240001</v>
      </c>
      <c r="D3942" s="244">
        <v>200000</v>
      </c>
      <c r="E3942" s="11">
        <v>0</v>
      </c>
      <c r="F3942" s="3">
        <v>42955</v>
      </c>
      <c r="G3942" s="2" t="s">
        <v>14104</v>
      </c>
      <c r="H3942" s="3"/>
      <c r="I3942" s="2"/>
      <c r="J3942" s="2" t="s">
        <v>13904</v>
      </c>
      <c r="K3942" s="2" t="s">
        <v>19228</v>
      </c>
      <c r="L3942" s="82" t="s">
        <v>20501</v>
      </c>
    </row>
    <row r="3943" spans="1:12" ht="96" customHeight="1" x14ac:dyDescent="0.3">
      <c r="A3943" s="2">
        <v>3939</v>
      </c>
      <c r="B3943" s="66" t="s">
        <v>23235</v>
      </c>
      <c r="C3943" s="66">
        <v>4101240002</v>
      </c>
      <c r="D3943" s="244">
        <v>59124.45</v>
      </c>
      <c r="E3943" s="11">
        <v>59124.45</v>
      </c>
      <c r="F3943" s="3">
        <v>43654</v>
      </c>
      <c r="G3943" s="2" t="s">
        <v>23236</v>
      </c>
      <c r="H3943" s="3"/>
      <c r="I3943" s="2"/>
      <c r="J3943" s="2" t="s">
        <v>13904</v>
      </c>
      <c r="K3943" s="2" t="s">
        <v>23237</v>
      </c>
      <c r="L3943" s="246" t="s">
        <v>23238</v>
      </c>
    </row>
    <row r="3944" spans="1:12" ht="96" customHeight="1" x14ac:dyDescent="0.3">
      <c r="A3944" s="2">
        <v>3940</v>
      </c>
      <c r="B3944" s="66" t="s">
        <v>4539</v>
      </c>
      <c r="C3944" s="66" t="s">
        <v>4540</v>
      </c>
      <c r="D3944" s="244">
        <v>21075.040000000001</v>
      </c>
      <c r="E3944" s="11">
        <v>21075.040000000001</v>
      </c>
      <c r="F3944" s="3">
        <v>39595</v>
      </c>
      <c r="G3944" s="2" t="s">
        <v>14104</v>
      </c>
      <c r="H3944" s="3">
        <v>43053</v>
      </c>
      <c r="I3944" s="2" t="s">
        <v>19506</v>
      </c>
      <c r="J3944" s="2" t="s">
        <v>13904</v>
      </c>
      <c r="K3944" s="2" t="s">
        <v>19228</v>
      </c>
      <c r="L3944" s="82" t="s">
        <v>19512</v>
      </c>
    </row>
    <row r="3945" spans="1:12" ht="96" customHeight="1" x14ac:dyDescent="0.3">
      <c r="A3945" s="2">
        <v>3941</v>
      </c>
      <c r="B3945" s="66" t="s">
        <v>4541</v>
      </c>
      <c r="C3945" s="66" t="s">
        <v>4542</v>
      </c>
      <c r="D3945" s="244">
        <v>56620</v>
      </c>
      <c r="E3945" s="11">
        <v>33028.449999999997</v>
      </c>
      <c r="F3945" s="3">
        <v>41619</v>
      </c>
      <c r="G3945" s="2" t="s">
        <v>14104</v>
      </c>
      <c r="H3945" s="2"/>
      <c r="I3945" s="2"/>
      <c r="J3945" s="2" t="s">
        <v>13904</v>
      </c>
      <c r="K3945" s="2" t="s">
        <v>19228</v>
      </c>
      <c r="L3945" s="82" t="s">
        <v>18756</v>
      </c>
    </row>
    <row r="3946" spans="1:12" ht="96" customHeight="1" x14ac:dyDescent="0.3">
      <c r="A3946" s="2">
        <v>3942</v>
      </c>
      <c r="B3946" s="66" t="s">
        <v>4543</v>
      </c>
      <c r="C3946" s="66"/>
      <c r="D3946" s="244">
        <v>29097.45</v>
      </c>
      <c r="E3946" s="11">
        <v>29097.45</v>
      </c>
      <c r="F3946" s="3">
        <v>39616</v>
      </c>
      <c r="G3946" s="2" t="s">
        <v>14104</v>
      </c>
      <c r="H3946" s="3">
        <v>43053</v>
      </c>
      <c r="I3946" s="2" t="s">
        <v>19506</v>
      </c>
      <c r="J3946" s="2" t="s">
        <v>13904</v>
      </c>
      <c r="K3946" s="2" t="s">
        <v>19228</v>
      </c>
      <c r="L3946" s="82" t="s">
        <v>19512</v>
      </c>
    </row>
    <row r="3947" spans="1:12" ht="96" customHeight="1" x14ac:dyDescent="0.3">
      <c r="A3947" s="2">
        <v>3943</v>
      </c>
      <c r="B3947" s="66" t="s">
        <v>4544</v>
      </c>
      <c r="C3947" s="66"/>
      <c r="D3947" s="244">
        <v>26683.040000000001</v>
      </c>
      <c r="E3947" s="11">
        <v>26683.040000000001</v>
      </c>
      <c r="F3947" s="3">
        <v>40674</v>
      </c>
      <c r="G3947" s="2" t="s">
        <v>14104</v>
      </c>
      <c r="H3947" s="3">
        <v>43053</v>
      </c>
      <c r="I3947" s="2" t="s">
        <v>19506</v>
      </c>
      <c r="J3947" s="2" t="s">
        <v>13904</v>
      </c>
      <c r="K3947" s="2" t="s">
        <v>19228</v>
      </c>
      <c r="L3947" s="82" t="s">
        <v>19512</v>
      </c>
    </row>
    <row r="3948" spans="1:12" ht="96" customHeight="1" x14ac:dyDescent="0.3">
      <c r="A3948" s="2">
        <v>3944</v>
      </c>
      <c r="B3948" s="66" t="s">
        <v>4545</v>
      </c>
      <c r="C3948" s="66"/>
      <c r="D3948" s="244">
        <v>85989.65</v>
      </c>
      <c r="E3948" s="11">
        <v>85989.65</v>
      </c>
      <c r="F3948" s="3">
        <v>41898</v>
      </c>
      <c r="G3948" s="2" t="s">
        <v>14104</v>
      </c>
      <c r="H3948" s="3">
        <v>43053</v>
      </c>
      <c r="I3948" s="2" t="s">
        <v>19506</v>
      </c>
      <c r="J3948" s="2" t="s">
        <v>13904</v>
      </c>
      <c r="K3948" s="2" t="s">
        <v>19228</v>
      </c>
      <c r="L3948" s="82" t="s">
        <v>19512</v>
      </c>
    </row>
    <row r="3949" spans="1:12" ht="96" customHeight="1" x14ac:dyDescent="0.3">
      <c r="A3949" s="2">
        <v>3945</v>
      </c>
      <c r="B3949" s="66" t="s">
        <v>4546</v>
      </c>
      <c r="C3949" s="66"/>
      <c r="D3949" s="244">
        <v>6488.25</v>
      </c>
      <c r="E3949" s="11">
        <v>6488.25</v>
      </c>
      <c r="F3949" s="3">
        <v>39755</v>
      </c>
      <c r="G3949" s="2" t="s">
        <v>14104</v>
      </c>
      <c r="H3949" s="3">
        <v>43053</v>
      </c>
      <c r="I3949" s="2" t="s">
        <v>19506</v>
      </c>
      <c r="J3949" s="2" t="s">
        <v>13904</v>
      </c>
      <c r="K3949" s="2" t="s">
        <v>19228</v>
      </c>
      <c r="L3949" s="82" t="s">
        <v>19512</v>
      </c>
    </row>
    <row r="3950" spans="1:12" ht="96" customHeight="1" x14ac:dyDescent="0.3">
      <c r="A3950" s="2">
        <v>3946</v>
      </c>
      <c r="B3950" s="66" t="s">
        <v>4547</v>
      </c>
      <c r="C3950" s="66"/>
      <c r="D3950" s="244">
        <v>16068.19</v>
      </c>
      <c r="E3950" s="11">
        <v>16068.19</v>
      </c>
      <c r="F3950" s="3">
        <v>40459</v>
      </c>
      <c r="G3950" s="2" t="s">
        <v>14104</v>
      </c>
      <c r="H3950" s="3">
        <v>43053</v>
      </c>
      <c r="I3950" s="2" t="s">
        <v>19506</v>
      </c>
      <c r="J3950" s="2" t="s">
        <v>13904</v>
      </c>
      <c r="K3950" s="2" t="s">
        <v>19228</v>
      </c>
      <c r="L3950" s="82" t="s">
        <v>19512</v>
      </c>
    </row>
    <row r="3951" spans="1:12" ht="96" customHeight="1" x14ac:dyDescent="0.3">
      <c r="A3951" s="2">
        <v>3947</v>
      </c>
      <c r="B3951" s="66" t="s">
        <v>4548</v>
      </c>
      <c r="C3951" s="66"/>
      <c r="D3951" s="244">
        <v>19549.830000000002</v>
      </c>
      <c r="E3951" s="11">
        <v>19549.830000000002</v>
      </c>
      <c r="F3951" s="3">
        <v>40877</v>
      </c>
      <c r="G3951" s="2" t="s">
        <v>14104</v>
      </c>
      <c r="H3951" s="3">
        <v>43053</v>
      </c>
      <c r="I3951" s="2" t="s">
        <v>19506</v>
      </c>
      <c r="J3951" s="2" t="s">
        <v>13904</v>
      </c>
      <c r="K3951" s="2" t="s">
        <v>19228</v>
      </c>
      <c r="L3951" s="82" t="s">
        <v>19512</v>
      </c>
    </row>
    <row r="3952" spans="1:12" ht="96" customHeight="1" x14ac:dyDescent="0.3">
      <c r="A3952" s="2">
        <v>3948</v>
      </c>
      <c r="B3952" s="66" t="s">
        <v>4549</v>
      </c>
      <c r="C3952" s="66"/>
      <c r="D3952" s="244">
        <v>2587</v>
      </c>
      <c r="E3952" s="11">
        <v>287.44</v>
      </c>
      <c r="F3952" s="3">
        <v>42187</v>
      </c>
      <c r="G3952" s="2" t="s">
        <v>14104</v>
      </c>
      <c r="H3952" s="3">
        <v>43053</v>
      </c>
      <c r="I3952" s="2" t="s">
        <v>19506</v>
      </c>
      <c r="J3952" s="2" t="s">
        <v>13904</v>
      </c>
      <c r="K3952" s="2" t="s">
        <v>19228</v>
      </c>
      <c r="L3952" s="82" t="s">
        <v>19512</v>
      </c>
    </row>
    <row r="3953" spans="1:12" ht="96" customHeight="1" x14ac:dyDescent="0.3">
      <c r="A3953" s="2">
        <v>3949</v>
      </c>
      <c r="B3953" s="66" t="s">
        <v>4550</v>
      </c>
      <c r="C3953" s="66"/>
      <c r="D3953" s="244">
        <v>51700.76</v>
      </c>
      <c r="E3953" s="11">
        <v>51700.76</v>
      </c>
      <c r="F3953" s="3">
        <v>42186</v>
      </c>
      <c r="G3953" s="2" t="s">
        <v>14104</v>
      </c>
      <c r="H3953" s="3">
        <v>43053</v>
      </c>
      <c r="I3953" s="2" t="s">
        <v>19506</v>
      </c>
      <c r="J3953" s="2" t="s">
        <v>13904</v>
      </c>
      <c r="K3953" s="2" t="s">
        <v>19228</v>
      </c>
      <c r="L3953" s="82" t="s">
        <v>19512</v>
      </c>
    </row>
    <row r="3954" spans="1:12" ht="96" customHeight="1" x14ac:dyDescent="0.3">
      <c r="A3954" s="2">
        <v>3950</v>
      </c>
      <c r="B3954" s="66" t="s">
        <v>4551</v>
      </c>
      <c r="C3954" s="66"/>
      <c r="D3954" s="244">
        <v>37590.49</v>
      </c>
      <c r="E3954" s="11">
        <v>37590.49</v>
      </c>
      <c r="F3954" s="3">
        <v>41180</v>
      </c>
      <c r="G3954" s="2" t="s">
        <v>14104</v>
      </c>
      <c r="H3954" s="3">
        <v>43053</v>
      </c>
      <c r="I3954" s="2" t="s">
        <v>19506</v>
      </c>
      <c r="J3954" s="2" t="s">
        <v>13904</v>
      </c>
      <c r="K3954" s="2" t="s">
        <v>19228</v>
      </c>
      <c r="L3954" s="82" t="s">
        <v>19512</v>
      </c>
    </row>
    <row r="3955" spans="1:12" ht="96" customHeight="1" x14ac:dyDescent="0.3">
      <c r="A3955" s="2">
        <v>3951</v>
      </c>
      <c r="B3955" s="66" t="s">
        <v>4552</v>
      </c>
      <c r="C3955" s="66"/>
      <c r="D3955" s="244">
        <v>56844.35</v>
      </c>
      <c r="E3955" s="11">
        <v>56844.35</v>
      </c>
      <c r="F3955" s="3">
        <v>41547</v>
      </c>
      <c r="G3955" s="2" t="s">
        <v>14104</v>
      </c>
      <c r="H3955" s="3">
        <v>43053</v>
      </c>
      <c r="I3955" s="2" t="s">
        <v>19506</v>
      </c>
      <c r="J3955" s="2" t="s">
        <v>13904</v>
      </c>
      <c r="K3955" s="2" t="s">
        <v>19228</v>
      </c>
      <c r="L3955" s="82" t="s">
        <v>19512</v>
      </c>
    </row>
    <row r="3956" spans="1:12" ht="96" customHeight="1" x14ac:dyDescent="0.3">
      <c r="A3956" s="2">
        <v>3952</v>
      </c>
      <c r="B3956" s="66" t="s">
        <v>4553</v>
      </c>
      <c r="C3956" s="66"/>
      <c r="D3956" s="244">
        <v>6480.68</v>
      </c>
      <c r="E3956" s="11">
        <v>6480.68</v>
      </c>
      <c r="F3956" s="3">
        <v>41243</v>
      </c>
      <c r="G3956" s="2" t="s">
        <v>14104</v>
      </c>
      <c r="H3956" s="3">
        <v>43053</v>
      </c>
      <c r="I3956" s="2" t="s">
        <v>19506</v>
      </c>
      <c r="J3956" s="2" t="s">
        <v>13904</v>
      </c>
      <c r="K3956" s="2" t="s">
        <v>19228</v>
      </c>
      <c r="L3956" s="82" t="s">
        <v>19512</v>
      </c>
    </row>
    <row r="3957" spans="1:12" ht="96" customHeight="1" x14ac:dyDescent="0.3">
      <c r="A3957" s="2">
        <v>3953</v>
      </c>
      <c r="B3957" s="66" t="s">
        <v>4554</v>
      </c>
      <c r="C3957" s="66" t="s">
        <v>4555</v>
      </c>
      <c r="D3957" s="244">
        <v>3980</v>
      </c>
      <c r="E3957" s="11">
        <v>3980</v>
      </c>
      <c r="F3957" s="3">
        <v>41365</v>
      </c>
      <c r="G3957" s="2" t="s">
        <v>14104</v>
      </c>
      <c r="H3957" s="3">
        <v>43053</v>
      </c>
      <c r="I3957" s="2" t="s">
        <v>19506</v>
      </c>
      <c r="J3957" s="2" t="s">
        <v>13904</v>
      </c>
      <c r="K3957" s="2" t="s">
        <v>19228</v>
      </c>
      <c r="L3957" s="82" t="s">
        <v>19512</v>
      </c>
    </row>
    <row r="3958" spans="1:12" ht="96" customHeight="1" x14ac:dyDescent="0.3">
      <c r="A3958" s="2">
        <v>3954</v>
      </c>
      <c r="B3958" s="66" t="s">
        <v>4556</v>
      </c>
      <c r="C3958" s="66" t="s">
        <v>4557</v>
      </c>
      <c r="D3958" s="244">
        <v>4545</v>
      </c>
      <c r="E3958" s="11">
        <v>4545</v>
      </c>
      <c r="F3958" s="3">
        <v>41736</v>
      </c>
      <c r="G3958" s="2" t="s">
        <v>14104</v>
      </c>
      <c r="H3958" s="3">
        <v>43053</v>
      </c>
      <c r="I3958" s="2" t="s">
        <v>19506</v>
      </c>
      <c r="J3958" s="2" t="s">
        <v>13904</v>
      </c>
      <c r="K3958" s="2" t="s">
        <v>19228</v>
      </c>
      <c r="L3958" s="82" t="s">
        <v>19512</v>
      </c>
    </row>
    <row r="3959" spans="1:12" ht="96" customHeight="1" x14ac:dyDescent="0.3">
      <c r="A3959" s="2">
        <v>3955</v>
      </c>
      <c r="B3959" s="66" t="s">
        <v>4558</v>
      </c>
      <c r="C3959" s="66" t="s">
        <v>4559</v>
      </c>
      <c r="D3959" s="244">
        <v>16300</v>
      </c>
      <c r="E3959" s="11">
        <v>16300</v>
      </c>
      <c r="F3959" s="3">
        <v>41145</v>
      </c>
      <c r="G3959" s="2" t="s">
        <v>14104</v>
      </c>
      <c r="H3959" s="3">
        <v>43053</v>
      </c>
      <c r="I3959" s="2" t="s">
        <v>19506</v>
      </c>
      <c r="J3959" s="2" t="s">
        <v>13904</v>
      </c>
      <c r="K3959" s="2" t="s">
        <v>19228</v>
      </c>
      <c r="L3959" s="82" t="s">
        <v>19512</v>
      </c>
    </row>
    <row r="3960" spans="1:12" ht="96" customHeight="1" x14ac:dyDescent="0.3">
      <c r="A3960" s="2">
        <v>3956</v>
      </c>
      <c r="B3960" s="66" t="s">
        <v>4560</v>
      </c>
      <c r="C3960" s="66" t="s">
        <v>4561</v>
      </c>
      <c r="D3960" s="244">
        <v>4600.01</v>
      </c>
      <c r="E3960" s="11">
        <v>4600.01</v>
      </c>
      <c r="F3960" s="3">
        <v>41145</v>
      </c>
      <c r="G3960" s="2" t="s">
        <v>14104</v>
      </c>
      <c r="H3960" s="3">
        <v>43053</v>
      </c>
      <c r="I3960" s="2" t="s">
        <v>19506</v>
      </c>
      <c r="J3960" s="2" t="s">
        <v>13904</v>
      </c>
      <c r="K3960" s="2" t="s">
        <v>19228</v>
      </c>
      <c r="L3960" s="82" t="s">
        <v>19512</v>
      </c>
    </row>
    <row r="3961" spans="1:12" ht="96" customHeight="1" x14ac:dyDescent="0.3">
      <c r="A3961" s="2">
        <v>3957</v>
      </c>
      <c r="B3961" s="66" t="s">
        <v>4562</v>
      </c>
      <c r="C3961" s="66" t="s">
        <v>4563</v>
      </c>
      <c r="D3961" s="244">
        <v>6666</v>
      </c>
      <c r="E3961" s="11">
        <v>6666</v>
      </c>
      <c r="F3961" s="3">
        <v>39436</v>
      </c>
      <c r="G3961" s="2" t="s">
        <v>14104</v>
      </c>
      <c r="H3961" s="3">
        <v>43053</v>
      </c>
      <c r="I3961" s="2" t="s">
        <v>19506</v>
      </c>
      <c r="J3961" s="2" t="s">
        <v>13904</v>
      </c>
      <c r="K3961" s="2" t="s">
        <v>19228</v>
      </c>
      <c r="L3961" s="82" t="s">
        <v>19512</v>
      </c>
    </row>
    <row r="3962" spans="1:12" ht="96" customHeight="1" x14ac:dyDescent="0.3">
      <c r="A3962" s="2">
        <v>3958</v>
      </c>
      <c r="B3962" s="66" t="s">
        <v>4564</v>
      </c>
      <c r="C3962" s="66" t="s">
        <v>4565</v>
      </c>
      <c r="D3962" s="244">
        <v>3700</v>
      </c>
      <c r="E3962" s="11">
        <v>3700</v>
      </c>
      <c r="F3962" s="3">
        <v>39076</v>
      </c>
      <c r="G3962" s="2" t="s">
        <v>14104</v>
      </c>
      <c r="H3962" s="3">
        <v>43053</v>
      </c>
      <c r="I3962" s="2" t="s">
        <v>19506</v>
      </c>
      <c r="J3962" s="2" t="s">
        <v>13904</v>
      </c>
      <c r="K3962" s="2" t="s">
        <v>19228</v>
      </c>
      <c r="L3962" s="82" t="s">
        <v>19512</v>
      </c>
    </row>
    <row r="3963" spans="1:12" ht="96" customHeight="1" x14ac:dyDescent="0.3">
      <c r="A3963" s="2">
        <v>3959</v>
      </c>
      <c r="B3963" s="66" t="s">
        <v>4566</v>
      </c>
      <c r="C3963" s="66" t="s">
        <v>4567</v>
      </c>
      <c r="D3963" s="244">
        <v>7734.84</v>
      </c>
      <c r="E3963" s="11">
        <v>7734.84</v>
      </c>
      <c r="F3963" s="3">
        <v>34377</v>
      </c>
      <c r="G3963" s="2" t="s">
        <v>14104</v>
      </c>
      <c r="H3963" s="3">
        <v>43053</v>
      </c>
      <c r="I3963" s="2" t="s">
        <v>19506</v>
      </c>
      <c r="J3963" s="2" t="s">
        <v>13904</v>
      </c>
      <c r="K3963" s="2" t="s">
        <v>19228</v>
      </c>
      <c r="L3963" s="82" t="s">
        <v>19512</v>
      </c>
    </row>
    <row r="3964" spans="1:12" ht="96" customHeight="1" x14ac:dyDescent="0.3">
      <c r="A3964" s="2">
        <v>3960</v>
      </c>
      <c r="B3964" s="66" t="s">
        <v>4568</v>
      </c>
      <c r="C3964" s="66" t="s">
        <v>4569</v>
      </c>
      <c r="D3964" s="244">
        <v>12734.7</v>
      </c>
      <c r="E3964" s="11">
        <v>12734.7</v>
      </c>
      <c r="F3964" s="3">
        <v>35107</v>
      </c>
      <c r="G3964" s="2" t="s">
        <v>14104</v>
      </c>
      <c r="H3964" s="3">
        <v>43053</v>
      </c>
      <c r="I3964" s="2" t="s">
        <v>19506</v>
      </c>
      <c r="J3964" s="2" t="s">
        <v>13904</v>
      </c>
      <c r="K3964" s="2" t="s">
        <v>19228</v>
      </c>
      <c r="L3964" s="82" t="s">
        <v>19512</v>
      </c>
    </row>
    <row r="3965" spans="1:12" ht="96" customHeight="1" x14ac:dyDescent="0.3">
      <c r="A3965" s="2">
        <v>3961</v>
      </c>
      <c r="B3965" s="66" t="s">
        <v>971</v>
      </c>
      <c r="C3965" s="66" t="s">
        <v>4570</v>
      </c>
      <c r="D3965" s="244">
        <v>6960</v>
      </c>
      <c r="E3965" s="11">
        <v>6960</v>
      </c>
      <c r="F3965" s="3">
        <v>39076</v>
      </c>
      <c r="G3965" s="2" t="s">
        <v>14104</v>
      </c>
      <c r="H3965" s="3">
        <v>43053</v>
      </c>
      <c r="I3965" s="2" t="s">
        <v>19506</v>
      </c>
      <c r="J3965" s="2" t="s">
        <v>13904</v>
      </c>
      <c r="K3965" s="2" t="s">
        <v>19228</v>
      </c>
      <c r="L3965" s="82" t="s">
        <v>19512</v>
      </c>
    </row>
    <row r="3966" spans="1:12" ht="96" customHeight="1" x14ac:dyDescent="0.3">
      <c r="A3966" s="2">
        <v>3962</v>
      </c>
      <c r="B3966" s="66" t="s">
        <v>4566</v>
      </c>
      <c r="C3966" s="66" t="s">
        <v>4571</v>
      </c>
      <c r="D3966" s="244">
        <v>7734.84</v>
      </c>
      <c r="E3966" s="11">
        <v>7734.84</v>
      </c>
      <c r="F3966" s="3">
        <v>34377</v>
      </c>
      <c r="G3966" s="2" t="s">
        <v>14104</v>
      </c>
      <c r="H3966" s="3">
        <v>43053</v>
      </c>
      <c r="I3966" s="2" t="s">
        <v>19506</v>
      </c>
      <c r="J3966" s="2" t="s">
        <v>13904</v>
      </c>
      <c r="K3966" s="2" t="s">
        <v>19228</v>
      </c>
      <c r="L3966" s="82" t="s">
        <v>19512</v>
      </c>
    </row>
    <row r="3967" spans="1:12" ht="96" customHeight="1" x14ac:dyDescent="0.3">
      <c r="A3967" s="2">
        <v>3963</v>
      </c>
      <c r="B3967" s="66" t="s">
        <v>4558</v>
      </c>
      <c r="C3967" s="66" t="s">
        <v>4572</v>
      </c>
      <c r="D3967" s="244">
        <v>16300</v>
      </c>
      <c r="E3967" s="11">
        <v>16300</v>
      </c>
      <c r="F3967" s="3">
        <v>41145</v>
      </c>
      <c r="G3967" s="2" t="s">
        <v>14104</v>
      </c>
      <c r="H3967" s="3">
        <v>43053</v>
      </c>
      <c r="I3967" s="2" t="s">
        <v>19506</v>
      </c>
      <c r="J3967" s="2" t="s">
        <v>13904</v>
      </c>
      <c r="K3967" s="2" t="s">
        <v>19228</v>
      </c>
      <c r="L3967" s="82" t="s">
        <v>19512</v>
      </c>
    </row>
    <row r="3968" spans="1:12" ht="96" customHeight="1" x14ac:dyDescent="0.3">
      <c r="A3968" s="2">
        <v>3964</v>
      </c>
      <c r="B3968" s="66" t="s">
        <v>4560</v>
      </c>
      <c r="C3968" s="66" t="s">
        <v>4573</v>
      </c>
      <c r="D3968" s="244">
        <v>4600.01</v>
      </c>
      <c r="E3968" s="11">
        <v>4600.01</v>
      </c>
      <c r="F3968" s="3">
        <v>41145</v>
      </c>
      <c r="G3968" s="2" t="s">
        <v>14104</v>
      </c>
      <c r="H3968" s="3">
        <v>43053</v>
      </c>
      <c r="I3968" s="2" t="s">
        <v>19506</v>
      </c>
      <c r="J3968" s="2" t="s">
        <v>13904</v>
      </c>
      <c r="K3968" s="2" t="s">
        <v>19228</v>
      </c>
      <c r="L3968" s="82" t="s">
        <v>19512</v>
      </c>
    </row>
    <row r="3969" spans="1:12" ht="96" customHeight="1" x14ac:dyDescent="0.3">
      <c r="A3969" s="2">
        <v>3965</v>
      </c>
      <c r="B3969" s="66" t="s">
        <v>4574</v>
      </c>
      <c r="C3969" s="66" t="s">
        <v>4575</v>
      </c>
      <c r="D3969" s="244">
        <v>4128</v>
      </c>
      <c r="E3969" s="11">
        <v>4128</v>
      </c>
      <c r="F3969" s="3">
        <v>36568</v>
      </c>
      <c r="G3969" s="2" t="s">
        <v>14104</v>
      </c>
      <c r="H3969" s="3">
        <v>43053</v>
      </c>
      <c r="I3969" s="2" t="s">
        <v>19506</v>
      </c>
      <c r="J3969" s="2" t="s">
        <v>13904</v>
      </c>
      <c r="K3969" s="2" t="s">
        <v>19228</v>
      </c>
      <c r="L3969" s="82" t="s">
        <v>19512</v>
      </c>
    </row>
    <row r="3970" spans="1:12" ht="96" customHeight="1" x14ac:dyDescent="0.3">
      <c r="A3970" s="2">
        <v>3966</v>
      </c>
      <c r="B3970" s="66" t="s">
        <v>4576</v>
      </c>
      <c r="C3970" s="66" t="s">
        <v>4577</v>
      </c>
      <c r="D3970" s="244">
        <v>6626.4</v>
      </c>
      <c r="E3970" s="11">
        <v>6626.4</v>
      </c>
      <c r="F3970" s="3">
        <v>35838</v>
      </c>
      <c r="G3970" s="2" t="s">
        <v>14104</v>
      </c>
      <c r="H3970" s="3">
        <v>43053</v>
      </c>
      <c r="I3970" s="2" t="s">
        <v>19506</v>
      </c>
      <c r="J3970" s="2" t="s">
        <v>13904</v>
      </c>
      <c r="K3970" s="2" t="s">
        <v>19228</v>
      </c>
      <c r="L3970" s="82" t="s">
        <v>19512</v>
      </c>
    </row>
    <row r="3971" spans="1:12" ht="96" customHeight="1" x14ac:dyDescent="0.3">
      <c r="A3971" s="2">
        <v>3967</v>
      </c>
      <c r="B3971" s="66" t="s">
        <v>971</v>
      </c>
      <c r="C3971" s="66" t="s">
        <v>4578</v>
      </c>
      <c r="D3971" s="244">
        <v>5022.99</v>
      </c>
      <c r="E3971" s="11">
        <v>5022.99</v>
      </c>
      <c r="F3971" s="3">
        <v>34377</v>
      </c>
      <c r="G3971" s="2" t="s">
        <v>14104</v>
      </c>
      <c r="H3971" s="3">
        <v>43053</v>
      </c>
      <c r="I3971" s="2" t="s">
        <v>19506</v>
      </c>
      <c r="J3971" s="2" t="s">
        <v>13904</v>
      </c>
      <c r="K3971" s="2" t="s">
        <v>19228</v>
      </c>
      <c r="L3971" s="82" t="s">
        <v>19512</v>
      </c>
    </row>
    <row r="3972" spans="1:12" ht="96" customHeight="1" x14ac:dyDescent="0.3">
      <c r="A3972" s="2">
        <v>3968</v>
      </c>
      <c r="B3972" s="66" t="s">
        <v>4579</v>
      </c>
      <c r="C3972" s="66" t="s">
        <v>3955</v>
      </c>
      <c r="D3972" s="244">
        <v>7773.12</v>
      </c>
      <c r="E3972" s="11">
        <v>7773.12</v>
      </c>
      <c r="F3972" s="3">
        <v>34377</v>
      </c>
      <c r="G3972" s="2" t="s">
        <v>14104</v>
      </c>
      <c r="H3972" s="3">
        <v>43053</v>
      </c>
      <c r="I3972" s="2" t="s">
        <v>19506</v>
      </c>
      <c r="J3972" s="2" t="s">
        <v>13904</v>
      </c>
      <c r="K3972" s="2" t="s">
        <v>19228</v>
      </c>
      <c r="L3972" s="82" t="s">
        <v>19512</v>
      </c>
    </row>
    <row r="3973" spans="1:12" ht="96" customHeight="1" x14ac:dyDescent="0.3">
      <c r="A3973" s="2">
        <v>3969</v>
      </c>
      <c r="B3973" s="66" t="s">
        <v>4580</v>
      </c>
      <c r="C3973" s="66" t="s">
        <v>4581</v>
      </c>
      <c r="D3973" s="244">
        <v>7269.12</v>
      </c>
      <c r="E3973" s="11">
        <v>7269.12</v>
      </c>
      <c r="F3973" s="3">
        <v>34377</v>
      </c>
      <c r="G3973" s="2" t="s">
        <v>14104</v>
      </c>
      <c r="H3973" s="3">
        <v>43053</v>
      </c>
      <c r="I3973" s="2" t="s">
        <v>19506</v>
      </c>
      <c r="J3973" s="2" t="s">
        <v>13904</v>
      </c>
      <c r="K3973" s="2" t="s">
        <v>19228</v>
      </c>
      <c r="L3973" s="82" t="s">
        <v>19512</v>
      </c>
    </row>
    <row r="3974" spans="1:12" ht="96" customHeight="1" x14ac:dyDescent="0.3">
      <c r="A3974" s="2">
        <v>3970</v>
      </c>
      <c r="B3974" s="66" t="s">
        <v>4582</v>
      </c>
      <c r="C3974" s="66" t="s">
        <v>3456</v>
      </c>
      <c r="D3974" s="244">
        <v>6008.31</v>
      </c>
      <c r="E3974" s="11">
        <v>6008.31</v>
      </c>
      <c r="F3974" s="3">
        <v>34377</v>
      </c>
      <c r="G3974" s="2" t="s">
        <v>14104</v>
      </c>
      <c r="H3974" s="3">
        <v>43053</v>
      </c>
      <c r="I3974" s="2" t="s">
        <v>19506</v>
      </c>
      <c r="J3974" s="2" t="s">
        <v>13904</v>
      </c>
      <c r="K3974" s="2" t="s">
        <v>19228</v>
      </c>
      <c r="L3974" s="82" t="s">
        <v>19512</v>
      </c>
    </row>
    <row r="3975" spans="1:12" ht="96" customHeight="1" x14ac:dyDescent="0.3">
      <c r="A3975" s="2">
        <v>3971</v>
      </c>
      <c r="B3975" s="66" t="s">
        <v>4583</v>
      </c>
      <c r="C3975" s="66" t="s">
        <v>3956</v>
      </c>
      <c r="D3975" s="244">
        <v>5111.05</v>
      </c>
      <c r="E3975" s="11">
        <v>5111.05</v>
      </c>
      <c r="F3975" s="3">
        <v>34377</v>
      </c>
      <c r="G3975" s="2" t="s">
        <v>14104</v>
      </c>
      <c r="H3975" s="3">
        <v>43053</v>
      </c>
      <c r="I3975" s="2" t="s">
        <v>19506</v>
      </c>
      <c r="J3975" s="2" t="s">
        <v>13904</v>
      </c>
      <c r="K3975" s="2" t="s">
        <v>19228</v>
      </c>
      <c r="L3975" s="82" t="s">
        <v>19512</v>
      </c>
    </row>
    <row r="3976" spans="1:12" ht="96" customHeight="1" x14ac:dyDescent="0.3">
      <c r="A3976" s="2">
        <v>3972</v>
      </c>
      <c r="B3976" s="66" t="s">
        <v>4584</v>
      </c>
      <c r="C3976" s="66" t="s">
        <v>4585</v>
      </c>
      <c r="D3976" s="244">
        <v>6451.6</v>
      </c>
      <c r="E3976" s="11">
        <v>6451.6</v>
      </c>
      <c r="F3976" s="3">
        <v>34377</v>
      </c>
      <c r="G3976" s="2" t="s">
        <v>14104</v>
      </c>
      <c r="H3976" s="3">
        <v>43053</v>
      </c>
      <c r="I3976" s="2" t="s">
        <v>19506</v>
      </c>
      <c r="J3976" s="2" t="s">
        <v>13904</v>
      </c>
      <c r="K3976" s="2" t="s">
        <v>19228</v>
      </c>
      <c r="L3976" s="82" t="s">
        <v>19512</v>
      </c>
    </row>
    <row r="3977" spans="1:12" ht="96" customHeight="1" x14ac:dyDescent="0.3">
      <c r="A3977" s="2">
        <v>3973</v>
      </c>
      <c r="B3977" s="66" t="s">
        <v>4586</v>
      </c>
      <c r="C3977" s="66" t="s">
        <v>4587</v>
      </c>
      <c r="D3977" s="244">
        <v>6959.52</v>
      </c>
      <c r="E3977" s="11">
        <v>6959.52</v>
      </c>
      <c r="F3977" s="3">
        <v>34377</v>
      </c>
      <c r="G3977" s="2" t="s">
        <v>14104</v>
      </c>
      <c r="H3977" s="3">
        <v>43053</v>
      </c>
      <c r="I3977" s="2" t="s">
        <v>19506</v>
      </c>
      <c r="J3977" s="2" t="s">
        <v>13904</v>
      </c>
      <c r="K3977" s="2" t="s">
        <v>19228</v>
      </c>
      <c r="L3977" s="82" t="s">
        <v>19512</v>
      </c>
    </row>
    <row r="3978" spans="1:12" ht="96" customHeight="1" x14ac:dyDescent="0.3">
      <c r="A3978" s="2">
        <v>3974</v>
      </c>
      <c r="B3978" s="66" t="s">
        <v>4580</v>
      </c>
      <c r="C3978" s="66" t="s">
        <v>4588</v>
      </c>
      <c r="D3978" s="244">
        <v>7269.12</v>
      </c>
      <c r="E3978" s="11">
        <v>7269.12</v>
      </c>
      <c r="F3978" s="3">
        <v>34377</v>
      </c>
      <c r="G3978" s="2" t="s">
        <v>14104</v>
      </c>
      <c r="H3978" s="3">
        <v>43053</v>
      </c>
      <c r="I3978" s="2" t="s">
        <v>19506</v>
      </c>
      <c r="J3978" s="2" t="s">
        <v>13904</v>
      </c>
      <c r="K3978" s="2" t="s">
        <v>19228</v>
      </c>
      <c r="L3978" s="82" t="s">
        <v>19512</v>
      </c>
    </row>
    <row r="3979" spans="1:12" ht="96" customHeight="1" x14ac:dyDescent="0.3">
      <c r="A3979" s="2">
        <v>3975</v>
      </c>
      <c r="B3979" s="66" t="s">
        <v>4580</v>
      </c>
      <c r="C3979" s="66" t="s">
        <v>4589</v>
      </c>
      <c r="D3979" s="244">
        <v>7269.12</v>
      </c>
      <c r="E3979" s="11">
        <v>7269.12</v>
      </c>
      <c r="F3979" s="3">
        <v>34377</v>
      </c>
      <c r="G3979" s="2" t="s">
        <v>14104</v>
      </c>
      <c r="H3979" s="3">
        <v>43053</v>
      </c>
      <c r="I3979" s="2" t="s">
        <v>19506</v>
      </c>
      <c r="J3979" s="2" t="s">
        <v>13904</v>
      </c>
      <c r="K3979" s="2" t="s">
        <v>19228</v>
      </c>
      <c r="L3979" s="82" t="s">
        <v>19512</v>
      </c>
    </row>
    <row r="3980" spans="1:12" ht="96" customHeight="1" x14ac:dyDescent="0.3">
      <c r="A3980" s="2">
        <v>3976</v>
      </c>
      <c r="B3980" s="66" t="s">
        <v>4558</v>
      </c>
      <c r="C3980" s="66" t="s">
        <v>4590</v>
      </c>
      <c r="D3980" s="244">
        <v>16300</v>
      </c>
      <c r="E3980" s="11">
        <v>16300</v>
      </c>
      <c r="F3980" s="3">
        <v>41145</v>
      </c>
      <c r="G3980" s="2" t="s">
        <v>14104</v>
      </c>
      <c r="H3980" s="3">
        <v>43053</v>
      </c>
      <c r="I3980" s="2" t="s">
        <v>19506</v>
      </c>
      <c r="J3980" s="2" t="s">
        <v>13904</v>
      </c>
      <c r="K3980" s="2" t="s">
        <v>19228</v>
      </c>
      <c r="L3980" s="82" t="s">
        <v>19512</v>
      </c>
    </row>
    <row r="3981" spans="1:12" ht="96" customHeight="1" x14ac:dyDescent="0.3">
      <c r="A3981" s="2">
        <v>3977</v>
      </c>
      <c r="B3981" s="66" t="s">
        <v>4560</v>
      </c>
      <c r="C3981" s="66" t="s">
        <v>4591</v>
      </c>
      <c r="D3981" s="244">
        <v>4600</v>
      </c>
      <c r="E3981" s="11">
        <v>4600</v>
      </c>
      <c r="F3981" s="3">
        <v>41145</v>
      </c>
      <c r="G3981" s="2" t="s">
        <v>14104</v>
      </c>
      <c r="H3981" s="3">
        <v>43053</v>
      </c>
      <c r="I3981" s="2" t="s">
        <v>19506</v>
      </c>
      <c r="J3981" s="2" t="s">
        <v>13904</v>
      </c>
      <c r="K3981" s="2" t="s">
        <v>19228</v>
      </c>
      <c r="L3981" s="82" t="s">
        <v>19512</v>
      </c>
    </row>
    <row r="3982" spans="1:12" ht="96" customHeight="1" x14ac:dyDescent="0.3">
      <c r="A3982" s="2">
        <v>3978</v>
      </c>
      <c r="B3982" s="66" t="s">
        <v>4592</v>
      </c>
      <c r="C3982" s="66" t="s">
        <v>3606</v>
      </c>
      <c r="D3982" s="244">
        <v>25497.32</v>
      </c>
      <c r="E3982" s="11">
        <v>25497.32</v>
      </c>
      <c r="F3982" s="3">
        <v>38701</v>
      </c>
      <c r="G3982" s="2" t="s">
        <v>14104</v>
      </c>
      <c r="H3982" s="3">
        <v>43053</v>
      </c>
      <c r="I3982" s="2" t="s">
        <v>19506</v>
      </c>
      <c r="J3982" s="2" t="s">
        <v>13904</v>
      </c>
      <c r="K3982" s="2" t="s">
        <v>19228</v>
      </c>
      <c r="L3982" s="82" t="s">
        <v>19512</v>
      </c>
    </row>
    <row r="3983" spans="1:12" ht="96" customHeight="1" x14ac:dyDescent="0.3">
      <c r="A3983" s="2">
        <v>3979</v>
      </c>
      <c r="B3983" s="66" t="s">
        <v>4593</v>
      </c>
      <c r="C3983" s="66" t="s">
        <v>4594</v>
      </c>
      <c r="D3983" s="244">
        <v>4999</v>
      </c>
      <c r="E3983" s="11">
        <v>4999</v>
      </c>
      <c r="F3983" s="3">
        <v>39630</v>
      </c>
      <c r="G3983" s="2" t="s">
        <v>14104</v>
      </c>
      <c r="H3983" s="3">
        <v>43053</v>
      </c>
      <c r="I3983" s="2" t="s">
        <v>19506</v>
      </c>
      <c r="J3983" s="2" t="s">
        <v>13904</v>
      </c>
      <c r="K3983" s="2" t="s">
        <v>19228</v>
      </c>
      <c r="L3983" s="82" t="s">
        <v>19512</v>
      </c>
    </row>
    <row r="3984" spans="1:12" ht="96" customHeight="1" x14ac:dyDescent="0.3">
      <c r="A3984" s="2">
        <v>3980</v>
      </c>
      <c r="B3984" s="66" t="s">
        <v>4595</v>
      </c>
      <c r="C3984" s="66" t="s">
        <v>3688</v>
      </c>
      <c r="D3984" s="244">
        <v>33389.46</v>
      </c>
      <c r="E3984" s="11">
        <v>33389.46</v>
      </c>
      <c r="F3984" s="3">
        <v>39057</v>
      </c>
      <c r="G3984" s="2" t="s">
        <v>14104</v>
      </c>
      <c r="H3984" s="3">
        <v>43053</v>
      </c>
      <c r="I3984" s="2" t="s">
        <v>19506</v>
      </c>
      <c r="J3984" s="2" t="s">
        <v>13904</v>
      </c>
      <c r="K3984" s="2" t="s">
        <v>19228</v>
      </c>
      <c r="L3984" s="82" t="s">
        <v>19512</v>
      </c>
    </row>
    <row r="3985" spans="1:12" ht="96" customHeight="1" x14ac:dyDescent="0.3">
      <c r="A3985" s="2">
        <v>3981</v>
      </c>
      <c r="B3985" s="66" t="s">
        <v>4595</v>
      </c>
      <c r="C3985" s="66" t="s">
        <v>3889</v>
      </c>
      <c r="D3985" s="244">
        <v>31553.77</v>
      </c>
      <c r="E3985" s="11">
        <v>31553.77</v>
      </c>
      <c r="F3985" s="3">
        <v>39057</v>
      </c>
      <c r="G3985" s="2" t="s">
        <v>14104</v>
      </c>
      <c r="H3985" s="3">
        <v>43053</v>
      </c>
      <c r="I3985" s="2" t="s">
        <v>19506</v>
      </c>
      <c r="J3985" s="2" t="s">
        <v>13904</v>
      </c>
      <c r="K3985" s="2" t="s">
        <v>19228</v>
      </c>
      <c r="L3985" s="82" t="s">
        <v>19512</v>
      </c>
    </row>
    <row r="3986" spans="1:12" ht="96" customHeight="1" x14ac:dyDescent="0.3">
      <c r="A3986" s="2">
        <v>3982</v>
      </c>
      <c r="B3986" s="66" t="s">
        <v>217</v>
      </c>
      <c r="C3986" s="66" t="s">
        <v>3130</v>
      </c>
      <c r="D3986" s="244">
        <v>9675</v>
      </c>
      <c r="E3986" s="11">
        <v>9675</v>
      </c>
      <c r="F3986" s="3">
        <v>34377</v>
      </c>
      <c r="G3986" s="2" t="s">
        <v>14104</v>
      </c>
      <c r="H3986" s="3">
        <v>43053</v>
      </c>
      <c r="I3986" s="2" t="s">
        <v>19506</v>
      </c>
      <c r="J3986" s="2" t="s">
        <v>13904</v>
      </c>
      <c r="K3986" s="2" t="s">
        <v>19228</v>
      </c>
      <c r="L3986" s="82" t="s">
        <v>19512</v>
      </c>
    </row>
    <row r="3987" spans="1:12" ht="96" customHeight="1" x14ac:dyDescent="0.3">
      <c r="A3987" s="2">
        <v>3983</v>
      </c>
      <c r="B3987" s="66" t="s">
        <v>4057</v>
      </c>
      <c r="C3987" s="66" t="s">
        <v>3608</v>
      </c>
      <c r="D3987" s="244">
        <v>8274.06</v>
      </c>
      <c r="E3987" s="11">
        <v>8274.06</v>
      </c>
      <c r="F3987" s="3">
        <v>36566</v>
      </c>
      <c r="G3987" s="2" t="s">
        <v>14104</v>
      </c>
      <c r="H3987" s="3">
        <v>43053</v>
      </c>
      <c r="I3987" s="2" t="s">
        <v>19506</v>
      </c>
      <c r="J3987" s="2" t="s">
        <v>13904</v>
      </c>
      <c r="K3987" s="2" t="s">
        <v>19228</v>
      </c>
      <c r="L3987" s="82" t="s">
        <v>19512</v>
      </c>
    </row>
    <row r="3988" spans="1:12" ht="96" customHeight="1" x14ac:dyDescent="0.3">
      <c r="A3988" s="2">
        <v>3984</v>
      </c>
      <c r="B3988" s="66" t="s">
        <v>216</v>
      </c>
      <c r="C3988" s="66" t="s">
        <v>4004</v>
      </c>
      <c r="D3988" s="244">
        <v>11737.9</v>
      </c>
      <c r="E3988" s="11">
        <v>11737.9</v>
      </c>
      <c r="F3988" s="3">
        <v>38701</v>
      </c>
      <c r="G3988" s="2" t="s">
        <v>14104</v>
      </c>
      <c r="H3988" s="3">
        <v>43053</v>
      </c>
      <c r="I3988" s="2" t="s">
        <v>19506</v>
      </c>
      <c r="J3988" s="2" t="s">
        <v>13904</v>
      </c>
      <c r="K3988" s="2" t="s">
        <v>19228</v>
      </c>
      <c r="L3988" s="82" t="s">
        <v>19512</v>
      </c>
    </row>
    <row r="3989" spans="1:12" ht="96" customHeight="1" x14ac:dyDescent="0.3">
      <c r="A3989" s="2">
        <v>3985</v>
      </c>
      <c r="B3989" s="66" t="s">
        <v>224</v>
      </c>
      <c r="C3989" s="66" t="s">
        <v>4596</v>
      </c>
      <c r="D3989" s="244">
        <v>5847.6</v>
      </c>
      <c r="E3989" s="11">
        <v>5847.6</v>
      </c>
      <c r="F3989" s="3">
        <v>36566</v>
      </c>
      <c r="G3989" s="2" t="s">
        <v>14104</v>
      </c>
      <c r="H3989" s="3">
        <v>43053</v>
      </c>
      <c r="I3989" s="2" t="s">
        <v>19506</v>
      </c>
      <c r="J3989" s="2" t="s">
        <v>13904</v>
      </c>
      <c r="K3989" s="2" t="s">
        <v>19228</v>
      </c>
      <c r="L3989" s="82" t="s">
        <v>19512</v>
      </c>
    </row>
    <row r="3990" spans="1:12" ht="96" customHeight="1" x14ac:dyDescent="0.3">
      <c r="A3990" s="2">
        <v>3986</v>
      </c>
      <c r="B3990" s="66" t="s">
        <v>4597</v>
      </c>
      <c r="C3990" s="66" t="s">
        <v>4598</v>
      </c>
      <c r="D3990" s="244">
        <v>7650</v>
      </c>
      <c r="E3990" s="11">
        <v>7650</v>
      </c>
      <c r="F3990" s="3">
        <v>41145</v>
      </c>
      <c r="G3990" s="2" t="s">
        <v>14104</v>
      </c>
      <c r="H3990" s="3">
        <v>43053</v>
      </c>
      <c r="I3990" s="2" t="s">
        <v>19506</v>
      </c>
      <c r="J3990" s="2" t="s">
        <v>13904</v>
      </c>
      <c r="K3990" s="2" t="s">
        <v>19228</v>
      </c>
      <c r="L3990" s="82" t="s">
        <v>19512</v>
      </c>
    </row>
    <row r="3991" spans="1:12" ht="96" customHeight="1" x14ac:dyDescent="0.3">
      <c r="A3991" s="2">
        <v>3987</v>
      </c>
      <c r="B3991" s="66" t="s">
        <v>4599</v>
      </c>
      <c r="C3991" s="66" t="s">
        <v>4600</v>
      </c>
      <c r="D3991" s="244">
        <v>11684</v>
      </c>
      <c r="E3991" s="11">
        <v>11684</v>
      </c>
      <c r="F3991" s="3">
        <v>35107</v>
      </c>
      <c r="G3991" s="2" t="s">
        <v>14104</v>
      </c>
      <c r="H3991" s="3">
        <v>43053</v>
      </c>
      <c r="I3991" s="2" t="s">
        <v>19506</v>
      </c>
      <c r="J3991" s="2" t="s">
        <v>13904</v>
      </c>
      <c r="K3991" s="2" t="s">
        <v>19228</v>
      </c>
      <c r="L3991" s="82" t="s">
        <v>19512</v>
      </c>
    </row>
    <row r="3992" spans="1:12" ht="96" customHeight="1" x14ac:dyDescent="0.3">
      <c r="A3992" s="2">
        <v>3988</v>
      </c>
      <c r="B3992" s="66" t="s">
        <v>1124</v>
      </c>
      <c r="C3992" s="66" t="s">
        <v>4601</v>
      </c>
      <c r="D3992" s="244">
        <v>12064.59</v>
      </c>
      <c r="E3992" s="11">
        <v>12064.59</v>
      </c>
      <c r="F3992" s="3">
        <v>38701</v>
      </c>
      <c r="G3992" s="2" t="s">
        <v>14104</v>
      </c>
      <c r="H3992" s="3">
        <v>43053</v>
      </c>
      <c r="I3992" s="2" t="s">
        <v>19506</v>
      </c>
      <c r="J3992" s="2" t="s">
        <v>13904</v>
      </c>
      <c r="K3992" s="2" t="s">
        <v>19228</v>
      </c>
      <c r="L3992" s="82" t="s">
        <v>19512</v>
      </c>
    </row>
    <row r="3993" spans="1:12" ht="96" customHeight="1" x14ac:dyDescent="0.3">
      <c r="A3993" s="2">
        <v>3989</v>
      </c>
      <c r="B3993" s="66" t="s">
        <v>4602</v>
      </c>
      <c r="C3993" s="66" t="s">
        <v>4603</v>
      </c>
      <c r="D3993" s="244">
        <v>27797</v>
      </c>
      <c r="E3993" s="11">
        <v>27797</v>
      </c>
      <c r="F3993" s="3">
        <v>37246</v>
      </c>
      <c r="G3993" s="2" t="s">
        <v>14104</v>
      </c>
      <c r="H3993" s="3">
        <v>43053</v>
      </c>
      <c r="I3993" s="2" t="s">
        <v>19506</v>
      </c>
      <c r="J3993" s="2" t="s">
        <v>13904</v>
      </c>
      <c r="K3993" s="2" t="s">
        <v>19228</v>
      </c>
      <c r="L3993" s="82" t="s">
        <v>19512</v>
      </c>
    </row>
    <row r="3994" spans="1:12" ht="96" customHeight="1" x14ac:dyDescent="0.3">
      <c r="A3994" s="2">
        <v>3990</v>
      </c>
      <c r="B3994" s="66" t="s">
        <v>3101</v>
      </c>
      <c r="C3994" s="66" t="s">
        <v>3199</v>
      </c>
      <c r="D3994" s="244">
        <v>19046</v>
      </c>
      <c r="E3994" s="11">
        <v>19046</v>
      </c>
      <c r="F3994" s="3">
        <v>38701</v>
      </c>
      <c r="G3994" s="2" t="s">
        <v>14104</v>
      </c>
      <c r="H3994" s="3">
        <v>43053</v>
      </c>
      <c r="I3994" s="2" t="s">
        <v>19506</v>
      </c>
      <c r="J3994" s="2" t="s">
        <v>13904</v>
      </c>
      <c r="K3994" s="2" t="s">
        <v>19228</v>
      </c>
      <c r="L3994" s="82" t="s">
        <v>19512</v>
      </c>
    </row>
    <row r="3995" spans="1:12" ht="96" customHeight="1" x14ac:dyDescent="0.3">
      <c r="A3995" s="2">
        <v>3991</v>
      </c>
      <c r="B3995" s="66" t="s">
        <v>4604</v>
      </c>
      <c r="C3995" s="66" t="s">
        <v>3601</v>
      </c>
      <c r="D3995" s="244">
        <v>33507</v>
      </c>
      <c r="E3995" s="11">
        <v>33507</v>
      </c>
      <c r="F3995" s="3">
        <v>39065</v>
      </c>
      <c r="G3995" s="2" t="s">
        <v>14104</v>
      </c>
      <c r="H3995" s="3">
        <v>43053</v>
      </c>
      <c r="I3995" s="2" t="s">
        <v>19506</v>
      </c>
      <c r="J3995" s="2" t="s">
        <v>13904</v>
      </c>
      <c r="K3995" s="2" t="s">
        <v>19228</v>
      </c>
      <c r="L3995" s="82" t="s">
        <v>19512</v>
      </c>
    </row>
    <row r="3996" spans="1:12" ht="96" customHeight="1" x14ac:dyDescent="0.3">
      <c r="A3996" s="2">
        <v>3992</v>
      </c>
      <c r="B3996" s="66" t="s">
        <v>4605</v>
      </c>
      <c r="C3996" s="66" t="s">
        <v>4606</v>
      </c>
      <c r="D3996" s="244">
        <v>11106.6</v>
      </c>
      <c r="E3996" s="11">
        <v>11106.6</v>
      </c>
      <c r="F3996" s="3">
        <v>39335</v>
      </c>
      <c r="G3996" s="2" t="s">
        <v>14104</v>
      </c>
      <c r="H3996" s="3">
        <v>43053</v>
      </c>
      <c r="I3996" s="2" t="s">
        <v>19506</v>
      </c>
      <c r="J3996" s="2" t="s">
        <v>13904</v>
      </c>
      <c r="K3996" s="2" t="s">
        <v>19228</v>
      </c>
      <c r="L3996" s="82" t="s">
        <v>19512</v>
      </c>
    </row>
    <row r="3997" spans="1:12" ht="96" customHeight="1" x14ac:dyDescent="0.3">
      <c r="A3997" s="2">
        <v>3993</v>
      </c>
      <c r="B3997" s="66" t="s">
        <v>4607</v>
      </c>
      <c r="C3997" s="66" t="s">
        <v>4608</v>
      </c>
      <c r="D3997" s="244">
        <v>10500</v>
      </c>
      <c r="E3997" s="11">
        <v>10500</v>
      </c>
      <c r="F3997" s="3">
        <v>40352</v>
      </c>
      <c r="G3997" s="2" t="s">
        <v>14104</v>
      </c>
      <c r="H3997" s="3">
        <v>43053</v>
      </c>
      <c r="I3997" s="2" t="s">
        <v>19506</v>
      </c>
      <c r="J3997" s="2" t="s">
        <v>13904</v>
      </c>
      <c r="K3997" s="2" t="s">
        <v>19228</v>
      </c>
      <c r="L3997" s="82" t="s">
        <v>19512</v>
      </c>
    </row>
    <row r="3998" spans="1:12" ht="96" customHeight="1" x14ac:dyDescent="0.3">
      <c r="A3998" s="2">
        <v>3994</v>
      </c>
      <c r="B3998" s="66" t="s">
        <v>4609</v>
      </c>
      <c r="C3998" s="66" t="s">
        <v>4610</v>
      </c>
      <c r="D3998" s="244">
        <v>33300</v>
      </c>
      <c r="E3998" s="11">
        <v>33300</v>
      </c>
      <c r="F3998" s="3">
        <v>41619</v>
      </c>
      <c r="G3998" s="2" t="s">
        <v>14104</v>
      </c>
      <c r="H3998" s="3">
        <v>43053</v>
      </c>
      <c r="I3998" s="2" t="s">
        <v>19506</v>
      </c>
      <c r="J3998" s="2" t="s">
        <v>13904</v>
      </c>
      <c r="K3998" s="2" t="s">
        <v>19228</v>
      </c>
      <c r="L3998" s="82" t="s">
        <v>19512</v>
      </c>
    </row>
    <row r="3999" spans="1:12" ht="96" customHeight="1" x14ac:dyDescent="0.3">
      <c r="A3999" s="2">
        <v>3995</v>
      </c>
      <c r="B3999" s="66" t="s">
        <v>4611</v>
      </c>
      <c r="C3999" s="66" t="s">
        <v>3207</v>
      </c>
      <c r="D3999" s="244">
        <v>7600</v>
      </c>
      <c r="E3999" s="11">
        <v>7600</v>
      </c>
      <c r="F3999" s="3" t="s">
        <v>11172</v>
      </c>
      <c r="G3999" s="2" t="s">
        <v>14104</v>
      </c>
      <c r="H3999" s="3">
        <v>43053</v>
      </c>
      <c r="I3999" s="2" t="s">
        <v>19506</v>
      </c>
      <c r="J3999" s="2" t="s">
        <v>13904</v>
      </c>
      <c r="K3999" s="2" t="s">
        <v>19228</v>
      </c>
      <c r="L3999" s="82" t="s">
        <v>19512</v>
      </c>
    </row>
    <row r="4000" spans="1:12" ht="96" customHeight="1" x14ac:dyDescent="0.3">
      <c r="A4000" s="2">
        <v>3996</v>
      </c>
      <c r="B4000" s="66" t="s">
        <v>4611</v>
      </c>
      <c r="C4000" s="66" t="s">
        <v>3686</v>
      </c>
      <c r="D4000" s="244">
        <v>7600</v>
      </c>
      <c r="E4000" s="11">
        <v>7600</v>
      </c>
      <c r="F4000" s="3">
        <v>41619</v>
      </c>
      <c r="G4000" s="2" t="s">
        <v>14104</v>
      </c>
      <c r="H4000" s="3">
        <v>43053</v>
      </c>
      <c r="I4000" s="2" t="s">
        <v>19506</v>
      </c>
      <c r="J4000" s="2" t="s">
        <v>13904</v>
      </c>
      <c r="K4000" s="2" t="s">
        <v>19228</v>
      </c>
      <c r="L4000" s="82" t="s">
        <v>19512</v>
      </c>
    </row>
    <row r="4001" spans="1:12" ht="96" customHeight="1" x14ac:dyDescent="0.3">
      <c r="A4001" s="2">
        <v>3997</v>
      </c>
      <c r="B4001" s="66" t="s">
        <v>4611</v>
      </c>
      <c r="C4001" s="66" t="s">
        <v>4612</v>
      </c>
      <c r="D4001" s="244">
        <v>7600</v>
      </c>
      <c r="E4001" s="11">
        <v>7600</v>
      </c>
      <c r="F4001" s="3">
        <v>41619</v>
      </c>
      <c r="G4001" s="2" t="s">
        <v>14104</v>
      </c>
      <c r="H4001" s="3">
        <v>43053</v>
      </c>
      <c r="I4001" s="2" t="s">
        <v>19506</v>
      </c>
      <c r="J4001" s="2" t="s">
        <v>13904</v>
      </c>
      <c r="K4001" s="2" t="s">
        <v>19228</v>
      </c>
      <c r="L4001" s="82" t="s">
        <v>19512</v>
      </c>
    </row>
    <row r="4002" spans="1:12" ht="96" customHeight="1" x14ac:dyDescent="0.3">
      <c r="A4002" s="2">
        <v>3998</v>
      </c>
      <c r="B4002" s="66" t="s">
        <v>4611</v>
      </c>
      <c r="C4002" s="66" t="s">
        <v>4613</v>
      </c>
      <c r="D4002" s="244">
        <v>7600</v>
      </c>
      <c r="E4002" s="11">
        <v>7600</v>
      </c>
      <c r="F4002" s="3">
        <v>41619</v>
      </c>
      <c r="G4002" s="2" t="s">
        <v>14104</v>
      </c>
      <c r="H4002" s="3">
        <v>43053</v>
      </c>
      <c r="I4002" s="2" t="s">
        <v>19506</v>
      </c>
      <c r="J4002" s="2" t="s">
        <v>13904</v>
      </c>
      <c r="K4002" s="2" t="s">
        <v>19228</v>
      </c>
      <c r="L4002" s="82" t="s">
        <v>19512</v>
      </c>
    </row>
    <row r="4003" spans="1:12" ht="96" customHeight="1" x14ac:dyDescent="0.3">
      <c r="A4003" s="2">
        <v>3999</v>
      </c>
      <c r="B4003" s="66" t="s">
        <v>4614</v>
      </c>
      <c r="C4003" s="66" t="s">
        <v>4615</v>
      </c>
      <c r="D4003" s="244">
        <v>27700.43</v>
      </c>
      <c r="E4003" s="11">
        <v>27700.43</v>
      </c>
      <c r="F4003" s="3">
        <v>41619</v>
      </c>
      <c r="G4003" s="2" t="s">
        <v>14104</v>
      </c>
      <c r="H4003" s="3">
        <v>43053</v>
      </c>
      <c r="I4003" s="2" t="s">
        <v>19506</v>
      </c>
      <c r="J4003" s="2" t="s">
        <v>13904</v>
      </c>
      <c r="K4003" s="2" t="s">
        <v>19228</v>
      </c>
      <c r="L4003" s="82" t="s">
        <v>19512</v>
      </c>
    </row>
    <row r="4004" spans="1:12" ht="96" customHeight="1" x14ac:dyDescent="0.3">
      <c r="A4004" s="2">
        <v>4000</v>
      </c>
      <c r="B4004" s="66" t="s">
        <v>4616</v>
      </c>
      <c r="C4004" s="66" t="s">
        <v>4617</v>
      </c>
      <c r="D4004" s="244">
        <v>24203.14</v>
      </c>
      <c r="E4004" s="11">
        <v>24203.14</v>
      </c>
      <c r="F4004" s="3">
        <v>41619</v>
      </c>
      <c r="G4004" s="2" t="s">
        <v>14104</v>
      </c>
      <c r="H4004" s="3">
        <v>43053</v>
      </c>
      <c r="I4004" s="2" t="s">
        <v>19506</v>
      </c>
      <c r="J4004" s="2" t="s">
        <v>13904</v>
      </c>
      <c r="K4004" s="2" t="s">
        <v>19228</v>
      </c>
      <c r="L4004" s="82" t="s">
        <v>19512</v>
      </c>
    </row>
    <row r="4005" spans="1:12" ht="96" customHeight="1" x14ac:dyDescent="0.3">
      <c r="A4005" s="2">
        <v>4001</v>
      </c>
      <c r="B4005" s="66" t="s">
        <v>4616</v>
      </c>
      <c r="C4005" s="66" t="s">
        <v>4618</v>
      </c>
      <c r="D4005" s="244">
        <v>24203.14</v>
      </c>
      <c r="E4005" s="11">
        <v>24203.14</v>
      </c>
      <c r="F4005" s="3">
        <v>41619</v>
      </c>
      <c r="G4005" s="2" t="s">
        <v>14104</v>
      </c>
      <c r="H4005" s="3">
        <v>43053</v>
      </c>
      <c r="I4005" s="2" t="s">
        <v>19506</v>
      </c>
      <c r="J4005" s="2" t="s">
        <v>13904</v>
      </c>
      <c r="K4005" s="2" t="s">
        <v>19228</v>
      </c>
      <c r="L4005" s="82" t="s">
        <v>19512</v>
      </c>
    </row>
    <row r="4006" spans="1:12" ht="96" customHeight="1" x14ac:dyDescent="0.3">
      <c r="A4006" s="2">
        <v>4002</v>
      </c>
      <c r="B4006" s="66" t="s">
        <v>4616</v>
      </c>
      <c r="C4006" s="66" t="s">
        <v>4619</v>
      </c>
      <c r="D4006" s="244">
        <v>24203.14</v>
      </c>
      <c r="E4006" s="11">
        <v>24203.14</v>
      </c>
      <c r="F4006" s="3">
        <v>41619</v>
      </c>
      <c r="G4006" s="2" t="s">
        <v>14104</v>
      </c>
      <c r="H4006" s="3">
        <v>43053</v>
      </c>
      <c r="I4006" s="2" t="s">
        <v>19506</v>
      </c>
      <c r="J4006" s="2" t="s">
        <v>13904</v>
      </c>
      <c r="K4006" s="2" t="s">
        <v>19228</v>
      </c>
      <c r="L4006" s="82" t="s">
        <v>19512</v>
      </c>
    </row>
    <row r="4007" spans="1:12" ht="96" customHeight="1" x14ac:dyDescent="0.3">
      <c r="A4007" s="2">
        <v>4003</v>
      </c>
      <c r="B4007" s="66" t="s">
        <v>4616</v>
      </c>
      <c r="C4007" s="66" t="s">
        <v>4620</v>
      </c>
      <c r="D4007" s="244">
        <v>24203.14</v>
      </c>
      <c r="E4007" s="11">
        <v>24203.14</v>
      </c>
      <c r="F4007" s="3">
        <v>41619</v>
      </c>
      <c r="G4007" s="2" t="s">
        <v>14104</v>
      </c>
      <c r="H4007" s="3">
        <v>43053</v>
      </c>
      <c r="I4007" s="2" t="s">
        <v>19506</v>
      </c>
      <c r="J4007" s="2" t="s">
        <v>13904</v>
      </c>
      <c r="K4007" s="2" t="s">
        <v>19228</v>
      </c>
      <c r="L4007" s="82" t="s">
        <v>19512</v>
      </c>
    </row>
    <row r="4008" spans="1:12" ht="96" customHeight="1" x14ac:dyDescent="0.3">
      <c r="A4008" s="2">
        <v>4004</v>
      </c>
      <c r="B4008" s="66" t="s">
        <v>4616</v>
      </c>
      <c r="C4008" s="66" t="s">
        <v>4621</v>
      </c>
      <c r="D4008" s="244">
        <v>24203.14</v>
      </c>
      <c r="E4008" s="11">
        <v>24203.14</v>
      </c>
      <c r="F4008" s="3">
        <v>41619</v>
      </c>
      <c r="G4008" s="2" t="s">
        <v>14104</v>
      </c>
      <c r="H4008" s="3">
        <v>43053</v>
      </c>
      <c r="I4008" s="2" t="s">
        <v>19506</v>
      </c>
      <c r="J4008" s="2" t="s">
        <v>13904</v>
      </c>
      <c r="K4008" s="2" t="s">
        <v>19228</v>
      </c>
      <c r="L4008" s="82" t="s">
        <v>19512</v>
      </c>
    </row>
    <row r="4009" spans="1:12" ht="96" customHeight="1" x14ac:dyDescent="0.3">
      <c r="A4009" s="2">
        <v>4005</v>
      </c>
      <c r="B4009" s="66" t="s">
        <v>4616</v>
      </c>
      <c r="C4009" s="66" t="s">
        <v>4622</v>
      </c>
      <c r="D4009" s="244">
        <v>24203.14</v>
      </c>
      <c r="E4009" s="11">
        <v>24203.14</v>
      </c>
      <c r="F4009" s="3">
        <v>41619</v>
      </c>
      <c r="G4009" s="2" t="s">
        <v>14104</v>
      </c>
      <c r="H4009" s="3">
        <v>43053</v>
      </c>
      <c r="I4009" s="2" t="s">
        <v>19506</v>
      </c>
      <c r="J4009" s="2" t="s">
        <v>13904</v>
      </c>
      <c r="K4009" s="2" t="s">
        <v>19228</v>
      </c>
      <c r="L4009" s="82" t="s">
        <v>19512</v>
      </c>
    </row>
    <row r="4010" spans="1:12" ht="96" customHeight="1" x14ac:dyDescent="0.3">
      <c r="A4010" s="2">
        <v>4006</v>
      </c>
      <c r="B4010" s="66" t="s">
        <v>4616</v>
      </c>
      <c r="C4010" s="66" t="s">
        <v>4623</v>
      </c>
      <c r="D4010" s="244">
        <v>24203.14</v>
      </c>
      <c r="E4010" s="11">
        <v>24203.14</v>
      </c>
      <c r="F4010" s="3">
        <v>41619</v>
      </c>
      <c r="G4010" s="2" t="s">
        <v>14104</v>
      </c>
      <c r="H4010" s="3">
        <v>43053</v>
      </c>
      <c r="I4010" s="2" t="s">
        <v>19506</v>
      </c>
      <c r="J4010" s="2" t="s">
        <v>13904</v>
      </c>
      <c r="K4010" s="2" t="s">
        <v>19228</v>
      </c>
      <c r="L4010" s="82" t="s">
        <v>19512</v>
      </c>
    </row>
    <row r="4011" spans="1:12" ht="96" customHeight="1" x14ac:dyDescent="0.3">
      <c r="A4011" s="2">
        <v>4007</v>
      </c>
      <c r="B4011" s="66" t="s">
        <v>4616</v>
      </c>
      <c r="C4011" s="66" t="s">
        <v>4624</v>
      </c>
      <c r="D4011" s="244">
        <v>24203.14</v>
      </c>
      <c r="E4011" s="11">
        <v>24203.14</v>
      </c>
      <c r="F4011" s="3">
        <v>41619</v>
      </c>
      <c r="G4011" s="2" t="s">
        <v>14104</v>
      </c>
      <c r="H4011" s="3">
        <v>43053</v>
      </c>
      <c r="I4011" s="2" t="s">
        <v>19506</v>
      </c>
      <c r="J4011" s="2" t="s">
        <v>13904</v>
      </c>
      <c r="K4011" s="2" t="s">
        <v>19228</v>
      </c>
      <c r="L4011" s="82" t="s">
        <v>19512</v>
      </c>
    </row>
    <row r="4012" spans="1:12" ht="96" customHeight="1" x14ac:dyDescent="0.3">
      <c r="A4012" s="2">
        <v>4008</v>
      </c>
      <c r="B4012" s="66" t="s">
        <v>4616</v>
      </c>
      <c r="C4012" s="66" t="s">
        <v>4625</v>
      </c>
      <c r="D4012" s="244">
        <v>24203.14</v>
      </c>
      <c r="E4012" s="11">
        <v>24203.14</v>
      </c>
      <c r="F4012" s="3">
        <v>41619</v>
      </c>
      <c r="G4012" s="2" t="s">
        <v>14104</v>
      </c>
      <c r="H4012" s="3">
        <v>43053</v>
      </c>
      <c r="I4012" s="2" t="s">
        <v>19506</v>
      </c>
      <c r="J4012" s="2" t="s">
        <v>13904</v>
      </c>
      <c r="K4012" s="2" t="s">
        <v>19228</v>
      </c>
      <c r="L4012" s="82" t="s">
        <v>19512</v>
      </c>
    </row>
    <row r="4013" spans="1:12" ht="96" customHeight="1" x14ac:dyDescent="0.3">
      <c r="A4013" s="2">
        <v>4009</v>
      </c>
      <c r="B4013" s="66" t="s">
        <v>4616</v>
      </c>
      <c r="C4013" s="66" t="s">
        <v>4626</v>
      </c>
      <c r="D4013" s="244">
        <v>24203.14</v>
      </c>
      <c r="E4013" s="11">
        <v>24203.14</v>
      </c>
      <c r="F4013" s="3">
        <v>41619</v>
      </c>
      <c r="G4013" s="2" t="s">
        <v>14104</v>
      </c>
      <c r="H4013" s="3">
        <v>43053</v>
      </c>
      <c r="I4013" s="2" t="s">
        <v>19506</v>
      </c>
      <c r="J4013" s="2" t="s">
        <v>13904</v>
      </c>
      <c r="K4013" s="2" t="s">
        <v>19228</v>
      </c>
      <c r="L4013" s="82" t="s">
        <v>19512</v>
      </c>
    </row>
    <row r="4014" spans="1:12" ht="96" customHeight="1" x14ac:dyDescent="0.3">
      <c r="A4014" s="2">
        <v>4010</v>
      </c>
      <c r="B4014" s="66" t="s">
        <v>4616</v>
      </c>
      <c r="C4014" s="66" t="s">
        <v>4627</v>
      </c>
      <c r="D4014" s="244">
        <v>24203.14</v>
      </c>
      <c r="E4014" s="11">
        <v>24203.14</v>
      </c>
      <c r="F4014" s="3">
        <v>41619</v>
      </c>
      <c r="G4014" s="2" t="s">
        <v>14104</v>
      </c>
      <c r="H4014" s="3">
        <v>43053</v>
      </c>
      <c r="I4014" s="2" t="s">
        <v>19506</v>
      </c>
      <c r="J4014" s="2" t="s">
        <v>13904</v>
      </c>
      <c r="K4014" s="2" t="s">
        <v>19228</v>
      </c>
      <c r="L4014" s="82" t="s">
        <v>19512</v>
      </c>
    </row>
    <row r="4015" spans="1:12" ht="96" customHeight="1" x14ac:dyDescent="0.3">
      <c r="A4015" s="2">
        <v>4011</v>
      </c>
      <c r="B4015" s="66" t="s">
        <v>4616</v>
      </c>
      <c r="C4015" s="66" t="s">
        <v>4628</v>
      </c>
      <c r="D4015" s="244">
        <v>24203.14</v>
      </c>
      <c r="E4015" s="11">
        <v>24203.14</v>
      </c>
      <c r="F4015" s="3">
        <v>41619</v>
      </c>
      <c r="G4015" s="2" t="s">
        <v>14104</v>
      </c>
      <c r="H4015" s="3">
        <v>43053</v>
      </c>
      <c r="I4015" s="2" t="s">
        <v>19506</v>
      </c>
      <c r="J4015" s="2" t="s">
        <v>13904</v>
      </c>
      <c r="K4015" s="2" t="s">
        <v>19228</v>
      </c>
      <c r="L4015" s="82" t="s">
        <v>19512</v>
      </c>
    </row>
    <row r="4016" spans="1:12" ht="96" customHeight="1" x14ac:dyDescent="0.3">
      <c r="A4016" s="2">
        <v>4012</v>
      </c>
      <c r="B4016" s="66" t="s">
        <v>4616</v>
      </c>
      <c r="C4016" s="66" t="s">
        <v>4629</v>
      </c>
      <c r="D4016" s="244">
        <v>24203.14</v>
      </c>
      <c r="E4016" s="285">
        <v>24203.14</v>
      </c>
      <c r="F4016" s="3">
        <v>41619</v>
      </c>
      <c r="G4016" s="2" t="s">
        <v>14104</v>
      </c>
      <c r="H4016" s="3">
        <v>43053</v>
      </c>
      <c r="I4016" s="2" t="s">
        <v>19506</v>
      </c>
      <c r="J4016" s="2" t="s">
        <v>13904</v>
      </c>
      <c r="K4016" s="2" t="s">
        <v>19228</v>
      </c>
      <c r="L4016" s="82" t="s">
        <v>19512</v>
      </c>
    </row>
    <row r="4017" spans="1:12" ht="96" customHeight="1" x14ac:dyDescent="0.3">
      <c r="A4017" s="2">
        <v>4013</v>
      </c>
      <c r="B4017" s="66" t="s">
        <v>4630</v>
      </c>
      <c r="C4017" s="66" t="s">
        <v>4631</v>
      </c>
      <c r="D4017" s="244">
        <v>23900</v>
      </c>
      <c r="E4017" s="11">
        <v>23900</v>
      </c>
      <c r="F4017" s="3">
        <v>41619</v>
      </c>
      <c r="G4017" s="2" t="s">
        <v>14104</v>
      </c>
      <c r="H4017" s="3">
        <v>43053</v>
      </c>
      <c r="I4017" s="2" t="s">
        <v>19506</v>
      </c>
      <c r="J4017" s="2" t="s">
        <v>13904</v>
      </c>
      <c r="K4017" s="2" t="s">
        <v>19228</v>
      </c>
      <c r="L4017" s="82" t="s">
        <v>19512</v>
      </c>
    </row>
    <row r="4018" spans="1:12" ht="96" customHeight="1" x14ac:dyDescent="0.3">
      <c r="A4018" s="2">
        <v>4014</v>
      </c>
      <c r="B4018" s="66" t="s">
        <v>4632</v>
      </c>
      <c r="C4018" s="66" t="s">
        <v>4633</v>
      </c>
      <c r="D4018" s="244">
        <v>12250</v>
      </c>
      <c r="E4018" s="11">
        <v>12250</v>
      </c>
      <c r="F4018" s="3">
        <v>41619</v>
      </c>
      <c r="G4018" s="2" t="s">
        <v>14104</v>
      </c>
      <c r="H4018" s="3">
        <v>43053</v>
      </c>
      <c r="I4018" s="2" t="s">
        <v>19506</v>
      </c>
      <c r="J4018" s="2" t="s">
        <v>13904</v>
      </c>
      <c r="K4018" s="2" t="s">
        <v>19228</v>
      </c>
      <c r="L4018" s="82" t="s">
        <v>19512</v>
      </c>
    </row>
    <row r="4019" spans="1:12" ht="96" customHeight="1" x14ac:dyDescent="0.3">
      <c r="A4019" s="2">
        <v>4015</v>
      </c>
      <c r="B4019" s="66" t="s">
        <v>4634</v>
      </c>
      <c r="C4019" s="66" t="s">
        <v>4635</v>
      </c>
      <c r="D4019" s="244">
        <v>38584</v>
      </c>
      <c r="E4019" s="11">
        <v>38584</v>
      </c>
      <c r="F4019" s="3">
        <v>41619</v>
      </c>
      <c r="G4019" s="2" t="s">
        <v>14104</v>
      </c>
      <c r="H4019" s="3">
        <v>43053</v>
      </c>
      <c r="I4019" s="2" t="s">
        <v>19506</v>
      </c>
      <c r="J4019" s="2" t="s">
        <v>13904</v>
      </c>
      <c r="K4019" s="2" t="s">
        <v>19228</v>
      </c>
      <c r="L4019" s="82" t="s">
        <v>19512</v>
      </c>
    </row>
    <row r="4020" spans="1:12" ht="96" customHeight="1" x14ac:dyDescent="0.3">
      <c r="A4020" s="2">
        <v>4016</v>
      </c>
      <c r="B4020" s="66" t="s">
        <v>4636</v>
      </c>
      <c r="C4020" s="66" t="s">
        <v>4637</v>
      </c>
      <c r="D4020" s="244">
        <v>38749</v>
      </c>
      <c r="E4020" s="11">
        <v>38749</v>
      </c>
      <c r="F4020" s="3">
        <v>41619</v>
      </c>
      <c r="G4020" s="2" t="s">
        <v>14104</v>
      </c>
      <c r="H4020" s="3">
        <v>43053</v>
      </c>
      <c r="I4020" s="2" t="s">
        <v>19506</v>
      </c>
      <c r="J4020" s="2" t="s">
        <v>13904</v>
      </c>
      <c r="K4020" s="2" t="s">
        <v>19228</v>
      </c>
      <c r="L4020" s="82" t="s">
        <v>19512</v>
      </c>
    </row>
    <row r="4021" spans="1:12" ht="96" customHeight="1" x14ac:dyDescent="0.3">
      <c r="A4021" s="2">
        <v>4017</v>
      </c>
      <c r="B4021" s="66" t="s">
        <v>4636</v>
      </c>
      <c r="C4021" s="66" t="s">
        <v>4638</v>
      </c>
      <c r="D4021" s="244">
        <v>38749</v>
      </c>
      <c r="E4021" s="11">
        <v>38749</v>
      </c>
      <c r="F4021" s="3">
        <v>41619</v>
      </c>
      <c r="G4021" s="2" t="s">
        <v>14104</v>
      </c>
      <c r="H4021" s="3">
        <v>43053</v>
      </c>
      <c r="I4021" s="2" t="s">
        <v>19506</v>
      </c>
      <c r="J4021" s="2" t="s">
        <v>13904</v>
      </c>
      <c r="K4021" s="2" t="s">
        <v>19228</v>
      </c>
      <c r="L4021" s="82" t="s">
        <v>19512</v>
      </c>
    </row>
    <row r="4022" spans="1:12" ht="96" customHeight="1" x14ac:dyDescent="0.3">
      <c r="A4022" s="2">
        <v>4018</v>
      </c>
      <c r="B4022" s="66" t="s">
        <v>4636</v>
      </c>
      <c r="C4022" s="66" t="s">
        <v>4639</v>
      </c>
      <c r="D4022" s="244">
        <v>38749</v>
      </c>
      <c r="E4022" s="11">
        <v>38749</v>
      </c>
      <c r="F4022" s="3">
        <v>41619</v>
      </c>
      <c r="G4022" s="2" t="s">
        <v>14104</v>
      </c>
      <c r="H4022" s="3">
        <v>43053</v>
      </c>
      <c r="I4022" s="2" t="s">
        <v>19506</v>
      </c>
      <c r="J4022" s="2" t="s">
        <v>13904</v>
      </c>
      <c r="K4022" s="2" t="s">
        <v>19228</v>
      </c>
      <c r="L4022" s="82" t="s">
        <v>19512</v>
      </c>
    </row>
    <row r="4023" spans="1:12" ht="96" customHeight="1" x14ac:dyDescent="0.3">
      <c r="A4023" s="2">
        <v>4019</v>
      </c>
      <c r="B4023" s="66" t="s">
        <v>4636</v>
      </c>
      <c r="C4023" s="66" t="s">
        <v>4640</v>
      </c>
      <c r="D4023" s="244">
        <v>38749</v>
      </c>
      <c r="E4023" s="11">
        <v>38749</v>
      </c>
      <c r="F4023" s="3">
        <v>41619</v>
      </c>
      <c r="G4023" s="2" t="s">
        <v>14104</v>
      </c>
      <c r="H4023" s="3">
        <v>43053</v>
      </c>
      <c r="I4023" s="2" t="s">
        <v>19506</v>
      </c>
      <c r="J4023" s="2" t="s">
        <v>13904</v>
      </c>
      <c r="K4023" s="2" t="s">
        <v>19228</v>
      </c>
      <c r="L4023" s="82" t="s">
        <v>19512</v>
      </c>
    </row>
    <row r="4024" spans="1:12" ht="96" customHeight="1" x14ac:dyDescent="0.3">
      <c r="A4024" s="2">
        <v>4020</v>
      </c>
      <c r="B4024" s="66" t="s">
        <v>4641</v>
      </c>
      <c r="C4024" s="66" t="s">
        <v>4642</v>
      </c>
      <c r="D4024" s="244">
        <v>4586</v>
      </c>
      <c r="E4024" s="11">
        <v>4586</v>
      </c>
      <c r="F4024" s="3">
        <v>41619</v>
      </c>
      <c r="G4024" s="2" t="s">
        <v>14104</v>
      </c>
      <c r="H4024" s="3">
        <v>43053</v>
      </c>
      <c r="I4024" s="2" t="s">
        <v>19506</v>
      </c>
      <c r="J4024" s="2" t="s">
        <v>13904</v>
      </c>
      <c r="K4024" s="2" t="s">
        <v>19228</v>
      </c>
      <c r="L4024" s="82" t="s">
        <v>19512</v>
      </c>
    </row>
    <row r="4025" spans="1:12" ht="96" customHeight="1" x14ac:dyDescent="0.3">
      <c r="A4025" s="2">
        <v>4021</v>
      </c>
      <c r="B4025" s="66" t="s">
        <v>4641</v>
      </c>
      <c r="C4025" s="66" t="s">
        <v>4643</v>
      </c>
      <c r="D4025" s="244">
        <v>4586</v>
      </c>
      <c r="E4025" s="11">
        <v>4586</v>
      </c>
      <c r="F4025" s="3">
        <v>41619</v>
      </c>
      <c r="G4025" s="2" t="s">
        <v>14104</v>
      </c>
      <c r="H4025" s="3">
        <v>43053</v>
      </c>
      <c r="I4025" s="2" t="s">
        <v>19506</v>
      </c>
      <c r="J4025" s="2" t="s">
        <v>13904</v>
      </c>
      <c r="K4025" s="2" t="s">
        <v>19228</v>
      </c>
      <c r="L4025" s="82" t="s">
        <v>19512</v>
      </c>
    </row>
    <row r="4026" spans="1:12" ht="96" customHeight="1" x14ac:dyDescent="0.3">
      <c r="A4026" s="2">
        <v>4022</v>
      </c>
      <c r="B4026" s="66" t="s">
        <v>4641</v>
      </c>
      <c r="C4026" s="66" t="s">
        <v>4644</v>
      </c>
      <c r="D4026" s="244">
        <v>4586</v>
      </c>
      <c r="E4026" s="11">
        <v>4586</v>
      </c>
      <c r="F4026" s="3">
        <v>41619</v>
      </c>
      <c r="G4026" s="2" t="s">
        <v>14104</v>
      </c>
      <c r="H4026" s="3">
        <v>43053</v>
      </c>
      <c r="I4026" s="2" t="s">
        <v>19506</v>
      </c>
      <c r="J4026" s="2" t="s">
        <v>13904</v>
      </c>
      <c r="K4026" s="2" t="s">
        <v>19228</v>
      </c>
      <c r="L4026" s="82" t="s">
        <v>19512</v>
      </c>
    </row>
    <row r="4027" spans="1:12" ht="96" customHeight="1" x14ac:dyDescent="0.3">
      <c r="A4027" s="2">
        <v>4023</v>
      </c>
      <c r="B4027" s="66" t="s">
        <v>4641</v>
      </c>
      <c r="C4027" s="66" t="s">
        <v>4645</v>
      </c>
      <c r="D4027" s="244">
        <v>4586</v>
      </c>
      <c r="E4027" s="11">
        <v>4586</v>
      </c>
      <c r="F4027" s="3">
        <v>41619</v>
      </c>
      <c r="G4027" s="2" t="s">
        <v>14104</v>
      </c>
      <c r="H4027" s="3">
        <v>43053</v>
      </c>
      <c r="I4027" s="2" t="s">
        <v>19506</v>
      </c>
      <c r="J4027" s="2" t="s">
        <v>13904</v>
      </c>
      <c r="K4027" s="2" t="s">
        <v>19228</v>
      </c>
      <c r="L4027" s="82" t="s">
        <v>19512</v>
      </c>
    </row>
    <row r="4028" spans="1:12" ht="96" customHeight="1" x14ac:dyDescent="0.3">
      <c r="A4028" s="2">
        <v>4024</v>
      </c>
      <c r="B4028" s="66" t="s">
        <v>4646</v>
      </c>
      <c r="C4028" s="66" t="s">
        <v>4647</v>
      </c>
      <c r="D4028" s="244">
        <v>11760</v>
      </c>
      <c r="E4028" s="11">
        <v>11760</v>
      </c>
      <c r="F4028" s="3">
        <v>41619</v>
      </c>
      <c r="G4028" s="2" t="s">
        <v>14104</v>
      </c>
      <c r="H4028" s="3">
        <v>43053</v>
      </c>
      <c r="I4028" s="2" t="s">
        <v>19506</v>
      </c>
      <c r="J4028" s="2" t="s">
        <v>13904</v>
      </c>
      <c r="K4028" s="2" t="s">
        <v>19228</v>
      </c>
      <c r="L4028" s="82" t="s">
        <v>19512</v>
      </c>
    </row>
    <row r="4029" spans="1:12" ht="96" customHeight="1" x14ac:dyDescent="0.3">
      <c r="A4029" s="2">
        <v>4025</v>
      </c>
      <c r="B4029" s="66" t="s">
        <v>4648</v>
      </c>
      <c r="C4029" s="66" t="s">
        <v>4649</v>
      </c>
      <c r="D4029" s="244">
        <v>3490</v>
      </c>
      <c r="E4029" s="11">
        <v>3490</v>
      </c>
      <c r="F4029" s="3">
        <v>41619</v>
      </c>
      <c r="G4029" s="2" t="s">
        <v>14104</v>
      </c>
      <c r="H4029" s="3">
        <v>43053</v>
      </c>
      <c r="I4029" s="2" t="s">
        <v>19506</v>
      </c>
      <c r="J4029" s="2" t="s">
        <v>13904</v>
      </c>
      <c r="K4029" s="2" t="s">
        <v>19228</v>
      </c>
      <c r="L4029" s="82" t="s">
        <v>19512</v>
      </c>
    </row>
    <row r="4030" spans="1:12" ht="96" customHeight="1" x14ac:dyDescent="0.3">
      <c r="A4030" s="2">
        <v>4026</v>
      </c>
      <c r="B4030" s="66" t="s">
        <v>4650</v>
      </c>
      <c r="C4030" s="66" t="s">
        <v>4651</v>
      </c>
      <c r="D4030" s="244">
        <v>30638</v>
      </c>
      <c r="E4030" s="11">
        <v>30638</v>
      </c>
      <c r="F4030" s="3">
        <v>41619</v>
      </c>
      <c r="G4030" s="2" t="s">
        <v>14104</v>
      </c>
      <c r="H4030" s="3">
        <v>43053</v>
      </c>
      <c r="I4030" s="2" t="s">
        <v>19506</v>
      </c>
      <c r="J4030" s="2" t="s">
        <v>13904</v>
      </c>
      <c r="K4030" s="2" t="s">
        <v>19228</v>
      </c>
      <c r="L4030" s="82" t="s">
        <v>19512</v>
      </c>
    </row>
    <row r="4031" spans="1:12" ht="96" customHeight="1" x14ac:dyDescent="0.3">
      <c r="A4031" s="2">
        <v>4027</v>
      </c>
      <c r="B4031" s="66" t="s">
        <v>4650</v>
      </c>
      <c r="C4031" s="66" t="s">
        <v>4652</v>
      </c>
      <c r="D4031" s="244">
        <v>30638</v>
      </c>
      <c r="E4031" s="11">
        <v>30638</v>
      </c>
      <c r="F4031" s="3">
        <v>41619</v>
      </c>
      <c r="G4031" s="2" t="s">
        <v>14104</v>
      </c>
      <c r="H4031" s="3">
        <v>43053</v>
      </c>
      <c r="I4031" s="2" t="s">
        <v>19506</v>
      </c>
      <c r="J4031" s="2" t="s">
        <v>13904</v>
      </c>
      <c r="K4031" s="2" t="s">
        <v>19228</v>
      </c>
      <c r="L4031" s="82" t="s">
        <v>19512</v>
      </c>
    </row>
    <row r="4032" spans="1:12" ht="96" customHeight="1" x14ac:dyDescent="0.3">
      <c r="A4032" s="2">
        <v>4028</v>
      </c>
      <c r="B4032" s="66" t="s">
        <v>4653</v>
      </c>
      <c r="C4032" s="66" t="s">
        <v>4654</v>
      </c>
      <c r="D4032" s="244">
        <v>8600</v>
      </c>
      <c r="E4032" s="11">
        <v>8600</v>
      </c>
      <c r="F4032" s="3">
        <v>41619</v>
      </c>
      <c r="G4032" s="2" t="s">
        <v>14104</v>
      </c>
      <c r="H4032" s="3">
        <v>43053</v>
      </c>
      <c r="I4032" s="2" t="s">
        <v>19506</v>
      </c>
      <c r="J4032" s="2" t="s">
        <v>13904</v>
      </c>
      <c r="K4032" s="2" t="s">
        <v>19228</v>
      </c>
      <c r="L4032" s="82" t="s">
        <v>19512</v>
      </c>
    </row>
    <row r="4033" spans="1:12" ht="96" customHeight="1" x14ac:dyDescent="0.3">
      <c r="A4033" s="2">
        <v>4029</v>
      </c>
      <c r="B4033" s="66" t="s">
        <v>4655</v>
      </c>
      <c r="C4033" s="66" t="s">
        <v>4656</v>
      </c>
      <c r="D4033" s="244">
        <v>31250</v>
      </c>
      <c r="E4033" s="11">
        <v>31250</v>
      </c>
      <c r="F4033" s="3">
        <v>41613</v>
      </c>
      <c r="G4033" s="2" t="s">
        <v>14104</v>
      </c>
      <c r="H4033" s="3">
        <v>43053</v>
      </c>
      <c r="I4033" s="2" t="s">
        <v>19506</v>
      </c>
      <c r="J4033" s="2" t="s">
        <v>13904</v>
      </c>
      <c r="K4033" s="2" t="s">
        <v>19228</v>
      </c>
      <c r="L4033" s="82" t="s">
        <v>19512</v>
      </c>
    </row>
    <row r="4034" spans="1:12" ht="96" customHeight="1" x14ac:dyDescent="0.3">
      <c r="A4034" s="2">
        <v>4030</v>
      </c>
      <c r="B4034" s="66" t="s">
        <v>4655</v>
      </c>
      <c r="C4034" s="66" t="s">
        <v>4657</v>
      </c>
      <c r="D4034" s="244">
        <v>31250</v>
      </c>
      <c r="E4034" s="11">
        <v>31250</v>
      </c>
      <c r="F4034" s="3">
        <v>41613</v>
      </c>
      <c r="G4034" s="2" t="s">
        <v>14104</v>
      </c>
      <c r="H4034" s="3">
        <v>43053</v>
      </c>
      <c r="I4034" s="2" t="s">
        <v>19506</v>
      </c>
      <c r="J4034" s="2" t="s">
        <v>13904</v>
      </c>
      <c r="K4034" s="2" t="s">
        <v>19228</v>
      </c>
      <c r="L4034" s="82" t="s">
        <v>19512</v>
      </c>
    </row>
    <row r="4035" spans="1:12" ht="96" customHeight="1" x14ac:dyDescent="0.3">
      <c r="A4035" s="2">
        <v>4031</v>
      </c>
      <c r="B4035" s="66" t="s">
        <v>4658</v>
      </c>
      <c r="C4035" s="66" t="s">
        <v>4659</v>
      </c>
      <c r="D4035" s="244">
        <v>10000.02</v>
      </c>
      <c r="E4035" s="11">
        <v>10000.02</v>
      </c>
      <c r="F4035" s="3">
        <v>41449</v>
      </c>
      <c r="G4035" s="2" t="s">
        <v>14104</v>
      </c>
      <c r="H4035" s="3">
        <v>43053</v>
      </c>
      <c r="I4035" s="2" t="s">
        <v>19506</v>
      </c>
      <c r="J4035" s="2" t="s">
        <v>13904</v>
      </c>
      <c r="K4035" s="2" t="s">
        <v>19228</v>
      </c>
      <c r="L4035" s="82" t="s">
        <v>19512</v>
      </c>
    </row>
    <row r="4036" spans="1:12" ht="96" customHeight="1" x14ac:dyDescent="0.3">
      <c r="A4036" s="2">
        <v>4032</v>
      </c>
      <c r="B4036" s="66" t="s">
        <v>4660</v>
      </c>
      <c r="C4036" s="66" t="s">
        <v>4661</v>
      </c>
      <c r="D4036" s="244">
        <v>36700</v>
      </c>
      <c r="E4036" s="11">
        <v>36700</v>
      </c>
      <c r="F4036" s="3">
        <v>41988</v>
      </c>
      <c r="G4036" s="2" t="s">
        <v>14104</v>
      </c>
      <c r="H4036" s="3">
        <v>43053</v>
      </c>
      <c r="I4036" s="2" t="s">
        <v>19506</v>
      </c>
      <c r="J4036" s="2" t="s">
        <v>13904</v>
      </c>
      <c r="K4036" s="2" t="s">
        <v>19228</v>
      </c>
      <c r="L4036" s="82" t="s">
        <v>19512</v>
      </c>
    </row>
    <row r="4037" spans="1:12" ht="96" customHeight="1" x14ac:dyDescent="0.3">
      <c r="A4037" s="2">
        <v>4033</v>
      </c>
      <c r="B4037" s="66" t="s">
        <v>4662</v>
      </c>
      <c r="C4037" s="66" t="s">
        <v>4663</v>
      </c>
      <c r="D4037" s="244">
        <v>35100</v>
      </c>
      <c r="E4037" s="11">
        <v>35100</v>
      </c>
      <c r="F4037" s="3">
        <v>41988</v>
      </c>
      <c r="G4037" s="2" t="s">
        <v>14104</v>
      </c>
      <c r="H4037" s="3">
        <v>43053</v>
      </c>
      <c r="I4037" s="2" t="s">
        <v>19506</v>
      </c>
      <c r="J4037" s="2" t="s">
        <v>13904</v>
      </c>
      <c r="K4037" s="2" t="s">
        <v>19228</v>
      </c>
      <c r="L4037" s="82" t="s">
        <v>19512</v>
      </c>
    </row>
    <row r="4038" spans="1:12" ht="96" customHeight="1" x14ac:dyDescent="0.3">
      <c r="A4038" s="2">
        <v>4034</v>
      </c>
      <c r="B4038" s="66" t="s">
        <v>4664</v>
      </c>
      <c r="C4038" s="66" t="s">
        <v>4665</v>
      </c>
      <c r="D4038" s="244">
        <v>7900</v>
      </c>
      <c r="E4038" s="11">
        <v>7900</v>
      </c>
      <c r="F4038" s="3">
        <v>41988</v>
      </c>
      <c r="G4038" s="2" t="s">
        <v>14104</v>
      </c>
      <c r="H4038" s="3">
        <v>43053</v>
      </c>
      <c r="I4038" s="2" t="s">
        <v>19506</v>
      </c>
      <c r="J4038" s="2" t="s">
        <v>13904</v>
      </c>
      <c r="K4038" s="2" t="s">
        <v>19228</v>
      </c>
      <c r="L4038" s="82" t="s">
        <v>19512</v>
      </c>
    </row>
    <row r="4039" spans="1:12" ht="96" customHeight="1" x14ac:dyDescent="0.3">
      <c r="A4039" s="2">
        <v>4035</v>
      </c>
      <c r="B4039" s="66" t="s">
        <v>4666</v>
      </c>
      <c r="C4039" s="66" t="s">
        <v>4667</v>
      </c>
      <c r="D4039" s="244">
        <v>5790</v>
      </c>
      <c r="E4039" s="11">
        <v>5790</v>
      </c>
      <c r="F4039" s="3">
        <v>41984</v>
      </c>
      <c r="G4039" s="2" t="s">
        <v>14104</v>
      </c>
      <c r="H4039" s="3">
        <v>43053</v>
      </c>
      <c r="I4039" s="2" t="s">
        <v>19506</v>
      </c>
      <c r="J4039" s="2" t="s">
        <v>13904</v>
      </c>
      <c r="K4039" s="2" t="s">
        <v>19228</v>
      </c>
      <c r="L4039" s="82" t="s">
        <v>19512</v>
      </c>
    </row>
    <row r="4040" spans="1:12" ht="96" customHeight="1" x14ac:dyDescent="0.3">
      <c r="A4040" s="2">
        <v>4036</v>
      </c>
      <c r="B4040" s="66" t="s">
        <v>4668</v>
      </c>
      <c r="C4040" s="66" t="s">
        <v>4669</v>
      </c>
      <c r="D4040" s="244">
        <v>14736</v>
      </c>
      <c r="E4040" s="11">
        <v>14736</v>
      </c>
      <c r="F4040" s="3">
        <v>41984</v>
      </c>
      <c r="G4040" s="2" t="s">
        <v>14104</v>
      </c>
      <c r="H4040" s="3">
        <v>43053</v>
      </c>
      <c r="I4040" s="2" t="s">
        <v>19506</v>
      </c>
      <c r="J4040" s="2" t="s">
        <v>13904</v>
      </c>
      <c r="K4040" s="2" t="s">
        <v>19228</v>
      </c>
      <c r="L4040" s="82" t="s">
        <v>19512</v>
      </c>
    </row>
    <row r="4041" spans="1:12" ht="96" customHeight="1" x14ac:dyDescent="0.3">
      <c r="A4041" s="2">
        <v>4037</v>
      </c>
      <c r="B4041" s="66" t="s">
        <v>4670</v>
      </c>
      <c r="C4041" s="66" t="s">
        <v>4671</v>
      </c>
      <c r="D4041" s="244">
        <v>22990</v>
      </c>
      <c r="E4041" s="11">
        <v>22990</v>
      </c>
      <c r="F4041" s="3">
        <v>41984</v>
      </c>
      <c r="G4041" s="2" t="s">
        <v>14104</v>
      </c>
      <c r="H4041" s="3">
        <v>43053</v>
      </c>
      <c r="I4041" s="2" t="s">
        <v>19506</v>
      </c>
      <c r="J4041" s="2" t="s">
        <v>13904</v>
      </c>
      <c r="K4041" s="2" t="s">
        <v>19228</v>
      </c>
      <c r="L4041" s="82" t="s">
        <v>19512</v>
      </c>
    </row>
    <row r="4042" spans="1:12" ht="96" customHeight="1" x14ac:dyDescent="0.3">
      <c r="A4042" s="2">
        <v>4038</v>
      </c>
      <c r="B4042" s="66" t="s">
        <v>4672</v>
      </c>
      <c r="C4042" s="66" t="s">
        <v>4673</v>
      </c>
      <c r="D4042" s="244">
        <v>22990</v>
      </c>
      <c r="E4042" s="11">
        <v>22990</v>
      </c>
      <c r="F4042" s="3">
        <v>41984</v>
      </c>
      <c r="G4042" s="2" t="s">
        <v>14104</v>
      </c>
      <c r="H4042" s="3">
        <v>43053</v>
      </c>
      <c r="I4042" s="2" t="s">
        <v>19506</v>
      </c>
      <c r="J4042" s="2" t="s">
        <v>13904</v>
      </c>
      <c r="K4042" s="2" t="s">
        <v>19228</v>
      </c>
      <c r="L4042" s="82" t="s">
        <v>19512</v>
      </c>
    </row>
    <row r="4043" spans="1:12" ht="96" customHeight="1" x14ac:dyDescent="0.3">
      <c r="A4043" s="2">
        <v>4039</v>
      </c>
      <c r="B4043" s="66" t="s">
        <v>3170</v>
      </c>
      <c r="C4043" s="66" t="s">
        <v>4674</v>
      </c>
      <c r="D4043" s="244">
        <v>9430.56</v>
      </c>
      <c r="E4043" s="11">
        <v>9430.56</v>
      </c>
      <c r="F4043" s="3">
        <v>41115</v>
      </c>
      <c r="G4043" s="2" t="s">
        <v>14104</v>
      </c>
      <c r="H4043" s="3">
        <v>43053</v>
      </c>
      <c r="I4043" s="2" t="s">
        <v>19506</v>
      </c>
      <c r="J4043" s="2" t="s">
        <v>13904</v>
      </c>
      <c r="K4043" s="2" t="s">
        <v>19228</v>
      </c>
      <c r="L4043" s="82" t="s">
        <v>19512</v>
      </c>
    </row>
    <row r="4044" spans="1:12" ht="96" customHeight="1" x14ac:dyDescent="0.3">
      <c r="A4044" s="2">
        <v>4040</v>
      </c>
      <c r="B4044" s="66" t="s">
        <v>4675</v>
      </c>
      <c r="C4044" s="66" t="s">
        <v>3763</v>
      </c>
      <c r="D4044" s="244">
        <v>3500</v>
      </c>
      <c r="E4044" s="11">
        <v>3500</v>
      </c>
      <c r="F4044" s="3">
        <v>42052</v>
      </c>
      <c r="G4044" s="2" t="s">
        <v>14104</v>
      </c>
      <c r="H4044" s="3">
        <v>43053</v>
      </c>
      <c r="I4044" s="2" t="s">
        <v>19506</v>
      </c>
      <c r="J4044" s="2" t="s">
        <v>13904</v>
      </c>
      <c r="K4044" s="2" t="s">
        <v>19228</v>
      </c>
      <c r="L4044" s="82" t="s">
        <v>19512</v>
      </c>
    </row>
    <row r="4045" spans="1:12" ht="96" customHeight="1" x14ac:dyDescent="0.3">
      <c r="A4045" s="2">
        <v>4041</v>
      </c>
      <c r="B4045" s="66" t="s">
        <v>4676</v>
      </c>
      <c r="C4045" s="66" t="s">
        <v>3206</v>
      </c>
      <c r="D4045" s="244">
        <v>7900</v>
      </c>
      <c r="E4045" s="11">
        <v>7900</v>
      </c>
      <c r="F4045" s="3">
        <v>41984</v>
      </c>
      <c r="G4045" s="2" t="s">
        <v>14104</v>
      </c>
      <c r="H4045" s="3">
        <v>43053</v>
      </c>
      <c r="I4045" s="2" t="s">
        <v>19506</v>
      </c>
      <c r="J4045" s="2" t="s">
        <v>13904</v>
      </c>
      <c r="K4045" s="2" t="s">
        <v>19228</v>
      </c>
      <c r="L4045" s="82" t="s">
        <v>19512</v>
      </c>
    </row>
    <row r="4046" spans="1:12" ht="96" customHeight="1" x14ac:dyDescent="0.3">
      <c r="A4046" s="2">
        <v>4042</v>
      </c>
      <c r="B4046" s="66" t="s">
        <v>4677</v>
      </c>
      <c r="C4046" s="66" t="s">
        <v>3459</v>
      </c>
      <c r="D4046" s="244">
        <v>19800</v>
      </c>
      <c r="E4046" s="11">
        <v>19800</v>
      </c>
      <c r="F4046" s="3">
        <v>41984</v>
      </c>
      <c r="G4046" s="2" t="s">
        <v>14104</v>
      </c>
      <c r="H4046" s="3">
        <v>43053</v>
      </c>
      <c r="I4046" s="2" t="s">
        <v>19506</v>
      </c>
      <c r="J4046" s="2" t="s">
        <v>13904</v>
      </c>
      <c r="K4046" s="2" t="s">
        <v>19228</v>
      </c>
      <c r="L4046" s="82" t="s">
        <v>19512</v>
      </c>
    </row>
    <row r="4047" spans="1:12" ht="96" customHeight="1" x14ac:dyDescent="0.3">
      <c r="A4047" s="2">
        <v>4043</v>
      </c>
      <c r="B4047" s="66" t="s">
        <v>4678</v>
      </c>
      <c r="C4047" s="66" t="s">
        <v>3790</v>
      </c>
      <c r="D4047" s="244">
        <v>5500</v>
      </c>
      <c r="E4047" s="11">
        <v>5500</v>
      </c>
      <c r="F4047" s="3">
        <v>41984</v>
      </c>
      <c r="G4047" s="2" t="s">
        <v>14104</v>
      </c>
      <c r="H4047" s="3">
        <v>43053</v>
      </c>
      <c r="I4047" s="2" t="s">
        <v>19506</v>
      </c>
      <c r="J4047" s="2" t="s">
        <v>13904</v>
      </c>
      <c r="K4047" s="2" t="s">
        <v>19228</v>
      </c>
      <c r="L4047" s="82" t="s">
        <v>19512</v>
      </c>
    </row>
    <row r="4048" spans="1:12" ht="96" customHeight="1" x14ac:dyDescent="0.3">
      <c r="A4048" s="2">
        <v>4044</v>
      </c>
      <c r="B4048" s="66" t="s">
        <v>4679</v>
      </c>
      <c r="C4048" s="66" t="s">
        <v>4680</v>
      </c>
      <c r="D4048" s="244">
        <v>4104.3100000000004</v>
      </c>
      <c r="E4048" s="11">
        <v>4104.3100000000004</v>
      </c>
      <c r="F4048" s="3">
        <v>35838</v>
      </c>
      <c r="G4048" s="2" t="s">
        <v>14104</v>
      </c>
      <c r="H4048" s="3">
        <v>43053</v>
      </c>
      <c r="I4048" s="2" t="s">
        <v>19506</v>
      </c>
      <c r="J4048" s="2" t="s">
        <v>13904</v>
      </c>
      <c r="K4048" s="2" t="s">
        <v>19228</v>
      </c>
      <c r="L4048" s="82" t="s">
        <v>19512</v>
      </c>
    </row>
    <row r="4049" spans="1:12" ht="96" customHeight="1" x14ac:dyDescent="0.3">
      <c r="A4049" s="2">
        <v>4045</v>
      </c>
      <c r="B4049" s="66" t="s">
        <v>971</v>
      </c>
      <c r="C4049" s="66" t="s">
        <v>4681</v>
      </c>
      <c r="D4049" s="244">
        <v>8925</v>
      </c>
      <c r="E4049" s="11">
        <v>8925</v>
      </c>
      <c r="F4049" s="3">
        <v>35838</v>
      </c>
      <c r="G4049" s="2" t="s">
        <v>14104</v>
      </c>
      <c r="H4049" s="3">
        <v>43053</v>
      </c>
      <c r="I4049" s="2" t="s">
        <v>19506</v>
      </c>
      <c r="J4049" s="2" t="s">
        <v>13904</v>
      </c>
      <c r="K4049" s="2" t="s">
        <v>19228</v>
      </c>
      <c r="L4049" s="82" t="s">
        <v>19512</v>
      </c>
    </row>
    <row r="4050" spans="1:12" ht="96" customHeight="1" x14ac:dyDescent="0.3">
      <c r="A4050" s="2">
        <v>4046</v>
      </c>
      <c r="B4050" s="66" t="s">
        <v>4682</v>
      </c>
      <c r="C4050" s="66" t="s">
        <v>4683</v>
      </c>
      <c r="D4050" s="244">
        <v>8021</v>
      </c>
      <c r="E4050" s="11">
        <v>8021</v>
      </c>
      <c r="F4050" s="3">
        <v>35838</v>
      </c>
      <c r="G4050" s="2" t="s">
        <v>14104</v>
      </c>
      <c r="H4050" s="3">
        <v>43053</v>
      </c>
      <c r="I4050" s="2" t="s">
        <v>19506</v>
      </c>
      <c r="J4050" s="2" t="s">
        <v>13904</v>
      </c>
      <c r="K4050" s="2" t="s">
        <v>19228</v>
      </c>
      <c r="L4050" s="82" t="s">
        <v>19512</v>
      </c>
    </row>
    <row r="4051" spans="1:12" ht="96" customHeight="1" x14ac:dyDescent="0.3">
      <c r="A4051" s="2">
        <v>4047</v>
      </c>
      <c r="B4051" s="66" t="s">
        <v>4684</v>
      </c>
      <c r="C4051" s="66" t="s">
        <v>4685</v>
      </c>
      <c r="D4051" s="244">
        <v>5000</v>
      </c>
      <c r="E4051" s="11">
        <v>5000</v>
      </c>
      <c r="F4051" s="3">
        <v>39076</v>
      </c>
      <c r="G4051" s="2" t="s">
        <v>14104</v>
      </c>
      <c r="H4051" s="3">
        <v>43053</v>
      </c>
      <c r="I4051" s="2" t="s">
        <v>19506</v>
      </c>
      <c r="J4051" s="2" t="s">
        <v>13904</v>
      </c>
      <c r="K4051" s="2" t="s">
        <v>19228</v>
      </c>
      <c r="L4051" s="82" t="s">
        <v>19512</v>
      </c>
    </row>
    <row r="4052" spans="1:12" ht="96" customHeight="1" x14ac:dyDescent="0.3">
      <c r="A4052" s="2">
        <v>4048</v>
      </c>
      <c r="B4052" s="66" t="s">
        <v>4686</v>
      </c>
      <c r="C4052" s="66" t="s">
        <v>4075</v>
      </c>
      <c r="D4052" s="244">
        <v>9000</v>
      </c>
      <c r="E4052" s="11">
        <v>9000</v>
      </c>
      <c r="F4052" s="3">
        <v>39076</v>
      </c>
      <c r="G4052" s="2" t="s">
        <v>14104</v>
      </c>
      <c r="H4052" s="3">
        <v>43053</v>
      </c>
      <c r="I4052" s="2" t="s">
        <v>19506</v>
      </c>
      <c r="J4052" s="2" t="s">
        <v>13904</v>
      </c>
      <c r="K4052" s="2" t="s">
        <v>19228</v>
      </c>
      <c r="L4052" s="82" t="s">
        <v>19512</v>
      </c>
    </row>
    <row r="4053" spans="1:12" ht="96" customHeight="1" x14ac:dyDescent="0.3">
      <c r="A4053" s="2">
        <v>4049</v>
      </c>
      <c r="B4053" s="66" t="s">
        <v>259</v>
      </c>
      <c r="C4053" s="66" t="s">
        <v>4687</v>
      </c>
      <c r="D4053" s="244">
        <v>3436.33</v>
      </c>
      <c r="E4053" s="11">
        <v>3436.33</v>
      </c>
      <c r="F4053" s="3">
        <v>39447</v>
      </c>
      <c r="G4053" s="2" t="s">
        <v>14104</v>
      </c>
      <c r="H4053" s="3">
        <v>43053</v>
      </c>
      <c r="I4053" s="2" t="s">
        <v>19506</v>
      </c>
      <c r="J4053" s="2" t="s">
        <v>13904</v>
      </c>
      <c r="K4053" s="2" t="s">
        <v>19228</v>
      </c>
      <c r="L4053" s="82" t="s">
        <v>19512</v>
      </c>
    </row>
    <row r="4054" spans="1:12" ht="96" customHeight="1" x14ac:dyDescent="0.3">
      <c r="A4054" s="2">
        <v>4050</v>
      </c>
      <c r="B4054" s="66" t="s">
        <v>4688</v>
      </c>
      <c r="C4054" s="66" t="s">
        <v>4689</v>
      </c>
      <c r="D4054" s="244">
        <v>5000</v>
      </c>
      <c r="E4054" s="11">
        <v>5000</v>
      </c>
      <c r="F4054" s="3">
        <v>39442</v>
      </c>
      <c r="G4054" s="2" t="s">
        <v>14104</v>
      </c>
      <c r="H4054" s="3">
        <v>43053</v>
      </c>
      <c r="I4054" s="2" t="s">
        <v>19506</v>
      </c>
      <c r="J4054" s="2" t="s">
        <v>13904</v>
      </c>
      <c r="K4054" s="2" t="s">
        <v>19228</v>
      </c>
      <c r="L4054" s="82" t="s">
        <v>19512</v>
      </c>
    </row>
    <row r="4055" spans="1:12" ht="96" customHeight="1" x14ac:dyDescent="0.3">
      <c r="A4055" s="2">
        <v>4051</v>
      </c>
      <c r="B4055" s="66" t="s">
        <v>259</v>
      </c>
      <c r="C4055" s="66" t="s">
        <v>4690</v>
      </c>
      <c r="D4055" s="244">
        <v>3436.34</v>
      </c>
      <c r="E4055" s="11">
        <v>3436.34</v>
      </c>
      <c r="F4055" s="3">
        <v>39447</v>
      </c>
      <c r="G4055" s="2" t="s">
        <v>14104</v>
      </c>
      <c r="H4055" s="3">
        <v>43053</v>
      </c>
      <c r="I4055" s="2" t="s">
        <v>19506</v>
      </c>
      <c r="J4055" s="2" t="s">
        <v>13904</v>
      </c>
      <c r="K4055" s="2" t="s">
        <v>19228</v>
      </c>
      <c r="L4055" s="82" t="s">
        <v>19512</v>
      </c>
    </row>
    <row r="4056" spans="1:12" ht="96" customHeight="1" x14ac:dyDescent="0.3">
      <c r="A4056" s="2">
        <v>4052</v>
      </c>
      <c r="B4056" s="66" t="s">
        <v>4691</v>
      </c>
      <c r="C4056" s="66" t="s">
        <v>3146</v>
      </c>
      <c r="D4056" s="244">
        <v>4850</v>
      </c>
      <c r="E4056" s="11">
        <v>4850</v>
      </c>
      <c r="F4056" s="3">
        <v>41848</v>
      </c>
      <c r="G4056" s="2" t="s">
        <v>14104</v>
      </c>
      <c r="H4056" s="3">
        <v>43053</v>
      </c>
      <c r="I4056" s="2" t="s">
        <v>19506</v>
      </c>
      <c r="J4056" s="2" t="s">
        <v>13904</v>
      </c>
      <c r="K4056" s="2" t="s">
        <v>19228</v>
      </c>
      <c r="L4056" s="82" t="s">
        <v>19512</v>
      </c>
    </row>
    <row r="4057" spans="1:12" ht="96" customHeight="1" x14ac:dyDescent="0.3">
      <c r="A4057" s="2">
        <v>4053</v>
      </c>
      <c r="B4057" s="66" t="s">
        <v>4691</v>
      </c>
      <c r="C4057" s="66" t="s">
        <v>4692</v>
      </c>
      <c r="D4057" s="244">
        <v>4850</v>
      </c>
      <c r="E4057" s="11">
        <v>4850</v>
      </c>
      <c r="F4057" s="3">
        <v>41848</v>
      </c>
      <c r="G4057" s="2" t="s">
        <v>14104</v>
      </c>
      <c r="H4057" s="3">
        <v>43053</v>
      </c>
      <c r="I4057" s="2" t="s">
        <v>19506</v>
      </c>
      <c r="J4057" s="2" t="s">
        <v>13904</v>
      </c>
      <c r="K4057" s="2" t="s">
        <v>19228</v>
      </c>
      <c r="L4057" s="82" t="s">
        <v>19512</v>
      </c>
    </row>
    <row r="4058" spans="1:12" ht="96" customHeight="1" x14ac:dyDescent="0.3">
      <c r="A4058" s="2">
        <v>4054</v>
      </c>
      <c r="B4058" s="66" t="s">
        <v>4693</v>
      </c>
      <c r="C4058" s="66" t="s">
        <v>4694</v>
      </c>
      <c r="D4058" s="244">
        <v>7687</v>
      </c>
      <c r="E4058" s="11">
        <v>7687</v>
      </c>
      <c r="F4058" s="3">
        <v>39430</v>
      </c>
      <c r="G4058" s="2" t="s">
        <v>14104</v>
      </c>
      <c r="H4058" s="3">
        <v>43053</v>
      </c>
      <c r="I4058" s="2" t="s">
        <v>19506</v>
      </c>
      <c r="J4058" s="2" t="s">
        <v>13904</v>
      </c>
      <c r="K4058" s="2" t="s">
        <v>19228</v>
      </c>
      <c r="L4058" s="82" t="s">
        <v>19512</v>
      </c>
    </row>
    <row r="4059" spans="1:12" ht="96" customHeight="1" x14ac:dyDescent="0.3">
      <c r="A4059" s="2">
        <v>4055</v>
      </c>
      <c r="B4059" s="66" t="s">
        <v>3639</v>
      </c>
      <c r="C4059" s="66" t="s">
        <v>3853</v>
      </c>
      <c r="D4059" s="244">
        <v>3832.52</v>
      </c>
      <c r="E4059" s="11">
        <v>3832.52</v>
      </c>
      <c r="F4059" s="3">
        <v>39076</v>
      </c>
      <c r="G4059" s="2" t="s">
        <v>14104</v>
      </c>
      <c r="H4059" s="3">
        <v>43053</v>
      </c>
      <c r="I4059" s="2" t="s">
        <v>19506</v>
      </c>
      <c r="J4059" s="2" t="s">
        <v>13904</v>
      </c>
      <c r="K4059" s="2" t="s">
        <v>19228</v>
      </c>
      <c r="L4059" s="82" t="s">
        <v>19512</v>
      </c>
    </row>
    <row r="4060" spans="1:12" ht="96" customHeight="1" x14ac:dyDescent="0.3">
      <c r="A4060" s="2">
        <v>4056</v>
      </c>
      <c r="B4060" s="66" t="s">
        <v>4695</v>
      </c>
      <c r="C4060" s="66" t="s">
        <v>4265</v>
      </c>
      <c r="D4060" s="244">
        <v>3292.5</v>
      </c>
      <c r="E4060" s="11">
        <v>3292.5</v>
      </c>
      <c r="F4060" s="3">
        <v>41971</v>
      </c>
      <c r="G4060" s="2" t="s">
        <v>14104</v>
      </c>
      <c r="H4060" s="3">
        <v>43053</v>
      </c>
      <c r="I4060" s="2" t="s">
        <v>19506</v>
      </c>
      <c r="J4060" s="2" t="s">
        <v>13904</v>
      </c>
      <c r="K4060" s="2" t="s">
        <v>19228</v>
      </c>
      <c r="L4060" s="82" t="s">
        <v>19512</v>
      </c>
    </row>
    <row r="4061" spans="1:12" ht="96" customHeight="1" x14ac:dyDescent="0.3">
      <c r="A4061" s="2">
        <v>4057</v>
      </c>
      <c r="B4061" s="66" t="s">
        <v>4696</v>
      </c>
      <c r="C4061" s="66" t="s">
        <v>3234</v>
      </c>
      <c r="D4061" s="244">
        <v>4499.34</v>
      </c>
      <c r="E4061" s="11">
        <v>4499.34</v>
      </c>
      <c r="F4061" s="3">
        <v>41558</v>
      </c>
      <c r="G4061" s="2" t="s">
        <v>14104</v>
      </c>
      <c r="H4061" s="3">
        <v>43053</v>
      </c>
      <c r="I4061" s="2" t="s">
        <v>19506</v>
      </c>
      <c r="J4061" s="2" t="s">
        <v>13904</v>
      </c>
      <c r="K4061" s="2" t="s">
        <v>19228</v>
      </c>
      <c r="L4061" s="82" t="s">
        <v>19512</v>
      </c>
    </row>
    <row r="4062" spans="1:12" ht="96" customHeight="1" x14ac:dyDescent="0.3">
      <c r="A4062" s="2">
        <v>4058</v>
      </c>
      <c r="B4062" s="66" t="s">
        <v>4697</v>
      </c>
      <c r="C4062" s="66" t="s">
        <v>3235</v>
      </c>
      <c r="D4062" s="244">
        <v>4366.03</v>
      </c>
      <c r="E4062" s="11">
        <v>4366.03</v>
      </c>
      <c r="F4062" s="3">
        <v>41558</v>
      </c>
      <c r="G4062" s="2" t="s">
        <v>14104</v>
      </c>
      <c r="H4062" s="3">
        <v>43053</v>
      </c>
      <c r="I4062" s="2" t="s">
        <v>19506</v>
      </c>
      <c r="J4062" s="2" t="s">
        <v>13904</v>
      </c>
      <c r="K4062" s="2" t="s">
        <v>19228</v>
      </c>
      <c r="L4062" s="82" t="s">
        <v>19512</v>
      </c>
    </row>
    <row r="4063" spans="1:12" ht="96" customHeight="1" x14ac:dyDescent="0.3">
      <c r="A4063" s="2">
        <v>4059</v>
      </c>
      <c r="B4063" s="66" t="s">
        <v>4698</v>
      </c>
      <c r="C4063" s="66" t="s">
        <v>4699</v>
      </c>
      <c r="D4063" s="244">
        <v>4030</v>
      </c>
      <c r="E4063" s="11">
        <v>4030</v>
      </c>
      <c r="F4063" s="3">
        <v>41848</v>
      </c>
      <c r="G4063" s="2" t="s">
        <v>14104</v>
      </c>
      <c r="H4063" s="3">
        <v>43053</v>
      </c>
      <c r="I4063" s="2" t="s">
        <v>19506</v>
      </c>
      <c r="J4063" s="2" t="s">
        <v>13904</v>
      </c>
      <c r="K4063" s="2" t="s">
        <v>19228</v>
      </c>
      <c r="L4063" s="82" t="s">
        <v>19512</v>
      </c>
    </row>
    <row r="4064" spans="1:12" ht="96" customHeight="1" x14ac:dyDescent="0.3">
      <c r="A4064" s="2">
        <v>4060</v>
      </c>
      <c r="B4064" s="66" t="s">
        <v>4700</v>
      </c>
      <c r="C4064" s="66" t="s">
        <v>3145</v>
      </c>
      <c r="D4064" s="244">
        <v>4252.5</v>
      </c>
      <c r="E4064" s="11">
        <v>4252.5</v>
      </c>
      <c r="F4064" s="3">
        <v>41971</v>
      </c>
      <c r="G4064" s="2" t="s">
        <v>14104</v>
      </c>
      <c r="H4064" s="3">
        <v>43053</v>
      </c>
      <c r="I4064" s="2" t="s">
        <v>19506</v>
      </c>
      <c r="J4064" s="2" t="s">
        <v>13904</v>
      </c>
      <c r="K4064" s="2" t="s">
        <v>19228</v>
      </c>
      <c r="L4064" s="82" t="s">
        <v>19512</v>
      </c>
    </row>
    <row r="4065" spans="1:12" ht="96" customHeight="1" x14ac:dyDescent="0.3">
      <c r="A4065" s="2">
        <v>4061</v>
      </c>
      <c r="B4065" s="66" t="s">
        <v>4700</v>
      </c>
      <c r="C4065" s="66" t="s">
        <v>3243</v>
      </c>
      <c r="D4065" s="244">
        <v>4252.5</v>
      </c>
      <c r="E4065" s="11">
        <v>4252.5</v>
      </c>
      <c r="F4065" s="3">
        <v>41971</v>
      </c>
      <c r="G4065" s="2" t="s">
        <v>14104</v>
      </c>
      <c r="H4065" s="3">
        <v>43053</v>
      </c>
      <c r="I4065" s="2" t="s">
        <v>19506</v>
      </c>
      <c r="J4065" s="2" t="s">
        <v>13904</v>
      </c>
      <c r="K4065" s="2" t="s">
        <v>19228</v>
      </c>
      <c r="L4065" s="82" t="s">
        <v>19512</v>
      </c>
    </row>
    <row r="4066" spans="1:12" ht="96" customHeight="1" x14ac:dyDescent="0.3">
      <c r="A4066" s="2">
        <v>4062</v>
      </c>
      <c r="B4066" s="66" t="s">
        <v>4700</v>
      </c>
      <c r="C4066" s="66" t="s">
        <v>3244</v>
      </c>
      <c r="D4066" s="244">
        <v>4252.5</v>
      </c>
      <c r="E4066" s="11">
        <v>4252.5</v>
      </c>
      <c r="F4066" s="3">
        <v>41971</v>
      </c>
      <c r="G4066" s="2" t="s">
        <v>14104</v>
      </c>
      <c r="H4066" s="3">
        <v>43053</v>
      </c>
      <c r="I4066" s="2" t="s">
        <v>19506</v>
      </c>
      <c r="J4066" s="2" t="s">
        <v>13904</v>
      </c>
      <c r="K4066" s="2" t="s">
        <v>19228</v>
      </c>
      <c r="L4066" s="82" t="s">
        <v>19512</v>
      </c>
    </row>
    <row r="4067" spans="1:12" ht="96" customHeight="1" x14ac:dyDescent="0.3">
      <c r="A4067" s="2">
        <v>4063</v>
      </c>
      <c r="B4067" s="66" t="s">
        <v>4700</v>
      </c>
      <c r="C4067" s="66" t="s">
        <v>3242</v>
      </c>
      <c r="D4067" s="244">
        <v>4252.5</v>
      </c>
      <c r="E4067" s="11">
        <v>4252.5</v>
      </c>
      <c r="F4067" s="3">
        <v>41971</v>
      </c>
      <c r="G4067" s="2" t="s">
        <v>14104</v>
      </c>
      <c r="H4067" s="3">
        <v>43053</v>
      </c>
      <c r="I4067" s="2" t="s">
        <v>19506</v>
      </c>
      <c r="J4067" s="2" t="s">
        <v>13904</v>
      </c>
      <c r="K4067" s="2" t="s">
        <v>19228</v>
      </c>
      <c r="L4067" s="82" t="s">
        <v>19512</v>
      </c>
    </row>
    <row r="4068" spans="1:12" ht="96" customHeight="1" x14ac:dyDescent="0.3">
      <c r="A4068" s="2">
        <v>4064</v>
      </c>
      <c r="B4068" s="66" t="s">
        <v>4700</v>
      </c>
      <c r="C4068" s="66" t="s">
        <v>3245</v>
      </c>
      <c r="D4068" s="244">
        <v>4252.5</v>
      </c>
      <c r="E4068" s="11">
        <v>4252.5</v>
      </c>
      <c r="F4068" s="3">
        <v>41971</v>
      </c>
      <c r="G4068" s="2" t="s">
        <v>14104</v>
      </c>
      <c r="H4068" s="3">
        <v>43053</v>
      </c>
      <c r="I4068" s="2" t="s">
        <v>19506</v>
      </c>
      <c r="J4068" s="2" t="s">
        <v>13904</v>
      </c>
      <c r="K4068" s="2" t="s">
        <v>19228</v>
      </c>
      <c r="L4068" s="82" t="s">
        <v>19512</v>
      </c>
    </row>
    <row r="4069" spans="1:12" ht="96" customHeight="1" x14ac:dyDescent="0.3">
      <c r="A4069" s="2">
        <v>4065</v>
      </c>
      <c r="B4069" s="66" t="s">
        <v>4700</v>
      </c>
      <c r="C4069" s="66" t="s">
        <v>3246</v>
      </c>
      <c r="D4069" s="244">
        <v>4252.5</v>
      </c>
      <c r="E4069" s="11">
        <v>4252.5</v>
      </c>
      <c r="F4069" s="3">
        <v>41971</v>
      </c>
      <c r="G4069" s="2" t="s">
        <v>14104</v>
      </c>
      <c r="H4069" s="3">
        <v>43053</v>
      </c>
      <c r="I4069" s="2" t="s">
        <v>19506</v>
      </c>
      <c r="J4069" s="2" t="s">
        <v>13904</v>
      </c>
      <c r="K4069" s="2" t="s">
        <v>19228</v>
      </c>
      <c r="L4069" s="82" t="s">
        <v>19512</v>
      </c>
    </row>
    <row r="4070" spans="1:12" ht="96" customHeight="1" x14ac:dyDescent="0.3">
      <c r="A4070" s="2">
        <v>4066</v>
      </c>
      <c r="B4070" s="66" t="s">
        <v>4700</v>
      </c>
      <c r="C4070" s="66" t="s">
        <v>3384</v>
      </c>
      <c r="D4070" s="244">
        <v>4252.5</v>
      </c>
      <c r="E4070" s="11">
        <v>4252.5</v>
      </c>
      <c r="F4070" s="3">
        <v>41971</v>
      </c>
      <c r="G4070" s="2" t="s">
        <v>14104</v>
      </c>
      <c r="H4070" s="3">
        <v>43053</v>
      </c>
      <c r="I4070" s="2" t="s">
        <v>19506</v>
      </c>
      <c r="J4070" s="2" t="s">
        <v>13904</v>
      </c>
      <c r="K4070" s="2" t="s">
        <v>19228</v>
      </c>
      <c r="L4070" s="82" t="s">
        <v>19512</v>
      </c>
    </row>
    <row r="4071" spans="1:12" ht="96" customHeight="1" x14ac:dyDescent="0.3">
      <c r="A4071" s="2">
        <v>4067</v>
      </c>
      <c r="B4071" s="66" t="s">
        <v>4700</v>
      </c>
      <c r="C4071" s="66" t="s">
        <v>3383</v>
      </c>
      <c r="D4071" s="244">
        <v>4252.5</v>
      </c>
      <c r="E4071" s="11">
        <v>4252.5</v>
      </c>
      <c r="F4071" s="3">
        <v>41971</v>
      </c>
      <c r="G4071" s="2" t="s">
        <v>14104</v>
      </c>
      <c r="H4071" s="3">
        <v>43053</v>
      </c>
      <c r="I4071" s="2" t="s">
        <v>19506</v>
      </c>
      <c r="J4071" s="2" t="s">
        <v>13904</v>
      </c>
      <c r="K4071" s="2" t="s">
        <v>19228</v>
      </c>
      <c r="L4071" s="82" t="s">
        <v>19512</v>
      </c>
    </row>
    <row r="4072" spans="1:12" ht="96" customHeight="1" x14ac:dyDescent="0.3">
      <c r="A4072" s="2">
        <v>4068</v>
      </c>
      <c r="B4072" s="66" t="s">
        <v>4700</v>
      </c>
      <c r="C4072" s="66" t="s">
        <v>3382</v>
      </c>
      <c r="D4072" s="244">
        <v>4252.5</v>
      </c>
      <c r="E4072" s="11">
        <v>4252.5</v>
      </c>
      <c r="F4072" s="3">
        <v>41971</v>
      </c>
      <c r="G4072" s="2" t="s">
        <v>14104</v>
      </c>
      <c r="H4072" s="3">
        <v>43053</v>
      </c>
      <c r="I4072" s="2" t="s">
        <v>19506</v>
      </c>
      <c r="J4072" s="2" t="s">
        <v>13904</v>
      </c>
      <c r="K4072" s="2" t="s">
        <v>19228</v>
      </c>
      <c r="L4072" s="82" t="s">
        <v>19512</v>
      </c>
    </row>
    <row r="4073" spans="1:12" ht="96" customHeight="1" x14ac:dyDescent="0.3">
      <c r="A4073" s="2">
        <v>4069</v>
      </c>
      <c r="B4073" s="66" t="s">
        <v>4700</v>
      </c>
      <c r="C4073" s="66" t="s">
        <v>3381</v>
      </c>
      <c r="D4073" s="244">
        <v>4252.5</v>
      </c>
      <c r="E4073" s="11">
        <v>4252.5</v>
      </c>
      <c r="F4073" s="3">
        <v>41971</v>
      </c>
      <c r="G4073" s="2" t="s">
        <v>14104</v>
      </c>
      <c r="H4073" s="3">
        <v>43053</v>
      </c>
      <c r="I4073" s="2" t="s">
        <v>19506</v>
      </c>
      <c r="J4073" s="2" t="s">
        <v>13904</v>
      </c>
      <c r="K4073" s="2" t="s">
        <v>19228</v>
      </c>
      <c r="L4073" s="82" t="s">
        <v>19512</v>
      </c>
    </row>
    <row r="4074" spans="1:12" ht="96" customHeight="1" x14ac:dyDescent="0.3">
      <c r="A4074" s="2">
        <v>4070</v>
      </c>
      <c r="B4074" s="66" t="s">
        <v>4700</v>
      </c>
      <c r="C4074" s="66" t="s">
        <v>3380</v>
      </c>
      <c r="D4074" s="244">
        <v>4252.5</v>
      </c>
      <c r="E4074" s="11">
        <v>4252.5</v>
      </c>
      <c r="F4074" s="3">
        <v>41971</v>
      </c>
      <c r="G4074" s="2" t="s">
        <v>14104</v>
      </c>
      <c r="H4074" s="3">
        <v>43053</v>
      </c>
      <c r="I4074" s="2" t="s">
        <v>19506</v>
      </c>
      <c r="J4074" s="2" t="s">
        <v>13904</v>
      </c>
      <c r="K4074" s="2" t="s">
        <v>19228</v>
      </c>
      <c r="L4074" s="82" t="s">
        <v>19512</v>
      </c>
    </row>
    <row r="4075" spans="1:12" ht="96" customHeight="1" x14ac:dyDescent="0.3">
      <c r="A4075" s="2">
        <v>4071</v>
      </c>
      <c r="B4075" s="66" t="s">
        <v>4700</v>
      </c>
      <c r="C4075" s="66" t="s">
        <v>4289</v>
      </c>
      <c r="D4075" s="244">
        <v>4252.5</v>
      </c>
      <c r="E4075" s="11">
        <v>4252.5</v>
      </c>
      <c r="F4075" s="3">
        <v>41971</v>
      </c>
      <c r="G4075" s="2" t="s">
        <v>14104</v>
      </c>
      <c r="H4075" s="3">
        <v>43053</v>
      </c>
      <c r="I4075" s="2" t="s">
        <v>19506</v>
      </c>
      <c r="J4075" s="2" t="s">
        <v>13904</v>
      </c>
      <c r="K4075" s="2" t="s">
        <v>19228</v>
      </c>
      <c r="L4075" s="82" t="s">
        <v>19512</v>
      </c>
    </row>
    <row r="4076" spans="1:12" ht="96" customHeight="1" x14ac:dyDescent="0.3">
      <c r="A4076" s="2">
        <v>4072</v>
      </c>
      <c r="B4076" s="66" t="s">
        <v>4701</v>
      </c>
      <c r="C4076" s="66" t="s">
        <v>3148</v>
      </c>
      <c r="D4076" s="244">
        <v>3667.5</v>
      </c>
      <c r="E4076" s="11">
        <v>3667.5</v>
      </c>
      <c r="F4076" s="3">
        <v>41971</v>
      </c>
      <c r="G4076" s="2" t="s">
        <v>14104</v>
      </c>
      <c r="H4076" s="3">
        <v>43053</v>
      </c>
      <c r="I4076" s="2" t="s">
        <v>19506</v>
      </c>
      <c r="J4076" s="2" t="s">
        <v>13904</v>
      </c>
      <c r="K4076" s="2" t="s">
        <v>19228</v>
      </c>
      <c r="L4076" s="82" t="s">
        <v>19512</v>
      </c>
    </row>
    <row r="4077" spans="1:12" ht="96" customHeight="1" x14ac:dyDescent="0.3">
      <c r="A4077" s="2">
        <v>4073</v>
      </c>
      <c r="B4077" s="66" t="s">
        <v>4702</v>
      </c>
      <c r="C4077" s="66" t="s">
        <v>3147</v>
      </c>
      <c r="D4077" s="244">
        <v>3667.5</v>
      </c>
      <c r="E4077" s="11">
        <v>3667.5</v>
      </c>
      <c r="F4077" s="3">
        <v>41971</v>
      </c>
      <c r="G4077" s="2" t="s">
        <v>14104</v>
      </c>
      <c r="H4077" s="3">
        <v>43053</v>
      </c>
      <c r="I4077" s="2" t="s">
        <v>19506</v>
      </c>
      <c r="J4077" s="2" t="s">
        <v>13904</v>
      </c>
      <c r="K4077" s="2" t="s">
        <v>19228</v>
      </c>
      <c r="L4077" s="82" t="s">
        <v>19512</v>
      </c>
    </row>
    <row r="4078" spans="1:12" ht="96" customHeight="1" x14ac:dyDescent="0.3">
      <c r="A4078" s="2">
        <v>4074</v>
      </c>
      <c r="B4078" s="66" t="s">
        <v>253</v>
      </c>
      <c r="C4078" s="66" t="s">
        <v>4483</v>
      </c>
      <c r="D4078" s="244">
        <v>4612.5</v>
      </c>
      <c r="E4078" s="11">
        <v>4612.5</v>
      </c>
      <c r="F4078" s="3">
        <v>41971</v>
      </c>
      <c r="G4078" s="2" t="s">
        <v>14104</v>
      </c>
      <c r="H4078" s="3">
        <v>43053</v>
      </c>
      <c r="I4078" s="2" t="s">
        <v>19506</v>
      </c>
      <c r="J4078" s="2" t="s">
        <v>13904</v>
      </c>
      <c r="K4078" s="2" t="s">
        <v>19228</v>
      </c>
      <c r="L4078" s="82" t="s">
        <v>19512</v>
      </c>
    </row>
    <row r="4079" spans="1:12" ht="96" customHeight="1" x14ac:dyDescent="0.3">
      <c r="A4079" s="2">
        <v>4075</v>
      </c>
      <c r="B4079" s="66" t="s">
        <v>4703</v>
      </c>
      <c r="C4079" s="66" t="s">
        <v>4039</v>
      </c>
      <c r="D4079" s="244">
        <v>4999.99</v>
      </c>
      <c r="E4079" s="11">
        <v>4999.99</v>
      </c>
      <c r="F4079" s="3">
        <v>41449</v>
      </c>
      <c r="G4079" s="2" t="s">
        <v>14104</v>
      </c>
      <c r="H4079" s="3">
        <v>43053</v>
      </c>
      <c r="I4079" s="2" t="s">
        <v>19506</v>
      </c>
      <c r="J4079" s="2" t="s">
        <v>13904</v>
      </c>
      <c r="K4079" s="2" t="s">
        <v>19228</v>
      </c>
      <c r="L4079" s="82" t="s">
        <v>19512</v>
      </c>
    </row>
    <row r="4080" spans="1:12" ht="96" customHeight="1" x14ac:dyDescent="0.3">
      <c r="A4080" s="2">
        <v>4076</v>
      </c>
      <c r="B4080" s="66" t="s">
        <v>4704</v>
      </c>
      <c r="C4080" s="66" t="s">
        <v>4705</v>
      </c>
      <c r="D4080" s="244">
        <v>6000.3</v>
      </c>
      <c r="E4080" s="11">
        <v>6000.3</v>
      </c>
      <c r="F4080" s="3">
        <v>41115</v>
      </c>
      <c r="G4080" s="2" t="s">
        <v>14104</v>
      </c>
      <c r="H4080" s="3">
        <v>43053</v>
      </c>
      <c r="I4080" s="2" t="s">
        <v>19506</v>
      </c>
      <c r="J4080" s="2" t="s">
        <v>13904</v>
      </c>
      <c r="K4080" s="2" t="s">
        <v>19228</v>
      </c>
      <c r="L4080" s="82" t="s">
        <v>19512</v>
      </c>
    </row>
    <row r="4081" spans="1:12" ht="96" customHeight="1" x14ac:dyDescent="0.3">
      <c r="A4081" s="2">
        <v>4077</v>
      </c>
      <c r="B4081" s="66" t="s">
        <v>3653</v>
      </c>
      <c r="C4081" s="66" t="s">
        <v>4706</v>
      </c>
      <c r="D4081" s="244">
        <v>4319.9799999999996</v>
      </c>
      <c r="E4081" s="11">
        <v>4319.9799999999996</v>
      </c>
      <c r="F4081" s="3">
        <v>41115</v>
      </c>
      <c r="G4081" s="2" t="s">
        <v>14104</v>
      </c>
      <c r="H4081" s="3">
        <v>43053</v>
      </c>
      <c r="I4081" s="2" t="s">
        <v>19506</v>
      </c>
      <c r="J4081" s="2" t="s">
        <v>13904</v>
      </c>
      <c r="K4081" s="2" t="s">
        <v>19228</v>
      </c>
      <c r="L4081" s="82" t="s">
        <v>19512</v>
      </c>
    </row>
    <row r="4082" spans="1:12" ht="96" customHeight="1" x14ac:dyDescent="0.3">
      <c r="A4082" s="2">
        <v>4078</v>
      </c>
      <c r="B4082" s="66" t="s">
        <v>4695</v>
      </c>
      <c r="C4082" s="66" t="s">
        <v>4707</v>
      </c>
      <c r="D4082" s="244">
        <v>4200</v>
      </c>
      <c r="E4082" s="11">
        <v>4200</v>
      </c>
      <c r="F4082" s="3">
        <v>35107</v>
      </c>
      <c r="G4082" s="2" t="s">
        <v>14104</v>
      </c>
      <c r="H4082" s="3">
        <v>43053</v>
      </c>
      <c r="I4082" s="2" t="s">
        <v>19506</v>
      </c>
      <c r="J4082" s="2" t="s">
        <v>13904</v>
      </c>
      <c r="K4082" s="2" t="s">
        <v>19228</v>
      </c>
      <c r="L4082" s="82" t="s">
        <v>19512</v>
      </c>
    </row>
    <row r="4083" spans="1:12" ht="96" customHeight="1" x14ac:dyDescent="0.3">
      <c r="A4083" s="2">
        <v>4079</v>
      </c>
      <c r="B4083" s="66" t="s">
        <v>4708</v>
      </c>
      <c r="C4083" s="66" t="s">
        <v>4709</v>
      </c>
      <c r="D4083" s="244">
        <v>3730</v>
      </c>
      <c r="E4083" s="11">
        <v>3730</v>
      </c>
      <c r="F4083" s="3">
        <v>35107</v>
      </c>
      <c r="G4083" s="2" t="s">
        <v>14104</v>
      </c>
      <c r="H4083" s="3">
        <v>43053</v>
      </c>
      <c r="I4083" s="2" t="s">
        <v>19506</v>
      </c>
      <c r="J4083" s="2" t="s">
        <v>13904</v>
      </c>
      <c r="K4083" s="2" t="s">
        <v>19228</v>
      </c>
      <c r="L4083" s="82" t="s">
        <v>19512</v>
      </c>
    </row>
    <row r="4084" spans="1:12" ht="96" customHeight="1" x14ac:dyDescent="0.3">
      <c r="A4084" s="2">
        <v>4080</v>
      </c>
      <c r="B4084" s="66" t="s">
        <v>4708</v>
      </c>
      <c r="C4084" s="66" t="s">
        <v>4710</v>
      </c>
      <c r="D4084" s="244">
        <v>3730</v>
      </c>
      <c r="E4084" s="11">
        <v>3730</v>
      </c>
      <c r="F4084" s="3">
        <v>35107</v>
      </c>
      <c r="G4084" s="2" t="s">
        <v>14104</v>
      </c>
      <c r="H4084" s="3">
        <v>43053</v>
      </c>
      <c r="I4084" s="2" t="s">
        <v>19506</v>
      </c>
      <c r="J4084" s="2" t="s">
        <v>13904</v>
      </c>
      <c r="K4084" s="2" t="s">
        <v>19228</v>
      </c>
      <c r="L4084" s="82" t="s">
        <v>19512</v>
      </c>
    </row>
    <row r="4085" spans="1:12" ht="96" customHeight="1" x14ac:dyDescent="0.3">
      <c r="A4085" s="2">
        <v>4081</v>
      </c>
      <c r="B4085" s="66" t="s">
        <v>259</v>
      </c>
      <c r="C4085" s="66" t="s">
        <v>4399</v>
      </c>
      <c r="D4085" s="244">
        <v>3436.33</v>
      </c>
      <c r="E4085" s="11">
        <v>3436.33</v>
      </c>
      <c r="F4085" s="3">
        <v>39447</v>
      </c>
      <c r="G4085" s="2" t="s">
        <v>14104</v>
      </c>
      <c r="H4085" s="3">
        <v>43053</v>
      </c>
      <c r="I4085" s="2" t="s">
        <v>19506</v>
      </c>
      <c r="J4085" s="2" t="s">
        <v>13904</v>
      </c>
      <c r="K4085" s="2" t="s">
        <v>19228</v>
      </c>
      <c r="L4085" s="82" t="s">
        <v>19512</v>
      </c>
    </row>
    <row r="4086" spans="1:12" ht="96" customHeight="1" x14ac:dyDescent="0.3">
      <c r="A4086" s="2">
        <v>4082</v>
      </c>
      <c r="B4086" s="66" t="s">
        <v>197</v>
      </c>
      <c r="C4086" s="66" t="s">
        <v>4711</v>
      </c>
      <c r="D4086" s="244">
        <v>4930</v>
      </c>
      <c r="E4086" s="11">
        <v>4930</v>
      </c>
      <c r="F4086" s="3">
        <v>35838</v>
      </c>
      <c r="G4086" s="2" t="s">
        <v>14104</v>
      </c>
      <c r="H4086" s="3">
        <v>43053</v>
      </c>
      <c r="I4086" s="2" t="s">
        <v>19506</v>
      </c>
      <c r="J4086" s="2" t="s">
        <v>13904</v>
      </c>
      <c r="K4086" s="2" t="s">
        <v>19228</v>
      </c>
      <c r="L4086" s="82" t="s">
        <v>19512</v>
      </c>
    </row>
    <row r="4087" spans="1:12" ht="96" customHeight="1" x14ac:dyDescent="0.3">
      <c r="A4087" s="2">
        <v>4083</v>
      </c>
      <c r="B4087" s="66" t="s">
        <v>4712</v>
      </c>
      <c r="C4087" s="66" t="s">
        <v>4713</v>
      </c>
      <c r="D4087" s="244">
        <v>6028.98</v>
      </c>
      <c r="E4087" s="11">
        <v>6028.98</v>
      </c>
      <c r="F4087" s="3">
        <v>39079</v>
      </c>
      <c r="G4087" s="2" t="s">
        <v>14104</v>
      </c>
      <c r="H4087" s="3">
        <v>43053</v>
      </c>
      <c r="I4087" s="2" t="s">
        <v>19506</v>
      </c>
      <c r="J4087" s="2" t="s">
        <v>13904</v>
      </c>
      <c r="K4087" s="2" t="s">
        <v>19228</v>
      </c>
      <c r="L4087" s="82" t="s">
        <v>19512</v>
      </c>
    </row>
    <row r="4088" spans="1:12" ht="96" customHeight="1" x14ac:dyDescent="0.3">
      <c r="A4088" s="2">
        <v>4084</v>
      </c>
      <c r="B4088" s="66" t="s">
        <v>4714</v>
      </c>
      <c r="C4088" s="66" t="s">
        <v>4715</v>
      </c>
      <c r="D4088" s="244">
        <v>9441</v>
      </c>
      <c r="E4088" s="11">
        <v>9441</v>
      </c>
      <c r="F4088" s="3">
        <v>39394</v>
      </c>
      <c r="G4088" s="2" t="s">
        <v>14104</v>
      </c>
      <c r="H4088" s="3">
        <v>43053</v>
      </c>
      <c r="I4088" s="2" t="s">
        <v>19506</v>
      </c>
      <c r="J4088" s="2" t="s">
        <v>13904</v>
      </c>
      <c r="K4088" s="2" t="s">
        <v>19228</v>
      </c>
      <c r="L4088" s="82" t="s">
        <v>19512</v>
      </c>
    </row>
    <row r="4089" spans="1:12" ht="96" customHeight="1" x14ac:dyDescent="0.3">
      <c r="A4089" s="2">
        <v>4085</v>
      </c>
      <c r="B4089" s="66" t="s">
        <v>4716</v>
      </c>
      <c r="C4089" s="66" t="s">
        <v>3154</v>
      </c>
      <c r="D4089" s="244">
        <v>3100</v>
      </c>
      <c r="E4089" s="11">
        <v>3100</v>
      </c>
      <c r="F4089" s="3">
        <v>41981</v>
      </c>
      <c r="G4089" s="2" t="s">
        <v>14104</v>
      </c>
      <c r="H4089" s="3">
        <v>43053</v>
      </c>
      <c r="I4089" s="2" t="s">
        <v>19506</v>
      </c>
      <c r="J4089" s="2" t="s">
        <v>13904</v>
      </c>
      <c r="K4089" s="2" t="s">
        <v>19228</v>
      </c>
      <c r="L4089" s="82" t="s">
        <v>19512</v>
      </c>
    </row>
    <row r="4090" spans="1:12" ht="96" customHeight="1" x14ac:dyDescent="0.3">
      <c r="A4090" s="2">
        <v>4086</v>
      </c>
      <c r="B4090" s="66" t="s">
        <v>4716</v>
      </c>
      <c r="C4090" s="66" t="s">
        <v>3155</v>
      </c>
      <c r="D4090" s="244">
        <v>3100</v>
      </c>
      <c r="E4090" s="11">
        <v>3100</v>
      </c>
      <c r="F4090" s="3">
        <v>41981</v>
      </c>
      <c r="G4090" s="2" t="s">
        <v>14104</v>
      </c>
      <c r="H4090" s="3">
        <v>43053</v>
      </c>
      <c r="I4090" s="2" t="s">
        <v>19506</v>
      </c>
      <c r="J4090" s="2" t="s">
        <v>13904</v>
      </c>
      <c r="K4090" s="2" t="s">
        <v>19228</v>
      </c>
      <c r="L4090" s="82" t="s">
        <v>19512</v>
      </c>
    </row>
    <row r="4091" spans="1:12" ht="96" customHeight="1" x14ac:dyDescent="0.3">
      <c r="A4091" s="2">
        <v>4087</v>
      </c>
      <c r="B4091" s="66" t="s">
        <v>4716</v>
      </c>
      <c r="C4091" s="66" t="s">
        <v>3751</v>
      </c>
      <c r="D4091" s="244">
        <v>3100</v>
      </c>
      <c r="E4091" s="11">
        <v>3100</v>
      </c>
      <c r="F4091" s="3">
        <v>41981</v>
      </c>
      <c r="G4091" s="2" t="s">
        <v>14104</v>
      </c>
      <c r="H4091" s="3">
        <v>43053</v>
      </c>
      <c r="I4091" s="2" t="s">
        <v>19506</v>
      </c>
      <c r="J4091" s="2" t="s">
        <v>13904</v>
      </c>
      <c r="K4091" s="2" t="s">
        <v>19228</v>
      </c>
      <c r="L4091" s="82" t="s">
        <v>19512</v>
      </c>
    </row>
    <row r="4092" spans="1:12" ht="96" customHeight="1" x14ac:dyDescent="0.3">
      <c r="A4092" s="2">
        <v>4088</v>
      </c>
      <c r="B4092" s="66" t="s">
        <v>4716</v>
      </c>
      <c r="C4092" s="66" t="s">
        <v>3744</v>
      </c>
      <c r="D4092" s="244">
        <v>3100</v>
      </c>
      <c r="E4092" s="11">
        <v>3100</v>
      </c>
      <c r="F4092" s="3">
        <v>41981</v>
      </c>
      <c r="G4092" s="2" t="s">
        <v>14104</v>
      </c>
      <c r="H4092" s="3">
        <v>43053</v>
      </c>
      <c r="I4092" s="2" t="s">
        <v>19506</v>
      </c>
      <c r="J4092" s="2" t="s">
        <v>13904</v>
      </c>
      <c r="K4092" s="2" t="s">
        <v>19228</v>
      </c>
      <c r="L4092" s="82" t="s">
        <v>19512</v>
      </c>
    </row>
    <row r="4093" spans="1:12" ht="96" customHeight="1" x14ac:dyDescent="0.3">
      <c r="A4093" s="2">
        <v>4089</v>
      </c>
      <c r="B4093" s="66" t="s">
        <v>4716</v>
      </c>
      <c r="C4093" s="66" t="s">
        <v>3749</v>
      </c>
      <c r="D4093" s="244">
        <v>3100</v>
      </c>
      <c r="E4093" s="11">
        <v>3100</v>
      </c>
      <c r="F4093" s="3">
        <v>41981</v>
      </c>
      <c r="G4093" s="2" t="s">
        <v>14104</v>
      </c>
      <c r="H4093" s="3">
        <v>43053</v>
      </c>
      <c r="I4093" s="2" t="s">
        <v>19506</v>
      </c>
      <c r="J4093" s="2" t="s">
        <v>13904</v>
      </c>
      <c r="K4093" s="2" t="s">
        <v>19228</v>
      </c>
      <c r="L4093" s="82" t="s">
        <v>19512</v>
      </c>
    </row>
    <row r="4094" spans="1:12" ht="96" customHeight="1" x14ac:dyDescent="0.3">
      <c r="A4094" s="2">
        <v>4090</v>
      </c>
      <c r="B4094" s="66" t="s">
        <v>4716</v>
      </c>
      <c r="C4094" s="66" t="s">
        <v>3756</v>
      </c>
      <c r="D4094" s="244">
        <v>3100</v>
      </c>
      <c r="E4094" s="11">
        <v>3100</v>
      </c>
      <c r="F4094" s="3">
        <v>41981</v>
      </c>
      <c r="G4094" s="2" t="s">
        <v>14104</v>
      </c>
      <c r="H4094" s="3">
        <v>43053</v>
      </c>
      <c r="I4094" s="2" t="s">
        <v>19506</v>
      </c>
      <c r="J4094" s="2" t="s">
        <v>13904</v>
      </c>
      <c r="K4094" s="2" t="s">
        <v>19228</v>
      </c>
      <c r="L4094" s="82" t="s">
        <v>19512</v>
      </c>
    </row>
    <row r="4095" spans="1:12" ht="96" customHeight="1" x14ac:dyDescent="0.3">
      <c r="A4095" s="2">
        <v>4091</v>
      </c>
      <c r="B4095" s="66" t="s">
        <v>4717</v>
      </c>
      <c r="C4095" s="66" t="s">
        <v>3758</v>
      </c>
      <c r="D4095" s="244">
        <v>3580</v>
      </c>
      <c r="E4095" s="11">
        <v>3580</v>
      </c>
      <c r="F4095" s="3">
        <v>41981</v>
      </c>
      <c r="G4095" s="2" t="s">
        <v>14104</v>
      </c>
      <c r="H4095" s="3">
        <v>43053</v>
      </c>
      <c r="I4095" s="2" t="s">
        <v>19506</v>
      </c>
      <c r="J4095" s="2" t="s">
        <v>13904</v>
      </c>
      <c r="K4095" s="2" t="s">
        <v>19228</v>
      </c>
      <c r="L4095" s="82" t="s">
        <v>19512</v>
      </c>
    </row>
    <row r="4096" spans="1:12" ht="96" customHeight="1" x14ac:dyDescent="0.3">
      <c r="A4096" s="2">
        <v>4092</v>
      </c>
      <c r="B4096" s="66" t="s">
        <v>4717</v>
      </c>
      <c r="C4096" s="66" t="s">
        <v>3759</v>
      </c>
      <c r="D4096" s="244">
        <v>3580</v>
      </c>
      <c r="E4096" s="11">
        <v>3580</v>
      </c>
      <c r="F4096" s="3">
        <v>41981</v>
      </c>
      <c r="G4096" s="2" t="s">
        <v>14104</v>
      </c>
      <c r="H4096" s="3">
        <v>43053</v>
      </c>
      <c r="I4096" s="2" t="s">
        <v>19506</v>
      </c>
      <c r="J4096" s="2" t="s">
        <v>13904</v>
      </c>
      <c r="K4096" s="2" t="s">
        <v>19228</v>
      </c>
      <c r="L4096" s="82" t="s">
        <v>19512</v>
      </c>
    </row>
    <row r="4097" spans="1:15" s="19" customFormat="1" ht="96" customHeight="1" x14ac:dyDescent="0.3">
      <c r="A4097" s="2">
        <v>4093</v>
      </c>
      <c r="B4097" s="66" t="s">
        <v>1062</v>
      </c>
      <c r="C4097" s="66" t="s">
        <v>3344</v>
      </c>
      <c r="D4097" s="11">
        <v>99941.34</v>
      </c>
      <c r="E4097" s="11">
        <v>58299.14</v>
      </c>
      <c r="F4097" s="3">
        <v>42004</v>
      </c>
      <c r="G4097" s="2" t="s">
        <v>14104</v>
      </c>
      <c r="H4097" s="2"/>
      <c r="I4097" s="2"/>
      <c r="J4097" s="2" t="s">
        <v>13904</v>
      </c>
      <c r="K4097" s="2" t="s">
        <v>19225</v>
      </c>
      <c r="L4097" s="2" t="s">
        <v>18603</v>
      </c>
      <c r="M4097" s="18"/>
      <c r="N4097" s="18"/>
      <c r="O4097" s="18"/>
    </row>
    <row r="4098" spans="1:15" ht="96" customHeight="1" x14ac:dyDescent="0.3">
      <c r="A4098" s="2">
        <v>4094</v>
      </c>
      <c r="B4098" s="66" t="s">
        <v>4718</v>
      </c>
      <c r="C4098" s="66" t="s">
        <v>4719</v>
      </c>
      <c r="D4098" s="11">
        <v>25000</v>
      </c>
      <c r="E4098" s="11">
        <v>18808.2</v>
      </c>
      <c r="F4098" s="3">
        <v>39445</v>
      </c>
      <c r="G4098" s="2" t="s">
        <v>14104</v>
      </c>
      <c r="H4098" s="3">
        <v>43053</v>
      </c>
      <c r="I4098" s="2" t="s">
        <v>19506</v>
      </c>
      <c r="J4098" s="2" t="s">
        <v>13904</v>
      </c>
      <c r="K4098" s="2" t="s">
        <v>19225</v>
      </c>
      <c r="L4098" s="82" t="s">
        <v>19512</v>
      </c>
    </row>
    <row r="4099" spans="1:15" ht="96" customHeight="1" x14ac:dyDescent="0.3">
      <c r="A4099" s="2">
        <v>4095</v>
      </c>
      <c r="B4099" s="66" t="s">
        <v>4720</v>
      </c>
      <c r="C4099" s="66" t="s">
        <v>4721</v>
      </c>
      <c r="D4099" s="11">
        <v>49199.99</v>
      </c>
      <c r="E4099" s="11">
        <v>27880</v>
      </c>
      <c r="F4099" s="3">
        <v>41145</v>
      </c>
      <c r="G4099" s="2" t="s">
        <v>14104</v>
      </c>
      <c r="H4099" s="3">
        <v>43053</v>
      </c>
      <c r="I4099" s="2" t="s">
        <v>19506</v>
      </c>
      <c r="J4099" s="2" t="s">
        <v>13904</v>
      </c>
      <c r="K4099" s="2" t="s">
        <v>19225</v>
      </c>
      <c r="L4099" s="82" t="s">
        <v>19512</v>
      </c>
    </row>
    <row r="4100" spans="1:15" ht="96" customHeight="1" x14ac:dyDescent="0.3">
      <c r="A4100" s="2">
        <v>4096</v>
      </c>
      <c r="B4100" s="66" t="s">
        <v>4722</v>
      </c>
      <c r="C4100" s="66" t="s">
        <v>4723</v>
      </c>
      <c r="D4100" s="11">
        <v>56620</v>
      </c>
      <c r="E4100" s="11">
        <v>55047.3</v>
      </c>
      <c r="F4100" s="3">
        <v>41619</v>
      </c>
      <c r="G4100" s="2" t="s">
        <v>14104</v>
      </c>
      <c r="H4100" s="2"/>
      <c r="I4100" s="2"/>
      <c r="J4100" s="2" t="s">
        <v>13904</v>
      </c>
      <c r="K4100" s="2" t="s">
        <v>19225</v>
      </c>
      <c r="L4100" s="82" t="s">
        <v>18603</v>
      </c>
    </row>
    <row r="4101" spans="1:15" ht="96" customHeight="1" x14ac:dyDescent="0.3">
      <c r="A4101" s="2">
        <v>4097</v>
      </c>
      <c r="B4101" s="66" t="s">
        <v>4724</v>
      </c>
      <c r="C4101" s="66" t="s">
        <v>4725</v>
      </c>
      <c r="D4101" s="11">
        <v>50500</v>
      </c>
      <c r="E4101" s="11">
        <v>14729.05</v>
      </c>
      <c r="F4101" s="3">
        <v>41619</v>
      </c>
      <c r="G4101" s="2" t="s">
        <v>14104</v>
      </c>
      <c r="H4101" s="2"/>
      <c r="I4101" s="2"/>
      <c r="J4101" s="2" t="s">
        <v>13904</v>
      </c>
      <c r="K4101" s="2" t="s">
        <v>19225</v>
      </c>
      <c r="L4101" s="82" t="s">
        <v>18603</v>
      </c>
    </row>
    <row r="4102" spans="1:15" ht="96" customHeight="1" x14ac:dyDescent="0.3">
      <c r="A4102" s="2">
        <v>4098</v>
      </c>
      <c r="B4102" s="66" t="s">
        <v>4726</v>
      </c>
      <c r="C4102" s="66" t="s">
        <v>4727</v>
      </c>
      <c r="D4102" s="11">
        <v>62900</v>
      </c>
      <c r="E4102" s="11">
        <v>31449.96</v>
      </c>
      <c r="F4102" s="3">
        <v>41619</v>
      </c>
      <c r="G4102" s="2" t="s">
        <v>14104</v>
      </c>
      <c r="H4102" s="2"/>
      <c r="I4102" s="2"/>
      <c r="J4102" s="2" t="s">
        <v>13904</v>
      </c>
      <c r="K4102" s="2" t="s">
        <v>19225</v>
      </c>
      <c r="L4102" s="2" t="s">
        <v>18603</v>
      </c>
    </row>
    <row r="4103" spans="1:15" ht="96" customHeight="1" x14ac:dyDescent="0.3">
      <c r="A4103" s="2">
        <v>4099</v>
      </c>
      <c r="B4103" s="66" t="s">
        <v>4728</v>
      </c>
      <c r="C4103" s="66" t="s">
        <v>4537</v>
      </c>
      <c r="D4103" s="11">
        <v>98300</v>
      </c>
      <c r="E4103" s="11">
        <v>37681.589999999997</v>
      </c>
      <c r="F4103" s="3">
        <v>41988</v>
      </c>
      <c r="G4103" s="2" t="s">
        <v>14104</v>
      </c>
      <c r="H4103" s="2"/>
      <c r="I4103" s="2"/>
      <c r="J4103" s="2" t="s">
        <v>13904</v>
      </c>
      <c r="K4103" s="2" t="s">
        <v>19225</v>
      </c>
      <c r="L4103" s="82" t="s">
        <v>18603</v>
      </c>
    </row>
    <row r="4104" spans="1:15" ht="96" customHeight="1" x14ac:dyDescent="0.3">
      <c r="A4104" s="2">
        <v>4100</v>
      </c>
      <c r="B4104" s="66" t="s">
        <v>4538</v>
      </c>
      <c r="C4104" s="66" t="s">
        <v>4729</v>
      </c>
      <c r="D4104" s="11">
        <v>25000</v>
      </c>
      <c r="E4104" s="11">
        <v>25000</v>
      </c>
      <c r="F4104" s="3">
        <v>39595</v>
      </c>
      <c r="G4104" s="2" t="s">
        <v>14104</v>
      </c>
      <c r="H4104" s="3">
        <v>43053</v>
      </c>
      <c r="I4104" s="2" t="s">
        <v>19506</v>
      </c>
      <c r="J4104" s="2" t="s">
        <v>13904</v>
      </c>
      <c r="K4104" s="2" t="s">
        <v>19225</v>
      </c>
      <c r="L4104" s="82" t="s">
        <v>19512</v>
      </c>
    </row>
    <row r="4105" spans="1:15" ht="96" customHeight="1" x14ac:dyDescent="0.3">
      <c r="A4105" s="2">
        <v>4101</v>
      </c>
      <c r="B4105" s="66" t="s">
        <v>4730</v>
      </c>
      <c r="C4105" s="66"/>
      <c r="D4105" s="11">
        <v>64626.49</v>
      </c>
      <c r="E4105" s="11">
        <v>64626.49</v>
      </c>
      <c r="F4105" s="3">
        <v>40674</v>
      </c>
      <c r="G4105" s="2" t="s">
        <v>14104</v>
      </c>
      <c r="H4105" s="3">
        <v>43053</v>
      </c>
      <c r="I4105" s="2" t="s">
        <v>19506</v>
      </c>
      <c r="J4105" s="2" t="s">
        <v>13904</v>
      </c>
      <c r="K4105" s="2" t="s">
        <v>19225</v>
      </c>
      <c r="L4105" s="82" t="s">
        <v>19512</v>
      </c>
    </row>
    <row r="4106" spans="1:15" ht="96" customHeight="1" x14ac:dyDescent="0.3">
      <c r="A4106" s="2">
        <v>4102</v>
      </c>
      <c r="B4106" s="66" t="s">
        <v>4731</v>
      </c>
      <c r="C4106" s="66"/>
      <c r="D4106" s="11">
        <v>107009.79</v>
      </c>
      <c r="E4106" s="11">
        <v>107009.79</v>
      </c>
      <c r="F4106" s="3">
        <v>41898</v>
      </c>
      <c r="G4106" s="2" t="s">
        <v>14104</v>
      </c>
      <c r="H4106" s="3">
        <v>43053</v>
      </c>
      <c r="I4106" s="2" t="s">
        <v>19506</v>
      </c>
      <c r="J4106" s="2" t="s">
        <v>13904</v>
      </c>
      <c r="K4106" s="2" t="s">
        <v>19225</v>
      </c>
      <c r="L4106" s="82" t="s">
        <v>19512</v>
      </c>
    </row>
    <row r="4107" spans="1:15" ht="96" customHeight="1" x14ac:dyDescent="0.3">
      <c r="A4107" s="2">
        <v>4103</v>
      </c>
      <c r="B4107" s="66" t="s">
        <v>4732</v>
      </c>
      <c r="C4107" s="66"/>
      <c r="D4107" s="11">
        <v>7364.27</v>
      </c>
      <c r="E4107" s="11">
        <v>7364.27</v>
      </c>
      <c r="F4107" s="3"/>
      <c r="G4107" s="2" t="s">
        <v>14104</v>
      </c>
      <c r="H4107" s="3">
        <v>43053</v>
      </c>
      <c r="I4107" s="2" t="s">
        <v>19506</v>
      </c>
      <c r="J4107" s="2" t="s">
        <v>13904</v>
      </c>
      <c r="K4107" s="2" t="s">
        <v>19225</v>
      </c>
      <c r="L4107" s="82" t="s">
        <v>19512</v>
      </c>
    </row>
    <row r="4108" spans="1:15" ht="96" customHeight="1" x14ac:dyDescent="0.3">
      <c r="A4108" s="2">
        <v>4104</v>
      </c>
      <c r="B4108" s="66" t="s">
        <v>4547</v>
      </c>
      <c r="C4108" s="66"/>
      <c r="D4108" s="11">
        <v>14216.3</v>
      </c>
      <c r="E4108" s="11">
        <v>14216.3</v>
      </c>
      <c r="F4108" s="3">
        <v>40459</v>
      </c>
      <c r="G4108" s="2" t="s">
        <v>14104</v>
      </c>
      <c r="H4108" s="3">
        <v>43053</v>
      </c>
      <c r="I4108" s="2" t="s">
        <v>19506</v>
      </c>
      <c r="J4108" s="2" t="s">
        <v>13904</v>
      </c>
      <c r="K4108" s="2" t="s">
        <v>19225</v>
      </c>
      <c r="L4108" s="82" t="s">
        <v>19512</v>
      </c>
    </row>
    <row r="4109" spans="1:15" ht="96" customHeight="1" x14ac:dyDescent="0.3">
      <c r="A4109" s="2">
        <v>4105</v>
      </c>
      <c r="B4109" s="66" t="s">
        <v>4548</v>
      </c>
      <c r="C4109" s="66"/>
      <c r="D4109" s="11">
        <v>20878.46</v>
      </c>
      <c r="E4109" s="11">
        <v>20878.46</v>
      </c>
      <c r="F4109" s="3">
        <v>40877</v>
      </c>
      <c r="G4109" s="2" t="s">
        <v>14104</v>
      </c>
      <c r="H4109" s="3">
        <v>43053</v>
      </c>
      <c r="I4109" s="2" t="s">
        <v>19506</v>
      </c>
      <c r="J4109" s="2" t="s">
        <v>13904</v>
      </c>
      <c r="K4109" s="2" t="s">
        <v>19225</v>
      </c>
      <c r="L4109" s="82" t="s">
        <v>19512</v>
      </c>
    </row>
    <row r="4110" spans="1:15" ht="96" customHeight="1" x14ac:dyDescent="0.3">
      <c r="A4110" s="2">
        <v>4106</v>
      </c>
      <c r="B4110" s="66" t="s">
        <v>4733</v>
      </c>
      <c r="C4110" s="66"/>
      <c r="D4110" s="11">
        <v>41433.25</v>
      </c>
      <c r="E4110" s="11">
        <v>41433.25</v>
      </c>
      <c r="F4110" s="3">
        <v>41180</v>
      </c>
      <c r="G4110" s="2" t="s">
        <v>14104</v>
      </c>
      <c r="H4110" s="3">
        <v>43053</v>
      </c>
      <c r="I4110" s="2" t="s">
        <v>19506</v>
      </c>
      <c r="J4110" s="2" t="s">
        <v>13904</v>
      </c>
      <c r="K4110" s="2" t="s">
        <v>19225</v>
      </c>
      <c r="L4110" s="82" t="s">
        <v>19512</v>
      </c>
    </row>
    <row r="4111" spans="1:15" ht="96" customHeight="1" x14ac:dyDescent="0.3">
      <c r="A4111" s="2">
        <v>4107</v>
      </c>
      <c r="B4111" s="66" t="s">
        <v>4552</v>
      </c>
      <c r="C4111" s="66"/>
      <c r="D4111" s="11">
        <v>86982.57</v>
      </c>
      <c r="E4111" s="11">
        <v>86982.57</v>
      </c>
      <c r="F4111" s="3">
        <v>41547</v>
      </c>
      <c r="G4111" s="2" t="s">
        <v>14104</v>
      </c>
      <c r="H4111" s="3">
        <v>43053</v>
      </c>
      <c r="I4111" s="2" t="s">
        <v>19506</v>
      </c>
      <c r="J4111" s="2" t="s">
        <v>13904</v>
      </c>
      <c r="K4111" s="2" t="s">
        <v>19225</v>
      </c>
      <c r="L4111" s="82" t="s">
        <v>19512</v>
      </c>
    </row>
    <row r="4112" spans="1:15" ht="96" customHeight="1" x14ac:dyDescent="0.3">
      <c r="A4112" s="2">
        <v>4108</v>
      </c>
      <c r="B4112" s="66" t="s">
        <v>4734</v>
      </c>
      <c r="C4112" s="66"/>
      <c r="D4112" s="11">
        <v>3140</v>
      </c>
      <c r="E4112" s="11">
        <v>3140</v>
      </c>
      <c r="F4112" s="3">
        <v>42156</v>
      </c>
      <c r="G4112" s="2" t="s">
        <v>14104</v>
      </c>
      <c r="H4112" s="3">
        <v>43053</v>
      </c>
      <c r="I4112" s="2" t="s">
        <v>19506</v>
      </c>
      <c r="J4112" s="2" t="s">
        <v>13904</v>
      </c>
      <c r="K4112" s="2" t="s">
        <v>19225</v>
      </c>
      <c r="L4112" s="82" t="s">
        <v>19512</v>
      </c>
    </row>
    <row r="4113" spans="1:12" ht="96" customHeight="1" x14ac:dyDescent="0.3">
      <c r="A4113" s="2">
        <v>4109</v>
      </c>
      <c r="B4113" s="66" t="s">
        <v>4735</v>
      </c>
      <c r="C4113" s="66"/>
      <c r="D4113" s="11">
        <v>9855.7800000000007</v>
      </c>
      <c r="E4113" s="11">
        <v>9855.7800000000007</v>
      </c>
      <c r="F4113" s="3">
        <v>42156</v>
      </c>
      <c r="G4113" s="2" t="s">
        <v>14104</v>
      </c>
      <c r="H4113" s="3">
        <v>43053</v>
      </c>
      <c r="I4113" s="2" t="s">
        <v>19506</v>
      </c>
      <c r="J4113" s="2" t="s">
        <v>13904</v>
      </c>
      <c r="K4113" s="2" t="s">
        <v>19225</v>
      </c>
      <c r="L4113" s="82" t="s">
        <v>19512</v>
      </c>
    </row>
    <row r="4114" spans="1:12" ht="96" customHeight="1" x14ac:dyDescent="0.3">
      <c r="A4114" s="2">
        <v>4110</v>
      </c>
      <c r="B4114" s="66" t="s">
        <v>4556</v>
      </c>
      <c r="C4114" s="66" t="s">
        <v>4736</v>
      </c>
      <c r="D4114" s="11">
        <v>4545</v>
      </c>
      <c r="E4114" s="11">
        <v>4545</v>
      </c>
      <c r="F4114" s="3">
        <v>41736</v>
      </c>
      <c r="G4114" s="2" t="s">
        <v>14104</v>
      </c>
      <c r="H4114" s="3">
        <v>43053</v>
      </c>
      <c r="I4114" s="2" t="s">
        <v>19506</v>
      </c>
      <c r="J4114" s="2" t="s">
        <v>13904</v>
      </c>
      <c r="K4114" s="2" t="s">
        <v>19225</v>
      </c>
      <c r="L4114" s="82" t="s">
        <v>19512</v>
      </c>
    </row>
    <row r="4115" spans="1:12" ht="96" customHeight="1" x14ac:dyDescent="0.3">
      <c r="A4115" s="2">
        <v>4111</v>
      </c>
      <c r="B4115" s="66" t="s">
        <v>4737</v>
      </c>
      <c r="C4115" s="66" t="s">
        <v>4738</v>
      </c>
      <c r="D4115" s="11">
        <v>3770</v>
      </c>
      <c r="E4115" s="11">
        <v>3770</v>
      </c>
      <c r="F4115" s="3">
        <v>41365</v>
      </c>
      <c r="G4115" s="2" t="s">
        <v>14104</v>
      </c>
      <c r="H4115" s="3">
        <v>43053</v>
      </c>
      <c r="I4115" s="2" t="s">
        <v>19506</v>
      </c>
      <c r="J4115" s="2" t="s">
        <v>13904</v>
      </c>
      <c r="K4115" s="2" t="s">
        <v>19225</v>
      </c>
      <c r="L4115" s="82" t="s">
        <v>19512</v>
      </c>
    </row>
    <row r="4116" spans="1:12" ht="96" customHeight="1" x14ac:dyDescent="0.3">
      <c r="A4116" s="2">
        <v>4112</v>
      </c>
      <c r="B4116" s="66" t="s">
        <v>4739</v>
      </c>
      <c r="C4116" s="66" t="s">
        <v>4635</v>
      </c>
      <c r="D4116" s="11">
        <v>16063</v>
      </c>
      <c r="E4116" s="11">
        <v>16063</v>
      </c>
      <c r="F4116" s="3">
        <v>41558</v>
      </c>
      <c r="G4116" s="2" t="s">
        <v>14104</v>
      </c>
      <c r="H4116" s="3">
        <v>43053</v>
      </c>
      <c r="I4116" s="2" t="s">
        <v>19506</v>
      </c>
      <c r="J4116" s="2" t="s">
        <v>13904</v>
      </c>
      <c r="K4116" s="2" t="s">
        <v>19225</v>
      </c>
      <c r="L4116" s="82" t="s">
        <v>19512</v>
      </c>
    </row>
    <row r="4117" spans="1:12" ht="96" customHeight="1" x14ac:dyDescent="0.3">
      <c r="A4117" s="2">
        <v>4113</v>
      </c>
      <c r="B4117" s="66" t="s">
        <v>4740</v>
      </c>
      <c r="C4117" s="66" t="s">
        <v>3198</v>
      </c>
      <c r="D4117" s="11">
        <v>9865.34</v>
      </c>
      <c r="E4117" s="11">
        <v>9865.34</v>
      </c>
      <c r="F4117" s="3">
        <v>36870</v>
      </c>
      <c r="G4117" s="2" t="s">
        <v>14104</v>
      </c>
      <c r="H4117" s="3">
        <v>43053</v>
      </c>
      <c r="I4117" s="2" t="s">
        <v>19506</v>
      </c>
      <c r="J4117" s="2" t="s">
        <v>13904</v>
      </c>
      <c r="K4117" s="2" t="s">
        <v>19225</v>
      </c>
      <c r="L4117" s="82" t="s">
        <v>19512</v>
      </c>
    </row>
    <row r="4118" spans="1:12" ht="96" customHeight="1" x14ac:dyDescent="0.3">
      <c r="A4118" s="2">
        <v>4114</v>
      </c>
      <c r="B4118" s="66" t="s">
        <v>4741</v>
      </c>
      <c r="C4118" s="66" t="s">
        <v>4108</v>
      </c>
      <c r="D4118" s="11">
        <v>5842</v>
      </c>
      <c r="E4118" s="11">
        <v>5842</v>
      </c>
      <c r="F4118" s="3">
        <v>36688</v>
      </c>
      <c r="G4118" s="2" t="s">
        <v>14104</v>
      </c>
      <c r="H4118" s="3">
        <v>43053</v>
      </c>
      <c r="I4118" s="2" t="s">
        <v>19506</v>
      </c>
      <c r="J4118" s="2" t="s">
        <v>13904</v>
      </c>
      <c r="K4118" s="2" t="s">
        <v>19225</v>
      </c>
      <c r="L4118" s="82" t="s">
        <v>19512</v>
      </c>
    </row>
    <row r="4119" spans="1:12" ht="96" customHeight="1" x14ac:dyDescent="0.3">
      <c r="A4119" s="2">
        <v>4115</v>
      </c>
      <c r="B4119" s="66" t="s">
        <v>227</v>
      </c>
      <c r="C4119" s="66" t="s">
        <v>3203</v>
      </c>
      <c r="D4119" s="11">
        <v>26214</v>
      </c>
      <c r="E4119" s="11">
        <v>26214</v>
      </c>
      <c r="F4119" s="3">
        <v>38729</v>
      </c>
      <c r="G4119" s="2" t="s">
        <v>14104</v>
      </c>
      <c r="H4119" s="3">
        <v>43053</v>
      </c>
      <c r="I4119" s="2" t="s">
        <v>19506</v>
      </c>
      <c r="J4119" s="2" t="s">
        <v>13904</v>
      </c>
      <c r="K4119" s="2" t="s">
        <v>19225</v>
      </c>
      <c r="L4119" s="82" t="s">
        <v>19512</v>
      </c>
    </row>
    <row r="4120" spans="1:12" ht="96" customHeight="1" x14ac:dyDescent="0.3">
      <c r="A4120" s="2">
        <v>4116</v>
      </c>
      <c r="B4120" s="66" t="s">
        <v>4742</v>
      </c>
      <c r="C4120" s="66" t="s">
        <v>4743</v>
      </c>
      <c r="D4120" s="11">
        <v>30946.959999999999</v>
      </c>
      <c r="E4120" s="11">
        <v>30946.959999999999</v>
      </c>
      <c r="F4120" s="3">
        <v>39057</v>
      </c>
      <c r="G4120" s="2" t="s">
        <v>14104</v>
      </c>
      <c r="H4120" s="3">
        <v>43053</v>
      </c>
      <c r="I4120" s="2" t="s">
        <v>19506</v>
      </c>
      <c r="J4120" s="2" t="s">
        <v>13904</v>
      </c>
      <c r="K4120" s="2" t="s">
        <v>19225</v>
      </c>
      <c r="L4120" s="82" t="s">
        <v>19512</v>
      </c>
    </row>
    <row r="4121" spans="1:12" ht="96" customHeight="1" x14ac:dyDescent="0.3">
      <c r="A4121" s="2">
        <v>4117</v>
      </c>
      <c r="B4121" s="66" t="s">
        <v>4742</v>
      </c>
      <c r="C4121" s="66" t="s">
        <v>4744</v>
      </c>
      <c r="D4121" s="11">
        <v>32747.360000000001</v>
      </c>
      <c r="E4121" s="11">
        <v>32747.360000000001</v>
      </c>
      <c r="F4121" s="3">
        <v>39064</v>
      </c>
      <c r="G4121" s="2"/>
      <c r="H4121" s="3">
        <v>43053</v>
      </c>
      <c r="I4121" s="2" t="s">
        <v>19506</v>
      </c>
      <c r="J4121" s="2" t="s">
        <v>13904</v>
      </c>
      <c r="K4121" s="2" t="s">
        <v>19225</v>
      </c>
      <c r="L4121" s="82" t="s">
        <v>19512</v>
      </c>
    </row>
    <row r="4122" spans="1:12" ht="96" customHeight="1" x14ac:dyDescent="0.3">
      <c r="A4122" s="2">
        <v>4118</v>
      </c>
      <c r="B4122" s="66" t="s">
        <v>3896</v>
      </c>
      <c r="C4122" s="66" t="s">
        <v>4745</v>
      </c>
      <c r="D4122" s="11">
        <v>27964</v>
      </c>
      <c r="E4122" s="11">
        <v>27964</v>
      </c>
      <c r="F4122" s="3">
        <v>40898</v>
      </c>
      <c r="G4122" s="2" t="s">
        <v>14104</v>
      </c>
      <c r="H4122" s="3">
        <v>43053</v>
      </c>
      <c r="I4122" s="2" t="s">
        <v>19506</v>
      </c>
      <c r="J4122" s="2" t="s">
        <v>13904</v>
      </c>
      <c r="K4122" s="2" t="s">
        <v>19225</v>
      </c>
      <c r="L4122" s="82" t="s">
        <v>19512</v>
      </c>
    </row>
    <row r="4123" spans="1:12" ht="96" customHeight="1" x14ac:dyDescent="0.3">
      <c r="A4123" s="2">
        <v>4119</v>
      </c>
      <c r="B4123" s="66" t="s">
        <v>3172</v>
      </c>
      <c r="C4123" s="66" t="s">
        <v>4746</v>
      </c>
      <c r="D4123" s="11">
        <v>4000</v>
      </c>
      <c r="E4123" s="11">
        <v>4000</v>
      </c>
      <c r="F4123" s="3">
        <v>40898</v>
      </c>
      <c r="G4123" s="2" t="s">
        <v>14104</v>
      </c>
      <c r="H4123" s="3">
        <v>43053</v>
      </c>
      <c r="I4123" s="2" t="s">
        <v>19506</v>
      </c>
      <c r="J4123" s="2" t="s">
        <v>13904</v>
      </c>
      <c r="K4123" s="2" t="s">
        <v>19225</v>
      </c>
      <c r="L4123" s="82" t="s">
        <v>19512</v>
      </c>
    </row>
    <row r="4124" spans="1:12" ht="96" customHeight="1" x14ac:dyDescent="0.3">
      <c r="A4124" s="2">
        <v>4120</v>
      </c>
      <c r="B4124" s="66" t="s">
        <v>971</v>
      </c>
      <c r="C4124" s="66" t="s">
        <v>3602</v>
      </c>
      <c r="D4124" s="11">
        <v>7330.4</v>
      </c>
      <c r="E4124" s="11">
        <v>7330.4</v>
      </c>
      <c r="F4124" s="3">
        <v>33124</v>
      </c>
      <c r="G4124" s="2" t="s">
        <v>14104</v>
      </c>
      <c r="H4124" s="3">
        <v>43053</v>
      </c>
      <c r="I4124" s="2" t="s">
        <v>19506</v>
      </c>
      <c r="J4124" s="2" t="s">
        <v>13904</v>
      </c>
      <c r="K4124" s="2" t="s">
        <v>19225</v>
      </c>
      <c r="L4124" s="82" t="s">
        <v>19512</v>
      </c>
    </row>
    <row r="4125" spans="1:12" ht="96" customHeight="1" x14ac:dyDescent="0.3">
      <c r="A4125" s="2">
        <v>4121</v>
      </c>
      <c r="B4125" s="66" t="s">
        <v>4747</v>
      </c>
      <c r="C4125" s="66" t="s">
        <v>4748</v>
      </c>
      <c r="D4125" s="11">
        <v>6666</v>
      </c>
      <c r="E4125" s="11">
        <v>6666</v>
      </c>
      <c r="F4125" s="3">
        <v>39436</v>
      </c>
      <c r="G4125" s="2" t="s">
        <v>14104</v>
      </c>
      <c r="H4125" s="3">
        <v>43053</v>
      </c>
      <c r="I4125" s="2" t="s">
        <v>19506</v>
      </c>
      <c r="J4125" s="2" t="s">
        <v>13904</v>
      </c>
      <c r="K4125" s="2" t="s">
        <v>19225</v>
      </c>
      <c r="L4125" s="82" t="s">
        <v>19512</v>
      </c>
    </row>
    <row r="4126" spans="1:12" ht="96" customHeight="1" x14ac:dyDescent="0.3">
      <c r="A4126" s="2">
        <v>4122</v>
      </c>
      <c r="B4126" s="66" t="s">
        <v>224</v>
      </c>
      <c r="C4126" s="66" t="s">
        <v>3601</v>
      </c>
      <c r="D4126" s="11">
        <v>6653.17</v>
      </c>
      <c r="E4126" s="11">
        <v>6653.17</v>
      </c>
      <c r="F4126" s="3">
        <v>36648</v>
      </c>
      <c r="G4126" s="2" t="s">
        <v>14104</v>
      </c>
      <c r="H4126" s="3">
        <v>43053</v>
      </c>
      <c r="I4126" s="2" t="s">
        <v>19506</v>
      </c>
      <c r="J4126" s="2" t="s">
        <v>13904</v>
      </c>
      <c r="K4126" s="2" t="s">
        <v>19225</v>
      </c>
      <c r="L4126" s="82" t="s">
        <v>19512</v>
      </c>
    </row>
    <row r="4127" spans="1:12" ht="96" customHeight="1" x14ac:dyDescent="0.3">
      <c r="A4127" s="2">
        <v>4123</v>
      </c>
      <c r="B4127" s="66" t="s">
        <v>3620</v>
      </c>
      <c r="C4127" s="66" t="s">
        <v>4749</v>
      </c>
      <c r="D4127" s="11">
        <v>7219.95</v>
      </c>
      <c r="E4127" s="11">
        <v>7219.95</v>
      </c>
      <c r="F4127" s="3">
        <v>36566</v>
      </c>
      <c r="G4127" s="2" t="s">
        <v>14104</v>
      </c>
      <c r="H4127" s="3">
        <v>43053</v>
      </c>
      <c r="I4127" s="2" t="s">
        <v>19506</v>
      </c>
      <c r="J4127" s="2" t="s">
        <v>13904</v>
      </c>
      <c r="K4127" s="2" t="s">
        <v>19225</v>
      </c>
      <c r="L4127" s="82" t="s">
        <v>19512</v>
      </c>
    </row>
    <row r="4128" spans="1:12" ht="96" customHeight="1" x14ac:dyDescent="0.3">
      <c r="A4128" s="2">
        <v>4124</v>
      </c>
      <c r="B4128" s="66" t="s">
        <v>4750</v>
      </c>
      <c r="C4128" s="66" t="s">
        <v>4751</v>
      </c>
      <c r="D4128" s="11">
        <v>16300.03</v>
      </c>
      <c r="E4128" s="11">
        <v>16300.03</v>
      </c>
      <c r="F4128" s="3">
        <v>41145</v>
      </c>
      <c r="G4128" s="2" t="s">
        <v>14104</v>
      </c>
      <c r="H4128" s="3">
        <v>43053</v>
      </c>
      <c r="I4128" s="2" t="s">
        <v>19506</v>
      </c>
      <c r="J4128" s="2" t="s">
        <v>13904</v>
      </c>
      <c r="K4128" s="2" t="s">
        <v>19225</v>
      </c>
      <c r="L4128" s="82" t="s">
        <v>19512</v>
      </c>
    </row>
    <row r="4129" spans="1:12" ht="96" customHeight="1" x14ac:dyDescent="0.3">
      <c r="A4129" s="2">
        <v>4125</v>
      </c>
      <c r="B4129" s="66" t="s">
        <v>4752</v>
      </c>
      <c r="C4129" s="66" t="s">
        <v>4753</v>
      </c>
      <c r="D4129" s="11">
        <v>5700.08</v>
      </c>
      <c r="E4129" s="11">
        <v>5700.08</v>
      </c>
      <c r="F4129" s="3">
        <v>41543</v>
      </c>
      <c r="G4129" s="2" t="s">
        <v>14104</v>
      </c>
      <c r="H4129" s="3">
        <v>43053</v>
      </c>
      <c r="I4129" s="2" t="s">
        <v>19506</v>
      </c>
      <c r="J4129" s="2" t="s">
        <v>13904</v>
      </c>
      <c r="K4129" s="2" t="s">
        <v>19225</v>
      </c>
      <c r="L4129" s="82" t="s">
        <v>19512</v>
      </c>
    </row>
    <row r="4130" spans="1:12" ht="96" customHeight="1" x14ac:dyDescent="0.3">
      <c r="A4130" s="2">
        <v>4126</v>
      </c>
      <c r="B4130" s="66" t="s">
        <v>4754</v>
      </c>
      <c r="C4130" s="66" t="s">
        <v>4755</v>
      </c>
      <c r="D4130" s="11">
        <v>6679.98</v>
      </c>
      <c r="E4130" s="11">
        <v>6679.98</v>
      </c>
      <c r="F4130" s="3">
        <v>41543</v>
      </c>
      <c r="G4130" s="2" t="s">
        <v>14104</v>
      </c>
      <c r="H4130" s="3">
        <v>43053</v>
      </c>
      <c r="I4130" s="2" t="s">
        <v>19506</v>
      </c>
      <c r="J4130" s="2" t="s">
        <v>13904</v>
      </c>
      <c r="K4130" s="2" t="s">
        <v>19225</v>
      </c>
      <c r="L4130" s="82" t="s">
        <v>19512</v>
      </c>
    </row>
    <row r="4131" spans="1:12" ht="96" customHeight="1" x14ac:dyDescent="0.3">
      <c r="A4131" s="2">
        <v>4127</v>
      </c>
      <c r="B4131" s="66" t="s">
        <v>4756</v>
      </c>
      <c r="C4131" s="66" t="s">
        <v>4757</v>
      </c>
      <c r="D4131" s="11">
        <v>15199.58</v>
      </c>
      <c r="E4131" s="11">
        <v>15199.58</v>
      </c>
      <c r="F4131" s="3">
        <v>41543</v>
      </c>
      <c r="G4131" s="2" t="s">
        <v>14104</v>
      </c>
      <c r="H4131" s="3">
        <v>43053</v>
      </c>
      <c r="I4131" s="2" t="s">
        <v>19506</v>
      </c>
      <c r="J4131" s="2" t="s">
        <v>13904</v>
      </c>
      <c r="K4131" s="2" t="s">
        <v>19225</v>
      </c>
      <c r="L4131" s="82" t="s">
        <v>19512</v>
      </c>
    </row>
    <row r="4132" spans="1:12" ht="96" customHeight="1" x14ac:dyDescent="0.3">
      <c r="A4132" s="2">
        <v>4128</v>
      </c>
      <c r="B4132" s="66" t="s">
        <v>4758</v>
      </c>
      <c r="C4132" s="66" t="s">
        <v>4759</v>
      </c>
      <c r="D4132" s="11">
        <v>26535.21</v>
      </c>
      <c r="E4132" s="11">
        <v>26535.21</v>
      </c>
      <c r="F4132" s="3">
        <v>41543</v>
      </c>
      <c r="G4132" s="2" t="s">
        <v>14104</v>
      </c>
      <c r="H4132" s="3">
        <v>43053</v>
      </c>
      <c r="I4132" s="2" t="s">
        <v>19506</v>
      </c>
      <c r="J4132" s="2" t="s">
        <v>13904</v>
      </c>
      <c r="K4132" s="2" t="s">
        <v>19225</v>
      </c>
      <c r="L4132" s="82" t="s">
        <v>19512</v>
      </c>
    </row>
    <row r="4133" spans="1:12" ht="96" customHeight="1" x14ac:dyDescent="0.3">
      <c r="A4133" s="2">
        <v>4129</v>
      </c>
      <c r="B4133" s="66" t="s">
        <v>4758</v>
      </c>
      <c r="C4133" s="66" t="s">
        <v>4760</v>
      </c>
      <c r="D4133" s="11">
        <v>26535.21</v>
      </c>
      <c r="E4133" s="11">
        <v>26535.21</v>
      </c>
      <c r="F4133" s="3">
        <v>41543</v>
      </c>
      <c r="G4133" s="2" t="s">
        <v>14104</v>
      </c>
      <c r="H4133" s="3">
        <v>43053</v>
      </c>
      <c r="I4133" s="2" t="s">
        <v>19506</v>
      </c>
      <c r="J4133" s="2" t="s">
        <v>13904</v>
      </c>
      <c r="K4133" s="2" t="s">
        <v>19225</v>
      </c>
      <c r="L4133" s="82" t="s">
        <v>19512</v>
      </c>
    </row>
    <row r="4134" spans="1:12" ht="96" customHeight="1" x14ac:dyDescent="0.3">
      <c r="A4134" s="2">
        <v>4130</v>
      </c>
      <c r="B4134" s="66" t="s">
        <v>4761</v>
      </c>
      <c r="C4134" s="66" t="s">
        <v>4637</v>
      </c>
      <c r="D4134" s="11">
        <v>33300</v>
      </c>
      <c r="E4134" s="11">
        <v>33300</v>
      </c>
      <c r="F4134" s="3">
        <v>41619</v>
      </c>
      <c r="G4134" s="2" t="s">
        <v>14104</v>
      </c>
      <c r="H4134" s="3">
        <v>43053</v>
      </c>
      <c r="I4134" s="2" t="s">
        <v>19506</v>
      </c>
      <c r="J4134" s="2" t="s">
        <v>13904</v>
      </c>
      <c r="K4134" s="2" t="s">
        <v>19225</v>
      </c>
      <c r="L4134" s="82" t="s">
        <v>19512</v>
      </c>
    </row>
    <row r="4135" spans="1:12" ht="96" customHeight="1" x14ac:dyDescent="0.3">
      <c r="A4135" s="2">
        <v>4131</v>
      </c>
      <c r="B4135" s="66" t="s">
        <v>4762</v>
      </c>
      <c r="C4135" s="66" t="s">
        <v>4638</v>
      </c>
      <c r="D4135" s="11">
        <v>30400</v>
      </c>
      <c r="E4135" s="11">
        <v>30400</v>
      </c>
      <c r="F4135" s="3">
        <v>41619</v>
      </c>
      <c r="G4135" s="2" t="s">
        <v>14104</v>
      </c>
      <c r="H4135" s="3">
        <v>43053</v>
      </c>
      <c r="I4135" s="2" t="s">
        <v>19506</v>
      </c>
      <c r="J4135" s="2" t="s">
        <v>13904</v>
      </c>
      <c r="K4135" s="2" t="s">
        <v>19225</v>
      </c>
      <c r="L4135" s="82" t="s">
        <v>19512</v>
      </c>
    </row>
    <row r="4136" spans="1:12" ht="96" customHeight="1" x14ac:dyDescent="0.3">
      <c r="A4136" s="2">
        <v>4132</v>
      </c>
      <c r="B4136" s="66" t="s">
        <v>4763</v>
      </c>
      <c r="C4136" s="66" t="s">
        <v>4639</v>
      </c>
      <c r="D4136" s="11">
        <v>27700.43</v>
      </c>
      <c r="E4136" s="11">
        <v>27700.43</v>
      </c>
      <c r="F4136" s="3">
        <v>41619</v>
      </c>
      <c r="G4136" s="2" t="s">
        <v>14104</v>
      </c>
      <c r="H4136" s="3">
        <v>43053</v>
      </c>
      <c r="I4136" s="2" t="s">
        <v>19506</v>
      </c>
      <c r="J4136" s="2" t="s">
        <v>13904</v>
      </c>
      <c r="K4136" s="2" t="s">
        <v>19225</v>
      </c>
      <c r="L4136" s="82" t="s">
        <v>19512</v>
      </c>
    </row>
    <row r="4137" spans="1:12" ht="96" customHeight="1" x14ac:dyDescent="0.3">
      <c r="A4137" s="2">
        <v>4133</v>
      </c>
      <c r="B4137" s="66" t="s">
        <v>4764</v>
      </c>
      <c r="C4137" s="66" t="s">
        <v>4640</v>
      </c>
      <c r="D4137" s="11">
        <v>24203.14</v>
      </c>
      <c r="E4137" s="11">
        <v>24203.14</v>
      </c>
      <c r="F4137" s="3">
        <v>41619</v>
      </c>
      <c r="G4137" s="2" t="s">
        <v>14104</v>
      </c>
      <c r="H4137" s="3">
        <v>43053</v>
      </c>
      <c r="I4137" s="2" t="s">
        <v>19506</v>
      </c>
      <c r="J4137" s="2" t="s">
        <v>13904</v>
      </c>
      <c r="K4137" s="2" t="s">
        <v>19225</v>
      </c>
      <c r="L4137" s="82" t="s">
        <v>19512</v>
      </c>
    </row>
    <row r="4138" spans="1:12" ht="96" customHeight="1" x14ac:dyDescent="0.3">
      <c r="A4138" s="2">
        <v>4134</v>
      </c>
      <c r="B4138" s="66" t="s">
        <v>4764</v>
      </c>
      <c r="C4138" s="66" t="s">
        <v>4642</v>
      </c>
      <c r="D4138" s="11">
        <v>24203.14</v>
      </c>
      <c r="E4138" s="11">
        <v>24203.14</v>
      </c>
      <c r="F4138" s="3">
        <v>41619</v>
      </c>
      <c r="G4138" s="2" t="s">
        <v>14104</v>
      </c>
      <c r="H4138" s="3">
        <v>43053</v>
      </c>
      <c r="I4138" s="2" t="s">
        <v>19506</v>
      </c>
      <c r="J4138" s="2" t="s">
        <v>13904</v>
      </c>
      <c r="K4138" s="2" t="s">
        <v>19225</v>
      </c>
      <c r="L4138" s="82" t="s">
        <v>19512</v>
      </c>
    </row>
    <row r="4139" spans="1:12" ht="96" customHeight="1" x14ac:dyDescent="0.3">
      <c r="A4139" s="2">
        <v>4135</v>
      </c>
      <c r="B4139" s="66" t="s">
        <v>4764</v>
      </c>
      <c r="C4139" s="66" t="s">
        <v>4643</v>
      </c>
      <c r="D4139" s="11">
        <v>24203.14</v>
      </c>
      <c r="E4139" s="11">
        <v>24203.14</v>
      </c>
      <c r="F4139" s="3">
        <v>41619</v>
      </c>
      <c r="G4139" s="2" t="s">
        <v>14104</v>
      </c>
      <c r="H4139" s="3">
        <v>43053</v>
      </c>
      <c r="I4139" s="2" t="s">
        <v>19506</v>
      </c>
      <c r="J4139" s="2" t="s">
        <v>13904</v>
      </c>
      <c r="K4139" s="2" t="s">
        <v>19225</v>
      </c>
      <c r="L4139" s="82" t="s">
        <v>19512</v>
      </c>
    </row>
    <row r="4140" spans="1:12" ht="96" customHeight="1" x14ac:dyDescent="0.3">
      <c r="A4140" s="2">
        <v>4136</v>
      </c>
      <c r="B4140" s="66" t="s">
        <v>4764</v>
      </c>
      <c r="C4140" s="66" t="s">
        <v>4644</v>
      </c>
      <c r="D4140" s="11">
        <v>24203.14</v>
      </c>
      <c r="E4140" s="11">
        <v>24203.14</v>
      </c>
      <c r="F4140" s="3">
        <v>41619</v>
      </c>
      <c r="G4140" s="2" t="s">
        <v>14104</v>
      </c>
      <c r="H4140" s="3">
        <v>43053</v>
      </c>
      <c r="I4140" s="2" t="s">
        <v>19506</v>
      </c>
      <c r="J4140" s="2" t="s">
        <v>13904</v>
      </c>
      <c r="K4140" s="2" t="s">
        <v>19225</v>
      </c>
      <c r="L4140" s="82" t="s">
        <v>19512</v>
      </c>
    </row>
    <row r="4141" spans="1:12" ht="96" customHeight="1" x14ac:dyDescent="0.3">
      <c r="A4141" s="2">
        <v>4137</v>
      </c>
      <c r="B4141" s="66" t="s">
        <v>4764</v>
      </c>
      <c r="C4141" s="66" t="s">
        <v>4645</v>
      </c>
      <c r="D4141" s="11">
        <v>24203.14</v>
      </c>
      <c r="E4141" s="11">
        <v>24203.14</v>
      </c>
      <c r="F4141" s="3">
        <v>41619</v>
      </c>
      <c r="G4141" s="2" t="s">
        <v>14104</v>
      </c>
      <c r="H4141" s="3">
        <v>43053</v>
      </c>
      <c r="I4141" s="2" t="s">
        <v>19506</v>
      </c>
      <c r="J4141" s="2" t="s">
        <v>13904</v>
      </c>
      <c r="K4141" s="2" t="s">
        <v>19225</v>
      </c>
      <c r="L4141" s="82" t="s">
        <v>19512</v>
      </c>
    </row>
    <row r="4142" spans="1:12" ht="96" customHeight="1" x14ac:dyDescent="0.3">
      <c r="A4142" s="2">
        <v>4138</v>
      </c>
      <c r="B4142" s="66" t="s">
        <v>4764</v>
      </c>
      <c r="C4142" s="66" t="s">
        <v>4647</v>
      </c>
      <c r="D4142" s="11">
        <v>24203.14</v>
      </c>
      <c r="E4142" s="11">
        <v>24203.14</v>
      </c>
      <c r="F4142" s="3">
        <v>41619</v>
      </c>
      <c r="G4142" s="2" t="s">
        <v>14104</v>
      </c>
      <c r="H4142" s="3">
        <v>43053</v>
      </c>
      <c r="I4142" s="2" t="s">
        <v>19506</v>
      </c>
      <c r="J4142" s="2" t="s">
        <v>13904</v>
      </c>
      <c r="K4142" s="2" t="s">
        <v>19225</v>
      </c>
      <c r="L4142" s="82" t="s">
        <v>19512</v>
      </c>
    </row>
    <row r="4143" spans="1:12" ht="96" customHeight="1" x14ac:dyDescent="0.3">
      <c r="A4143" s="2">
        <v>4139</v>
      </c>
      <c r="B4143" s="66" t="s">
        <v>4764</v>
      </c>
      <c r="C4143" s="66" t="s">
        <v>4649</v>
      </c>
      <c r="D4143" s="11">
        <v>24203.14</v>
      </c>
      <c r="E4143" s="11">
        <v>24203.14</v>
      </c>
      <c r="F4143" s="3">
        <v>41619</v>
      </c>
      <c r="G4143" s="2" t="s">
        <v>14104</v>
      </c>
      <c r="H4143" s="3">
        <v>43053</v>
      </c>
      <c r="I4143" s="2" t="s">
        <v>19506</v>
      </c>
      <c r="J4143" s="2" t="s">
        <v>13904</v>
      </c>
      <c r="K4143" s="2" t="s">
        <v>19225</v>
      </c>
      <c r="L4143" s="82" t="s">
        <v>19512</v>
      </c>
    </row>
    <row r="4144" spans="1:12" ht="96" customHeight="1" x14ac:dyDescent="0.3">
      <c r="A4144" s="2">
        <v>4140</v>
      </c>
      <c r="B4144" s="66" t="s">
        <v>4764</v>
      </c>
      <c r="C4144" s="66" t="s">
        <v>4651</v>
      </c>
      <c r="D4144" s="11">
        <v>24203.14</v>
      </c>
      <c r="E4144" s="11">
        <v>24203.14</v>
      </c>
      <c r="F4144" s="3">
        <v>41619</v>
      </c>
      <c r="G4144" s="2" t="s">
        <v>14104</v>
      </c>
      <c r="H4144" s="3">
        <v>43053</v>
      </c>
      <c r="I4144" s="2" t="s">
        <v>19506</v>
      </c>
      <c r="J4144" s="2" t="s">
        <v>13904</v>
      </c>
      <c r="K4144" s="2" t="s">
        <v>19225</v>
      </c>
      <c r="L4144" s="82" t="s">
        <v>19512</v>
      </c>
    </row>
    <row r="4145" spans="1:12" ht="96" customHeight="1" x14ac:dyDescent="0.3">
      <c r="A4145" s="2">
        <v>4141</v>
      </c>
      <c r="B4145" s="66" t="s">
        <v>4764</v>
      </c>
      <c r="C4145" s="66" t="s">
        <v>4652</v>
      </c>
      <c r="D4145" s="11">
        <v>24203.14</v>
      </c>
      <c r="E4145" s="11">
        <v>24203.14</v>
      </c>
      <c r="F4145" s="3">
        <v>41619</v>
      </c>
      <c r="G4145" s="2" t="s">
        <v>14104</v>
      </c>
      <c r="H4145" s="3">
        <v>43053</v>
      </c>
      <c r="I4145" s="2" t="s">
        <v>19506</v>
      </c>
      <c r="J4145" s="2" t="s">
        <v>13904</v>
      </c>
      <c r="K4145" s="2" t="s">
        <v>19225</v>
      </c>
      <c r="L4145" s="82" t="s">
        <v>19512</v>
      </c>
    </row>
    <row r="4146" spans="1:12" ht="96" customHeight="1" x14ac:dyDescent="0.3">
      <c r="A4146" s="2">
        <v>4142</v>
      </c>
      <c r="B4146" s="66" t="s">
        <v>4764</v>
      </c>
      <c r="C4146" s="66" t="s">
        <v>4654</v>
      </c>
      <c r="D4146" s="11">
        <v>24203.14</v>
      </c>
      <c r="E4146" s="11">
        <v>24203.14</v>
      </c>
      <c r="F4146" s="3">
        <v>41619</v>
      </c>
      <c r="G4146" s="2" t="s">
        <v>14104</v>
      </c>
      <c r="H4146" s="3">
        <v>43053</v>
      </c>
      <c r="I4146" s="2" t="s">
        <v>19506</v>
      </c>
      <c r="J4146" s="2" t="s">
        <v>13904</v>
      </c>
      <c r="K4146" s="2" t="s">
        <v>19225</v>
      </c>
      <c r="L4146" s="82" t="s">
        <v>19512</v>
      </c>
    </row>
    <row r="4147" spans="1:12" ht="96" customHeight="1" x14ac:dyDescent="0.3">
      <c r="A4147" s="2">
        <v>4143</v>
      </c>
      <c r="B4147" s="66" t="s">
        <v>4764</v>
      </c>
      <c r="C4147" s="66" t="s">
        <v>4765</v>
      </c>
      <c r="D4147" s="11">
        <v>24203.14</v>
      </c>
      <c r="E4147" s="11">
        <v>24203.14</v>
      </c>
      <c r="F4147" s="3">
        <v>41619</v>
      </c>
      <c r="G4147" s="2" t="s">
        <v>14104</v>
      </c>
      <c r="H4147" s="3">
        <v>43053</v>
      </c>
      <c r="I4147" s="2" t="s">
        <v>19506</v>
      </c>
      <c r="J4147" s="2" t="s">
        <v>13904</v>
      </c>
      <c r="K4147" s="2" t="s">
        <v>19225</v>
      </c>
      <c r="L4147" s="82" t="s">
        <v>19512</v>
      </c>
    </row>
    <row r="4148" spans="1:12" ht="96" customHeight="1" x14ac:dyDescent="0.3">
      <c r="A4148" s="2">
        <v>4144</v>
      </c>
      <c r="B4148" s="66" t="s">
        <v>4764</v>
      </c>
      <c r="C4148" s="66" t="s">
        <v>4766</v>
      </c>
      <c r="D4148" s="11">
        <v>24203.14</v>
      </c>
      <c r="E4148" s="11">
        <v>24203.14</v>
      </c>
      <c r="F4148" s="3">
        <v>41619</v>
      </c>
      <c r="G4148" s="2" t="s">
        <v>14104</v>
      </c>
      <c r="H4148" s="3">
        <v>43053</v>
      </c>
      <c r="I4148" s="2" t="s">
        <v>19506</v>
      </c>
      <c r="J4148" s="2" t="s">
        <v>13904</v>
      </c>
      <c r="K4148" s="2" t="s">
        <v>19225</v>
      </c>
      <c r="L4148" s="82" t="s">
        <v>19512</v>
      </c>
    </row>
    <row r="4149" spans="1:12" ht="96" customHeight="1" x14ac:dyDescent="0.3">
      <c r="A4149" s="2">
        <v>4145</v>
      </c>
      <c r="B4149" s="66" t="s">
        <v>4764</v>
      </c>
      <c r="C4149" s="66" t="s">
        <v>4767</v>
      </c>
      <c r="D4149" s="11">
        <v>24203.14</v>
      </c>
      <c r="E4149" s="11">
        <v>24203.14</v>
      </c>
      <c r="F4149" s="3">
        <v>41619</v>
      </c>
      <c r="G4149" s="2" t="s">
        <v>14104</v>
      </c>
      <c r="H4149" s="3">
        <v>43053</v>
      </c>
      <c r="I4149" s="2" t="s">
        <v>19506</v>
      </c>
      <c r="J4149" s="2" t="s">
        <v>13904</v>
      </c>
      <c r="K4149" s="2" t="s">
        <v>19225</v>
      </c>
      <c r="L4149" s="82" t="s">
        <v>19512</v>
      </c>
    </row>
    <row r="4150" spans="1:12" ht="96" customHeight="1" x14ac:dyDescent="0.3">
      <c r="A4150" s="2">
        <v>4146</v>
      </c>
      <c r="B4150" s="66" t="s">
        <v>4768</v>
      </c>
      <c r="C4150" s="66" t="s">
        <v>4769</v>
      </c>
      <c r="D4150" s="11">
        <v>23900</v>
      </c>
      <c r="E4150" s="11">
        <v>23900</v>
      </c>
      <c r="F4150" s="3">
        <v>41619</v>
      </c>
      <c r="G4150" s="2" t="s">
        <v>14104</v>
      </c>
      <c r="H4150" s="3">
        <v>43053</v>
      </c>
      <c r="I4150" s="2" t="s">
        <v>19506</v>
      </c>
      <c r="J4150" s="2" t="s">
        <v>13904</v>
      </c>
      <c r="K4150" s="2" t="s">
        <v>19225</v>
      </c>
      <c r="L4150" s="82" t="s">
        <v>19512</v>
      </c>
    </row>
    <row r="4151" spans="1:12" ht="96" customHeight="1" x14ac:dyDescent="0.3">
      <c r="A4151" s="2">
        <v>4147</v>
      </c>
      <c r="B4151" s="66" t="s">
        <v>4770</v>
      </c>
      <c r="C4151" s="66" t="s">
        <v>4771</v>
      </c>
      <c r="D4151" s="11">
        <v>12250</v>
      </c>
      <c r="E4151" s="11">
        <v>12250</v>
      </c>
      <c r="F4151" s="3">
        <v>41619</v>
      </c>
      <c r="G4151" s="2" t="s">
        <v>14104</v>
      </c>
      <c r="H4151" s="3">
        <v>43053</v>
      </c>
      <c r="I4151" s="2" t="s">
        <v>19506</v>
      </c>
      <c r="J4151" s="2" t="s">
        <v>13904</v>
      </c>
      <c r="K4151" s="2" t="s">
        <v>19225</v>
      </c>
      <c r="L4151" s="82" t="s">
        <v>19512</v>
      </c>
    </row>
    <row r="4152" spans="1:12" ht="96" customHeight="1" x14ac:dyDescent="0.3">
      <c r="A4152" s="2">
        <v>4148</v>
      </c>
      <c r="B4152" s="66" t="s">
        <v>4772</v>
      </c>
      <c r="C4152" s="66" t="s">
        <v>4773</v>
      </c>
      <c r="D4152" s="11">
        <v>38584</v>
      </c>
      <c r="E4152" s="11">
        <v>38584</v>
      </c>
      <c r="F4152" s="3">
        <v>41619</v>
      </c>
      <c r="G4152" s="2" t="s">
        <v>14104</v>
      </c>
      <c r="H4152" s="3">
        <v>43053</v>
      </c>
      <c r="I4152" s="2" t="s">
        <v>19506</v>
      </c>
      <c r="J4152" s="2" t="s">
        <v>13904</v>
      </c>
      <c r="K4152" s="2" t="s">
        <v>19225</v>
      </c>
      <c r="L4152" s="82" t="s">
        <v>19512</v>
      </c>
    </row>
    <row r="4153" spans="1:12" ht="96" customHeight="1" x14ac:dyDescent="0.3">
      <c r="A4153" s="2">
        <v>4149</v>
      </c>
      <c r="B4153" s="66" t="s">
        <v>4774</v>
      </c>
      <c r="C4153" s="66" t="s">
        <v>4775</v>
      </c>
      <c r="D4153" s="11">
        <v>4586</v>
      </c>
      <c r="E4153" s="11">
        <v>4586</v>
      </c>
      <c r="F4153" s="3">
        <v>41619</v>
      </c>
      <c r="G4153" s="2" t="s">
        <v>14104</v>
      </c>
      <c r="H4153" s="3">
        <v>43053</v>
      </c>
      <c r="I4153" s="2" t="s">
        <v>19506</v>
      </c>
      <c r="J4153" s="2" t="s">
        <v>13904</v>
      </c>
      <c r="K4153" s="2" t="s">
        <v>19225</v>
      </c>
      <c r="L4153" s="82" t="s">
        <v>19512</v>
      </c>
    </row>
    <row r="4154" spans="1:12" ht="96" customHeight="1" x14ac:dyDescent="0.3">
      <c r="A4154" s="2">
        <v>4150</v>
      </c>
      <c r="B4154" s="66" t="s">
        <v>4774</v>
      </c>
      <c r="C4154" s="66" t="s">
        <v>4776</v>
      </c>
      <c r="D4154" s="11">
        <v>4586</v>
      </c>
      <c r="E4154" s="11">
        <v>4586</v>
      </c>
      <c r="F4154" s="3">
        <v>41619</v>
      </c>
      <c r="G4154" s="2" t="s">
        <v>14104</v>
      </c>
      <c r="H4154" s="3">
        <v>43053</v>
      </c>
      <c r="I4154" s="2" t="s">
        <v>19506</v>
      </c>
      <c r="J4154" s="2" t="s">
        <v>13904</v>
      </c>
      <c r="K4154" s="2" t="s">
        <v>19225</v>
      </c>
      <c r="L4154" s="82" t="s">
        <v>19512</v>
      </c>
    </row>
    <row r="4155" spans="1:12" ht="96" customHeight="1" x14ac:dyDescent="0.3">
      <c r="A4155" s="2">
        <v>4151</v>
      </c>
      <c r="B4155" s="66" t="s">
        <v>4774</v>
      </c>
      <c r="C4155" s="66" t="s">
        <v>4777</v>
      </c>
      <c r="D4155" s="11">
        <v>4586</v>
      </c>
      <c r="E4155" s="11">
        <v>4586</v>
      </c>
      <c r="F4155" s="3">
        <v>41619</v>
      </c>
      <c r="G4155" s="2" t="s">
        <v>14104</v>
      </c>
      <c r="H4155" s="3">
        <v>43053</v>
      </c>
      <c r="I4155" s="2" t="s">
        <v>19506</v>
      </c>
      <c r="J4155" s="2" t="s">
        <v>13904</v>
      </c>
      <c r="K4155" s="2" t="s">
        <v>19225</v>
      </c>
      <c r="L4155" s="82" t="s">
        <v>19512</v>
      </c>
    </row>
    <row r="4156" spans="1:12" ht="96" customHeight="1" x14ac:dyDescent="0.3">
      <c r="A4156" s="2">
        <v>4152</v>
      </c>
      <c r="B4156" s="66" t="s">
        <v>4774</v>
      </c>
      <c r="C4156" s="66" t="s">
        <v>4778</v>
      </c>
      <c r="D4156" s="11">
        <v>4586</v>
      </c>
      <c r="E4156" s="11">
        <v>4586</v>
      </c>
      <c r="F4156" s="3">
        <v>41619</v>
      </c>
      <c r="G4156" s="2" t="s">
        <v>14104</v>
      </c>
      <c r="H4156" s="3">
        <v>43053</v>
      </c>
      <c r="I4156" s="2" t="s">
        <v>19506</v>
      </c>
      <c r="J4156" s="2" t="s">
        <v>13904</v>
      </c>
      <c r="K4156" s="2" t="s">
        <v>19225</v>
      </c>
      <c r="L4156" s="82" t="s">
        <v>19512</v>
      </c>
    </row>
    <row r="4157" spans="1:12" ht="96" customHeight="1" x14ac:dyDescent="0.3">
      <c r="A4157" s="2">
        <v>4153</v>
      </c>
      <c r="B4157" s="66" t="s">
        <v>4779</v>
      </c>
      <c r="C4157" s="66" t="s">
        <v>4780</v>
      </c>
      <c r="D4157" s="11">
        <v>38749</v>
      </c>
      <c r="E4157" s="11">
        <v>38749</v>
      </c>
      <c r="F4157" s="3">
        <v>41619</v>
      </c>
      <c r="G4157" s="2" t="s">
        <v>14104</v>
      </c>
      <c r="H4157" s="3">
        <v>43053</v>
      </c>
      <c r="I4157" s="2" t="s">
        <v>19506</v>
      </c>
      <c r="J4157" s="2" t="s">
        <v>13904</v>
      </c>
      <c r="K4157" s="2" t="s">
        <v>19225</v>
      </c>
      <c r="L4157" s="82" t="s">
        <v>19512</v>
      </c>
    </row>
    <row r="4158" spans="1:12" ht="96" customHeight="1" x14ac:dyDescent="0.3">
      <c r="A4158" s="2">
        <v>4154</v>
      </c>
      <c r="B4158" s="66" t="s">
        <v>4779</v>
      </c>
      <c r="C4158" s="66" t="s">
        <v>4781</v>
      </c>
      <c r="D4158" s="11">
        <v>38749</v>
      </c>
      <c r="E4158" s="11">
        <v>38749</v>
      </c>
      <c r="F4158" s="3">
        <v>41619</v>
      </c>
      <c r="G4158" s="2" t="s">
        <v>14104</v>
      </c>
      <c r="H4158" s="3">
        <v>43053</v>
      </c>
      <c r="I4158" s="2" t="s">
        <v>19506</v>
      </c>
      <c r="J4158" s="2" t="s">
        <v>13904</v>
      </c>
      <c r="K4158" s="2" t="s">
        <v>19225</v>
      </c>
      <c r="L4158" s="82" t="s">
        <v>19512</v>
      </c>
    </row>
    <row r="4159" spans="1:12" ht="96" customHeight="1" x14ac:dyDescent="0.3">
      <c r="A4159" s="2">
        <v>4155</v>
      </c>
      <c r="B4159" s="66" t="s">
        <v>4779</v>
      </c>
      <c r="C4159" s="66" t="s">
        <v>4782</v>
      </c>
      <c r="D4159" s="11">
        <v>38749</v>
      </c>
      <c r="E4159" s="11">
        <v>38749</v>
      </c>
      <c r="F4159" s="3">
        <v>41619</v>
      </c>
      <c r="G4159" s="2" t="s">
        <v>14104</v>
      </c>
      <c r="H4159" s="3">
        <v>43053</v>
      </c>
      <c r="I4159" s="2" t="s">
        <v>19506</v>
      </c>
      <c r="J4159" s="2" t="s">
        <v>13904</v>
      </c>
      <c r="K4159" s="2" t="s">
        <v>19225</v>
      </c>
      <c r="L4159" s="82" t="s">
        <v>19512</v>
      </c>
    </row>
    <row r="4160" spans="1:12" ht="96" customHeight="1" x14ac:dyDescent="0.3">
      <c r="A4160" s="2">
        <v>4156</v>
      </c>
      <c r="B4160" s="66" t="s">
        <v>4779</v>
      </c>
      <c r="C4160" s="66" t="s">
        <v>4783</v>
      </c>
      <c r="D4160" s="11">
        <v>38749</v>
      </c>
      <c r="E4160" s="11">
        <v>38749</v>
      </c>
      <c r="F4160" s="3">
        <v>41619</v>
      </c>
      <c r="G4160" s="2" t="s">
        <v>14104</v>
      </c>
      <c r="H4160" s="3">
        <v>43053</v>
      </c>
      <c r="I4160" s="2" t="s">
        <v>19506</v>
      </c>
      <c r="J4160" s="2" t="s">
        <v>13904</v>
      </c>
      <c r="K4160" s="2" t="s">
        <v>19225</v>
      </c>
      <c r="L4160" s="82" t="s">
        <v>19512</v>
      </c>
    </row>
    <row r="4161" spans="1:12" ht="96" customHeight="1" x14ac:dyDescent="0.3">
      <c r="A4161" s="2">
        <v>4157</v>
      </c>
      <c r="B4161" s="66" t="s">
        <v>4784</v>
      </c>
      <c r="C4161" s="66" t="s">
        <v>4785</v>
      </c>
      <c r="D4161" s="11">
        <v>11760</v>
      </c>
      <c r="E4161" s="11">
        <v>11760</v>
      </c>
      <c r="F4161" s="3">
        <v>41619</v>
      </c>
      <c r="G4161" s="2" t="s">
        <v>14104</v>
      </c>
      <c r="H4161" s="3">
        <v>43053</v>
      </c>
      <c r="I4161" s="2" t="s">
        <v>19506</v>
      </c>
      <c r="J4161" s="2" t="s">
        <v>13904</v>
      </c>
      <c r="K4161" s="2" t="s">
        <v>19225</v>
      </c>
      <c r="L4161" s="82" t="s">
        <v>19512</v>
      </c>
    </row>
    <row r="4162" spans="1:12" ht="96" customHeight="1" x14ac:dyDescent="0.3">
      <c r="A4162" s="2">
        <v>4158</v>
      </c>
      <c r="B4162" s="66" t="s">
        <v>4786</v>
      </c>
      <c r="C4162" s="66" t="s">
        <v>4787</v>
      </c>
      <c r="D4162" s="11">
        <v>3490</v>
      </c>
      <c r="E4162" s="11">
        <v>3490</v>
      </c>
      <c r="F4162" s="3">
        <v>41619</v>
      </c>
      <c r="G4162" s="2" t="s">
        <v>14104</v>
      </c>
      <c r="H4162" s="3">
        <v>43053</v>
      </c>
      <c r="I4162" s="2" t="s">
        <v>19506</v>
      </c>
      <c r="J4162" s="2" t="s">
        <v>13904</v>
      </c>
      <c r="K4162" s="2" t="s">
        <v>19225</v>
      </c>
      <c r="L4162" s="82" t="s">
        <v>19512</v>
      </c>
    </row>
    <row r="4163" spans="1:12" ht="96" customHeight="1" x14ac:dyDescent="0.3">
      <c r="A4163" s="2">
        <v>4159</v>
      </c>
      <c r="B4163" s="66" t="s">
        <v>4788</v>
      </c>
      <c r="C4163" s="66" t="s">
        <v>4789</v>
      </c>
      <c r="D4163" s="11">
        <v>30638</v>
      </c>
      <c r="E4163" s="11">
        <v>30638</v>
      </c>
      <c r="F4163" s="3">
        <v>41619</v>
      </c>
      <c r="G4163" s="2" t="s">
        <v>14104</v>
      </c>
      <c r="H4163" s="3">
        <v>43053</v>
      </c>
      <c r="I4163" s="2" t="s">
        <v>19506</v>
      </c>
      <c r="J4163" s="2" t="s">
        <v>13904</v>
      </c>
      <c r="K4163" s="2" t="s">
        <v>19225</v>
      </c>
      <c r="L4163" s="82" t="s">
        <v>19512</v>
      </c>
    </row>
    <row r="4164" spans="1:12" ht="96" customHeight="1" x14ac:dyDescent="0.3">
      <c r="A4164" s="2">
        <v>4160</v>
      </c>
      <c r="B4164" s="66" t="s">
        <v>4788</v>
      </c>
      <c r="C4164" s="66" t="s">
        <v>4790</v>
      </c>
      <c r="D4164" s="11">
        <v>30638</v>
      </c>
      <c r="E4164" s="11">
        <v>30638</v>
      </c>
      <c r="F4164" s="3">
        <v>41619</v>
      </c>
      <c r="G4164" s="2" t="s">
        <v>14104</v>
      </c>
      <c r="H4164" s="3">
        <v>43053</v>
      </c>
      <c r="I4164" s="2" t="s">
        <v>19506</v>
      </c>
      <c r="J4164" s="2" t="s">
        <v>13904</v>
      </c>
      <c r="K4164" s="2" t="s">
        <v>19225</v>
      </c>
      <c r="L4164" s="82" t="s">
        <v>19512</v>
      </c>
    </row>
    <row r="4165" spans="1:12" ht="96" customHeight="1" x14ac:dyDescent="0.3">
      <c r="A4165" s="2">
        <v>4161</v>
      </c>
      <c r="B4165" s="66" t="s">
        <v>4791</v>
      </c>
      <c r="C4165" s="66" t="s">
        <v>4792</v>
      </c>
      <c r="D4165" s="11">
        <v>8600</v>
      </c>
      <c r="E4165" s="11">
        <v>8600</v>
      </c>
      <c r="F4165" s="3">
        <v>41619</v>
      </c>
      <c r="G4165" s="2" t="s">
        <v>14104</v>
      </c>
      <c r="H4165" s="3">
        <v>43053</v>
      </c>
      <c r="I4165" s="2" t="s">
        <v>19506</v>
      </c>
      <c r="J4165" s="2" t="s">
        <v>13904</v>
      </c>
      <c r="K4165" s="2" t="s">
        <v>19225</v>
      </c>
      <c r="L4165" s="82" t="s">
        <v>19512</v>
      </c>
    </row>
    <row r="4166" spans="1:12" ht="96" customHeight="1" x14ac:dyDescent="0.3">
      <c r="A4166" s="2">
        <v>4162</v>
      </c>
      <c r="B4166" s="66" t="s">
        <v>4793</v>
      </c>
      <c r="C4166" s="66" t="s">
        <v>4794</v>
      </c>
      <c r="D4166" s="11">
        <v>36700</v>
      </c>
      <c r="E4166" s="11">
        <v>36700</v>
      </c>
      <c r="F4166" s="3">
        <v>41988</v>
      </c>
      <c r="G4166" s="2" t="s">
        <v>14104</v>
      </c>
      <c r="H4166" s="3">
        <v>43053</v>
      </c>
      <c r="I4166" s="2" t="s">
        <v>19506</v>
      </c>
      <c r="J4166" s="2" t="s">
        <v>13904</v>
      </c>
      <c r="K4166" s="2" t="s">
        <v>19225</v>
      </c>
      <c r="L4166" s="82" t="s">
        <v>19512</v>
      </c>
    </row>
    <row r="4167" spans="1:12" ht="96" customHeight="1" x14ac:dyDescent="0.3">
      <c r="A4167" s="2">
        <v>4163</v>
      </c>
      <c r="B4167" s="66" t="s">
        <v>4795</v>
      </c>
      <c r="C4167" s="66" t="s">
        <v>3790</v>
      </c>
      <c r="D4167" s="11">
        <v>35100</v>
      </c>
      <c r="E4167" s="11">
        <v>35100</v>
      </c>
      <c r="F4167" s="3">
        <v>41988</v>
      </c>
      <c r="G4167" s="2" t="s">
        <v>14104</v>
      </c>
      <c r="H4167" s="3">
        <v>43053</v>
      </c>
      <c r="I4167" s="2" t="s">
        <v>19506</v>
      </c>
      <c r="J4167" s="2" t="s">
        <v>13904</v>
      </c>
      <c r="K4167" s="2" t="s">
        <v>19225</v>
      </c>
      <c r="L4167" s="82" t="s">
        <v>19512</v>
      </c>
    </row>
    <row r="4168" spans="1:12" ht="96" customHeight="1" x14ac:dyDescent="0.3">
      <c r="A4168" s="2">
        <v>4164</v>
      </c>
      <c r="B4168" s="66" t="s">
        <v>4796</v>
      </c>
      <c r="C4168" s="66" t="s">
        <v>3459</v>
      </c>
      <c r="D4168" s="11">
        <v>7900</v>
      </c>
      <c r="E4168" s="11">
        <v>7900</v>
      </c>
      <c r="F4168" s="3">
        <v>41988</v>
      </c>
      <c r="G4168" s="2" t="s">
        <v>14104</v>
      </c>
      <c r="H4168" s="3">
        <v>43053</v>
      </c>
      <c r="I4168" s="2" t="s">
        <v>19506</v>
      </c>
      <c r="J4168" s="2" t="s">
        <v>13904</v>
      </c>
      <c r="K4168" s="2" t="s">
        <v>19225</v>
      </c>
      <c r="L4168" s="82" t="s">
        <v>19512</v>
      </c>
    </row>
    <row r="4169" spans="1:12" ht="96" customHeight="1" x14ac:dyDescent="0.3">
      <c r="A4169" s="2">
        <v>4165</v>
      </c>
      <c r="B4169" s="66" t="s">
        <v>4797</v>
      </c>
      <c r="C4169" s="66" t="s">
        <v>4798</v>
      </c>
      <c r="D4169" s="11">
        <v>4170.95</v>
      </c>
      <c r="E4169" s="11">
        <v>4170.95</v>
      </c>
      <c r="F4169" s="3">
        <v>33097</v>
      </c>
      <c r="G4169" s="2" t="s">
        <v>14104</v>
      </c>
      <c r="H4169" s="3">
        <v>43053</v>
      </c>
      <c r="I4169" s="2" t="s">
        <v>19506</v>
      </c>
      <c r="J4169" s="2" t="s">
        <v>13904</v>
      </c>
      <c r="K4169" s="2" t="s">
        <v>19225</v>
      </c>
      <c r="L4169" s="82" t="s">
        <v>19512</v>
      </c>
    </row>
    <row r="4170" spans="1:12" ht="96" customHeight="1" x14ac:dyDescent="0.3">
      <c r="A4170" s="2">
        <v>4166</v>
      </c>
      <c r="B4170" s="66" t="s">
        <v>4799</v>
      </c>
      <c r="C4170" s="66" t="s">
        <v>3131</v>
      </c>
      <c r="D4170" s="11">
        <v>12349.17</v>
      </c>
      <c r="E4170" s="11">
        <v>12349.17</v>
      </c>
      <c r="F4170" s="3">
        <v>34550</v>
      </c>
      <c r="G4170" s="2" t="s">
        <v>14104</v>
      </c>
      <c r="H4170" s="3">
        <v>43053</v>
      </c>
      <c r="I4170" s="2" t="s">
        <v>19506</v>
      </c>
      <c r="J4170" s="2" t="s">
        <v>13904</v>
      </c>
      <c r="K4170" s="2" t="s">
        <v>19225</v>
      </c>
      <c r="L4170" s="82" t="s">
        <v>19512</v>
      </c>
    </row>
    <row r="4171" spans="1:12" ht="96" customHeight="1" x14ac:dyDescent="0.3">
      <c r="A4171" s="2">
        <v>4167</v>
      </c>
      <c r="B4171" s="66" t="s">
        <v>4800</v>
      </c>
      <c r="C4171" s="66" t="s">
        <v>3778</v>
      </c>
      <c r="D4171" s="11">
        <v>6507.36</v>
      </c>
      <c r="E4171" s="11">
        <v>6507.36</v>
      </c>
      <c r="F4171" s="3">
        <v>34578</v>
      </c>
      <c r="G4171" s="2" t="s">
        <v>14104</v>
      </c>
      <c r="H4171" s="3">
        <v>43053</v>
      </c>
      <c r="I4171" s="2" t="s">
        <v>19506</v>
      </c>
      <c r="J4171" s="2" t="s">
        <v>13904</v>
      </c>
      <c r="K4171" s="2" t="s">
        <v>19225</v>
      </c>
      <c r="L4171" s="82" t="s">
        <v>19512</v>
      </c>
    </row>
    <row r="4172" spans="1:12" ht="96" customHeight="1" x14ac:dyDescent="0.3">
      <c r="A4172" s="2">
        <v>4168</v>
      </c>
      <c r="B4172" s="66" t="s">
        <v>4801</v>
      </c>
      <c r="C4172" s="66" t="s">
        <v>4104</v>
      </c>
      <c r="D4172" s="11">
        <v>11406.72</v>
      </c>
      <c r="E4172" s="11">
        <v>11406.72</v>
      </c>
      <c r="F4172" s="3">
        <v>38729</v>
      </c>
      <c r="G4172" s="2" t="s">
        <v>14104</v>
      </c>
      <c r="H4172" s="3">
        <v>43053</v>
      </c>
      <c r="I4172" s="2" t="s">
        <v>19506</v>
      </c>
      <c r="J4172" s="2" t="s">
        <v>13904</v>
      </c>
      <c r="K4172" s="2" t="s">
        <v>19225</v>
      </c>
      <c r="L4172" s="82" t="s">
        <v>19512</v>
      </c>
    </row>
    <row r="4173" spans="1:12" ht="96" customHeight="1" x14ac:dyDescent="0.3">
      <c r="A4173" s="2">
        <v>4169</v>
      </c>
      <c r="B4173" s="66" t="s">
        <v>4802</v>
      </c>
      <c r="C4173" s="66" t="s">
        <v>3457</v>
      </c>
      <c r="D4173" s="11">
        <v>11046.24</v>
      </c>
      <c r="E4173" s="11">
        <v>11046.24</v>
      </c>
      <c r="F4173" s="3">
        <v>35991</v>
      </c>
      <c r="G4173" s="2" t="s">
        <v>14104</v>
      </c>
      <c r="H4173" s="3">
        <v>43053</v>
      </c>
      <c r="I4173" s="2" t="s">
        <v>19506</v>
      </c>
      <c r="J4173" s="2" t="s">
        <v>13904</v>
      </c>
      <c r="K4173" s="2" t="s">
        <v>19225</v>
      </c>
      <c r="L4173" s="82" t="s">
        <v>19512</v>
      </c>
    </row>
    <row r="4174" spans="1:12" ht="96" customHeight="1" x14ac:dyDescent="0.3">
      <c r="A4174" s="2">
        <v>4170</v>
      </c>
      <c r="B4174" s="66" t="s">
        <v>4803</v>
      </c>
      <c r="C4174" s="66" t="s">
        <v>3347</v>
      </c>
      <c r="D4174" s="11">
        <v>4239.3599999999997</v>
      </c>
      <c r="E4174" s="11">
        <v>4239.3599999999997</v>
      </c>
      <c r="F4174" s="3">
        <v>34373</v>
      </c>
      <c r="G4174" s="2" t="s">
        <v>14104</v>
      </c>
      <c r="H4174" s="3">
        <v>43053</v>
      </c>
      <c r="I4174" s="2" t="s">
        <v>19506</v>
      </c>
      <c r="J4174" s="2" t="s">
        <v>13904</v>
      </c>
      <c r="K4174" s="2" t="s">
        <v>19225</v>
      </c>
      <c r="L4174" s="82" t="s">
        <v>19512</v>
      </c>
    </row>
    <row r="4175" spans="1:12" ht="96" customHeight="1" x14ac:dyDescent="0.3">
      <c r="A4175" s="2">
        <v>4171</v>
      </c>
      <c r="B4175" s="66" t="s">
        <v>4804</v>
      </c>
      <c r="C4175" s="66" t="s">
        <v>3612</v>
      </c>
      <c r="D4175" s="11">
        <v>3062.46</v>
      </c>
      <c r="E4175" s="11">
        <v>3062.46</v>
      </c>
      <c r="F4175" s="3">
        <v>33212</v>
      </c>
      <c r="G4175" s="2" t="s">
        <v>14104</v>
      </c>
      <c r="H4175" s="3">
        <v>43053</v>
      </c>
      <c r="I4175" s="2" t="s">
        <v>19506</v>
      </c>
      <c r="J4175" s="2" t="s">
        <v>13904</v>
      </c>
      <c r="K4175" s="2" t="s">
        <v>19225</v>
      </c>
      <c r="L4175" s="82" t="s">
        <v>19512</v>
      </c>
    </row>
    <row r="4176" spans="1:12" ht="96" customHeight="1" x14ac:dyDescent="0.3">
      <c r="A4176" s="2">
        <v>4172</v>
      </c>
      <c r="B4176" s="66" t="s">
        <v>4797</v>
      </c>
      <c r="C4176" s="66" t="s">
        <v>4805</v>
      </c>
      <c r="D4176" s="11">
        <v>4170.95</v>
      </c>
      <c r="E4176" s="11">
        <v>4170.95</v>
      </c>
      <c r="F4176" s="3">
        <v>33097</v>
      </c>
      <c r="G4176" s="2" t="s">
        <v>14104</v>
      </c>
      <c r="H4176" s="3">
        <v>43053</v>
      </c>
      <c r="I4176" s="2" t="s">
        <v>19506</v>
      </c>
      <c r="J4176" s="2" t="s">
        <v>13904</v>
      </c>
      <c r="K4176" s="2" t="s">
        <v>19225</v>
      </c>
      <c r="L4176" s="82" t="s">
        <v>19512</v>
      </c>
    </row>
    <row r="4177" spans="1:12" ht="96" customHeight="1" x14ac:dyDescent="0.3">
      <c r="A4177" s="2">
        <v>4173</v>
      </c>
      <c r="B4177" s="66" t="s">
        <v>4797</v>
      </c>
      <c r="C4177" s="66" t="s">
        <v>4806</v>
      </c>
      <c r="D4177" s="11">
        <v>4170.95</v>
      </c>
      <c r="E4177" s="11">
        <v>4170.95</v>
      </c>
      <c r="F4177" s="3">
        <v>33097</v>
      </c>
      <c r="G4177" s="2" t="s">
        <v>14104</v>
      </c>
      <c r="H4177" s="3">
        <v>43053</v>
      </c>
      <c r="I4177" s="2" t="s">
        <v>19506</v>
      </c>
      <c r="J4177" s="2" t="s">
        <v>13904</v>
      </c>
      <c r="K4177" s="2" t="s">
        <v>19225</v>
      </c>
      <c r="L4177" s="82" t="s">
        <v>19512</v>
      </c>
    </row>
    <row r="4178" spans="1:12" ht="96" customHeight="1" x14ac:dyDescent="0.3">
      <c r="A4178" s="2">
        <v>4174</v>
      </c>
      <c r="B4178" s="66" t="s">
        <v>4688</v>
      </c>
      <c r="C4178" s="66" t="s">
        <v>4807</v>
      </c>
      <c r="D4178" s="11">
        <v>5000</v>
      </c>
      <c r="E4178" s="11">
        <v>5000</v>
      </c>
      <c r="F4178" s="3">
        <v>39442</v>
      </c>
      <c r="G4178" s="2" t="s">
        <v>14104</v>
      </c>
      <c r="H4178" s="3">
        <v>43053</v>
      </c>
      <c r="I4178" s="2" t="s">
        <v>19506</v>
      </c>
      <c r="J4178" s="2" t="s">
        <v>13904</v>
      </c>
      <c r="K4178" s="2" t="s">
        <v>19225</v>
      </c>
      <c r="L4178" s="82" t="s">
        <v>19512</v>
      </c>
    </row>
    <row r="4179" spans="1:12" ht="96" customHeight="1" x14ac:dyDescent="0.3">
      <c r="A4179" s="2">
        <v>4175</v>
      </c>
      <c r="B4179" s="66" t="s">
        <v>4808</v>
      </c>
      <c r="C4179" s="66" t="s">
        <v>4809</v>
      </c>
      <c r="D4179" s="11">
        <v>4900</v>
      </c>
      <c r="E4179" s="11">
        <v>4900</v>
      </c>
      <c r="F4179" s="3">
        <v>39806</v>
      </c>
      <c r="G4179" s="2" t="s">
        <v>14104</v>
      </c>
      <c r="H4179" s="3">
        <v>43053</v>
      </c>
      <c r="I4179" s="2" t="s">
        <v>19506</v>
      </c>
      <c r="J4179" s="2" t="s">
        <v>13904</v>
      </c>
      <c r="K4179" s="2" t="s">
        <v>19225</v>
      </c>
      <c r="L4179" s="82" t="s">
        <v>19512</v>
      </c>
    </row>
    <row r="4180" spans="1:12" ht="96" customHeight="1" x14ac:dyDescent="0.3">
      <c r="A4180" s="2">
        <v>4176</v>
      </c>
      <c r="B4180" s="66" t="s">
        <v>275</v>
      </c>
      <c r="C4180" s="66" t="s">
        <v>4081</v>
      </c>
      <c r="D4180" s="11">
        <v>3878.91</v>
      </c>
      <c r="E4180" s="11">
        <v>3878.91</v>
      </c>
      <c r="F4180" s="3">
        <v>34523</v>
      </c>
      <c r="G4180" s="2" t="s">
        <v>14104</v>
      </c>
      <c r="H4180" s="3">
        <v>43053</v>
      </c>
      <c r="I4180" s="2" t="s">
        <v>19506</v>
      </c>
      <c r="J4180" s="2" t="s">
        <v>13904</v>
      </c>
      <c r="K4180" s="2" t="s">
        <v>19225</v>
      </c>
      <c r="L4180" s="82" t="s">
        <v>19512</v>
      </c>
    </row>
    <row r="4181" spans="1:12" ht="96" customHeight="1" x14ac:dyDescent="0.3">
      <c r="A4181" s="2">
        <v>4177</v>
      </c>
      <c r="B4181" s="66" t="s">
        <v>275</v>
      </c>
      <c r="C4181" s="66" t="s">
        <v>3314</v>
      </c>
      <c r="D4181" s="11">
        <v>8364.1200000000008</v>
      </c>
      <c r="E4181" s="11">
        <v>8364.1200000000008</v>
      </c>
      <c r="F4181" s="3">
        <v>34497</v>
      </c>
      <c r="G4181" s="2" t="s">
        <v>14104</v>
      </c>
      <c r="H4181" s="3">
        <v>43053</v>
      </c>
      <c r="I4181" s="2" t="s">
        <v>19506</v>
      </c>
      <c r="J4181" s="2" t="s">
        <v>13904</v>
      </c>
      <c r="K4181" s="2" t="s">
        <v>19225</v>
      </c>
      <c r="L4181" s="82" t="s">
        <v>19512</v>
      </c>
    </row>
    <row r="4182" spans="1:12" ht="96" customHeight="1" x14ac:dyDescent="0.3">
      <c r="A4182" s="2">
        <v>4178</v>
      </c>
      <c r="B4182" s="66" t="s">
        <v>257</v>
      </c>
      <c r="C4182" s="66" t="s">
        <v>3853</v>
      </c>
      <c r="D4182" s="11">
        <v>18573.18</v>
      </c>
      <c r="E4182" s="11">
        <v>18573.18</v>
      </c>
      <c r="F4182" s="3">
        <v>38765</v>
      </c>
      <c r="G4182" s="2" t="s">
        <v>14104</v>
      </c>
      <c r="H4182" s="3">
        <v>43053</v>
      </c>
      <c r="I4182" s="2" t="s">
        <v>19506</v>
      </c>
      <c r="J4182" s="2" t="s">
        <v>13904</v>
      </c>
      <c r="K4182" s="2" t="s">
        <v>19225</v>
      </c>
      <c r="L4182" s="82" t="s">
        <v>19512</v>
      </c>
    </row>
    <row r="4183" spans="1:12" ht="96" customHeight="1" x14ac:dyDescent="0.3">
      <c r="A4183" s="2">
        <v>4179</v>
      </c>
      <c r="B4183" s="66" t="s">
        <v>3639</v>
      </c>
      <c r="C4183" s="66" t="s">
        <v>3294</v>
      </c>
      <c r="D4183" s="11">
        <v>3929.57</v>
      </c>
      <c r="E4183" s="11">
        <v>3929.57</v>
      </c>
      <c r="F4183" s="3">
        <v>39076</v>
      </c>
      <c r="G4183" s="2" t="s">
        <v>14104</v>
      </c>
      <c r="H4183" s="3">
        <v>43053</v>
      </c>
      <c r="I4183" s="2" t="s">
        <v>19506</v>
      </c>
      <c r="J4183" s="2" t="s">
        <v>13904</v>
      </c>
      <c r="K4183" s="2" t="s">
        <v>19225</v>
      </c>
      <c r="L4183" s="82" t="s">
        <v>19512</v>
      </c>
    </row>
    <row r="4184" spans="1:12" ht="96" customHeight="1" x14ac:dyDescent="0.3">
      <c r="A4184" s="2">
        <v>4180</v>
      </c>
      <c r="B4184" s="66" t="s">
        <v>2130</v>
      </c>
      <c r="C4184" s="66" t="s">
        <v>3632</v>
      </c>
      <c r="D4184" s="11">
        <v>3148.33</v>
      </c>
      <c r="E4184" s="11">
        <v>3148.33</v>
      </c>
      <c r="F4184" s="3">
        <v>34466</v>
      </c>
      <c r="G4184" s="2" t="s">
        <v>14104</v>
      </c>
      <c r="H4184" s="3">
        <v>43053</v>
      </c>
      <c r="I4184" s="2" t="s">
        <v>19506</v>
      </c>
      <c r="J4184" s="2" t="s">
        <v>13904</v>
      </c>
      <c r="K4184" s="2" t="s">
        <v>19225</v>
      </c>
      <c r="L4184" s="82" t="s">
        <v>19512</v>
      </c>
    </row>
    <row r="4185" spans="1:12" ht="96" customHeight="1" x14ac:dyDescent="0.3">
      <c r="A4185" s="2">
        <v>4181</v>
      </c>
      <c r="B4185" s="66" t="s">
        <v>4810</v>
      </c>
      <c r="C4185" s="66" t="s">
        <v>4811</v>
      </c>
      <c r="D4185" s="11">
        <v>8558.5300000000007</v>
      </c>
      <c r="E4185" s="11">
        <v>8558.5300000000007</v>
      </c>
      <c r="F4185" s="3">
        <v>34559</v>
      </c>
      <c r="G4185" s="2" t="s">
        <v>14104</v>
      </c>
      <c r="H4185" s="3">
        <v>43053</v>
      </c>
      <c r="I4185" s="2" t="s">
        <v>19506</v>
      </c>
      <c r="J4185" s="2" t="s">
        <v>13904</v>
      </c>
      <c r="K4185" s="2" t="s">
        <v>19225</v>
      </c>
      <c r="L4185" s="82" t="s">
        <v>19512</v>
      </c>
    </row>
    <row r="4186" spans="1:12" ht="96" customHeight="1" x14ac:dyDescent="0.3">
      <c r="A4186" s="2">
        <v>4182</v>
      </c>
      <c r="B4186" s="66" t="s">
        <v>4158</v>
      </c>
      <c r="C4186" s="66" t="s">
        <v>3146</v>
      </c>
      <c r="D4186" s="11">
        <v>3133</v>
      </c>
      <c r="E4186" s="11">
        <v>3133</v>
      </c>
      <c r="F4186" s="3">
        <v>41985</v>
      </c>
      <c r="G4186" s="2" t="s">
        <v>14104</v>
      </c>
      <c r="H4186" s="3">
        <v>43053</v>
      </c>
      <c r="I4186" s="2" t="s">
        <v>19506</v>
      </c>
      <c r="J4186" s="2" t="s">
        <v>13904</v>
      </c>
      <c r="K4186" s="2" t="s">
        <v>19225</v>
      </c>
      <c r="L4186" s="82" t="s">
        <v>19512</v>
      </c>
    </row>
    <row r="4187" spans="1:12" ht="96" customHeight="1" x14ac:dyDescent="0.3">
      <c r="A4187" s="2">
        <v>4183</v>
      </c>
      <c r="B4187" s="66" t="s">
        <v>4158</v>
      </c>
      <c r="C4187" s="66" t="s">
        <v>3145</v>
      </c>
      <c r="D4187" s="11">
        <v>3133</v>
      </c>
      <c r="E4187" s="11">
        <v>3133</v>
      </c>
      <c r="F4187" s="3">
        <v>41985</v>
      </c>
      <c r="G4187" s="2" t="s">
        <v>14104</v>
      </c>
      <c r="H4187" s="3">
        <v>43053</v>
      </c>
      <c r="I4187" s="2" t="s">
        <v>19506</v>
      </c>
      <c r="J4187" s="2" t="s">
        <v>13904</v>
      </c>
      <c r="K4187" s="2" t="s">
        <v>19225</v>
      </c>
      <c r="L4187" s="82" t="s">
        <v>19512</v>
      </c>
    </row>
    <row r="4188" spans="1:12" ht="96" customHeight="1" x14ac:dyDescent="0.3">
      <c r="A4188" s="2">
        <v>4184</v>
      </c>
      <c r="B4188" s="66" t="s">
        <v>4158</v>
      </c>
      <c r="C4188" s="66" t="s">
        <v>3148</v>
      </c>
      <c r="D4188" s="11">
        <v>3134</v>
      </c>
      <c r="E4188" s="11">
        <v>3134</v>
      </c>
      <c r="F4188" s="3">
        <v>41985</v>
      </c>
      <c r="G4188" s="2" t="s">
        <v>14104</v>
      </c>
      <c r="H4188" s="3">
        <v>43053</v>
      </c>
      <c r="I4188" s="2" t="s">
        <v>19506</v>
      </c>
      <c r="J4188" s="2" t="s">
        <v>13904</v>
      </c>
      <c r="K4188" s="2" t="s">
        <v>19225</v>
      </c>
      <c r="L4188" s="82" t="s">
        <v>19512</v>
      </c>
    </row>
    <row r="4189" spans="1:12" ht="96" customHeight="1" x14ac:dyDescent="0.3">
      <c r="A4189" s="2">
        <v>4185</v>
      </c>
      <c r="B4189" s="66" t="s">
        <v>4812</v>
      </c>
      <c r="C4189" s="66" t="s">
        <v>3147</v>
      </c>
      <c r="D4189" s="11">
        <v>4840.32</v>
      </c>
      <c r="E4189" s="11">
        <v>4840.32</v>
      </c>
      <c r="F4189" s="3">
        <v>41988</v>
      </c>
      <c r="G4189" s="2" t="s">
        <v>14104</v>
      </c>
      <c r="H4189" s="3">
        <v>43053</v>
      </c>
      <c r="I4189" s="2" t="s">
        <v>19506</v>
      </c>
      <c r="J4189" s="2" t="s">
        <v>13904</v>
      </c>
      <c r="K4189" s="2" t="s">
        <v>19225</v>
      </c>
      <c r="L4189" s="82" t="s">
        <v>19512</v>
      </c>
    </row>
    <row r="4190" spans="1:12" ht="96" customHeight="1" x14ac:dyDescent="0.3">
      <c r="A4190" s="2">
        <v>4186</v>
      </c>
      <c r="B4190" s="66" t="s">
        <v>4813</v>
      </c>
      <c r="C4190" s="66" t="s">
        <v>3149</v>
      </c>
      <c r="D4190" s="11">
        <v>4408.6499999999996</v>
      </c>
      <c r="E4190" s="11">
        <v>4408.6499999999996</v>
      </c>
      <c r="F4190" s="3">
        <v>41988</v>
      </c>
      <c r="G4190" s="2" t="s">
        <v>14104</v>
      </c>
      <c r="H4190" s="3">
        <v>43053</v>
      </c>
      <c r="I4190" s="2" t="s">
        <v>19506</v>
      </c>
      <c r="J4190" s="2" t="s">
        <v>13904</v>
      </c>
      <c r="K4190" s="2" t="s">
        <v>19225</v>
      </c>
      <c r="L4190" s="82" t="s">
        <v>19512</v>
      </c>
    </row>
    <row r="4191" spans="1:12" ht="96" customHeight="1" x14ac:dyDescent="0.3">
      <c r="A4191" s="2">
        <v>4187</v>
      </c>
      <c r="B4191" s="66" t="s">
        <v>4814</v>
      </c>
      <c r="C4191" s="66" t="s">
        <v>4255</v>
      </c>
      <c r="D4191" s="11">
        <v>3094.35</v>
      </c>
      <c r="E4191" s="11">
        <v>3094.35</v>
      </c>
      <c r="F4191" s="3">
        <v>34678</v>
      </c>
      <c r="G4191" s="2" t="s">
        <v>14104</v>
      </c>
      <c r="H4191" s="3">
        <v>43053</v>
      </c>
      <c r="I4191" s="2" t="s">
        <v>19506</v>
      </c>
      <c r="J4191" s="2" t="s">
        <v>13904</v>
      </c>
      <c r="K4191" s="2" t="s">
        <v>19225</v>
      </c>
      <c r="L4191" s="82" t="s">
        <v>19512</v>
      </c>
    </row>
    <row r="4192" spans="1:12" ht="96" customHeight="1" x14ac:dyDescent="0.3">
      <c r="A4192" s="2">
        <v>4188</v>
      </c>
      <c r="B4192" s="66" t="s">
        <v>4815</v>
      </c>
      <c r="C4192" s="66" t="s">
        <v>4393</v>
      </c>
      <c r="D4192" s="11">
        <v>3094.36</v>
      </c>
      <c r="E4192" s="11">
        <v>3094.36</v>
      </c>
      <c r="F4192" s="3">
        <v>34678</v>
      </c>
      <c r="G4192" s="2" t="s">
        <v>14104</v>
      </c>
      <c r="H4192" s="3">
        <v>43053</v>
      </c>
      <c r="I4192" s="2" t="s">
        <v>19506</v>
      </c>
      <c r="J4192" s="2" t="s">
        <v>13904</v>
      </c>
      <c r="K4192" s="2" t="s">
        <v>19225</v>
      </c>
      <c r="L4192" s="82" t="s">
        <v>19512</v>
      </c>
    </row>
    <row r="4193" spans="1:15" ht="96" customHeight="1" x14ac:dyDescent="0.3">
      <c r="A4193" s="2">
        <v>4189</v>
      </c>
      <c r="B4193" s="66" t="s">
        <v>4816</v>
      </c>
      <c r="C4193" s="66" t="s">
        <v>4817</v>
      </c>
      <c r="D4193" s="11">
        <v>9559.48</v>
      </c>
      <c r="E4193" s="11">
        <v>9559.48</v>
      </c>
      <c r="F4193" s="3">
        <v>39079</v>
      </c>
      <c r="G4193" s="2" t="s">
        <v>14104</v>
      </c>
      <c r="H4193" s="3">
        <v>43053</v>
      </c>
      <c r="I4193" s="2" t="s">
        <v>19506</v>
      </c>
      <c r="J4193" s="2" t="s">
        <v>13904</v>
      </c>
      <c r="K4193" s="2" t="s">
        <v>19225</v>
      </c>
      <c r="L4193" s="82" t="s">
        <v>19512</v>
      </c>
    </row>
    <row r="4194" spans="1:15" s="19" customFormat="1" ht="96" customHeight="1" x14ac:dyDescent="0.3">
      <c r="A4194" s="2">
        <v>4190</v>
      </c>
      <c r="B4194" s="66" t="s">
        <v>1062</v>
      </c>
      <c r="C4194" s="66" t="s">
        <v>4496</v>
      </c>
      <c r="D4194" s="11">
        <v>99074.94</v>
      </c>
      <c r="E4194" s="11">
        <v>57793.74</v>
      </c>
      <c r="F4194" s="3">
        <v>42004</v>
      </c>
      <c r="G4194" s="2" t="s">
        <v>14104</v>
      </c>
      <c r="H4194" s="2"/>
      <c r="I4194" s="2"/>
      <c r="J4194" s="2" t="s">
        <v>13904</v>
      </c>
      <c r="K4194" s="2" t="s">
        <v>19217</v>
      </c>
      <c r="L4194" s="82" t="s">
        <v>20077</v>
      </c>
      <c r="M4194" s="18"/>
      <c r="N4194" s="18"/>
      <c r="O4194" s="18"/>
    </row>
    <row r="4195" spans="1:15" ht="96" customHeight="1" x14ac:dyDescent="0.3">
      <c r="A4195" s="2">
        <v>4191</v>
      </c>
      <c r="B4195" s="66" t="s">
        <v>23337</v>
      </c>
      <c r="C4195" s="66">
        <v>4101240458</v>
      </c>
      <c r="D4195" s="11">
        <v>55000</v>
      </c>
      <c r="E4195" s="11">
        <v>55000</v>
      </c>
      <c r="F4195" s="3" t="s">
        <v>23338</v>
      </c>
      <c r="G4195" s="2" t="s">
        <v>23339</v>
      </c>
      <c r="H4195" s="3"/>
      <c r="I4195" s="2"/>
      <c r="J4195" s="2" t="s">
        <v>13904</v>
      </c>
      <c r="K4195" s="2" t="s">
        <v>23340</v>
      </c>
      <c r="L4195" s="82" t="s">
        <v>23336</v>
      </c>
    </row>
    <row r="4196" spans="1:15" ht="96" customHeight="1" x14ac:dyDescent="0.3">
      <c r="A4196" s="2">
        <v>4192</v>
      </c>
      <c r="B4196" s="66" t="s">
        <v>4818</v>
      </c>
      <c r="C4196" s="66" t="s">
        <v>4819</v>
      </c>
      <c r="D4196" s="11">
        <v>51547</v>
      </c>
      <c r="E4196" s="11">
        <v>51547</v>
      </c>
      <c r="F4196" s="3">
        <v>40870</v>
      </c>
      <c r="G4196" s="2" t="s">
        <v>14104</v>
      </c>
      <c r="H4196" s="2"/>
      <c r="I4196" s="2"/>
      <c r="J4196" s="2" t="s">
        <v>13904</v>
      </c>
      <c r="K4196" s="2" t="s">
        <v>19217</v>
      </c>
      <c r="L4196" s="82" t="s">
        <v>20076</v>
      </c>
    </row>
    <row r="4197" spans="1:15" ht="96" customHeight="1" x14ac:dyDescent="0.3">
      <c r="A4197" s="2">
        <v>4193</v>
      </c>
      <c r="B4197" s="66" t="s">
        <v>4820</v>
      </c>
      <c r="C4197" s="66" t="s">
        <v>4821</v>
      </c>
      <c r="D4197" s="11">
        <v>74180.83</v>
      </c>
      <c r="E4197" s="11">
        <v>74180.83</v>
      </c>
      <c r="F4197" s="3">
        <v>39065</v>
      </c>
      <c r="G4197" s="2" t="s">
        <v>14104</v>
      </c>
      <c r="H4197" s="2"/>
      <c r="I4197" s="2"/>
      <c r="J4197" s="2" t="s">
        <v>13904</v>
      </c>
      <c r="K4197" s="2" t="s">
        <v>19217</v>
      </c>
      <c r="L4197" s="82" t="s">
        <v>20077</v>
      </c>
    </row>
    <row r="4198" spans="1:15" ht="96" customHeight="1" x14ac:dyDescent="0.3">
      <c r="A4198" s="2">
        <v>4194</v>
      </c>
      <c r="B4198" s="66" t="s">
        <v>4822</v>
      </c>
      <c r="C4198" s="66" t="s">
        <v>3779</v>
      </c>
      <c r="D4198" s="11">
        <v>361461.55</v>
      </c>
      <c r="E4198" s="11">
        <v>361461.55</v>
      </c>
      <c r="F4198" s="3">
        <v>39394</v>
      </c>
      <c r="G4198" s="2" t="s">
        <v>14104</v>
      </c>
      <c r="H4198" s="2"/>
      <c r="I4198" s="2"/>
      <c r="J4198" s="2" t="s">
        <v>13904</v>
      </c>
      <c r="K4198" s="2" t="s">
        <v>19217</v>
      </c>
      <c r="L4198" s="82" t="s">
        <v>20077</v>
      </c>
    </row>
    <row r="4199" spans="1:15" ht="96" customHeight="1" x14ac:dyDescent="0.3">
      <c r="A4199" s="2">
        <v>4195</v>
      </c>
      <c r="B4199" s="66" t="s">
        <v>4823</v>
      </c>
      <c r="C4199" s="66" t="s">
        <v>4824</v>
      </c>
      <c r="D4199" s="11">
        <v>1500666.67</v>
      </c>
      <c r="E4199" s="11">
        <v>1000444.4</v>
      </c>
      <c r="F4199" s="3">
        <v>41486</v>
      </c>
      <c r="G4199" s="2" t="s">
        <v>14104</v>
      </c>
      <c r="H4199" s="2"/>
      <c r="I4199" s="2"/>
      <c r="J4199" s="2" t="s">
        <v>13904</v>
      </c>
      <c r="K4199" s="2" t="s">
        <v>19217</v>
      </c>
      <c r="L4199" s="82" t="s">
        <v>20077</v>
      </c>
    </row>
    <row r="4200" spans="1:15" ht="96" customHeight="1" x14ac:dyDescent="0.3">
      <c r="A4200" s="2">
        <v>4196</v>
      </c>
      <c r="B4200" s="66" t="s">
        <v>4825</v>
      </c>
      <c r="C4200" s="66" t="s">
        <v>4826</v>
      </c>
      <c r="D4200" s="11">
        <v>22784</v>
      </c>
      <c r="E4200" s="11">
        <v>22784</v>
      </c>
      <c r="F4200" s="3">
        <v>39442</v>
      </c>
      <c r="G4200" s="2" t="s">
        <v>14104</v>
      </c>
      <c r="H4200" s="3">
        <v>43053</v>
      </c>
      <c r="I4200" s="2" t="s">
        <v>19506</v>
      </c>
      <c r="J4200" s="2" t="s">
        <v>13904</v>
      </c>
      <c r="K4200" s="2" t="s">
        <v>19217</v>
      </c>
      <c r="L4200" s="82" t="s">
        <v>19512</v>
      </c>
    </row>
    <row r="4201" spans="1:15" ht="96" customHeight="1" x14ac:dyDescent="0.3">
      <c r="A4201" s="2">
        <v>4197</v>
      </c>
      <c r="B4201" s="66" t="s">
        <v>4827</v>
      </c>
      <c r="C4201" s="66" t="s">
        <v>4828</v>
      </c>
      <c r="D4201" s="11">
        <v>25000</v>
      </c>
      <c r="E4201" s="11">
        <v>25000</v>
      </c>
      <c r="F4201" s="3">
        <v>39590</v>
      </c>
      <c r="G4201" s="2" t="s">
        <v>14104</v>
      </c>
      <c r="H4201" s="3">
        <v>43053</v>
      </c>
      <c r="I4201" s="2" t="s">
        <v>19506</v>
      </c>
      <c r="J4201" s="2" t="s">
        <v>13904</v>
      </c>
      <c r="K4201" s="2" t="s">
        <v>19217</v>
      </c>
      <c r="L4201" s="82" t="s">
        <v>19512</v>
      </c>
    </row>
    <row r="4202" spans="1:15" ht="96" customHeight="1" x14ac:dyDescent="0.3">
      <c r="A4202" s="2">
        <v>4198</v>
      </c>
      <c r="B4202" s="66" t="s">
        <v>4829</v>
      </c>
      <c r="C4202" s="66" t="s">
        <v>4830</v>
      </c>
      <c r="D4202" s="11">
        <v>38025.03</v>
      </c>
      <c r="E4202" s="11">
        <v>38025.03</v>
      </c>
      <c r="F4202" s="3">
        <v>39752</v>
      </c>
      <c r="G4202" s="2" t="s">
        <v>14104</v>
      </c>
      <c r="H4202" s="3">
        <v>43053</v>
      </c>
      <c r="I4202" s="2" t="s">
        <v>19506</v>
      </c>
      <c r="J4202" s="2" t="s">
        <v>13904</v>
      </c>
      <c r="K4202" s="2" t="s">
        <v>19217</v>
      </c>
      <c r="L4202" s="82" t="s">
        <v>19512</v>
      </c>
    </row>
    <row r="4203" spans="1:15" ht="96" customHeight="1" x14ac:dyDescent="0.3">
      <c r="A4203" s="2">
        <v>4199</v>
      </c>
      <c r="B4203" s="66" t="s">
        <v>4831</v>
      </c>
      <c r="C4203" s="66" t="s">
        <v>4832</v>
      </c>
      <c r="D4203" s="11">
        <v>23800</v>
      </c>
      <c r="E4203" s="11">
        <v>21774.66</v>
      </c>
      <c r="F4203" s="3">
        <v>40512</v>
      </c>
      <c r="G4203" s="2" t="s">
        <v>14104</v>
      </c>
      <c r="H4203" s="3">
        <v>43053</v>
      </c>
      <c r="I4203" s="2" t="s">
        <v>19506</v>
      </c>
      <c r="J4203" s="2" t="s">
        <v>13904</v>
      </c>
      <c r="K4203" s="2" t="s">
        <v>19217</v>
      </c>
      <c r="L4203" s="82" t="s">
        <v>19512</v>
      </c>
    </row>
    <row r="4204" spans="1:15" ht="96" customHeight="1" x14ac:dyDescent="0.3">
      <c r="A4204" s="2">
        <v>4200</v>
      </c>
      <c r="B4204" s="66" t="s">
        <v>4833</v>
      </c>
      <c r="C4204" s="66"/>
      <c r="D4204" s="11">
        <v>27933.35</v>
      </c>
      <c r="E4204" s="11">
        <v>27933.35</v>
      </c>
      <c r="F4204" s="3">
        <v>40817</v>
      </c>
      <c r="G4204" s="2" t="s">
        <v>14104</v>
      </c>
      <c r="H4204" s="3">
        <v>42755</v>
      </c>
      <c r="I4204" s="2" t="s">
        <v>18737</v>
      </c>
      <c r="J4204" s="2" t="s">
        <v>13904</v>
      </c>
      <c r="K4204" s="2" t="s">
        <v>18542</v>
      </c>
      <c r="L4204" s="82"/>
    </row>
    <row r="4205" spans="1:15" ht="84" customHeight="1" x14ac:dyDescent="0.3">
      <c r="A4205" s="2">
        <v>4201</v>
      </c>
      <c r="B4205" s="66" t="s">
        <v>4548</v>
      </c>
      <c r="C4205" s="66"/>
      <c r="D4205" s="11">
        <v>21135.07</v>
      </c>
      <c r="E4205" s="11">
        <v>21135.07</v>
      </c>
      <c r="F4205" s="3">
        <v>40877</v>
      </c>
      <c r="G4205" s="2" t="s">
        <v>14104</v>
      </c>
      <c r="H4205" s="3">
        <v>43053</v>
      </c>
      <c r="I4205" s="2" t="s">
        <v>19506</v>
      </c>
      <c r="J4205" s="2" t="s">
        <v>13904</v>
      </c>
      <c r="K4205" s="2"/>
      <c r="L4205" s="82" t="s">
        <v>19512</v>
      </c>
    </row>
    <row r="4206" spans="1:15" ht="96" customHeight="1" x14ac:dyDescent="0.3">
      <c r="A4206" s="2">
        <v>4202</v>
      </c>
      <c r="B4206" s="66" t="s">
        <v>4551</v>
      </c>
      <c r="C4206" s="66"/>
      <c r="D4206" s="244">
        <v>76379.44</v>
      </c>
      <c r="E4206" s="11">
        <v>76379.44</v>
      </c>
      <c r="F4206" s="3">
        <v>41180</v>
      </c>
      <c r="G4206" s="2" t="s">
        <v>14104</v>
      </c>
      <c r="H4206" s="3">
        <v>43053</v>
      </c>
      <c r="I4206" s="2" t="s">
        <v>19506</v>
      </c>
      <c r="J4206" s="2" t="s">
        <v>13904</v>
      </c>
      <c r="K4206" s="2" t="s">
        <v>19217</v>
      </c>
      <c r="L4206" s="82" t="s">
        <v>19512</v>
      </c>
    </row>
    <row r="4207" spans="1:15" ht="96" customHeight="1" x14ac:dyDescent="0.3">
      <c r="A4207" s="2">
        <v>4203</v>
      </c>
      <c r="B4207" s="66" t="s">
        <v>4552</v>
      </c>
      <c r="C4207" s="66"/>
      <c r="D4207" s="244">
        <v>122992.71</v>
      </c>
      <c r="E4207" s="11">
        <v>122992.71</v>
      </c>
      <c r="F4207" s="3">
        <v>41547</v>
      </c>
      <c r="G4207" s="2" t="s">
        <v>14104</v>
      </c>
      <c r="H4207" s="3">
        <v>43053</v>
      </c>
      <c r="I4207" s="2" t="s">
        <v>19506</v>
      </c>
      <c r="J4207" s="2" t="s">
        <v>13904</v>
      </c>
      <c r="K4207" s="2" t="s">
        <v>19217</v>
      </c>
      <c r="L4207" s="82" t="s">
        <v>19512</v>
      </c>
    </row>
    <row r="4208" spans="1:15" ht="96" customHeight="1" x14ac:dyDescent="0.3">
      <c r="A4208" s="2">
        <v>4204</v>
      </c>
      <c r="B4208" s="66" t="s">
        <v>4834</v>
      </c>
      <c r="C4208" s="66"/>
      <c r="D4208" s="244">
        <v>180839.4</v>
      </c>
      <c r="E4208" s="11">
        <v>180839.4</v>
      </c>
      <c r="F4208" s="3">
        <v>41898</v>
      </c>
      <c r="G4208" s="2" t="s">
        <v>14104</v>
      </c>
      <c r="H4208" s="3">
        <v>43053</v>
      </c>
      <c r="I4208" s="2" t="s">
        <v>19506</v>
      </c>
      <c r="J4208" s="2" t="s">
        <v>13904</v>
      </c>
      <c r="K4208" s="2" t="s">
        <v>19217</v>
      </c>
      <c r="L4208" s="82" t="s">
        <v>19512</v>
      </c>
    </row>
    <row r="4209" spans="1:12" ht="84" customHeight="1" x14ac:dyDescent="0.3">
      <c r="A4209" s="2">
        <v>4205</v>
      </c>
      <c r="B4209" s="66" t="s">
        <v>4835</v>
      </c>
      <c r="C4209" s="66"/>
      <c r="D4209" s="11">
        <v>39051.599999999999</v>
      </c>
      <c r="E4209" s="11">
        <v>39051.599999999999</v>
      </c>
      <c r="F4209" s="3">
        <v>42173</v>
      </c>
      <c r="G4209" s="2" t="s">
        <v>14104</v>
      </c>
      <c r="H4209" s="3">
        <v>43053</v>
      </c>
      <c r="I4209" s="2" t="s">
        <v>19506</v>
      </c>
      <c r="J4209" s="2" t="s">
        <v>13904</v>
      </c>
      <c r="K4209" s="2"/>
      <c r="L4209" s="82" t="s">
        <v>19512</v>
      </c>
    </row>
    <row r="4210" spans="1:12" ht="96" customHeight="1" x14ac:dyDescent="0.3">
      <c r="A4210" s="2">
        <v>4206</v>
      </c>
      <c r="B4210" s="66" t="s">
        <v>4836</v>
      </c>
      <c r="C4210" s="66" t="s">
        <v>4837</v>
      </c>
      <c r="D4210" s="11">
        <v>29097.45</v>
      </c>
      <c r="E4210" s="11">
        <v>29097.45</v>
      </c>
      <c r="F4210" s="3">
        <v>39616</v>
      </c>
      <c r="G4210" s="2" t="s">
        <v>14104</v>
      </c>
      <c r="H4210" s="3">
        <v>43053</v>
      </c>
      <c r="I4210" s="2" t="s">
        <v>19506</v>
      </c>
      <c r="J4210" s="2" t="s">
        <v>13904</v>
      </c>
      <c r="K4210" s="2" t="s">
        <v>19217</v>
      </c>
      <c r="L4210" s="82" t="s">
        <v>19512</v>
      </c>
    </row>
    <row r="4211" spans="1:12" ht="96" customHeight="1" x14ac:dyDescent="0.3">
      <c r="A4211" s="2">
        <v>4207</v>
      </c>
      <c r="B4211" s="66" t="s">
        <v>4556</v>
      </c>
      <c r="C4211" s="66" t="s">
        <v>4838</v>
      </c>
      <c r="D4211" s="11">
        <v>4545</v>
      </c>
      <c r="E4211" s="11">
        <v>4545</v>
      </c>
      <c r="F4211" s="3">
        <v>41736</v>
      </c>
      <c r="G4211" s="2" t="s">
        <v>14104</v>
      </c>
      <c r="H4211" s="3">
        <v>43053</v>
      </c>
      <c r="I4211" s="2" t="s">
        <v>19506</v>
      </c>
      <c r="J4211" s="2" t="s">
        <v>13904</v>
      </c>
      <c r="K4211" s="2" t="s">
        <v>19217</v>
      </c>
      <c r="L4211" s="82" t="s">
        <v>19512</v>
      </c>
    </row>
    <row r="4212" spans="1:12" ht="96" customHeight="1" x14ac:dyDescent="0.3">
      <c r="A4212" s="2">
        <v>4208</v>
      </c>
      <c r="B4212" s="66" t="s">
        <v>4839</v>
      </c>
      <c r="C4212" s="66" t="s">
        <v>4840</v>
      </c>
      <c r="D4212" s="11">
        <v>7180</v>
      </c>
      <c r="E4212" s="11">
        <v>7180</v>
      </c>
      <c r="F4212" s="3">
        <v>41365</v>
      </c>
      <c r="G4212" s="2" t="s">
        <v>14104</v>
      </c>
      <c r="H4212" s="3">
        <v>43053</v>
      </c>
      <c r="I4212" s="2" t="s">
        <v>19506</v>
      </c>
      <c r="J4212" s="2" t="s">
        <v>13904</v>
      </c>
      <c r="K4212" s="2" t="s">
        <v>19217</v>
      </c>
      <c r="L4212" s="82" t="s">
        <v>19512</v>
      </c>
    </row>
    <row r="4213" spans="1:12" ht="96" customHeight="1" x14ac:dyDescent="0.3">
      <c r="A4213" s="2">
        <v>4209</v>
      </c>
      <c r="B4213" s="66" t="s">
        <v>4841</v>
      </c>
      <c r="C4213" s="66" t="s">
        <v>4842</v>
      </c>
      <c r="D4213" s="11">
        <v>3723</v>
      </c>
      <c r="E4213" s="11">
        <v>3723</v>
      </c>
      <c r="F4213" s="3">
        <v>39063</v>
      </c>
      <c r="G4213" s="2" t="s">
        <v>14104</v>
      </c>
      <c r="H4213" s="3">
        <v>43053</v>
      </c>
      <c r="I4213" s="2" t="s">
        <v>19506</v>
      </c>
      <c r="J4213" s="2" t="s">
        <v>13904</v>
      </c>
      <c r="K4213" s="2" t="s">
        <v>19217</v>
      </c>
      <c r="L4213" s="82" t="s">
        <v>19512</v>
      </c>
    </row>
    <row r="4214" spans="1:12" ht="96" customHeight="1" x14ac:dyDescent="0.3">
      <c r="A4214" s="2">
        <v>4210</v>
      </c>
      <c r="B4214" s="66" t="s">
        <v>4568</v>
      </c>
      <c r="C4214" s="66" t="s">
        <v>4843</v>
      </c>
      <c r="D4214" s="11">
        <v>6000</v>
      </c>
      <c r="E4214" s="11">
        <v>6000</v>
      </c>
      <c r="F4214" s="3">
        <v>39792</v>
      </c>
      <c r="G4214" s="2" t="s">
        <v>14104</v>
      </c>
      <c r="H4214" s="3">
        <v>43053</v>
      </c>
      <c r="I4214" s="2" t="s">
        <v>19506</v>
      </c>
      <c r="J4214" s="2" t="s">
        <v>13904</v>
      </c>
      <c r="K4214" s="2" t="s">
        <v>19217</v>
      </c>
      <c r="L4214" s="82" t="s">
        <v>19512</v>
      </c>
    </row>
    <row r="4215" spans="1:12" ht="96" customHeight="1" x14ac:dyDescent="0.3">
      <c r="A4215" s="2">
        <v>4211</v>
      </c>
      <c r="B4215" s="66" t="s">
        <v>4844</v>
      </c>
      <c r="C4215" s="66" t="s">
        <v>4563</v>
      </c>
      <c r="D4215" s="11">
        <v>4794</v>
      </c>
      <c r="E4215" s="11">
        <v>4794</v>
      </c>
      <c r="F4215" s="3">
        <v>39063</v>
      </c>
      <c r="G4215" s="2" t="s">
        <v>14104</v>
      </c>
      <c r="H4215" s="3">
        <v>43053</v>
      </c>
      <c r="I4215" s="2" t="s">
        <v>19506</v>
      </c>
      <c r="J4215" s="2" t="s">
        <v>13904</v>
      </c>
      <c r="K4215" s="2" t="s">
        <v>19217</v>
      </c>
      <c r="L4215" s="82" t="s">
        <v>19512</v>
      </c>
    </row>
    <row r="4216" spans="1:12" ht="96" customHeight="1" x14ac:dyDescent="0.3">
      <c r="A4216" s="2">
        <v>4212</v>
      </c>
      <c r="B4216" s="66" t="s">
        <v>4845</v>
      </c>
      <c r="C4216" s="66" t="s">
        <v>3833</v>
      </c>
      <c r="D4216" s="11">
        <v>4500</v>
      </c>
      <c r="E4216" s="11">
        <v>4500</v>
      </c>
      <c r="F4216" s="3">
        <v>39400</v>
      </c>
      <c r="G4216" s="2" t="s">
        <v>14104</v>
      </c>
      <c r="H4216" s="3">
        <v>43053</v>
      </c>
      <c r="I4216" s="2" t="s">
        <v>19506</v>
      </c>
      <c r="J4216" s="2" t="s">
        <v>13904</v>
      </c>
      <c r="K4216" s="2" t="s">
        <v>19217</v>
      </c>
      <c r="L4216" s="82" t="s">
        <v>19512</v>
      </c>
    </row>
    <row r="4217" spans="1:12" ht="96" customHeight="1" x14ac:dyDescent="0.3">
      <c r="A4217" s="2">
        <v>4213</v>
      </c>
      <c r="B4217" s="66" t="s">
        <v>4846</v>
      </c>
      <c r="C4217" s="66" t="s">
        <v>4847</v>
      </c>
      <c r="D4217" s="11">
        <v>5000</v>
      </c>
      <c r="E4217" s="11">
        <v>5000</v>
      </c>
      <c r="F4217" s="3">
        <v>39400</v>
      </c>
      <c r="G4217" s="2" t="s">
        <v>14104</v>
      </c>
      <c r="H4217" s="3">
        <v>43053</v>
      </c>
      <c r="I4217" s="2" t="s">
        <v>19506</v>
      </c>
      <c r="J4217" s="2" t="s">
        <v>13904</v>
      </c>
      <c r="K4217" s="2" t="s">
        <v>19217</v>
      </c>
      <c r="L4217" s="82" t="s">
        <v>19512</v>
      </c>
    </row>
    <row r="4218" spans="1:12" ht="96" customHeight="1" x14ac:dyDescent="0.3">
      <c r="A4218" s="2">
        <v>4214</v>
      </c>
      <c r="B4218" s="66" t="s">
        <v>4679</v>
      </c>
      <c r="C4218" s="66" t="s">
        <v>4848</v>
      </c>
      <c r="D4218" s="11">
        <v>11648.52</v>
      </c>
      <c r="E4218" s="11">
        <v>11648.52</v>
      </c>
      <c r="F4218" s="3">
        <v>37784</v>
      </c>
      <c r="G4218" s="2" t="s">
        <v>14104</v>
      </c>
      <c r="H4218" s="3">
        <v>43053</v>
      </c>
      <c r="I4218" s="2" t="s">
        <v>19506</v>
      </c>
      <c r="J4218" s="2" t="s">
        <v>13904</v>
      </c>
      <c r="K4218" s="2" t="s">
        <v>19217</v>
      </c>
      <c r="L4218" s="82" t="s">
        <v>19512</v>
      </c>
    </row>
    <row r="4219" spans="1:12" ht="96" customHeight="1" x14ac:dyDescent="0.3">
      <c r="A4219" s="2">
        <v>4215</v>
      </c>
      <c r="B4219" s="66" t="s">
        <v>4849</v>
      </c>
      <c r="C4219" s="66" t="s">
        <v>4850</v>
      </c>
      <c r="D4219" s="11">
        <v>18972</v>
      </c>
      <c r="E4219" s="11">
        <v>18972</v>
      </c>
      <c r="F4219" s="3">
        <v>40870</v>
      </c>
      <c r="G4219" s="2" t="s">
        <v>14104</v>
      </c>
      <c r="H4219" s="3">
        <v>43053</v>
      </c>
      <c r="I4219" s="2" t="s">
        <v>19506</v>
      </c>
      <c r="J4219" s="2" t="s">
        <v>13904</v>
      </c>
      <c r="K4219" s="2" t="s">
        <v>19217</v>
      </c>
      <c r="L4219" s="82" t="s">
        <v>19512</v>
      </c>
    </row>
    <row r="4220" spans="1:12" ht="96" customHeight="1" x14ac:dyDescent="0.3">
      <c r="A4220" s="2">
        <v>4216</v>
      </c>
      <c r="B4220" s="66" t="s">
        <v>218</v>
      </c>
      <c r="C4220" s="66" t="s">
        <v>3298</v>
      </c>
      <c r="D4220" s="11">
        <v>23976.16</v>
      </c>
      <c r="E4220" s="11">
        <v>23976.16</v>
      </c>
      <c r="F4220" s="3">
        <v>38729</v>
      </c>
      <c r="G4220" s="2" t="s">
        <v>14104</v>
      </c>
      <c r="H4220" s="3">
        <v>43053</v>
      </c>
      <c r="I4220" s="2" t="s">
        <v>19506</v>
      </c>
      <c r="J4220" s="2" t="s">
        <v>13904</v>
      </c>
      <c r="K4220" s="2" t="s">
        <v>19217</v>
      </c>
      <c r="L4220" s="82" t="s">
        <v>19512</v>
      </c>
    </row>
    <row r="4221" spans="1:12" ht="96" customHeight="1" x14ac:dyDescent="0.3">
      <c r="A4221" s="2">
        <v>4217</v>
      </c>
      <c r="B4221" s="66" t="s">
        <v>218</v>
      </c>
      <c r="C4221" s="66" t="s">
        <v>3776</v>
      </c>
      <c r="D4221" s="11">
        <v>34213.919999999998</v>
      </c>
      <c r="E4221" s="11">
        <v>34213.919999999998</v>
      </c>
      <c r="F4221" s="3">
        <v>38729</v>
      </c>
      <c r="G4221" s="2" t="s">
        <v>14104</v>
      </c>
      <c r="H4221" s="3">
        <v>43053</v>
      </c>
      <c r="I4221" s="2" t="s">
        <v>19506</v>
      </c>
      <c r="J4221" s="2" t="s">
        <v>13904</v>
      </c>
      <c r="K4221" s="2" t="s">
        <v>19217</v>
      </c>
      <c r="L4221" s="82" t="s">
        <v>19512</v>
      </c>
    </row>
    <row r="4222" spans="1:12" ht="96" customHeight="1" x14ac:dyDescent="0.3">
      <c r="A4222" s="2">
        <v>4218</v>
      </c>
      <c r="B4222" s="66" t="s">
        <v>218</v>
      </c>
      <c r="C4222" s="66" t="s">
        <v>3774</v>
      </c>
      <c r="D4222" s="11">
        <v>23464.48</v>
      </c>
      <c r="E4222" s="11">
        <v>23464.48</v>
      </c>
      <c r="F4222" s="3">
        <v>38729</v>
      </c>
      <c r="G4222" s="2" t="s">
        <v>14104</v>
      </c>
      <c r="H4222" s="3">
        <v>43053</v>
      </c>
      <c r="I4222" s="2" t="s">
        <v>19506</v>
      </c>
      <c r="J4222" s="2" t="s">
        <v>13904</v>
      </c>
      <c r="K4222" s="2" t="s">
        <v>19217</v>
      </c>
      <c r="L4222" s="82" t="s">
        <v>19512</v>
      </c>
    </row>
    <row r="4223" spans="1:12" ht="96" customHeight="1" x14ac:dyDescent="0.3">
      <c r="A4223" s="2">
        <v>4219</v>
      </c>
      <c r="B4223" s="66" t="s">
        <v>4851</v>
      </c>
      <c r="C4223" s="66" t="s">
        <v>4577</v>
      </c>
      <c r="D4223" s="11">
        <v>3432</v>
      </c>
      <c r="E4223" s="11">
        <v>3432</v>
      </c>
      <c r="F4223" s="3">
        <v>39066</v>
      </c>
      <c r="G4223" s="2" t="s">
        <v>14104</v>
      </c>
      <c r="H4223" s="3">
        <v>43053</v>
      </c>
      <c r="I4223" s="2" t="s">
        <v>19506</v>
      </c>
      <c r="J4223" s="2" t="s">
        <v>13904</v>
      </c>
      <c r="K4223" s="2" t="s">
        <v>19217</v>
      </c>
      <c r="L4223" s="82" t="s">
        <v>19512</v>
      </c>
    </row>
    <row r="4224" spans="1:12" ht="96" customHeight="1" x14ac:dyDescent="0.3">
      <c r="A4224" s="2">
        <v>4220</v>
      </c>
      <c r="B4224" s="66" t="s">
        <v>4852</v>
      </c>
      <c r="C4224" s="66" t="s">
        <v>3401</v>
      </c>
      <c r="D4224" s="11">
        <v>10000</v>
      </c>
      <c r="E4224" s="11">
        <v>10000</v>
      </c>
      <c r="F4224" s="3">
        <v>39369</v>
      </c>
      <c r="G4224" s="2" t="s">
        <v>14104</v>
      </c>
      <c r="H4224" s="3">
        <v>43053</v>
      </c>
      <c r="I4224" s="2" t="s">
        <v>19506</v>
      </c>
      <c r="J4224" s="2" t="s">
        <v>13904</v>
      </c>
      <c r="K4224" s="2" t="s">
        <v>19217</v>
      </c>
      <c r="L4224" s="82" t="s">
        <v>19512</v>
      </c>
    </row>
    <row r="4225" spans="1:12" ht="96" customHeight="1" x14ac:dyDescent="0.3">
      <c r="A4225" s="2">
        <v>4221</v>
      </c>
      <c r="B4225" s="66" t="s">
        <v>221</v>
      </c>
      <c r="C4225" s="66" t="s">
        <v>4020</v>
      </c>
      <c r="D4225" s="11">
        <v>11187.28</v>
      </c>
      <c r="E4225" s="11">
        <v>11187.28</v>
      </c>
      <c r="F4225" s="3">
        <v>38729</v>
      </c>
      <c r="G4225" s="2" t="s">
        <v>14104</v>
      </c>
      <c r="H4225" s="3">
        <v>43053</v>
      </c>
      <c r="I4225" s="2" t="s">
        <v>19506</v>
      </c>
      <c r="J4225" s="2" t="s">
        <v>13904</v>
      </c>
      <c r="K4225" s="2" t="s">
        <v>19217</v>
      </c>
      <c r="L4225" s="82" t="s">
        <v>19512</v>
      </c>
    </row>
    <row r="4226" spans="1:12" ht="96" customHeight="1" x14ac:dyDescent="0.3">
      <c r="A4226" s="2">
        <v>4222</v>
      </c>
      <c r="B4226" s="66" t="s">
        <v>4853</v>
      </c>
      <c r="C4226" s="66" t="s">
        <v>3457</v>
      </c>
      <c r="D4226" s="11">
        <v>10713.45</v>
      </c>
      <c r="E4226" s="11">
        <v>10713.45</v>
      </c>
      <c r="F4226" s="3">
        <v>31751</v>
      </c>
      <c r="G4226" s="2" t="s">
        <v>14104</v>
      </c>
      <c r="H4226" s="3">
        <v>43053</v>
      </c>
      <c r="I4226" s="2" t="s">
        <v>19506</v>
      </c>
      <c r="J4226" s="2" t="s">
        <v>13904</v>
      </c>
      <c r="K4226" s="2" t="s">
        <v>19217</v>
      </c>
      <c r="L4226" s="82" t="s">
        <v>19512</v>
      </c>
    </row>
    <row r="4227" spans="1:12" ht="96" customHeight="1" x14ac:dyDescent="0.3">
      <c r="A4227" s="2">
        <v>4223</v>
      </c>
      <c r="B4227" s="66" t="s">
        <v>4854</v>
      </c>
      <c r="C4227" s="66" t="s">
        <v>4855</v>
      </c>
      <c r="D4227" s="11">
        <v>13083</v>
      </c>
      <c r="E4227" s="11">
        <v>13083</v>
      </c>
      <c r="F4227" s="3">
        <v>37218</v>
      </c>
      <c r="G4227" s="2" t="s">
        <v>14104</v>
      </c>
      <c r="H4227" s="3">
        <v>43053</v>
      </c>
      <c r="I4227" s="2" t="s">
        <v>19506</v>
      </c>
      <c r="J4227" s="2" t="s">
        <v>13904</v>
      </c>
      <c r="K4227" s="2" t="s">
        <v>19217</v>
      </c>
      <c r="L4227" s="82" t="s">
        <v>19512</v>
      </c>
    </row>
    <row r="4228" spans="1:12" ht="96" customHeight="1" x14ac:dyDescent="0.3">
      <c r="A4228" s="2">
        <v>4224</v>
      </c>
      <c r="B4228" s="66" t="s">
        <v>4854</v>
      </c>
      <c r="C4228" s="66" t="s">
        <v>4856</v>
      </c>
      <c r="D4228" s="11">
        <v>13083</v>
      </c>
      <c r="E4228" s="11">
        <v>13083</v>
      </c>
      <c r="F4228" s="3">
        <v>37218</v>
      </c>
      <c r="G4228" s="2" t="s">
        <v>14104</v>
      </c>
      <c r="H4228" s="3">
        <v>43053</v>
      </c>
      <c r="I4228" s="2" t="s">
        <v>19506</v>
      </c>
      <c r="J4228" s="2" t="s">
        <v>13904</v>
      </c>
      <c r="K4228" s="2" t="s">
        <v>19217</v>
      </c>
      <c r="L4228" s="82" t="s">
        <v>19512</v>
      </c>
    </row>
    <row r="4229" spans="1:12" ht="96" customHeight="1" x14ac:dyDescent="0.3">
      <c r="A4229" s="2">
        <v>4225</v>
      </c>
      <c r="B4229" s="66" t="s">
        <v>4854</v>
      </c>
      <c r="C4229" s="66" t="s">
        <v>4857</v>
      </c>
      <c r="D4229" s="11">
        <v>13083</v>
      </c>
      <c r="E4229" s="11">
        <v>13083</v>
      </c>
      <c r="F4229" s="3">
        <v>37218</v>
      </c>
      <c r="G4229" s="2" t="s">
        <v>14104</v>
      </c>
      <c r="H4229" s="3">
        <v>43053</v>
      </c>
      <c r="I4229" s="2" t="s">
        <v>19506</v>
      </c>
      <c r="J4229" s="2" t="s">
        <v>13904</v>
      </c>
      <c r="K4229" s="2" t="s">
        <v>19217</v>
      </c>
      <c r="L4229" s="82" t="s">
        <v>19512</v>
      </c>
    </row>
    <row r="4230" spans="1:12" ht="96" customHeight="1" x14ac:dyDescent="0.3">
      <c r="A4230" s="2">
        <v>4226</v>
      </c>
      <c r="B4230" s="66" t="s">
        <v>4858</v>
      </c>
      <c r="C4230" s="66" t="s">
        <v>3447</v>
      </c>
      <c r="D4230" s="11">
        <v>6409.76</v>
      </c>
      <c r="E4230" s="11">
        <v>6409.76</v>
      </c>
      <c r="F4230" s="3">
        <v>40864</v>
      </c>
      <c r="G4230" s="2" t="s">
        <v>14104</v>
      </c>
      <c r="H4230" s="3">
        <v>43053</v>
      </c>
      <c r="I4230" s="2" t="s">
        <v>19506</v>
      </c>
      <c r="J4230" s="2" t="s">
        <v>13904</v>
      </c>
      <c r="K4230" s="2" t="s">
        <v>19217</v>
      </c>
      <c r="L4230" s="82" t="s">
        <v>19512</v>
      </c>
    </row>
    <row r="4231" spans="1:12" ht="96" customHeight="1" x14ac:dyDescent="0.3">
      <c r="A4231" s="2">
        <v>4227</v>
      </c>
      <c r="B4231" s="66" t="s">
        <v>4858</v>
      </c>
      <c r="C4231" s="66" t="s">
        <v>4859</v>
      </c>
      <c r="D4231" s="11">
        <v>6409.76</v>
      </c>
      <c r="E4231" s="11">
        <v>6409.76</v>
      </c>
      <c r="F4231" s="3">
        <v>40864</v>
      </c>
      <c r="G4231" s="2" t="s">
        <v>14104</v>
      </c>
      <c r="H4231" s="3">
        <v>43053</v>
      </c>
      <c r="I4231" s="2" t="s">
        <v>19506</v>
      </c>
      <c r="J4231" s="2" t="s">
        <v>13904</v>
      </c>
      <c r="K4231" s="2" t="s">
        <v>19217</v>
      </c>
      <c r="L4231" s="82" t="s">
        <v>19512</v>
      </c>
    </row>
    <row r="4232" spans="1:12" ht="96" customHeight="1" x14ac:dyDescent="0.3">
      <c r="A4232" s="2">
        <v>4228</v>
      </c>
      <c r="B4232" s="66" t="s">
        <v>4858</v>
      </c>
      <c r="C4232" s="66" t="s">
        <v>3467</v>
      </c>
      <c r="D4232" s="11">
        <v>6409.76</v>
      </c>
      <c r="E4232" s="11">
        <v>6409.76</v>
      </c>
      <c r="F4232" s="3">
        <v>40864</v>
      </c>
      <c r="G4232" s="2" t="s">
        <v>14104</v>
      </c>
      <c r="H4232" s="3">
        <v>43053</v>
      </c>
      <c r="I4232" s="2" t="s">
        <v>19506</v>
      </c>
      <c r="J4232" s="2" t="s">
        <v>13904</v>
      </c>
      <c r="K4232" s="2" t="s">
        <v>19217</v>
      </c>
      <c r="L4232" s="82" t="s">
        <v>19512</v>
      </c>
    </row>
    <row r="4233" spans="1:12" ht="96" customHeight="1" x14ac:dyDescent="0.3">
      <c r="A4233" s="2">
        <v>4229</v>
      </c>
      <c r="B4233" s="66" t="s">
        <v>4858</v>
      </c>
      <c r="C4233" s="66" t="s">
        <v>4860</v>
      </c>
      <c r="D4233" s="11">
        <v>6409.76</v>
      </c>
      <c r="E4233" s="11">
        <v>6409.76</v>
      </c>
      <c r="F4233" s="3">
        <v>40864</v>
      </c>
      <c r="G4233" s="2" t="s">
        <v>14104</v>
      </c>
      <c r="H4233" s="3">
        <v>43053</v>
      </c>
      <c r="I4233" s="2" t="s">
        <v>19506</v>
      </c>
      <c r="J4233" s="2" t="s">
        <v>13904</v>
      </c>
      <c r="K4233" s="2" t="s">
        <v>19217</v>
      </c>
      <c r="L4233" s="82" t="s">
        <v>19512</v>
      </c>
    </row>
    <row r="4234" spans="1:12" ht="96" customHeight="1" x14ac:dyDescent="0.3">
      <c r="A4234" s="2">
        <v>4230</v>
      </c>
      <c r="B4234" s="66" t="s">
        <v>4861</v>
      </c>
      <c r="C4234" s="66" t="s">
        <v>4862</v>
      </c>
      <c r="D4234" s="11">
        <v>27691</v>
      </c>
      <c r="E4234" s="11">
        <v>27691</v>
      </c>
      <c r="F4234" s="3">
        <v>40870</v>
      </c>
      <c r="G4234" s="2" t="s">
        <v>14104</v>
      </c>
      <c r="H4234" s="3">
        <v>43053</v>
      </c>
      <c r="I4234" s="2" t="s">
        <v>19506</v>
      </c>
      <c r="J4234" s="2" t="s">
        <v>13904</v>
      </c>
      <c r="K4234" s="2" t="s">
        <v>19217</v>
      </c>
      <c r="L4234" s="82" t="s">
        <v>19512</v>
      </c>
    </row>
    <row r="4235" spans="1:12" ht="96" customHeight="1" x14ac:dyDescent="0.3">
      <c r="A4235" s="2">
        <v>4231</v>
      </c>
      <c r="B4235" s="66" t="s">
        <v>4861</v>
      </c>
      <c r="C4235" s="66" t="s">
        <v>4863</v>
      </c>
      <c r="D4235" s="11">
        <v>27691</v>
      </c>
      <c r="E4235" s="11">
        <v>27691</v>
      </c>
      <c r="F4235" s="3">
        <v>40870</v>
      </c>
      <c r="G4235" s="2" t="s">
        <v>14104</v>
      </c>
      <c r="H4235" s="3">
        <v>43053</v>
      </c>
      <c r="I4235" s="2" t="s">
        <v>19506</v>
      </c>
      <c r="J4235" s="2" t="s">
        <v>13904</v>
      </c>
      <c r="K4235" s="2" t="s">
        <v>19217</v>
      </c>
      <c r="L4235" s="82" t="s">
        <v>19512</v>
      </c>
    </row>
    <row r="4236" spans="1:12" ht="96" customHeight="1" x14ac:dyDescent="0.3">
      <c r="A4236" s="2">
        <v>4232</v>
      </c>
      <c r="B4236" s="66" t="s">
        <v>4861</v>
      </c>
      <c r="C4236" s="66" t="s">
        <v>4864</v>
      </c>
      <c r="D4236" s="11">
        <v>27691</v>
      </c>
      <c r="E4236" s="11">
        <v>27691</v>
      </c>
      <c r="F4236" s="3">
        <v>40870</v>
      </c>
      <c r="G4236" s="2" t="s">
        <v>14104</v>
      </c>
      <c r="H4236" s="3">
        <v>43053</v>
      </c>
      <c r="I4236" s="2" t="s">
        <v>19506</v>
      </c>
      <c r="J4236" s="2" t="s">
        <v>13904</v>
      </c>
      <c r="K4236" s="2" t="s">
        <v>19217</v>
      </c>
      <c r="L4236" s="82" t="s">
        <v>19512</v>
      </c>
    </row>
    <row r="4237" spans="1:12" ht="96" customHeight="1" x14ac:dyDescent="0.3">
      <c r="A4237" s="2">
        <v>4233</v>
      </c>
      <c r="B4237" s="66" t="s">
        <v>4865</v>
      </c>
      <c r="C4237" s="66" t="s">
        <v>4866</v>
      </c>
      <c r="D4237" s="11">
        <v>17755</v>
      </c>
      <c r="E4237" s="11">
        <v>17755</v>
      </c>
      <c r="F4237" s="3">
        <v>40864</v>
      </c>
      <c r="G4237" s="2" t="s">
        <v>14104</v>
      </c>
      <c r="H4237" s="3">
        <v>43053</v>
      </c>
      <c r="I4237" s="2" t="s">
        <v>19506</v>
      </c>
      <c r="J4237" s="2" t="s">
        <v>13904</v>
      </c>
      <c r="K4237" s="2" t="s">
        <v>19217</v>
      </c>
      <c r="L4237" s="82" t="s">
        <v>19512</v>
      </c>
    </row>
    <row r="4238" spans="1:12" ht="96" customHeight="1" x14ac:dyDescent="0.3">
      <c r="A4238" s="2">
        <v>4234</v>
      </c>
      <c r="B4238" s="66" t="s">
        <v>4867</v>
      </c>
      <c r="C4238" s="66" t="s">
        <v>4868</v>
      </c>
      <c r="D4238" s="11">
        <v>11052.24</v>
      </c>
      <c r="E4238" s="11">
        <v>11052.24</v>
      </c>
      <c r="F4238" s="3">
        <v>40864</v>
      </c>
      <c r="G4238" s="2" t="s">
        <v>14104</v>
      </c>
      <c r="H4238" s="3">
        <v>43053</v>
      </c>
      <c r="I4238" s="2" t="s">
        <v>19506</v>
      </c>
      <c r="J4238" s="2" t="s">
        <v>13904</v>
      </c>
      <c r="K4238" s="2" t="s">
        <v>19217</v>
      </c>
      <c r="L4238" s="82" t="s">
        <v>19512</v>
      </c>
    </row>
    <row r="4239" spans="1:12" ht="96" customHeight="1" x14ac:dyDescent="0.3">
      <c r="A4239" s="2">
        <v>4235</v>
      </c>
      <c r="B4239" s="66" t="s">
        <v>4867</v>
      </c>
      <c r="C4239" s="66" t="s">
        <v>4869</v>
      </c>
      <c r="D4239" s="11">
        <v>11052.24</v>
      </c>
      <c r="E4239" s="11">
        <v>11052.24</v>
      </c>
      <c r="F4239" s="3">
        <v>40864</v>
      </c>
      <c r="G4239" s="2" t="s">
        <v>14104</v>
      </c>
      <c r="H4239" s="3">
        <v>43053</v>
      </c>
      <c r="I4239" s="2" t="s">
        <v>19506</v>
      </c>
      <c r="J4239" s="2" t="s">
        <v>13904</v>
      </c>
      <c r="K4239" s="2" t="s">
        <v>19217</v>
      </c>
      <c r="L4239" s="82" t="s">
        <v>19512</v>
      </c>
    </row>
    <row r="4240" spans="1:12" ht="96" customHeight="1" x14ac:dyDescent="0.3">
      <c r="A4240" s="2">
        <v>4236</v>
      </c>
      <c r="B4240" s="66" t="s">
        <v>4867</v>
      </c>
      <c r="C4240" s="66" t="s">
        <v>4870</v>
      </c>
      <c r="D4240" s="11">
        <v>11052.26</v>
      </c>
      <c r="E4240" s="11">
        <v>11052.26</v>
      </c>
      <c r="F4240" s="3">
        <v>40864</v>
      </c>
      <c r="G4240" s="2" t="s">
        <v>14104</v>
      </c>
      <c r="H4240" s="3">
        <v>43053</v>
      </c>
      <c r="I4240" s="2" t="s">
        <v>19506</v>
      </c>
      <c r="J4240" s="2" t="s">
        <v>13904</v>
      </c>
      <c r="K4240" s="2" t="s">
        <v>19217</v>
      </c>
      <c r="L4240" s="82" t="s">
        <v>19512</v>
      </c>
    </row>
    <row r="4241" spans="1:12" ht="96" customHeight="1" x14ac:dyDescent="0.3">
      <c r="A4241" s="2">
        <v>4237</v>
      </c>
      <c r="B4241" s="66" t="s">
        <v>4871</v>
      </c>
      <c r="C4241" s="66" t="s">
        <v>4872</v>
      </c>
      <c r="D4241" s="11">
        <v>22994</v>
      </c>
      <c r="E4241" s="11">
        <v>22994</v>
      </c>
      <c r="F4241" s="3">
        <v>40870</v>
      </c>
      <c r="G4241" s="2" t="s">
        <v>14104</v>
      </c>
      <c r="H4241" s="3">
        <v>43053</v>
      </c>
      <c r="I4241" s="2" t="s">
        <v>19506</v>
      </c>
      <c r="J4241" s="2" t="s">
        <v>13904</v>
      </c>
      <c r="K4241" s="2" t="s">
        <v>19217</v>
      </c>
      <c r="L4241" s="82" t="s">
        <v>19512</v>
      </c>
    </row>
    <row r="4242" spans="1:12" ht="96" customHeight="1" x14ac:dyDescent="0.3">
      <c r="A4242" s="2">
        <v>4238</v>
      </c>
      <c r="B4242" s="66" t="s">
        <v>4871</v>
      </c>
      <c r="C4242" s="66" t="s">
        <v>4873</v>
      </c>
      <c r="D4242" s="11">
        <v>22994</v>
      </c>
      <c r="E4242" s="11">
        <v>22994</v>
      </c>
      <c r="F4242" s="3">
        <v>40870</v>
      </c>
      <c r="G4242" s="2" t="s">
        <v>14104</v>
      </c>
      <c r="H4242" s="3">
        <v>43053</v>
      </c>
      <c r="I4242" s="2" t="s">
        <v>19506</v>
      </c>
      <c r="J4242" s="2" t="s">
        <v>13904</v>
      </c>
      <c r="K4242" s="2" t="s">
        <v>19217</v>
      </c>
      <c r="L4242" s="82" t="s">
        <v>19512</v>
      </c>
    </row>
    <row r="4243" spans="1:12" ht="96" customHeight="1" x14ac:dyDescent="0.3">
      <c r="A4243" s="2">
        <v>4239</v>
      </c>
      <c r="B4243" s="66" t="s">
        <v>4871</v>
      </c>
      <c r="C4243" s="66" t="s">
        <v>4874</v>
      </c>
      <c r="D4243" s="11">
        <v>22994</v>
      </c>
      <c r="E4243" s="11">
        <v>22994</v>
      </c>
      <c r="F4243" s="3">
        <v>40870</v>
      </c>
      <c r="G4243" s="2" t="s">
        <v>14104</v>
      </c>
      <c r="H4243" s="3">
        <v>43053</v>
      </c>
      <c r="I4243" s="2" t="s">
        <v>19506</v>
      </c>
      <c r="J4243" s="2" t="s">
        <v>13904</v>
      </c>
      <c r="K4243" s="2" t="s">
        <v>19217</v>
      </c>
      <c r="L4243" s="82" t="s">
        <v>19512</v>
      </c>
    </row>
    <row r="4244" spans="1:12" ht="96" customHeight="1" x14ac:dyDescent="0.3">
      <c r="A4244" s="2">
        <v>4240</v>
      </c>
      <c r="B4244" s="66" t="s">
        <v>4871</v>
      </c>
      <c r="C4244" s="66" t="s">
        <v>4875</v>
      </c>
      <c r="D4244" s="11">
        <v>22994</v>
      </c>
      <c r="E4244" s="11">
        <v>22994</v>
      </c>
      <c r="F4244" s="3">
        <v>40870</v>
      </c>
      <c r="G4244" s="2" t="s">
        <v>14104</v>
      </c>
      <c r="H4244" s="3">
        <v>43053</v>
      </c>
      <c r="I4244" s="2" t="s">
        <v>19506</v>
      </c>
      <c r="J4244" s="2" t="s">
        <v>13904</v>
      </c>
      <c r="K4244" s="2" t="s">
        <v>19217</v>
      </c>
      <c r="L4244" s="82" t="s">
        <v>19512</v>
      </c>
    </row>
    <row r="4245" spans="1:12" ht="96" customHeight="1" x14ac:dyDescent="0.3">
      <c r="A4245" s="2">
        <v>4241</v>
      </c>
      <c r="B4245" s="66" t="s">
        <v>4876</v>
      </c>
      <c r="C4245" s="66" t="s">
        <v>4877</v>
      </c>
      <c r="D4245" s="11">
        <v>31027</v>
      </c>
      <c r="E4245" s="11">
        <v>31027</v>
      </c>
      <c r="F4245" s="3">
        <v>40870</v>
      </c>
      <c r="G4245" s="2" t="s">
        <v>14104</v>
      </c>
      <c r="H4245" s="3">
        <v>43053</v>
      </c>
      <c r="I4245" s="2" t="s">
        <v>19506</v>
      </c>
      <c r="J4245" s="2" t="s">
        <v>13904</v>
      </c>
      <c r="K4245" s="2" t="s">
        <v>19217</v>
      </c>
      <c r="L4245" s="82" t="s">
        <v>19512</v>
      </c>
    </row>
    <row r="4246" spans="1:12" ht="96" customHeight="1" x14ac:dyDescent="0.3">
      <c r="A4246" s="2">
        <v>4242</v>
      </c>
      <c r="B4246" s="66" t="s">
        <v>4742</v>
      </c>
      <c r="C4246" s="66" t="s">
        <v>3199</v>
      </c>
      <c r="D4246" s="11">
        <v>31553.77</v>
      </c>
      <c r="E4246" s="11">
        <v>31553.77</v>
      </c>
      <c r="F4246" s="3">
        <v>39057</v>
      </c>
      <c r="G4246" s="2" t="s">
        <v>14104</v>
      </c>
      <c r="H4246" s="3">
        <v>43053</v>
      </c>
      <c r="I4246" s="2" t="s">
        <v>19506</v>
      </c>
      <c r="J4246" s="2" t="s">
        <v>13904</v>
      </c>
      <c r="K4246" s="2" t="s">
        <v>19217</v>
      </c>
      <c r="L4246" s="82" t="s">
        <v>19512</v>
      </c>
    </row>
    <row r="4247" spans="1:12" ht="96" customHeight="1" x14ac:dyDescent="0.3">
      <c r="A4247" s="2">
        <v>4243</v>
      </c>
      <c r="B4247" s="66" t="s">
        <v>4742</v>
      </c>
      <c r="C4247" s="66" t="s">
        <v>4744</v>
      </c>
      <c r="D4247" s="11">
        <v>33389.46</v>
      </c>
      <c r="E4247" s="11">
        <v>33389.46</v>
      </c>
      <c r="F4247" s="3">
        <v>39057</v>
      </c>
      <c r="G4247" s="2" t="s">
        <v>14104</v>
      </c>
      <c r="H4247" s="3">
        <v>43053</v>
      </c>
      <c r="I4247" s="2" t="s">
        <v>19506</v>
      </c>
      <c r="J4247" s="2" t="s">
        <v>13904</v>
      </c>
      <c r="K4247" s="2" t="s">
        <v>19217</v>
      </c>
      <c r="L4247" s="82" t="s">
        <v>19512</v>
      </c>
    </row>
    <row r="4248" spans="1:12" ht="96" customHeight="1" x14ac:dyDescent="0.3">
      <c r="A4248" s="2">
        <v>4244</v>
      </c>
      <c r="B4248" s="66" t="s">
        <v>4742</v>
      </c>
      <c r="C4248" s="66" t="s">
        <v>4743</v>
      </c>
      <c r="D4248" s="11">
        <v>33389.46</v>
      </c>
      <c r="E4248" s="11">
        <v>33389.46</v>
      </c>
      <c r="F4248" s="3">
        <v>39057</v>
      </c>
      <c r="G4248" s="2" t="s">
        <v>14104</v>
      </c>
      <c r="H4248" s="3">
        <v>43053</v>
      </c>
      <c r="I4248" s="2" t="s">
        <v>19506</v>
      </c>
      <c r="J4248" s="2" t="s">
        <v>13904</v>
      </c>
      <c r="K4248" s="2" t="s">
        <v>19217</v>
      </c>
      <c r="L4248" s="82" t="s">
        <v>19512</v>
      </c>
    </row>
    <row r="4249" spans="1:12" ht="96" customHeight="1" x14ac:dyDescent="0.3">
      <c r="A4249" s="2">
        <v>4245</v>
      </c>
      <c r="B4249" s="66" t="s">
        <v>3258</v>
      </c>
      <c r="C4249" s="66" t="s">
        <v>3612</v>
      </c>
      <c r="D4249" s="11">
        <v>10873.41</v>
      </c>
      <c r="E4249" s="11">
        <v>10873.41</v>
      </c>
      <c r="F4249" s="3">
        <v>29232</v>
      </c>
      <c r="G4249" s="2" t="s">
        <v>14104</v>
      </c>
      <c r="H4249" s="3">
        <v>43053</v>
      </c>
      <c r="I4249" s="2" t="s">
        <v>19506</v>
      </c>
      <c r="J4249" s="2" t="s">
        <v>13904</v>
      </c>
      <c r="K4249" s="2" t="s">
        <v>19217</v>
      </c>
      <c r="L4249" s="82" t="s">
        <v>19512</v>
      </c>
    </row>
    <row r="4250" spans="1:12" ht="96" customHeight="1" x14ac:dyDescent="0.3">
      <c r="A4250" s="2">
        <v>4246</v>
      </c>
      <c r="B4250" s="66" t="s">
        <v>4878</v>
      </c>
      <c r="C4250" s="66" t="s">
        <v>4879</v>
      </c>
      <c r="D4250" s="11">
        <v>11647.24</v>
      </c>
      <c r="E4250" s="11">
        <v>11647.24</v>
      </c>
      <c r="F4250" s="3">
        <v>38729</v>
      </c>
      <c r="G4250" s="2" t="s">
        <v>14104</v>
      </c>
      <c r="H4250" s="3">
        <v>43053</v>
      </c>
      <c r="I4250" s="2" t="s">
        <v>19506</v>
      </c>
      <c r="J4250" s="2" t="s">
        <v>13904</v>
      </c>
      <c r="K4250" s="2" t="s">
        <v>19217</v>
      </c>
      <c r="L4250" s="82" t="s">
        <v>19512</v>
      </c>
    </row>
    <row r="4251" spans="1:12" ht="96" customHeight="1" x14ac:dyDescent="0.3">
      <c r="A4251" s="2">
        <v>4247</v>
      </c>
      <c r="B4251" s="66" t="s">
        <v>217</v>
      </c>
      <c r="C4251" s="66" t="s">
        <v>4749</v>
      </c>
      <c r="D4251" s="11">
        <v>10875</v>
      </c>
      <c r="E4251" s="11">
        <v>10875</v>
      </c>
      <c r="F4251" s="3">
        <v>37419</v>
      </c>
      <c r="G4251" s="2" t="s">
        <v>14104</v>
      </c>
      <c r="H4251" s="3">
        <v>43053</v>
      </c>
      <c r="I4251" s="2" t="s">
        <v>19506</v>
      </c>
      <c r="J4251" s="2" t="s">
        <v>13904</v>
      </c>
      <c r="K4251" s="2" t="s">
        <v>19217</v>
      </c>
      <c r="L4251" s="82" t="s">
        <v>19512</v>
      </c>
    </row>
    <row r="4252" spans="1:12" ht="96" customHeight="1" x14ac:dyDescent="0.3">
      <c r="A4252" s="2">
        <v>4248</v>
      </c>
      <c r="B4252" s="66" t="s">
        <v>4880</v>
      </c>
      <c r="C4252" s="66" t="s">
        <v>4881</v>
      </c>
      <c r="D4252" s="11">
        <v>37440</v>
      </c>
      <c r="E4252" s="11">
        <v>37440</v>
      </c>
      <c r="F4252" s="3">
        <v>40870</v>
      </c>
      <c r="G4252" s="2" t="s">
        <v>14104</v>
      </c>
      <c r="H4252" s="3">
        <v>43053</v>
      </c>
      <c r="I4252" s="2" t="s">
        <v>19506</v>
      </c>
      <c r="J4252" s="2" t="s">
        <v>13904</v>
      </c>
      <c r="K4252" s="2" t="s">
        <v>19217</v>
      </c>
      <c r="L4252" s="82" t="s">
        <v>19512</v>
      </c>
    </row>
    <row r="4253" spans="1:12" ht="96" customHeight="1" x14ac:dyDescent="0.3">
      <c r="A4253" s="2">
        <v>4249</v>
      </c>
      <c r="B4253" s="66" t="s">
        <v>4882</v>
      </c>
      <c r="C4253" s="66" t="s">
        <v>3948</v>
      </c>
      <c r="D4253" s="11">
        <v>30849.52</v>
      </c>
      <c r="E4253" s="11">
        <v>30849.52</v>
      </c>
      <c r="F4253" s="3">
        <v>38729</v>
      </c>
      <c r="G4253" s="2" t="s">
        <v>14104</v>
      </c>
      <c r="H4253" s="3">
        <v>43053</v>
      </c>
      <c r="I4253" s="2" t="s">
        <v>19506</v>
      </c>
      <c r="J4253" s="2" t="s">
        <v>13904</v>
      </c>
      <c r="K4253" s="2" t="s">
        <v>19217</v>
      </c>
      <c r="L4253" s="82" t="s">
        <v>19512</v>
      </c>
    </row>
    <row r="4254" spans="1:12" ht="96" customHeight="1" x14ac:dyDescent="0.3">
      <c r="A4254" s="2">
        <v>4250</v>
      </c>
      <c r="B4254" s="66" t="s">
        <v>4883</v>
      </c>
      <c r="C4254" s="66" t="s">
        <v>4884</v>
      </c>
      <c r="D4254" s="11">
        <v>37883</v>
      </c>
      <c r="E4254" s="11">
        <v>37883</v>
      </c>
      <c r="F4254" s="3">
        <v>40870</v>
      </c>
      <c r="G4254" s="2" t="s">
        <v>14104</v>
      </c>
      <c r="H4254" s="3">
        <v>43053</v>
      </c>
      <c r="I4254" s="2" t="s">
        <v>19506</v>
      </c>
      <c r="J4254" s="2" t="s">
        <v>13904</v>
      </c>
      <c r="K4254" s="2" t="s">
        <v>19217</v>
      </c>
      <c r="L4254" s="82" t="s">
        <v>19512</v>
      </c>
    </row>
    <row r="4255" spans="1:12" ht="96" customHeight="1" x14ac:dyDescent="0.3">
      <c r="A4255" s="2">
        <v>4251</v>
      </c>
      <c r="B4255" s="66" t="s">
        <v>4885</v>
      </c>
      <c r="C4255" s="66" t="s">
        <v>4886</v>
      </c>
      <c r="D4255" s="11">
        <v>11619.92</v>
      </c>
      <c r="E4255" s="11">
        <v>11619.92</v>
      </c>
      <c r="F4255" s="3">
        <v>38729</v>
      </c>
      <c r="G4255" s="2" t="s">
        <v>14104</v>
      </c>
      <c r="H4255" s="3">
        <v>43053</v>
      </c>
      <c r="I4255" s="2" t="s">
        <v>19506</v>
      </c>
      <c r="J4255" s="2" t="s">
        <v>13904</v>
      </c>
      <c r="K4255" s="2" t="s">
        <v>19217</v>
      </c>
      <c r="L4255" s="82" t="s">
        <v>19512</v>
      </c>
    </row>
    <row r="4256" spans="1:12" ht="96" customHeight="1" x14ac:dyDescent="0.3">
      <c r="A4256" s="2">
        <v>4252</v>
      </c>
      <c r="B4256" s="66" t="s">
        <v>4887</v>
      </c>
      <c r="C4256" s="66" t="s">
        <v>3941</v>
      </c>
      <c r="D4256" s="11">
        <v>12000</v>
      </c>
      <c r="E4256" s="11">
        <v>12000</v>
      </c>
      <c r="F4256" s="3">
        <v>39400</v>
      </c>
      <c r="G4256" s="2" t="s">
        <v>14104</v>
      </c>
      <c r="H4256" s="3">
        <v>43053</v>
      </c>
      <c r="I4256" s="2" t="s">
        <v>19506</v>
      </c>
      <c r="J4256" s="2" t="s">
        <v>13904</v>
      </c>
      <c r="K4256" s="2" t="s">
        <v>19217</v>
      </c>
      <c r="L4256" s="82" t="s">
        <v>19512</v>
      </c>
    </row>
    <row r="4257" spans="1:12" ht="96" customHeight="1" x14ac:dyDescent="0.3">
      <c r="A4257" s="2">
        <v>4253</v>
      </c>
      <c r="B4257" s="66" t="s">
        <v>4888</v>
      </c>
      <c r="C4257" s="66" t="s">
        <v>3960</v>
      </c>
      <c r="D4257" s="11">
        <v>15000</v>
      </c>
      <c r="E4257" s="11">
        <v>15000</v>
      </c>
      <c r="F4257" s="3">
        <v>39400</v>
      </c>
      <c r="G4257" s="2" t="s">
        <v>14104</v>
      </c>
      <c r="H4257" s="3">
        <v>43053</v>
      </c>
      <c r="I4257" s="2" t="s">
        <v>19506</v>
      </c>
      <c r="J4257" s="2" t="s">
        <v>13904</v>
      </c>
      <c r="K4257" s="2" t="s">
        <v>19217</v>
      </c>
      <c r="L4257" s="82" t="s">
        <v>19512</v>
      </c>
    </row>
    <row r="4258" spans="1:12" ht="96" customHeight="1" x14ac:dyDescent="0.3">
      <c r="A4258" s="2">
        <v>4254</v>
      </c>
      <c r="B4258" s="66" t="s">
        <v>4889</v>
      </c>
      <c r="C4258" s="66" t="s">
        <v>4890</v>
      </c>
      <c r="D4258" s="11">
        <v>8677</v>
      </c>
      <c r="E4258" s="11">
        <v>8677</v>
      </c>
      <c r="F4258" s="3">
        <v>37218</v>
      </c>
      <c r="G4258" s="2" t="s">
        <v>14104</v>
      </c>
      <c r="H4258" s="3">
        <v>43053</v>
      </c>
      <c r="I4258" s="2" t="s">
        <v>19506</v>
      </c>
      <c r="J4258" s="2" t="s">
        <v>13904</v>
      </c>
      <c r="K4258" s="2" t="s">
        <v>19217</v>
      </c>
      <c r="L4258" s="82" t="s">
        <v>19512</v>
      </c>
    </row>
    <row r="4259" spans="1:12" ht="96" customHeight="1" x14ac:dyDescent="0.3">
      <c r="A4259" s="2">
        <v>4255</v>
      </c>
      <c r="B4259" s="66" t="s">
        <v>4891</v>
      </c>
      <c r="C4259" s="66" t="s">
        <v>4892</v>
      </c>
      <c r="D4259" s="11">
        <v>4899</v>
      </c>
      <c r="E4259" s="11">
        <v>4899</v>
      </c>
      <c r="F4259" s="3">
        <v>39630</v>
      </c>
      <c r="G4259" s="2" t="s">
        <v>14104</v>
      </c>
      <c r="H4259" s="3">
        <v>43053</v>
      </c>
      <c r="I4259" s="2" t="s">
        <v>19506</v>
      </c>
      <c r="J4259" s="2" t="s">
        <v>13904</v>
      </c>
      <c r="K4259" s="2" t="s">
        <v>19217</v>
      </c>
      <c r="L4259" s="82" t="s">
        <v>19512</v>
      </c>
    </row>
    <row r="4260" spans="1:12" ht="96" customHeight="1" x14ac:dyDescent="0.3">
      <c r="A4260" s="2">
        <v>4256</v>
      </c>
      <c r="B4260" s="66" t="s">
        <v>4062</v>
      </c>
      <c r="C4260" s="66" t="s">
        <v>4893</v>
      </c>
      <c r="D4260" s="11">
        <v>9955.2000000000007</v>
      </c>
      <c r="E4260" s="11">
        <v>9955.2000000000007</v>
      </c>
      <c r="F4260" s="3">
        <v>38849</v>
      </c>
      <c r="G4260" s="2" t="s">
        <v>14104</v>
      </c>
      <c r="H4260" s="3">
        <v>43053</v>
      </c>
      <c r="I4260" s="2" t="s">
        <v>19506</v>
      </c>
      <c r="J4260" s="2" t="s">
        <v>13904</v>
      </c>
      <c r="K4260" s="2" t="s">
        <v>19217</v>
      </c>
      <c r="L4260" s="82" t="s">
        <v>19512</v>
      </c>
    </row>
    <row r="4261" spans="1:12" ht="96" customHeight="1" x14ac:dyDescent="0.3">
      <c r="A4261" s="2">
        <v>4257</v>
      </c>
      <c r="B4261" s="66" t="s">
        <v>4894</v>
      </c>
      <c r="C4261" s="66" t="s">
        <v>4895</v>
      </c>
      <c r="D4261" s="11">
        <v>11016</v>
      </c>
      <c r="E4261" s="11">
        <v>11016</v>
      </c>
      <c r="F4261" s="3">
        <v>38117</v>
      </c>
      <c r="G4261" s="2" t="s">
        <v>14104</v>
      </c>
      <c r="H4261" s="3">
        <v>43053</v>
      </c>
      <c r="I4261" s="2" t="s">
        <v>19506</v>
      </c>
      <c r="J4261" s="2" t="s">
        <v>13904</v>
      </c>
      <c r="K4261" s="2" t="s">
        <v>19217</v>
      </c>
      <c r="L4261" s="82" t="s">
        <v>19512</v>
      </c>
    </row>
    <row r="4262" spans="1:12" ht="96" customHeight="1" x14ac:dyDescent="0.3">
      <c r="A4262" s="2">
        <v>4258</v>
      </c>
      <c r="B4262" s="66" t="s">
        <v>4896</v>
      </c>
      <c r="C4262" s="66" t="s">
        <v>4897</v>
      </c>
      <c r="D4262" s="11">
        <v>12693</v>
      </c>
      <c r="E4262" s="11">
        <v>12693</v>
      </c>
      <c r="F4262" s="3">
        <v>39035</v>
      </c>
      <c r="G4262" s="2" t="s">
        <v>14104</v>
      </c>
      <c r="H4262" s="3">
        <v>43053</v>
      </c>
      <c r="I4262" s="2" t="s">
        <v>19506</v>
      </c>
      <c r="J4262" s="2" t="s">
        <v>13904</v>
      </c>
      <c r="K4262" s="2" t="s">
        <v>19217</v>
      </c>
      <c r="L4262" s="82" t="s">
        <v>19512</v>
      </c>
    </row>
    <row r="4263" spans="1:12" ht="96" customHeight="1" x14ac:dyDescent="0.3">
      <c r="A4263" s="2">
        <v>4259</v>
      </c>
      <c r="B4263" s="66" t="s">
        <v>4898</v>
      </c>
      <c r="C4263" s="66" t="s">
        <v>4899</v>
      </c>
      <c r="D4263" s="11">
        <v>9702</v>
      </c>
      <c r="E4263" s="11">
        <v>9702</v>
      </c>
      <c r="F4263" s="3">
        <v>37218</v>
      </c>
      <c r="G4263" s="2" t="s">
        <v>14104</v>
      </c>
      <c r="H4263" s="3">
        <v>43053</v>
      </c>
      <c r="I4263" s="2" t="s">
        <v>19506</v>
      </c>
      <c r="J4263" s="2" t="s">
        <v>13904</v>
      </c>
      <c r="K4263" s="2" t="s">
        <v>19217</v>
      </c>
      <c r="L4263" s="82" t="s">
        <v>19512</v>
      </c>
    </row>
    <row r="4264" spans="1:12" ht="96" customHeight="1" x14ac:dyDescent="0.3">
      <c r="A4264" s="2">
        <v>4260</v>
      </c>
      <c r="B4264" s="66" t="s">
        <v>4900</v>
      </c>
      <c r="C4264" s="66" t="s">
        <v>3673</v>
      </c>
      <c r="D4264" s="11">
        <v>5189.22</v>
      </c>
      <c r="E4264" s="11">
        <v>5189.22</v>
      </c>
      <c r="F4264" s="3">
        <v>33703</v>
      </c>
      <c r="G4264" s="2" t="s">
        <v>14104</v>
      </c>
      <c r="H4264" s="3">
        <v>43053</v>
      </c>
      <c r="I4264" s="2" t="s">
        <v>19506</v>
      </c>
      <c r="J4264" s="2" t="s">
        <v>13904</v>
      </c>
      <c r="K4264" s="2" t="s">
        <v>19217</v>
      </c>
      <c r="L4264" s="82" t="s">
        <v>19512</v>
      </c>
    </row>
    <row r="4265" spans="1:12" ht="96" customHeight="1" x14ac:dyDescent="0.3">
      <c r="A4265" s="2">
        <v>4261</v>
      </c>
      <c r="B4265" s="66" t="s">
        <v>4901</v>
      </c>
      <c r="C4265" s="66" t="s">
        <v>4902</v>
      </c>
      <c r="D4265" s="11">
        <v>3552.04</v>
      </c>
      <c r="E4265" s="11">
        <v>3552.04</v>
      </c>
      <c r="F4265" s="3">
        <v>37212</v>
      </c>
      <c r="G4265" s="2" t="s">
        <v>14104</v>
      </c>
      <c r="H4265" s="3">
        <v>43053</v>
      </c>
      <c r="I4265" s="2" t="s">
        <v>19506</v>
      </c>
      <c r="J4265" s="2" t="s">
        <v>13904</v>
      </c>
      <c r="K4265" s="2" t="s">
        <v>19217</v>
      </c>
      <c r="L4265" s="82" t="s">
        <v>19512</v>
      </c>
    </row>
    <row r="4266" spans="1:12" ht="96" customHeight="1" x14ac:dyDescent="0.3">
      <c r="A4266" s="2">
        <v>4262</v>
      </c>
      <c r="B4266" s="66" t="s">
        <v>4903</v>
      </c>
      <c r="C4266" s="66" t="s">
        <v>4904</v>
      </c>
      <c r="D4266" s="11">
        <v>5550</v>
      </c>
      <c r="E4266" s="11">
        <v>5550</v>
      </c>
      <c r="F4266" s="3">
        <v>41982</v>
      </c>
      <c r="G4266" s="2" t="s">
        <v>14104</v>
      </c>
      <c r="H4266" s="3">
        <v>43053</v>
      </c>
      <c r="I4266" s="2" t="s">
        <v>19506</v>
      </c>
      <c r="J4266" s="2" t="s">
        <v>13904</v>
      </c>
      <c r="K4266" s="2" t="s">
        <v>19217</v>
      </c>
      <c r="L4266" s="82" t="s">
        <v>19512</v>
      </c>
    </row>
    <row r="4267" spans="1:12" ht="96" customHeight="1" x14ac:dyDescent="0.3">
      <c r="A4267" s="2">
        <v>4263</v>
      </c>
      <c r="B4267" s="66" t="s">
        <v>4905</v>
      </c>
      <c r="C4267" s="66" t="s">
        <v>4906</v>
      </c>
      <c r="D4267" s="11">
        <v>9500</v>
      </c>
      <c r="E4267" s="11">
        <v>9500</v>
      </c>
      <c r="F4267" s="3">
        <v>41982</v>
      </c>
      <c r="G4267" s="2" t="s">
        <v>14104</v>
      </c>
      <c r="H4267" s="3">
        <v>43053</v>
      </c>
      <c r="I4267" s="2" t="s">
        <v>19506</v>
      </c>
      <c r="J4267" s="2" t="s">
        <v>13904</v>
      </c>
      <c r="K4267" s="2" t="s">
        <v>19217</v>
      </c>
      <c r="L4267" s="82" t="s">
        <v>19512</v>
      </c>
    </row>
    <row r="4268" spans="1:12" ht="96" customHeight="1" x14ac:dyDescent="0.3">
      <c r="A4268" s="2">
        <v>4264</v>
      </c>
      <c r="B4268" s="66" t="s">
        <v>4907</v>
      </c>
      <c r="C4268" s="66" t="s">
        <v>3469</v>
      </c>
      <c r="D4268" s="11">
        <v>31950</v>
      </c>
      <c r="E4268" s="11">
        <v>31950</v>
      </c>
      <c r="F4268" s="3">
        <v>41982</v>
      </c>
      <c r="G4268" s="2" t="s">
        <v>14104</v>
      </c>
      <c r="H4268" s="3">
        <v>43053</v>
      </c>
      <c r="I4268" s="2" t="s">
        <v>19506</v>
      </c>
      <c r="J4268" s="2" t="s">
        <v>13904</v>
      </c>
      <c r="K4268" s="2" t="s">
        <v>19217</v>
      </c>
      <c r="L4268" s="82" t="s">
        <v>19512</v>
      </c>
    </row>
    <row r="4269" spans="1:12" ht="96" customHeight="1" x14ac:dyDescent="0.3">
      <c r="A4269" s="2">
        <v>4265</v>
      </c>
      <c r="B4269" s="66" t="s">
        <v>4908</v>
      </c>
      <c r="C4269" s="66" t="s">
        <v>3206</v>
      </c>
      <c r="D4269" s="11">
        <v>17950</v>
      </c>
      <c r="E4269" s="11">
        <v>17950</v>
      </c>
      <c r="F4269" s="3">
        <v>41863</v>
      </c>
      <c r="G4269" s="2" t="s">
        <v>14104</v>
      </c>
      <c r="H4269" s="3">
        <v>43053</v>
      </c>
      <c r="I4269" s="2" t="s">
        <v>19506</v>
      </c>
      <c r="J4269" s="2" t="s">
        <v>13904</v>
      </c>
      <c r="K4269" s="2" t="s">
        <v>19217</v>
      </c>
      <c r="L4269" s="82" t="s">
        <v>19512</v>
      </c>
    </row>
    <row r="4270" spans="1:12" ht="96" customHeight="1" x14ac:dyDescent="0.3">
      <c r="A4270" s="2">
        <v>4266</v>
      </c>
      <c r="B4270" s="66" t="s">
        <v>4908</v>
      </c>
      <c r="C4270" s="66" t="s">
        <v>3459</v>
      </c>
      <c r="D4270" s="11">
        <v>17950</v>
      </c>
      <c r="E4270" s="11">
        <v>17950</v>
      </c>
      <c r="F4270" s="3">
        <v>41863</v>
      </c>
      <c r="G4270" s="2" t="s">
        <v>14104</v>
      </c>
      <c r="H4270" s="3">
        <v>43053</v>
      </c>
      <c r="I4270" s="2" t="s">
        <v>19506</v>
      </c>
      <c r="J4270" s="2" t="s">
        <v>13904</v>
      </c>
      <c r="K4270" s="2" t="s">
        <v>19217</v>
      </c>
      <c r="L4270" s="82" t="s">
        <v>19512</v>
      </c>
    </row>
    <row r="4271" spans="1:12" ht="96" customHeight="1" x14ac:dyDescent="0.3">
      <c r="A4271" s="2">
        <v>4267</v>
      </c>
      <c r="B4271" s="66" t="s">
        <v>4909</v>
      </c>
      <c r="C4271" s="66" t="s">
        <v>3790</v>
      </c>
      <c r="D4271" s="11">
        <v>4360</v>
      </c>
      <c r="E4271" s="11">
        <v>4360</v>
      </c>
      <c r="F4271" s="3">
        <v>41863</v>
      </c>
      <c r="G4271" s="2" t="s">
        <v>14104</v>
      </c>
      <c r="H4271" s="3">
        <v>43053</v>
      </c>
      <c r="I4271" s="2" t="s">
        <v>19506</v>
      </c>
      <c r="J4271" s="2" t="s">
        <v>13904</v>
      </c>
      <c r="K4271" s="2" t="s">
        <v>19217</v>
      </c>
      <c r="L4271" s="82" t="s">
        <v>19512</v>
      </c>
    </row>
    <row r="4272" spans="1:12" ht="96" customHeight="1" x14ac:dyDescent="0.3">
      <c r="A4272" s="2">
        <v>4268</v>
      </c>
      <c r="B4272" s="66" t="s">
        <v>4909</v>
      </c>
      <c r="C4272" s="66" t="s">
        <v>3763</v>
      </c>
      <c r="D4272" s="11">
        <v>4360</v>
      </c>
      <c r="E4272" s="11">
        <v>4360</v>
      </c>
      <c r="F4272" s="3">
        <v>41863</v>
      </c>
      <c r="G4272" s="2" t="s">
        <v>14104</v>
      </c>
      <c r="H4272" s="3">
        <v>43053</v>
      </c>
      <c r="I4272" s="2" t="s">
        <v>19506</v>
      </c>
      <c r="J4272" s="2" t="s">
        <v>13904</v>
      </c>
      <c r="K4272" s="2" t="s">
        <v>19217</v>
      </c>
      <c r="L4272" s="82" t="s">
        <v>19512</v>
      </c>
    </row>
    <row r="4273" spans="1:12" ht="96" customHeight="1" x14ac:dyDescent="0.3">
      <c r="A4273" s="2">
        <v>4269</v>
      </c>
      <c r="B4273" s="66" t="s">
        <v>4910</v>
      </c>
      <c r="C4273" s="66" t="s">
        <v>3840</v>
      </c>
      <c r="D4273" s="11">
        <v>15380</v>
      </c>
      <c r="E4273" s="11">
        <v>15380</v>
      </c>
      <c r="F4273" s="3">
        <v>41863</v>
      </c>
      <c r="G4273" s="2" t="s">
        <v>14104</v>
      </c>
      <c r="H4273" s="3">
        <v>43053</v>
      </c>
      <c r="I4273" s="2" t="s">
        <v>19506</v>
      </c>
      <c r="J4273" s="2" t="s">
        <v>13904</v>
      </c>
      <c r="K4273" s="2" t="s">
        <v>19217</v>
      </c>
      <c r="L4273" s="82" t="s">
        <v>19512</v>
      </c>
    </row>
    <row r="4274" spans="1:12" ht="96" customHeight="1" x14ac:dyDescent="0.3">
      <c r="A4274" s="2">
        <v>4270</v>
      </c>
      <c r="B4274" s="66" t="s">
        <v>4911</v>
      </c>
      <c r="C4274" s="66" t="s">
        <v>4912</v>
      </c>
      <c r="D4274" s="11">
        <v>16460</v>
      </c>
      <c r="E4274" s="11">
        <v>16460</v>
      </c>
      <c r="F4274" s="3">
        <v>41690</v>
      </c>
      <c r="G4274" s="2" t="s">
        <v>14104</v>
      </c>
      <c r="H4274" s="3">
        <v>43053</v>
      </c>
      <c r="I4274" s="2" t="s">
        <v>19506</v>
      </c>
      <c r="J4274" s="2" t="s">
        <v>13904</v>
      </c>
      <c r="K4274" s="2" t="s">
        <v>19217</v>
      </c>
      <c r="L4274" s="82" t="s">
        <v>19512</v>
      </c>
    </row>
    <row r="4275" spans="1:12" ht="96" customHeight="1" x14ac:dyDescent="0.3">
      <c r="A4275" s="2">
        <v>4271</v>
      </c>
      <c r="B4275" s="66" t="s">
        <v>4913</v>
      </c>
      <c r="C4275" s="66" t="s">
        <v>4914</v>
      </c>
      <c r="D4275" s="11">
        <v>18100</v>
      </c>
      <c r="E4275" s="11">
        <v>18100</v>
      </c>
      <c r="F4275" s="3">
        <v>41422</v>
      </c>
      <c r="G4275" s="2" t="s">
        <v>14104</v>
      </c>
      <c r="H4275" s="3">
        <v>43053</v>
      </c>
      <c r="I4275" s="2" t="s">
        <v>19506</v>
      </c>
      <c r="J4275" s="2" t="s">
        <v>13904</v>
      </c>
      <c r="K4275" s="2" t="s">
        <v>19217</v>
      </c>
      <c r="L4275" s="82" t="s">
        <v>19512</v>
      </c>
    </row>
    <row r="4276" spans="1:12" ht="96" customHeight="1" x14ac:dyDescent="0.3">
      <c r="A4276" s="2">
        <v>4272</v>
      </c>
      <c r="B4276" s="66" t="s">
        <v>4915</v>
      </c>
      <c r="C4276" s="66" t="s">
        <v>4916</v>
      </c>
      <c r="D4276" s="11">
        <v>3315</v>
      </c>
      <c r="E4276" s="11">
        <v>3315</v>
      </c>
      <c r="F4276" s="3">
        <v>39063</v>
      </c>
      <c r="G4276" s="2" t="s">
        <v>14104</v>
      </c>
      <c r="H4276" s="3">
        <v>43053</v>
      </c>
      <c r="I4276" s="2" t="s">
        <v>19506</v>
      </c>
      <c r="J4276" s="2" t="s">
        <v>13904</v>
      </c>
      <c r="K4276" s="2" t="s">
        <v>19217</v>
      </c>
      <c r="L4276" s="82" t="s">
        <v>19512</v>
      </c>
    </row>
    <row r="4277" spans="1:12" ht="96" customHeight="1" x14ac:dyDescent="0.3">
      <c r="A4277" s="2">
        <v>4273</v>
      </c>
      <c r="B4277" s="66" t="s">
        <v>4917</v>
      </c>
      <c r="C4277" s="66" t="s">
        <v>4918</v>
      </c>
      <c r="D4277" s="11">
        <v>26428.44</v>
      </c>
      <c r="E4277" s="11">
        <v>26428.44</v>
      </c>
      <c r="F4277" s="3">
        <v>40127</v>
      </c>
      <c r="G4277" s="2" t="s">
        <v>14104</v>
      </c>
      <c r="H4277" s="3">
        <v>43053</v>
      </c>
      <c r="I4277" s="2" t="s">
        <v>19506</v>
      </c>
      <c r="J4277" s="2" t="s">
        <v>13904</v>
      </c>
      <c r="K4277" s="2" t="s">
        <v>19217</v>
      </c>
      <c r="L4277" s="82" t="s">
        <v>19512</v>
      </c>
    </row>
    <row r="4278" spans="1:12" ht="96" customHeight="1" x14ac:dyDescent="0.3">
      <c r="A4278" s="2">
        <v>4274</v>
      </c>
      <c r="B4278" s="66" t="s">
        <v>4919</v>
      </c>
      <c r="C4278" s="66" t="s">
        <v>4920</v>
      </c>
      <c r="D4278" s="11">
        <v>4773.6000000000004</v>
      </c>
      <c r="E4278" s="11">
        <v>4773.6000000000004</v>
      </c>
      <c r="F4278" s="3">
        <v>39063</v>
      </c>
      <c r="G4278" s="2" t="s">
        <v>14104</v>
      </c>
      <c r="H4278" s="3">
        <v>43053</v>
      </c>
      <c r="I4278" s="2" t="s">
        <v>19506</v>
      </c>
      <c r="J4278" s="2" t="s">
        <v>13904</v>
      </c>
      <c r="K4278" s="2" t="s">
        <v>19217</v>
      </c>
      <c r="L4278" s="82" t="s">
        <v>19512</v>
      </c>
    </row>
    <row r="4279" spans="1:12" ht="96" customHeight="1" x14ac:dyDescent="0.3">
      <c r="A4279" s="2">
        <v>4275</v>
      </c>
      <c r="B4279" s="66" t="s">
        <v>4921</v>
      </c>
      <c r="C4279" s="66" t="s">
        <v>4600</v>
      </c>
      <c r="D4279" s="11">
        <v>43681.55</v>
      </c>
      <c r="E4279" s="11">
        <v>43681.55</v>
      </c>
      <c r="F4279" s="3">
        <v>39065</v>
      </c>
      <c r="G4279" s="2" t="s">
        <v>14104</v>
      </c>
      <c r="H4279" s="3">
        <v>43053</v>
      </c>
      <c r="I4279" s="2" t="s">
        <v>19506</v>
      </c>
      <c r="J4279" s="2" t="s">
        <v>13904</v>
      </c>
      <c r="K4279" s="2" t="s">
        <v>19217</v>
      </c>
      <c r="L4279" s="82" t="s">
        <v>19512</v>
      </c>
    </row>
    <row r="4280" spans="1:12" ht="96" customHeight="1" x14ac:dyDescent="0.3">
      <c r="A4280" s="2">
        <v>4276</v>
      </c>
      <c r="B4280" s="66" t="s">
        <v>4922</v>
      </c>
      <c r="C4280" s="66" t="s">
        <v>4923</v>
      </c>
      <c r="D4280" s="11">
        <v>33641.67</v>
      </c>
      <c r="E4280" s="11">
        <v>33641.67</v>
      </c>
      <c r="F4280" s="3">
        <v>39065</v>
      </c>
      <c r="G4280" s="2" t="s">
        <v>14104</v>
      </c>
      <c r="H4280" s="3">
        <v>43053</v>
      </c>
      <c r="I4280" s="2" t="s">
        <v>19506</v>
      </c>
      <c r="J4280" s="2" t="s">
        <v>13904</v>
      </c>
      <c r="K4280" s="2" t="s">
        <v>19217</v>
      </c>
      <c r="L4280" s="82" t="s">
        <v>19512</v>
      </c>
    </row>
    <row r="4281" spans="1:12" ht="96" customHeight="1" x14ac:dyDescent="0.3">
      <c r="A4281" s="2">
        <v>4277</v>
      </c>
      <c r="B4281" s="66" t="s">
        <v>4562</v>
      </c>
      <c r="C4281" s="66" t="s">
        <v>4924</v>
      </c>
      <c r="D4281" s="11">
        <v>6666</v>
      </c>
      <c r="E4281" s="11">
        <v>6666</v>
      </c>
      <c r="F4281" s="3">
        <v>39436</v>
      </c>
      <c r="G4281" s="2" t="s">
        <v>14104</v>
      </c>
      <c r="H4281" s="3">
        <v>43053</v>
      </c>
      <c r="I4281" s="2" t="s">
        <v>19506</v>
      </c>
      <c r="J4281" s="2" t="s">
        <v>13904</v>
      </c>
      <c r="K4281" s="2" t="s">
        <v>19217</v>
      </c>
      <c r="L4281" s="82" t="s">
        <v>19512</v>
      </c>
    </row>
    <row r="4282" spans="1:12" ht="96" customHeight="1" x14ac:dyDescent="0.3">
      <c r="A4282" s="2">
        <v>4278</v>
      </c>
      <c r="B4282" s="66" t="s">
        <v>222</v>
      </c>
      <c r="C4282" s="66" t="s">
        <v>4206</v>
      </c>
      <c r="D4282" s="11">
        <v>7779.25</v>
      </c>
      <c r="E4282" s="11">
        <v>7779.25</v>
      </c>
      <c r="F4282" s="3">
        <v>37511</v>
      </c>
      <c r="G4282" s="2" t="s">
        <v>14104</v>
      </c>
      <c r="H4282" s="3">
        <v>43053</v>
      </c>
      <c r="I4282" s="2" t="s">
        <v>19506</v>
      </c>
      <c r="J4282" s="2" t="s">
        <v>13904</v>
      </c>
      <c r="K4282" s="2" t="s">
        <v>19217</v>
      </c>
      <c r="L4282" s="82" t="s">
        <v>19512</v>
      </c>
    </row>
    <row r="4283" spans="1:12" ht="96" customHeight="1" x14ac:dyDescent="0.3">
      <c r="A4283" s="2">
        <v>4279</v>
      </c>
      <c r="B4283" s="66" t="s">
        <v>4925</v>
      </c>
      <c r="C4283" s="66" t="s">
        <v>4680</v>
      </c>
      <c r="D4283" s="11">
        <v>5650</v>
      </c>
      <c r="E4283" s="11">
        <v>5650</v>
      </c>
      <c r="F4283" s="3">
        <v>38980</v>
      </c>
      <c r="G4283" s="2" t="s">
        <v>14104</v>
      </c>
      <c r="H4283" s="3">
        <v>43053</v>
      </c>
      <c r="I4283" s="2" t="s">
        <v>19506</v>
      </c>
      <c r="J4283" s="2" t="s">
        <v>13904</v>
      </c>
      <c r="K4283" s="2" t="s">
        <v>19217</v>
      </c>
      <c r="L4283" s="82" t="s">
        <v>19512</v>
      </c>
    </row>
    <row r="4284" spans="1:12" ht="96" customHeight="1" x14ac:dyDescent="0.3">
      <c r="A4284" s="2">
        <v>4280</v>
      </c>
      <c r="B4284" s="66" t="s">
        <v>4926</v>
      </c>
      <c r="C4284" s="66" t="s">
        <v>4927</v>
      </c>
      <c r="D4284" s="11">
        <v>21889.919999999998</v>
      </c>
      <c r="E4284" s="11">
        <v>21889.919999999998</v>
      </c>
      <c r="F4284" s="3">
        <v>38729</v>
      </c>
      <c r="G4284" s="2" t="s">
        <v>14104</v>
      </c>
      <c r="H4284" s="3">
        <v>43053</v>
      </c>
      <c r="I4284" s="2" t="s">
        <v>19506</v>
      </c>
      <c r="J4284" s="2" t="s">
        <v>13904</v>
      </c>
      <c r="K4284" s="2" t="s">
        <v>19217</v>
      </c>
      <c r="L4284" s="82" t="s">
        <v>19512</v>
      </c>
    </row>
    <row r="4285" spans="1:12" ht="96" customHeight="1" x14ac:dyDescent="0.3">
      <c r="A4285" s="2">
        <v>4281</v>
      </c>
      <c r="B4285" s="66" t="s">
        <v>4800</v>
      </c>
      <c r="C4285" s="66" t="s">
        <v>3300</v>
      </c>
      <c r="D4285" s="11">
        <v>8556.48</v>
      </c>
      <c r="E4285" s="11">
        <v>8556.48</v>
      </c>
      <c r="F4285" s="3">
        <v>30853</v>
      </c>
      <c r="G4285" s="2" t="s">
        <v>14104</v>
      </c>
      <c r="H4285" s="3">
        <v>43053</v>
      </c>
      <c r="I4285" s="2" t="s">
        <v>19506</v>
      </c>
      <c r="J4285" s="2" t="s">
        <v>13904</v>
      </c>
      <c r="K4285" s="2" t="s">
        <v>19217</v>
      </c>
      <c r="L4285" s="82" t="s">
        <v>19512</v>
      </c>
    </row>
    <row r="4286" spans="1:12" ht="96" customHeight="1" x14ac:dyDescent="0.3">
      <c r="A4286" s="2">
        <v>4282</v>
      </c>
      <c r="B4286" s="66" t="s">
        <v>4800</v>
      </c>
      <c r="C4286" s="66" t="s">
        <v>3204</v>
      </c>
      <c r="D4286" s="11">
        <v>3049.92</v>
      </c>
      <c r="E4286" s="11">
        <v>3049.92</v>
      </c>
      <c r="F4286" s="3">
        <v>30853</v>
      </c>
      <c r="G4286" s="2" t="s">
        <v>14104</v>
      </c>
      <c r="H4286" s="3">
        <v>43053</v>
      </c>
      <c r="I4286" s="2" t="s">
        <v>19506</v>
      </c>
      <c r="J4286" s="2" t="s">
        <v>13904</v>
      </c>
      <c r="K4286" s="2" t="s">
        <v>19217</v>
      </c>
      <c r="L4286" s="82" t="s">
        <v>19512</v>
      </c>
    </row>
    <row r="4287" spans="1:12" ht="96" customHeight="1" x14ac:dyDescent="0.3">
      <c r="A4287" s="2">
        <v>4283</v>
      </c>
      <c r="B4287" s="66" t="s">
        <v>4928</v>
      </c>
      <c r="C4287" s="66" t="s">
        <v>4190</v>
      </c>
      <c r="D4287" s="11">
        <v>4248</v>
      </c>
      <c r="E4287" s="11">
        <v>4248</v>
      </c>
      <c r="F4287" s="3">
        <v>39199</v>
      </c>
      <c r="G4287" s="2" t="s">
        <v>14104</v>
      </c>
      <c r="H4287" s="3">
        <v>43053</v>
      </c>
      <c r="I4287" s="2" t="s">
        <v>19506</v>
      </c>
      <c r="J4287" s="2" t="s">
        <v>13904</v>
      </c>
      <c r="K4287" s="2" t="s">
        <v>19217</v>
      </c>
      <c r="L4287" s="82" t="s">
        <v>19512</v>
      </c>
    </row>
    <row r="4288" spans="1:12" ht="96" customHeight="1" x14ac:dyDescent="0.3">
      <c r="A4288" s="2">
        <v>4284</v>
      </c>
      <c r="B4288" s="66" t="s">
        <v>4929</v>
      </c>
      <c r="C4288" s="66" t="s">
        <v>3201</v>
      </c>
      <c r="D4288" s="11">
        <v>5493.6</v>
      </c>
      <c r="E4288" s="11">
        <v>5493.6</v>
      </c>
      <c r="F4288" s="3">
        <v>33097</v>
      </c>
      <c r="G4288" s="2" t="s">
        <v>14104</v>
      </c>
      <c r="H4288" s="3">
        <v>43053</v>
      </c>
      <c r="I4288" s="2" t="s">
        <v>19506</v>
      </c>
      <c r="J4288" s="2" t="s">
        <v>13904</v>
      </c>
      <c r="K4288" s="2" t="s">
        <v>19217</v>
      </c>
      <c r="L4288" s="82" t="s">
        <v>19512</v>
      </c>
    </row>
    <row r="4289" spans="1:12" ht="96" customHeight="1" x14ac:dyDescent="0.3">
      <c r="A4289" s="2">
        <v>4285</v>
      </c>
      <c r="B4289" s="66" t="s">
        <v>4929</v>
      </c>
      <c r="C4289" s="66" t="s">
        <v>3677</v>
      </c>
      <c r="D4289" s="11">
        <v>5598.72</v>
      </c>
      <c r="E4289" s="11">
        <v>5598.72</v>
      </c>
      <c r="F4289" s="3">
        <v>32885</v>
      </c>
      <c r="G4289" s="2" t="s">
        <v>14104</v>
      </c>
      <c r="H4289" s="3">
        <v>43053</v>
      </c>
      <c r="I4289" s="2" t="s">
        <v>19506</v>
      </c>
      <c r="J4289" s="2" t="s">
        <v>13904</v>
      </c>
      <c r="K4289" s="2" t="s">
        <v>19217</v>
      </c>
      <c r="L4289" s="82" t="s">
        <v>19512</v>
      </c>
    </row>
    <row r="4290" spans="1:12" ht="96" customHeight="1" x14ac:dyDescent="0.3">
      <c r="A4290" s="2">
        <v>4286</v>
      </c>
      <c r="B4290" s="66" t="s">
        <v>4582</v>
      </c>
      <c r="C4290" s="66" t="s">
        <v>3198</v>
      </c>
      <c r="D4290" s="11">
        <v>6608.16</v>
      </c>
      <c r="E4290" s="11">
        <v>6608.16</v>
      </c>
      <c r="F4290" s="3">
        <v>30853</v>
      </c>
      <c r="G4290" s="2" t="s">
        <v>14104</v>
      </c>
      <c r="H4290" s="3">
        <v>43053</v>
      </c>
      <c r="I4290" s="2" t="s">
        <v>19506</v>
      </c>
      <c r="J4290" s="2" t="s">
        <v>13904</v>
      </c>
      <c r="K4290" s="2" t="s">
        <v>19217</v>
      </c>
      <c r="L4290" s="82" t="s">
        <v>19512</v>
      </c>
    </row>
    <row r="4291" spans="1:12" ht="96" customHeight="1" x14ac:dyDescent="0.3">
      <c r="A4291" s="2">
        <v>4287</v>
      </c>
      <c r="B4291" s="66" t="s">
        <v>4930</v>
      </c>
      <c r="C4291" s="66" t="s">
        <v>3617</v>
      </c>
      <c r="D4291" s="11">
        <v>4014.72</v>
      </c>
      <c r="E4291" s="11">
        <v>4014.72</v>
      </c>
      <c r="F4291" s="3">
        <v>33097</v>
      </c>
      <c r="G4291" s="2" t="s">
        <v>14104</v>
      </c>
      <c r="H4291" s="3">
        <v>43053</v>
      </c>
      <c r="I4291" s="2" t="s">
        <v>19506</v>
      </c>
      <c r="J4291" s="2" t="s">
        <v>13904</v>
      </c>
      <c r="K4291" s="2" t="s">
        <v>19217</v>
      </c>
      <c r="L4291" s="82" t="s">
        <v>19512</v>
      </c>
    </row>
    <row r="4292" spans="1:12" ht="96" customHeight="1" x14ac:dyDescent="0.3">
      <c r="A4292" s="2">
        <v>4288</v>
      </c>
      <c r="B4292" s="66" t="s">
        <v>4586</v>
      </c>
      <c r="C4292" s="66" t="s">
        <v>4104</v>
      </c>
      <c r="D4292" s="11">
        <v>4244.34</v>
      </c>
      <c r="E4292" s="11">
        <v>4244.34</v>
      </c>
      <c r="F4292" s="3">
        <v>35116</v>
      </c>
      <c r="G4292" s="2" t="s">
        <v>14104</v>
      </c>
      <c r="H4292" s="3">
        <v>43053</v>
      </c>
      <c r="I4292" s="2" t="s">
        <v>19506</v>
      </c>
      <c r="J4292" s="2" t="s">
        <v>13904</v>
      </c>
      <c r="K4292" s="2" t="s">
        <v>19217</v>
      </c>
      <c r="L4292" s="82" t="s">
        <v>19512</v>
      </c>
    </row>
    <row r="4293" spans="1:12" ht="96" customHeight="1" x14ac:dyDescent="0.3">
      <c r="A4293" s="2">
        <v>4289</v>
      </c>
      <c r="B4293" s="66" t="s">
        <v>4928</v>
      </c>
      <c r="C4293" s="66" t="s">
        <v>3128</v>
      </c>
      <c r="D4293" s="11">
        <v>4248</v>
      </c>
      <c r="E4293" s="11">
        <v>4248</v>
      </c>
      <c r="F4293" s="3">
        <v>39199</v>
      </c>
      <c r="G4293" s="2" t="s">
        <v>14104</v>
      </c>
      <c r="H4293" s="3">
        <v>43053</v>
      </c>
      <c r="I4293" s="2" t="s">
        <v>19506</v>
      </c>
      <c r="J4293" s="2" t="s">
        <v>13904</v>
      </c>
      <c r="K4293" s="2" t="s">
        <v>19217</v>
      </c>
      <c r="L4293" s="82" t="s">
        <v>19512</v>
      </c>
    </row>
    <row r="4294" spans="1:12" ht="96" customHeight="1" x14ac:dyDescent="0.3">
      <c r="A4294" s="2">
        <v>4290</v>
      </c>
      <c r="B4294" s="66" t="s">
        <v>4931</v>
      </c>
      <c r="C4294" s="66" t="s">
        <v>4932</v>
      </c>
      <c r="D4294" s="11">
        <v>19010</v>
      </c>
      <c r="E4294" s="11">
        <v>19010</v>
      </c>
      <c r="F4294" s="3">
        <v>41099</v>
      </c>
      <c r="G4294" s="2" t="s">
        <v>14104</v>
      </c>
      <c r="H4294" s="3">
        <v>43053</v>
      </c>
      <c r="I4294" s="2" t="s">
        <v>19506</v>
      </c>
      <c r="J4294" s="2" t="s">
        <v>13904</v>
      </c>
      <c r="K4294" s="2" t="s">
        <v>19217</v>
      </c>
      <c r="L4294" s="82" t="s">
        <v>19512</v>
      </c>
    </row>
    <row r="4295" spans="1:12" ht="96" customHeight="1" x14ac:dyDescent="0.3">
      <c r="A4295" s="2">
        <v>4291</v>
      </c>
      <c r="B4295" s="66" t="s">
        <v>4933</v>
      </c>
      <c r="C4295" s="66" t="s">
        <v>4934</v>
      </c>
      <c r="D4295" s="11">
        <v>19500</v>
      </c>
      <c r="E4295" s="11">
        <v>19500</v>
      </c>
      <c r="F4295" s="3">
        <v>39588</v>
      </c>
      <c r="G4295" s="2" t="s">
        <v>14104</v>
      </c>
      <c r="H4295" s="3">
        <v>43053</v>
      </c>
      <c r="I4295" s="2" t="s">
        <v>19506</v>
      </c>
      <c r="J4295" s="2" t="s">
        <v>13904</v>
      </c>
      <c r="K4295" s="2" t="s">
        <v>19217</v>
      </c>
      <c r="L4295" s="82" t="s">
        <v>19512</v>
      </c>
    </row>
    <row r="4296" spans="1:12" ht="96" customHeight="1" x14ac:dyDescent="0.3">
      <c r="A4296" s="2">
        <v>4292</v>
      </c>
      <c r="B4296" s="66" t="s">
        <v>4688</v>
      </c>
      <c r="C4296" s="66" t="s">
        <v>4710</v>
      </c>
      <c r="D4296" s="11">
        <v>5000</v>
      </c>
      <c r="E4296" s="11">
        <v>5000</v>
      </c>
      <c r="F4296" s="3">
        <v>39442</v>
      </c>
      <c r="G4296" s="2" t="s">
        <v>14104</v>
      </c>
      <c r="H4296" s="3">
        <v>43053</v>
      </c>
      <c r="I4296" s="2" t="s">
        <v>19506</v>
      </c>
      <c r="J4296" s="2" t="s">
        <v>13904</v>
      </c>
      <c r="K4296" s="2" t="s">
        <v>19217</v>
      </c>
      <c r="L4296" s="82" t="s">
        <v>19512</v>
      </c>
    </row>
    <row r="4297" spans="1:12" ht="96" customHeight="1" x14ac:dyDescent="0.3">
      <c r="A4297" s="2">
        <v>4293</v>
      </c>
      <c r="B4297" s="66" t="s">
        <v>4935</v>
      </c>
      <c r="C4297" s="66" t="s">
        <v>4936</v>
      </c>
      <c r="D4297" s="11">
        <v>3572.51</v>
      </c>
      <c r="E4297" s="11">
        <v>3572.51</v>
      </c>
      <c r="F4297" s="3">
        <v>37268</v>
      </c>
      <c r="G4297" s="2" t="s">
        <v>14104</v>
      </c>
      <c r="H4297" s="3">
        <v>43053</v>
      </c>
      <c r="I4297" s="2" t="s">
        <v>19506</v>
      </c>
      <c r="J4297" s="2" t="s">
        <v>13904</v>
      </c>
      <c r="K4297" s="2" t="s">
        <v>19217</v>
      </c>
      <c r="L4297" s="82" t="s">
        <v>19512</v>
      </c>
    </row>
    <row r="4298" spans="1:12" ht="96" customHeight="1" x14ac:dyDescent="0.3">
      <c r="A4298" s="2">
        <v>4294</v>
      </c>
      <c r="B4298" s="66" t="s">
        <v>4937</v>
      </c>
      <c r="C4298" s="66" t="s">
        <v>4711</v>
      </c>
      <c r="D4298" s="11">
        <v>4191</v>
      </c>
      <c r="E4298" s="11">
        <v>4191</v>
      </c>
      <c r="F4298" s="3">
        <v>36736</v>
      </c>
      <c r="G4298" s="2" t="s">
        <v>14104</v>
      </c>
      <c r="H4298" s="3">
        <v>43053</v>
      </c>
      <c r="I4298" s="2" t="s">
        <v>19506</v>
      </c>
      <c r="J4298" s="2" t="s">
        <v>13904</v>
      </c>
      <c r="K4298" s="2" t="s">
        <v>19217</v>
      </c>
      <c r="L4298" s="82" t="s">
        <v>19512</v>
      </c>
    </row>
    <row r="4299" spans="1:12" ht="96" customHeight="1" x14ac:dyDescent="0.3">
      <c r="A4299" s="2">
        <v>4295</v>
      </c>
      <c r="B4299" s="66" t="s">
        <v>4938</v>
      </c>
      <c r="C4299" s="66" t="s">
        <v>4939</v>
      </c>
      <c r="D4299" s="11">
        <v>4179.57</v>
      </c>
      <c r="E4299" s="11">
        <v>4179.57</v>
      </c>
      <c r="F4299" s="3">
        <v>37451</v>
      </c>
      <c r="G4299" s="2" t="s">
        <v>14104</v>
      </c>
      <c r="H4299" s="3">
        <v>43053</v>
      </c>
      <c r="I4299" s="2" t="s">
        <v>19506</v>
      </c>
      <c r="J4299" s="2" t="s">
        <v>13904</v>
      </c>
      <c r="K4299" s="2" t="s">
        <v>19217</v>
      </c>
      <c r="L4299" s="82" t="s">
        <v>19512</v>
      </c>
    </row>
    <row r="4300" spans="1:12" ht="96" customHeight="1" x14ac:dyDescent="0.3">
      <c r="A4300" s="2">
        <v>4296</v>
      </c>
      <c r="B4300" s="66" t="s">
        <v>4940</v>
      </c>
      <c r="C4300" s="66" t="s">
        <v>3855</v>
      </c>
      <c r="D4300" s="11">
        <v>4781.55</v>
      </c>
      <c r="E4300" s="11">
        <v>4781.55</v>
      </c>
      <c r="F4300" s="3">
        <v>34395</v>
      </c>
      <c r="G4300" s="2" t="s">
        <v>14104</v>
      </c>
      <c r="H4300" s="3">
        <v>43053</v>
      </c>
      <c r="I4300" s="2" t="s">
        <v>19506</v>
      </c>
      <c r="J4300" s="2" t="s">
        <v>13904</v>
      </c>
      <c r="K4300" s="2" t="s">
        <v>19217</v>
      </c>
      <c r="L4300" s="82" t="s">
        <v>19512</v>
      </c>
    </row>
    <row r="4301" spans="1:12" ht="96" customHeight="1" x14ac:dyDescent="0.3">
      <c r="A4301" s="2">
        <v>4297</v>
      </c>
      <c r="B4301" s="66" t="s">
        <v>3639</v>
      </c>
      <c r="C4301" s="66" t="s">
        <v>4941</v>
      </c>
      <c r="D4301" s="11">
        <v>3909.17</v>
      </c>
      <c r="E4301" s="11">
        <v>3909.17</v>
      </c>
      <c r="F4301" s="3">
        <v>39066</v>
      </c>
      <c r="G4301" s="2" t="s">
        <v>14104</v>
      </c>
      <c r="H4301" s="3">
        <v>43053</v>
      </c>
      <c r="I4301" s="2" t="s">
        <v>19506</v>
      </c>
      <c r="J4301" s="2" t="s">
        <v>13904</v>
      </c>
      <c r="K4301" s="2" t="s">
        <v>19217</v>
      </c>
      <c r="L4301" s="82" t="s">
        <v>19512</v>
      </c>
    </row>
    <row r="4302" spans="1:12" ht="96" customHeight="1" x14ac:dyDescent="0.3">
      <c r="A4302" s="2">
        <v>4298</v>
      </c>
      <c r="B4302" s="66" t="s">
        <v>4942</v>
      </c>
      <c r="C4302" s="66" t="s">
        <v>4943</v>
      </c>
      <c r="D4302" s="11">
        <v>3335.51</v>
      </c>
      <c r="E4302" s="11">
        <v>3335.51</v>
      </c>
      <c r="F4302" s="3">
        <v>40751</v>
      </c>
      <c r="G4302" s="2" t="s">
        <v>14104</v>
      </c>
      <c r="H4302" s="3">
        <v>43053</v>
      </c>
      <c r="I4302" s="2" t="s">
        <v>19506</v>
      </c>
      <c r="J4302" s="2" t="s">
        <v>13904</v>
      </c>
      <c r="K4302" s="2" t="s">
        <v>19217</v>
      </c>
      <c r="L4302" s="82" t="s">
        <v>19512</v>
      </c>
    </row>
    <row r="4303" spans="1:12" ht="96" customHeight="1" x14ac:dyDescent="0.3">
      <c r="A4303" s="2">
        <v>4299</v>
      </c>
      <c r="B4303" s="66" t="s">
        <v>4944</v>
      </c>
      <c r="C4303" s="66" t="s">
        <v>3231</v>
      </c>
      <c r="D4303" s="11">
        <v>6891.2</v>
      </c>
      <c r="E4303" s="11">
        <v>6891.2</v>
      </c>
      <c r="F4303" s="3">
        <v>40751</v>
      </c>
      <c r="G4303" s="2" t="s">
        <v>14104</v>
      </c>
      <c r="H4303" s="3">
        <v>43053</v>
      </c>
      <c r="I4303" s="2" t="s">
        <v>19506</v>
      </c>
      <c r="J4303" s="2" t="s">
        <v>13904</v>
      </c>
      <c r="K4303" s="2" t="s">
        <v>19217</v>
      </c>
      <c r="L4303" s="82" t="s">
        <v>19512</v>
      </c>
    </row>
    <row r="4304" spans="1:12" ht="96" customHeight="1" x14ac:dyDescent="0.3">
      <c r="A4304" s="2">
        <v>4300</v>
      </c>
      <c r="B4304" s="66" t="s">
        <v>4945</v>
      </c>
      <c r="C4304" s="66" t="s">
        <v>4946</v>
      </c>
      <c r="D4304" s="11">
        <v>4925.91</v>
      </c>
      <c r="E4304" s="11">
        <v>4925.91</v>
      </c>
      <c r="F4304" s="3">
        <v>40751</v>
      </c>
      <c r="G4304" s="2" t="s">
        <v>14104</v>
      </c>
      <c r="H4304" s="3">
        <v>43053</v>
      </c>
      <c r="I4304" s="2" t="s">
        <v>19506</v>
      </c>
      <c r="J4304" s="2" t="s">
        <v>13904</v>
      </c>
      <c r="K4304" s="2" t="s">
        <v>19217</v>
      </c>
      <c r="L4304" s="82" t="s">
        <v>19512</v>
      </c>
    </row>
    <row r="4305" spans="1:12" ht="96" customHeight="1" x14ac:dyDescent="0.3">
      <c r="A4305" s="2">
        <v>4301</v>
      </c>
      <c r="B4305" s="66" t="s">
        <v>259</v>
      </c>
      <c r="C4305" s="66" t="s">
        <v>3217</v>
      </c>
      <c r="D4305" s="11">
        <v>5480.05</v>
      </c>
      <c r="E4305" s="11">
        <v>5480.05</v>
      </c>
      <c r="F4305" s="3">
        <v>32989</v>
      </c>
      <c r="G4305" s="2" t="s">
        <v>14104</v>
      </c>
      <c r="H4305" s="3">
        <v>43053</v>
      </c>
      <c r="I4305" s="2" t="s">
        <v>19506</v>
      </c>
      <c r="J4305" s="2" t="s">
        <v>13904</v>
      </c>
      <c r="K4305" s="2" t="s">
        <v>19217</v>
      </c>
      <c r="L4305" s="82" t="s">
        <v>19512</v>
      </c>
    </row>
    <row r="4306" spans="1:12" ht="96" customHeight="1" x14ac:dyDescent="0.3">
      <c r="A4306" s="2">
        <v>4302</v>
      </c>
      <c r="B4306" s="66" t="s">
        <v>259</v>
      </c>
      <c r="C4306" s="66" t="s">
        <v>3638</v>
      </c>
      <c r="D4306" s="11">
        <v>5494.02</v>
      </c>
      <c r="E4306" s="11">
        <v>5494.02</v>
      </c>
      <c r="F4306" s="3">
        <v>33039</v>
      </c>
      <c r="G4306" s="2" t="s">
        <v>14104</v>
      </c>
      <c r="H4306" s="3">
        <v>43053</v>
      </c>
      <c r="I4306" s="2" t="s">
        <v>19506</v>
      </c>
      <c r="J4306" s="2" t="s">
        <v>13904</v>
      </c>
      <c r="K4306" s="2" t="s">
        <v>19217</v>
      </c>
      <c r="L4306" s="82" t="s">
        <v>19512</v>
      </c>
    </row>
    <row r="4307" spans="1:12" ht="96" customHeight="1" x14ac:dyDescent="0.3">
      <c r="A4307" s="2">
        <v>4303</v>
      </c>
      <c r="B4307" s="66" t="s">
        <v>4947</v>
      </c>
      <c r="C4307" s="66" t="s">
        <v>3922</v>
      </c>
      <c r="D4307" s="11">
        <v>3643.63</v>
      </c>
      <c r="E4307" s="11">
        <v>3643.63</v>
      </c>
      <c r="F4307" s="3">
        <v>33097</v>
      </c>
      <c r="G4307" s="2" t="s">
        <v>14104</v>
      </c>
      <c r="H4307" s="3">
        <v>43053</v>
      </c>
      <c r="I4307" s="2" t="s">
        <v>19506</v>
      </c>
      <c r="J4307" s="2" t="s">
        <v>13904</v>
      </c>
      <c r="K4307" s="2" t="s">
        <v>19217</v>
      </c>
      <c r="L4307" s="82" t="s">
        <v>19512</v>
      </c>
    </row>
    <row r="4308" spans="1:12" ht="96" customHeight="1" x14ac:dyDescent="0.3">
      <c r="A4308" s="2">
        <v>4304</v>
      </c>
      <c r="B4308" s="66" t="s">
        <v>4944</v>
      </c>
      <c r="C4308" s="66" t="s">
        <v>4948</v>
      </c>
      <c r="D4308" s="11">
        <v>6891.2</v>
      </c>
      <c r="E4308" s="11">
        <v>6891.2</v>
      </c>
      <c r="F4308" s="3">
        <v>40751</v>
      </c>
      <c r="G4308" s="2" t="s">
        <v>14104</v>
      </c>
      <c r="H4308" s="3">
        <v>43053</v>
      </c>
      <c r="I4308" s="2" t="s">
        <v>19506</v>
      </c>
      <c r="J4308" s="2" t="s">
        <v>13904</v>
      </c>
      <c r="K4308" s="2" t="s">
        <v>19217</v>
      </c>
      <c r="L4308" s="82" t="s">
        <v>19512</v>
      </c>
    </row>
    <row r="4309" spans="1:12" ht="96" customHeight="1" x14ac:dyDescent="0.3">
      <c r="A4309" s="2">
        <v>4305</v>
      </c>
      <c r="B4309" s="66" t="s">
        <v>4942</v>
      </c>
      <c r="C4309" s="66" t="s">
        <v>4949</v>
      </c>
      <c r="D4309" s="11">
        <v>3335.5</v>
      </c>
      <c r="E4309" s="11">
        <v>3335.5</v>
      </c>
      <c r="F4309" s="3">
        <v>40751</v>
      </c>
      <c r="G4309" s="2" t="s">
        <v>14104</v>
      </c>
      <c r="H4309" s="3">
        <v>43053</v>
      </c>
      <c r="I4309" s="2" t="s">
        <v>19506</v>
      </c>
      <c r="J4309" s="2" t="s">
        <v>13904</v>
      </c>
      <c r="K4309" s="2" t="s">
        <v>19217</v>
      </c>
      <c r="L4309" s="82" t="s">
        <v>19512</v>
      </c>
    </row>
    <row r="4310" spans="1:12" ht="96" customHeight="1" x14ac:dyDescent="0.3">
      <c r="A4310" s="2">
        <v>4306</v>
      </c>
      <c r="B4310" s="66" t="s">
        <v>4947</v>
      </c>
      <c r="C4310" s="66" t="s">
        <v>4244</v>
      </c>
      <c r="D4310" s="11">
        <v>3643.63</v>
      </c>
      <c r="E4310" s="11">
        <v>3643.63</v>
      </c>
      <c r="F4310" s="3">
        <v>33097</v>
      </c>
      <c r="G4310" s="2" t="s">
        <v>14104</v>
      </c>
      <c r="H4310" s="3">
        <v>43053</v>
      </c>
      <c r="I4310" s="2" t="s">
        <v>19506</v>
      </c>
      <c r="J4310" s="2" t="s">
        <v>13904</v>
      </c>
      <c r="K4310" s="2" t="s">
        <v>19217</v>
      </c>
      <c r="L4310" s="82" t="s">
        <v>19512</v>
      </c>
    </row>
    <row r="4311" spans="1:12" ht="96" customHeight="1" x14ac:dyDescent="0.3">
      <c r="A4311" s="2">
        <v>4307</v>
      </c>
      <c r="B4311" s="66" t="s">
        <v>4935</v>
      </c>
      <c r="C4311" s="66" t="s">
        <v>4950</v>
      </c>
      <c r="D4311" s="11">
        <v>3572.51</v>
      </c>
      <c r="E4311" s="11">
        <v>3572.51</v>
      </c>
      <c r="F4311" s="3">
        <v>37268</v>
      </c>
      <c r="G4311" s="2" t="s">
        <v>14104</v>
      </c>
      <c r="H4311" s="3">
        <v>43053</v>
      </c>
      <c r="I4311" s="2" t="s">
        <v>19506</v>
      </c>
      <c r="J4311" s="2" t="s">
        <v>13904</v>
      </c>
      <c r="K4311" s="2" t="s">
        <v>19217</v>
      </c>
      <c r="L4311" s="82" t="s">
        <v>19512</v>
      </c>
    </row>
    <row r="4312" spans="1:12" ht="96" customHeight="1" x14ac:dyDescent="0.3">
      <c r="A4312" s="2">
        <v>4308</v>
      </c>
      <c r="B4312" s="66" t="s">
        <v>4938</v>
      </c>
      <c r="C4312" s="66" t="s">
        <v>4951</v>
      </c>
      <c r="D4312" s="11">
        <v>4179.57</v>
      </c>
      <c r="E4312" s="11">
        <v>4179.57</v>
      </c>
      <c r="F4312" s="3">
        <v>37451</v>
      </c>
      <c r="G4312" s="2" t="s">
        <v>14104</v>
      </c>
      <c r="H4312" s="3">
        <v>43053</v>
      </c>
      <c r="I4312" s="2" t="s">
        <v>19506</v>
      </c>
      <c r="J4312" s="2" t="s">
        <v>13904</v>
      </c>
      <c r="K4312" s="2" t="s">
        <v>19217</v>
      </c>
      <c r="L4312" s="82" t="s">
        <v>19512</v>
      </c>
    </row>
    <row r="4313" spans="1:12" ht="96" customHeight="1" x14ac:dyDescent="0.3">
      <c r="A4313" s="2">
        <v>4309</v>
      </c>
      <c r="B4313" s="66" t="s">
        <v>4938</v>
      </c>
      <c r="C4313" s="66" t="s">
        <v>4253</v>
      </c>
      <c r="D4313" s="11">
        <v>4179.57</v>
      </c>
      <c r="E4313" s="11">
        <v>4179.57</v>
      </c>
      <c r="F4313" s="3">
        <v>37451</v>
      </c>
      <c r="G4313" s="2" t="s">
        <v>14104</v>
      </c>
      <c r="H4313" s="3">
        <v>43053</v>
      </c>
      <c r="I4313" s="2" t="s">
        <v>19506</v>
      </c>
      <c r="J4313" s="2" t="s">
        <v>13904</v>
      </c>
      <c r="K4313" s="2" t="s">
        <v>19217</v>
      </c>
      <c r="L4313" s="82" t="s">
        <v>19512</v>
      </c>
    </row>
    <row r="4314" spans="1:12" ht="96" customHeight="1" x14ac:dyDescent="0.3">
      <c r="A4314" s="2">
        <v>4310</v>
      </c>
      <c r="B4314" s="66" t="s">
        <v>4952</v>
      </c>
      <c r="C4314" s="66" t="s">
        <v>3972</v>
      </c>
      <c r="D4314" s="11">
        <v>3800</v>
      </c>
      <c r="E4314" s="11">
        <v>3800</v>
      </c>
      <c r="F4314" s="3">
        <v>41604</v>
      </c>
      <c r="G4314" s="2" t="s">
        <v>14104</v>
      </c>
      <c r="H4314" s="3">
        <v>43053</v>
      </c>
      <c r="I4314" s="2" t="s">
        <v>19506</v>
      </c>
      <c r="J4314" s="2" t="s">
        <v>13904</v>
      </c>
      <c r="K4314" s="2" t="s">
        <v>19217</v>
      </c>
      <c r="L4314" s="82" t="s">
        <v>19512</v>
      </c>
    </row>
    <row r="4315" spans="1:12" ht="96" customHeight="1" x14ac:dyDescent="0.3">
      <c r="A4315" s="2">
        <v>4311</v>
      </c>
      <c r="B4315" s="66" t="s">
        <v>4953</v>
      </c>
      <c r="C4315" s="66" t="s">
        <v>4954</v>
      </c>
      <c r="D4315" s="11">
        <v>9750</v>
      </c>
      <c r="E4315" s="11">
        <v>9750</v>
      </c>
      <c r="F4315" s="3">
        <v>41786</v>
      </c>
      <c r="G4315" s="2" t="s">
        <v>14104</v>
      </c>
      <c r="H4315" s="3">
        <v>43053</v>
      </c>
      <c r="I4315" s="2" t="s">
        <v>19506</v>
      </c>
      <c r="J4315" s="2" t="s">
        <v>13904</v>
      </c>
      <c r="K4315" s="2" t="s">
        <v>19217</v>
      </c>
      <c r="L4315" s="82" t="s">
        <v>19512</v>
      </c>
    </row>
    <row r="4316" spans="1:12" ht="96" customHeight="1" x14ac:dyDescent="0.3">
      <c r="A4316" s="2">
        <v>4312</v>
      </c>
      <c r="B4316" s="66" t="s">
        <v>4955</v>
      </c>
      <c r="C4316" s="66" t="s">
        <v>4956</v>
      </c>
      <c r="D4316" s="11">
        <v>6900.53</v>
      </c>
      <c r="E4316" s="11">
        <v>6900.53</v>
      </c>
      <c r="F4316" s="3">
        <v>41449</v>
      </c>
      <c r="G4316" s="2" t="s">
        <v>14104</v>
      </c>
      <c r="H4316" s="3">
        <v>43053</v>
      </c>
      <c r="I4316" s="2" t="s">
        <v>19506</v>
      </c>
      <c r="J4316" s="2" t="s">
        <v>13904</v>
      </c>
      <c r="K4316" s="2" t="s">
        <v>19217</v>
      </c>
      <c r="L4316" s="82" t="s">
        <v>19512</v>
      </c>
    </row>
    <row r="4317" spans="1:12" ht="96" customHeight="1" x14ac:dyDescent="0.3">
      <c r="A4317" s="2">
        <v>4313</v>
      </c>
      <c r="B4317" s="66" t="s">
        <v>4955</v>
      </c>
      <c r="C4317" s="66" t="s">
        <v>4957</v>
      </c>
      <c r="D4317" s="11">
        <v>6900.53</v>
      </c>
      <c r="E4317" s="11">
        <v>6900.53</v>
      </c>
      <c r="F4317" s="3">
        <v>41449</v>
      </c>
      <c r="G4317" s="2" t="s">
        <v>14104</v>
      </c>
      <c r="H4317" s="3">
        <v>43053</v>
      </c>
      <c r="I4317" s="2" t="s">
        <v>19506</v>
      </c>
      <c r="J4317" s="2" t="s">
        <v>13904</v>
      </c>
      <c r="K4317" s="2" t="s">
        <v>19217</v>
      </c>
      <c r="L4317" s="82" t="s">
        <v>19512</v>
      </c>
    </row>
    <row r="4318" spans="1:12" ht="96" customHeight="1" x14ac:dyDescent="0.3">
      <c r="A4318" s="2">
        <v>4314</v>
      </c>
      <c r="B4318" s="66" t="s">
        <v>4955</v>
      </c>
      <c r="C4318" s="66" t="s">
        <v>4958</v>
      </c>
      <c r="D4318" s="11">
        <v>6900.53</v>
      </c>
      <c r="E4318" s="11">
        <v>6900.53</v>
      </c>
      <c r="F4318" s="3">
        <v>41449</v>
      </c>
      <c r="G4318" s="2" t="s">
        <v>14104</v>
      </c>
      <c r="H4318" s="3">
        <v>43053</v>
      </c>
      <c r="I4318" s="2" t="s">
        <v>19506</v>
      </c>
      <c r="J4318" s="2" t="s">
        <v>13904</v>
      </c>
      <c r="K4318" s="2" t="s">
        <v>19217</v>
      </c>
      <c r="L4318" s="82" t="s">
        <v>19512</v>
      </c>
    </row>
    <row r="4319" spans="1:12" ht="96" customHeight="1" x14ac:dyDescent="0.3">
      <c r="A4319" s="2">
        <v>4315</v>
      </c>
      <c r="B4319" s="66" t="s">
        <v>4955</v>
      </c>
      <c r="C4319" s="66" t="s">
        <v>4959</v>
      </c>
      <c r="D4319" s="11">
        <v>6900.56</v>
      </c>
      <c r="E4319" s="11">
        <v>6900.56</v>
      </c>
      <c r="F4319" s="3">
        <v>41449</v>
      </c>
      <c r="G4319" s="2" t="s">
        <v>14104</v>
      </c>
      <c r="H4319" s="3">
        <v>43053</v>
      </c>
      <c r="I4319" s="2" t="s">
        <v>19506</v>
      </c>
      <c r="J4319" s="2" t="s">
        <v>13904</v>
      </c>
      <c r="K4319" s="2" t="s">
        <v>19217</v>
      </c>
      <c r="L4319" s="82" t="s">
        <v>19512</v>
      </c>
    </row>
    <row r="4320" spans="1:12" ht="96" customHeight="1" x14ac:dyDescent="0.3">
      <c r="A4320" s="2">
        <v>4316</v>
      </c>
      <c r="B4320" s="66" t="s">
        <v>4960</v>
      </c>
      <c r="C4320" s="66" t="s">
        <v>4961</v>
      </c>
      <c r="D4320" s="11">
        <v>4319.9799999999996</v>
      </c>
      <c r="E4320" s="11">
        <v>4319.9799999999996</v>
      </c>
      <c r="F4320" s="3">
        <v>41115</v>
      </c>
      <c r="G4320" s="2" t="s">
        <v>14104</v>
      </c>
      <c r="H4320" s="3">
        <v>43053</v>
      </c>
      <c r="I4320" s="2" t="s">
        <v>19506</v>
      </c>
      <c r="J4320" s="2" t="s">
        <v>13904</v>
      </c>
      <c r="K4320" s="2" t="s">
        <v>19217</v>
      </c>
      <c r="L4320" s="82" t="s">
        <v>19512</v>
      </c>
    </row>
    <row r="4321" spans="1:15" ht="96" customHeight="1" x14ac:dyDescent="0.3">
      <c r="A4321" s="2">
        <v>4317</v>
      </c>
      <c r="B4321" s="66" t="s">
        <v>4962</v>
      </c>
      <c r="C4321" s="66" t="s">
        <v>4963</v>
      </c>
      <c r="D4321" s="11">
        <v>3600</v>
      </c>
      <c r="E4321" s="11">
        <v>3600</v>
      </c>
      <c r="F4321" s="3">
        <v>39133</v>
      </c>
      <c r="G4321" s="2" t="s">
        <v>14104</v>
      </c>
      <c r="H4321" s="3">
        <v>43053</v>
      </c>
      <c r="I4321" s="2" t="s">
        <v>19506</v>
      </c>
      <c r="J4321" s="2" t="s">
        <v>13904</v>
      </c>
      <c r="K4321" s="2" t="s">
        <v>19217</v>
      </c>
      <c r="L4321" s="82" t="s">
        <v>19512</v>
      </c>
    </row>
    <row r="4322" spans="1:15" ht="96" customHeight="1" x14ac:dyDescent="0.3">
      <c r="A4322" s="2">
        <v>4318</v>
      </c>
      <c r="B4322" s="66" t="s">
        <v>4964</v>
      </c>
      <c r="C4322" s="66" t="s">
        <v>4965</v>
      </c>
      <c r="D4322" s="11">
        <v>3500</v>
      </c>
      <c r="E4322" s="11">
        <v>3500</v>
      </c>
      <c r="F4322" s="3">
        <v>39694</v>
      </c>
      <c r="G4322" s="2" t="s">
        <v>14104</v>
      </c>
      <c r="H4322" s="3">
        <v>43053</v>
      </c>
      <c r="I4322" s="2" t="s">
        <v>19506</v>
      </c>
      <c r="J4322" s="2" t="s">
        <v>13904</v>
      </c>
      <c r="K4322" s="2" t="s">
        <v>19217</v>
      </c>
      <c r="L4322" s="82" t="s">
        <v>19512</v>
      </c>
    </row>
    <row r="4323" spans="1:15" ht="96" customHeight="1" x14ac:dyDescent="0.3">
      <c r="A4323" s="2">
        <v>4319</v>
      </c>
      <c r="B4323" s="66" t="s">
        <v>4966</v>
      </c>
      <c r="C4323" s="66" t="s">
        <v>4967</v>
      </c>
      <c r="D4323" s="11">
        <v>9441</v>
      </c>
      <c r="E4323" s="11">
        <v>9441</v>
      </c>
      <c r="F4323" s="3">
        <v>39394</v>
      </c>
      <c r="G4323" s="2" t="s">
        <v>14104</v>
      </c>
      <c r="H4323" s="3">
        <v>43053</v>
      </c>
      <c r="I4323" s="2" t="s">
        <v>19506</v>
      </c>
      <c r="J4323" s="2" t="s">
        <v>13904</v>
      </c>
      <c r="K4323" s="2" t="s">
        <v>19217</v>
      </c>
      <c r="L4323" s="82" t="s">
        <v>19512</v>
      </c>
    </row>
    <row r="4324" spans="1:15" s="19" customFormat="1" ht="96" customHeight="1" x14ac:dyDescent="0.3">
      <c r="A4324" s="2">
        <v>4320</v>
      </c>
      <c r="B4324" s="66" t="s">
        <v>3819</v>
      </c>
      <c r="C4324" s="66" t="s">
        <v>4968</v>
      </c>
      <c r="D4324" s="11">
        <v>957719.4</v>
      </c>
      <c r="E4324" s="11">
        <v>58527.26</v>
      </c>
      <c r="F4324" s="3">
        <v>41983</v>
      </c>
      <c r="G4324" s="2"/>
      <c r="H4324" s="2"/>
      <c r="I4324" s="2"/>
      <c r="J4324" s="2" t="s">
        <v>13904</v>
      </c>
      <c r="K4324" s="2" t="s">
        <v>19213</v>
      </c>
      <c r="L4324" s="2" t="s">
        <v>18767</v>
      </c>
      <c r="M4324" s="18"/>
      <c r="N4324" s="18"/>
      <c r="O4324" s="18"/>
    </row>
    <row r="4325" spans="1:15" ht="96" customHeight="1" x14ac:dyDescent="0.3">
      <c r="A4325" s="2">
        <v>4321</v>
      </c>
      <c r="B4325" s="66" t="s">
        <v>1062</v>
      </c>
      <c r="C4325" s="66" t="s">
        <v>4969</v>
      </c>
      <c r="D4325" s="11">
        <v>99765.759999999995</v>
      </c>
      <c r="E4325" s="11">
        <v>58196.63</v>
      </c>
      <c r="F4325" s="3">
        <v>42004</v>
      </c>
      <c r="G4325" s="2"/>
      <c r="H4325" s="2"/>
      <c r="I4325" s="2"/>
      <c r="J4325" s="2" t="s">
        <v>13904</v>
      </c>
      <c r="K4325" s="2" t="s">
        <v>19213</v>
      </c>
      <c r="L4325" s="82" t="s">
        <v>18767</v>
      </c>
    </row>
    <row r="4326" spans="1:15" ht="96" customHeight="1" x14ac:dyDescent="0.3">
      <c r="A4326" s="2">
        <v>4322</v>
      </c>
      <c r="B4326" s="66" t="s">
        <v>4820</v>
      </c>
      <c r="C4326" s="66" t="s">
        <v>4970</v>
      </c>
      <c r="D4326" s="11">
        <v>65500</v>
      </c>
      <c r="E4326" s="11">
        <v>65500</v>
      </c>
      <c r="F4326" s="3">
        <v>38576</v>
      </c>
      <c r="G4326" s="2"/>
      <c r="H4326" s="2"/>
      <c r="I4326" s="2"/>
      <c r="J4326" s="2" t="s">
        <v>13904</v>
      </c>
      <c r="K4326" s="2" t="s">
        <v>19213</v>
      </c>
      <c r="L4326" s="82" t="s">
        <v>18767</v>
      </c>
    </row>
    <row r="4327" spans="1:15" ht="96" customHeight="1" x14ac:dyDescent="0.3">
      <c r="A4327" s="2">
        <v>4323</v>
      </c>
      <c r="B4327" s="66" t="s">
        <v>19709</v>
      </c>
      <c r="C4327" s="66">
        <v>4101240013</v>
      </c>
      <c r="D4327" s="11">
        <v>150000</v>
      </c>
      <c r="E4327" s="11">
        <v>14285.68</v>
      </c>
      <c r="F4327" s="3">
        <v>42713</v>
      </c>
      <c r="G4327" s="2" t="s">
        <v>14104</v>
      </c>
      <c r="H4327" s="3"/>
      <c r="I4327" s="2"/>
      <c r="J4327" s="2" t="s">
        <v>13904</v>
      </c>
      <c r="K4327" s="2" t="s">
        <v>19213</v>
      </c>
      <c r="L4327" s="82" t="s">
        <v>20502</v>
      </c>
    </row>
    <row r="4328" spans="1:15" ht="96" customHeight="1" x14ac:dyDescent="0.3">
      <c r="A4328" s="2">
        <v>4324</v>
      </c>
      <c r="B4328" s="66" t="s">
        <v>4972</v>
      </c>
      <c r="C4328" s="66" t="s">
        <v>4973</v>
      </c>
      <c r="D4328" s="11">
        <v>61000</v>
      </c>
      <c r="E4328" s="11">
        <v>61000</v>
      </c>
      <c r="F4328" s="3">
        <v>38576</v>
      </c>
      <c r="G4328" s="2"/>
      <c r="H4328" s="2"/>
      <c r="I4328" s="2"/>
      <c r="J4328" s="2" t="s">
        <v>13904</v>
      </c>
      <c r="K4328" s="2" t="s">
        <v>19213</v>
      </c>
      <c r="L4328" s="82" t="s">
        <v>18767</v>
      </c>
    </row>
    <row r="4329" spans="1:15" ht="96" customHeight="1" x14ac:dyDescent="0.3">
      <c r="A4329" s="2">
        <v>4325</v>
      </c>
      <c r="B4329" s="66" t="s">
        <v>4974</v>
      </c>
      <c r="C4329" s="66" t="s">
        <v>4975</v>
      </c>
      <c r="D4329" s="11">
        <v>56900</v>
      </c>
      <c r="E4329" s="11">
        <v>56900</v>
      </c>
      <c r="F4329" s="3">
        <v>38576</v>
      </c>
      <c r="G4329" s="2"/>
      <c r="H4329" s="2"/>
      <c r="I4329" s="2"/>
      <c r="J4329" s="2" t="s">
        <v>13904</v>
      </c>
      <c r="K4329" s="2" t="s">
        <v>19213</v>
      </c>
      <c r="L4329" s="82" t="s">
        <v>18767</v>
      </c>
    </row>
    <row r="4330" spans="1:15" ht="96" customHeight="1" x14ac:dyDescent="0.3">
      <c r="A4330" s="2">
        <v>4326</v>
      </c>
      <c r="B4330" s="66" t="s">
        <v>4976</v>
      </c>
      <c r="C4330" s="66" t="s">
        <v>4977</v>
      </c>
      <c r="D4330" s="11">
        <v>56620</v>
      </c>
      <c r="E4330" s="11">
        <v>33028.449999999997</v>
      </c>
      <c r="F4330" s="3">
        <v>41619</v>
      </c>
      <c r="G4330" s="2"/>
      <c r="H4330" s="2"/>
      <c r="I4330" s="2"/>
      <c r="J4330" s="2" t="s">
        <v>13904</v>
      </c>
      <c r="K4330" s="2" t="s">
        <v>19213</v>
      </c>
      <c r="L4330" s="82" t="s">
        <v>18767</v>
      </c>
      <c r="M4330" s="16">
        <v>139</v>
      </c>
    </row>
    <row r="4331" spans="1:15" ht="96" customHeight="1" x14ac:dyDescent="0.3">
      <c r="A4331" s="2">
        <v>4327</v>
      </c>
      <c r="B4331" s="66" t="s">
        <v>4978</v>
      </c>
      <c r="C4331" s="66" t="s">
        <v>4979</v>
      </c>
      <c r="D4331" s="11">
        <v>50500</v>
      </c>
      <c r="E4331" s="11">
        <v>14729.05</v>
      </c>
      <c r="F4331" s="3">
        <v>41619</v>
      </c>
      <c r="G4331" s="2"/>
      <c r="H4331" s="2"/>
      <c r="I4331" s="2"/>
      <c r="J4331" s="2" t="s">
        <v>13904</v>
      </c>
      <c r="K4331" s="2" t="s">
        <v>19213</v>
      </c>
      <c r="L4331" s="82" t="s">
        <v>18767</v>
      </c>
    </row>
    <row r="4332" spans="1:15" ht="96" customHeight="1" x14ac:dyDescent="0.3">
      <c r="A4332" s="2">
        <v>4328</v>
      </c>
      <c r="B4332" s="66" t="s">
        <v>4980</v>
      </c>
      <c r="C4332" s="66" t="s">
        <v>4981</v>
      </c>
      <c r="D4332" s="11">
        <v>62900</v>
      </c>
      <c r="E4332" s="11">
        <v>36691.550000000003</v>
      </c>
      <c r="F4332" s="3">
        <v>41619</v>
      </c>
      <c r="G4332" s="2"/>
      <c r="H4332" s="2"/>
      <c r="I4332" s="2"/>
      <c r="J4332" s="2" t="s">
        <v>13904</v>
      </c>
      <c r="K4332" s="2" t="s">
        <v>19213</v>
      </c>
      <c r="L4332" s="82" t="s">
        <v>18767</v>
      </c>
    </row>
    <row r="4333" spans="1:15" ht="96" customHeight="1" x14ac:dyDescent="0.3">
      <c r="A4333" s="2">
        <v>4329</v>
      </c>
      <c r="B4333" s="66" t="s">
        <v>4982</v>
      </c>
      <c r="C4333" s="66" t="s">
        <v>4983</v>
      </c>
      <c r="D4333" s="11">
        <v>98300</v>
      </c>
      <c r="E4333" s="11">
        <v>62802.879999999997</v>
      </c>
      <c r="F4333" s="3">
        <v>41988</v>
      </c>
      <c r="G4333" s="2"/>
      <c r="H4333" s="2"/>
      <c r="I4333" s="2"/>
      <c r="J4333" s="2" t="s">
        <v>13904</v>
      </c>
      <c r="K4333" s="2" t="s">
        <v>19213</v>
      </c>
      <c r="L4333" s="82" t="s">
        <v>18767</v>
      </c>
    </row>
    <row r="4334" spans="1:15" ht="96" customHeight="1" x14ac:dyDescent="0.3">
      <c r="A4334" s="2">
        <v>4330</v>
      </c>
      <c r="B4334" s="66" t="s">
        <v>23108</v>
      </c>
      <c r="C4334" s="66">
        <v>4101240014</v>
      </c>
      <c r="D4334" s="11">
        <v>395349.86</v>
      </c>
      <c r="E4334" s="11"/>
      <c r="F4334" s="3">
        <v>43041</v>
      </c>
      <c r="G4334" s="2" t="s">
        <v>19759</v>
      </c>
      <c r="H4334" s="3"/>
      <c r="I4334" s="2"/>
      <c r="J4334" s="2" t="s">
        <v>13904</v>
      </c>
      <c r="K4334" s="2" t="s">
        <v>23107</v>
      </c>
      <c r="L4334" s="82" t="s">
        <v>20503</v>
      </c>
    </row>
    <row r="4335" spans="1:15" ht="96" customHeight="1" x14ac:dyDescent="0.3">
      <c r="A4335" s="2">
        <v>4331</v>
      </c>
      <c r="B4335" s="66" t="s">
        <v>4730</v>
      </c>
      <c r="C4335" s="66"/>
      <c r="D4335" s="285">
        <v>64844.639999999999</v>
      </c>
      <c r="E4335" s="11">
        <v>64844.639999999999</v>
      </c>
      <c r="F4335" s="3">
        <v>40674</v>
      </c>
      <c r="G4335" s="2"/>
      <c r="H4335" s="3">
        <v>43053</v>
      </c>
      <c r="I4335" s="2" t="s">
        <v>19506</v>
      </c>
      <c r="J4335" s="2" t="s">
        <v>13904</v>
      </c>
      <c r="K4335" s="2" t="s">
        <v>19213</v>
      </c>
      <c r="L4335" s="82" t="s">
        <v>19512</v>
      </c>
    </row>
    <row r="4336" spans="1:15" ht="96" customHeight="1" x14ac:dyDescent="0.3">
      <c r="A4336" s="2">
        <v>4332</v>
      </c>
      <c r="B4336" s="66" t="s">
        <v>4546</v>
      </c>
      <c r="C4336" s="66"/>
      <c r="D4336" s="11">
        <v>9946.76</v>
      </c>
      <c r="E4336" s="11">
        <v>9946.76</v>
      </c>
      <c r="F4336" s="3">
        <v>39755</v>
      </c>
      <c r="G4336" s="2"/>
      <c r="H4336" s="3">
        <v>42440</v>
      </c>
      <c r="I4336" s="2" t="s">
        <v>16266</v>
      </c>
      <c r="J4336" s="2" t="s">
        <v>13904</v>
      </c>
      <c r="K4336" s="2"/>
      <c r="L4336" s="82"/>
    </row>
    <row r="4337" spans="1:12" ht="96" customHeight="1" x14ac:dyDescent="0.3">
      <c r="A4337" s="2">
        <v>4333</v>
      </c>
      <c r="B4337" s="66" t="s">
        <v>4547</v>
      </c>
      <c r="C4337" s="66"/>
      <c r="D4337" s="11">
        <v>23854.02</v>
      </c>
      <c r="E4337" s="11">
        <v>23854.02</v>
      </c>
      <c r="F4337" s="3">
        <v>40459</v>
      </c>
      <c r="G4337" s="2"/>
      <c r="H4337" s="3">
        <v>42440</v>
      </c>
      <c r="I4337" s="2" t="s">
        <v>16266</v>
      </c>
      <c r="J4337" s="2" t="s">
        <v>13904</v>
      </c>
      <c r="K4337" s="2"/>
      <c r="L4337" s="82"/>
    </row>
    <row r="4338" spans="1:12" ht="96" customHeight="1" x14ac:dyDescent="0.3">
      <c r="A4338" s="2">
        <v>4334</v>
      </c>
      <c r="B4338" s="66" t="s">
        <v>4548</v>
      </c>
      <c r="C4338" s="66"/>
      <c r="D4338" s="285">
        <v>31507.46</v>
      </c>
      <c r="E4338" s="11">
        <v>31507.46</v>
      </c>
      <c r="F4338" s="3">
        <v>40877</v>
      </c>
      <c r="G4338" s="2"/>
      <c r="H4338" s="3">
        <v>43053</v>
      </c>
      <c r="I4338" s="2" t="s">
        <v>19506</v>
      </c>
      <c r="J4338" s="2" t="s">
        <v>13904</v>
      </c>
      <c r="K4338" s="2" t="s">
        <v>19213</v>
      </c>
      <c r="L4338" s="82" t="s">
        <v>19512</v>
      </c>
    </row>
    <row r="4339" spans="1:12" ht="96" customHeight="1" x14ac:dyDescent="0.3">
      <c r="A4339" s="2">
        <v>4335</v>
      </c>
      <c r="B4339" s="66" t="s">
        <v>4551</v>
      </c>
      <c r="C4339" s="66"/>
      <c r="D4339" s="285">
        <v>71518.94</v>
      </c>
      <c r="E4339" s="11">
        <v>71518.94</v>
      </c>
      <c r="F4339" s="3">
        <v>41180</v>
      </c>
      <c r="G4339" s="2"/>
      <c r="H4339" s="3">
        <v>43053</v>
      </c>
      <c r="I4339" s="2" t="s">
        <v>19506</v>
      </c>
      <c r="J4339" s="2" t="s">
        <v>13904</v>
      </c>
      <c r="K4339" s="2" t="s">
        <v>19213</v>
      </c>
      <c r="L4339" s="82" t="s">
        <v>19512</v>
      </c>
    </row>
    <row r="4340" spans="1:12" ht="96" customHeight="1" x14ac:dyDescent="0.3">
      <c r="A4340" s="2">
        <v>4336</v>
      </c>
      <c r="B4340" s="66" t="s">
        <v>4552</v>
      </c>
      <c r="C4340" s="66"/>
      <c r="D4340" s="285">
        <v>98993.44</v>
      </c>
      <c r="E4340" s="11">
        <v>98993.44</v>
      </c>
      <c r="F4340" s="3">
        <v>41547</v>
      </c>
      <c r="G4340" s="2"/>
      <c r="H4340" s="3">
        <v>43053</v>
      </c>
      <c r="I4340" s="2" t="s">
        <v>19506</v>
      </c>
      <c r="J4340" s="2" t="s">
        <v>13904</v>
      </c>
      <c r="K4340" s="2" t="s">
        <v>19213</v>
      </c>
      <c r="L4340" s="82" t="s">
        <v>19512</v>
      </c>
    </row>
    <row r="4341" spans="1:12" ht="96" customHeight="1" x14ac:dyDescent="0.3">
      <c r="A4341" s="2">
        <v>4337</v>
      </c>
      <c r="B4341" s="66" t="s">
        <v>4984</v>
      </c>
      <c r="C4341" s="66"/>
      <c r="D4341" s="285">
        <v>142722.19</v>
      </c>
      <c r="E4341" s="11">
        <v>142722.19</v>
      </c>
      <c r="F4341" s="3">
        <v>41960</v>
      </c>
      <c r="G4341" s="2"/>
      <c r="H4341" s="3">
        <v>43053</v>
      </c>
      <c r="I4341" s="2" t="s">
        <v>19506</v>
      </c>
      <c r="J4341" s="2" t="s">
        <v>13904</v>
      </c>
      <c r="K4341" s="2" t="s">
        <v>19213</v>
      </c>
      <c r="L4341" s="82" t="s">
        <v>19512</v>
      </c>
    </row>
    <row r="4342" spans="1:12" ht="96" customHeight="1" x14ac:dyDescent="0.3">
      <c r="A4342" s="2">
        <v>4338</v>
      </c>
      <c r="B4342" s="66" t="s">
        <v>4985</v>
      </c>
      <c r="C4342" s="66" t="s">
        <v>4986</v>
      </c>
      <c r="D4342" s="11">
        <v>276</v>
      </c>
      <c r="E4342" s="11">
        <v>276</v>
      </c>
      <c r="F4342" s="3">
        <v>42109</v>
      </c>
      <c r="G4342" s="2"/>
      <c r="H4342" s="3">
        <v>43053</v>
      </c>
      <c r="I4342" s="2" t="s">
        <v>19506</v>
      </c>
      <c r="J4342" s="2" t="s">
        <v>13904</v>
      </c>
      <c r="K4342" s="2" t="s">
        <v>19213</v>
      </c>
      <c r="L4342" s="82" t="s">
        <v>19512</v>
      </c>
    </row>
    <row r="4343" spans="1:12" ht="96" customHeight="1" x14ac:dyDescent="0.3">
      <c r="A4343" s="2">
        <v>4339</v>
      </c>
      <c r="B4343" s="66" t="s">
        <v>4553</v>
      </c>
      <c r="C4343" s="66" t="s">
        <v>4987</v>
      </c>
      <c r="D4343" s="11">
        <v>5456.93</v>
      </c>
      <c r="E4343" s="11">
        <v>5456.93</v>
      </c>
      <c r="F4343" s="3">
        <v>41243</v>
      </c>
      <c r="G4343" s="2"/>
      <c r="H4343" s="3">
        <v>43053</v>
      </c>
      <c r="I4343" s="2" t="s">
        <v>19506</v>
      </c>
      <c r="J4343" s="2" t="s">
        <v>13904</v>
      </c>
      <c r="K4343" s="2" t="s">
        <v>19213</v>
      </c>
      <c r="L4343" s="82" t="s">
        <v>19512</v>
      </c>
    </row>
    <row r="4344" spans="1:12" ht="96" customHeight="1" x14ac:dyDescent="0.3">
      <c r="A4344" s="2">
        <v>4340</v>
      </c>
      <c r="B4344" s="66" t="s">
        <v>4556</v>
      </c>
      <c r="C4344" s="66" t="s">
        <v>4988</v>
      </c>
      <c r="D4344" s="11">
        <v>4545</v>
      </c>
      <c r="E4344" s="11">
        <v>4545</v>
      </c>
      <c r="F4344" s="3">
        <v>41736</v>
      </c>
      <c r="G4344" s="2"/>
      <c r="H4344" s="3">
        <v>43053</v>
      </c>
      <c r="I4344" s="2" t="s">
        <v>19506</v>
      </c>
      <c r="J4344" s="2" t="s">
        <v>13904</v>
      </c>
      <c r="K4344" s="2" t="s">
        <v>19213</v>
      </c>
      <c r="L4344" s="82" t="s">
        <v>19512</v>
      </c>
    </row>
    <row r="4345" spans="1:12" ht="96" customHeight="1" x14ac:dyDescent="0.3">
      <c r="A4345" s="2">
        <v>4341</v>
      </c>
      <c r="B4345" s="66" t="s">
        <v>4554</v>
      </c>
      <c r="C4345" s="66" t="s">
        <v>4989</v>
      </c>
      <c r="D4345" s="11">
        <v>3980</v>
      </c>
      <c r="E4345" s="11">
        <v>3980</v>
      </c>
      <c r="F4345" s="3">
        <v>41365</v>
      </c>
      <c r="G4345" s="2"/>
      <c r="H4345" s="3">
        <v>43053</v>
      </c>
      <c r="I4345" s="2" t="s">
        <v>19506</v>
      </c>
      <c r="J4345" s="2" t="s">
        <v>13904</v>
      </c>
      <c r="K4345" s="2" t="s">
        <v>19213</v>
      </c>
      <c r="L4345" s="82" t="s">
        <v>19512</v>
      </c>
    </row>
    <row r="4346" spans="1:12" ht="96" customHeight="1" x14ac:dyDescent="0.3">
      <c r="A4346" s="2">
        <v>4342</v>
      </c>
      <c r="B4346" s="66" t="s">
        <v>4990</v>
      </c>
      <c r="C4346" s="66" t="s">
        <v>4989</v>
      </c>
      <c r="D4346" s="11">
        <v>15759</v>
      </c>
      <c r="E4346" s="11">
        <v>15759</v>
      </c>
      <c r="F4346" s="3">
        <v>38729</v>
      </c>
      <c r="G4346" s="2"/>
      <c r="H4346" s="3">
        <v>43053</v>
      </c>
      <c r="I4346" s="2" t="s">
        <v>19506</v>
      </c>
      <c r="J4346" s="2" t="s">
        <v>13904</v>
      </c>
      <c r="K4346" s="2" t="s">
        <v>19213</v>
      </c>
      <c r="L4346" s="82" t="s">
        <v>19512</v>
      </c>
    </row>
    <row r="4347" spans="1:12" ht="96" customHeight="1" x14ac:dyDescent="0.3">
      <c r="A4347" s="2">
        <v>4343</v>
      </c>
      <c r="B4347" s="66" t="s">
        <v>3783</v>
      </c>
      <c r="C4347" s="66" t="s">
        <v>4991</v>
      </c>
      <c r="D4347" s="11">
        <v>14677.5</v>
      </c>
      <c r="E4347" s="11">
        <v>14677.5</v>
      </c>
      <c r="F4347" s="3">
        <v>38729</v>
      </c>
      <c r="G4347" s="2"/>
      <c r="H4347" s="3">
        <v>43053</v>
      </c>
      <c r="I4347" s="2" t="s">
        <v>19506</v>
      </c>
      <c r="J4347" s="2" t="s">
        <v>13904</v>
      </c>
      <c r="K4347" s="2" t="s">
        <v>19213</v>
      </c>
      <c r="L4347" s="82" t="s">
        <v>19512</v>
      </c>
    </row>
    <row r="4348" spans="1:12" ht="96" customHeight="1" x14ac:dyDescent="0.3">
      <c r="A4348" s="2">
        <v>4344</v>
      </c>
      <c r="B4348" s="66" t="s">
        <v>216</v>
      </c>
      <c r="C4348" s="66" t="s">
        <v>4575</v>
      </c>
      <c r="D4348" s="11">
        <v>41600</v>
      </c>
      <c r="E4348" s="11">
        <v>41600</v>
      </c>
      <c r="F4348" s="3">
        <v>38729</v>
      </c>
      <c r="G4348" s="2"/>
      <c r="H4348" s="3">
        <v>43053</v>
      </c>
      <c r="I4348" s="2" t="s">
        <v>19506</v>
      </c>
      <c r="J4348" s="2" t="s">
        <v>13904</v>
      </c>
      <c r="K4348" s="2" t="s">
        <v>19213</v>
      </c>
      <c r="L4348" s="82" t="s">
        <v>19512</v>
      </c>
    </row>
    <row r="4349" spans="1:12" ht="96" customHeight="1" x14ac:dyDescent="0.3">
      <c r="A4349" s="2">
        <v>4345</v>
      </c>
      <c r="B4349" s="66" t="s">
        <v>4992</v>
      </c>
      <c r="C4349" s="66" t="s">
        <v>4993</v>
      </c>
      <c r="D4349" s="11">
        <v>5950</v>
      </c>
      <c r="E4349" s="11">
        <v>5950</v>
      </c>
      <c r="F4349" s="3">
        <v>36597</v>
      </c>
      <c r="G4349" s="2"/>
      <c r="H4349" s="3">
        <v>43053</v>
      </c>
      <c r="I4349" s="2" t="s">
        <v>19506</v>
      </c>
      <c r="J4349" s="2" t="s">
        <v>13904</v>
      </c>
      <c r="K4349" s="2" t="s">
        <v>19213</v>
      </c>
      <c r="L4349" s="82" t="s">
        <v>19512</v>
      </c>
    </row>
    <row r="4350" spans="1:12" ht="96" customHeight="1" x14ac:dyDescent="0.3">
      <c r="A4350" s="2">
        <v>4346</v>
      </c>
      <c r="B4350" s="66" t="s">
        <v>218</v>
      </c>
      <c r="C4350" s="66" t="s">
        <v>4570</v>
      </c>
      <c r="D4350" s="11">
        <v>35955</v>
      </c>
      <c r="E4350" s="11">
        <v>35955</v>
      </c>
      <c r="F4350" s="3">
        <v>38729</v>
      </c>
      <c r="G4350" s="2"/>
      <c r="H4350" s="3">
        <v>43053</v>
      </c>
      <c r="I4350" s="2" t="s">
        <v>19506</v>
      </c>
      <c r="J4350" s="2" t="s">
        <v>13904</v>
      </c>
      <c r="K4350" s="2" t="s">
        <v>19213</v>
      </c>
      <c r="L4350" s="82" t="s">
        <v>19512</v>
      </c>
    </row>
    <row r="4351" spans="1:12" ht="96" customHeight="1" x14ac:dyDescent="0.3">
      <c r="A4351" s="2">
        <v>4347</v>
      </c>
      <c r="B4351" s="66" t="s">
        <v>218</v>
      </c>
      <c r="C4351" s="66" t="s">
        <v>4994</v>
      </c>
      <c r="D4351" s="11">
        <v>35955</v>
      </c>
      <c r="E4351" s="11">
        <v>35955</v>
      </c>
      <c r="F4351" s="3">
        <v>38729</v>
      </c>
      <c r="G4351" s="2"/>
      <c r="H4351" s="3">
        <v>43053</v>
      </c>
      <c r="I4351" s="2" t="s">
        <v>19506</v>
      </c>
      <c r="J4351" s="2" t="s">
        <v>13904</v>
      </c>
      <c r="K4351" s="2" t="s">
        <v>19213</v>
      </c>
      <c r="L4351" s="82" t="s">
        <v>19512</v>
      </c>
    </row>
    <row r="4352" spans="1:12" ht="96" customHeight="1" x14ac:dyDescent="0.3">
      <c r="A4352" s="2">
        <v>4348</v>
      </c>
      <c r="B4352" s="66" t="s">
        <v>218</v>
      </c>
      <c r="C4352" s="66" t="s">
        <v>4995</v>
      </c>
      <c r="D4352" s="11">
        <v>35955</v>
      </c>
      <c r="E4352" s="11">
        <v>35955</v>
      </c>
      <c r="F4352" s="3">
        <v>38729</v>
      </c>
      <c r="G4352" s="2"/>
      <c r="H4352" s="3">
        <v>43053</v>
      </c>
      <c r="I4352" s="2" t="s">
        <v>19506</v>
      </c>
      <c r="J4352" s="2" t="s">
        <v>13904</v>
      </c>
      <c r="K4352" s="2" t="s">
        <v>19213</v>
      </c>
      <c r="L4352" s="82" t="s">
        <v>19512</v>
      </c>
    </row>
    <row r="4353" spans="1:12" ht="96" customHeight="1" x14ac:dyDescent="0.3">
      <c r="A4353" s="2">
        <v>4349</v>
      </c>
      <c r="B4353" s="66" t="s">
        <v>218</v>
      </c>
      <c r="C4353" s="66" t="s">
        <v>4996</v>
      </c>
      <c r="D4353" s="11">
        <v>38250</v>
      </c>
      <c r="E4353" s="11">
        <v>38250</v>
      </c>
      <c r="F4353" s="3">
        <v>38729</v>
      </c>
      <c r="G4353" s="2"/>
      <c r="H4353" s="3">
        <v>43053</v>
      </c>
      <c r="I4353" s="2" t="s">
        <v>19506</v>
      </c>
      <c r="J4353" s="2" t="s">
        <v>13904</v>
      </c>
      <c r="K4353" s="2" t="s">
        <v>19213</v>
      </c>
      <c r="L4353" s="82" t="s">
        <v>19512</v>
      </c>
    </row>
    <row r="4354" spans="1:12" ht="96" customHeight="1" x14ac:dyDescent="0.3">
      <c r="A4354" s="2">
        <v>4350</v>
      </c>
      <c r="B4354" s="66" t="s">
        <v>218</v>
      </c>
      <c r="C4354" s="66" t="s">
        <v>4997</v>
      </c>
      <c r="D4354" s="11">
        <v>38250</v>
      </c>
      <c r="E4354" s="11">
        <v>38250</v>
      </c>
      <c r="F4354" s="3">
        <v>38729</v>
      </c>
      <c r="G4354" s="2"/>
      <c r="H4354" s="3">
        <v>43053</v>
      </c>
      <c r="I4354" s="2" t="s">
        <v>19506</v>
      </c>
      <c r="J4354" s="2" t="s">
        <v>13904</v>
      </c>
      <c r="K4354" s="2" t="s">
        <v>19213</v>
      </c>
      <c r="L4354" s="82" t="s">
        <v>19512</v>
      </c>
    </row>
    <row r="4355" spans="1:12" ht="96" customHeight="1" x14ac:dyDescent="0.3">
      <c r="A4355" s="2">
        <v>4351</v>
      </c>
      <c r="B4355" s="66" t="s">
        <v>4998</v>
      </c>
      <c r="C4355" s="66" t="s">
        <v>4999</v>
      </c>
      <c r="D4355" s="11">
        <v>12950</v>
      </c>
      <c r="E4355" s="11">
        <v>12950</v>
      </c>
      <c r="F4355" s="3">
        <v>39888</v>
      </c>
      <c r="G4355" s="2"/>
      <c r="H4355" s="3">
        <v>43053</v>
      </c>
      <c r="I4355" s="2" t="s">
        <v>19506</v>
      </c>
      <c r="J4355" s="2" t="s">
        <v>13904</v>
      </c>
      <c r="K4355" s="2" t="s">
        <v>19213</v>
      </c>
      <c r="L4355" s="82" t="s">
        <v>19512</v>
      </c>
    </row>
    <row r="4356" spans="1:12" ht="96" customHeight="1" x14ac:dyDescent="0.3">
      <c r="A4356" s="2">
        <v>4352</v>
      </c>
      <c r="B4356" s="66" t="s">
        <v>5000</v>
      </c>
      <c r="C4356" s="66" t="s">
        <v>5001</v>
      </c>
      <c r="D4356" s="11">
        <v>5700</v>
      </c>
      <c r="E4356" s="11">
        <v>5700</v>
      </c>
      <c r="F4356" s="3">
        <v>39888</v>
      </c>
      <c r="G4356" s="2"/>
      <c r="H4356" s="3">
        <v>43053</v>
      </c>
      <c r="I4356" s="2" t="s">
        <v>19506</v>
      </c>
      <c r="J4356" s="2" t="s">
        <v>13904</v>
      </c>
      <c r="K4356" s="2" t="s">
        <v>19213</v>
      </c>
      <c r="L4356" s="82" t="s">
        <v>19512</v>
      </c>
    </row>
    <row r="4357" spans="1:12" ht="96" customHeight="1" x14ac:dyDescent="0.3">
      <c r="A4357" s="2">
        <v>4353</v>
      </c>
      <c r="B4357" s="66" t="s">
        <v>4054</v>
      </c>
      <c r="C4357" s="66" t="s">
        <v>5002</v>
      </c>
      <c r="D4357" s="11">
        <v>4000</v>
      </c>
      <c r="E4357" s="11">
        <v>4000</v>
      </c>
      <c r="F4357" s="3">
        <v>39442</v>
      </c>
      <c r="G4357" s="2"/>
      <c r="H4357" s="3">
        <v>43053</v>
      </c>
      <c r="I4357" s="2" t="s">
        <v>19506</v>
      </c>
      <c r="J4357" s="2" t="s">
        <v>13904</v>
      </c>
      <c r="K4357" s="2" t="s">
        <v>19213</v>
      </c>
      <c r="L4357" s="82" t="s">
        <v>19512</v>
      </c>
    </row>
    <row r="4358" spans="1:12" ht="96" customHeight="1" x14ac:dyDescent="0.3">
      <c r="A4358" s="2">
        <v>4354</v>
      </c>
      <c r="B4358" s="66" t="s">
        <v>227</v>
      </c>
      <c r="C4358" s="66" t="s">
        <v>3673</v>
      </c>
      <c r="D4358" s="11">
        <v>12944.82</v>
      </c>
      <c r="E4358" s="11">
        <v>12944.82</v>
      </c>
      <c r="F4358" s="3">
        <v>38729</v>
      </c>
      <c r="G4358" s="2"/>
      <c r="H4358" s="3">
        <v>43053</v>
      </c>
      <c r="I4358" s="2" t="s">
        <v>19506</v>
      </c>
      <c r="J4358" s="2" t="s">
        <v>13904</v>
      </c>
      <c r="K4358" s="2" t="s">
        <v>19213</v>
      </c>
      <c r="L4358" s="82" t="s">
        <v>19512</v>
      </c>
    </row>
    <row r="4359" spans="1:12" ht="96" customHeight="1" x14ac:dyDescent="0.3">
      <c r="A4359" s="2">
        <v>4355</v>
      </c>
      <c r="B4359" s="66" t="s">
        <v>227</v>
      </c>
      <c r="C4359" s="66" t="s">
        <v>5003</v>
      </c>
      <c r="D4359" s="11">
        <v>11039.46</v>
      </c>
      <c r="E4359" s="11">
        <v>11039.46</v>
      </c>
      <c r="F4359" s="3">
        <v>38729</v>
      </c>
      <c r="G4359" s="2"/>
      <c r="H4359" s="3">
        <v>43053</v>
      </c>
      <c r="I4359" s="2" t="s">
        <v>19506</v>
      </c>
      <c r="J4359" s="2" t="s">
        <v>13904</v>
      </c>
      <c r="K4359" s="2" t="s">
        <v>19213</v>
      </c>
      <c r="L4359" s="82" t="s">
        <v>19512</v>
      </c>
    </row>
    <row r="4360" spans="1:12" ht="96" customHeight="1" x14ac:dyDescent="0.3">
      <c r="A4360" s="2">
        <v>4356</v>
      </c>
      <c r="B4360" s="66" t="s">
        <v>5004</v>
      </c>
      <c r="C4360" s="66" t="s">
        <v>5005</v>
      </c>
      <c r="D4360" s="11">
        <v>30946.959999999999</v>
      </c>
      <c r="E4360" s="11">
        <v>30946.959999999999</v>
      </c>
      <c r="F4360" s="3">
        <v>39058</v>
      </c>
      <c r="G4360" s="2"/>
      <c r="H4360" s="3">
        <v>43053</v>
      </c>
      <c r="I4360" s="2" t="s">
        <v>19506</v>
      </c>
      <c r="J4360" s="2" t="s">
        <v>13904</v>
      </c>
      <c r="K4360" s="2" t="s">
        <v>19213</v>
      </c>
      <c r="L4360" s="82" t="s">
        <v>19512</v>
      </c>
    </row>
    <row r="4361" spans="1:12" ht="96" customHeight="1" x14ac:dyDescent="0.3">
      <c r="A4361" s="2">
        <v>4357</v>
      </c>
      <c r="B4361" s="66" t="s">
        <v>5004</v>
      </c>
      <c r="C4361" s="66" t="s">
        <v>4743</v>
      </c>
      <c r="D4361" s="11">
        <v>32747.360000000001</v>
      </c>
      <c r="E4361" s="11">
        <v>32747.360000000001</v>
      </c>
      <c r="F4361" s="3">
        <v>39057</v>
      </c>
      <c r="G4361" s="2"/>
      <c r="H4361" s="3">
        <v>43053</v>
      </c>
      <c r="I4361" s="2" t="s">
        <v>19506</v>
      </c>
      <c r="J4361" s="2" t="s">
        <v>13904</v>
      </c>
      <c r="K4361" s="2" t="s">
        <v>19213</v>
      </c>
      <c r="L4361" s="82" t="s">
        <v>19512</v>
      </c>
    </row>
    <row r="4362" spans="1:12" ht="96" customHeight="1" x14ac:dyDescent="0.3">
      <c r="A4362" s="2">
        <v>4358</v>
      </c>
      <c r="B4362" s="66" t="s">
        <v>3835</v>
      </c>
      <c r="C4362" s="66" t="s">
        <v>4744</v>
      </c>
      <c r="D4362" s="11">
        <v>13708.8</v>
      </c>
      <c r="E4362" s="11">
        <v>13708.8</v>
      </c>
      <c r="F4362" s="3">
        <v>38729</v>
      </c>
      <c r="G4362" s="2"/>
      <c r="H4362" s="3">
        <v>43053</v>
      </c>
      <c r="I4362" s="2" t="s">
        <v>19506</v>
      </c>
      <c r="J4362" s="2" t="s">
        <v>13904</v>
      </c>
      <c r="K4362" s="2" t="s">
        <v>19213</v>
      </c>
      <c r="L4362" s="82" t="s">
        <v>19512</v>
      </c>
    </row>
    <row r="4363" spans="1:12" ht="96" customHeight="1" x14ac:dyDescent="0.3">
      <c r="A4363" s="2">
        <v>4359</v>
      </c>
      <c r="B4363" s="66" t="s">
        <v>5006</v>
      </c>
      <c r="C4363" s="66" t="s">
        <v>5007</v>
      </c>
      <c r="D4363" s="11">
        <v>5950</v>
      </c>
      <c r="E4363" s="11">
        <v>5950</v>
      </c>
      <c r="F4363" s="3">
        <v>39888</v>
      </c>
      <c r="G4363" s="2"/>
      <c r="H4363" s="3">
        <v>43053</v>
      </c>
      <c r="I4363" s="2" t="s">
        <v>19506</v>
      </c>
      <c r="J4363" s="2" t="s">
        <v>13904</v>
      </c>
      <c r="K4363" s="2" t="s">
        <v>19213</v>
      </c>
      <c r="L4363" s="82" t="s">
        <v>19512</v>
      </c>
    </row>
    <row r="4364" spans="1:12" ht="96" customHeight="1" x14ac:dyDescent="0.3">
      <c r="A4364" s="2">
        <v>4360</v>
      </c>
      <c r="B4364" s="66" t="s">
        <v>5008</v>
      </c>
      <c r="C4364" s="66" t="s">
        <v>4578</v>
      </c>
      <c r="D4364" s="11">
        <v>34063.919999999998</v>
      </c>
      <c r="E4364" s="11">
        <v>34063.919999999998</v>
      </c>
      <c r="F4364" s="3">
        <v>38729</v>
      </c>
      <c r="G4364" s="2"/>
      <c r="H4364" s="3">
        <v>43053</v>
      </c>
      <c r="I4364" s="2" t="s">
        <v>19506</v>
      </c>
      <c r="J4364" s="2" t="s">
        <v>13904</v>
      </c>
      <c r="K4364" s="2" t="s">
        <v>19213</v>
      </c>
      <c r="L4364" s="82" t="s">
        <v>19512</v>
      </c>
    </row>
    <row r="4365" spans="1:12" ht="96" customHeight="1" x14ac:dyDescent="0.3">
      <c r="A4365" s="2">
        <v>4361</v>
      </c>
      <c r="B4365" s="66" t="s">
        <v>4568</v>
      </c>
      <c r="C4365" s="66" t="s">
        <v>4569</v>
      </c>
      <c r="D4365" s="11">
        <v>7740</v>
      </c>
      <c r="E4365" s="11">
        <v>7740</v>
      </c>
      <c r="F4365" s="3">
        <v>36597</v>
      </c>
      <c r="G4365" s="2"/>
      <c r="H4365" s="3">
        <v>43053</v>
      </c>
      <c r="I4365" s="2" t="s">
        <v>19506</v>
      </c>
      <c r="J4365" s="2" t="s">
        <v>13904</v>
      </c>
      <c r="K4365" s="2" t="s">
        <v>19213</v>
      </c>
      <c r="L4365" s="82" t="s">
        <v>19512</v>
      </c>
    </row>
    <row r="4366" spans="1:12" ht="96" customHeight="1" x14ac:dyDescent="0.3">
      <c r="A4366" s="2">
        <v>4362</v>
      </c>
      <c r="B4366" s="66" t="s">
        <v>4057</v>
      </c>
      <c r="C4366" s="66" t="s">
        <v>5009</v>
      </c>
      <c r="D4366" s="11">
        <v>4750</v>
      </c>
      <c r="E4366" s="11">
        <v>4750</v>
      </c>
      <c r="F4366" s="3">
        <v>39888</v>
      </c>
      <c r="G4366" s="2"/>
      <c r="H4366" s="3">
        <v>43053</v>
      </c>
      <c r="I4366" s="2" t="s">
        <v>19506</v>
      </c>
      <c r="J4366" s="2" t="s">
        <v>13904</v>
      </c>
      <c r="K4366" s="2" t="s">
        <v>19213</v>
      </c>
      <c r="L4366" s="82" t="s">
        <v>19512</v>
      </c>
    </row>
    <row r="4367" spans="1:12" ht="96" customHeight="1" x14ac:dyDescent="0.3">
      <c r="A4367" s="2">
        <v>4363</v>
      </c>
      <c r="B4367" s="66" t="s">
        <v>5010</v>
      </c>
      <c r="C4367" s="66" t="s">
        <v>5011</v>
      </c>
      <c r="D4367" s="11">
        <v>9729.44</v>
      </c>
      <c r="E4367" s="11">
        <v>9729.44</v>
      </c>
      <c r="F4367" s="3">
        <v>36023</v>
      </c>
      <c r="G4367" s="2"/>
      <c r="H4367" s="3">
        <v>43053</v>
      </c>
      <c r="I4367" s="2" t="s">
        <v>19506</v>
      </c>
      <c r="J4367" s="2" t="s">
        <v>13904</v>
      </c>
      <c r="K4367" s="2" t="s">
        <v>19213</v>
      </c>
      <c r="L4367" s="82" t="s">
        <v>19512</v>
      </c>
    </row>
    <row r="4368" spans="1:12" ht="96" customHeight="1" x14ac:dyDescent="0.3">
      <c r="A4368" s="2">
        <v>4364</v>
      </c>
      <c r="B4368" s="66" t="s">
        <v>5012</v>
      </c>
      <c r="C4368" s="66" t="s">
        <v>5013</v>
      </c>
      <c r="D4368" s="11">
        <v>5778.36</v>
      </c>
      <c r="E4368" s="11">
        <v>5778.36</v>
      </c>
      <c r="F4368" s="3">
        <v>39061</v>
      </c>
      <c r="G4368" s="2"/>
      <c r="H4368" s="3">
        <v>43053</v>
      </c>
      <c r="I4368" s="2" t="s">
        <v>19506</v>
      </c>
      <c r="J4368" s="2" t="s">
        <v>13904</v>
      </c>
      <c r="K4368" s="2" t="s">
        <v>19213</v>
      </c>
      <c r="L4368" s="82" t="s">
        <v>19512</v>
      </c>
    </row>
    <row r="4369" spans="1:12" ht="96" customHeight="1" x14ac:dyDescent="0.3">
      <c r="A4369" s="2">
        <v>4365</v>
      </c>
      <c r="B4369" s="66" t="s">
        <v>5014</v>
      </c>
      <c r="C4369" s="66" t="s">
        <v>5015</v>
      </c>
      <c r="D4369" s="11">
        <v>6666</v>
      </c>
      <c r="E4369" s="11">
        <v>6666</v>
      </c>
      <c r="F4369" s="3">
        <v>39436</v>
      </c>
      <c r="G4369" s="2"/>
      <c r="H4369" s="3">
        <v>43053</v>
      </c>
      <c r="I4369" s="2" t="s">
        <v>19506</v>
      </c>
      <c r="J4369" s="2" t="s">
        <v>13904</v>
      </c>
      <c r="K4369" s="2" t="s">
        <v>19213</v>
      </c>
      <c r="L4369" s="82" t="s">
        <v>19512</v>
      </c>
    </row>
    <row r="4370" spans="1:12" ht="96" customHeight="1" x14ac:dyDescent="0.3">
      <c r="A4370" s="2">
        <v>4366</v>
      </c>
      <c r="B4370" s="66" t="s">
        <v>5016</v>
      </c>
      <c r="C4370" s="66" t="s">
        <v>4596</v>
      </c>
      <c r="D4370" s="11">
        <v>7967.05</v>
      </c>
      <c r="E4370" s="11">
        <v>7967.05</v>
      </c>
      <c r="F4370" s="3">
        <v>39442</v>
      </c>
      <c r="G4370" s="2"/>
      <c r="H4370" s="3">
        <v>43053</v>
      </c>
      <c r="I4370" s="2" t="s">
        <v>19506</v>
      </c>
      <c r="J4370" s="2" t="s">
        <v>13904</v>
      </c>
      <c r="K4370" s="2" t="s">
        <v>19213</v>
      </c>
      <c r="L4370" s="82" t="s">
        <v>19512</v>
      </c>
    </row>
    <row r="4371" spans="1:12" ht="96" customHeight="1" x14ac:dyDescent="0.3">
      <c r="A4371" s="2">
        <v>4367</v>
      </c>
      <c r="B4371" s="66" t="s">
        <v>1203</v>
      </c>
      <c r="C4371" s="66" t="s">
        <v>5017</v>
      </c>
      <c r="D4371" s="11">
        <v>10659</v>
      </c>
      <c r="E4371" s="11">
        <v>10659</v>
      </c>
      <c r="F4371" s="3">
        <v>38232</v>
      </c>
      <c r="G4371" s="2"/>
      <c r="H4371" s="3">
        <v>43053</v>
      </c>
      <c r="I4371" s="2" t="s">
        <v>19506</v>
      </c>
      <c r="J4371" s="2" t="s">
        <v>13904</v>
      </c>
      <c r="K4371" s="2" t="s">
        <v>19213</v>
      </c>
      <c r="L4371" s="82" t="s">
        <v>19512</v>
      </c>
    </row>
    <row r="4372" spans="1:12" ht="96" customHeight="1" x14ac:dyDescent="0.3">
      <c r="A4372" s="2">
        <v>4368</v>
      </c>
      <c r="B4372" s="66" t="s">
        <v>5018</v>
      </c>
      <c r="C4372" s="66" t="s">
        <v>5019</v>
      </c>
      <c r="D4372" s="11">
        <v>16850</v>
      </c>
      <c r="E4372" s="11">
        <v>16850</v>
      </c>
      <c r="F4372" s="3">
        <v>41606</v>
      </c>
      <c r="G4372" s="2"/>
      <c r="H4372" s="3">
        <v>43053</v>
      </c>
      <c r="I4372" s="2" t="s">
        <v>19506</v>
      </c>
      <c r="J4372" s="2" t="s">
        <v>13904</v>
      </c>
      <c r="K4372" s="2" t="s">
        <v>19213</v>
      </c>
      <c r="L4372" s="82" t="s">
        <v>19512</v>
      </c>
    </row>
    <row r="4373" spans="1:12" ht="96" customHeight="1" x14ac:dyDescent="0.3">
      <c r="A4373" s="2">
        <v>4369</v>
      </c>
      <c r="B4373" s="66" t="s">
        <v>5020</v>
      </c>
      <c r="C4373" s="66" t="s">
        <v>5021</v>
      </c>
      <c r="D4373" s="11">
        <v>33300</v>
      </c>
      <c r="E4373" s="11">
        <v>33300</v>
      </c>
      <c r="F4373" s="3">
        <v>41619</v>
      </c>
      <c r="G4373" s="2"/>
      <c r="H4373" s="3">
        <v>43053</v>
      </c>
      <c r="I4373" s="2" t="s">
        <v>19506</v>
      </c>
      <c r="J4373" s="2" t="s">
        <v>13904</v>
      </c>
      <c r="K4373" s="2" t="s">
        <v>19213</v>
      </c>
      <c r="L4373" s="82" t="s">
        <v>19512</v>
      </c>
    </row>
    <row r="4374" spans="1:12" ht="96" customHeight="1" x14ac:dyDescent="0.3">
      <c r="A4374" s="2">
        <v>4370</v>
      </c>
      <c r="B4374" s="66" t="s">
        <v>5022</v>
      </c>
      <c r="C4374" s="66" t="s">
        <v>5023</v>
      </c>
      <c r="D4374" s="11">
        <v>7600</v>
      </c>
      <c r="E4374" s="11">
        <v>7600</v>
      </c>
      <c r="F4374" s="3">
        <v>41619</v>
      </c>
      <c r="G4374" s="2"/>
      <c r="H4374" s="3">
        <v>43053</v>
      </c>
      <c r="I4374" s="2" t="s">
        <v>19506</v>
      </c>
      <c r="J4374" s="2" t="s">
        <v>13904</v>
      </c>
      <c r="K4374" s="2" t="s">
        <v>19213</v>
      </c>
      <c r="L4374" s="82" t="s">
        <v>19512</v>
      </c>
    </row>
    <row r="4375" spans="1:12" ht="96" customHeight="1" x14ac:dyDescent="0.3">
      <c r="A4375" s="2">
        <v>4371</v>
      </c>
      <c r="B4375" s="66" t="s">
        <v>5022</v>
      </c>
      <c r="C4375" s="66" t="s">
        <v>5024</v>
      </c>
      <c r="D4375" s="11">
        <v>7600</v>
      </c>
      <c r="E4375" s="11">
        <v>7600</v>
      </c>
      <c r="F4375" s="3">
        <v>41619</v>
      </c>
      <c r="G4375" s="2"/>
      <c r="H4375" s="3">
        <v>43053</v>
      </c>
      <c r="I4375" s="2" t="s">
        <v>19506</v>
      </c>
      <c r="J4375" s="2" t="s">
        <v>13904</v>
      </c>
      <c r="K4375" s="2" t="s">
        <v>19213</v>
      </c>
      <c r="L4375" s="82" t="s">
        <v>19512</v>
      </c>
    </row>
    <row r="4376" spans="1:12" ht="96" customHeight="1" x14ac:dyDescent="0.3">
      <c r="A4376" s="2">
        <v>4372</v>
      </c>
      <c r="B4376" s="66" t="s">
        <v>5022</v>
      </c>
      <c r="C4376" s="66" t="s">
        <v>5025</v>
      </c>
      <c r="D4376" s="11">
        <v>7600</v>
      </c>
      <c r="E4376" s="11">
        <v>7600</v>
      </c>
      <c r="F4376" s="3">
        <v>41619</v>
      </c>
      <c r="G4376" s="2"/>
      <c r="H4376" s="3">
        <v>43053</v>
      </c>
      <c r="I4376" s="2" t="s">
        <v>19506</v>
      </c>
      <c r="J4376" s="2" t="s">
        <v>13904</v>
      </c>
      <c r="K4376" s="2" t="s">
        <v>19213</v>
      </c>
      <c r="L4376" s="82" t="s">
        <v>19512</v>
      </c>
    </row>
    <row r="4377" spans="1:12" ht="96" customHeight="1" x14ac:dyDescent="0.3">
      <c r="A4377" s="2">
        <v>4373</v>
      </c>
      <c r="B4377" s="66" t="s">
        <v>5022</v>
      </c>
      <c r="C4377" s="66" t="s">
        <v>5026</v>
      </c>
      <c r="D4377" s="11">
        <v>7600</v>
      </c>
      <c r="E4377" s="11">
        <v>7600</v>
      </c>
      <c r="F4377" s="3">
        <v>41619</v>
      </c>
      <c r="G4377" s="2"/>
      <c r="H4377" s="3">
        <v>43053</v>
      </c>
      <c r="I4377" s="2" t="s">
        <v>19506</v>
      </c>
      <c r="J4377" s="2" t="s">
        <v>13904</v>
      </c>
      <c r="K4377" s="2" t="s">
        <v>19213</v>
      </c>
      <c r="L4377" s="82" t="s">
        <v>19512</v>
      </c>
    </row>
    <row r="4378" spans="1:12" ht="96" customHeight="1" x14ac:dyDescent="0.3">
      <c r="A4378" s="2">
        <v>4374</v>
      </c>
      <c r="B4378" s="66" t="s">
        <v>5027</v>
      </c>
      <c r="C4378" s="66" t="s">
        <v>5028</v>
      </c>
      <c r="D4378" s="11">
        <v>27700.43</v>
      </c>
      <c r="E4378" s="11">
        <v>27700.43</v>
      </c>
      <c r="F4378" s="3">
        <v>41619</v>
      </c>
      <c r="G4378" s="2"/>
      <c r="H4378" s="3">
        <v>43053</v>
      </c>
      <c r="I4378" s="2" t="s">
        <v>19506</v>
      </c>
      <c r="J4378" s="2" t="s">
        <v>13904</v>
      </c>
      <c r="K4378" s="2" t="s">
        <v>19213</v>
      </c>
      <c r="L4378" s="82" t="s">
        <v>19512</v>
      </c>
    </row>
    <row r="4379" spans="1:12" ht="96" customHeight="1" x14ac:dyDescent="0.3">
      <c r="A4379" s="2">
        <v>4375</v>
      </c>
      <c r="B4379" s="66" t="s">
        <v>5029</v>
      </c>
      <c r="C4379" s="66" t="s">
        <v>5030</v>
      </c>
      <c r="D4379" s="11">
        <v>24203.14</v>
      </c>
      <c r="E4379" s="11">
        <v>24203.14</v>
      </c>
      <c r="F4379" s="3">
        <v>41619</v>
      </c>
      <c r="G4379" s="2"/>
      <c r="H4379" s="3">
        <v>43053</v>
      </c>
      <c r="I4379" s="2" t="s">
        <v>19506</v>
      </c>
      <c r="J4379" s="2" t="s">
        <v>13904</v>
      </c>
      <c r="K4379" s="2" t="s">
        <v>19213</v>
      </c>
      <c r="L4379" s="82" t="s">
        <v>19512</v>
      </c>
    </row>
    <row r="4380" spans="1:12" ht="96" customHeight="1" x14ac:dyDescent="0.3">
      <c r="A4380" s="2">
        <v>4376</v>
      </c>
      <c r="B4380" s="66" t="s">
        <v>5029</v>
      </c>
      <c r="C4380" s="66" t="s">
        <v>5031</v>
      </c>
      <c r="D4380" s="11">
        <v>24203.14</v>
      </c>
      <c r="E4380" s="11">
        <v>24203.14</v>
      </c>
      <c r="F4380" s="3">
        <v>41619</v>
      </c>
      <c r="G4380" s="2"/>
      <c r="H4380" s="3">
        <v>43053</v>
      </c>
      <c r="I4380" s="2" t="s">
        <v>19506</v>
      </c>
      <c r="J4380" s="2" t="s">
        <v>13904</v>
      </c>
      <c r="K4380" s="2" t="s">
        <v>19213</v>
      </c>
      <c r="L4380" s="82" t="s">
        <v>19512</v>
      </c>
    </row>
    <row r="4381" spans="1:12" ht="96" customHeight="1" x14ac:dyDescent="0.3">
      <c r="A4381" s="2">
        <v>4377</v>
      </c>
      <c r="B4381" s="66" t="s">
        <v>5029</v>
      </c>
      <c r="C4381" s="66" t="s">
        <v>5032</v>
      </c>
      <c r="D4381" s="11">
        <v>24203.14</v>
      </c>
      <c r="E4381" s="11">
        <v>24203.14</v>
      </c>
      <c r="F4381" s="3">
        <v>41619</v>
      </c>
      <c r="G4381" s="2"/>
      <c r="H4381" s="3">
        <v>43053</v>
      </c>
      <c r="I4381" s="2" t="s">
        <v>19506</v>
      </c>
      <c r="J4381" s="2" t="s">
        <v>13904</v>
      </c>
      <c r="K4381" s="2" t="s">
        <v>19213</v>
      </c>
      <c r="L4381" s="82" t="s">
        <v>19512</v>
      </c>
    </row>
    <row r="4382" spans="1:12" ht="96" customHeight="1" x14ac:dyDescent="0.3">
      <c r="A4382" s="2">
        <v>4378</v>
      </c>
      <c r="B4382" s="66" t="s">
        <v>5029</v>
      </c>
      <c r="C4382" s="66" t="s">
        <v>5033</v>
      </c>
      <c r="D4382" s="11">
        <v>24203.14</v>
      </c>
      <c r="E4382" s="11">
        <v>24203.14</v>
      </c>
      <c r="F4382" s="3">
        <v>41619</v>
      </c>
      <c r="G4382" s="2"/>
      <c r="H4382" s="3">
        <v>43053</v>
      </c>
      <c r="I4382" s="2" t="s">
        <v>19506</v>
      </c>
      <c r="J4382" s="2" t="s">
        <v>13904</v>
      </c>
      <c r="K4382" s="2" t="s">
        <v>19213</v>
      </c>
      <c r="L4382" s="82" t="s">
        <v>19512</v>
      </c>
    </row>
    <row r="4383" spans="1:12" ht="96" customHeight="1" x14ac:dyDescent="0.3">
      <c r="A4383" s="2">
        <v>4379</v>
      </c>
      <c r="B4383" s="66" t="s">
        <v>5029</v>
      </c>
      <c r="C4383" s="66" t="s">
        <v>5034</v>
      </c>
      <c r="D4383" s="11">
        <v>24203.14</v>
      </c>
      <c r="E4383" s="11">
        <v>24203.14</v>
      </c>
      <c r="F4383" s="3">
        <v>41619</v>
      </c>
      <c r="G4383" s="2"/>
      <c r="H4383" s="3">
        <v>43053</v>
      </c>
      <c r="I4383" s="2" t="s">
        <v>19506</v>
      </c>
      <c r="J4383" s="2" t="s">
        <v>13904</v>
      </c>
      <c r="K4383" s="2" t="s">
        <v>19213</v>
      </c>
      <c r="L4383" s="82" t="s">
        <v>19512</v>
      </c>
    </row>
    <row r="4384" spans="1:12" ht="96" customHeight="1" x14ac:dyDescent="0.3">
      <c r="A4384" s="2">
        <v>4380</v>
      </c>
      <c r="B4384" s="66" t="s">
        <v>5029</v>
      </c>
      <c r="C4384" s="66" t="s">
        <v>5035</v>
      </c>
      <c r="D4384" s="11">
        <v>24203.14</v>
      </c>
      <c r="E4384" s="11">
        <v>24203.14</v>
      </c>
      <c r="F4384" s="3">
        <v>41619</v>
      </c>
      <c r="G4384" s="2"/>
      <c r="H4384" s="3">
        <v>43053</v>
      </c>
      <c r="I4384" s="2" t="s">
        <v>19506</v>
      </c>
      <c r="J4384" s="2" t="s">
        <v>13904</v>
      </c>
      <c r="K4384" s="2" t="s">
        <v>19213</v>
      </c>
      <c r="L4384" s="82" t="s">
        <v>19512</v>
      </c>
    </row>
    <row r="4385" spans="1:12" ht="96" customHeight="1" x14ac:dyDescent="0.3">
      <c r="A4385" s="2">
        <v>4381</v>
      </c>
      <c r="B4385" s="66" t="s">
        <v>5029</v>
      </c>
      <c r="C4385" s="66" t="s">
        <v>5036</v>
      </c>
      <c r="D4385" s="11">
        <v>24203.14</v>
      </c>
      <c r="E4385" s="11">
        <v>24203.14</v>
      </c>
      <c r="F4385" s="3">
        <v>41619</v>
      </c>
      <c r="G4385" s="2"/>
      <c r="H4385" s="3">
        <v>43053</v>
      </c>
      <c r="I4385" s="2" t="s">
        <v>19506</v>
      </c>
      <c r="J4385" s="2" t="s">
        <v>13904</v>
      </c>
      <c r="K4385" s="2" t="s">
        <v>19213</v>
      </c>
      <c r="L4385" s="82" t="s">
        <v>19512</v>
      </c>
    </row>
    <row r="4386" spans="1:12" ht="96" customHeight="1" x14ac:dyDescent="0.3">
      <c r="A4386" s="2">
        <v>4382</v>
      </c>
      <c r="B4386" s="66" t="s">
        <v>5029</v>
      </c>
      <c r="C4386" s="66" t="s">
        <v>5037</v>
      </c>
      <c r="D4386" s="11">
        <v>24203.14</v>
      </c>
      <c r="E4386" s="11">
        <v>24203.14</v>
      </c>
      <c r="F4386" s="3">
        <v>41619</v>
      </c>
      <c r="G4386" s="2"/>
      <c r="H4386" s="3">
        <v>43053</v>
      </c>
      <c r="I4386" s="2" t="s">
        <v>19506</v>
      </c>
      <c r="J4386" s="2" t="s">
        <v>13904</v>
      </c>
      <c r="K4386" s="2" t="s">
        <v>19213</v>
      </c>
      <c r="L4386" s="82" t="s">
        <v>19512</v>
      </c>
    </row>
    <row r="4387" spans="1:12" ht="96" customHeight="1" x14ac:dyDescent="0.3">
      <c r="A4387" s="2">
        <v>4383</v>
      </c>
      <c r="B4387" s="66" t="s">
        <v>5029</v>
      </c>
      <c r="C4387" s="66" t="s">
        <v>5038</v>
      </c>
      <c r="D4387" s="11">
        <v>24203.14</v>
      </c>
      <c r="E4387" s="11">
        <v>24203.14</v>
      </c>
      <c r="F4387" s="3">
        <v>41619</v>
      </c>
      <c r="G4387" s="2"/>
      <c r="H4387" s="3">
        <v>43053</v>
      </c>
      <c r="I4387" s="2" t="s">
        <v>19506</v>
      </c>
      <c r="J4387" s="2" t="s">
        <v>13904</v>
      </c>
      <c r="K4387" s="2" t="s">
        <v>19213</v>
      </c>
      <c r="L4387" s="82" t="s">
        <v>19512</v>
      </c>
    </row>
    <row r="4388" spans="1:12" ht="96" customHeight="1" x14ac:dyDescent="0.3">
      <c r="A4388" s="2">
        <v>4384</v>
      </c>
      <c r="B4388" s="66" t="s">
        <v>5029</v>
      </c>
      <c r="C4388" s="66" t="s">
        <v>5039</v>
      </c>
      <c r="D4388" s="11">
        <v>24203.14</v>
      </c>
      <c r="E4388" s="11">
        <v>24203.14</v>
      </c>
      <c r="F4388" s="3">
        <v>41619</v>
      </c>
      <c r="G4388" s="2"/>
      <c r="H4388" s="3">
        <v>43053</v>
      </c>
      <c r="I4388" s="2" t="s">
        <v>19506</v>
      </c>
      <c r="J4388" s="2" t="s">
        <v>13904</v>
      </c>
      <c r="K4388" s="2" t="s">
        <v>19213</v>
      </c>
      <c r="L4388" s="82" t="s">
        <v>19512</v>
      </c>
    </row>
    <row r="4389" spans="1:12" ht="96" customHeight="1" x14ac:dyDescent="0.3">
      <c r="A4389" s="2">
        <v>4385</v>
      </c>
      <c r="B4389" s="66" t="s">
        <v>5029</v>
      </c>
      <c r="C4389" s="66" t="s">
        <v>5040</v>
      </c>
      <c r="D4389" s="11">
        <v>24203.14</v>
      </c>
      <c r="E4389" s="11">
        <v>24203.14</v>
      </c>
      <c r="F4389" s="3">
        <v>41619</v>
      </c>
      <c r="G4389" s="2"/>
      <c r="H4389" s="3">
        <v>43053</v>
      </c>
      <c r="I4389" s="2" t="s">
        <v>19506</v>
      </c>
      <c r="J4389" s="2" t="s">
        <v>13904</v>
      </c>
      <c r="K4389" s="2" t="s">
        <v>19213</v>
      </c>
      <c r="L4389" s="82" t="s">
        <v>19512</v>
      </c>
    </row>
    <row r="4390" spans="1:12" ht="96" customHeight="1" x14ac:dyDescent="0.3">
      <c r="A4390" s="2">
        <v>4386</v>
      </c>
      <c r="B4390" s="66" t="s">
        <v>5029</v>
      </c>
      <c r="C4390" s="66" t="s">
        <v>5041</v>
      </c>
      <c r="D4390" s="11">
        <v>24203.14</v>
      </c>
      <c r="E4390" s="11">
        <v>24203.14</v>
      </c>
      <c r="F4390" s="3">
        <v>41619</v>
      </c>
      <c r="G4390" s="2"/>
      <c r="H4390" s="3">
        <v>43053</v>
      </c>
      <c r="I4390" s="2" t="s">
        <v>19506</v>
      </c>
      <c r="J4390" s="2" t="s">
        <v>13904</v>
      </c>
      <c r="K4390" s="2" t="s">
        <v>19213</v>
      </c>
      <c r="L4390" s="82" t="s">
        <v>19512</v>
      </c>
    </row>
    <row r="4391" spans="1:12" ht="96" customHeight="1" x14ac:dyDescent="0.3">
      <c r="A4391" s="2">
        <v>4387</v>
      </c>
      <c r="B4391" s="66" t="s">
        <v>5029</v>
      </c>
      <c r="C4391" s="66" t="s">
        <v>5042</v>
      </c>
      <c r="D4391" s="11">
        <v>24203.14</v>
      </c>
      <c r="E4391" s="11">
        <v>24203.14</v>
      </c>
      <c r="F4391" s="3">
        <v>41619</v>
      </c>
      <c r="G4391" s="2"/>
      <c r="H4391" s="3">
        <v>43053</v>
      </c>
      <c r="I4391" s="2" t="s">
        <v>19506</v>
      </c>
      <c r="J4391" s="2" t="s">
        <v>13904</v>
      </c>
      <c r="K4391" s="2" t="s">
        <v>19213</v>
      </c>
      <c r="L4391" s="82" t="s">
        <v>19512</v>
      </c>
    </row>
    <row r="4392" spans="1:12" ht="96" customHeight="1" x14ac:dyDescent="0.3">
      <c r="A4392" s="2">
        <v>4388</v>
      </c>
      <c r="B4392" s="66" t="s">
        <v>5043</v>
      </c>
      <c r="C4392" s="66" t="s">
        <v>5044</v>
      </c>
      <c r="D4392" s="11">
        <v>23900</v>
      </c>
      <c r="E4392" s="11">
        <v>23900</v>
      </c>
      <c r="F4392" s="3">
        <v>41619</v>
      </c>
      <c r="G4392" s="2"/>
      <c r="H4392" s="3">
        <v>43053</v>
      </c>
      <c r="I4392" s="2" t="s">
        <v>19506</v>
      </c>
      <c r="J4392" s="2" t="s">
        <v>13904</v>
      </c>
      <c r="K4392" s="2" t="s">
        <v>19213</v>
      </c>
      <c r="L4392" s="82" t="s">
        <v>19512</v>
      </c>
    </row>
    <row r="4393" spans="1:12" ht="96" customHeight="1" x14ac:dyDescent="0.3">
      <c r="A4393" s="2">
        <v>4389</v>
      </c>
      <c r="B4393" s="66" t="s">
        <v>5045</v>
      </c>
      <c r="C4393" s="66" t="s">
        <v>5046</v>
      </c>
      <c r="D4393" s="11">
        <v>12250</v>
      </c>
      <c r="E4393" s="11">
        <v>12250</v>
      </c>
      <c r="F4393" s="3">
        <v>41619</v>
      </c>
      <c r="G4393" s="2"/>
      <c r="H4393" s="3">
        <v>43053</v>
      </c>
      <c r="I4393" s="2" t="s">
        <v>19506</v>
      </c>
      <c r="J4393" s="2" t="s">
        <v>13904</v>
      </c>
      <c r="K4393" s="2" t="s">
        <v>19213</v>
      </c>
      <c r="L4393" s="82" t="s">
        <v>19512</v>
      </c>
    </row>
    <row r="4394" spans="1:12" ht="96" customHeight="1" x14ac:dyDescent="0.3">
      <c r="A4394" s="2">
        <v>4390</v>
      </c>
      <c r="B4394" s="66" t="s">
        <v>5047</v>
      </c>
      <c r="C4394" s="66" t="s">
        <v>5048</v>
      </c>
      <c r="D4394" s="11">
        <v>38584</v>
      </c>
      <c r="E4394" s="11">
        <v>38584</v>
      </c>
      <c r="F4394" s="3">
        <v>41619</v>
      </c>
      <c r="G4394" s="2"/>
      <c r="H4394" s="3">
        <v>43053</v>
      </c>
      <c r="I4394" s="2" t="s">
        <v>19506</v>
      </c>
      <c r="J4394" s="2" t="s">
        <v>13904</v>
      </c>
      <c r="K4394" s="2" t="s">
        <v>19213</v>
      </c>
      <c r="L4394" s="82" t="s">
        <v>19512</v>
      </c>
    </row>
    <row r="4395" spans="1:12" ht="96" customHeight="1" x14ac:dyDescent="0.3">
      <c r="A4395" s="2">
        <v>4391</v>
      </c>
      <c r="B4395" s="66" t="s">
        <v>5049</v>
      </c>
      <c r="C4395" s="66" t="s">
        <v>5050</v>
      </c>
      <c r="D4395" s="11">
        <v>38749</v>
      </c>
      <c r="E4395" s="11">
        <v>38749</v>
      </c>
      <c r="F4395" s="3">
        <v>41619</v>
      </c>
      <c r="G4395" s="2"/>
      <c r="H4395" s="3">
        <v>43053</v>
      </c>
      <c r="I4395" s="2" t="s">
        <v>19506</v>
      </c>
      <c r="J4395" s="2" t="s">
        <v>13904</v>
      </c>
      <c r="K4395" s="2" t="s">
        <v>19213</v>
      </c>
      <c r="L4395" s="82" t="s">
        <v>19512</v>
      </c>
    </row>
    <row r="4396" spans="1:12" ht="96" customHeight="1" x14ac:dyDescent="0.3">
      <c r="A4396" s="2">
        <v>4392</v>
      </c>
      <c r="B4396" s="66" t="s">
        <v>5049</v>
      </c>
      <c r="C4396" s="66" t="s">
        <v>5051</v>
      </c>
      <c r="D4396" s="11">
        <v>38749</v>
      </c>
      <c r="E4396" s="11">
        <v>38749</v>
      </c>
      <c r="F4396" s="3">
        <v>41619</v>
      </c>
      <c r="G4396" s="2"/>
      <c r="H4396" s="3">
        <v>43053</v>
      </c>
      <c r="I4396" s="2" t="s">
        <v>19506</v>
      </c>
      <c r="J4396" s="2" t="s">
        <v>13904</v>
      </c>
      <c r="K4396" s="2" t="s">
        <v>19213</v>
      </c>
      <c r="L4396" s="82" t="s">
        <v>19512</v>
      </c>
    </row>
    <row r="4397" spans="1:12" ht="96" customHeight="1" x14ac:dyDescent="0.3">
      <c r="A4397" s="2">
        <v>4393</v>
      </c>
      <c r="B4397" s="66" t="s">
        <v>5049</v>
      </c>
      <c r="C4397" s="66" t="s">
        <v>5052</v>
      </c>
      <c r="D4397" s="11">
        <v>38749</v>
      </c>
      <c r="E4397" s="11">
        <v>38749</v>
      </c>
      <c r="F4397" s="3">
        <v>41619</v>
      </c>
      <c r="G4397" s="2"/>
      <c r="H4397" s="3">
        <v>43053</v>
      </c>
      <c r="I4397" s="2" t="s">
        <v>19506</v>
      </c>
      <c r="J4397" s="2" t="s">
        <v>13904</v>
      </c>
      <c r="K4397" s="2" t="s">
        <v>19213</v>
      </c>
      <c r="L4397" s="82" t="s">
        <v>19512</v>
      </c>
    </row>
    <row r="4398" spans="1:12" ht="96" customHeight="1" x14ac:dyDescent="0.3">
      <c r="A4398" s="2">
        <v>4394</v>
      </c>
      <c r="B4398" s="66" t="s">
        <v>5049</v>
      </c>
      <c r="C4398" s="66" t="s">
        <v>5053</v>
      </c>
      <c r="D4398" s="11">
        <v>38749</v>
      </c>
      <c r="E4398" s="11">
        <v>38749</v>
      </c>
      <c r="F4398" s="3">
        <v>41619</v>
      </c>
      <c r="G4398" s="2"/>
      <c r="H4398" s="3">
        <v>43053</v>
      </c>
      <c r="I4398" s="2" t="s">
        <v>19506</v>
      </c>
      <c r="J4398" s="2" t="s">
        <v>13904</v>
      </c>
      <c r="K4398" s="2" t="s">
        <v>19213</v>
      </c>
      <c r="L4398" s="82" t="s">
        <v>19512</v>
      </c>
    </row>
    <row r="4399" spans="1:12" ht="96" customHeight="1" x14ac:dyDescent="0.3">
      <c r="A4399" s="2">
        <v>4395</v>
      </c>
      <c r="B4399" s="66" t="s">
        <v>5054</v>
      </c>
      <c r="C4399" s="66" t="s">
        <v>5055</v>
      </c>
      <c r="D4399" s="11">
        <v>4586</v>
      </c>
      <c r="E4399" s="11">
        <v>4586</v>
      </c>
      <c r="F4399" s="3">
        <v>41619</v>
      </c>
      <c r="G4399" s="2"/>
      <c r="H4399" s="3">
        <v>43053</v>
      </c>
      <c r="I4399" s="2" t="s">
        <v>19506</v>
      </c>
      <c r="J4399" s="2" t="s">
        <v>13904</v>
      </c>
      <c r="K4399" s="2" t="s">
        <v>19213</v>
      </c>
      <c r="L4399" s="82" t="s">
        <v>19512</v>
      </c>
    </row>
    <row r="4400" spans="1:12" ht="96" customHeight="1" x14ac:dyDescent="0.3">
      <c r="A4400" s="2">
        <v>4396</v>
      </c>
      <c r="B4400" s="66" t="s">
        <v>5054</v>
      </c>
      <c r="C4400" s="66" t="s">
        <v>5056</v>
      </c>
      <c r="D4400" s="11">
        <v>4586</v>
      </c>
      <c r="E4400" s="11">
        <v>4586</v>
      </c>
      <c r="F4400" s="3">
        <v>41619</v>
      </c>
      <c r="G4400" s="2"/>
      <c r="H4400" s="3">
        <v>43053</v>
      </c>
      <c r="I4400" s="2" t="s">
        <v>19506</v>
      </c>
      <c r="J4400" s="2" t="s">
        <v>13904</v>
      </c>
      <c r="K4400" s="2" t="s">
        <v>19213</v>
      </c>
      <c r="L4400" s="82" t="s">
        <v>19512</v>
      </c>
    </row>
    <row r="4401" spans="1:12" ht="96" customHeight="1" x14ac:dyDescent="0.3">
      <c r="A4401" s="2">
        <v>4397</v>
      </c>
      <c r="B4401" s="66" t="s">
        <v>5054</v>
      </c>
      <c r="C4401" s="66" t="s">
        <v>5057</v>
      </c>
      <c r="D4401" s="11">
        <v>4586</v>
      </c>
      <c r="E4401" s="11">
        <v>4586</v>
      </c>
      <c r="F4401" s="3">
        <v>41619</v>
      </c>
      <c r="G4401" s="2"/>
      <c r="H4401" s="3">
        <v>43053</v>
      </c>
      <c r="I4401" s="2" t="s">
        <v>19506</v>
      </c>
      <c r="J4401" s="2" t="s">
        <v>13904</v>
      </c>
      <c r="K4401" s="2" t="s">
        <v>19213</v>
      </c>
      <c r="L4401" s="82" t="s">
        <v>19512</v>
      </c>
    </row>
    <row r="4402" spans="1:12" ht="96" customHeight="1" x14ac:dyDescent="0.3">
      <c r="A4402" s="2">
        <v>4398</v>
      </c>
      <c r="B4402" s="66" t="s">
        <v>5054</v>
      </c>
      <c r="C4402" s="66" t="s">
        <v>5058</v>
      </c>
      <c r="D4402" s="11">
        <v>4586</v>
      </c>
      <c r="E4402" s="11">
        <v>4586</v>
      </c>
      <c r="F4402" s="3">
        <v>41619</v>
      </c>
      <c r="G4402" s="2"/>
      <c r="H4402" s="3">
        <v>43053</v>
      </c>
      <c r="I4402" s="2" t="s">
        <v>19506</v>
      </c>
      <c r="J4402" s="2" t="s">
        <v>13904</v>
      </c>
      <c r="K4402" s="2" t="s">
        <v>19213</v>
      </c>
      <c r="L4402" s="82" t="s">
        <v>19512</v>
      </c>
    </row>
    <row r="4403" spans="1:12" ht="96" customHeight="1" x14ac:dyDescent="0.3">
      <c r="A4403" s="2">
        <v>4399</v>
      </c>
      <c r="B4403" s="66" t="s">
        <v>5059</v>
      </c>
      <c r="C4403" s="66" t="s">
        <v>5060</v>
      </c>
      <c r="D4403" s="11">
        <v>11760</v>
      </c>
      <c r="E4403" s="11">
        <v>11760</v>
      </c>
      <c r="F4403" s="3">
        <v>41619</v>
      </c>
      <c r="G4403" s="2"/>
      <c r="H4403" s="3">
        <v>43053</v>
      </c>
      <c r="I4403" s="2" t="s">
        <v>19506</v>
      </c>
      <c r="J4403" s="2" t="s">
        <v>13904</v>
      </c>
      <c r="K4403" s="2" t="s">
        <v>19213</v>
      </c>
      <c r="L4403" s="82" t="s">
        <v>19512</v>
      </c>
    </row>
    <row r="4404" spans="1:12" ht="96" customHeight="1" x14ac:dyDescent="0.3">
      <c r="A4404" s="2">
        <v>4400</v>
      </c>
      <c r="B4404" s="66" t="s">
        <v>5061</v>
      </c>
      <c r="C4404" s="66" t="s">
        <v>5062</v>
      </c>
      <c r="D4404" s="11">
        <v>3490</v>
      </c>
      <c r="E4404" s="11">
        <v>3490</v>
      </c>
      <c r="F4404" s="3">
        <v>41619</v>
      </c>
      <c r="G4404" s="2"/>
      <c r="H4404" s="3">
        <v>43053</v>
      </c>
      <c r="I4404" s="2" t="s">
        <v>19506</v>
      </c>
      <c r="J4404" s="2" t="s">
        <v>13904</v>
      </c>
      <c r="K4404" s="2" t="s">
        <v>19213</v>
      </c>
      <c r="L4404" s="82" t="s">
        <v>19512</v>
      </c>
    </row>
    <row r="4405" spans="1:12" ht="96" customHeight="1" x14ac:dyDescent="0.3">
      <c r="A4405" s="2">
        <v>4401</v>
      </c>
      <c r="B4405" s="66" t="s">
        <v>5063</v>
      </c>
      <c r="C4405" s="66" t="s">
        <v>5064</v>
      </c>
      <c r="D4405" s="11">
        <v>30638</v>
      </c>
      <c r="E4405" s="11">
        <v>30638</v>
      </c>
      <c r="F4405" s="3">
        <v>41619</v>
      </c>
      <c r="G4405" s="2"/>
      <c r="H4405" s="3">
        <v>43053</v>
      </c>
      <c r="I4405" s="2" t="s">
        <v>19506</v>
      </c>
      <c r="J4405" s="2" t="s">
        <v>13904</v>
      </c>
      <c r="K4405" s="2" t="s">
        <v>19213</v>
      </c>
      <c r="L4405" s="82" t="s">
        <v>19512</v>
      </c>
    </row>
    <row r="4406" spans="1:12" ht="96" customHeight="1" x14ac:dyDescent="0.3">
      <c r="A4406" s="2">
        <v>4402</v>
      </c>
      <c r="B4406" s="66" t="s">
        <v>5063</v>
      </c>
      <c r="C4406" s="66" t="s">
        <v>5065</v>
      </c>
      <c r="D4406" s="11">
        <v>30638</v>
      </c>
      <c r="E4406" s="11">
        <v>30638</v>
      </c>
      <c r="F4406" s="3">
        <v>41619</v>
      </c>
      <c r="G4406" s="2"/>
      <c r="H4406" s="3">
        <v>43053</v>
      </c>
      <c r="I4406" s="2" t="s">
        <v>19506</v>
      </c>
      <c r="J4406" s="2" t="s">
        <v>13904</v>
      </c>
      <c r="K4406" s="2" t="s">
        <v>19213</v>
      </c>
      <c r="L4406" s="82" t="s">
        <v>19512</v>
      </c>
    </row>
    <row r="4407" spans="1:12" ht="96" customHeight="1" x14ac:dyDescent="0.3">
      <c r="A4407" s="2">
        <v>4403</v>
      </c>
      <c r="B4407" s="66" t="s">
        <v>5066</v>
      </c>
      <c r="C4407" s="66" t="s">
        <v>5067</v>
      </c>
      <c r="D4407" s="11">
        <v>8600</v>
      </c>
      <c r="E4407" s="11">
        <v>8600</v>
      </c>
      <c r="F4407" s="3">
        <v>41619</v>
      </c>
      <c r="G4407" s="2"/>
      <c r="H4407" s="3">
        <v>43053</v>
      </c>
      <c r="I4407" s="2" t="s">
        <v>19506</v>
      </c>
      <c r="J4407" s="2" t="s">
        <v>13904</v>
      </c>
      <c r="K4407" s="2" t="s">
        <v>19213</v>
      </c>
      <c r="L4407" s="82" t="s">
        <v>19512</v>
      </c>
    </row>
    <row r="4408" spans="1:12" ht="96" customHeight="1" x14ac:dyDescent="0.3">
      <c r="A4408" s="2">
        <v>4404</v>
      </c>
      <c r="B4408" s="66" t="s">
        <v>5068</v>
      </c>
      <c r="C4408" s="66" t="s">
        <v>3459</v>
      </c>
      <c r="D4408" s="11">
        <v>27100</v>
      </c>
      <c r="E4408" s="11">
        <v>27100</v>
      </c>
      <c r="F4408" s="3">
        <v>41913</v>
      </c>
      <c r="G4408" s="2"/>
      <c r="H4408" s="3">
        <v>43053</v>
      </c>
      <c r="I4408" s="2" t="s">
        <v>19506</v>
      </c>
      <c r="J4408" s="2" t="s">
        <v>13904</v>
      </c>
      <c r="K4408" s="2" t="s">
        <v>19213</v>
      </c>
      <c r="L4408" s="82" t="s">
        <v>19512</v>
      </c>
    </row>
    <row r="4409" spans="1:12" ht="96" customHeight="1" x14ac:dyDescent="0.3">
      <c r="A4409" s="2">
        <v>4405</v>
      </c>
      <c r="B4409" s="66" t="s">
        <v>5069</v>
      </c>
      <c r="C4409" s="66" t="s">
        <v>3790</v>
      </c>
      <c r="D4409" s="11">
        <v>25917</v>
      </c>
      <c r="E4409" s="11">
        <v>25917</v>
      </c>
      <c r="F4409" s="3">
        <v>41981</v>
      </c>
      <c r="G4409" s="2"/>
      <c r="H4409" s="3">
        <v>43053</v>
      </c>
      <c r="I4409" s="2" t="s">
        <v>19506</v>
      </c>
      <c r="J4409" s="2" t="s">
        <v>13904</v>
      </c>
      <c r="K4409" s="2" t="s">
        <v>19213</v>
      </c>
      <c r="L4409" s="82" t="s">
        <v>19512</v>
      </c>
    </row>
    <row r="4410" spans="1:12" ht="96" customHeight="1" x14ac:dyDescent="0.3">
      <c r="A4410" s="2">
        <v>4406</v>
      </c>
      <c r="B4410" s="66" t="s">
        <v>5070</v>
      </c>
      <c r="C4410" s="66" t="s">
        <v>4904</v>
      </c>
      <c r="D4410" s="11">
        <v>36700</v>
      </c>
      <c r="E4410" s="11">
        <v>36700</v>
      </c>
      <c r="F4410" s="3">
        <v>41988</v>
      </c>
      <c r="G4410" s="2"/>
      <c r="H4410" s="3">
        <v>43053</v>
      </c>
      <c r="I4410" s="2" t="s">
        <v>19506</v>
      </c>
      <c r="J4410" s="2" t="s">
        <v>13904</v>
      </c>
      <c r="K4410" s="2" t="s">
        <v>19213</v>
      </c>
      <c r="L4410" s="82" t="s">
        <v>19512</v>
      </c>
    </row>
    <row r="4411" spans="1:12" ht="96" customHeight="1" x14ac:dyDescent="0.3">
      <c r="A4411" s="2">
        <v>4407</v>
      </c>
      <c r="B4411" s="66" t="s">
        <v>5071</v>
      </c>
      <c r="C4411" s="66" t="s">
        <v>5072</v>
      </c>
      <c r="D4411" s="11">
        <v>35100</v>
      </c>
      <c r="E4411" s="11">
        <v>35100</v>
      </c>
      <c r="F4411" s="3">
        <v>41988</v>
      </c>
      <c r="G4411" s="2"/>
      <c r="H4411" s="3">
        <v>43053</v>
      </c>
      <c r="I4411" s="2" t="s">
        <v>19506</v>
      </c>
      <c r="J4411" s="2" t="s">
        <v>13904</v>
      </c>
      <c r="K4411" s="2" t="s">
        <v>19213</v>
      </c>
      <c r="L4411" s="82" t="s">
        <v>19512</v>
      </c>
    </row>
    <row r="4412" spans="1:12" ht="96" customHeight="1" x14ac:dyDescent="0.3">
      <c r="A4412" s="2">
        <v>4408</v>
      </c>
      <c r="B4412" s="66" t="s">
        <v>5073</v>
      </c>
      <c r="C4412" s="66" t="s">
        <v>5074</v>
      </c>
      <c r="D4412" s="11">
        <v>7900</v>
      </c>
      <c r="E4412" s="11">
        <v>7900</v>
      </c>
      <c r="F4412" s="3">
        <v>41988</v>
      </c>
      <c r="G4412" s="2"/>
      <c r="H4412" s="3">
        <v>43053</v>
      </c>
      <c r="I4412" s="2" t="s">
        <v>19506</v>
      </c>
      <c r="J4412" s="2" t="s">
        <v>13904</v>
      </c>
      <c r="K4412" s="2" t="s">
        <v>19213</v>
      </c>
      <c r="L4412" s="82" t="s">
        <v>19512</v>
      </c>
    </row>
    <row r="4413" spans="1:12" ht="96" customHeight="1" x14ac:dyDescent="0.3">
      <c r="A4413" s="2">
        <v>4409</v>
      </c>
      <c r="B4413" s="66" t="s">
        <v>5075</v>
      </c>
      <c r="C4413" s="66" t="s">
        <v>4674</v>
      </c>
      <c r="D4413" s="11">
        <v>9430.56</v>
      </c>
      <c r="E4413" s="11">
        <v>9430.56</v>
      </c>
      <c r="F4413" s="3">
        <v>41115</v>
      </c>
      <c r="G4413" s="2"/>
      <c r="H4413" s="3">
        <v>43053</v>
      </c>
      <c r="I4413" s="2" t="s">
        <v>19506</v>
      </c>
      <c r="J4413" s="2" t="s">
        <v>13904</v>
      </c>
      <c r="K4413" s="2" t="s">
        <v>19213</v>
      </c>
      <c r="L4413" s="82" t="s">
        <v>19512</v>
      </c>
    </row>
    <row r="4414" spans="1:12" ht="96" customHeight="1" x14ac:dyDescent="0.3">
      <c r="A4414" s="2">
        <v>4410</v>
      </c>
      <c r="B4414" s="66" t="s">
        <v>5076</v>
      </c>
      <c r="C4414" s="66" t="s">
        <v>5077</v>
      </c>
      <c r="D4414" s="11">
        <v>3500</v>
      </c>
      <c r="E4414" s="11">
        <v>3500</v>
      </c>
      <c r="F4414" s="3">
        <v>42068</v>
      </c>
      <c r="G4414" s="2"/>
      <c r="H4414" s="3">
        <v>43053</v>
      </c>
      <c r="I4414" s="2" t="s">
        <v>19506</v>
      </c>
      <c r="J4414" s="2" t="s">
        <v>13904</v>
      </c>
      <c r="K4414" s="2" t="s">
        <v>19213</v>
      </c>
      <c r="L4414" s="82" t="s">
        <v>19512</v>
      </c>
    </row>
    <row r="4415" spans="1:12" ht="96" customHeight="1" x14ac:dyDescent="0.3">
      <c r="A4415" s="2">
        <v>4411</v>
      </c>
      <c r="B4415" s="66" t="s">
        <v>5078</v>
      </c>
      <c r="C4415" s="66" t="s">
        <v>3763</v>
      </c>
      <c r="D4415" s="11">
        <v>25917</v>
      </c>
      <c r="E4415" s="11">
        <v>25917</v>
      </c>
      <c r="F4415" s="3">
        <v>41981</v>
      </c>
      <c r="G4415" s="2"/>
      <c r="H4415" s="3">
        <v>43053</v>
      </c>
      <c r="I4415" s="2" t="s">
        <v>19506</v>
      </c>
      <c r="J4415" s="2" t="s">
        <v>13904</v>
      </c>
      <c r="K4415" s="2" t="s">
        <v>19213</v>
      </c>
      <c r="L4415" s="82" t="s">
        <v>19512</v>
      </c>
    </row>
    <row r="4416" spans="1:12" ht="96" customHeight="1" x14ac:dyDescent="0.3">
      <c r="A4416" s="2">
        <v>4412</v>
      </c>
      <c r="B4416" s="66" t="s">
        <v>5079</v>
      </c>
      <c r="C4416" s="66" t="s">
        <v>3840</v>
      </c>
      <c r="D4416" s="11">
        <v>26215</v>
      </c>
      <c r="E4416" s="11">
        <v>26215</v>
      </c>
      <c r="F4416" s="3">
        <v>41981</v>
      </c>
      <c r="G4416" s="2"/>
      <c r="H4416" s="3">
        <v>43053</v>
      </c>
      <c r="I4416" s="2" t="s">
        <v>19506</v>
      </c>
      <c r="J4416" s="2" t="s">
        <v>13904</v>
      </c>
      <c r="K4416" s="2" t="s">
        <v>19213</v>
      </c>
      <c r="L4416" s="82" t="s">
        <v>19512</v>
      </c>
    </row>
    <row r="4417" spans="1:12" ht="96" customHeight="1" x14ac:dyDescent="0.3">
      <c r="A4417" s="2">
        <v>4413</v>
      </c>
      <c r="B4417" s="66" t="s">
        <v>5080</v>
      </c>
      <c r="C4417" s="66" t="s">
        <v>3469</v>
      </c>
      <c r="D4417" s="11">
        <v>8100</v>
      </c>
      <c r="E4417" s="11">
        <v>8100</v>
      </c>
      <c r="F4417" s="3">
        <v>41981</v>
      </c>
      <c r="G4417" s="2"/>
      <c r="H4417" s="3">
        <v>43053</v>
      </c>
      <c r="I4417" s="2" t="s">
        <v>19506</v>
      </c>
      <c r="J4417" s="2" t="s">
        <v>13904</v>
      </c>
      <c r="K4417" s="2" t="s">
        <v>19213</v>
      </c>
      <c r="L4417" s="82" t="s">
        <v>19512</v>
      </c>
    </row>
    <row r="4418" spans="1:12" ht="96" customHeight="1" x14ac:dyDescent="0.3">
      <c r="A4418" s="2">
        <v>4414</v>
      </c>
      <c r="B4418" s="66" t="s">
        <v>5081</v>
      </c>
      <c r="C4418" s="66" t="s">
        <v>4906</v>
      </c>
      <c r="D4418" s="11">
        <v>4695</v>
      </c>
      <c r="E4418" s="11">
        <v>4695</v>
      </c>
      <c r="F4418" s="3">
        <v>41981</v>
      </c>
      <c r="G4418" s="2"/>
      <c r="H4418" s="3">
        <v>43053</v>
      </c>
      <c r="I4418" s="2" t="s">
        <v>19506</v>
      </c>
      <c r="J4418" s="2" t="s">
        <v>13904</v>
      </c>
      <c r="K4418" s="2" t="s">
        <v>19213</v>
      </c>
      <c r="L4418" s="82" t="s">
        <v>19512</v>
      </c>
    </row>
    <row r="4419" spans="1:12" ht="96" customHeight="1" x14ac:dyDescent="0.3">
      <c r="A4419" s="2">
        <v>4415</v>
      </c>
      <c r="B4419" s="66" t="s">
        <v>2899</v>
      </c>
      <c r="C4419" s="66" t="s">
        <v>4206</v>
      </c>
      <c r="D4419" s="11">
        <v>4766.55</v>
      </c>
      <c r="E4419" s="11">
        <v>4766.55</v>
      </c>
      <c r="F4419" s="3">
        <v>30114</v>
      </c>
      <c r="G4419" s="2"/>
      <c r="H4419" s="3">
        <v>43053</v>
      </c>
      <c r="I4419" s="2" t="s">
        <v>19506</v>
      </c>
      <c r="J4419" s="2" t="s">
        <v>13904</v>
      </c>
      <c r="K4419" s="2" t="s">
        <v>19213</v>
      </c>
      <c r="L4419" s="82" t="s">
        <v>19512</v>
      </c>
    </row>
    <row r="4420" spans="1:12" ht="96" customHeight="1" x14ac:dyDescent="0.3">
      <c r="A4420" s="2">
        <v>4416</v>
      </c>
      <c r="B4420" s="66" t="s">
        <v>1927</v>
      </c>
      <c r="C4420" s="66" t="s">
        <v>5082</v>
      </c>
      <c r="D4420" s="11">
        <v>7204</v>
      </c>
      <c r="E4420" s="11">
        <v>7204</v>
      </c>
      <c r="F4420" s="3">
        <v>39713</v>
      </c>
      <c r="G4420" s="2"/>
      <c r="H4420" s="3">
        <v>43053</v>
      </c>
      <c r="I4420" s="2" t="s">
        <v>19506</v>
      </c>
      <c r="J4420" s="2" t="s">
        <v>13904</v>
      </c>
      <c r="K4420" s="2" t="s">
        <v>19213</v>
      </c>
      <c r="L4420" s="82" t="s">
        <v>19512</v>
      </c>
    </row>
    <row r="4421" spans="1:12" ht="96" customHeight="1" x14ac:dyDescent="0.3">
      <c r="A4421" s="2">
        <v>4417</v>
      </c>
      <c r="B4421" s="66" t="s">
        <v>3777</v>
      </c>
      <c r="C4421" s="66" t="s">
        <v>5083</v>
      </c>
      <c r="D4421" s="11">
        <v>15600</v>
      </c>
      <c r="E4421" s="11">
        <v>15600</v>
      </c>
      <c r="F4421" s="3">
        <v>38729</v>
      </c>
      <c r="G4421" s="2"/>
      <c r="H4421" s="3">
        <v>43053</v>
      </c>
      <c r="I4421" s="2" t="s">
        <v>19506</v>
      </c>
      <c r="J4421" s="2" t="s">
        <v>13904</v>
      </c>
      <c r="K4421" s="2" t="s">
        <v>19213</v>
      </c>
      <c r="L4421" s="82" t="s">
        <v>19512</v>
      </c>
    </row>
    <row r="4422" spans="1:12" ht="96" customHeight="1" x14ac:dyDescent="0.3">
      <c r="A4422" s="2">
        <v>4418</v>
      </c>
      <c r="B4422" s="66" t="s">
        <v>3835</v>
      </c>
      <c r="C4422" s="66" t="s">
        <v>4585</v>
      </c>
      <c r="D4422" s="11">
        <v>20400</v>
      </c>
      <c r="E4422" s="11">
        <v>20400</v>
      </c>
      <c r="F4422" s="3">
        <v>38729</v>
      </c>
      <c r="G4422" s="2"/>
      <c r="H4422" s="3">
        <v>43053</v>
      </c>
      <c r="I4422" s="2" t="s">
        <v>19506</v>
      </c>
      <c r="J4422" s="2" t="s">
        <v>13904</v>
      </c>
      <c r="K4422" s="2" t="s">
        <v>19213</v>
      </c>
      <c r="L4422" s="82" t="s">
        <v>19512</v>
      </c>
    </row>
    <row r="4423" spans="1:12" ht="96" customHeight="1" x14ac:dyDescent="0.3">
      <c r="A4423" s="2">
        <v>4419</v>
      </c>
      <c r="B4423" s="66" t="s">
        <v>1203</v>
      </c>
      <c r="C4423" s="66" t="s">
        <v>5084</v>
      </c>
      <c r="D4423" s="11">
        <v>12648</v>
      </c>
      <c r="E4423" s="11">
        <v>12648</v>
      </c>
      <c r="F4423" s="3">
        <v>39065</v>
      </c>
      <c r="G4423" s="2"/>
      <c r="H4423" s="3">
        <v>43053</v>
      </c>
      <c r="I4423" s="2" t="s">
        <v>19506</v>
      </c>
      <c r="J4423" s="2" t="s">
        <v>13904</v>
      </c>
      <c r="K4423" s="2" t="s">
        <v>19213</v>
      </c>
      <c r="L4423" s="82" t="s">
        <v>19512</v>
      </c>
    </row>
    <row r="4424" spans="1:12" ht="96" customHeight="1" x14ac:dyDescent="0.3">
      <c r="A4424" s="2">
        <v>4420</v>
      </c>
      <c r="B4424" s="66" t="s">
        <v>5085</v>
      </c>
      <c r="C4424" s="66" t="s">
        <v>17953</v>
      </c>
      <c r="D4424" s="11">
        <v>27473.19</v>
      </c>
      <c r="E4424" s="11">
        <v>27473.19</v>
      </c>
      <c r="F4424" s="3">
        <v>32211</v>
      </c>
      <c r="G4424" s="2"/>
      <c r="H4424" s="3">
        <v>43053</v>
      </c>
      <c r="I4424" s="2" t="s">
        <v>19506</v>
      </c>
      <c r="J4424" s="2" t="s">
        <v>13904</v>
      </c>
      <c r="K4424" s="2" t="s">
        <v>19213</v>
      </c>
      <c r="L4424" s="82" t="s">
        <v>19512</v>
      </c>
    </row>
    <row r="4425" spans="1:12" ht="96" customHeight="1" x14ac:dyDescent="0.3">
      <c r="A4425" s="2">
        <v>4421</v>
      </c>
      <c r="B4425" s="66" t="s">
        <v>5086</v>
      </c>
      <c r="C4425" s="66" t="s">
        <v>5087</v>
      </c>
      <c r="D4425" s="11">
        <v>3621.66</v>
      </c>
      <c r="E4425" s="11">
        <v>3621.66</v>
      </c>
      <c r="F4425" s="3">
        <v>39253</v>
      </c>
      <c r="G4425" s="2"/>
      <c r="H4425" s="3">
        <v>43053</v>
      </c>
      <c r="I4425" s="2" t="s">
        <v>19506</v>
      </c>
      <c r="J4425" s="2" t="s">
        <v>13904</v>
      </c>
      <c r="K4425" s="2" t="s">
        <v>19213</v>
      </c>
      <c r="L4425" s="82" t="s">
        <v>19512</v>
      </c>
    </row>
    <row r="4426" spans="1:12" ht="96" customHeight="1" x14ac:dyDescent="0.3">
      <c r="A4426" s="2">
        <v>4422</v>
      </c>
      <c r="B4426" s="66" t="s">
        <v>5088</v>
      </c>
      <c r="C4426" s="66" t="s">
        <v>4685</v>
      </c>
      <c r="D4426" s="11">
        <v>3357.01</v>
      </c>
      <c r="E4426" s="11">
        <v>3357.01</v>
      </c>
      <c r="F4426" s="3">
        <v>39253</v>
      </c>
      <c r="G4426" s="2"/>
      <c r="H4426" s="3">
        <v>43053</v>
      </c>
      <c r="I4426" s="2" t="s">
        <v>19506</v>
      </c>
      <c r="J4426" s="2" t="s">
        <v>13904</v>
      </c>
      <c r="K4426" s="2" t="s">
        <v>19213</v>
      </c>
      <c r="L4426" s="82" t="s">
        <v>19512</v>
      </c>
    </row>
    <row r="4427" spans="1:12" ht="96" customHeight="1" x14ac:dyDescent="0.3">
      <c r="A4427" s="2">
        <v>4423</v>
      </c>
      <c r="B4427" s="66" t="s">
        <v>4935</v>
      </c>
      <c r="C4427" s="66" t="s">
        <v>4950</v>
      </c>
      <c r="D4427" s="11">
        <v>5000</v>
      </c>
      <c r="E4427" s="11">
        <v>5000</v>
      </c>
      <c r="F4427" s="3">
        <v>39442</v>
      </c>
      <c r="G4427" s="2"/>
      <c r="H4427" s="3">
        <v>43053</v>
      </c>
      <c r="I4427" s="2" t="s">
        <v>19506</v>
      </c>
      <c r="J4427" s="2" t="s">
        <v>13904</v>
      </c>
      <c r="K4427" s="2" t="s">
        <v>19213</v>
      </c>
      <c r="L4427" s="82" t="s">
        <v>19512</v>
      </c>
    </row>
    <row r="4428" spans="1:12" ht="96" customHeight="1" x14ac:dyDescent="0.3">
      <c r="A4428" s="2">
        <v>4424</v>
      </c>
      <c r="B4428" s="66" t="s">
        <v>5089</v>
      </c>
      <c r="C4428" s="66" t="s">
        <v>4081</v>
      </c>
      <c r="D4428" s="11">
        <v>3060</v>
      </c>
      <c r="E4428" s="11">
        <v>3060</v>
      </c>
      <c r="F4428" s="3">
        <v>39222</v>
      </c>
      <c r="G4428" s="2"/>
      <c r="H4428" s="3">
        <v>43053</v>
      </c>
      <c r="I4428" s="2" t="s">
        <v>19506</v>
      </c>
      <c r="J4428" s="2" t="s">
        <v>13904</v>
      </c>
      <c r="K4428" s="2" t="s">
        <v>19213</v>
      </c>
      <c r="L4428" s="82" t="s">
        <v>19512</v>
      </c>
    </row>
    <row r="4429" spans="1:12" ht="96" customHeight="1" x14ac:dyDescent="0.3">
      <c r="A4429" s="2">
        <v>4425</v>
      </c>
      <c r="B4429" s="66" t="s">
        <v>5090</v>
      </c>
      <c r="C4429" s="66" t="s">
        <v>3550</v>
      </c>
      <c r="D4429" s="11">
        <v>3175</v>
      </c>
      <c r="E4429" s="11">
        <v>3175</v>
      </c>
      <c r="F4429" s="3">
        <v>36872</v>
      </c>
      <c r="G4429" s="2"/>
      <c r="H4429" s="3">
        <v>43053</v>
      </c>
      <c r="I4429" s="2" t="s">
        <v>19506</v>
      </c>
      <c r="J4429" s="2" t="s">
        <v>13904</v>
      </c>
      <c r="K4429" s="2" t="s">
        <v>19213</v>
      </c>
      <c r="L4429" s="82" t="s">
        <v>19512</v>
      </c>
    </row>
    <row r="4430" spans="1:12" ht="96" customHeight="1" x14ac:dyDescent="0.3">
      <c r="A4430" s="2">
        <v>4426</v>
      </c>
      <c r="B4430" s="66" t="s">
        <v>3975</v>
      </c>
      <c r="C4430" s="66" t="s">
        <v>3551</v>
      </c>
      <c r="D4430" s="11">
        <v>3175</v>
      </c>
      <c r="E4430" s="11">
        <v>3175</v>
      </c>
      <c r="F4430" s="3">
        <v>36872</v>
      </c>
      <c r="G4430" s="2"/>
      <c r="H4430" s="3">
        <v>43053</v>
      </c>
      <c r="I4430" s="2" t="s">
        <v>19506</v>
      </c>
      <c r="J4430" s="2" t="s">
        <v>13904</v>
      </c>
      <c r="K4430" s="2" t="s">
        <v>19213</v>
      </c>
      <c r="L4430" s="82" t="s">
        <v>19512</v>
      </c>
    </row>
    <row r="4431" spans="1:12" ht="96" customHeight="1" x14ac:dyDescent="0.3">
      <c r="A4431" s="2">
        <v>4427</v>
      </c>
      <c r="B4431" s="66" t="s">
        <v>4940</v>
      </c>
      <c r="C4431" s="66" t="s">
        <v>4080</v>
      </c>
      <c r="D4431" s="11">
        <v>3180.08</v>
      </c>
      <c r="E4431" s="11">
        <v>3180.08</v>
      </c>
      <c r="F4431" s="3">
        <v>35925</v>
      </c>
      <c r="G4431" s="2"/>
      <c r="H4431" s="3">
        <v>43053</v>
      </c>
      <c r="I4431" s="2" t="s">
        <v>19506</v>
      </c>
      <c r="J4431" s="2" t="s">
        <v>13904</v>
      </c>
      <c r="K4431" s="2" t="s">
        <v>19213</v>
      </c>
      <c r="L4431" s="82" t="s">
        <v>19512</v>
      </c>
    </row>
    <row r="4432" spans="1:12" ht="96" customHeight="1" x14ac:dyDescent="0.3">
      <c r="A4432" s="2">
        <v>4428</v>
      </c>
      <c r="B4432" s="66" t="s">
        <v>5091</v>
      </c>
      <c r="C4432" s="66" t="s">
        <v>5092</v>
      </c>
      <c r="D4432" s="11">
        <v>18900</v>
      </c>
      <c r="E4432" s="11">
        <v>18900</v>
      </c>
      <c r="F4432" s="3">
        <v>41145</v>
      </c>
      <c r="G4432" s="2"/>
      <c r="H4432" s="3">
        <v>43053</v>
      </c>
      <c r="I4432" s="2" t="s">
        <v>19506</v>
      </c>
      <c r="J4432" s="2" t="s">
        <v>13904</v>
      </c>
      <c r="K4432" s="2" t="s">
        <v>19213</v>
      </c>
      <c r="L4432" s="82" t="s">
        <v>19512</v>
      </c>
    </row>
    <row r="4433" spans="1:12" ht="96" customHeight="1" x14ac:dyDescent="0.3">
      <c r="A4433" s="2">
        <v>4429</v>
      </c>
      <c r="B4433" s="66" t="s">
        <v>5093</v>
      </c>
      <c r="C4433" s="66" t="s">
        <v>5094</v>
      </c>
      <c r="D4433" s="11">
        <v>23500</v>
      </c>
      <c r="E4433" s="11">
        <v>23500</v>
      </c>
      <c r="F4433" s="3">
        <v>41145</v>
      </c>
      <c r="G4433" s="2"/>
      <c r="H4433" s="3">
        <v>43053</v>
      </c>
      <c r="I4433" s="2" t="s">
        <v>19506</v>
      </c>
      <c r="J4433" s="2" t="s">
        <v>13904</v>
      </c>
      <c r="K4433" s="2" t="s">
        <v>19213</v>
      </c>
      <c r="L4433" s="82" t="s">
        <v>19512</v>
      </c>
    </row>
    <row r="4434" spans="1:12" ht="96" customHeight="1" x14ac:dyDescent="0.3">
      <c r="A4434" s="2">
        <v>4430</v>
      </c>
      <c r="B4434" s="66" t="s">
        <v>4935</v>
      </c>
      <c r="C4434" s="66" t="s">
        <v>5095</v>
      </c>
      <c r="D4434" s="11">
        <v>5000</v>
      </c>
      <c r="E4434" s="11">
        <v>5000</v>
      </c>
      <c r="F4434" s="3">
        <v>39442</v>
      </c>
      <c r="G4434" s="2"/>
      <c r="H4434" s="3">
        <v>43053</v>
      </c>
      <c r="I4434" s="2" t="s">
        <v>19506</v>
      </c>
      <c r="J4434" s="2" t="s">
        <v>13904</v>
      </c>
      <c r="K4434" s="2" t="s">
        <v>19213</v>
      </c>
      <c r="L4434" s="82" t="s">
        <v>19512</v>
      </c>
    </row>
    <row r="4435" spans="1:12" ht="96" customHeight="1" x14ac:dyDescent="0.3">
      <c r="A4435" s="2">
        <v>4431</v>
      </c>
      <c r="B4435" s="66" t="s">
        <v>4935</v>
      </c>
      <c r="C4435" s="66" t="s">
        <v>4939</v>
      </c>
      <c r="D4435" s="11">
        <v>5000</v>
      </c>
      <c r="E4435" s="11">
        <v>5000</v>
      </c>
      <c r="F4435" s="3">
        <v>39442</v>
      </c>
      <c r="G4435" s="2"/>
      <c r="H4435" s="3">
        <v>43053</v>
      </c>
      <c r="I4435" s="2" t="s">
        <v>19506</v>
      </c>
      <c r="J4435" s="2" t="s">
        <v>13904</v>
      </c>
      <c r="K4435" s="2" t="s">
        <v>19213</v>
      </c>
      <c r="L4435" s="82" t="s">
        <v>19512</v>
      </c>
    </row>
    <row r="4436" spans="1:12" ht="96" customHeight="1" x14ac:dyDescent="0.3">
      <c r="A4436" s="2">
        <v>4432</v>
      </c>
      <c r="B4436" s="66" t="s">
        <v>5096</v>
      </c>
      <c r="C4436" s="66" t="s">
        <v>5097</v>
      </c>
      <c r="D4436" s="11">
        <v>4570.1400000000003</v>
      </c>
      <c r="E4436" s="11">
        <v>4570.1400000000003</v>
      </c>
      <c r="F4436" s="3">
        <v>41558</v>
      </c>
      <c r="G4436" s="2"/>
      <c r="H4436" s="3">
        <v>43053</v>
      </c>
      <c r="I4436" s="2" t="s">
        <v>19506</v>
      </c>
      <c r="J4436" s="2" t="s">
        <v>13904</v>
      </c>
      <c r="K4436" s="2" t="s">
        <v>19213</v>
      </c>
      <c r="L4436" s="82" t="s">
        <v>19512</v>
      </c>
    </row>
    <row r="4437" spans="1:12" ht="96" customHeight="1" x14ac:dyDescent="0.3">
      <c r="A4437" s="2">
        <v>4433</v>
      </c>
      <c r="B4437" s="66" t="s">
        <v>5096</v>
      </c>
      <c r="C4437" s="66" t="s">
        <v>5098</v>
      </c>
      <c r="D4437" s="11">
        <v>4570.1400000000003</v>
      </c>
      <c r="E4437" s="11">
        <v>4570.1400000000003</v>
      </c>
      <c r="F4437" s="3">
        <v>41558</v>
      </c>
      <c r="G4437" s="2"/>
      <c r="H4437" s="3">
        <v>43053</v>
      </c>
      <c r="I4437" s="2" t="s">
        <v>19506</v>
      </c>
      <c r="J4437" s="2" t="s">
        <v>13904</v>
      </c>
      <c r="K4437" s="2" t="s">
        <v>19213</v>
      </c>
      <c r="L4437" s="82" t="s">
        <v>19512</v>
      </c>
    </row>
    <row r="4438" spans="1:12" ht="96" customHeight="1" x14ac:dyDescent="0.3">
      <c r="A4438" s="2">
        <v>4434</v>
      </c>
      <c r="B4438" s="66" t="s">
        <v>5099</v>
      </c>
      <c r="C4438" s="66" t="s">
        <v>5100</v>
      </c>
      <c r="D4438" s="11">
        <v>4380.16</v>
      </c>
      <c r="E4438" s="11">
        <v>4380.16</v>
      </c>
      <c r="F4438" s="3">
        <v>41558</v>
      </c>
      <c r="G4438" s="2"/>
      <c r="H4438" s="3">
        <v>43053</v>
      </c>
      <c r="I4438" s="2" t="s">
        <v>19506</v>
      </c>
      <c r="J4438" s="2" t="s">
        <v>13904</v>
      </c>
      <c r="K4438" s="2" t="s">
        <v>19213</v>
      </c>
      <c r="L4438" s="82" t="s">
        <v>19512</v>
      </c>
    </row>
    <row r="4439" spans="1:12" ht="96" customHeight="1" x14ac:dyDescent="0.3">
      <c r="A4439" s="2">
        <v>4435</v>
      </c>
      <c r="B4439" s="66" t="s">
        <v>5101</v>
      </c>
      <c r="C4439" s="66" t="s">
        <v>5102</v>
      </c>
      <c r="D4439" s="11">
        <v>4490</v>
      </c>
      <c r="E4439" s="11">
        <v>4490</v>
      </c>
      <c r="F4439" s="3">
        <v>41790</v>
      </c>
      <c r="G4439" s="2"/>
      <c r="H4439" s="3">
        <v>43053</v>
      </c>
      <c r="I4439" s="2" t="s">
        <v>19506</v>
      </c>
      <c r="J4439" s="2" t="s">
        <v>13904</v>
      </c>
      <c r="K4439" s="2" t="s">
        <v>19213</v>
      </c>
      <c r="L4439" s="82" t="s">
        <v>19512</v>
      </c>
    </row>
    <row r="4440" spans="1:12" ht="96" customHeight="1" x14ac:dyDescent="0.3">
      <c r="A4440" s="2">
        <v>4436</v>
      </c>
      <c r="B4440" s="66" t="s">
        <v>5103</v>
      </c>
      <c r="C4440" s="66" t="s">
        <v>5104</v>
      </c>
      <c r="D4440" s="11">
        <v>4490</v>
      </c>
      <c r="E4440" s="11">
        <v>4490</v>
      </c>
      <c r="F4440" s="3">
        <v>41790</v>
      </c>
      <c r="G4440" s="2"/>
      <c r="H4440" s="3">
        <v>43053</v>
      </c>
      <c r="I4440" s="2" t="s">
        <v>19506</v>
      </c>
      <c r="J4440" s="2" t="s">
        <v>13904</v>
      </c>
      <c r="K4440" s="2" t="s">
        <v>19213</v>
      </c>
      <c r="L4440" s="82" t="s">
        <v>19512</v>
      </c>
    </row>
    <row r="4441" spans="1:12" ht="96" customHeight="1" x14ac:dyDescent="0.3">
      <c r="A4441" s="2">
        <v>4437</v>
      </c>
      <c r="B4441" s="66" t="s">
        <v>5105</v>
      </c>
      <c r="C4441" s="66" t="s">
        <v>5106</v>
      </c>
      <c r="D4441" s="11">
        <v>9462.89</v>
      </c>
      <c r="E4441" s="11">
        <v>9462.89</v>
      </c>
      <c r="F4441" s="3">
        <v>41613</v>
      </c>
      <c r="G4441" s="2"/>
      <c r="H4441" s="3">
        <v>43053</v>
      </c>
      <c r="I4441" s="2" t="s">
        <v>19506</v>
      </c>
      <c r="J4441" s="2" t="s">
        <v>13904</v>
      </c>
      <c r="K4441" s="2" t="s">
        <v>19213</v>
      </c>
      <c r="L4441" s="82" t="s">
        <v>19512</v>
      </c>
    </row>
    <row r="4442" spans="1:12" ht="96" customHeight="1" x14ac:dyDescent="0.3">
      <c r="A4442" s="2">
        <v>4438</v>
      </c>
      <c r="B4442" s="66" t="s">
        <v>5105</v>
      </c>
      <c r="C4442" s="66" t="s">
        <v>5107</v>
      </c>
      <c r="D4442" s="11">
        <v>9462.89</v>
      </c>
      <c r="E4442" s="11">
        <v>9462.89</v>
      </c>
      <c r="F4442" s="3">
        <v>41613</v>
      </c>
      <c r="G4442" s="2"/>
      <c r="H4442" s="3">
        <v>43053</v>
      </c>
      <c r="I4442" s="2" t="s">
        <v>19506</v>
      </c>
      <c r="J4442" s="2" t="s">
        <v>13904</v>
      </c>
      <c r="K4442" s="2" t="s">
        <v>19213</v>
      </c>
      <c r="L4442" s="82" t="s">
        <v>19512</v>
      </c>
    </row>
    <row r="4443" spans="1:12" ht="96" customHeight="1" x14ac:dyDescent="0.3">
      <c r="A4443" s="2">
        <v>4439</v>
      </c>
      <c r="B4443" s="66" t="s">
        <v>5105</v>
      </c>
      <c r="C4443" s="66" t="s">
        <v>5108</v>
      </c>
      <c r="D4443" s="11">
        <v>7303.96</v>
      </c>
      <c r="E4443" s="11">
        <v>7303.96</v>
      </c>
      <c r="F4443" s="3">
        <v>41613</v>
      </c>
      <c r="G4443" s="2"/>
      <c r="H4443" s="3">
        <v>43053</v>
      </c>
      <c r="I4443" s="2" t="s">
        <v>19506</v>
      </c>
      <c r="J4443" s="2" t="s">
        <v>13904</v>
      </c>
      <c r="K4443" s="2" t="s">
        <v>19213</v>
      </c>
      <c r="L4443" s="82" t="s">
        <v>19512</v>
      </c>
    </row>
    <row r="4444" spans="1:12" ht="96" customHeight="1" x14ac:dyDescent="0.3">
      <c r="A4444" s="2">
        <v>4440</v>
      </c>
      <c r="B4444" s="66" t="s">
        <v>5109</v>
      </c>
      <c r="C4444" s="66" t="s">
        <v>4705</v>
      </c>
      <c r="D4444" s="11">
        <v>6000.3</v>
      </c>
      <c r="E4444" s="11">
        <v>6000.3</v>
      </c>
      <c r="F4444" s="3">
        <v>41115</v>
      </c>
      <c r="G4444" s="2"/>
      <c r="H4444" s="3">
        <v>43053</v>
      </c>
      <c r="I4444" s="2" t="s">
        <v>19506</v>
      </c>
      <c r="J4444" s="2" t="s">
        <v>13904</v>
      </c>
      <c r="K4444" s="2" t="s">
        <v>19213</v>
      </c>
      <c r="L4444" s="82" t="s">
        <v>19512</v>
      </c>
    </row>
    <row r="4445" spans="1:12" ht="96" customHeight="1" x14ac:dyDescent="0.3">
      <c r="A4445" s="2">
        <v>4441</v>
      </c>
      <c r="B4445" s="66" t="s">
        <v>3653</v>
      </c>
      <c r="C4445" s="66" t="s">
        <v>4706</v>
      </c>
      <c r="D4445" s="11">
        <v>4319.9799999999996</v>
      </c>
      <c r="E4445" s="11">
        <v>4319.9799999999996</v>
      </c>
      <c r="F4445" s="3">
        <v>41115</v>
      </c>
      <c r="G4445" s="2"/>
      <c r="H4445" s="3">
        <v>43053</v>
      </c>
      <c r="I4445" s="2" t="s">
        <v>19506</v>
      </c>
      <c r="J4445" s="2" t="s">
        <v>13904</v>
      </c>
      <c r="K4445" s="2" t="s">
        <v>19213</v>
      </c>
      <c r="L4445" s="82" t="s">
        <v>19512</v>
      </c>
    </row>
    <row r="4446" spans="1:12" ht="96" customHeight="1" x14ac:dyDescent="0.3">
      <c r="A4446" s="2">
        <v>4442</v>
      </c>
      <c r="B4446" s="66" t="s">
        <v>5110</v>
      </c>
      <c r="C4446" s="66" t="s">
        <v>3565</v>
      </c>
      <c r="D4446" s="11">
        <v>3120</v>
      </c>
      <c r="E4446" s="11">
        <v>3120</v>
      </c>
      <c r="F4446" s="3">
        <v>39133</v>
      </c>
      <c r="G4446" s="2"/>
      <c r="H4446" s="3">
        <v>43053</v>
      </c>
      <c r="I4446" s="2" t="s">
        <v>19506</v>
      </c>
      <c r="J4446" s="2" t="s">
        <v>13904</v>
      </c>
      <c r="K4446" s="2" t="s">
        <v>19213</v>
      </c>
      <c r="L4446" s="82" t="s">
        <v>19512</v>
      </c>
    </row>
    <row r="4447" spans="1:12" ht="96" customHeight="1" x14ac:dyDescent="0.3">
      <c r="A4447" s="2">
        <v>4443</v>
      </c>
      <c r="B4447" s="66" t="s">
        <v>5111</v>
      </c>
      <c r="C4447" s="66" t="s">
        <v>5112</v>
      </c>
      <c r="D4447" s="11">
        <v>5800</v>
      </c>
      <c r="E4447" s="11">
        <v>5800</v>
      </c>
      <c r="F4447" s="3">
        <v>39420</v>
      </c>
      <c r="G4447" s="2"/>
      <c r="H4447" s="3">
        <v>43053</v>
      </c>
      <c r="I4447" s="2" t="s">
        <v>19506</v>
      </c>
      <c r="J4447" s="2" t="s">
        <v>13904</v>
      </c>
      <c r="K4447" s="2" t="s">
        <v>19213</v>
      </c>
      <c r="L4447" s="82" t="s">
        <v>19512</v>
      </c>
    </row>
    <row r="4448" spans="1:12" ht="96" customHeight="1" x14ac:dyDescent="0.3">
      <c r="A4448" s="2">
        <v>4444</v>
      </c>
      <c r="B4448" s="66" t="s">
        <v>5113</v>
      </c>
      <c r="C4448" s="66" t="s">
        <v>4029</v>
      </c>
      <c r="D4448" s="11">
        <v>6850</v>
      </c>
      <c r="E4448" s="11">
        <v>6850</v>
      </c>
      <c r="F4448" s="3">
        <v>39133</v>
      </c>
      <c r="G4448" s="2"/>
      <c r="H4448" s="3">
        <v>43053</v>
      </c>
      <c r="I4448" s="2" t="s">
        <v>19506</v>
      </c>
      <c r="J4448" s="2" t="s">
        <v>13904</v>
      </c>
      <c r="K4448" s="2" t="s">
        <v>19213</v>
      </c>
      <c r="L4448" s="82" t="s">
        <v>19512</v>
      </c>
    </row>
    <row r="4449" spans="1:15" ht="96" customHeight="1" x14ac:dyDescent="0.3">
      <c r="A4449" s="2">
        <v>4445</v>
      </c>
      <c r="B4449" s="66" t="s">
        <v>3639</v>
      </c>
      <c r="C4449" s="66" t="s">
        <v>3552</v>
      </c>
      <c r="D4449" s="11">
        <v>3909.17</v>
      </c>
      <c r="E4449" s="11">
        <v>3909.17</v>
      </c>
      <c r="F4449" s="3">
        <v>39066</v>
      </c>
      <c r="G4449" s="2"/>
      <c r="H4449" s="3">
        <v>43053</v>
      </c>
      <c r="I4449" s="2" t="s">
        <v>19506</v>
      </c>
      <c r="J4449" s="2" t="s">
        <v>13904</v>
      </c>
      <c r="K4449" s="2" t="s">
        <v>19213</v>
      </c>
      <c r="L4449" s="82" t="s">
        <v>19512</v>
      </c>
    </row>
    <row r="4450" spans="1:15" ht="96" customHeight="1" x14ac:dyDescent="0.3">
      <c r="A4450" s="2">
        <v>4446</v>
      </c>
      <c r="B4450" s="66" t="s">
        <v>5114</v>
      </c>
      <c r="C4450" s="66" t="s">
        <v>3145</v>
      </c>
      <c r="D4450" s="11">
        <v>4800</v>
      </c>
      <c r="E4450" s="11">
        <v>4800</v>
      </c>
      <c r="F4450" s="3">
        <v>41925</v>
      </c>
      <c r="G4450" s="2"/>
      <c r="H4450" s="3">
        <v>43053</v>
      </c>
      <c r="I4450" s="2" t="s">
        <v>19506</v>
      </c>
      <c r="J4450" s="2" t="s">
        <v>13904</v>
      </c>
      <c r="K4450" s="2" t="s">
        <v>19213</v>
      </c>
      <c r="L4450" s="82" t="s">
        <v>19512</v>
      </c>
    </row>
    <row r="4451" spans="1:15" ht="96" customHeight="1" x14ac:dyDescent="0.3">
      <c r="A4451" s="2">
        <v>4447</v>
      </c>
      <c r="B4451" s="66" t="s">
        <v>5115</v>
      </c>
      <c r="C4451" s="66" t="s">
        <v>5116</v>
      </c>
      <c r="D4451" s="11">
        <v>11520</v>
      </c>
      <c r="E4451" s="11">
        <v>11520</v>
      </c>
      <c r="F4451" s="3">
        <v>38729</v>
      </c>
      <c r="G4451" s="2"/>
      <c r="H4451" s="3">
        <v>43053</v>
      </c>
      <c r="I4451" s="2" t="s">
        <v>19506</v>
      </c>
      <c r="J4451" s="2" t="s">
        <v>13904</v>
      </c>
      <c r="K4451" s="2" t="s">
        <v>19213</v>
      </c>
      <c r="L4451" s="82" t="s">
        <v>19512</v>
      </c>
    </row>
    <row r="4452" spans="1:15" ht="96" customHeight="1" x14ac:dyDescent="0.3">
      <c r="A4452" s="2">
        <v>4448</v>
      </c>
      <c r="B4452" s="66" t="s">
        <v>5117</v>
      </c>
      <c r="C4452" s="66" t="s">
        <v>5118</v>
      </c>
      <c r="D4452" s="11">
        <v>3132.01</v>
      </c>
      <c r="E4452" s="11">
        <v>3132.01</v>
      </c>
      <c r="F4452" s="3">
        <v>39080</v>
      </c>
      <c r="G4452" s="2"/>
      <c r="H4452" s="3">
        <v>43053</v>
      </c>
      <c r="I4452" s="2" t="s">
        <v>19506</v>
      </c>
      <c r="J4452" s="2" t="s">
        <v>13904</v>
      </c>
      <c r="K4452" s="2" t="s">
        <v>19213</v>
      </c>
      <c r="L4452" s="82" t="s">
        <v>19512</v>
      </c>
    </row>
    <row r="4453" spans="1:15" ht="96" customHeight="1" x14ac:dyDescent="0.3">
      <c r="A4453" s="2">
        <v>4449</v>
      </c>
      <c r="B4453" s="66" t="s">
        <v>5117</v>
      </c>
      <c r="C4453" s="66" t="s">
        <v>5119</v>
      </c>
      <c r="D4453" s="11">
        <v>3132.01</v>
      </c>
      <c r="E4453" s="11">
        <v>3132.01</v>
      </c>
      <c r="F4453" s="3">
        <v>39080</v>
      </c>
      <c r="G4453" s="2"/>
      <c r="H4453" s="3">
        <v>43053</v>
      </c>
      <c r="I4453" s="2" t="s">
        <v>19506</v>
      </c>
      <c r="J4453" s="2" t="s">
        <v>13904</v>
      </c>
      <c r="K4453" s="2" t="s">
        <v>19213</v>
      </c>
      <c r="L4453" s="82" t="s">
        <v>19512</v>
      </c>
    </row>
    <row r="4454" spans="1:15" ht="96" customHeight="1" x14ac:dyDescent="0.3">
      <c r="A4454" s="2">
        <v>4450</v>
      </c>
      <c r="B4454" s="66" t="s">
        <v>5117</v>
      </c>
      <c r="C4454" s="66" t="s">
        <v>5120</v>
      </c>
      <c r="D4454" s="11">
        <v>3132.01</v>
      </c>
      <c r="E4454" s="11">
        <v>3132.01</v>
      </c>
      <c r="F4454" s="3">
        <v>39080</v>
      </c>
      <c r="G4454" s="2"/>
      <c r="H4454" s="3">
        <v>43053</v>
      </c>
      <c r="I4454" s="2" t="s">
        <v>19506</v>
      </c>
      <c r="J4454" s="2" t="s">
        <v>13904</v>
      </c>
      <c r="K4454" s="2" t="s">
        <v>19213</v>
      </c>
      <c r="L4454" s="82" t="s">
        <v>19512</v>
      </c>
    </row>
    <row r="4455" spans="1:15" ht="96" customHeight="1" x14ac:dyDescent="0.3">
      <c r="A4455" s="2">
        <v>4451</v>
      </c>
      <c r="B4455" s="66" t="s">
        <v>5117</v>
      </c>
      <c r="C4455" s="66" t="s">
        <v>5121</v>
      </c>
      <c r="D4455" s="11">
        <v>3132.01</v>
      </c>
      <c r="E4455" s="11">
        <v>3132.01</v>
      </c>
      <c r="F4455" s="3">
        <v>39080</v>
      </c>
      <c r="G4455" s="2"/>
      <c r="H4455" s="3">
        <v>43053</v>
      </c>
      <c r="I4455" s="2" t="s">
        <v>19506</v>
      </c>
      <c r="J4455" s="2" t="s">
        <v>13904</v>
      </c>
      <c r="K4455" s="2" t="s">
        <v>19213</v>
      </c>
      <c r="L4455" s="82" t="s">
        <v>19512</v>
      </c>
    </row>
    <row r="4456" spans="1:15" ht="96" customHeight="1" x14ac:dyDescent="0.3">
      <c r="A4456" s="2">
        <v>4452</v>
      </c>
      <c r="B4456" s="66" t="s">
        <v>5117</v>
      </c>
      <c r="C4456" s="66" t="s">
        <v>5122</v>
      </c>
      <c r="D4456" s="11">
        <v>3132.02</v>
      </c>
      <c r="E4456" s="11">
        <v>3132.02</v>
      </c>
      <c r="F4456" s="3">
        <v>39080</v>
      </c>
      <c r="G4456" s="2"/>
      <c r="H4456" s="3">
        <v>43053</v>
      </c>
      <c r="I4456" s="2" t="s">
        <v>19506</v>
      </c>
      <c r="J4456" s="2" t="s">
        <v>13904</v>
      </c>
      <c r="K4456" s="2" t="s">
        <v>19213</v>
      </c>
      <c r="L4456" s="82" t="s">
        <v>19512</v>
      </c>
    </row>
    <row r="4457" spans="1:15" s="19" customFormat="1" ht="96" customHeight="1" x14ac:dyDescent="0.3">
      <c r="A4457" s="2">
        <v>4453</v>
      </c>
      <c r="B4457" s="66" t="s">
        <v>1062</v>
      </c>
      <c r="C4457" s="66" t="s">
        <v>5123</v>
      </c>
      <c r="D4457" s="11">
        <v>98038.7</v>
      </c>
      <c r="E4457" s="11">
        <v>57189.279999999999</v>
      </c>
      <c r="F4457" s="3">
        <v>42004</v>
      </c>
      <c r="G4457" s="2"/>
      <c r="H4457" s="2"/>
      <c r="I4457" s="2"/>
      <c r="J4457" s="2" t="s">
        <v>13904</v>
      </c>
      <c r="K4457" s="2" t="s">
        <v>19216</v>
      </c>
      <c r="L4457" s="2" t="s">
        <v>18770</v>
      </c>
      <c r="M4457" s="18"/>
      <c r="N4457" s="18"/>
      <c r="O4457" s="18"/>
    </row>
    <row r="4458" spans="1:15" ht="96" customHeight="1" x14ac:dyDescent="0.3">
      <c r="A4458" s="2">
        <v>4454</v>
      </c>
      <c r="B4458" s="66" t="s">
        <v>23423</v>
      </c>
      <c r="C4458" s="66">
        <v>4101240703</v>
      </c>
      <c r="D4458" s="11">
        <v>89082.6</v>
      </c>
      <c r="E4458" s="11">
        <v>89082.6</v>
      </c>
      <c r="F4458" s="3" t="s">
        <v>23332</v>
      </c>
      <c r="G4458" s="2" t="s">
        <v>23424</v>
      </c>
      <c r="H4458" s="3"/>
      <c r="I4458" s="2"/>
      <c r="J4458" s="2" t="s">
        <v>13904</v>
      </c>
      <c r="K4458" s="2" t="s">
        <v>23494</v>
      </c>
      <c r="L4458" s="82" t="s">
        <v>23425</v>
      </c>
    </row>
    <row r="4459" spans="1:15" ht="96" customHeight="1" x14ac:dyDescent="0.3">
      <c r="A4459" s="2">
        <v>4455</v>
      </c>
      <c r="B4459" s="66" t="s">
        <v>5124</v>
      </c>
      <c r="C4459" s="66" t="s">
        <v>5125</v>
      </c>
      <c r="D4459" s="11">
        <v>149000</v>
      </c>
      <c r="E4459" s="11">
        <v>149000</v>
      </c>
      <c r="F4459" s="3">
        <v>39679</v>
      </c>
      <c r="G4459" s="2"/>
      <c r="H4459" s="2"/>
      <c r="I4459" s="2"/>
      <c r="J4459" s="2" t="s">
        <v>13904</v>
      </c>
      <c r="K4459" s="2" t="s">
        <v>19216</v>
      </c>
      <c r="L4459" s="82" t="s">
        <v>18770</v>
      </c>
    </row>
    <row r="4460" spans="1:15" ht="96" customHeight="1" x14ac:dyDescent="0.3">
      <c r="A4460" s="2">
        <v>4456</v>
      </c>
      <c r="B4460" s="66" t="s">
        <v>5126</v>
      </c>
      <c r="C4460" s="66" t="s">
        <v>5127</v>
      </c>
      <c r="D4460" s="11">
        <v>281618</v>
      </c>
      <c r="E4460" s="11">
        <v>222947.9</v>
      </c>
      <c r="F4460" s="3">
        <v>39806</v>
      </c>
      <c r="G4460" s="2"/>
      <c r="H4460" s="2"/>
      <c r="I4460" s="2"/>
      <c r="J4460" s="2" t="s">
        <v>13904</v>
      </c>
      <c r="K4460" s="2" t="s">
        <v>19216</v>
      </c>
      <c r="L4460" s="82" t="s">
        <v>18770</v>
      </c>
    </row>
    <row r="4461" spans="1:15" ht="96" customHeight="1" x14ac:dyDescent="0.3">
      <c r="A4461" s="2">
        <v>4457</v>
      </c>
      <c r="B4461" s="66" t="s">
        <v>5128</v>
      </c>
      <c r="C4461" s="66" t="s">
        <v>5129</v>
      </c>
      <c r="D4461" s="11">
        <v>533165</v>
      </c>
      <c r="E4461" s="11">
        <v>533165</v>
      </c>
      <c r="F4461" s="3">
        <v>39770</v>
      </c>
      <c r="G4461" s="2"/>
      <c r="H4461" s="2"/>
      <c r="I4461" s="2"/>
      <c r="J4461" s="2" t="s">
        <v>13904</v>
      </c>
      <c r="K4461" s="2" t="s">
        <v>19216</v>
      </c>
      <c r="L4461" s="82" t="s">
        <v>18770</v>
      </c>
    </row>
    <row r="4462" spans="1:15" ht="96" customHeight="1" x14ac:dyDescent="0.3">
      <c r="A4462" s="2">
        <v>4458</v>
      </c>
      <c r="B4462" s="66" t="s">
        <v>5130</v>
      </c>
      <c r="C4462" s="66" t="s">
        <v>5131</v>
      </c>
      <c r="D4462" s="11">
        <v>21600</v>
      </c>
      <c r="E4462" s="11">
        <v>21600</v>
      </c>
      <c r="F4462" s="3">
        <v>39679</v>
      </c>
      <c r="G4462" s="2"/>
      <c r="H4462" s="3">
        <v>43053</v>
      </c>
      <c r="I4462" s="2" t="s">
        <v>19506</v>
      </c>
      <c r="J4462" s="2" t="s">
        <v>13904</v>
      </c>
      <c r="K4462" s="2" t="s">
        <v>19216</v>
      </c>
      <c r="L4462" s="82" t="s">
        <v>19512</v>
      </c>
    </row>
    <row r="4463" spans="1:15" ht="96" customHeight="1" x14ac:dyDescent="0.3">
      <c r="A4463" s="2">
        <v>4459</v>
      </c>
      <c r="B4463" s="66" t="s">
        <v>5130</v>
      </c>
      <c r="C4463" s="66" t="s">
        <v>5132</v>
      </c>
      <c r="D4463" s="11">
        <v>21600</v>
      </c>
      <c r="E4463" s="11">
        <v>21600</v>
      </c>
      <c r="F4463" s="3">
        <v>39679</v>
      </c>
      <c r="G4463" s="2"/>
      <c r="H4463" s="3">
        <v>43053</v>
      </c>
      <c r="I4463" s="2" t="s">
        <v>19506</v>
      </c>
      <c r="J4463" s="2" t="s">
        <v>13904</v>
      </c>
      <c r="K4463" s="2" t="s">
        <v>19216</v>
      </c>
      <c r="L4463" s="82" t="s">
        <v>19512</v>
      </c>
    </row>
    <row r="4464" spans="1:15" ht="96" customHeight="1" x14ac:dyDescent="0.3">
      <c r="A4464" s="2">
        <v>4460</v>
      </c>
      <c r="B4464" s="66" t="s">
        <v>5133</v>
      </c>
      <c r="C4464" s="66" t="s">
        <v>5134</v>
      </c>
      <c r="D4464" s="11">
        <v>52279.6</v>
      </c>
      <c r="E4464" s="11">
        <v>50827.35</v>
      </c>
      <c r="F4464" s="3">
        <v>41624</v>
      </c>
      <c r="G4464" s="2"/>
      <c r="H4464" s="2"/>
      <c r="I4464" s="2"/>
      <c r="J4464" s="2" t="s">
        <v>13904</v>
      </c>
      <c r="K4464" s="2" t="s">
        <v>19216</v>
      </c>
      <c r="L4464" s="82" t="s">
        <v>18770</v>
      </c>
    </row>
    <row r="4465" spans="1:12" ht="96" customHeight="1" x14ac:dyDescent="0.3">
      <c r="A4465" s="2">
        <v>4461</v>
      </c>
      <c r="B4465" s="66" t="s">
        <v>5133</v>
      </c>
      <c r="C4465" s="66" t="s">
        <v>5135</v>
      </c>
      <c r="D4465" s="11">
        <v>52279.6</v>
      </c>
      <c r="E4465" s="11">
        <v>50827.35</v>
      </c>
      <c r="F4465" s="3">
        <v>41624</v>
      </c>
      <c r="G4465" s="2"/>
      <c r="H4465" s="2"/>
      <c r="I4465" s="2"/>
      <c r="J4465" s="2" t="s">
        <v>13904</v>
      </c>
      <c r="K4465" s="2" t="s">
        <v>19216</v>
      </c>
      <c r="L4465" s="82" t="s">
        <v>18770</v>
      </c>
    </row>
    <row r="4466" spans="1:12" ht="96" customHeight="1" x14ac:dyDescent="0.3">
      <c r="A4466" s="2">
        <v>4462</v>
      </c>
      <c r="B4466" s="66" t="s">
        <v>5133</v>
      </c>
      <c r="C4466" s="66" t="s">
        <v>5136</v>
      </c>
      <c r="D4466" s="11">
        <v>52279.6</v>
      </c>
      <c r="E4466" s="11">
        <v>50827.35</v>
      </c>
      <c r="F4466" s="3">
        <v>41624</v>
      </c>
      <c r="G4466" s="2"/>
      <c r="H4466" s="2"/>
      <c r="I4466" s="2"/>
      <c r="J4466" s="2" t="s">
        <v>13904</v>
      </c>
      <c r="K4466" s="2" t="s">
        <v>19216</v>
      </c>
      <c r="L4466" s="82" t="s">
        <v>18770</v>
      </c>
    </row>
    <row r="4467" spans="1:12" ht="96" customHeight="1" x14ac:dyDescent="0.3">
      <c r="A4467" s="2">
        <v>4463</v>
      </c>
      <c r="B4467" s="66" t="s">
        <v>5137</v>
      </c>
      <c r="C4467" s="66" t="s">
        <v>5138</v>
      </c>
      <c r="D4467" s="11">
        <v>67494.59</v>
      </c>
      <c r="E4467" s="11">
        <v>65619.75</v>
      </c>
      <c r="F4467" s="3">
        <v>41624</v>
      </c>
      <c r="G4467" s="2"/>
      <c r="H4467" s="2"/>
      <c r="I4467" s="2"/>
      <c r="J4467" s="2" t="s">
        <v>13904</v>
      </c>
      <c r="K4467" s="2" t="s">
        <v>19216</v>
      </c>
      <c r="L4467" s="82" t="s">
        <v>18770</v>
      </c>
    </row>
    <row r="4468" spans="1:12" ht="96" customHeight="1" x14ac:dyDescent="0.3">
      <c r="A4468" s="2">
        <v>4464</v>
      </c>
      <c r="B4468" s="66" t="s">
        <v>5137</v>
      </c>
      <c r="C4468" s="66" t="s">
        <v>5139</v>
      </c>
      <c r="D4468" s="11">
        <v>67494.59</v>
      </c>
      <c r="E4468" s="11">
        <v>65619.75</v>
      </c>
      <c r="F4468" s="3">
        <v>41624</v>
      </c>
      <c r="G4468" s="2"/>
      <c r="H4468" s="2"/>
      <c r="I4468" s="2"/>
      <c r="J4468" s="2" t="s">
        <v>13904</v>
      </c>
      <c r="K4468" s="2" t="s">
        <v>19216</v>
      </c>
      <c r="L4468" s="82" t="s">
        <v>18770</v>
      </c>
    </row>
    <row r="4469" spans="1:12" ht="96" customHeight="1" x14ac:dyDescent="0.3">
      <c r="A4469" s="2">
        <v>4465</v>
      </c>
      <c r="B4469" s="66" t="s">
        <v>5137</v>
      </c>
      <c r="C4469" s="66" t="s">
        <v>5140</v>
      </c>
      <c r="D4469" s="11">
        <v>67494.59</v>
      </c>
      <c r="E4469" s="11">
        <v>65619.75</v>
      </c>
      <c r="F4469" s="3">
        <v>41624</v>
      </c>
      <c r="G4469" s="2"/>
      <c r="H4469" s="2"/>
      <c r="I4469" s="2"/>
      <c r="J4469" s="2" t="s">
        <v>13904</v>
      </c>
      <c r="K4469" s="2" t="s">
        <v>19216</v>
      </c>
      <c r="L4469" s="82" t="s">
        <v>18770</v>
      </c>
    </row>
    <row r="4470" spans="1:12" ht="96" customHeight="1" x14ac:dyDescent="0.3">
      <c r="A4470" s="2">
        <v>4466</v>
      </c>
      <c r="B4470" s="66" t="s">
        <v>5141</v>
      </c>
      <c r="C4470" s="66" t="s">
        <v>5142</v>
      </c>
      <c r="D4470" s="11">
        <v>46456.57</v>
      </c>
      <c r="E4470" s="11">
        <v>23228.28</v>
      </c>
      <c r="F4470" s="3">
        <v>41624</v>
      </c>
      <c r="G4470" s="2"/>
      <c r="H4470" s="3">
        <v>43053</v>
      </c>
      <c r="I4470" s="2" t="s">
        <v>19506</v>
      </c>
      <c r="J4470" s="2" t="s">
        <v>13904</v>
      </c>
      <c r="K4470" s="2" t="s">
        <v>19216</v>
      </c>
      <c r="L4470" s="82" t="s">
        <v>19512</v>
      </c>
    </row>
    <row r="4471" spans="1:12" ht="96" customHeight="1" x14ac:dyDescent="0.3">
      <c r="A4471" s="2">
        <v>4467</v>
      </c>
      <c r="B4471" s="66" t="s">
        <v>5141</v>
      </c>
      <c r="C4471" s="66" t="s">
        <v>5143</v>
      </c>
      <c r="D4471" s="11">
        <v>46456.57</v>
      </c>
      <c r="E4471" s="11">
        <v>23228.28</v>
      </c>
      <c r="F4471" s="3">
        <v>41624</v>
      </c>
      <c r="G4471" s="2"/>
      <c r="H4471" s="3">
        <v>43053</v>
      </c>
      <c r="I4471" s="2" t="s">
        <v>19506</v>
      </c>
      <c r="J4471" s="2" t="s">
        <v>13904</v>
      </c>
      <c r="K4471" s="2" t="s">
        <v>19216</v>
      </c>
      <c r="L4471" s="82" t="s">
        <v>19512</v>
      </c>
    </row>
    <row r="4472" spans="1:12" ht="96" customHeight="1" x14ac:dyDescent="0.3">
      <c r="A4472" s="2">
        <v>4468</v>
      </c>
      <c r="B4472" s="66" t="s">
        <v>5141</v>
      </c>
      <c r="C4472" s="66" t="s">
        <v>5144</v>
      </c>
      <c r="D4472" s="11">
        <v>46456.57</v>
      </c>
      <c r="E4472" s="11">
        <v>23228.28</v>
      </c>
      <c r="F4472" s="3">
        <v>41624</v>
      </c>
      <c r="G4472" s="2"/>
      <c r="H4472" s="3">
        <v>43053</v>
      </c>
      <c r="I4472" s="2" t="s">
        <v>19506</v>
      </c>
      <c r="J4472" s="2" t="s">
        <v>13904</v>
      </c>
      <c r="K4472" s="2" t="s">
        <v>19216</v>
      </c>
      <c r="L4472" s="82" t="s">
        <v>19512</v>
      </c>
    </row>
    <row r="4473" spans="1:12" ht="96" customHeight="1" x14ac:dyDescent="0.3">
      <c r="A4473" s="2">
        <v>4469</v>
      </c>
      <c r="B4473" s="66" t="s">
        <v>5145</v>
      </c>
      <c r="C4473" s="66" t="s">
        <v>5146</v>
      </c>
      <c r="D4473" s="11">
        <v>46117.760000000002</v>
      </c>
      <c r="E4473" s="11">
        <v>23058.9</v>
      </c>
      <c r="F4473" s="3">
        <v>41624</v>
      </c>
      <c r="G4473" s="2"/>
      <c r="H4473" s="3">
        <v>43053</v>
      </c>
      <c r="I4473" s="2" t="s">
        <v>19506</v>
      </c>
      <c r="J4473" s="2" t="s">
        <v>13904</v>
      </c>
      <c r="K4473" s="2" t="s">
        <v>19216</v>
      </c>
      <c r="L4473" s="82" t="s">
        <v>19512</v>
      </c>
    </row>
    <row r="4474" spans="1:12" ht="96" customHeight="1" x14ac:dyDescent="0.3">
      <c r="A4474" s="2">
        <v>4470</v>
      </c>
      <c r="B4474" s="66" t="s">
        <v>5145</v>
      </c>
      <c r="C4474" s="66" t="s">
        <v>5147</v>
      </c>
      <c r="D4474" s="11">
        <v>46117.760000000002</v>
      </c>
      <c r="E4474" s="11">
        <v>23058.9</v>
      </c>
      <c r="F4474" s="3">
        <v>41624</v>
      </c>
      <c r="G4474" s="2"/>
      <c r="H4474" s="3">
        <v>43053</v>
      </c>
      <c r="I4474" s="2" t="s">
        <v>19506</v>
      </c>
      <c r="J4474" s="2" t="s">
        <v>13904</v>
      </c>
      <c r="K4474" s="2" t="s">
        <v>19216</v>
      </c>
      <c r="L4474" s="82" t="s">
        <v>19512</v>
      </c>
    </row>
    <row r="4475" spans="1:12" ht="96" customHeight="1" x14ac:dyDescent="0.3">
      <c r="A4475" s="2">
        <v>4471</v>
      </c>
      <c r="B4475" s="66" t="s">
        <v>5145</v>
      </c>
      <c r="C4475" s="66" t="s">
        <v>5148</v>
      </c>
      <c r="D4475" s="11">
        <v>46117.760000000002</v>
      </c>
      <c r="E4475" s="11">
        <v>23058.9</v>
      </c>
      <c r="F4475" s="3">
        <v>41624</v>
      </c>
      <c r="G4475" s="2"/>
      <c r="H4475" s="3">
        <v>43053</v>
      </c>
      <c r="I4475" s="2" t="s">
        <v>19506</v>
      </c>
      <c r="J4475" s="2" t="s">
        <v>13904</v>
      </c>
      <c r="K4475" s="2" t="s">
        <v>19216</v>
      </c>
      <c r="L4475" s="82" t="s">
        <v>19512</v>
      </c>
    </row>
    <row r="4476" spans="1:12" ht="96" customHeight="1" x14ac:dyDescent="0.3">
      <c r="A4476" s="2">
        <v>4472</v>
      </c>
      <c r="B4476" s="66" t="s">
        <v>5149</v>
      </c>
      <c r="C4476" s="66" t="s">
        <v>5150</v>
      </c>
      <c r="D4476" s="11">
        <v>58451.09</v>
      </c>
      <c r="E4476" s="11">
        <v>56827.4</v>
      </c>
      <c r="F4476" s="3">
        <v>41624</v>
      </c>
      <c r="G4476" s="2"/>
      <c r="H4476" s="2"/>
      <c r="I4476" s="2"/>
      <c r="J4476" s="2" t="s">
        <v>13904</v>
      </c>
      <c r="K4476" s="2" t="s">
        <v>19216</v>
      </c>
      <c r="L4476" s="82" t="s">
        <v>18770</v>
      </c>
    </row>
    <row r="4477" spans="1:12" ht="96" customHeight="1" x14ac:dyDescent="0.3">
      <c r="A4477" s="2">
        <v>4473</v>
      </c>
      <c r="B4477" s="66" t="s">
        <v>5149</v>
      </c>
      <c r="C4477" s="66" t="s">
        <v>5151</v>
      </c>
      <c r="D4477" s="11">
        <v>58451.09</v>
      </c>
      <c r="E4477" s="11">
        <v>56824.4</v>
      </c>
      <c r="F4477" s="3">
        <v>41624</v>
      </c>
      <c r="G4477" s="2"/>
      <c r="H4477" s="2"/>
      <c r="I4477" s="2"/>
      <c r="J4477" s="2" t="s">
        <v>13904</v>
      </c>
      <c r="K4477" s="2" t="s">
        <v>19216</v>
      </c>
      <c r="L4477" s="82" t="s">
        <v>18770</v>
      </c>
    </row>
    <row r="4478" spans="1:12" ht="96" customHeight="1" x14ac:dyDescent="0.3">
      <c r="A4478" s="2">
        <v>4474</v>
      </c>
      <c r="B4478" s="66" t="s">
        <v>5149</v>
      </c>
      <c r="C4478" s="66" t="s">
        <v>5152</v>
      </c>
      <c r="D4478" s="11">
        <v>58451.09</v>
      </c>
      <c r="E4478" s="11">
        <v>56827.4</v>
      </c>
      <c r="F4478" s="3">
        <v>41624</v>
      </c>
      <c r="G4478" s="2"/>
      <c r="H4478" s="2"/>
      <c r="I4478" s="2"/>
      <c r="J4478" s="2" t="s">
        <v>13904</v>
      </c>
      <c r="K4478" s="2" t="s">
        <v>19216</v>
      </c>
      <c r="L4478" s="82" t="s">
        <v>18770</v>
      </c>
    </row>
    <row r="4479" spans="1:12" ht="96" customHeight="1" x14ac:dyDescent="0.3">
      <c r="A4479" s="2">
        <v>4475</v>
      </c>
      <c r="B4479" s="66" t="s">
        <v>5153</v>
      </c>
      <c r="C4479" s="66" t="s">
        <v>5154</v>
      </c>
      <c r="D4479" s="11">
        <v>55032.9</v>
      </c>
      <c r="E4479" s="11">
        <v>53504.15</v>
      </c>
      <c r="F4479" s="3">
        <v>41624</v>
      </c>
      <c r="G4479" s="2"/>
      <c r="H4479" s="2"/>
      <c r="I4479" s="2"/>
      <c r="J4479" s="2" t="s">
        <v>13904</v>
      </c>
      <c r="K4479" s="2" t="s">
        <v>19216</v>
      </c>
      <c r="L4479" s="82" t="s">
        <v>18770</v>
      </c>
    </row>
    <row r="4480" spans="1:12" ht="96" customHeight="1" x14ac:dyDescent="0.3">
      <c r="A4480" s="2">
        <v>4476</v>
      </c>
      <c r="B4480" s="66" t="s">
        <v>5153</v>
      </c>
      <c r="C4480" s="66" t="s">
        <v>5155</v>
      </c>
      <c r="D4480" s="11">
        <v>55032.9</v>
      </c>
      <c r="E4480" s="11">
        <v>53504.15</v>
      </c>
      <c r="F4480" s="3">
        <v>41624</v>
      </c>
      <c r="G4480" s="2"/>
      <c r="H4480" s="2"/>
      <c r="I4480" s="2"/>
      <c r="J4480" s="2" t="s">
        <v>13904</v>
      </c>
      <c r="K4480" s="2" t="s">
        <v>19216</v>
      </c>
      <c r="L4480" s="82" t="s">
        <v>18770</v>
      </c>
    </row>
    <row r="4481" spans="1:12" ht="96" customHeight="1" x14ac:dyDescent="0.3">
      <c r="A4481" s="2">
        <v>4477</v>
      </c>
      <c r="B4481" s="66" t="s">
        <v>5153</v>
      </c>
      <c r="C4481" s="66" t="s">
        <v>5156</v>
      </c>
      <c r="D4481" s="11">
        <v>55032.9</v>
      </c>
      <c r="E4481" s="11">
        <v>53504.15</v>
      </c>
      <c r="F4481" s="3">
        <v>41624</v>
      </c>
      <c r="G4481" s="2"/>
      <c r="H4481" s="2"/>
      <c r="I4481" s="2"/>
      <c r="J4481" s="2" t="s">
        <v>13904</v>
      </c>
      <c r="K4481" s="2" t="s">
        <v>19216</v>
      </c>
      <c r="L4481" s="82" t="s">
        <v>18770</v>
      </c>
    </row>
    <row r="4482" spans="1:12" ht="96" customHeight="1" x14ac:dyDescent="0.3">
      <c r="A4482" s="2">
        <v>4478</v>
      </c>
      <c r="B4482" s="66" t="s">
        <v>5157</v>
      </c>
      <c r="C4482" s="66" t="s">
        <v>5158</v>
      </c>
      <c r="D4482" s="11">
        <v>262947</v>
      </c>
      <c r="E4482" s="11">
        <v>255642.8</v>
      </c>
      <c r="F4482" s="3">
        <v>41624</v>
      </c>
      <c r="G4482" s="2"/>
      <c r="H4482" s="2"/>
      <c r="I4482" s="2"/>
      <c r="J4482" s="2" t="s">
        <v>13904</v>
      </c>
      <c r="K4482" s="2" t="s">
        <v>19216</v>
      </c>
      <c r="L4482" s="82" t="s">
        <v>18770</v>
      </c>
    </row>
    <row r="4483" spans="1:12" ht="96" customHeight="1" x14ac:dyDescent="0.3">
      <c r="A4483" s="2">
        <v>4479</v>
      </c>
      <c r="B4483" s="66" t="s">
        <v>5159</v>
      </c>
      <c r="C4483" s="66" t="s">
        <v>5160</v>
      </c>
      <c r="D4483" s="11">
        <v>210783.31</v>
      </c>
      <c r="E4483" s="11">
        <v>204928.15</v>
      </c>
      <c r="F4483" s="3">
        <v>41624</v>
      </c>
      <c r="G4483" s="2"/>
      <c r="H4483" s="2"/>
      <c r="I4483" s="2"/>
      <c r="J4483" s="2" t="s">
        <v>13904</v>
      </c>
      <c r="K4483" s="2" t="s">
        <v>19216</v>
      </c>
      <c r="L4483" s="82" t="s">
        <v>18770</v>
      </c>
    </row>
    <row r="4484" spans="1:12" ht="96" customHeight="1" x14ac:dyDescent="0.3">
      <c r="A4484" s="2">
        <v>4480</v>
      </c>
      <c r="B4484" s="66" t="s">
        <v>5161</v>
      </c>
      <c r="C4484" s="66" t="s">
        <v>5162</v>
      </c>
      <c r="D4484" s="11">
        <v>81661</v>
      </c>
      <c r="E4484" s="11">
        <v>79392.600000000006</v>
      </c>
      <c r="F4484" s="3">
        <v>41624</v>
      </c>
      <c r="G4484" s="2"/>
      <c r="H4484" s="2"/>
      <c r="I4484" s="2"/>
      <c r="J4484" s="2" t="s">
        <v>13904</v>
      </c>
      <c r="K4484" s="2" t="s">
        <v>19216</v>
      </c>
      <c r="L4484" s="82" t="s">
        <v>18770</v>
      </c>
    </row>
    <row r="4485" spans="1:12" ht="96" customHeight="1" x14ac:dyDescent="0.3">
      <c r="A4485" s="2">
        <v>4481</v>
      </c>
      <c r="B4485" s="66" t="s">
        <v>5163</v>
      </c>
      <c r="C4485" s="66" t="s">
        <v>5164</v>
      </c>
      <c r="D4485" s="11">
        <v>306840</v>
      </c>
      <c r="E4485" s="11">
        <v>298316.55</v>
      </c>
      <c r="F4485" s="3">
        <v>41624</v>
      </c>
      <c r="G4485" s="2"/>
      <c r="H4485" s="2"/>
      <c r="I4485" s="2"/>
      <c r="J4485" s="2" t="s">
        <v>13904</v>
      </c>
      <c r="K4485" s="2" t="s">
        <v>19216</v>
      </c>
      <c r="L4485" s="82" t="s">
        <v>18770</v>
      </c>
    </row>
    <row r="4486" spans="1:12" ht="96" customHeight="1" x14ac:dyDescent="0.3">
      <c r="A4486" s="2">
        <v>4482</v>
      </c>
      <c r="B4486" s="66" t="s">
        <v>4976</v>
      </c>
      <c r="C4486" s="66" t="s">
        <v>4977</v>
      </c>
      <c r="D4486" s="11">
        <v>56620</v>
      </c>
      <c r="E4486" s="11">
        <v>33028.449999999997</v>
      </c>
      <c r="F4486" s="3">
        <v>41619</v>
      </c>
      <c r="G4486" s="2"/>
      <c r="H4486" s="2"/>
      <c r="I4486" s="2"/>
      <c r="J4486" s="2" t="s">
        <v>13904</v>
      </c>
      <c r="K4486" s="2" t="s">
        <v>19216</v>
      </c>
      <c r="L4486" s="82" t="s">
        <v>18770</v>
      </c>
    </row>
    <row r="4487" spans="1:12" ht="96" customHeight="1" x14ac:dyDescent="0.3">
      <c r="A4487" s="2">
        <v>4483</v>
      </c>
      <c r="B4487" s="66" t="s">
        <v>4978</v>
      </c>
      <c r="C4487" s="66" t="s">
        <v>4979</v>
      </c>
      <c r="D4487" s="11">
        <v>50500</v>
      </c>
      <c r="E4487" s="11">
        <v>14729.05</v>
      </c>
      <c r="F4487" s="3">
        <v>41619</v>
      </c>
      <c r="G4487" s="2"/>
      <c r="H4487" s="2"/>
      <c r="I4487" s="2"/>
      <c r="J4487" s="2" t="s">
        <v>13904</v>
      </c>
      <c r="K4487" s="2" t="s">
        <v>19216</v>
      </c>
      <c r="L4487" s="82" t="s">
        <v>18770</v>
      </c>
    </row>
    <row r="4488" spans="1:12" ht="96" customHeight="1" x14ac:dyDescent="0.3">
      <c r="A4488" s="2">
        <v>4484</v>
      </c>
      <c r="B4488" s="66" t="s">
        <v>4980</v>
      </c>
      <c r="C4488" s="66" t="s">
        <v>4981</v>
      </c>
      <c r="D4488" s="11">
        <v>62900</v>
      </c>
      <c r="E4488" s="11">
        <v>36691.550000000003</v>
      </c>
      <c r="F4488" s="3">
        <v>41619</v>
      </c>
      <c r="G4488" s="2"/>
      <c r="H4488" s="2"/>
      <c r="I4488" s="2"/>
      <c r="J4488" s="2" t="s">
        <v>13904</v>
      </c>
      <c r="K4488" s="2" t="s">
        <v>19216</v>
      </c>
      <c r="L4488" s="82" t="s">
        <v>18770</v>
      </c>
    </row>
    <row r="4489" spans="1:12" ht="96" customHeight="1" x14ac:dyDescent="0.3">
      <c r="A4489" s="2">
        <v>4485</v>
      </c>
      <c r="B4489" s="66" t="s">
        <v>5165</v>
      </c>
      <c r="C4489" s="66" t="s">
        <v>5166</v>
      </c>
      <c r="D4489" s="11">
        <v>54733</v>
      </c>
      <c r="E4489" s="11">
        <v>31927.7</v>
      </c>
      <c r="F4489" s="3">
        <v>41624</v>
      </c>
      <c r="G4489" s="2"/>
      <c r="H4489" s="2"/>
      <c r="I4489" s="2"/>
      <c r="J4489" s="2" t="s">
        <v>13904</v>
      </c>
      <c r="K4489" s="2" t="s">
        <v>19216</v>
      </c>
      <c r="L4489" s="82" t="s">
        <v>18770</v>
      </c>
    </row>
    <row r="4490" spans="1:12" ht="96" customHeight="1" x14ac:dyDescent="0.3">
      <c r="A4490" s="2">
        <v>4486</v>
      </c>
      <c r="B4490" s="66" t="s">
        <v>5167</v>
      </c>
      <c r="C4490" s="66" t="s">
        <v>5168</v>
      </c>
      <c r="D4490" s="11">
        <v>73813</v>
      </c>
      <c r="E4490" s="11">
        <v>71762.600000000006</v>
      </c>
      <c r="F4490" s="3">
        <v>41624</v>
      </c>
      <c r="G4490" s="2"/>
      <c r="H4490" s="2"/>
      <c r="I4490" s="2"/>
      <c r="J4490" s="2" t="s">
        <v>13904</v>
      </c>
      <c r="K4490" s="2" t="s">
        <v>19216</v>
      </c>
      <c r="L4490" s="82" t="s">
        <v>18770</v>
      </c>
    </row>
    <row r="4491" spans="1:12" ht="96" customHeight="1" x14ac:dyDescent="0.3">
      <c r="A4491" s="2">
        <v>4487</v>
      </c>
      <c r="B4491" s="66" t="s">
        <v>5169</v>
      </c>
      <c r="C4491" s="66" t="s">
        <v>5170</v>
      </c>
      <c r="D4491" s="11">
        <v>145013.70000000001</v>
      </c>
      <c r="E4491" s="11">
        <v>140985.60000000001</v>
      </c>
      <c r="F4491" s="3">
        <v>41624</v>
      </c>
      <c r="G4491" s="2"/>
      <c r="H4491" s="2"/>
      <c r="I4491" s="2"/>
      <c r="J4491" s="2" t="s">
        <v>13904</v>
      </c>
      <c r="K4491" s="2" t="s">
        <v>19216</v>
      </c>
      <c r="L4491" s="82" t="s">
        <v>18770</v>
      </c>
    </row>
    <row r="4492" spans="1:12" ht="96" customHeight="1" x14ac:dyDescent="0.3">
      <c r="A4492" s="2">
        <v>4488</v>
      </c>
      <c r="B4492" s="66" t="s">
        <v>5171</v>
      </c>
      <c r="C4492" s="66" t="s">
        <v>5172</v>
      </c>
      <c r="D4492" s="11">
        <v>188204.5</v>
      </c>
      <c r="E4492" s="11">
        <v>182976.5</v>
      </c>
      <c r="F4492" s="3">
        <v>41624</v>
      </c>
      <c r="G4492" s="2"/>
      <c r="H4492" s="2"/>
      <c r="I4492" s="2"/>
      <c r="J4492" s="2" t="s">
        <v>13904</v>
      </c>
      <c r="K4492" s="2" t="s">
        <v>19216</v>
      </c>
      <c r="L4492" s="82" t="s">
        <v>18770</v>
      </c>
    </row>
    <row r="4493" spans="1:12" ht="96" customHeight="1" x14ac:dyDescent="0.3">
      <c r="A4493" s="2">
        <v>4489</v>
      </c>
      <c r="B4493" s="66" t="s">
        <v>5173</v>
      </c>
      <c r="C4493" s="66" t="s">
        <v>5174</v>
      </c>
      <c r="D4493" s="11">
        <v>113034.6</v>
      </c>
      <c r="E4493" s="11">
        <v>109894.75</v>
      </c>
      <c r="F4493" s="3">
        <v>41624</v>
      </c>
      <c r="G4493" s="2"/>
      <c r="H4493" s="2"/>
      <c r="I4493" s="2"/>
      <c r="J4493" s="2" t="s">
        <v>13904</v>
      </c>
      <c r="K4493" s="2" t="s">
        <v>19216</v>
      </c>
      <c r="L4493" s="82" t="s">
        <v>18770</v>
      </c>
    </row>
    <row r="4494" spans="1:12" ht="96" customHeight="1" x14ac:dyDescent="0.3">
      <c r="A4494" s="2">
        <v>4490</v>
      </c>
      <c r="B4494" s="66" t="s">
        <v>5175</v>
      </c>
      <c r="C4494" s="66" t="s">
        <v>5176</v>
      </c>
      <c r="D4494" s="11">
        <v>64016.57</v>
      </c>
      <c r="E4494" s="11">
        <v>62238.400000000001</v>
      </c>
      <c r="F4494" s="3">
        <v>41624</v>
      </c>
      <c r="G4494" s="2"/>
      <c r="H4494" s="2"/>
      <c r="I4494" s="2"/>
      <c r="J4494" s="2" t="s">
        <v>13904</v>
      </c>
      <c r="K4494" s="2" t="s">
        <v>19216</v>
      </c>
      <c r="L4494" s="82" t="s">
        <v>18770</v>
      </c>
    </row>
    <row r="4495" spans="1:12" ht="96" customHeight="1" x14ac:dyDescent="0.3">
      <c r="A4495" s="2">
        <v>4491</v>
      </c>
      <c r="B4495" s="66" t="s">
        <v>5175</v>
      </c>
      <c r="C4495" s="66" t="s">
        <v>5177</v>
      </c>
      <c r="D4495" s="11">
        <v>64016.57</v>
      </c>
      <c r="E4495" s="11">
        <v>62238.400000000001</v>
      </c>
      <c r="F4495" s="3">
        <v>41624</v>
      </c>
      <c r="G4495" s="2"/>
      <c r="H4495" s="2"/>
      <c r="I4495" s="2"/>
      <c r="J4495" s="2" t="s">
        <v>13904</v>
      </c>
      <c r="K4495" s="2" t="s">
        <v>19216</v>
      </c>
      <c r="L4495" s="82" t="s">
        <v>18770</v>
      </c>
    </row>
    <row r="4496" spans="1:12" ht="96" customHeight="1" x14ac:dyDescent="0.3">
      <c r="A4496" s="2">
        <v>4492</v>
      </c>
      <c r="B4496" s="66" t="s">
        <v>5175</v>
      </c>
      <c r="C4496" s="66" t="s">
        <v>5178</v>
      </c>
      <c r="D4496" s="11">
        <v>64016.57</v>
      </c>
      <c r="E4496" s="11">
        <v>62238.400000000001</v>
      </c>
      <c r="F4496" s="3">
        <v>41624</v>
      </c>
      <c r="G4496" s="2"/>
      <c r="H4496" s="2"/>
      <c r="I4496" s="2"/>
      <c r="J4496" s="2" t="s">
        <v>13904</v>
      </c>
      <c r="K4496" s="2" t="s">
        <v>19216</v>
      </c>
      <c r="L4496" s="82" t="s">
        <v>18770</v>
      </c>
    </row>
    <row r="4497" spans="1:12" ht="96" customHeight="1" x14ac:dyDescent="0.3">
      <c r="A4497" s="2">
        <v>4493</v>
      </c>
      <c r="B4497" s="66" t="s">
        <v>5179</v>
      </c>
      <c r="C4497" s="66" t="s">
        <v>5180</v>
      </c>
      <c r="D4497" s="11">
        <v>57942.48</v>
      </c>
      <c r="E4497" s="11">
        <v>56332.85</v>
      </c>
      <c r="F4497" s="3">
        <v>41624</v>
      </c>
      <c r="G4497" s="2"/>
      <c r="H4497" s="2"/>
      <c r="I4497" s="2"/>
      <c r="J4497" s="2" t="s">
        <v>13904</v>
      </c>
      <c r="K4497" s="2" t="s">
        <v>19216</v>
      </c>
      <c r="L4497" s="82" t="s">
        <v>18770</v>
      </c>
    </row>
    <row r="4498" spans="1:12" ht="96" customHeight="1" x14ac:dyDescent="0.3">
      <c r="A4498" s="2">
        <v>4494</v>
      </c>
      <c r="B4498" s="66" t="s">
        <v>5179</v>
      </c>
      <c r="C4498" s="66" t="s">
        <v>5181</v>
      </c>
      <c r="D4498" s="11">
        <v>57942.48</v>
      </c>
      <c r="E4498" s="11">
        <v>56332.85</v>
      </c>
      <c r="F4498" s="3">
        <v>41624</v>
      </c>
      <c r="G4498" s="2"/>
      <c r="H4498" s="2"/>
      <c r="I4498" s="2"/>
      <c r="J4498" s="2" t="s">
        <v>13904</v>
      </c>
      <c r="K4498" s="2" t="s">
        <v>19216</v>
      </c>
      <c r="L4498" s="82" t="s">
        <v>18770</v>
      </c>
    </row>
    <row r="4499" spans="1:12" ht="96" customHeight="1" x14ac:dyDescent="0.3">
      <c r="A4499" s="2">
        <v>4495</v>
      </c>
      <c r="B4499" s="66" t="s">
        <v>5179</v>
      </c>
      <c r="C4499" s="66" t="s">
        <v>5182</v>
      </c>
      <c r="D4499" s="11">
        <v>57942.48</v>
      </c>
      <c r="E4499" s="11">
        <v>56332.85</v>
      </c>
      <c r="F4499" s="3">
        <v>41624</v>
      </c>
      <c r="G4499" s="2"/>
      <c r="H4499" s="2"/>
      <c r="I4499" s="2"/>
      <c r="J4499" s="2" t="s">
        <v>13904</v>
      </c>
      <c r="K4499" s="2" t="s">
        <v>19216</v>
      </c>
      <c r="L4499" s="82" t="s">
        <v>18770</v>
      </c>
    </row>
    <row r="4500" spans="1:12" ht="96" customHeight="1" x14ac:dyDescent="0.3">
      <c r="A4500" s="2">
        <v>4496</v>
      </c>
      <c r="B4500" s="66" t="s">
        <v>4827</v>
      </c>
      <c r="C4500" s="66" t="s">
        <v>5183</v>
      </c>
      <c r="D4500" s="11">
        <v>25000</v>
      </c>
      <c r="E4500" s="11">
        <v>25000</v>
      </c>
      <c r="F4500" s="3">
        <v>39590</v>
      </c>
      <c r="G4500" s="2"/>
      <c r="H4500" s="3">
        <v>43053</v>
      </c>
      <c r="I4500" s="2" t="s">
        <v>19506</v>
      </c>
      <c r="J4500" s="2" t="s">
        <v>13904</v>
      </c>
      <c r="K4500" s="2" t="s">
        <v>19216</v>
      </c>
      <c r="L4500" s="82" t="s">
        <v>19512</v>
      </c>
    </row>
    <row r="4501" spans="1:12" ht="96" customHeight="1" x14ac:dyDescent="0.3">
      <c r="A4501" s="2">
        <v>4497</v>
      </c>
      <c r="B4501" s="66" t="s">
        <v>5184</v>
      </c>
      <c r="C4501" s="66"/>
      <c r="D4501" s="11">
        <v>15440.99</v>
      </c>
      <c r="E4501" s="11">
        <v>15440.99</v>
      </c>
      <c r="F4501" s="3">
        <v>37692</v>
      </c>
      <c r="G4501" s="2"/>
      <c r="H4501" s="3">
        <v>43053</v>
      </c>
      <c r="I4501" s="2" t="s">
        <v>19506</v>
      </c>
      <c r="J4501" s="2" t="s">
        <v>13904</v>
      </c>
      <c r="K4501" s="2" t="s">
        <v>19216</v>
      </c>
      <c r="L4501" s="82" t="s">
        <v>19512</v>
      </c>
    </row>
    <row r="4502" spans="1:12" ht="84" customHeight="1" x14ac:dyDescent="0.3">
      <c r="A4502" s="2">
        <v>4498</v>
      </c>
      <c r="B4502" s="66" t="s">
        <v>4546</v>
      </c>
      <c r="C4502" s="66"/>
      <c r="D4502" s="11">
        <v>16886.54</v>
      </c>
      <c r="E4502" s="11">
        <v>16886.54</v>
      </c>
      <c r="F4502" s="3">
        <v>39755</v>
      </c>
      <c r="G4502" s="2"/>
      <c r="H4502" s="3">
        <v>42440</v>
      </c>
      <c r="I4502" s="2" t="s">
        <v>16267</v>
      </c>
      <c r="J4502" s="2" t="s">
        <v>13904</v>
      </c>
      <c r="K4502" s="2" t="s">
        <v>18671</v>
      </c>
      <c r="L4502" s="82"/>
    </row>
    <row r="4503" spans="1:12" ht="84" customHeight="1" x14ac:dyDescent="0.3">
      <c r="A4503" s="2">
        <v>4499</v>
      </c>
      <c r="B4503" s="66" t="s">
        <v>4547</v>
      </c>
      <c r="C4503" s="66"/>
      <c r="D4503" s="11">
        <v>22325.73</v>
      </c>
      <c r="E4503" s="11">
        <v>22325.73</v>
      </c>
      <c r="F4503" s="3">
        <v>40459</v>
      </c>
      <c r="G4503" s="2"/>
      <c r="H4503" s="3">
        <v>42440</v>
      </c>
      <c r="I4503" s="2" t="s">
        <v>16267</v>
      </c>
      <c r="J4503" s="2" t="s">
        <v>13904</v>
      </c>
      <c r="K4503" s="2" t="s">
        <v>18671</v>
      </c>
      <c r="L4503" s="82"/>
    </row>
    <row r="4504" spans="1:12" ht="96" customHeight="1" x14ac:dyDescent="0.3">
      <c r="A4504" s="2">
        <v>4500</v>
      </c>
      <c r="B4504" s="66" t="s">
        <v>4548</v>
      </c>
      <c r="C4504" s="66"/>
      <c r="D4504" s="11">
        <v>6793.36</v>
      </c>
      <c r="E4504" s="11">
        <v>6793.36</v>
      </c>
      <c r="F4504" s="3">
        <v>40877</v>
      </c>
      <c r="G4504" s="2"/>
      <c r="H4504" s="3">
        <v>43053</v>
      </c>
      <c r="I4504" s="2" t="s">
        <v>19506</v>
      </c>
      <c r="J4504" s="2" t="s">
        <v>13904</v>
      </c>
      <c r="K4504" s="2" t="s">
        <v>19216</v>
      </c>
      <c r="L4504" s="82" t="s">
        <v>19512</v>
      </c>
    </row>
    <row r="4505" spans="1:12" ht="96" customHeight="1" x14ac:dyDescent="0.3">
      <c r="A4505" s="2">
        <v>4501</v>
      </c>
      <c r="B4505" s="66" t="s">
        <v>4551</v>
      </c>
      <c r="C4505" s="66"/>
      <c r="D4505" s="244">
        <v>61172.66</v>
      </c>
      <c r="E4505" s="11">
        <v>61172.66</v>
      </c>
      <c r="F4505" s="3">
        <v>41180</v>
      </c>
      <c r="G4505" s="2"/>
      <c r="H4505" s="3">
        <v>43053</v>
      </c>
      <c r="I4505" s="2" t="s">
        <v>19506</v>
      </c>
      <c r="J4505" s="2" t="s">
        <v>13904</v>
      </c>
      <c r="K4505" s="2" t="s">
        <v>19216</v>
      </c>
      <c r="L4505" s="82" t="s">
        <v>19512</v>
      </c>
    </row>
    <row r="4506" spans="1:12" ht="96" customHeight="1" x14ac:dyDescent="0.3">
      <c r="A4506" s="2">
        <v>4502</v>
      </c>
      <c r="B4506" s="66" t="s">
        <v>5185</v>
      </c>
      <c r="C4506" s="66"/>
      <c r="D4506" s="244">
        <v>119818.16</v>
      </c>
      <c r="E4506" s="11">
        <v>119818.16</v>
      </c>
      <c r="F4506" s="3">
        <v>41547</v>
      </c>
      <c r="G4506" s="2"/>
      <c r="H4506" s="3">
        <v>43053</v>
      </c>
      <c r="I4506" s="2" t="s">
        <v>19506</v>
      </c>
      <c r="J4506" s="2" t="s">
        <v>13904</v>
      </c>
      <c r="K4506" s="2" t="s">
        <v>19216</v>
      </c>
      <c r="L4506" s="82" t="s">
        <v>19512</v>
      </c>
    </row>
    <row r="4507" spans="1:12" ht="96" customHeight="1" x14ac:dyDescent="0.3">
      <c r="A4507" s="2">
        <v>4503</v>
      </c>
      <c r="B4507" s="66" t="s">
        <v>5186</v>
      </c>
      <c r="C4507" s="66"/>
      <c r="D4507" s="244">
        <v>151439.35999999999</v>
      </c>
      <c r="E4507" s="11">
        <v>151439.35999999999</v>
      </c>
      <c r="F4507" s="3">
        <v>41857</v>
      </c>
      <c r="G4507" s="2"/>
      <c r="H4507" s="3">
        <v>43053</v>
      </c>
      <c r="I4507" s="2" t="s">
        <v>19506</v>
      </c>
      <c r="J4507" s="2" t="s">
        <v>13904</v>
      </c>
      <c r="K4507" s="2" t="s">
        <v>19216</v>
      </c>
      <c r="L4507" s="82" t="s">
        <v>19512</v>
      </c>
    </row>
    <row r="4508" spans="1:12" ht="96" customHeight="1" x14ac:dyDescent="0.3">
      <c r="A4508" s="2">
        <v>4504</v>
      </c>
      <c r="B4508" s="66" t="s">
        <v>5187</v>
      </c>
      <c r="C4508" s="66" t="s">
        <v>5188</v>
      </c>
      <c r="D4508" s="11">
        <v>27877.5</v>
      </c>
      <c r="E4508" s="11">
        <v>18272.7</v>
      </c>
      <c r="F4508" s="3">
        <v>39771</v>
      </c>
      <c r="G4508" s="2"/>
      <c r="H4508" s="3">
        <v>43053</v>
      </c>
      <c r="I4508" s="2" t="s">
        <v>19506</v>
      </c>
      <c r="J4508" s="2" t="s">
        <v>13904</v>
      </c>
      <c r="K4508" s="2" t="s">
        <v>19216</v>
      </c>
      <c r="L4508" s="82" t="s">
        <v>19512</v>
      </c>
    </row>
    <row r="4509" spans="1:12" ht="96" customHeight="1" x14ac:dyDescent="0.3">
      <c r="A4509" s="2">
        <v>4505</v>
      </c>
      <c r="B4509" s="66" t="s">
        <v>5189</v>
      </c>
      <c r="C4509" s="66" t="s">
        <v>5190</v>
      </c>
      <c r="D4509" s="11">
        <v>33692.050000000003</v>
      </c>
      <c r="E4509" s="11">
        <v>22083.72</v>
      </c>
      <c r="F4509" s="3">
        <v>39771</v>
      </c>
      <c r="G4509" s="2"/>
      <c r="H4509" s="3">
        <v>43053</v>
      </c>
      <c r="I4509" s="2" t="s">
        <v>19506</v>
      </c>
      <c r="J4509" s="2" t="s">
        <v>13904</v>
      </c>
      <c r="K4509" s="2" t="s">
        <v>19216</v>
      </c>
      <c r="L4509" s="82" t="s">
        <v>19512</v>
      </c>
    </row>
    <row r="4510" spans="1:12" ht="96" customHeight="1" x14ac:dyDescent="0.3">
      <c r="A4510" s="2">
        <v>4506</v>
      </c>
      <c r="B4510" s="66" t="s">
        <v>4556</v>
      </c>
      <c r="C4510" s="66" t="s">
        <v>5191</v>
      </c>
      <c r="D4510" s="11">
        <v>4545</v>
      </c>
      <c r="E4510" s="11">
        <v>4545</v>
      </c>
      <c r="F4510" s="3">
        <v>41736</v>
      </c>
      <c r="G4510" s="2"/>
      <c r="H4510" s="3">
        <v>43053</v>
      </c>
      <c r="I4510" s="2" t="s">
        <v>19506</v>
      </c>
      <c r="J4510" s="2" t="s">
        <v>13904</v>
      </c>
      <c r="K4510" s="2" t="s">
        <v>19216</v>
      </c>
      <c r="L4510" s="82" t="s">
        <v>19512</v>
      </c>
    </row>
    <row r="4511" spans="1:12" ht="96" customHeight="1" x14ac:dyDescent="0.3">
      <c r="A4511" s="2">
        <v>4507</v>
      </c>
      <c r="B4511" s="66" t="s">
        <v>4554</v>
      </c>
      <c r="C4511" s="66" t="s">
        <v>5192</v>
      </c>
      <c r="D4511" s="11">
        <v>3980</v>
      </c>
      <c r="E4511" s="11">
        <v>3980</v>
      </c>
      <c r="F4511" s="3">
        <v>41365</v>
      </c>
      <c r="G4511" s="2"/>
      <c r="H4511" s="3">
        <v>43053</v>
      </c>
      <c r="I4511" s="2" t="s">
        <v>19506</v>
      </c>
      <c r="J4511" s="2" t="s">
        <v>13904</v>
      </c>
      <c r="K4511" s="2" t="s">
        <v>19216</v>
      </c>
      <c r="L4511" s="82" t="s">
        <v>19512</v>
      </c>
    </row>
    <row r="4512" spans="1:12" ht="96" customHeight="1" x14ac:dyDescent="0.3">
      <c r="A4512" s="2">
        <v>4508</v>
      </c>
      <c r="B4512" s="66" t="s">
        <v>267</v>
      </c>
      <c r="C4512" s="66" t="s">
        <v>3130</v>
      </c>
      <c r="D4512" s="11">
        <v>5684.25</v>
      </c>
      <c r="E4512" s="11">
        <v>5684.25</v>
      </c>
      <c r="F4512" s="3">
        <v>35228</v>
      </c>
      <c r="G4512" s="2"/>
      <c r="H4512" s="3">
        <v>43053</v>
      </c>
      <c r="I4512" s="2" t="s">
        <v>19506</v>
      </c>
      <c r="J4512" s="2" t="s">
        <v>13904</v>
      </c>
      <c r="K4512" s="2" t="s">
        <v>19216</v>
      </c>
      <c r="L4512" s="82" t="s">
        <v>19512</v>
      </c>
    </row>
    <row r="4513" spans="1:12" ht="96" customHeight="1" x14ac:dyDescent="0.3">
      <c r="A4513" s="2">
        <v>4509</v>
      </c>
      <c r="B4513" s="66" t="s">
        <v>1342</v>
      </c>
      <c r="C4513" s="66" t="s">
        <v>5193</v>
      </c>
      <c r="D4513" s="11">
        <v>11628</v>
      </c>
      <c r="E4513" s="11">
        <v>11628</v>
      </c>
      <c r="F4513" s="3">
        <v>38729</v>
      </c>
      <c r="G4513" s="2"/>
      <c r="H4513" s="3">
        <v>43053</v>
      </c>
      <c r="I4513" s="2" t="s">
        <v>19506</v>
      </c>
      <c r="J4513" s="2" t="s">
        <v>13904</v>
      </c>
      <c r="K4513" s="2" t="s">
        <v>19216</v>
      </c>
      <c r="L4513" s="82" t="s">
        <v>19512</v>
      </c>
    </row>
    <row r="4514" spans="1:12" ht="96" customHeight="1" x14ac:dyDescent="0.3">
      <c r="A4514" s="2">
        <v>4510</v>
      </c>
      <c r="B4514" s="66" t="s">
        <v>5194</v>
      </c>
      <c r="C4514" s="66" t="s">
        <v>5195</v>
      </c>
      <c r="D4514" s="11">
        <v>14881.57</v>
      </c>
      <c r="E4514" s="11">
        <v>14881.57</v>
      </c>
      <c r="F4514" s="3">
        <v>39595</v>
      </c>
      <c r="G4514" s="2"/>
      <c r="H4514" s="3">
        <v>43053</v>
      </c>
      <c r="I4514" s="2" t="s">
        <v>19506</v>
      </c>
      <c r="J4514" s="2" t="s">
        <v>13904</v>
      </c>
      <c r="K4514" s="2" t="s">
        <v>19216</v>
      </c>
      <c r="L4514" s="82" t="s">
        <v>19512</v>
      </c>
    </row>
    <row r="4515" spans="1:12" ht="96" customHeight="1" x14ac:dyDescent="0.3">
      <c r="A4515" s="2">
        <v>4511</v>
      </c>
      <c r="B4515" s="66" t="s">
        <v>3837</v>
      </c>
      <c r="C4515" s="66" t="s">
        <v>5196</v>
      </c>
      <c r="D4515" s="11">
        <v>20205</v>
      </c>
      <c r="E4515" s="11">
        <v>20205</v>
      </c>
      <c r="F4515" s="3">
        <v>41267</v>
      </c>
      <c r="G4515" s="2"/>
      <c r="H4515" s="3">
        <v>43053</v>
      </c>
      <c r="I4515" s="2" t="s">
        <v>19506</v>
      </c>
      <c r="J4515" s="2" t="s">
        <v>13904</v>
      </c>
      <c r="K4515" s="2" t="s">
        <v>19216</v>
      </c>
      <c r="L4515" s="82" t="s">
        <v>19512</v>
      </c>
    </row>
    <row r="4516" spans="1:12" ht="96" customHeight="1" x14ac:dyDescent="0.3">
      <c r="A4516" s="2">
        <v>4512</v>
      </c>
      <c r="B4516" s="66" t="s">
        <v>18771</v>
      </c>
      <c r="C4516" s="66">
        <v>4101240016</v>
      </c>
      <c r="D4516" s="11">
        <v>263058.90000000002</v>
      </c>
      <c r="E4516" s="11">
        <v>1.19</v>
      </c>
      <c r="F4516" s="3">
        <v>42661</v>
      </c>
      <c r="G4516" s="2"/>
      <c r="H4516" s="2"/>
      <c r="I4516" s="2"/>
      <c r="J4516" s="2" t="s">
        <v>13904</v>
      </c>
      <c r="K4516" s="2" t="s">
        <v>19216</v>
      </c>
      <c r="L4516" s="82" t="s">
        <v>18770</v>
      </c>
    </row>
    <row r="4517" spans="1:12" ht="96" customHeight="1" x14ac:dyDescent="0.3">
      <c r="A4517" s="2">
        <v>4513</v>
      </c>
      <c r="B4517" s="66" t="s">
        <v>5197</v>
      </c>
      <c r="C4517" s="66" t="s">
        <v>5198</v>
      </c>
      <c r="D4517" s="11">
        <v>21600</v>
      </c>
      <c r="E4517" s="11">
        <v>21600</v>
      </c>
      <c r="F4517" s="3">
        <v>39679</v>
      </c>
      <c r="G4517" s="2"/>
      <c r="H4517" s="3">
        <v>43053</v>
      </c>
      <c r="I4517" s="2" t="s">
        <v>19506</v>
      </c>
      <c r="J4517" s="2" t="s">
        <v>13904</v>
      </c>
      <c r="K4517" s="2" t="s">
        <v>19216</v>
      </c>
      <c r="L4517" s="82" t="s">
        <v>19512</v>
      </c>
    </row>
    <row r="4518" spans="1:12" ht="96" customHeight="1" x14ac:dyDescent="0.3">
      <c r="A4518" s="2">
        <v>4514</v>
      </c>
      <c r="B4518" s="66" t="s">
        <v>5199</v>
      </c>
      <c r="C4518" s="66" t="s">
        <v>5200</v>
      </c>
      <c r="D4518" s="11">
        <v>21600</v>
      </c>
      <c r="E4518" s="11">
        <v>21600</v>
      </c>
      <c r="F4518" s="3">
        <v>39679</v>
      </c>
      <c r="G4518" s="2"/>
      <c r="H4518" s="3">
        <v>43053</v>
      </c>
      <c r="I4518" s="2" t="s">
        <v>19506</v>
      </c>
      <c r="J4518" s="2" t="s">
        <v>13904</v>
      </c>
      <c r="K4518" s="2" t="s">
        <v>19216</v>
      </c>
      <c r="L4518" s="82" t="s">
        <v>19512</v>
      </c>
    </row>
    <row r="4519" spans="1:12" ht="96" customHeight="1" x14ac:dyDescent="0.3">
      <c r="A4519" s="2">
        <v>4515</v>
      </c>
      <c r="B4519" s="66" t="s">
        <v>5201</v>
      </c>
      <c r="C4519" s="66" t="s">
        <v>5202</v>
      </c>
      <c r="D4519" s="11">
        <v>21600</v>
      </c>
      <c r="E4519" s="11">
        <v>21600</v>
      </c>
      <c r="F4519" s="3">
        <v>39679</v>
      </c>
      <c r="G4519" s="2"/>
      <c r="H4519" s="3">
        <v>43053</v>
      </c>
      <c r="I4519" s="2" t="s">
        <v>19506</v>
      </c>
      <c r="J4519" s="2" t="s">
        <v>13904</v>
      </c>
      <c r="K4519" s="2" t="s">
        <v>19216</v>
      </c>
      <c r="L4519" s="82" t="s">
        <v>19512</v>
      </c>
    </row>
    <row r="4520" spans="1:12" ht="96" customHeight="1" x14ac:dyDescent="0.3">
      <c r="A4520" s="2">
        <v>4516</v>
      </c>
      <c r="B4520" s="66" t="s">
        <v>5130</v>
      </c>
      <c r="C4520" s="66" t="s">
        <v>5203</v>
      </c>
      <c r="D4520" s="11">
        <v>21600</v>
      </c>
      <c r="E4520" s="11">
        <v>21600</v>
      </c>
      <c r="F4520" s="3">
        <v>39679</v>
      </c>
      <c r="G4520" s="2"/>
      <c r="H4520" s="3">
        <v>43053</v>
      </c>
      <c r="I4520" s="2" t="s">
        <v>19506</v>
      </c>
      <c r="J4520" s="2" t="s">
        <v>13904</v>
      </c>
      <c r="K4520" s="2" t="s">
        <v>19216</v>
      </c>
      <c r="L4520" s="82" t="s">
        <v>19512</v>
      </c>
    </row>
    <row r="4521" spans="1:12" ht="96" customHeight="1" x14ac:dyDescent="0.3">
      <c r="A4521" s="2">
        <v>4517</v>
      </c>
      <c r="B4521" s="66" t="s">
        <v>5130</v>
      </c>
      <c r="C4521" s="66" t="s">
        <v>5204</v>
      </c>
      <c r="D4521" s="11">
        <v>21600</v>
      </c>
      <c r="E4521" s="11">
        <v>21600</v>
      </c>
      <c r="F4521" s="3">
        <v>39679</v>
      </c>
      <c r="G4521" s="2"/>
      <c r="H4521" s="3">
        <v>43053</v>
      </c>
      <c r="I4521" s="2" t="s">
        <v>19506</v>
      </c>
      <c r="J4521" s="2" t="s">
        <v>13904</v>
      </c>
      <c r="K4521" s="2" t="s">
        <v>19216</v>
      </c>
      <c r="L4521" s="82" t="s">
        <v>19512</v>
      </c>
    </row>
    <row r="4522" spans="1:12" ht="96" customHeight="1" x14ac:dyDescent="0.3">
      <c r="A4522" s="2">
        <v>4518</v>
      </c>
      <c r="B4522" s="66" t="s">
        <v>5130</v>
      </c>
      <c r="C4522" s="66" t="s">
        <v>5205</v>
      </c>
      <c r="D4522" s="11">
        <v>21600</v>
      </c>
      <c r="E4522" s="11">
        <v>21600</v>
      </c>
      <c r="F4522" s="3">
        <v>39679</v>
      </c>
      <c r="G4522" s="2"/>
      <c r="H4522" s="3">
        <v>43053</v>
      </c>
      <c r="I4522" s="2" t="s">
        <v>19506</v>
      </c>
      <c r="J4522" s="2" t="s">
        <v>13904</v>
      </c>
      <c r="K4522" s="2" t="s">
        <v>19216</v>
      </c>
      <c r="L4522" s="82" t="s">
        <v>19512</v>
      </c>
    </row>
    <row r="4523" spans="1:12" ht="96" customHeight="1" x14ac:dyDescent="0.3">
      <c r="A4523" s="2">
        <v>4519</v>
      </c>
      <c r="B4523" s="66" t="s">
        <v>5130</v>
      </c>
      <c r="C4523" s="66" t="s">
        <v>5206</v>
      </c>
      <c r="D4523" s="11">
        <v>21600</v>
      </c>
      <c r="E4523" s="11">
        <v>21600</v>
      </c>
      <c r="F4523" s="3">
        <v>39679</v>
      </c>
      <c r="G4523" s="2"/>
      <c r="H4523" s="3">
        <v>43053</v>
      </c>
      <c r="I4523" s="2" t="s">
        <v>19506</v>
      </c>
      <c r="J4523" s="2" t="s">
        <v>13904</v>
      </c>
      <c r="K4523" s="2" t="s">
        <v>19216</v>
      </c>
      <c r="L4523" s="82" t="s">
        <v>19512</v>
      </c>
    </row>
    <row r="4524" spans="1:12" ht="96" customHeight="1" x14ac:dyDescent="0.3">
      <c r="A4524" s="2">
        <v>4520</v>
      </c>
      <c r="B4524" s="66" t="s">
        <v>5130</v>
      </c>
      <c r="C4524" s="66" t="s">
        <v>5207</v>
      </c>
      <c r="D4524" s="11">
        <v>21600</v>
      </c>
      <c r="E4524" s="11">
        <v>21600</v>
      </c>
      <c r="F4524" s="3">
        <v>39679</v>
      </c>
      <c r="G4524" s="2"/>
      <c r="H4524" s="3">
        <v>43053</v>
      </c>
      <c r="I4524" s="2" t="s">
        <v>19506</v>
      </c>
      <c r="J4524" s="2" t="s">
        <v>13904</v>
      </c>
      <c r="K4524" s="2" t="s">
        <v>19216</v>
      </c>
      <c r="L4524" s="82" t="s">
        <v>19512</v>
      </c>
    </row>
    <row r="4525" spans="1:12" ht="96" customHeight="1" x14ac:dyDescent="0.3">
      <c r="A4525" s="2">
        <v>4521</v>
      </c>
      <c r="B4525" s="66" t="s">
        <v>5208</v>
      </c>
      <c r="C4525" s="66" t="s">
        <v>5209</v>
      </c>
      <c r="D4525" s="11">
        <v>10800</v>
      </c>
      <c r="E4525" s="11">
        <v>10800</v>
      </c>
      <c r="F4525" s="3">
        <v>39798</v>
      </c>
      <c r="G4525" s="2"/>
      <c r="H4525" s="3">
        <v>43053</v>
      </c>
      <c r="I4525" s="2" t="s">
        <v>19506</v>
      </c>
      <c r="J4525" s="2" t="s">
        <v>13904</v>
      </c>
      <c r="K4525" s="2" t="s">
        <v>19216</v>
      </c>
      <c r="L4525" s="82" t="s">
        <v>19512</v>
      </c>
    </row>
    <row r="4526" spans="1:12" ht="96" customHeight="1" x14ac:dyDescent="0.3">
      <c r="A4526" s="2">
        <v>4522</v>
      </c>
      <c r="B4526" s="66" t="s">
        <v>221</v>
      </c>
      <c r="C4526" s="66" t="s">
        <v>5210</v>
      </c>
      <c r="D4526" s="11">
        <v>4080</v>
      </c>
      <c r="E4526" s="11">
        <v>4080</v>
      </c>
      <c r="F4526" s="3">
        <v>39076</v>
      </c>
      <c r="G4526" s="2"/>
      <c r="H4526" s="3">
        <v>43053</v>
      </c>
      <c r="I4526" s="2" t="s">
        <v>19506</v>
      </c>
      <c r="J4526" s="2" t="s">
        <v>13904</v>
      </c>
      <c r="K4526" s="2" t="s">
        <v>19216</v>
      </c>
      <c r="L4526" s="82" t="s">
        <v>19512</v>
      </c>
    </row>
    <row r="4527" spans="1:12" ht="96" customHeight="1" x14ac:dyDescent="0.3">
      <c r="A4527" s="2">
        <v>4523</v>
      </c>
      <c r="B4527" s="66" t="s">
        <v>3570</v>
      </c>
      <c r="C4527" s="66" t="s">
        <v>5211</v>
      </c>
      <c r="D4527" s="11">
        <v>5000</v>
      </c>
      <c r="E4527" s="11">
        <v>5000</v>
      </c>
      <c r="F4527" s="3">
        <v>39435</v>
      </c>
      <c r="G4527" s="2"/>
      <c r="H4527" s="3">
        <v>43053</v>
      </c>
      <c r="I4527" s="2" t="s">
        <v>19506</v>
      </c>
      <c r="J4527" s="2" t="s">
        <v>13904</v>
      </c>
      <c r="K4527" s="2" t="s">
        <v>19216</v>
      </c>
      <c r="L4527" s="82" t="s">
        <v>19512</v>
      </c>
    </row>
    <row r="4528" spans="1:12" ht="96" customHeight="1" x14ac:dyDescent="0.3">
      <c r="A4528" s="2">
        <v>4524</v>
      </c>
      <c r="B4528" s="66" t="s">
        <v>222</v>
      </c>
      <c r="C4528" s="66" t="s">
        <v>4355</v>
      </c>
      <c r="D4528" s="11">
        <v>6384.35</v>
      </c>
      <c r="E4528" s="11">
        <v>6384.35</v>
      </c>
      <c r="F4528" s="3">
        <v>36781</v>
      </c>
      <c r="G4528" s="2"/>
      <c r="H4528" s="3">
        <v>43053</v>
      </c>
      <c r="I4528" s="2" t="s">
        <v>19506</v>
      </c>
      <c r="J4528" s="2" t="s">
        <v>13904</v>
      </c>
      <c r="K4528" s="2" t="s">
        <v>19216</v>
      </c>
      <c r="L4528" s="82" t="s">
        <v>19512</v>
      </c>
    </row>
    <row r="4529" spans="1:12" ht="96" customHeight="1" x14ac:dyDescent="0.3">
      <c r="A4529" s="2">
        <v>4525</v>
      </c>
      <c r="B4529" s="66" t="s">
        <v>222</v>
      </c>
      <c r="C4529" s="66" t="s">
        <v>4340</v>
      </c>
      <c r="D4529" s="11">
        <v>8651.2999999999993</v>
      </c>
      <c r="E4529" s="11">
        <v>8651.2999999999993</v>
      </c>
      <c r="F4529" s="3">
        <v>36862</v>
      </c>
      <c r="G4529" s="2"/>
      <c r="H4529" s="3">
        <v>43053</v>
      </c>
      <c r="I4529" s="2" t="s">
        <v>19506</v>
      </c>
      <c r="J4529" s="2" t="s">
        <v>13904</v>
      </c>
      <c r="K4529" s="2" t="s">
        <v>19216</v>
      </c>
      <c r="L4529" s="82" t="s">
        <v>19512</v>
      </c>
    </row>
    <row r="4530" spans="1:12" ht="96" customHeight="1" x14ac:dyDescent="0.3">
      <c r="A4530" s="2">
        <v>4526</v>
      </c>
      <c r="B4530" s="66" t="s">
        <v>227</v>
      </c>
      <c r="C4530" s="66" t="s">
        <v>4209</v>
      </c>
      <c r="D4530" s="11">
        <v>11832</v>
      </c>
      <c r="E4530" s="11">
        <v>11832</v>
      </c>
      <c r="F4530" s="3">
        <v>39065</v>
      </c>
      <c r="G4530" s="2"/>
      <c r="H4530" s="3">
        <v>43053</v>
      </c>
      <c r="I4530" s="2" t="s">
        <v>19506</v>
      </c>
      <c r="J4530" s="2" t="s">
        <v>13904</v>
      </c>
      <c r="K4530" s="2" t="s">
        <v>19216</v>
      </c>
      <c r="L4530" s="82" t="s">
        <v>19512</v>
      </c>
    </row>
    <row r="4531" spans="1:12" ht="96" customHeight="1" x14ac:dyDescent="0.3">
      <c r="A4531" s="2">
        <v>4527</v>
      </c>
      <c r="B4531" s="66" t="s">
        <v>4742</v>
      </c>
      <c r="C4531" s="66" t="s">
        <v>5212</v>
      </c>
      <c r="D4531" s="11">
        <v>30946.959999999999</v>
      </c>
      <c r="E4531" s="11">
        <v>30946.959999999999</v>
      </c>
      <c r="F4531" s="3">
        <v>39057</v>
      </c>
      <c r="G4531" s="2"/>
      <c r="H4531" s="3">
        <v>43053</v>
      </c>
      <c r="I4531" s="2" t="s">
        <v>19506</v>
      </c>
      <c r="J4531" s="2" t="s">
        <v>13904</v>
      </c>
      <c r="K4531" s="2" t="s">
        <v>19216</v>
      </c>
      <c r="L4531" s="82" t="s">
        <v>19512</v>
      </c>
    </row>
    <row r="4532" spans="1:12" ht="96" customHeight="1" x14ac:dyDescent="0.3">
      <c r="A4532" s="2">
        <v>4528</v>
      </c>
      <c r="B4532" s="66" t="s">
        <v>4742</v>
      </c>
      <c r="C4532" s="66" t="s">
        <v>5213</v>
      </c>
      <c r="D4532" s="11">
        <v>32747.360000000001</v>
      </c>
      <c r="E4532" s="11">
        <v>32747.360000000001</v>
      </c>
      <c r="F4532" s="3">
        <v>39057</v>
      </c>
      <c r="G4532" s="2"/>
      <c r="H4532" s="3">
        <v>43053</v>
      </c>
      <c r="I4532" s="2" t="s">
        <v>19506</v>
      </c>
      <c r="J4532" s="2" t="s">
        <v>13904</v>
      </c>
      <c r="K4532" s="2" t="s">
        <v>19216</v>
      </c>
      <c r="L4532" s="82" t="s">
        <v>19512</v>
      </c>
    </row>
    <row r="4533" spans="1:12" ht="96" customHeight="1" x14ac:dyDescent="0.3">
      <c r="A4533" s="2">
        <v>4529</v>
      </c>
      <c r="B4533" s="66" t="s">
        <v>929</v>
      </c>
      <c r="C4533" s="66" t="s">
        <v>5214</v>
      </c>
      <c r="D4533" s="11">
        <v>10317.42</v>
      </c>
      <c r="E4533" s="11">
        <v>10317.42</v>
      </c>
      <c r="F4533" s="3">
        <v>29281</v>
      </c>
      <c r="G4533" s="2"/>
      <c r="H4533" s="3">
        <v>43053</v>
      </c>
      <c r="I4533" s="2" t="s">
        <v>19506</v>
      </c>
      <c r="J4533" s="2" t="s">
        <v>13904</v>
      </c>
      <c r="K4533" s="2" t="s">
        <v>19216</v>
      </c>
      <c r="L4533" s="82" t="s">
        <v>19512</v>
      </c>
    </row>
    <row r="4534" spans="1:12" ht="96" customHeight="1" x14ac:dyDescent="0.3">
      <c r="A4534" s="2">
        <v>4530</v>
      </c>
      <c r="B4534" s="66" t="s">
        <v>5215</v>
      </c>
      <c r="C4534" s="66" t="s">
        <v>5216</v>
      </c>
      <c r="D4534" s="11">
        <v>10317.42</v>
      </c>
      <c r="E4534" s="11">
        <v>10317.42</v>
      </c>
      <c r="F4534" s="3">
        <v>29281</v>
      </c>
      <c r="G4534" s="2"/>
      <c r="H4534" s="3">
        <v>43053</v>
      </c>
      <c r="I4534" s="2" t="s">
        <v>19506</v>
      </c>
      <c r="J4534" s="2" t="s">
        <v>13904</v>
      </c>
      <c r="K4534" s="2" t="s">
        <v>19216</v>
      </c>
      <c r="L4534" s="82" t="s">
        <v>19512</v>
      </c>
    </row>
    <row r="4535" spans="1:12" ht="96" customHeight="1" x14ac:dyDescent="0.3">
      <c r="A4535" s="2">
        <v>4531</v>
      </c>
      <c r="B4535" s="66" t="s">
        <v>4602</v>
      </c>
      <c r="C4535" s="66" t="s">
        <v>5217</v>
      </c>
      <c r="D4535" s="11">
        <v>27797</v>
      </c>
      <c r="E4535" s="11">
        <v>27797</v>
      </c>
      <c r="F4535" s="3">
        <v>40898</v>
      </c>
      <c r="G4535" s="2"/>
      <c r="H4535" s="3">
        <v>43053</v>
      </c>
      <c r="I4535" s="2" t="s">
        <v>19506</v>
      </c>
      <c r="J4535" s="2" t="s">
        <v>13904</v>
      </c>
      <c r="K4535" s="2" t="s">
        <v>19216</v>
      </c>
      <c r="L4535" s="82" t="s">
        <v>19512</v>
      </c>
    </row>
    <row r="4536" spans="1:12" ht="96" customHeight="1" x14ac:dyDescent="0.3">
      <c r="A4536" s="2">
        <v>4532</v>
      </c>
      <c r="B4536" s="66" t="s">
        <v>3835</v>
      </c>
      <c r="C4536" s="66" t="s">
        <v>5218</v>
      </c>
      <c r="D4536" s="11">
        <v>10767.12</v>
      </c>
      <c r="E4536" s="11">
        <v>10767.12</v>
      </c>
      <c r="F4536" s="3">
        <v>38729</v>
      </c>
      <c r="G4536" s="2"/>
      <c r="H4536" s="3">
        <v>43053</v>
      </c>
      <c r="I4536" s="2" t="s">
        <v>19506</v>
      </c>
      <c r="J4536" s="2" t="s">
        <v>13904</v>
      </c>
      <c r="K4536" s="2" t="s">
        <v>19216</v>
      </c>
      <c r="L4536" s="82" t="s">
        <v>19512</v>
      </c>
    </row>
    <row r="4537" spans="1:12" ht="96" customHeight="1" x14ac:dyDescent="0.3">
      <c r="A4537" s="2">
        <v>4533</v>
      </c>
      <c r="B4537" s="66" t="s">
        <v>217</v>
      </c>
      <c r="C4537" s="66" t="s">
        <v>5219</v>
      </c>
      <c r="D4537" s="11">
        <v>8925</v>
      </c>
      <c r="E4537" s="11">
        <v>8925</v>
      </c>
      <c r="F4537" s="3">
        <v>36568</v>
      </c>
      <c r="G4537" s="2"/>
      <c r="H4537" s="3">
        <v>43053</v>
      </c>
      <c r="I4537" s="2" t="s">
        <v>19506</v>
      </c>
      <c r="J4537" s="2" t="s">
        <v>13904</v>
      </c>
      <c r="K4537" s="2" t="s">
        <v>19216</v>
      </c>
      <c r="L4537" s="82" t="s">
        <v>19512</v>
      </c>
    </row>
    <row r="4538" spans="1:12" ht="96" customHeight="1" x14ac:dyDescent="0.3">
      <c r="A4538" s="2">
        <v>4534</v>
      </c>
      <c r="B4538" s="66" t="s">
        <v>4922</v>
      </c>
      <c r="C4538" s="66" t="s">
        <v>5220</v>
      </c>
      <c r="D4538" s="11">
        <v>30256.26</v>
      </c>
      <c r="E4538" s="11">
        <v>30256.26</v>
      </c>
      <c r="F4538" s="3">
        <v>38729</v>
      </c>
      <c r="G4538" s="2"/>
      <c r="H4538" s="3">
        <v>43053</v>
      </c>
      <c r="I4538" s="2" t="s">
        <v>19506</v>
      </c>
      <c r="J4538" s="2" t="s">
        <v>13904</v>
      </c>
      <c r="K4538" s="2" t="s">
        <v>19216</v>
      </c>
      <c r="L4538" s="82" t="s">
        <v>19512</v>
      </c>
    </row>
    <row r="4539" spans="1:12" ht="96" customHeight="1" x14ac:dyDescent="0.3">
      <c r="A4539" s="2">
        <v>4535</v>
      </c>
      <c r="B4539" s="66" t="s">
        <v>223</v>
      </c>
      <c r="C4539" s="66" t="s">
        <v>3436</v>
      </c>
      <c r="D4539" s="11">
        <v>21468.959999999999</v>
      </c>
      <c r="E4539" s="11">
        <v>21468.959999999999</v>
      </c>
      <c r="F4539" s="3">
        <v>38729</v>
      </c>
      <c r="G4539" s="2"/>
      <c r="H4539" s="3">
        <v>43053</v>
      </c>
      <c r="I4539" s="2" t="s">
        <v>19506</v>
      </c>
      <c r="J4539" s="2" t="s">
        <v>13904</v>
      </c>
      <c r="K4539" s="2" t="s">
        <v>19216</v>
      </c>
      <c r="L4539" s="82" t="s">
        <v>19512</v>
      </c>
    </row>
    <row r="4540" spans="1:12" ht="96" customHeight="1" x14ac:dyDescent="0.3">
      <c r="A4540" s="2">
        <v>4536</v>
      </c>
      <c r="B4540" s="66" t="s">
        <v>223</v>
      </c>
      <c r="C4540" s="66" t="s">
        <v>5221</v>
      </c>
      <c r="D4540" s="11">
        <v>11265.65</v>
      </c>
      <c r="E4540" s="11">
        <v>11265.65</v>
      </c>
      <c r="F4540" s="3">
        <v>38729</v>
      </c>
      <c r="G4540" s="2"/>
      <c r="H4540" s="3">
        <v>43053</v>
      </c>
      <c r="I4540" s="2" t="s">
        <v>19506</v>
      </c>
      <c r="J4540" s="2" t="s">
        <v>13904</v>
      </c>
      <c r="K4540" s="2" t="s">
        <v>19216</v>
      </c>
      <c r="L4540" s="82" t="s">
        <v>19512</v>
      </c>
    </row>
    <row r="4541" spans="1:12" ht="96" customHeight="1" x14ac:dyDescent="0.3">
      <c r="A4541" s="2">
        <v>4537</v>
      </c>
      <c r="B4541" s="66" t="s">
        <v>223</v>
      </c>
      <c r="C4541" s="66" t="s">
        <v>3127</v>
      </c>
      <c r="D4541" s="11">
        <v>11265.65</v>
      </c>
      <c r="E4541" s="11">
        <v>11265.65</v>
      </c>
      <c r="F4541" s="3">
        <v>38729</v>
      </c>
      <c r="G4541" s="2"/>
      <c r="H4541" s="3">
        <v>43053</v>
      </c>
      <c r="I4541" s="2" t="s">
        <v>19506</v>
      </c>
      <c r="J4541" s="2" t="s">
        <v>13904</v>
      </c>
      <c r="K4541" s="2" t="s">
        <v>19216</v>
      </c>
      <c r="L4541" s="82" t="s">
        <v>19512</v>
      </c>
    </row>
    <row r="4542" spans="1:12" ht="96" customHeight="1" x14ac:dyDescent="0.3">
      <c r="A4542" s="2">
        <v>4538</v>
      </c>
      <c r="B4542" s="66" t="s">
        <v>223</v>
      </c>
      <c r="C4542" s="66" t="s">
        <v>5222</v>
      </c>
      <c r="D4542" s="11">
        <v>11265.65</v>
      </c>
      <c r="E4542" s="11">
        <v>11265.65</v>
      </c>
      <c r="F4542" s="3">
        <v>38729</v>
      </c>
      <c r="G4542" s="2"/>
      <c r="H4542" s="3">
        <v>43053</v>
      </c>
      <c r="I4542" s="2" t="s">
        <v>19506</v>
      </c>
      <c r="J4542" s="2" t="s">
        <v>13904</v>
      </c>
      <c r="K4542" s="2" t="s">
        <v>19216</v>
      </c>
      <c r="L4542" s="82" t="s">
        <v>19512</v>
      </c>
    </row>
    <row r="4543" spans="1:12" ht="96" customHeight="1" x14ac:dyDescent="0.3">
      <c r="A4543" s="2">
        <v>4539</v>
      </c>
      <c r="B4543" s="66" t="s">
        <v>223</v>
      </c>
      <c r="C4543" s="66" t="s">
        <v>5223</v>
      </c>
      <c r="D4543" s="11">
        <v>11265.65</v>
      </c>
      <c r="E4543" s="11">
        <v>11265.65</v>
      </c>
      <c r="F4543" s="3">
        <v>38729</v>
      </c>
      <c r="G4543" s="2"/>
      <c r="H4543" s="3">
        <v>43053</v>
      </c>
      <c r="I4543" s="2" t="s">
        <v>19506</v>
      </c>
      <c r="J4543" s="2" t="s">
        <v>13904</v>
      </c>
      <c r="K4543" s="2" t="s">
        <v>19216</v>
      </c>
      <c r="L4543" s="82" t="s">
        <v>19512</v>
      </c>
    </row>
    <row r="4544" spans="1:12" ht="96" customHeight="1" x14ac:dyDescent="0.3">
      <c r="A4544" s="2">
        <v>4540</v>
      </c>
      <c r="B4544" s="66" t="s">
        <v>223</v>
      </c>
      <c r="C4544" s="66" t="s">
        <v>4217</v>
      </c>
      <c r="D4544" s="11">
        <v>15189.84</v>
      </c>
      <c r="E4544" s="11">
        <v>15189.84</v>
      </c>
      <c r="F4544" s="3">
        <v>38729</v>
      </c>
      <c r="G4544" s="2"/>
      <c r="H4544" s="3">
        <v>43053</v>
      </c>
      <c r="I4544" s="2" t="s">
        <v>19506</v>
      </c>
      <c r="J4544" s="2" t="s">
        <v>13904</v>
      </c>
      <c r="K4544" s="2" t="s">
        <v>19216</v>
      </c>
      <c r="L4544" s="82" t="s">
        <v>19512</v>
      </c>
    </row>
    <row r="4545" spans="1:12" ht="96" customHeight="1" x14ac:dyDescent="0.3">
      <c r="A4545" s="2">
        <v>4541</v>
      </c>
      <c r="B4545" s="66" t="s">
        <v>4057</v>
      </c>
      <c r="C4545" s="66" t="s">
        <v>5224</v>
      </c>
      <c r="D4545" s="11">
        <v>5865.51</v>
      </c>
      <c r="E4545" s="11">
        <v>5865.51</v>
      </c>
      <c r="F4545" s="3">
        <v>36765</v>
      </c>
      <c r="G4545" s="2"/>
      <c r="H4545" s="3">
        <v>43053</v>
      </c>
      <c r="I4545" s="2" t="s">
        <v>19506</v>
      </c>
      <c r="J4545" s="2" t="s">
        <v>13904</v>
      </c>
      <c r="K4545" s="2" t="s">
        <v>19216</v>
      </c>
      <c r="L4545" s="82" t="s">
        <v>19512</v>
      </c>
    </row>
    <row r="4546" spans="1:12" ht="96" customHeight="1" x14ac:dyDescent="0.3">
      <c r="A4546" s="2">
        <v>4542</v>
      </c>
      <c r="B4546" s="66" t="s">
        <v>5225</v>
      </c>
      <c r="C4546" s="66" t="s">
        <v>5226</v>
      </c>
      <c r="D4546" s="11">
        <v>3231.45</v>
      </c>
      <c r="E4546" s="11">
        <v>3231.45</v>
      </c>
      <c r="F4546" s="3">
        <v>33950</v>
      </c>
      <c r="G4546" s="2"/>
      <c r="H4546" s="3">
        <v>43053</v>
      </c>
      <c r="I4546" s="2" t="s">
        <v>19506</v>
      </c>
      <c r="J4546" s="2" t="s">
        <v>13904</v>
      </c>
      <c r="K4546" s="2" t="s">
        <v>19216</v>
      </c>
      <c r="L4546" s="82" t="s">
        <v>19512</v>
      </c>
    </row>
    <row r="4547" spans="1:12" ht="96" customHeight="1" x14ac:dyDescent="0.3">
      <c r="A4547" s="2">
        <v>4543</v>
      </c>
      <c r="B4547" s="66" t="s">
        <v>5227</v>
      </c>
      <c r="C4547" s="66" t="s">
        <v>3303</v>
      </c>
      <c r="D4547" s="11">
        <v>4082.89</v>
      </c>
      <c r="E4547" s="11">
        <v>4082.89</v>
      </c>
      <c r="F4547" s="3">
        <v>33128</v>
      </c>
      <c r="G4547" s="2"/>
      <c r="H4547" s="3">
        <v>43053</v>
      </c>
      <c r="I4547" s="2" t="s">
        <v>19506</v>
      </c>
      <c r="J4547" s="2" t="s">
        <v>13904</v>
      </c>
      <c r="K4547" s="2" t="s">
        <v>19216</v>
      </c>
      <c r="L4547" s="82" t="s">
        <v>19512</v>
      </c>
    </row>
    <row r="4548" spans="1:12" ht="96" customHeight="1" x14ac:dyDescent="0.3">
      <c r="A4548" s="2">
        <v>4544</v>
      </c>
      <c r="B4548" s="66" t="s">
        <v>5228</v>
      </c>
      <c r="C4548" s="66" t="s">
        <v>5229</v>
      </c>
      <c r="D4548" s="11">
        <v>7342.5</v>
      </c>
      <c r="E4548" s="11">
        <v>7342.5</v>
      </c>
      <c r="F4548" s="3">
        <v>33964</v>
      </c>
      <c r="G4548" s="2"/>
      <c r="H4548" s="3">
        <v>43053</v>
      </c>
      <c r="I4548" s="2" t="s">
        <v>19506</v>
      </c>
      <c r="J4548" s="2" t="s">
        <v>13904</v>
      </c>
      <c r="K4548" s="2" t="s">
        <v>19216</v>
      </c>
      <c r="L4548" s="82" t="s">
        <v>19512</v>
      </c>
    </row>
    <row r="4549" spans="1:12" ht="96" customHeight="1" x14ac:dyDescent="0.3">
      <c r="A4549" s="2">
        <v>4545</v>
      </c>
      <c r="B4549" s="66" t="s">
        <v>971</v>
      </c>
      <c r="C4549" s="66" t="s">
        <v>5230</v>
      </c>
      <c r="D4549" s="11">
        <v>15250</v>
      </c>
      <c r="E4549" s="11">
        <v>15250</v>
      </c>
      <c r="F4549" s="3">
        <v>39744</v>
      </c>
      <c r="G4549" s="2"/>
      <c r="H4549" s="3">
        <v>43053</v>
      </c>
      <c r="I4549" s="2" t="s">
        <v>19506</v>
      </c>
      <c r="J4549" s="2" t="s">
        <v>13904</v>
      </c>
      <c r="K4549" s="2" t="s">
        <v>19216</v>
      </c>
      <c r="L4549" s="82" t="s">
        <v>19512</v>
      </c>
    </row>
    <row r="4550" spans="1:12" ht="96" customHeight="1" x14ac:dyDescent="0.3">
      <c r="A4550" s="2">
        <v>4546</v>
      </c>
      <c r="B4550" s="66" t="s">
        <v>971</v>
      </c>
      <c r="C4550" s="66" t="s">
        <v>4970</v>
      </c>
      <c r="D4550" s="11">
        <v>15250</v>
      </c>
      <c r="E4550" s="11">
        <v>15250</v>
      </c>
      <c r="F4550" s="3">
        <v>39744</v>
      </c>
      <c r="G4550" s="2"/>
      <c r="H4550" s="3">
        <v>43053</v>
      </c>
      <c r="I4550" s="2" t="s">
        <v>19506</v>
      </c>
      <c r="J4550" s="2" t="s">
        <v>13904</v>
      </c>
      <c r="K4550" s="2" t="s">
        <v>19216</v>
      </c>
      <c r="L4550" s="82" t="s">
        <v>19512</v>
      </c>
    </row>
    <row r="4551" spans="1:12" ht="96" customHeight="1" x14ac:dyDescent="0.3">
      <c r="A4551" s="2">
        <v>4547</v>
      </c>
      <c r="B4551" s="66" t="s">
        <v>971</v>
      </c>
      <c r="C4551" s="66" t="s">
        <v>4975</v>
      </c>
      <c r="D4551" s="11">
        <v>15250</v>
      </c>
      <c r="E4551" s="11">
        <v>15250</v>
      </c>
      <c r="F4551" s="3">
        <v>39744</v>
      </c>
      <c r="G4551" s="2"/>
      <c r="H4551" s="3">
        <v>43053</v>
      </c>
      <c r="I4551" s="2" t="s">
        <v>19506</v>
      </c>
      <c r="J4551" s="2" t="s">
        <v>13904</v>
      </c>
      <c r="K4551" s="2" t="s">
        <v>19216</v>
      </c>
      <c r="L4551" s="82" t="s">
        <v>19512</v>
      </c>
    </row>
    <row r="4552" spans="1:12" ht="96" customHeight="1" x14ac:dyDescent="0.3">
      <c r="A4552" s="2">
        <v>4548</v>
      </c>
      <c r="B4552" s="66" t="s">
        <v>971</v>
      </c>
      <c r="C4552" s="66" t="s">
        <v>5231</v>
      </c>
      <c r="D4552" s="11">
        <v>15250</v>
      </c>
      <c r="E4552" s="11">
        <v>15250</v>
      </c>
      <c r="F4552" s="3">
        <v>39744</v>
      </c>
      <c r="G4552" s="2"/>
      <c r="H4552" s="3">
        <v>43053</v>
      </c>
      <c r="I4552" s="2" t="s">
        <v>19506</v>
      </c>
      <c r="J4552" s="2" t="s">
        <v>13904</v>
      </c>
      <c r="K4552" s="2" t="s">
        <v>19216</v>
      </c>
      <c r="L4552" s="82" t="s">
        <v>19512</v>
      </c>
    </row>
    <row r="4553" spans="1:12" ht="96" customHeight="1" x14ac:dyDescent="0.3">
      <c r="A4553" s="2">
        <v>4549</v>
      </c>
      <c r="B4553" s="66" t="s">
        <v>971</v>
      </c>
      <c r="C4553" s="66" t="s">
        <v>4971</v>
      </c>
      <c r="D4553" s="11">
        <v>15250</v>
      </c>
      <c r="E4553" s="11">
        <v>15250</v>
      </c>
      <c r="F4553" s="3">
        <v>39744</v>
      </c>
      <c r="G4553" s="2"/>
      <c r="H4553" s="3">
        <v>43053</v>
      </c>
      <c r="I4553" s="2" t="s">
        <v>19506</v>
      </c>
      <c r="J4553" s="2" t="s">
        <v>13904</v>
      </c>
      <c r="K4553" s="2" t="s">
        <v>19216</v>
      </c>
      <c r="L4553" s="82" t="s">
        <v>19512</v>
      </c>
    </row>
    <row r="4554" spans="1:12" ht="96" customHeight="1" x14ac:dyDescent="0.3">
      <c r="A4554" s="2">
        <v>4550</v>
      </c>
      <c r="B4554" s="66" t="s">
        <v>971</v>
      </c>
      <c r="C4554" s="66" t="s">
        <v>5232</v>
      </c>
      <c r="D4554" s="11">
        <v>15250</v>
      </c>
      <c r="E4554" s="11">
        <v>15250</v>
      </c>
      <c r="F4554" s="3">
        <v>39744</v>
      </c>
      <c r="G4554" s="2"/>
      <c r="H4554" s="3">
        <v>43053</v>
      </c>
      <c r="I4554" s="2" t="s">
        <v>19506</v>
      </c>
      <c r="J4554" s="2" t="s">
        <v>13904</v>
      </c>
      <c r="K4554" s="2" t="s">
        <v>19216</v>
      </c>
      <c r="L4554" s="82" t="s">
        <v>19512</v>
      </c>
    </row>
    <row r="4555" spans="1:12" ht="96" customHeight="1" x14ac:dyDescent="0.3">
      <c r="A4555" s="2">
        <v>4551</v>
      </c>
      <c r="B4555" s="66" t="s">
        <v>971</v>
      </c>
      <c r="C4555" s="66" t="s">
        <v>5233</v>
      </c>
      <c r="D4555" s="11">
        <v>15250</v>
      </c>
      <c r="E4555" s="11">
        <v>15250</v>
      </c>
      <c r="F4555" s="3">
        <v>39744</v>
      </c>
      <c r="G4555" s="2"/>
      <c r="H4555" s="3">
        <v>43053</v>
      </c>
      <c r="I4555" s="2" t="s">
        <v>19506</v>
      </c>
      <c r="J4555" s="2" t="s">
        <v>13904</v>
      </c>
      <c r="K4555" s="2" t="s">
        <v>19216</v>
      </c>
      <c r="L4555" s="82" t="s">
        <v>19512</v>
      </c>
    </row>
    <row r="4556" spans="1:12" ht="96" customHeight="1" x14ac:dyDescent="0.3">
      <c r="A4556" s="2">
        <v>4552</v>
      </c>
      <c r="B4556" s="66" t="s">
        <v>971</v>
      </c>
      <c r="C4556" s="66" t="s">
        <v>5234</v>
      </c>
      <c r="D4556" s="11">
        <v>15250</v>
      </c>
      <c r="E4556" s="11">
        <v>15250</v>
      </c>
      <c r="F4556" s="3">
        <v>39744</v>
      </c>
      <c r="G4556" s="2"/>
      <c r="H4556" s="3">
        <v>43053</v>
      </c>
      <c r="I4556" s="2" t="s">
        <v>19506</v>
      </c>
      <c r="J4556" s="2" t="s">
        <v>13904</v>
      </c>
      <c r="K4556" s="2" t="s">
        <v>19216</v>
      </c>
      <c r="L4556" s="82" t="s">
        <v>19512</v>
      </c>
    </row>
    <row r="4557" spans="1:12" ht="96" customHeight="1" x14ac:dyDescent="0.3">
      <c r="A4557" s="2">
        <v>4553</v>
      </c>
      <c r="B4557" s="66" t="s">
        <v>5235</v>
      </c>
      <c r="C4557" s="66" t="s">
        <v>5236</v>
      </c>
      <c r="D4557" s="11">
        <v>15250</v>
      </c>
      <c r="E4557" s="11">
        <v>15250</v>
      </c>
      <c r="F4557" s="3">
        <v>39744</v>
      </c>
      <c r="G4557" s="2"/>
      <c r="H4557" s="3">
        <v>43053</v>
      </c>
      <c r="I4557" s="2" t="s">
        <v>19506</v>
      </c>
      <c r="J4557" s="2" t="s">
        <v>13904</v>
      </c>
      <c r="K4557" s="2" t="s">
        <v>19216</v>
      </c>
      <c r="L4557" s="82" t="s">
        <v>19512</v>
      </c>
    </row>
    <row r="4558" spans="1:12" ht="96" customHeight="1" x14ac:dyDescent="0.3">
      <c r="A4558" s="2">
        <v>4554</v>
      </c>
      <c r="B4558" s="66" t="s">
        <v>5016</v>
      </c>
      <c r="C4558" s="66" t="s">
        <v>5237</v>
      </c>
      <c r="D4558" s="11">
        <v>7330.4</v>
      </c>
      <c r="E4558" s="11">
        <v>7330.4</v>
      </c>
      <c r="F4558" s="3">
        <v>36723</v>
      </c>
      <c r="G4558" s="2"/>
      <c r="H4558" s="3">
        <v>43053</v>
      </c>
      <c r="I4558" s="2" t="s">
        <v>19506</v>
      </c>
      <c r="J4558" s="2" t="s">
        <v>13904</v>
      </c>
      <c r="K4558" s="2" t="s">
        <v>19216</v>
      </c>
      <c r="L4558" s="82" t="s">
        <v>19512</v>
      </c>
    </row>
    <row r="4559" spans="1:12" ht="96" customHeight="1" x14ac:dyDescent="0.3">
      <c r="A4559" s="2">
        <v>4555</v>
      </c>
      <c r="B4559" s="66" t="s">
        <v>3259</v>
      </c>
      <c r="C4559" s="66" t="s">
        <v>3427</v>
      </c>
      <c r="D4559" s="11">
        <v>6666</v>
      </c>
      <c r="E4559" s="11">
        <v>6666</v>
      </c>
      <c r="F4559" s="3">
        <v>39436</v>
      </c>
      <c r="G4559" s="2"/>
      <c r="H4559" s="3">
        <v>43053</v>
      </c>
      <c r="I4559" s="2" t="s">
        <v>19506</v>
      </c>
      <c r="J4559" s="2" t="s">
        <v>13904</v>
      </c>
      <c r="K4559" s="2" t="s">
        <v>19216</v>
      </c>
      <c r="L4559" s="82" t="s">
        <v>19512</v>
      </c>
    </row>
    <row r="4560" spans="1:12" ht="96" customHeight="1" x14ac:dyDescent="0.3">
      <c r="A4560" s="2">
        <v>4556</v>
      </c>
      <c r="B4560" s="66" t="s">
        <v>224</v>
      </c>
      <c r="C4560" s="66" t="s">
        <v>5238</v>
      </c>
      <c r="D4560" s="11">
        <v>19590</v>
      </c>
      <c r="E4560" s="11">
        <v>19590</v>
      </c>
      <c r="F4560" s="3">
        <v>39798</v>
      </c>
      <c r="G4560" s="2"/>
      <c r="H4560" s="3">
        <v>43053</v>
      </c>
      <c r="I4560" s="2" t="s">
        <v>19506</v>
      </c>
      <c r="J4560" s="2" t="s">
        <v>13904</v>
      </c>
      <c r="K4560" s="2" t="s">
        <v>19216</v>
      </c>
      <c r="L4560" s="82" t="s">
        <v>19512</v>
      </c>
    </row>
    <row r="4561" spans="1:12" ht="96" customHeight="1" x14ac:dyDescent="0.3">
      <c r="A4561" s="2">
        <v>4557</v>
      </c>
      <c r="B4561" s="66" t="s">
        <v>5239</v>
      </c>
      <c r="C4561" s="66" t="s">
        <v>5240</v>
      </c>
      <c r="D4561" s="11">
        <v>20249.990000000002</v>
      </c>
      <c r="E4561" s="11">
        <v>20249.990000000002</v>
      </c>
      <c r="F4561" s="3">
        <v>41621</v>
      </c>
      <c r="G4561" s="2"/>
      <c r="H4561" s="3">
        <v>43053</v>
      </c>
      <c r="I4561" s="2" t="s">
        <v>19506</v>
      </c>
      <c r="J4561" s="2" t="s">
        <v>13904</v>
      </c>
      <c r="K4561" s="2" t="s">
        <v>19216</v>
      </c>
      <c r="L4561" s="82" t="s">
        <v>19512</v>
      </c>
    </row>
    <row r="4562" spans="1:12" ht="96" customHeight="1" x14ac:dyDescent="0.3">
      <c r="A4562" s="2">
        <v>4558</v>
      </c>
      <c r="B4562" s="66" t="s">
        <v>5239</v>
      </c>
      <c r="C4562" s="66" t="s">
        <v>5241</v>
      </c>
      <c r="D4562" s="11">
        <v>20250</v>
      </c>
      <c r="E4562" s="11">
        <v>20250</v>
      </c>
      <c r="F4562" s="3">
        <v>41621</v>
      </c>
      <c r="G4562" s="2"/>
      <c r="H4562" s="3">
        <v>43053</v>
      </c>
      <c r="I4562" s="2" t="s">
        <v>19506</v>
      </c>
      <c r="J4562" s="2" t="s">
        <v>13904</v>
      </c>
      <c r="K4562" s="2" t="s">
        <v>19216</v>
      </c>
      <c r="L4562" s="82" t="s">
        <v>19512</v>
      </c>
    </row>
    <row r="4563" spans="1:12" ht="96" customHeight="1" x14ac:dyDescent="0.3">
      <c r="A4563" s="2">
        <v>4559</v>
      </c>
      <c r="B4563" s="66" t="s">
        <v>5242</v>
      </c>
      <c r="C4563" s="66" t="s">
        <v>5243</v>
      </c>
      <c r="D4563" s="11">
        <v>24720.9</v>
      </c>
      <c r="E4563" s="11">
        <v>24720.9</v>
      </c>
      <c r="F4563" s="3">
        <v>41624</v>
      </c>
      <c r="G4563" s="2"/>
      <c r="H4563" s="3">
        <v>43053</v>
      </c>
      <c r="I4563" s="2" t="s">
        <v>19506</v>
      </c>
      <c r="J4563" s="2" t="s">
        <v>13904</v>
      </c>
      <c r="K4563" s="2" t="s">
        <v>19216</v>
      </c>
      <c r="L4563" s="82" t="s">
        <v>19512</v>
      </c>
    </row>
    <row r="4564" spans="1:12" ht="96" customHeight="1" x14ac:dyDescent="0.3">
      <c r="A4564" s="2">
        <v>4560</v>
      </c>
      <c r="B4564" s="66" t="s">
        <v>5244</v>
      </c>
      <c r="C4564" s="66" t="s">
        <v>5245</v>
      </c>
      <c r="D4564" s="11">
        <v>28715.49</v>
      </c>
      <c r="E4564" s="11">
        <v>28715.49</v>
      </c>
      <c r="F4564" s="3">
        <v>41624</v>
      </c>
      <c r="G4564" s="2"/>
      <c r="H4564" s="3">
        <v>43053</v>
      </c>
      <c r="I4564" s="2" t="s">
        <v>19506</v>
      </c>
      <c r="J4564" s="2" t="s">
        <v>13904</v>
      </c>
      <c r="K4564" s="2" t="s">
        <v>19216</v>
      </c>
      <c r="L4564" s="82" t="s">
        <v>19512</v>
      </c>
    </row>
    <row r="4565" spans="1:12" ht="96" customHeight="1" x14ac:dyDescent="0.3">
      <c r="A4565" s="2">
        <v>4561</v>
      </c>
      <c r="B4565" s="66" t="s">
        <v>5246</v>
      </c>
      <c r="C4565" s="66" t="s">
        <v>5247</v>
      </c>
      <c r="D4565" s="11">
        <v>25198.95</v>
      </c>
      <c r="E4565" s="11">
        <v>25198.95</v>
      </c>
      <c r="F4565" s="3">
        <v>41624</v>
      </c>
      <c r="G4565" s="2"/>
      <c r="H4565" s="3">
        <v>43053</v>
      </c>
      <c r="I4565" s="2" t="s">
        <v>19506</v>
      </c>
      <c r="J4565" s="2" t="s">
        <v>13904</v>
      </c>
      <c r="K4565" s="2" t="s">
        <v>19216</v>
      </c>
      <c r="L4565" s="82" t="s">
        <v>19512</v>
      </c>
    </row>
    <row r="4566" spans="1:12" ht="96" customHeight="1" x14ac:dyDescent="0.3">
      <c r="A4566" s="2">
        <v>4562</v>
      </c>
      <c r="B4566" s="66" t="s">
        <v>5248</v>
      </c>
      <c r="C4566" s="66" t="s">
        <v>5249</v>
      </c>
      <c r="D4566" s="11">
        <v>5362</v>
      </c>
      <c r="E4566" s="11">
        <v>5362</v>
      </c>
      <c r="F4566" s="3">
        <v>41624</v>
      </c>
      <c r="G4566" s="2"/>
      <c r="H4566" s="3">
        <v>43053</v>
      </c>
      <c r="I4566" s="2" t="s">
        <v>19506</v>
      </c>
      <c r="J4566" s="2" t="s">
        <v>13904</v>
      </c>
      <c r="K4566" s="2" t="s">
        <v>19216</v>
      </c>
      <c r="L4566" s="82" t="s">
        <v>19512</v>
      </c>
    </row>
    <row r="4567" spans="1:12" ht="96" customHeight="1" x14ac:dyDescent="0.3">
      <c r="A4567" s="2">
        <v>4563</v>
      </c>
      <c r="B4567" s="66" t="s">
        <v>5250</v>
      </c>
      <c r="C4567" s="66" t="s">
        <v>5251</v>
      </c>
      <c r="D4567" s="11">
        <v>38101.79</v>
      </c>
      <c r="E4567" s="11">
        <v>38101.79</v>
      </c>
      <c r="F4567" s="3">
        <v>41624</v>
      </c>
      <c r="G4567" s="2"/>
      <c r="H4567" s="3">
        <v>43053</v>
      </c>
      <c r="I4567" s="2" t="s">
        <v>19506</v>
      </c>
      <c r="J4567" s="2" t="s">
        <v>13904</v>
      </c>
      <c r="K4567" s="2" t="s">
        <v>19216</v>
      </c>
      <c r="L4567" s="82" t="s">
        <v>19512</v>
      </c>
    </row>
    <row r="4568" spans="1:12" ht="96" customHeight="1" x14ac:dyDescent="0.3">
      <c r="A4568" s="2">
        <v>4564</v>
      </c>
      <c r="B4568" s="66" t="s">
        <v>5252</v>
      </c>
      <c r="C4568" s="66" t="s">
        <v>5253</v>
      </c>
      <c r="D4568" s="11">
        <v>22093.5</v>
      </c>
      <c r="E4568" s="11">
        <v>22093.5</v>
      </c>
      <c r="F4568" s="3">
        <v>41624</v>
      </c>
      <c r="G4568" s="2"/>
      <c r="H4568" s="3">
        <v>43053</v>
      </c>
      <c r="I4568" s="2" t="s">
        <v>19506</v>
      </c>
      <c r="J4568" s="2" t="s">
        <v>13904</v>
      </c>
      <c r="K4568" s="2" t="s">
        <v>19216</v>
      </c>
      <c r="L4568" s="82" t="s">
        <v>19512</v>
      </c>
    </row>
    <row r="4569" spans="1:12" ht="96" customHeight="1" x14ac:dyDescent="0.3">
      <c r="A4569" s="2">
        <v>4565</v>
      </c>
      <c r="B4569" s="66" t="s">
        <v>5254</v>
      </c>
      <c r="C4569" s="66" t="s">
        <v>5255</v>
      </c>
      <c r="D4569" s="11">
        <v>28719.45</v>
      </c>
      <c r="E4569" s="11">
        <v>28719.45</v>
      </c>
      <c r="F4569" s="3">
        <v>41624</v>
      </c>
      <c r="G4569" s="2"/>
      <c r="H4569" s="3">
        <v>43053</v>
      </c>
      <c r="I4569" s="2" t="s">
        <v>19506</v>
      </c>
      <c r="J4569" s="2" t="s">
        <v>13904</v>
      </c>
      <c r="K4569" s="2" t="s">
        <v>19216</v>
      </c>
      <c r="L4569" s="82" t="s">
        <v>19512</v>
      </c>
    </row>
    <row r="4570" spans="1:12" ht="96" customHeight="1" x14ac:dyDescent="0.3">
      <c r="A4570" s="2">
        <v>4566</v>
      </c>
      <c r="B4570" s="66" t="s">
        <v>5256</v>
      </c>
      <c r="C4570" s="66" t="s">
        <v>5257</v>
      </c>
      <c r="D4570" s="11">
        <v>5665</v>
      </c>
      <c r="E4570" s="11">
        <v>5665</v>
      </c>
      <c r="F4570" s="3">
        <v>41624</v>
      </c>
      <c r="G4570" s="2"/>
      <c r="H4570" s="3">
        <v>43053</v>
      </c>
      <c r="I4570" s="2" t="s">
        <v>19506</v>
      </c>
      <c r="J4570" s="2" t="s">
        <v>13904</v>
      </c>
      <c r="K4570" s="2" t="s">
        <v>19216</v>
      </c>
      <c r="L4570" s="82" t="s">
        <v>19512</v>
      </c>
    </row>
    <row r="4571" spans="1:12" ht="96" customHeight="1" x14ac:dyDescent="0.3">
      <c r="A4571" s="2">
        <v>4567</v>
      </c>
      <c r="B4571" s="66" t="s">
        <v>5258</v>
      </c>
      <c r="C4571" s="66" t="s">
        <v>5259</v>
      </c>
      <c r="D4571" s="11">
        <v>9167</v>
      </c>
      <c r="E4571" s="11">
        <v>9167</v>
      </c>
      <c r="F4571" s="3">
        <v>41624</v>
      </c>
      <c r="G4571" s="2"/>
      <c r="H4571" s="3">
        <v>43053</v>
      </c>
      <c r="I4571" s="2" t="s">
        <v>19506</v>
      </c>
      <c r="J4571" s="2" t="s">
        <v>13904</v>
      </c>
      <c r="K4571" s="2" t="s">
        <v>19216</v>
      </c>
      <c r="L4571" s="82" t="s">
        <v>19512</v>
      </c>
    </row>
    <row r="4572" spans="1:12" ht="96" customHeight="1" x14ac:dyDescent="0.3">
      <c r="A4572" s="2">
        <v>4568</v>
      </c>
      <c r="B4572" s="66" t="s">
        <v>5260</v>
      </c>
      <c r="C4572" s="66" t="s">
        <v>5261</v>
      </c>
      <c r="D4572" s="11">
        <v>36153</v>
      </c>
      <c r="E4572" s="11">
        <v>36153</v>
      </c>
      <c r="F4572" s="3">
        <v>41624</v>
      </c>
      <c r="G4572" s="2"/>
      <c r="H4572" s="3">
        <v>43053</v>
      </c>
      <c r="I4572" s="2" t="s">
        <v>19506</v>
      </c>
      <c r="J4572" s="2" t="s">
        <v>13904</v>
      </c>
      <c r="K4572" s="2" t="s">
        <v>19216</v>
      </c>
      <c r="L4572" s="82" t="s">
        <v>19512</v>
      </c>
    </row>
    <row r="4573" spans="1:12" ht="96" customHeight="1" x14ac:dyDescent="0.3">
      <c r="A4573" s="2">
        <v>4569</v>
      </c>
      <c r="B4573" s="66" t="s">
        <v>5262</v>
      </c>
      <c r="C4573" s="66" t="s">
        <v>5263</v>
      </c>
      <c r="D4573" s="11">
        <v>6489</v>
      </c>
      <c r="E4573" s="11">
        <v>6489</v>
      </c>
      <c r="F4573" s="3">
        <v>41624</v>
      </c>
      <c r="G4573" s="2"/>
      <c r="H4573" s="3">
        <v>43053</v>
      </c>
      <c r="I4573" s="2" t="s">
        <v>19506</v>
      </c>
      <c r="J4573" s="2" t="s">
        <v>13904</v>
      </c>
      <c r="K4573" s="2" t="s">
        <v>19216</v>
      </c>
      <c r="L4573" s="82" t="s">
        <v>19512</v>
      </c>
    </row>
    <row r="4574" spans="1:12" ht="96" customHeight="1" x14ac:dyDescent="0.3">
      <c r="A4574" s="2">
        <v>4570</v>
      </c>
      <c r="B4574" s="66" t="s">
        <v>5264</v>
      </c>
      <c r="C4574" s="66" t="s">
        <v>5265</v>
      </c>
      <c r="D4574" s="11">
        <v>32987.230000000003</v>
      </c>
      <c r="E4574" s="11">
        <v>32987.230000000003</v>
      </c>
      <c r="F4574" s="3">
        <v>41624</v>
      </c>
      <c r="G4574" s="2"/>
      <c r="H4574" s="3">
        <v>43053</v>
      </c>
      <c r="I4574" s="2" t="s">
        <v>19506</v>
      </c>
      <c r="J4574" s="2" t="s">
        <v>13904</v>
      </c>
      <c r="K4574" s="2" t="s">
        <v>19216</v>
      </c>
      <c r="L4574" s="82" t="s">
        <v>19512</v>
      </c>
    </row>
    <row r="4575" spans="1:12" ht="96" customHeight="1" x14ac:dyDescent="0.3">
      <c r="A4575" s="2">
        <v>4571</v>
      </c>
      <c r="B4575" s="66" t="s">
        <v>5264</v>
      </c>
      <c r="C4575" s="66" t="s">
        <v>5266</v>
      </c>
      <c r="D4575" s="11">
        <v>32987.230000000003</v>
      </c>
      <c r="E4575" s="11">
        <v>32987.230000000003</v>
      </c>
      <c r="F4575" s="3">
        <v>41624</v>
      </c>
      <c r="G4575" s="2"/>
      <c r="H4575" s="3">
        <v>43053</v>
      </c>
      <c r="I4575" s="2" t="s">
        <v>19506</v>
      </c>
      <c r="J4575" s="2" t="s">
        <v>13904</v>
      </c>
      <c r="K4575" s="2" t="s">
        <v>19216</v>
      </c>
      <c r="L4575" s="82" t="s">
        <v>19512</v>
      </c>
    </row>
    <row r="4576" spans="1:12" ht="96" customHeight="1" x14ac:dyDescent="0.3">
      <c r="A4576" s="2">
        <v>4572</v>
      </c>
      <c r="B4576" s="66" t="s">
        <v>5264</v>
      </c>
      <c r="C4576" s="66" t="s">
        <v>5267</v>
      </c>
      <c r="D4576" s="11">
        <v>32987.230000000003</v>
      </c>
      <c r="E4576" s="11">
        <v>32987.230000000003</v>
      </c>
      <c r="F4576" s="3">
        <v>41624</v>
      </c>
      <c r="G4576" s="2"/>
      <c r="H4576" s="3">
        <v>43053</v>
      </c>
      <c r="I4576" s="2" t="s">
        <v>19506</v>
      </c>
      <c r="J4576" s="2" t="s">
        <v>13904</v>
      </c>
      <c r="K4576" s="2" t="s">
        <v>19216</v>
      </c>
      <c r="L4576" s="82" t="s">
        <v>19512</v>
      </c>
    </row>
    <row r="4577" spans="1:12" ht="96" customHeight="1" x14ac:dyDescent="0.3">
      <c r="A4577" s="2">
        <v>4573</v>
      </c>
      <c r="B4577" s="66" t="s">
        <v>5264</v>
      </c>
      <c r="C4577" s="66" t="s">
        <v>5268</v>
      </c>
      <c r="D4577" s="11">
        <v>32987.230000000003</v>
      </c>
      <c r="E4577" s="11">
        <v>32987.230000000003</v>
      </c>
      <c r="F4577" s="3">
        <v>41624</v>
      </c>
      <c r="G4577" s="2"/>
      <c r="H4577" s="3">
        <v>43053</v>
      </c>
      <c r="I4577" s="2" t="s">
        <v>19506</v>
      </c>
      <c r="J4577" s="2" t="s">
        <v>13904</v>
      </c>
      <c r="K4577" s="2" t="s">
        <v>19216</v>
      </c>
      <c r="L4577" s="82" t="s">
        <v>19512</v>
      </c>
    </row>
    <row r="4578" spans="1:12" ht="96" customHeight="1" x14ac:dyDescent="0.3">
      <c r="A4578" s="2">
        <v>4574</v>
      </c>
      <c r="B4578" s="66" t="s">
        <v>5264</v>
      </c>
      <c r="C4578" s="66" t="s">
        <v>5269</v>
      </c>
      <c r="D4578" s="11">
        <v>32987.230000000003</v>
      </c>
      <c r="E4578" s="11">
        <v>32987.230000000003</v>
      </c>
      <c r="F4578" s="3">
        <v>41624</v>
      </c>
      <c r="G4578" s="2"/>
      <c r="H4578" s="3">
        <v>43053</v>
      </c>
      <c r="I4578" s="2" t="s">
        <v>19506</v>
      </c>
      <c r="J4578" s="2" t="s">
        <v>13904</v>
      </c>
      <c r="K4578" s="2" t="s">
        <v>19216</v>
      </c>
      <c r="L4578" s="82" t="s">
        <v>19512</v>
      </c>
    </row>
    <row r="4579" spans="1:12" ht="96" customHeight="1" x14ac:dyDescent="0.3">
      <c r="A4579" s="2">
        <v>4575</v>
      </c>
      <c r="B4579" s="66" t="s">
        <v>5264</v>
      </c>
      <c r="C4579" s="66" t="s">
        <v>5270</v>
      </c>
      <c r="D4579" s="11">
        <v>32987.230000000003</v>
      </c>
      <c r="E4579" s="11">
        <v>32987.230000000003</v>
      </c>
      <c r="F4579" s="3">
        <v>41624</v>
      </c>
      <c r="G4579" s="2"/>
      <c r="H4579" s="3">
        <v>43053</v>
      </c>
      <c r="I4579" s="2" t="s">
        <v>19506</v>
      </c>
      <c r="J4579" s="2" t="s">
        <v>13904</v>
      </c>
      <c r="K4579" s="2" t="s">
        <v>19216</v>
      </c>
      <c r="L4579" s="82" t="s">
        <v>19512</v>
      </c>
    </row>
    <row r="4580" spans="1:12" ht="96" customHeight="1" x14ac:dyDescent="0.3">
      <c r="A4580" s="2">
        <v>4576</v>
      </c>
      <c r="B4580" s="66" t="s">
        <v>5264</v>
      </c>
      <c r="C4580" s="66" t="s">
        <v>5271</v>
      </c>
      <c r="D4580" s="11">
        <v>32987.230000000003</v>
      </c>
      <c r="E4580" s="11">
        <v>32987.230000000003</v>
      </c>
      <c r="F4580" s="3">
        <v>41624</v>
      </c>
      <c r="G4580" s="2"/>
      <c r="H4580" s="3">
        <v>43053</v>
      </c>
      <c r="I4580" s="2" t="s">
        <v>19506</v>
      </c>
      <c r="J4580" s="2" t="s">
        <v>13904</v>
      </c>
      <c r="K4580" s="2" t="s">
        <v>19216</v>
      </c>
      <c r="L4580" s="82" t="s">
        <v>19512</v>
      </c>
    </row>
    <row r="4581" spans="1:12" ht="96" customHeight="1" x14ac:dyDescent="0.3">
      <c r="A4581" s="2">
        <v>4577</v>
      </c>
      <c r="B4581" s="66" t="s">
        <v>5264</v>
      </c>
      <c r="C4581" s="66" t="s">
        <v>5272</v>
      </c>
      <c r="D4581" s="11">
        <v>32987.230000000003</v>
      </c>
      <c r="E4581" s="11">
        <v>32987.230000000003</v>
      </c>
      <c r="F4581" s="3">
        <v>41624</v>
      </c>
      <c r="G4581" s="2"/>
      <c r="H4581" s="3">
        <v>43053</v>
      </c>
      <c r="I4581" s="2" t="s">
        <v>19506</v>
      </c>
      <c r="J4581" s="2" t="s">
        <v>13904</v>
      </c>
      <c r="K4581" s="2" t="s">
        <v>19216</v>
      </c>
      <c r="L4581" s="82" t="s">
        <v>19512</v>
      </c>
    </row>
    <row r="4582" spans="1:12" ht="96" customHeight="1" x14ac:dyDescent="0.3">
      <c r="A4582" s="2">
        <v>4578</v>
      </c>
      <c r="B4582" s="66" t="s">
        <v>5264</v>
      </c>
      <c r="C4582" s="66" t="s">
        <v>5273</v>
      </c>
      <c r="D4582" s="11">
        <v>32987.230000000003</v>
      </c>
      <c r="E4582" s="11">
        <v>32987.230000000003</v>
      </c>
      <c r="F4582" s="3">
        <v>41624</v>
      </c>
      <c r="G4582" s="2"/>
      <c r="H4582" s="3">
        <v>43053</v>
      </c>
      <c r="I4582" s="2" t="s">
        <v>19506</v>
      </c>
      <c r="J4582" s="2" t="s">
        <v>13904</v>
      </c>
      <c r="K4582" s="2" t="s">
        <v>19216</v>
      </c>
      <c r="L4582" s="82" t="s">
        <v>19512</v>
      </c>
    </row>
    <row r="4583" spans="1:12" ht="96" customHeight="1" x14ac:dyDescent="0.3">
      <c r="A4583" s="2">
        <v>4579</v>
      </c>
      <c r="B4583" s="66" t="s">
        <v>5264</v>
      </c>
      <c r="C4583" s="66" t="s">
        <v>5274</v>
      </c>
      <c r="D4583" s="11">
        <v>32987.230000000003</v>
      </c>
      <c r="E4583" s="11">
        <v>32987.230000000003</v>
      </c>
      <c r="F4583" s="3">
        <v>41624</v>
      </c>
      <c r="G4583" s="2"/>
      <c r="H4583" s="3">
        <v>43053</v>
      </c>
      <c r="I4583" s="2" t="s">
        <v>19506</v>
      </c>
      <c r="J4583" s="2" t="s">
        <v>13904</v>
      </c>
      <c r="K4583" s="2" t="s">
        <v>19216</v>
      </c>
      <c r="L4583" s="82" t="s">
        <v>19512</v>
      </c>
    </row>
    <row r="4584" spans="1:12" ht="96" customHeight="1" x14ac:dyDescent="0.3">
      <c r="A4584" s="2">
        <v>4580</v>
      </c>
      <c r="B4584" s="66" t="s">
        <v>5264</v>
      </c>
      <c r="C4584" s="66" t="s">
        <v>5275</v>
      </c>
      <c r="D4584" s="11">
        <v>32987.230000000003</v>
      </c>
      <c r="E4584" s="11">
        <v>32987.230000000003</v>
      </c>
      <c r="F4584" s="3">
        <v>41624</v>
      </c>
      <c r="G4584" s="2"/>
      <c r="H4584" s="3">
        <v>43053</v>
      </c>
      <c r="I4584" s="2" t="s">
        <v>19506</v>
      </c>
      <c r="J4584" s="2" t="s">
        <v>13904</v>
      </c>
      <c r="K4584" s="2" t="s">
        <v>19216</v>
      </c>
      <c r="L4584" s="82" t="s">
        <v>19512</v>
      </c>
    </row>
    <row r="4585" spans="1:12" ht="96" customHeight="1" x14ac:dyDescent="0.3">
      <c r="A4585" s="2">
        <v>4581</v>
      </c>
      <c r="B4585" s="66" t="s">
        <v>5264</v>
      </c>
      <c r="C4585" s="66" t="s">
        <v>5276</v>
      </c>
      <c r="D4585" s="11">
        <v>32987.230000000003</v>
      </c>
      <c r="E4585" s="11">
        <v>32987.230000000003</v>
      </c>
      <c r="F4585" s="3">
        <v>41624</v>
      </c>
      <c r="G4585" s="2"/>
      <c r="H4585" s="3">
        <v>43053</v>
      </c>
      <c r="I4585" s="2" t="s">
        <v>19506</v>
      </c>
      <c r="J4585" s="2" t="s">
        <v>13904</v>
      </c>
      <c r="K4585" s="2" t="s">
        <v>19216</v>
      </c>
      <c r="L4585" s="82" t="s">
        <v>19512</v>
      </c>
    </row>
    <row r="4586" spans="1:12" ht="96" customHeight="1" x14ac:dyDescent="0.3">
      <c r="A4586" s="2">
        <v>4582</v>
      </c>
      <c r="B4586" s="66" t="s">
        <v>5264</v>
      </c>
      <c r="C4586" s="66" t="s">
        <v>5277</v>
      </c>
      <c r="D4586" s="11">
        <v>32987.230000000003</v>
      </c>
      <c r="E4586" s="11">
        <v>32987.230000000003</v>
      </c>
      <c r="F4586" s="3">
        <v>41624</v>
      </c>
      <c r="G4586" s="2"/>
      <c r="H4586" s="3">
        <v>43053</v>
      </c>
      <c r="I4586" s="2" t="s">
        <v>19506</v>
      </c>
      <c r="J4586" s="2" t="s">
        <v>13904</v>
      </c>
      <c r="K4586" s="2" t="s">
        <v>19216</v>
      </c>
      <c r="L4586" s="82" t="s">
        <v>19512</v>
      </c>
    </row>
    <row r="4587" spans="1:12" ht="96" customHeight="1" x14ac:dyDescent="0.3">
      <c r="A4587" s="2">
        <v>4583</v>
      </c>
      <c r="B4587" s="66" t="s">
        <v>5264</v>
      </c>
      <c r="C4587" s="66" t="s">
        <v>5278</v>
      </c>
      <c r="D4587" s="11">
        <v>32987.230000000003</v>
      </c>
      <c r="E4587" s="11">
        <v>32987.230000000003</v>
      </c>
      <c r="F4587" s="3">
        <v>41624</v>
      </c>
      <c r="G4587" s="2"/>
      <c r="H4587" s="3">
        <v>43053</v>
      </c>
      <c r="I4587" s="2" t="s">
        <v>19506</v>
      </c>
      <c r="J4587" s="2" t="s">
        <v>13904</v>
      </c>
      <c r="K4587" s="2" t="s">
        <v>19216</v>
      </c>
      <c r="L4587" s="82" t="s">
        <v>19512</v>
      </c>
    </row>
    <row r="4588" spans="1:12" ht="96" customHeight="1" x14ac:dyDescent="0.3">
      <c r="A4588" s="2">
        <v>4584</v>
      </c>
      <c r="B4588" s="66" t="s">
        <v>5264</v>
      </c>
      <c r="C4588" s="66" t="s">
        <v>5279</v>
      </c>
      <c r="D4588" s="11">
        <v>32987.230000000003</v>
      </c>
      <c r="E4588" s="11">
        <v>32987.230000000003</v>
      </c>
      <c r="F4588" s="3">
        <v>41624</v>
      </c>
      <c r="G4588" s="2"/>
      <c r="H4588" s="3">
        <v>43053</v>
      </c>
      <c r="I4588" s="2" t="s">
        <v>19506</v>
      </c>
      <c r="J4588" s="2" t="s">
        <v>13904</v>
      </c>
      <c r="K4588" s="2" t="s">
        <v>19216</v>
      </c>
      <c r="L4588" s="82" t="s">
        <v>19512</v>
      </c>
    </row>
    <row r="4589" spans="1:12" ht="96" customHeight="1" x14ac:dyDescent="0.3">
      <c r="A4589" s="2">
        <v>4585</v>
      </c>
      <c r="B4589" s="66" t="s">
        <v>5264</v>
      </c>
      <c r="C4589" s="66" t="s">
        <v>5280</v>
      </c>
      <c r="D4589" s="11">
        <v>32987.230000000003</v>
      </c>
      <c r="E4589" s="11">
        <v>32987.230000000003</v>
      </c>
      <c r="F4589" s="3">
        <v>41624</v>
      </c>
      <c r="G4589" s="2"/>
      <c r="H4589" s="3">
        <v>43053</v>
      </c>
      <c r="I4589" s="2" t="s">
        <v>19506</v>
      </c>
      <c r="J4589" s="2" t="s">
        <v>13904</v>
      </c>
      <c r="K4589" s="2" t="s">
        <v>19216</v>
      </c>
      <c r="L4589" s="82" t="s">
        <v>19512</v>
      </c>
    </row>
    <row r="4590" spans="1:12" ht="96" customHeight="1" x14ac:dyDescent="0.3">
      <c r="A4590" s="2">
        <v>4586</v>
      </c>
      <c r="B4590" s="66" t="s">
        <v>5264</v>
      </c>
      <c r="C4590" s="66" t="s">
        <v>5281</v>
      </c>
      <c r="D4590" s="11">
        <v>32987.230000000003</v>
      </c>
      <c r="E4590" s="11">
        <v>32987.230000000003</v>
      </c>
      <c r="F4590" s="3">
        <v>41624</v>
      </c>
      <c r="G4590" s="2"/>
      <c r="H4590" s="3">
        <v>43053</v>
      </c>
      <c r="I4590" s="2" t="s">
        <v>19506</v>
      </c>
      <c r="J4590" s="2" t="s">
        <v>13904</v>
      </c>
      <c r="K4590" s="2" t="s">
        <v>19216</v>
      </c>
      <c r="L4590" s="82" t="s">
        <v>19512</v>
      </c>
    </row>
    <row r="4591" spans="1:12" ht="96" customHeight="1" x14ac:dyDescent="0.3">
      <c r="A4591" s="2">
        <v>4587</v>
      </c>
      <c r="B4591" s="66" t="s">
        <v>5264</v>
      </c>
      <c r="C4591" s="66" t="s">
        <v>5282</v>
      </c>
      <c r="D4591" s="11">
        <v>32987.230000000003</v>
      </c>
      <c r="E4591" s="11">
        <v>32987.230000000003</v>
      </c>
      <c r="F4591" s="3">
        <v>41624</v>
      </c>
      <c r="G4591" s="2"/>
      <c r="H4591" s="3">
        <v>43053</v>
      </c>
      <c r="I4591" s="2" t="s">
        <v>19506</v>
      </c>
      <c r="J4591" s="2" t="s">
        <v>13904</v>
      </c>
      <c r="K4591" s="2" t="s">
        <v>19216</v>
      </c>
      <c r="L4591" s="82" t="s">
        <v>19512</v>
      </c>
    </row>
    <row r="4592" spans="1:12" ht="96" customHeight="1" x14ac:dyDescent="0.3">
      <c r="A4592" s="2">
        <v>4588</v>
      </c>
      <c r="B4592" s="66" t="s">
        <v>5264</v>
      </c>
      <c r="C4592" s="66" t="s">
        <v>5283</v>
      </c>
      <c r="D4592" s="11">
        <v>32987.230000000003</v>
      </c>
      <c r="E4592" s="11">
        <v>32987.230000000003</v>
      </c>
      <c r="F4592" s="3">
        <v>41624</v>
      </c>
      <c r="G4592" s="2"/>
      <c r="H4592" s="3">
        <v>43053</v>
      </c>
      <c r="I4592" s="2" t="s">
        <v>19506</v>
      </c>
      <c r="J4592" s="2" t="s">
        <v>13904</v>
      </c>
      <c r="K4592" s="2" t="s">
        <v>19216</v>
      </c>
      <c r="L4592" s="82" t="s">
        <v>19512</v>
      </c>
    </row>
    <row r="4593" spans="1:12" ht="96" customHeight="1" x14ac:dyDescent="0.3">
      <c r="A4593" s="2">
        <v>4589</v>
      </c>
      <c r="B4593" s="66" t="s">
        <v>5264</v>
      </c>
      <c r="C4593" s="66" t="s">
        <v>5284</v>
      </c>
      <c r="D4593" s="11">
        <v>32987.230000000003</v>
      </c>
      <c r="E4593" s="11">
        <v>32987.230000000003</v>
      </c>
      <c r="F4593" s="3">
        <v>41624</v>
      </c>
      <c r="G4593" s="2"/>
      <c r="H4593" s="3">
        <v>43053</v>
      </c>
      <c r="I4593" s="2" t="s">
        <v>19506</v>
      </c>
      <c r="J4593" s="2" t="s">
        <v>13904</v>
      </c>
      <c r="K4593" s="2" t="s">
        <v>19216</v>
      </c>
      <c r="L4593" s="82" t="s">
        <v>19512</v>
      </c>
    </row>
    <row r="4594" spans="1:12" ht="96" customHeight="1" x14ac:dyDescent="0.3">
      <c r="A4594" s="2">
        <v>4590</v>
      </c>
      <c r="B4594" s="66" t="s">
        <v>5264</v>
      </c>
      <c r="C4594" s="66" t="s">
        <v>5285</v>
      </c>
      <c r="D4594" s="11">
        <v>32987.230000000003</v>
      </c>
      <c r="E4594" s="11">
        <v>32987.230000000003</v>
      </c>
      <c r="F4594" s="3">
        <v>41624</v>
      </c>
      <c r="G4594" s="2"/>
      <c r="H4594" s="3">
        <v>43053</v>
      </c>
      <c r="I4594" s="2" t="s">
        <v>19506</v>
      </c>
      <c r="J4594" s="2" t="s">
        <v>13904</v>
      </c>
      <c r="K4594" s="2" t="s">
        <v>19216</v>
      </c>
      <c r="L4594" s="82" t="s">
        <v>19512</v>
      </c>
    </row>
    <row r="4595" spans="1:12" ht="96" customHeight="1" x14ac:dyDescent="0.3">
      <c r="A4595" s="2">
        <v>4591</v>
      </c>
      <c r="B4595" s="66" t="s">
        <v>5264</v>
      </c>
      <c r="C4595" s="66" t="s">
        <v>5286</v>
      </c>
      <c r="D4595" s="11">
        <v>32987.230000000003</v>
      </c>
      <c r="E4595" s="11">
        <v>32987.230000000003</v>
      </c>
      <c r="F4595" s="3">
        <v>41624</v>
      </c>
      <c r="G4595" s="2"/>
      <c r="H4595" s="3">
        <v>43053</v>
      </c>
      <c r="I4595" s="2" t="s">
        <v>19506</v>
      </c>
      <c r="J4595" s="2" t="s">
        <v>13904</v>
      </c>
      <c r="K4595" s="2" t="s">
        <v>19216</v>
      </c>
      <c r="L4595" s="82" t="s">
        <v>19512</v>
      </c>
    </row>
    <row r="4596" spans="1:12" ht="96" customHeight="1" x14ac:dyDescent="0.3">
      <c r="A4596" s="2">
        <v>4592</v>
      </c>
      <c r="B4596" s="66" t="s">
        <v>5264</v>
      </c>
      <c r="C4596" s="66" t="s">
        <v>5287</v>
      </c>
      <c r="D4596" s="11">
        <v>32987.230000000003</v>
      </c>
      <c r="E4596" s="11">
        <v>32987.230000000003</v>
      </c>
      <c r="F4596" s="3">
        <v>41624</v>
      </c>
      <c r="G4596" s="2"/>
      <c r="H4596" s="3">
        <v>43053</v>
      </c>
      <c r="I4596" s="2" t="s">
        <v>19506</v>
      </c>
      <c r="J4596" s="2" t="s">
        <v>13904</v>
      </c>
      <c r="K4596" s="2" t="s">
        <v>19216</v>
      </c>
      <c r="L4596" s="82" t="s">
        <v>19512</v>
      </c>
    </row>
    <row r="4597" spans="1:12" ht="96" customHeight="1" x14ac:dyDescent="0.3">
      <c r="A4597" s="2">
        <v>4593</v>
      </c>
      <c r="B4597" s="66" t="s">
        <v>5264</v>
      </c>
      <c r="C4597" s="66" t="s">
        <v>5288</v>
      </c>
      <c r="D4597" s="11">
        <v>32987.230000000003</v>
      </c>
      <c r="E4597" s="11">
        <v>32987.230000000003</v>
      </c>
      <c r="F4597" s="3">
        <v>41624</v>
      </c>
      <c r="G4597" s="2"/>
      <c r="H4597" s="3">
        <v>43053</v>
      </c>
      <c r="I4597" s="2" t="s">
        <v>19506</v>
      </c>
      <c r="J4597" s="2" t="s">
        <v>13904</v>
      </c>
      <c r="K4597" s="2" t="s">
        <v>19216</v>
      </c>
      <c r="L4597" s="82" t="s">
        <v>19512</v>
      </c>
    </row>
    <row r="4598" spans="1:12" ht="96" customHeight="1" x14ac:dyDescent="0.3">
      <c r="A4598" s="2">
        <v>4594</v>
      </c>
      <c r="B4598" s="66" t="s">
        <v>5264</v>
      </c>
      <c r="C4598" s="66" t="s">
        <v>5289</v>
      </c>
      <c r="D4598" s="11">
        <v>32987.230000000003</v>
      </c>
      <c r="E4598" s="11">
        <v>32987.230000000003</v>
      </c>
      <c r="F4598" s="3">
        <v>41624</v>
      </c>
      <c r="G4598" s="2"/>
      <c r="H4598" s="3">
        <v>43053</v>
      </c>
      <c r="I4598" s="2" t="s">
        <v>19506</v>
      </c>
      <c r="J4598" s="2" t="s">
        <v>13904</v>
      </c>
      <c r="K4598" s="2" t="s">
        <v>19216</v>
      </c>
      <c r="L4598" s="82" t="s">
        <v>19512</v>
      </c>
    </row>
    <row r="4599" spans="1:12" ht="96" customHeight="1" x14ac:dyDescent="0.3">
      <c r="A4599" s="2">
        <v>4595</v>
      </c>
      <c r="B4599" s="66" t="s">
        <v>5264</v>
      </c>
      <c r="C4599" s="66" t="s">
        <v>5290</v>
      </c>
      <c r="D4599" s="11">
        <v>32987.230000000003</v>
      </c>
      <c r="E4599" s="11">
        <v>32987.230000000003</v>
      </c>
      <c r="F4599" s="3">
        <v>41624</v>
      </c>
      <c r="G4599" s="2"/>
      <c r="H4599" s="3">
        <v>43053</v>
      </c>
      <c r="I4599" s="2" t="s">
        <v>19506</v>
      </c>
      <c r="J4599" s="2" t="s">
        <v>13904</v>
      </c>
      <c r="K4599" s="2" t="s">
        <v>19216</v>
      </c>
      <c r="L4599" s="82" t="s">
        <v>19512</v>
      </c>
    </row>
    <row r="4600" spans="1:12" ht="96" customHeight="1" x14ac:dyDescent="0.3">
      <c r="A4600" s="2">
        <v>4596</v>
      </c>
      <c r="B4600" s="66" t="s">
        <v>5291</v>
      </c>
      <c r="C4600" s="66" t="s">
        <v>5292</v>
      </c>
      <c r="D4600" s="11">
        <v>28119</v>
      </c>
      <c r="E4600" s="11">
        <v>28119</v>
      </c>
      <c r="F4600" s="3">
        <v>41624</v>
      </c>
      <c r="G4600" s="2"/>
      <c r="H4600" s="3">
        <v>43053</v>
      </c>
      <c r="I4600" s="2" t="s">
        <v>19506</v>
      </c>
      <c r="J4600" s="2" t="s">
        <v>13904</v>
      </c>
      <c r="K4600" s="2" t="s">
        <v>19216</v>
      </c>
      <c r="L4600" s="82" t="s">
        <v>19512</v>
      </c>
    </row>
    <row r="4601" spans="1:12" ht="96" customHeight="1" x14ac:dyDescent="0.3">
      <c r="A4601" s="2">
        <v>4597</v>
      </c>
      <c r="B4601" s="66" t="s">
        <v>5258</v>
      </c>
      <c r="C4601" s="66" t="s">
        <v>5293</v>
      </c>
      <c r="D4601" s="11">
        <v>9167</v>
      </c>
      <c r="E4601" s="11">
        <v>9167</v>
      </c>
      <c r="F4601" s="3">
        <v>41624</v>
      </c>
      <c r="G4601" s="2"/>
      <c r="H4601" s="3">
        <v>43053</v>
      </c>
      <c r="I4601" s="2" t="s">
        <v>19506</v>
      </c>
      <c r="J4601" s="2" t="s">
        <v>13904</v>
      </c>
      <c r="K4601" s="2" t="s">
        <v>19216</v>
      </c>
      <c r="L4601" s="82" t="s">
        <v>19512</v>
      </c>
    </row>
    <row r="4602" spans="1:12" ht="96" customHeight="1" x14ac:dyDescent="0.3">
      <c r="A4602" s="2">
        <v>4598</v>
      </c>
      <c r="B4602" s="66" t="s">
        <v>5294</v>
      </c>
      <c r="C4602" s="66" t="s">
        <v>5295</v>
      </c>
      <c r="D4602" s="11">
        <v>9167</v>
      </c>
      <c r="E4602" s="11">
        <v>9167</v>
      </c>
      <c r="F4602" s="3">
        <v>41624</v>
      </c>
      <c r="G4602" s="2"/>
      <c r="H4602" s="3">
        <v>43053</v>
      </c>
      <c r="I4602" s="2" t="s">
        <v>19506</v>
      </c>
      <c r="J4602" s="2" t="s">
        <v>13904</v>
      </c>
      <c r="K4602" s="2" t="s">
        <v>19216</v>
      </c>
      <c r="L4602" s="82" t="s">
        <v>19512</v>
      </c>
    </row>
    <row r="4603" spans="1:12" ht="96" customHeight="1" x14ac:dyDescent="0.3">
      <c r="A4603" s="2">
        <v>4599</v>
      </c>
      <c r="B4603" s="66" t="s">
        <v>5296</v>
      </c>
      <c r="C4603" s="66" t="s">
        <v>5297</v>
      </c>
      <c r="D4603" s="11">
        <v>37367.15</v>
      </c>
      <c r="E4603" s="11">
        <v>37367.15</v>
      </c>
      <c r="F4603" s="3">
        <v>41624</v>
      </c>
      <c r="G4603" s="2"/>
      <c r="H4603" s="3">
        <v>43053</v>
      </c>
      <c r="I4603" s="2" t="s">
        <v>19506</v>
      </c>
      <c r="J4603" s="2" t="s">
        <v>13904</v>
      </c>
      <c r="K4603" s="2" t="s">
        <v>19216</v>
      </c>
      <c r="L4603" s="82" t="s">
        <v>19512</v>
      </c>
    </row>
    <row r="4604" spans="1:12" ht="96" customHeight="1" x14ac:dyDescent="0.3">
      <c r="A4604" s="2">
        <v>4600</v>
      </c>
      <c r="B4604" s="66" t="s">
        <v>5298</v>
      </c>
      <c r="C4604" s="66" t="s">
        <v>5299</v>
      </c>
      <c r="D4604" s="11">
        <v>14457</v>
      </c>
      <c r="E4604" s="11">
        <v>14457</v>
      </c>
      <c r="F4604" s="3">
        <v>41624</v>
      </c>
      <c r="G4604" s="2"/>
      <c r="H4604" s="3">
        <v>43053</v>
      </c>
      <c r="I4604" s="2" t="s">
        <v>19506</v>
      </c>
      <c r="J4604" s="2" t="s">
        <v>13904</v>
      </c>
      <c r="K4604" s="2" t="s">
        <v>19216</v>
      </c>
      <c r="L4604" s="82" t="s">
        <v>19512</v>
      </c>
    </row>
    <row r="4605" spans="1:12" ht="96" customHeight="1" x14ac:dyDescent="0.3">
      <c r="A4605" s="2">
        <v>4601</v>
      </c>
      <c r="B4605" s="66" t="s">
        <v>5298</v>
      </c>
      <c r="C4605" s="66" t="s">
        <v>5300</v>
      </c>
      <c r="D4605" s="11">
        <v>14457</v>
      </c>
      <c r="E4605" s="11">
        <v>14457</v>
      </c>
      <c r="F4605" s="3">
        <v>41624</v>
      </c>
      <c r="G4605" s="2"/>
      <c r="H4605" s="3">
        <v>43053</v>
      </c>
      <c r="I4605" s="2" t="s">
        <v>19506</v>
      </c>
      <c r="J4605" s="2" t="s">
        <v>13904</v>
      </c>
      <c r="K4605" s="2" t="s">
        <v>19216</v>
      </c>
      <c r="L4605" s="82" t="s">
        <v>19512</v>
      </c>
    </row>
    <row r="4606" spans="1:12" ht="96" customHeight="1" x14ac:dyDescent="0.3">
      <c r="A4606" s="2">
        <v>4602</v>
      </c>
      <c r="B4606" s="66" t="s">
        <v>5298</v>
      </c>
      <c r="C4606" s="66" t="s">
        <v>5301</v>
      </c>
      <c r="D4606" s="11">
        <v>14457</v>
      </c>
      <c r="E4606" s="11">
        <v>14457</v>
      </c>
      <c r="F4606" s="3">
        <v>41624</v>
      </c>
      <c r="G4606" s="2"/>
      <c r="H4606" s="3">
        <v>43053</v>
      </c>
      <c r="I4606" s="2" t="s">
        <v>19506</v>
      </c>
      <c r="J4606" s="2" t="s">
        <v>13904</v>
      </c>
      <c r="K4606" s="2" t="s">
        <v>19216</v>
      </c>
      <c r="L4606" s="82" t="s">
        <v>19512</v>
      </c>
    </row>
    <row r="4607" spans="1:12" ht="96" customHeight="1" x14ac:dyDescent="0.3">
      <c r="A4607" s="2">
        <v>4603</v>
      </c>
      <c r="B4607" s="66" t="s">
        <v>5298</v>
      </c>
      <c r="C4607" s="66" t="s">
        <v>5302</v>
      </c>
      <c r="D4607" s="11">
        <v>14457</v>
      </c>
      <c r="E4607" s="11">
        <v>14457</v>
      </c>
      <c r="F4607" s="3">
        <v>41624</v>
      </c>
      <c r="G4607" s="2"/>
      <c r="H4607" s="3">
        <v>43053</v>
      </c>
      <c r="I4607" s="2" t="s">
        <v>19506</v>
      </c>
      <c r="J4607" s="2" t="s">
        <v>13904</v>
      </c>
      <c r="K4607" s="2" t="s">
        <v>19216</v>
      </c>
      <c r="L4607" s="82" t="s">
        <v>19512</v>
      </c>
    </row>
    <row r="4608" spans="1:12" ht="96" customHeight="1" x14ac:dyDescent="0.3">
      <c r="A4608" s="2">
        <v>4604</v>
      </c>
      <c r="B4608" s="66" t="s">
        <v>5298</v>
      </c>
      <c r="C4608" s="66" t="s">
        <v>5303</v>
      </c>
      <c r="D4608" s="11">
        <v>14457</v>
      </c>
      <c r="E4608" s="11">
        <v>14457</v>
      </c>
      <c r="F4608" s="3">
        <v>41624</v>
      </c>
      <c r="G4608" s="2"/>
      <c r="H4608" s="3">
        <v>43053</v>
      </c>
      <c r="I4608" s="2" t="s">
        <v>19506</v>
      </c>
      <c r="J4608" s="2" t="s">
        <v>13904</v>
      </c>
      <c r="K4608" s="2" t="s">
        <v>19216</v>
      </c>
      <c r="L4608" s="82" t="s">
        <v>19512</v>
      </c>
    </row>
    <row r="4609" spans="1:12" ht="96" customHeight="1" x14ac:dyDescent="0.3">
      <c r="A4609" s="2">
        <v>4605</v>
      </c>
      <c r="B4609" s="66" t="s">
        <v>5298</v>
      </c>
      <c r="C4609" s="66" t="s">
        <v>5304</v>
      </c>
      <c r="D4609" s="11">
        <v>14457</v>
      </c>
      <c r="E4609" s="11">
        <v>14457</v>
      </c>
      <c r="F4609" s="3">
        <v>41624</v>
      </c>
      <c r="G4609" s="2"/>
      <c r="H4609" s="3">
        <v>43053</v>
      </c>
      <c r="I4609" s="2" t="s">
        <v>19506</v>
      </c>
      <c r="J4609" s="2" t="s">
        <v>13904</v>
      </c>
      <c r="K4609" s="2" t="s">
        <v>19216</v>
      </c>
      <c r="L4609" s="82" t="s">
        <v>19512</v>
      </c>
    </row>
    <row r="4610" spans="1:12" ht="96" customHeight="1" x14ac:dyDescent="0.3">
      <c r="A4610" s="2">
        <v>4606</v>
      </c>
      <c r="B4610" s="66" t="s">
        <v>5298</v>
      </c>
      <c r="C4610" s="66" t="s">
        <v>5305</v>
      </c>
      <c r="D4610" s="11">
        <v>14457</v>
      </c>
      <c r="E4610" s="11">
        <v>14457</v>
      </c>
      <c r="F4610" s="3">
        <v>41624</v>
      </c>
      <c r="G4610" s="2"/>
      <c r="H4610" s="3">
        <v>43053</v>
      </c>
      <c r="I4610" s="2" t="s">
        <v>19506</v>
      </c>
      <c r="J4610" s="2" t="s">
        <v>13904</v>
      </c>
      <c r="K4610" s="2" t="s">
        <v>19216</v>
      </c>
      <c r="L4610" s="82" t="s">
        <v>19512</v>
      </c>
    </row>
    <row r="4611" spans="1:12" ht="96" customHeight="1" x14ac:dyDescent="0.3">
      <c r="A4611" s="2">
        <v>4607</v>
      </c>
      <c r="B4611" s="66" t="s">
        <v>5298</v>
      </c>
      <c r="C4611" s="66" t="s">
        <v>5306</v>
      </c>
      <c r="D4611" s="11">
        <v>14457</v>
      </c>
      <c r="E4611" s="11">
        <v>14457</v>
      </c>
      <c r="F4611" s="3">
        <v>41624</v>
      </c>
      <c r="G4611" s="2"/>
      <c r="H4611" s="3">
        <v>43053</v>
      </c>
      <c r="I4611" s="2" t="s">
        <v>19506</v>
      </c>
      <c r="J4611" s="2" t="s">
        <v>13904</v>
      </c>
      <c r="K4611" s="2" t="s">
        <v>19216</v>
      </c>
      <c r="L4611" s="82" t="s">
        <v>19512</v>
      </c>
    </row>
    <row r="4612" spans="1:12" ht="96" customHeight="1" x14ac:dyDescent="0.3">
      <c r="A4612" s="2">
        <v>4608</v>
      </c>
      <c r="B4612" s="66" t="s">
        <v>5298</v>
      </c>
      <c r="C4612" s="66" t="s">
        <v>5307</v>
      </c>
      <c r="D4612" s="11">
        <v>14457</v>
      </c>
      <c r="E4612" s="11">
        <v>14457</v>
      </c>
      <c r="F4612" s="3">
        <v>41624</v>
      </c>
      <c r="G4612" s="2"/>
      <c r="H4612" s="3">
        <v>43053</v>
      </c>
      <c r="I4612" s="2" t="s">
        <v>19506</v>
      </c>
      <c r="J4612" s="2" t="s">
        <v>13904</v>
      </c>
      <c r="K4612" s="2" t="s">
        <v>19216</v>
      </c>
      <c r="L4612" s="82" t="s">
        <v>19512</v>
      </c>
    </row>
    <row r="4613" spans="1:12" ht="96" customHeight="1" x14ac:dyDescent="0.3">
      <c r="A4613" s="2">
        <v>4609</v>
      </c>
      <c r="B4613" s="66" t="s">
        <v>5298</v>
      </c>
      <c r="C4613" s="66" t="s">
        <v>5308</v>
      </c>
      <c r="D4613" s="11">
        <v>14457</v>
      </c>
      <c r="E4613" s="11">
        <v>14457</v>
      </c>
      <c r="F4613" s="3">
        <v>41624</v>
      </c>
      <c r="G4613" s="2"/>
      <c r="H4613" s="3">
        <v>43053</v>
      </c>
      <c r="I4613" s="2" t="s">
        <v>19506</v>
      </c>
      <c r="J4613" s="2" t="s">
        <v>13904</v>
      </c>
      <c r="K4613" s="2" t="s">
        <v>19216</v>
      </c>
      <c r="L4613" s="82" t="s">
        <v>19512</v>
      </c>
    </row>
    <row r="4614" spans="1:12" ht="96" customHeight="1" x14ac:dyDescent="0.3">
      <c r="A4614" s="2">
        <v>4610</v>
      </c>
      <c r="B4614" s="66" t="s">
        <v>5020</v>
      </c>
      <c r="C4614" s="66" t="s">
        <v>5309</v>
      </c>
      <c r="D4614" s="11">
        <v>33300</v>
      </c>
      <c r="E4614" s="11">
        <v>33300</v>
      </c>
      <c r="F4614" s="3">
        <v>41619</v>
      </c>
      <c r="G4614" s="2"/>
      <c r="H4614" s="3">
        <v>43053</v>
      </c>
      <c r="I4614" s="2" t="s">
        <v>19506</v>
      </c>
      <c r="J4614" s="2" t="s">
        <v>13904</v>
      </c>
      <c r="K4614" s="2" t="s">
        <v>19216</v>
      </c>
      <c r="L4614" s="82" t="s">
        <v>19512</v>
      </c>
    </row>
    <row r="4615" spans="1:12" ht="96" customHeight="1" x14ac:dyDescent="0.3">
      <c r="A4615" s="2">
        <v>4611</v>
      </c>
      <c r="B4615" s="66" t="s">
        <v>5022</v>
      </c>
      <c r="C4615" s="66" t="s">
        <v>5023</v>
      </c>
      <c r="D4615" s="11">
        <v>7600</v>
      </c>
      <c r="E4615" s="11">
        <v>7600</v>
      </c>
      <c r="F4615" s="3">
        <v>41619</v>
      </c>
      <c r="G4615" s="2"/>
      <c r="H4615" s="3">
        <v>43053</v>
      </c>
      <c r="I4615" s="2" t="s">
        <v>19506</v>
      </c>
      <c r="J4615" s="2" t="s">
        <v>13904</v>
      </c>
      <c r="K4615" s="2" t="s">
        <v>19216</v>
      </c>
      <c r="L4615" s="82" t="s">
        <v>19512</v>
      </c>
    </row>
    <row r="4616" spans="1:12" ht="96" customHeight="1" x14ac:dyDescent="0.3">
      <c r="A4616" s="2">
        <v>4612</v>
      </c>
      <c r="B4616" s="66" t="s">
        <v>5022</v>
      </c>
      <c r="C4616" s="66" t="s">
        <v>5024</v>
      </c>
      <c r="D4616" s="11">
        <v>7600</v>
      </c>
      <c r="E4616" s="11">
        <v>7600</v>
      </c>
      <c r="F4616" s="3">
        <v>41619</v>
      </c>
      <c r="G4616" s="2"/>
      <c r="H4616" s="3">
        <v>43053</v>
      </c>
      <c r="I4616" s="2" t="s">
        <v>19506</v>
      </c>
      <c r="J4616" s="2" t="s">
        <v>13904</v>
      </c>
      <c r="K4616" s="2" t="s">
        <v>19216</v>
      </c>
      <c r="L4616" s="82" t="s">
        <v>19512</v>
      </c>
    </row>
    <row r="4617" spans="1:12" ht="96" customHeight="1" x14ac:dyDescent="0.3">
      <c r="A4617" s="2">
        <v>4613</v>
      </c>
      <c r="B4617" s="66" t="s">
        <v>5022</v>
      </c>
      <c r="C4617" s="66" t="s">
        <v>5025</v>
      </c>
      <c r="D4617" s="11">
        <v>7600</v>
      </c>
      <c r="E4617" s="11">
        <v>7600</v>
      </c>
      <c r="F4617" s="3">
        <v>41619</v>
      </c>
      <c r="G4617" s="2"/>
      <c r="H4617" s="3">
        <v>43053</v>
      </c>
      <c r="I4617" s="2" t="s">
        <v>19506</v>
      </c>
      <c r="J4617" s="2" t="s">
        <v>13904</v>
      </c>
      <c r="K4617" s="2" t="s">
        <v>19216</v>
      </c>
      <c r="L4617" s="82" t="s">
        <v>19512</v>
      </c>
    </row>
    <row r="4618" spans="1:12" ht="96" customHeight="1" x14ac:dyDescent="0.3">
      <c r="A4618" s="2">
        <v>4614</v>
      </c>
      <c r="B4618" s="66" t="s">
        <v>5022</v>
      </c>
      <c r="C4618" s="66" t="s">
        <v>5026</v>
      </c>
      <c r="D4618" s="11">
        <v>7600</v>
      </c>
      <c r="E4618" s="11">
        <v>7600</v>
      </c>
      <c r="F4618" s="3">
        <v>41619</v>
      </c>
      <c r="G4618" s="2"/>
      <c r="H4618" s="3">
        <v>43053</v>
      </c>
      <c r="I4618" s="2" t="s">
        <v>19506</v>
      </c>
      <c r="J4618" s="2" t="s">
        <v>13904</v>
      </c>
      <c r="K4618" s="2" t="s">
        <v>19216</v>
      </c>
      <c r="L4618" s="82" t="s">
        <v>19512</v>
      </c>
    </row>
    <row r="4619" spans="1:12" ht="96" customHeight="1" x14ac:dyDescent="0.3">
      <c r="A4619" s="2">
        <v>4615</v>
      </c>
      <c r="B4619" s="66" t="s">
        <v>5027</v>
      </c>
      <c r="C4619" s="66" t="s">
        <v>5028</v>
      </c>
      <c r="D4619" s="11">
        <v>27700.43</v>
      </c>
      <c r="E4619" s="11">
        <v>27700.43</v>
      </c>
      <c r="F4619" s="3">
        <v>41619</v>
      </c>
      <c r="G4619" s="2"/>
      <c r="H4619" s="3">
        <v>43053</v>
      </c>
      <c r="I4619" s="2" t="s">
        <v>19506</v>
      </c>
      <c r="J4619" s="2" t="s">
        <v>13904</v>
      </c>
      <c r="K4619" s="2" t="s">
        <v>19216</v>
      </c>
      <c r="L4619" s="82" t="s">
        <v>19512</v>
      </c>
    </row>
    <row r="4620" spans="1:12" ht="96" customHeight="1" x14ac:dyDescent="0.3">
      <c r="A4620" s="2">
        <v>4616</v>
      </c>
      <c r="B4620" s="66" t="s">
        <v>5029</v>
      </c>
      <c r="C4620" s="66" t="s">
        <v>5030</v>
      </c>
      <c r="D4620" s="11">
        <v>24203.14</v>
      </c>
      <c r="E4620" s="11">
        <v>24203.14</v>
      </c>
      <c r="F4620" s="3">
        <v>41619</v>
      </c>
      <c r="G4620" s="2"/>
      <c r="H4620" s="3">
        <v>43053</v>
      </c>
      <c r="I4620" s="2" t="s">
        <v>19506</v>
      </c>
      <c r="J4620" s="2" t="s">
        <v>13904</v>
      </c>
      <c r="K4620" s="2" t="s">
        <v>19216</v>
      </c>
      <c r="L4620" s="82" t="s">
        <v>19512</v>
      </c>
    </row>
    <row r="4621" spans="1:12" ht="96" customHeight="1" x14ac:dyDescent="0.3">
      <c r="A4621" s="2">
        <v>4617</v>
      </c>
      <c r="B4621" s="66" t="s">
        <v>5029</v>
      </c>
      <c r="C4621" s="66" t="s">
        <v>5031</v>
      </c>
      <c r="D4621" s="11">
        <v>24203.14</v>
      </c>
      <c r="E4621" s="11">
        <v>24203.14</v>
      </c>
      <c r="F4621" s="3">
        <v>41619</v>
      </c>
      <c r="G4621" s="2"/>
      <c r="H4621" s="3">
        <v>43053</v>
      </c>
      <c r="I4621" s="2" t="s">
        <v>19506</v>
      </c>
      <c r="J4621" s="2" t="s">
        <v>13904</v>
      </c>
      <c r="K4621" s="2" t="s">
        <v>19216</v>
      </c>
      <c r="L4621" s="82" t="s">
        <v>19512</v>
      </c>
    </row>
    <row r="4622" spans="1:12" ht="96" customHeight="1" x14ac:dyDescent="0.3">
      <c r="A4622" s="2">
        <v>4618</v>
      </c>
      <c r="B4622" s="66" t="s">
        <v>5029</v>
      </c>
      <c r="C4622" s="66" t="s">
        <v>5032</v>
      </c>
      <c r="D4622" s="11">
        <v>24203.14</v>
      </c>
      <c r="E4622" s="11">
        <v>24203.14</v>
      </c>
      <c r="F4622" s="3">
        <v>41619</v>
      </c>
      <c r="G4622" s="2"/>
      <c r="H4622" s="3">
        <v>43053</v>
      </c>
      <c r="I4622" s="2" t="s">
        <v>19506</v>
      </c>
      <c r="J4622" s="2" t="s">
        <v>13904</v>
      </c>
      <c r="K4622" s="2" t="s">
        <v>19216</v>
      </c>
      <c r="L4622" s="82" t="s">
        <v>19512</v>
      </c>
    </row>
    <row r="4623" spans="1:12" ht="96" customHeight="1" x14ac:dyDescent="0.3">
      <c r="A4623" s="2">
        <v>4619</v>
      </c>
      <c r="B4623" s="66" t="s">
        <v>5029</v>
      </c>
      <c r="C4623" s="66" t="s">
        <v>5033</v>
      </c>
      <c r="D4623" s="11">
        <v>24203.14</v>
      </c>
      <c r="E4623" s="11">
        <v>24203.14</v>
      </c>
      <c r="F4623" s="3">
        <v>41619</v>
      </c>
      <c r="G4623" s="2"/>
      <c r="H4623" s="3">
        <v>43053</v>
      </c>
      <c r="I4623" s="2" t="s">
        <v>19506</v>
      </c>
      <c r="J4623" s="2" t="s">
        <v>13904</v>
      </c>
      <c r="K4623" s="2" t="s">
        <v>19216</v>
      </c>
      <c r="L4623" s="82" t="s">
        <v>19512</v>
      </c>
    </row>
    <row r="4624" spans="1:12" ht="96" customHeight="1" x14ac:dyDescent="0.3">
      <c r="A4624" s="2">
        <v>4620</v>
      </c>
      <c r="B4624" s="66" t="s">
        <v>5029</v>
      </c>
      <c r="C4624" s="66" t="s">
        <v>5034</v>
      </c>
      <c r="D4624" s="11">
        <v>24203.14</v>
      </c>
      <c r="E4624" s="11">
        <v>24203.14</v>
      </c>
      <c r="F4624" s="3">
        <v>41619</v>
      </c>
      <c r="G4624" s="2"/>
      <c r="H4624" s="3">
        <v>43053</v>
      </c>
      <c r="I4624" s="2" t="s">
        <v>19506</v>
      </c>
      <c r="J4624" s="2" t="s">
        <v>13904</v>
      </c>
      <c r="K4624" s="2" t="s">
        <v>19216</v>
      </c>
      <c r="L4624" s="82" t="s">
        <v>19512</v>
      </c>
    </row>
    <row r="4625" spans="1:12" ht="96" customHeight="1" x14ac:dyDescent="0.3">
      <c r="A4625" s="2">
        <v>4621</v>
      </c>
      <c r="B4625" s="66" t="s">
        <v>5029</v>
      </c>
      <c r="C4625" s="66" t="s">
        <v>5035</v>
      </c>
      <c r="D4625" s="11">
        <v>24203.14</v>
      </c>
      <c r="E4625" s="11">
        <v>24203.14</v>
      </c>
      <c r="F4625" s="3">
        <v>41619</v>
      </c>
      <c r="G4625" s="2"/>
      <c r="H4625" s="3">
        <v>43053</v>
      </c>
      <c r="I4625" s="2" t="s">
        <v>19506</v>
      </c>
      <c r="J4625" s="2" t="s">
        <v>13904</v>
      </c>
      <c r="K4625" s="2" t="s">
        <v>19216</v>
      </c>
      <c r="L4625" s="82" t="s">
        <v>19512</v>
      </c>
    </row>
    <row r="4626" spans="1:12" ht="96" customHeight="1" x14ac:dyDescent="0.3">
      <c r="A4626" s="2">
        <v>4622</v>
      </c>
      <c r="B4626" s="66" t="s">
        <v>5029</v>
      </c>
      <c r="C4626" s="66" t="s">
        <v>5036</v>
      </c>
      <c r="D4626" s="11">
        <v>24203.14</v>
      </c>
      <c r="E4626" s="11">
        <v>24203.14</v>
      </c>
      <c r="F4626" s="3">
        <v>41619</v>
      </c>
      <c r="G4626" s="2"/>
      <c r="H4626" s="3">
        <v>43053</v>
      </c>
      <c r="I4626" s="2" t="s">
        <v>19506</v>
      </c>
      <c r="J4626" s="2" t="s">
        <v>13904</v>
      </c>
      <c r="K4626" s="2" t="s">
        <v>19216</v>
      </c>
      <c r="L4626" s="82" t="s">
        <v>19512</v>
      </c>
    </row>
    <row r="4627" spans="1:12" ht="96" customHeight="1" x14ac:dyDescent="0.3">
      <c r="A4627" s="2">
        <v>4623</v>
      </c>
      <c r="B4627" s="66" t="s">
        <v>5029</v>
      </c>
      <c r="C4627" s="66" t="s">
        <v>5037</v>
      </c>
      <c r="D4627" s="11">
        <v>24203.14</v>
      </c>
      <c r="E4627" s="11">
        <v>24203.14</v>
      </c>
      <c r="F4627" s="3">
        <v>41619</v>
      </c>
      <c r="G4627" s="2"/>
      <c r="H4627" s="3">
        <v>43053</v>
      </c>
      <c r="I4627" s="2" t="s">
        <v>19506</v>
      </c>
      <c r="J4627" s="2" t="s">
        <v>13904</v>
      </c>
      <c r="K4627" s="2" t="s">
        <v>19216</v>
      </c>
      <c r="L4627" s="82" t="s">
        <v>19512</v>
      </c>
    </row>
    <row r="4628" spans="1:12" ht="96" customHeight="1" x14ac:dyDescent="0.3">
      <c r="A4628" s="2">
        <v>4624</v>
      </c>
      <c r="B4628" s="66" t="s">
        <v>5029</v>
      </c>
      <c r="C4628" s="66" t="s">
        <v>5038</v>
      </c>
      <c r="D4628" s="11">
        <v>24203.14</v>
      </c>
      <c r="E4628" s="11">
        <v>24203.14</v>
      </c>
      <c r="F4628" s="3">
        <v>41619</v>
      </c>
      <c r="G4628" s="2"/>
      <c r="H4628" s="3">
        <v>43053</v>
      </c>
      <c r="I4628" s="2" t="s">
        <v>19506</v>
      </c>
      <c r="J4628" s="2" t="s">
        <v>13904</v>
      </c>
      <c r="K4628" s="2" t="s">
        <v>19216</v>
      </c>
      <c r="L4628" s="82" t="s">
        <v>19512</v>
      </c>
    </row>
    <row r="4629" spans="1:12" ht="96" customHeight="1" x14ac:dyDescent="0.3">
      <c r="A4629" s="2">
        <v>4625</v>
      </c>
      <c r="B4629" s="66" t="s">
        <v>5029</v>
      </c>
      <c r="C4629" s="66" t="s">
        <v>5039</v>
      </c>
      <c r="D4629" s="11">
        <v>24203.14</v>
      </c>
      <c r="E4629" s="11">
        <v>24203.14</v>
      </c>
      <c r="F4629" s="3">
        <v>41619</v>
      </c>
      <c r="G4629" s="2"/>
      <c r="H4629" s="3">
        <v>43053</v>
      </c>
      <c r="I4629" s="2" t="s">
        <v>19506</v>
      </c>
      <c r="J4629" s="2" t="s">
        <v>13904</v>
      </c>
      <c r="K4629" s="2" t="s">
        <v>19216</v>
      </c>
      <c r="L4629" s="82" t="s">
        <v>19512</v>
      </c>
    </row>
    <row r="4630" spans="1:12" ht="96" customHeight="1" x14ac:dyDescent="0.3">
      <c r="A4630" s="2">
        <v>4626</v>
      </c>
      <c r="B4630" s="66" t="s">
        <v>5029</v>
      </c>
      <c r="C4630" s="66" t="s">
        <v>5040</v>
      </c>
      <c r="D4630" s="11">
        <v>24203.14</v>
      </c>
      <c r="E4630" s="11">
        <v>24203.14</v>
      </c>
      <c r="F4630" s="3">
        <v>41619</v>
      </c>
      <c r="G4630" s="2"/>
      <c r="H4630" s="3">
        <v>43053</v>
      </c>
      <c r="I4630" s="2" t="s">
        <v>19506</v>
      </c>
      <c r="J4630" s="2" t="s">
        <v>13904</v>
      </c>
      <c r="K4630" s="2" t="s">
        <v>19216</v>
      </c>
      <c r="L4630" s="82" t="s">
        <v>19512</v>
      </c>
    </row>
    <row r="4631" spans="1:12" ht="96" customHeight="1" x14ac:dyDescent="0.3">
      <c r="A4631" s="2">
        <v>4627</v>
      </c>
      <c r="B4631" s="66" t="s">
        <v>5029</v>
      </c>
      <c r="C4631" s="66" t="s">
        <v>5041</v>
      </c>
      <c r="D4631" s="11">
        <v>24203.14</v>
      </c>
      <c r="E4631" s="11">
        <v>24203.14</v>
      </c>
      <c r="F4631" s="3">
        <v>41619</v>
      </c>
      <c r="G4631" s="2"/>
      <c r="H4631" s="3">
        <v>43053</v>
      </c>
      <c r="I4631" s="2" t="s">
        <v>19506</v>
      </c>
      <c r="J4631" s="2" t="s">
        <v>13904</v>
      </c>
      <c r="K4631" s="2" t="s">
        <v>19216</v>
      </c>
      <c r="L4631" s="82" t="s">
        <v>19512</v>
      </c>
    </row>
    <row r="4632" spans="1:12" ht="96" customHeight="1" x14ac:dyDescent="0.3">
      <c r="A4632" s="2">
        <v>4628</v>
      </c>
      <c r="B4632" s="66" t="s">
        <v>5029</v>
      </c>
      <c r="C4632" s="66" t="s">
        <v>5042</v>
      </c>
      <c r="D4632" s="11">
        <v>24203.14</v>
      </c>
      <c r="E4632" s="11">
        <v>24203.14</v>
      </c>
      <c r="F4632" s="3">
        <v>41619</v>
      </c>
      <c r="G4632" s="2"/>
      <c r="H4632" s="3">
        <v>43053</v>
      </c>
      <c r="I4632" s="2" t="s">
        <v>19506</v>
      </c>
      <c r="J4632" s="2" t="s">
        <v>13904</v>
      </c>
      <c r="K4632" s="2" t="s">
        <v>19216</v>
      </c>
      <c r="L4632" s="82" t="s">
        <v>19512</v>
      </c>
    </row>
    <row r="4633" spans="1:12" ht="96" customHeight="1" x14ac:dyDescent="0.3">
      <c r="A4633" s="2">
        <v>4629</v>
      </c>
      <c r="B4633" s="66" t="s">
        <v>5043</v>
      </c>
      <c r="C4633" s="66" t="s">
        <v>5044</v>
      </c>
      <c r="D4633" s="11">
        <v>23900</v>
      </c>
      <c r="E4633" s="11">
        <v>23900</v>
      </c>
      <c r="F4633" s="3">
        <v>41619</v>
      </c>
      <c r="G4633" s="2"/>
      <c r="H4633" s="3">
        <v>43053</v>
      </c>
      <c r="I4633" s="2" t="s">
        <v>19506</v>
      </c>
      <c r="J4633" s="2" t="s">
        <v>13904</v>
      </c>
      <c r="K4633" s="2" t="s">
        <v>19216</v>
      </c>
      <c r="L4633" s="82" t="s">
        <v>19512</v>
      </c>
    </row>
    <row r="4634" spans="1:12" ht="96" customHeight="1" x14ac:dyDescent="0.3">
      <c r="A4634" s="2">
        <v>4630</v>
      </c>
      <c r="B4634" s="66" t="s">
        <v>5045</v>
      </c>
      <c r="C4634" s="66" t="s">
        <v>5046</v>
      </c>
      <c r="D4634" s="11">
        <v>12250</v>
      </c>
      <c r="E4634" s="11">
        <v>12250</v>
      </c>
      <c r="F4634" s="3">
        <v>41619</v>
      </c>
      <c r="G4634" s="2"/>
      <c r="H4634" s="3">
        <v>43053</v>
      </c>
      <c r="I4634" s="2" t="s">
        <v>19506</v>
      </c>
      <c r="J4634" s="2" t="s">
        <v>13904</v>
      </c>
      <c r="K4634" s="2" t="s">
        <v>19216</v>
      </c>
      <c r="L4634" s="82" t="s">
        <v>19512</v>
      </c>
    </row>
    <row r="4635" spans="1:12" ht="96" customHeight="1" x14ac:dyDescent="0.3">
      <c r="A4635" s="2">
        <v>4631</v>
      </c>
      <c r="B4635" s="66" t="s">
        <v>5047</v>
      </c>
      <c r="C4635" s="66" t="s">
        <v>5048</v>
      </c>
      <c r="D4635" s="11">
        <v>38584</v>
      </c>
      <c r="E4635" s="11">
        <v>38584</v>
      </c>
      <c r="F4635" s="3">
        <v>41619</v>
      </c>
      <c r="G4635" s="2"/>
      <c r="H4635" s="3">
        <v>43053</v>
      </c>
      <c r="I4635" s="2" t="s">
        <v>19506</v>
      </c>
      <c r="J4635" s="2" t="s">
        <v>13904</v>
      </c>
      <c r="K4635" s="2" t="s">
        <v>19216</v>
      </c>
      <c r="L4635" s="82" t="s">
        <v>19512</v>
      </c>
    </row>
    <row r="4636" spans="1:12" ht="96" customHeight="1" x14ac:dyDescent="0.3">
      <c r="A4636" s="2">
        <v>4632</v>
      </c>
      <c r="B4636" s="66" t="s">
        <v>5049</v>
      </c>
      <c r="C4636" s="66" t="s">
        <v>5050</v>
      </c>
      <c r="D4636" s="11">
        <v>38749</v>
      </c>
      <c r="E4636" s="11">
        <v>38749</v>
      </c>
      <c r="F4636" s="3">
        <v>41619</v>
      </c>
      <c r="G4636" s="2"/>
      <c r="H4636" s="3">
        <v>43053</v>
      </c>
      <c r="I4636" s="2" t="s">
        <v>19506</v>
      </c>
      <c r="J4636" s="2" t="s">
        <v>13904</v>
      </c>
      <c r="K4636" s="2" t="s">
        <v>19216</v>
      </c>
      <c r="L4636" s="82" t="s">
        <v>19512</v>
      </c>
    </row>
    <row r="4637" spans="1:12" ht="96" customHeight="1" x14ac:dyDescent="0.3">
      <c r="A4637" s="2">
        <v>4633</v>
      </c>
      <c r="B4637" s="66" t="s">
        <v>5049</v>
      </c>
      <c r="C4637" s="66" t="s">
        <v>5051</v>
      </c>
      <c r="D4637" s="11">
        <v>38749</v>
      </c>
      <c r="E4637" s="11">
        <v>38749</v>
      </c>
      <c r="F4637" s="3">
        <v>41619</v>
      </c>
      <c r="G4637" s="2"/>
      <c r="H4637" s="3">
        <v>43053</v>
      </c>
      <c r="I4637" s="2" t="s">
        <v>19506</v>
      </c>
      <c r="J4637" s="2" t="s">
        <v>13904</v>
      </c>
      <c r="K4637" s="2" t="s">
        <v>19216</v>
      </c>
      <c r="L4637" s="82" t="s">
        <v>19512</v>
      </c>
    </row>
    <row r="4638" spans="1:12" ht="96" customHeight="1" x14ac:dyDescent="0.3">
      <c r="A4638" s="2">
        <v>4634</v>
      </c>
      <c r="B4638" s="66" t="s">
        <v>5049</v>
      </c>
      <c r="C4638" s="66" t="s">
        <v>5052</v>
      </c>
      <c r="D4638" s="11">
        <v>38749</v>
      </c>
      <c r="E4638" s="11">
        <v>38749</v>
      </c>
      <c r="F4638" s="3">
        <v>41619</v>
      </c>
      <c r="G4638" s="2"/>
      <c r="H4638" s="3">
        <v>43053</v>
      </c>
      <c r="I4638" s="2" t="s">
        <v>19506</v>
      </c>
      <c r="J4638" s="2" t="s">
        <v>13904</v>
      </c>
      <c r="K4638" s="2" t="s">
        <v>19216</v>
      </c>
      <c r="L4638" s="82" t="s">
        <v>19512</v>
      </c>
    </row>
    <row r="4639" spans="1:12" ht="96" customHeight="1" x14ac:dyDescent="0.3">
      <c r="A4639" s="2">
        <v>4635</v>
      </c>
      <c r="B4639" s="66" t="s">
        <v>5049</v>
      </c>
      <c r="C4639" s="66" t="s">
        <v>5053</v>
      </c>
      <c r="D4639" s="11">
        <v>38749</v>
      </c>
      <c r="E4639" s="11">
        <v>38749</v>
      </c>
      <c r="F4639" s="3">
        <v>41619</v>
      </c>
      <c r="G4639" s="2"/>
      <c r="H4639" s="3">
        <v>43053</v>
      </c>
      <c r="I4639" s="2" t="s">
        <v>19506</v>
      </c>
      <c r="J4639" s="2" t="s">
        <v>13904</v>
      </c>
      <c r="K4639" s="2" t="s">
        <v>19216</v>
      </c>
      <c r="L4639" s="82" t="s">
        <v>19512</v>
      </c>
    </row>
    <row r="4640" spans="1:12" ht="96" customHeight="1" x14ac:dyDescent="0.3">
      <c r="A4640" s="2">
        <v>4636</v>
      </c>
      <c r="B4640" s="66" t="s">
        <v>5054</v>
      </c>
      <c r="C4640" s="66" t="s">
        <v>5055</v>
      </c>
      <c r="D4640" s="11">
        <v>4586</v>
      </c>
      <c r="E4640" s="11">
        <v>4586</v>
      </c>
      <c r="F4640" s="3">
        <v>41619</v>
      </c>
      <c r="G4640" s="2"/>
      <c r="H4640" s="3">
        <v>43053</v>
      </c>
      <c r="I4640" s="2" t="s">
        <v>19506</v>
      </c>
      <c r="J4640" s="2" t="s">
        <v>13904</v>
      </c>
      <c r="K4640" s="2" t="s">
        <v>19216</v>
      </c>
      <c r="L4640" s="82" t="s">
        <v>19512</v>
      </c>
    </row>
    <row r="4641" spans="1:12" ht="96" customHeight="1" x14ac:dyDescent="0.3">
      <c r="A4641" s="2">
        <v>4637</v>
      </c>
      <c r="B4641" s="66" t="s">
        <v>5054</v>
      </c>
      <c r="C4641" s="66" t="s">
        <v>5056</v>
      </c>
      <c r="D4641" s="11">
        <v>4586</v>
      </c>
      <c r="E4641" s="11">
        <v>4586</v>
      </c>
      <c r="F4641" s="3">
        <v>41619</v>
      </c>
      <c r="G4641" s="2"/>
      <c r="H4641" s="3">
        <v>43053</v>
      </c>
      <c r="I4641" s="2" t="s">
        <v>19506</v>
      </c>
      <c r="J4641" s="2" t="s">
        <v>13904</v>
      </c>
      <c r="K4641" s="2" t="s">
        <v>19216</v>
      </c>
      <c r="L4641" s="82" t="s">
        <v>19512</v>
      </c>
    </row>
    <row r="4642" spans="1:12" ht="96" customHeight="1" x14ac:dyDescent="0.3">
      <c r="A4642" s="2">
        <v>4638</v>
      </c>
      <c r="B4642" s="66" t="s">
        <v>5054</v>
      </c>
      <c r="C4642" s="66" t="s">
        <v>5057</v>
      </c>
      <c r="D4642" s="11">
        <v>4586</v>
      </c>
      <c r="E4642" s="11">
        <v>4586</v>
      </c>
      <c r="F4642" s="3">
        <v>41619</v>
      </c>
      <c r="G4642" s="2"/>
      <c r="H4642" s="3">
        <v>43053</v>
      </c>
      <c r="I4642" s="2" t="s">
        <v>19506</v>
      </c>
      <c r="J4642" s="2" t="s">
        <v>13904</v>
      </c>
      <c r="K4642" s="2" t="s">
        <v>19216</v>
      </c>
      <c r="L4642" s="82" t="s">
        <v>19512</v>
      </c>
    </row>
    <row r="4643" spans="1:12" ht="96" customHeight="1" x14ac:dyDescent="0.3">
      <c r="A4643" s="2">
        <v>4639</v>
      </c>
      <c r="B4643" s="66" t="s">
        <v>5054</v>
      </c>
      <c r="C4643" s="66" t="s">
        <v>5058</v>
      </c>
      <c r="D4643" s="11">
        <v>4586</v>
      </c>
      <c r="E4643" s="11">
        <v>4586</v>
      </c>
      <c r="F4643" s="3">
        <v>41619</v>
      </c>
      <c r="G4643" s="2"/>
      <c r="H4643" s="3">
        <v>43053</v>
      </c>
      <c r="I4643" s="2" t="s">
        <v>19506</v>
      </c>
      <c r="J4643" s="2" t="s">
        <v>13904</v>
      </c>
      <c r="K4643" s="2" t="s">
        <v>19216</v>
      </c>
      <c r="L4643" s="82" t="s">
        <v>19512</v>
      </c>
    </row>
    <row r="4644" spans="1:12" ht="96" customHeight="1" x14ac:dyDescent="0.3">
      <c r="A4644" s="2">
        <v>4640</v>
      </c>
      <c r="B4644" s="66" t="s">
        <v>5059</v>
      </c>
      <c r="C4644" s="66" t="s">
        <v>5060</v>
      </c>
      <c r="D4644" s="11">
        <v>11760</v>
      </c>
      <c r="E4644" s="11">
        <v>11760</v>
      </c>
      <c r="F4644" s="3">
        <v>41619</v>
      </c>
      <c r="G4644" s="2"/>
      <c r="H4644" s="3">
        <v>43053</v>
      </c>
      <c r="I4644" s="2" t="s">
        <v>19506</v>
      </c>
      <c r="J4644" s="2" t="s">
        <v>13904</v>
      </c>
      <c r="K4644" s="2" t="s">
        <v>19216</v>
      </c>
      <c r="L4644" s="82" t="s">
        <v>19512</v>
      </c>
    </row>
    <row r="4645" spans="1:12" ht="96" customHeight="1" x14ac:dyDescent="0.3">
      <c r="A4645" s="2">
        <v>4641</v>
      </c>
      <c r="B4645" s="66" t="s">
        <v>5061</v>
      </c>
      <c r="C4645" s="66" t="s">
        <v>5062</v>
      </c>
      <c r="D4645" s="11">
        <v>3490</v>
      </c>
      <c r="E4645" s="11">
        <v>3490</v>
      </c>
      <c r="F4645" s="3">
        <v>41619</v>
      </c>
      <c r="G4645" s="2"/>
      <c r="H4645" s="3">
        <v>43053</v>
      </c>
      <c r="I4645" s="2" t="s">
        <v>19506</v>
      </c>
      <c r="J4645" s="2" t="s">
        <v>13904</v>
      </c>
      <c r="K4645" s="2" t="s">
        <v>19216</v>
      </c>
      <c r="L4645" s="82" t="s">
        <v>19512</v>
      </c>
    </row>
    <row r="4646" spans="1:12" ht="96" customHeight="1" x14ac:dyDescent="0.3">
      <c r="A4646" s="2">
        <v>4642</v>
      </c>
      <c r="B4646" s="66" t="s">
        <v>5063</v>
      </c>
      <c r="C4646" s="66" t="s">
        <v>5064</v>
      </c>
      <c r="D4646" s="11">
        <v>30638</v>
      </c>
      <c r="E4646" s="11">
        <v>30638</v>
      </c>
      <c r="F4646" s="3">
        <v>41619</v>
      </c>
      <c r="G4646" s="2"/>
      <c r="H4646" s="3">
        <v>43053</v>
      </c>
      <c r="I4646" s="2" t="s">
        <v>19506</v>
      </c>
      <c r="J4646" s="2" t="s">
        <v>13904</v>
      </c>
      <c r="K4646" s="2" t="s">
        <v>19216</v>
      </c>
      <c r="L4646" s="82" t="s">
        <v>19512</v>
      </c>
    </row>
    <row r="4647" spans="1:12" ht="96" customHeight="1" x14ac:dyDescent="0.3">
      <c r="A4647" s="2">
        <v>4643</v>
      </c>
      <c r="B4647" s="66" t="s">
        <v>5063</v>
      </c>
      <c r="C4647" s="66" t="s">
        <v>5065</v>
      </c>
      <c r="D4647" s="11">
        <v>30638</v>
      </c>
      <c r="E4647" s="11">
        <v>30638</v>
      </c>
      <c r="F4647" s="3">
        <v>41619</v>
      </c>
      <c r="G4647" s="2"/>
      <c r="H4647" s="3">
        <v>43053</v>
      </c>
      <c r="I4647" s="2" t="s">
        <v>19506</v>
      </c>
      <c r="J4647" s="2" t="s">
        <v>13904</v>
      </c>
      <c r="K4647" s="2" t="s">
        <v>19216</v>
      </c>
      <c r="L4647" s="82" t="s">
        <v>19512</v>
      </c>
    </row>
    <row r="4648" spans="1:12" ht="96" customHeight="1" x14ac:dyDescent="0.3">
      <c r="A4648" s="2">
        <v>4644</v>
      </c>
      <c r="B4648" s="66" t="s">
        <v>5066</v>
      </c>
      <c r="C4648" s="66" t="s">
        <v>5067</v>
      </c>
      <c r="D4648" s="11">
        <v>8600</v>
      </c>
      <c r="E4648" s="11">
        <v>8600</v>
      </c>
      <c r="F4648" s="3">
        <v>41619</v>
      </c>
      <c r="G4648" s="2"/>
      <c r="H4648" s="3">
        <v>43053</v>
      </c>
      <c r="I4648" s="2" t="s">
        <v>19506</v>
      </c>
      <c r="J4648" s="2" t="s">
        <v>13904</v>
      </c>
      <c r="K4648" s="2" t="s">
        <v>19216</v>
      </c>
      <c r="L4648" s="82" t="s">
        <v>19512</v>
      </c>
    </row>
    <row r="4649" spans="1:12" ht="96" customHeight="1" x14ac:dyDescent="0.3">
      <c r="A4649" s="2">
        <v>4645</v>
      </c>
      <c r="B4649" s="66" t="s">
        <v>5310</v>
      </c>
      <c r="C4649" s="66" t="s">
        <v>3790</v>
      </c>
      <c r="D4649" s="11">
        <v>36700</v>
      </c>
      <c r="E4649" s="11">
        <v>36700</v>
      </c>
      <c r="F4649" s="3">
        <v>41988</v>
      </c>
      <c r="G4649" s="2"/>
      <c r="H4649" s="3">
        <v>43053</v>
      </c>
      <c r="I4649" s="2" t="s">
        <v>19506</v>
      </c>
      <c r="J4649" s="2" t="s">
        <v>13904</v>
      </c>
      <c r="K4649" s="2" t="s">
        <v>19216</v>
      </c>
      <c r="L4649" s="82" t="s">
        <v>19512</v>
      </c>
    </row>
    <row r="4650" spans="1:12" ht="96" customHeight="1" x14ac:dyDescent="0.3">
      <c r="A4650" s="2">
        <v>4646</v>
      </c>
      <c r="B4650" s="66" t="s">
        <v>5311</v>
      </c>
      <c r="C4650" s="66" t="s">
        <v>3763</v>
      </c>
      <c r="D4650" s="11">
        <v>36700</v>
      </c>
      <c r="E4650" s="11">
        <v>36700</v>
      </c>
      <c r="F4650" s="3">
        <v>41988</v>
      </c>
      <c r="G4650" s="2"/>
      <c r="H4650" s="3">
        <v>43053</v>
      </c>
      <c r="I4650" s="2" t="s">
        <v>19506</v>
      </c>
      <c r="J4650" s="2" t="s">
        <v>13904</v>
      </c>
      <c r="K4650" s="2" t="s">
        <v>19216</v>
      </c>
      <c r="L4650" s="82" t="s">
        <v>19512</v>
      </c>
    </row>
    <row r="4651" spans="1:12" ht="96" customHeight="1" x14ac:dyDescent="0.3">
      <c r="A4651" s="2">
        <v>4647</v>
      </c>
      <c r="B4651" s="66" t="s">
        <v>5071</v>
      </c>
      <c r="C4651" s="66" t="s">
        <v>3840</v>
      </c>
      <c r="D4651" s="11">
        <v>35100</v>
      </c>
      <c r="E4651" s="11">
        <v>35100</v>
      </c>
      <c r="F4651" s="3">
        <v>41988</v>
      </c>
      <c r="G4651" s="2"/>
      <c r="H4651" s="3">
        <v>43053</v>
      </c>
      <c r="I4651" s="2" t="s">
        <v>19506</v>
      </c>
      <c r="J4651" s="2" t="s">
        <v>13904</v>
      </c>
      <c r="K4651" s="2" t="s">
        <v>19216</v>
      </c>
      <c r="L4651" s="82" t="s">
        <v>19512</v>
      </c>
    </row>
    <row r="4652" spans="1:12" ht="96" customHeight="1" x14ac:dyDescent="0.3">
      <c r="A4652" s="2">
        <v>4648</v>
      </c>
      <c r="B4652" s="66" t="s">
        <v>5071</v>
      </c>
      <c r="C4652" s="66" t="s">
        <v>3469</v>
      </c>
      <c r="D4652" s="11">
        <v>35100</v>
      </c>
      <c r="E4652" s="11">
        <v>35100</v>
      </c>
      <c r="F4652" s="3">
        <v>41988</v>
      </c>
      <c r="G4652" s="2"/>
      <c r="H4652" s="3">
        <v>43053</v>
      </c>
      <c r="I4652" s="2" t="s">
        <v>19506</v>
      </c>
      <c r="J4652" s="2" t="s">
        <v>13904</v>
      </c>
      <c r="K4652" s="2" t="s">
        <v>19216</v>
      </c>
      <c r="L4652" s="82" t="s">
        <v>19512</v>
      </c>
    </row>
    <row r="4653" spans="1:12" ht="96" customHeight="1" x14ac:dyDescent="0.3">
      <c r="A4653" s="2">
        <v>4649</v>
      </c>
      <c r="B4653" s="66" t="s">
        <v>5312</v>
      </c>
      <c r="C4653" s="66" t="s">
        <v>4906</v>
      </c>
      <c r="D4653" s="11">
        <v>6300</v>
      </c>
      <c r="E4653" s="11">
        <v>6300</v>
      </c>
      <c r="F4653" s="3">
        <v>41988</v>
      </c>
      <c r="G4653" s="2"/>
      <c r="H4653" s="3">
        <v>43053</v>
      </c>
      <c r="I4653" s="2" t="s">
        <v>19506</v>
      </c>
      <c r="J4653" s="2" t="s">
        <v>13904</v>
      </c>
      <c r="K4653" s="2" t="s">
        <v>19216</v>
      </c>
      <c r="L4653" s="82" t="s">
        <v>19512</v>
      </c>
    </row>
    <row r="4654" spans="1:12" ht="96" customHeight="1" x14ac:dyDescent="0.3">
      <c r="A4654" s="2">
        <v>4650</v>
      </c>
      <c r="B4654" s="66" t="s">
        <v>5313</v>
      </c>
      <c r="C4654" s="66" t="s">
        <v>4904</v>
      </c>
      <c r="D4654" s="11">
        <v>6300</v>
      </c>
      <c r="E4654" s="11">
        <v>6300</v>
      </c>
      <c r="F4654" s="3">
        <v>41988</v>
      </c>
      <c r="G4654" s="2"/>
      <c r="H4654" s="3">
        <v>43053</v>
      </c>
      <c r="I4654" s="2" t="s">
        <v>19506</v>
      </c>
      <c r="J4654" s="2" t="s">
        <v>13904</v>
      </c>
      <c r="K4654" s="2" t="s">
        <v>19216</v>
      </c>
      <c r="L4654" s="82" t="s">
        <v>19512</v>
      </c>
    </row>
    <row r="4655" spans="1:12" ht="96" customHeight="1" x14ac:dyDescent="0.3">
      <c r="A4655" s="2">
        <v>4651</v>
      </c>
      <c r="B4655" s="66" t="s">
        <v>5314</v>
      </c>
      <c r="C4655" s="66" t="s">
        <v>5072</v>
      </c>
      <c r="D4655" s="11">
        <v>6900</v>
      </c>
      <c r="E4655" s="11">
        <v>6900</v>
      </c>
      <c r="F4655" s="3">
        <v>41988</v>
      </c>
      <c r="G4655" s="2"/>
      <c r="H4655" s="3">
        <v>43053</v>
      </c>
      <c r="I4655" s="2" t="s">
        <v>19506</v>
      </c>
      <c r="J4655" s="2" t="s">
        <v>13904</v>
      </c>
      <c r="K4655" s="2" t="s">
        <v>19216</v>
      </c>
      <c r="L4655" s="82" t="s">
        <v>19512</v>
      </c>
    </row>
    <row r="4656" spans="1:12" ht="96" customHeight="1" x14ac:dyDescent="0.3">
      <c r="A4656" s="2">
        <v>4652</v>
      </c>
      <c r="B4656" s="66" t="s">
        <v>5314</v>
      </c>
      <c r="C4656" s="66" t="s">
        <v>5315</v>
      </c>
      <c r="D4656" s="11">
        <v>6900</v>
      </c>
      <c r="E4656" s="11">
        <v>6900</v>
      </c>
      <c r="F4656" s="3">
        <v>41988</v>
      </c>
      <c r="G4656" s="2"/>
      <c r="H4656" s="3">
        <v>43053</v>
      </c>
      <c r="I4656" s="2" t="s">
        <v>19506</v>
      </c>
      <c r="J4656" s="2" t="s">
        <v>13904</v>
      </c>
      <c r="K4656" s="2" t="s">
        <v>19216</v>
      </c>
      <c r="L4656" s="82" t="s">
        <v>19512</v>
      </c>
    </row>
    <row r="4657" spans="1:12" ht="96" customHeight="1" x14ac:dyDescent="0.3">
      <c r="A4657" s="2">
        <v>4653</v>
      </c>
      <c r="B4657" s="66" t="s">
        <v>5316</v>
      </c>
      <c r="C4657" s="66" t="s">
        <v>5317</v>
      </c>
      <c r="D4657" s="11">
        <v>6149.99</v>
      </c>
      <c r="E4657" s="11">
        <v>6149.99</v>
      </c>
      <c r="F4657" s="3">
        <v>41145</v>
      </c>
      <c r="G4657" s="2"/>
      <c r="H4657" s="3">
        <v>43053</v>
      </c>
      <c r="I4657" s="2" t="s">
        <v>19506</v>
      </c>
      <c r="J4657" s="2" t="s">
        <v>13904</v>
      </c>
      <c r="K4657" s="2" t="s">
        <v>19216</v>
      </c>
      <c r="L4657" s="82" t="s">
        <v>19512</v>
      </c>
    </row>
    <row r="4658" spans="1:12" ht="96" customHeight="1" x14ac:dyDescent="0.3">
      <c r="A4658" s="2">
        <v>4654</v>
      </c>
      <c r="B4658" s="66" t="s">
        <v>5318</v>
      </c>
      <c r="C4658" s="66" t="s">
        <v>5319</v>
      </c>
      <c r="D4658" s="11">
        <v>7650</v>
      </c>
      <c r="E4658" s="11">
        <v>7650</v>
      </c>
      <c r="F4658" s="3">
        <v>41145</v>
      </c>
      <c r="G4658" s="2"/>
      <c r="H4658" s="3">
        <v>43053</v>
      </c>
      <c r="I4658" s="2" t="s">
        <v>19506</v>
      </c>
      <c r="J4658" s="2" t="s">
        <v>13904</v>
      </c>
      <c r="K4658" s="2" t="s">
        <v>19216</v>
      </c>
      <c r="L4658" s="82" t="s">
        <v>19512</v>
      </c>
    </row>
    <row r="4659" spans="1:12" ht="96" customHeight="1" x14ac:dyDescent="0.3">
      <c r="A4659" s="2">
        <v>4655</v>
      </c>
      <c r="B4659" s="66" t="s">
        <v>3170</v>
      </c>
      <c r="C4659" s="66" t="s">
        <v>5320</v>
      </c>
      <c r="D4659" s="11">
        <v>9430.56</v>
      </c>
      <c r="E4659" s="11">
        <v>9430.56</v>
      </c>
      <c r="F4659" s="3">
        <v>41115</v>
      </c>
      <c r="G4659" s="2"/>
      <c r="H4659" s="3">
        <v>43053</v>
      </c>
      <c r="I4659" s="2" t="s">
        <v>19506</v>
      </c>
      <c r="J4659" s="2" t="s">
        <v>13904</v>
      </c>
      <c r="K4659" s="2" t="s">
        <v>19216</v>
      </c>
      <c r="L4659" s="82" t="s">
        <v>19512</v>
      </c>
    </row>
    <row r="4660" spans="1:12" ht="96" customHeight="1" x14ac:dyDescent="0.3">
      <c r="A4660" s="2">
        <v>4656</v>
      </c>
      <c r="B4660" s="66" t="s">
        <v>971</v>
      </c>
      <c r="C4660" s="66" t="s">
        <v>4973</v>
      </c>
      <c r="D4660" s="11">
        <v>15250</v>
      </c>
      <c r="E4660" s="11">
        <v>15250</v>
      </c>
      <c r="F4660" s="3">
        <v>39744</v>
      </c>
      <c r="G4660" s="2"/>
      <c r="H4660" s="3">
        <v>43053</v>
      </c>
      <c r="I4660" s="2" t="s">
        <v>19506</v>
      </c>
      <c r="J4660" s="2" t="s">
        <v>13904</v>
      </c>
      <c r="K4660" s="2" t="s">
        <v>19216</v>
      </c>
      <c r="L4660" s="82" t="s">
        <v>19512</v>
      </c>
    </row>
    <row r="4661" spans="1:12" ht="96" customHeight="1" x14ac:dyDescent="0.3">
      <c r="A4661" s="2">
        <v>4657</v>
      </c>
      <c r="B4661" s="66" t="s">
        <v>5321</v>
      </c>
      <c r="C4661" s="66" t="s">
        <v>5322</v>
      </c>
      <c r="D4661" s="11">
        <v>3909.17</v>
      </c>
      <c r="E4661" s="11">
        <v>3909.17</v>
      </c>
      <c r="F4661" s="3">
        <v>39066</v>
      </c>
      <c r="G4661" s="2"/>
      <c r="H4661" s="3">
        <v>43053</v>
      </c>
      <c r="I4661" s="2" t="s">
        <v>19506</v>
      </c>
      <c r="J4661" s="2" t="s">
        <v>13904</v>
      </c>
      <c r="K4661" s="2" t="s">
        <v>19216</v>
      </c>
      <c r="L4661" s="82" t="s">
        <v>19512</v>
      </c>
    </row>
    <row r="4662" spans="1:12" ht="96" customHeight="1" x14ac:dyDescent="0.3">
      <c r="A4662" s="2">
        <v>4658</v>
      </c>
      <c r="B4662" s="66" t="s">
        <v>4933</v>
      </c>
      <c r="C4662" s="66" t="s">
        <v>5323</v>
      </c>
      <c r="D4662" s="11">
        <v>19500</v>
      </c>
      <c r="E4662" s="11">
        <v>19500</v>
      </c>
      <c r="F4662" s="3">
        <v>39588</v>
      </c>
      <c r="G4662" s="2"/>
      <c r="H4662" s="3">
        <v>43053</v>
      </c>
      <c r="I4662" s="2" t="s">
        <v>19506</v>
      </c>
      <c r="J4662" s="2" t="s">
        <v>13904</v>
      </c>
      <c r="K4662" s="2" t="s">
        <v>19216</v>
      </c>
      <c r="L4662" s="82" t="s">
        <v>19512</v>
      </c>
    </row>
    <row r="4663" spans="1:12" ht="96" customHeight="1" x14ac:dyDescent="0.3">
      <c r="A4663" s="2">
        <v>4659</v>
      </c>
      <c r="B4663" s="66" t="s">
        <v>986</v>
      </c>
      <c r="C4663" s="66" t="s">
        <v>5324</v>
      </c>
      <c r="D4663" s="11">
        <v>10911</v>
      </c>
      <c r="E4663" s="11">
        <v>10911</v>
      </c>
      <c r="F4663" s="3">
        <v>39811</v>
      </c>
      <c r="G4663" s="2"/>
      <c r="H4663" s="3">
        <v>43053</v>
      </c>
      <c r="I4663" s="2" t="s">
        <v>19506</v>
      </c>
      <c r="J4663" s="2" t="s">
        <v>13904</v>
      </c>
      <c r="K4663" s="2" t="s">
        <v>19216</v>
      </c>
      <c r="L4663" s="82" t="s">
        <v>19512</v>
      </c>
    </row>
    <row r="4664" spans="1:12" ht="96" customHeight="1" x14ac:dyDescent="0.3">
      <c r="A4664" s="2">
        <v>4660</v>
      </c>
      <c r="B4664" s="66" t="s">
        <v>986</v>
      </c>
      <c r="C4664" s="66" t="s">
        <v>5325</v>
      </c>
      <c r="D4664" s="11">
        <v>10911</v>
      </c>
      <c r="E4664" s="11">
        <v>10911</v>
      </c>
      <c r="F4664" s="3">
        <v>39811</v>
      </c>
      <c r="G4664" s="2"/>
      <c r="H4664" s="3">
        <v>43053</v>
      </c>
      <c r="I4664" s="2" t="s">
        <v>19506</v>
      </c>
      <c r="J4664" s="2" t="s">
        <v>13904</v>
      </c>
      <c r="K4664" s="2" t="s">
        <v>19216</v>
      </c>
      <c r="L4664" s="82" t="s">
        <v>19512</v>
      </c>
    </row>
    <row r="4665" spans="1:12" ht="96" customHeight="1" x14ac:dyDescent="0.3">
      <c r="A4665" s="2">
        <v>4661</v>
      </c>
      <c r="B4665" s="66" t="s">
        <v>986</v>
      </c>
      <c r="C4665" s="66" t="s">
        <v>5326</v>
      </c>
      <c r="D4665" s="11">
        <v>10911</v>
      </c>
      <c r="E4665" s="11">
        <v>10911</v>
      </c>
      <c r="F4665" s="3">
        <v>39811</v>
      </c>
      <c r="G4665" s="2"/>
      <c r="H4665" s="3">
        <v>43053</v>
      </c>
      <c r="I4665" s="2" t="s">
        <v>19506</v>
      </c>
      <c r="J4665" s="2" t="s">
        <v>13904</v>
      </c>
      <c r="K4665" s="2" t="s">
        <v>19216</v>
      </c>
      <c r="L4665" s="82" t="s">
        <v>19512</v>
      </c>
    </row>
    <row r="4666" spans="1:12" ht="96" customHeight="1" x14ac:dyDescent="0.3">
      <c r="A4666" s="2">
        <v>4662</v>
      </c>
      <c r="B4666" s="66" t="s">
        <v>986</v>
      </c>
      <c r="C4666" s="66" t="s">
        <v>5327</v>
      </c>
      <c r="D4666" s="11">
        <v>10911</v>
      </c>
      <c r="E4666" s="11">
        <v>10911</v>
      </c>
      <c r="F4666" s="3">
        <v>39811</v>
      </c>
      <c r="G4666" s="2"/>
      <c r="H4666" s="3">
        <v>43053</v>
      </c>
      <c r="I4666" s="2" t="s">
        <v>19506</v>
      </c>
      <c r="J4666" s="2" t="s">
        <v>13904</v>
      </c>
      <c r="K4666" s="2" t="s">
        <v>19216</v>
      </c>
      <c r="L4666" s="82" t="s">
        <v>19512</v>
      </c>
    </row>
    <row r="4667" spans="1:12" ht="96" customHeight="1" x14ac:dyDescent="0.3">
      <c r="A4667" s="2">
        <v>4663</v>
      </c>
      <c r="B4667" s="66" t="s">
        <v>986</v>
      </c>
      <c r="C4667" s="66" t="s">
        <v>5328</v>
      </c>
      <c r="D4667" s="11">
        <v>10911</v>
      </c>
      <c r="E4667" s="11">
        <v>10911</v>
      </c>
      <c r="F4667" s="3">
        <v>39811</v>
      </c>
      <c r="G4667" s="2"/>
      <c r="H4667" s="3">
        <v>43053</v>
      </c>
      <c r="I4667" s="2" t="s">
        <v>19506</v>
      </c>
      <c r="J4667" s="2" t="s">
        <v>13904</v>
      </c>
      <c r="K4667" s="2" t="s">
        <v>19216</v>
      </c>
      <c r="L4667" s="82" t="s">
        <v>19512</v>
      </c>
    </row>
    <row r="4668" spans="1:12" ht="96" customHeight="1" x14ac:dyDescent="0.3">
      <c r="A4668" s="2">
        <v>4664</v>
      </c>
      <c r="B4668" s="66" t="s">
        <v>986</v>
      </c>
      <c r="C4668" s="66" t="s">
        <v>5329</v>
      </c>
      <c r="D4668" s="11">
        <v>10911</v>
      </c>
      <c r="E4668" s="11">
        <v>10911</v>
      </c>
      <c r="F4668" s="3">
        <v>39811</v>
      </c>
      <c r="G4668" s="2"/>
      <c r="H4668" s="3">
        <v>43053</v>
      </c>
      <c r="I4668" s="2" t="s">
        <v>19506</v>
      </c>
      <c r="J4668" s="2" t="s">
        <v>13904</v>
      </c>
      <c r="K4668" s="2" t="s">
        <v>19216</v>
      </c>
      <c r="L4668" s="82" t="s">
        <v>19512</v>
      </c>
    </row>
    <row r="4669" spans="1:12" ht="96" customHeight="1" x14ac:dyDescent="0.3">
      <c r="A4669" s="2">
        <v>4665</v>
      </c>
      <c r="B4669" s="66" t="s">
        <v>5330</v>
      </c>
      <c r="C4669" s="66" t="s">
        <v>5331</v>
      </c>
      <c r="D4669" s="11">
        <v>4985</v>
      </c>
      <c r="E4669" s="11">
        <v>4985</v>
      </c>
      <c r="F4669" s="3">
        <v>39811</v>
      </c>
      <c r="G4669" s="2"/>
      <c r="H4669" s="3">
        <v>43053</v>
      </c>
      <c r="I4669" s="2" t="s">
        <v>19506</v>
      </c>
      <c r="J4669" s="2" t="s">
        <v>13904</v>
      </c>
      <c r="K4669" s="2" t="s">
        <v>19216</v>
      </c>
      <c r="L4669" s="82" t="s">
        <v>19512</v>
      </c>
    </row>
    <row r="4670" spans="1:12" ht="96" customHeight="1" x14ac:dyDescent="0.3">
      <c r="A4670" s="2">
        <v>4666</v>
      </c>
      <c r="B4670" s="66" t="s">
        <v>5332</v>
      </c>
      <c r="C4670" s="66" t="s">
        <v>3810</v>
      </c>
      <c r="D4670" s="11">
        <v>3810</v>
      </c>
      <c r="E4670" s="11">
        <v>3810</v>
      </c>
      <c r="F4670" s="3">
        <v>36875</v>
      </c>
      <c r="G4670" s="2"/>
      <c r="H4670" s="3">
        <v>43053</v>
      </c>
      <c r="I4670" s="2" t="s">
        <v>19506</v>
      </c>
      <c r="J4670" s="2" t="s">
        <v>13904</v>
      </c>
      <c r="K4670" s="2" t="s">
        <v>19216</v>
      </c>
      <c r="L4670" s="82" t="s">
        <v>19512</v>
      </c>
    </row>
    <row r="4671" spans="1:12" ht="96" customHeight="1" x14ac:dyDescent="0.3">
      <c r="A4671" s="2">
        <v>4667</v>
      </c>
      <c r="B4671" s="66" t="s">
        <v>5090</v>
      </c>
      <c r="C4671" s="66" t="s">
        <v>5333</v>
      </c>
      <c r="D4671" s="11">
        <v>5080</v>
      </c>
      <c r="E4671" s="11">
        <v>5080</v>
      </c>
      <c r="F4671" s="3">
        <v>36875</v>
      </c>
      <c r="G4671" s="2"/>
      <c r="H4671" s="3">
        <v>43053</v>
      </c>
      <c r="I4671" s="2" t="s">
        <v>19506</v>
      </c>
      <c r="J4671" s="2" t="s">
        <v>13904</v>
      </c>
      <c r="K4671" s="2" t="s">
        <v>19216</v>
      </c>
      <c r="L4671" s="82" t="s">
        <v>19512</v>
      </c>
    </row>
    <row r="4672" spans="1:12" ht="96" customHeight="1" x14ac:dyDescent="0.3">
      <c r="A4672" s="2">
        <v>4668</v>
      </c>
      <c r="B4672" s="66" t="s">
        <v>5334</v>
      </c>
      <c r="C4672" s="66" t="s">
        <v>5335</v>
      </c>
      <c r="D4672" s="11">
        <v>7702</v>
      </c>
      <c r="E4672" s="11">
        <v>7702</v>
      </c>
      <c r="F4672" s="3">
        <v>39811</v>
      </c>
      <c r="G4672" s="2"/>
      <c r="H4672" s="3">
        <v>43053</v>
      </c>
      <c r="I4672" s="2" t="s">
        <v>19506</v>
      </c>
      <c r="J4672" s="2" t="s">
        <v>13904</v>
      </c>
      <c r="K4672" s="2" t="s">
        <v>19216</v>
      </c>
      <c r="L4672" s="82" t="s">
        <v>19512</v>
      </c>
    </row>
    <row r="4673" spans="1:12" ht="96" customHeight="1" x14ac:dyDescent="0.3">
      <c r="A4673" s="2">
        <v>4669</v>
      </c>
      <c r="B4673" s="66" t="s">
        <v>5336</v>
      </c>
      <c r="C4673" s="66" t="s">
        <v>5337</v>
      </c>
      <c r="D4673" s="11">
        <v>6928</v>
      </c>
      <c r="E4673" s="11">
        <v>6928</v>
      </c>
      <c r="F4673" s="3">
        <v>39811</v>
      </c>
      <c r="G4673" s="2"/>
      <c r="H4673" s="3">
        <v>43053</v>
      </c>
      <c r="I4673" s="2" t="s">
        <v>19506</v>
      </c>
      <c r="J4673" s="2" t="s">
        <v>13904</v>
      </c>
      <c r="K4673" s="2" t="s">
        <v>19216</v>
      </c>
      <c r="L4673" s="82" t="s">
        <v>19512</v>
      </c>
    </row>
    <row r="4674" spans="1:12" ht="96" customHeight="1" x14ac:dyDescent="0.3">
      <c r="A4674" s="2">
        <v>4670</v>
      </c>
      <c r="B4674" s="66" t="s">
        <v>5321</v>
      </c>
      <c r="C4674" s="66" t="s">
        <v>5338</v>
      </c>
      <c r="D4674" s="11">
        <v>3909.17</v>
      </c>
      <c r="E4674" s="11">
        <v>3909.17</v>
      </c>
      <c r="F4674" s="3">
        <v>39066</v>
      </c>
      <c r="G4674" s="2"/>
      <c r="H4674" s="3">
        <v>43053</v>
      </c>
      <c r="I4674" s="2" t="s">
        <v>19506</v>
      </c>
      <c r="J4674" s="2" t="s">
        <v>13904</v>
      </c>
      <c r="K4674" s="2" t="s">
        <v>19216</v>
      </c>
      <c r="L4674" s="82" t="s">
        <v>19512</v>
      </c>
    </row>
    <row r="4675" spans="1:12" ht="96" customHeight="1" x14ac:dyDescent="0.3">
      <c r="A4675" s="2">
        <v>4671</v>
      </c>
      <c r="B4675" s="66" t="s">
        <v>4686</v>
      </c>
      <c r="C4675" s="66" t="s">
        <v>5339</v>
      </c>
      <c r="D4675" s="11">
        <v>15180</v>
      </c>
      <c r="E4675" s="11">
        <v>15180</v>
      </c>
      <c r="F4675" s="3">
        <v>39811</v>
      </c>
      <c r="G4675" s="2"/>
      <c r="H4675" s="3">
        <v>43053</v>
      </c>
      <c r="I4675" s="2" t="s">
        <v>19506</v>
      </c>
      <c r="J4675" s="2" t="s">
        <v>13904</v>
      </c>
      <c r="K4675" s="2" t="s">
        <v>19216</v>
      </c>
      <c r="L4675" s="82" t="s">
        <v>19512</v>
      </c>
    </row>
    <row r="4676" spans="1:12" ht="96" customHeight="1" x14ac:dyDescent="0.3">
      <c r="A4676" s="2">
        <v>4672</v>
      </c>
      <c r="B4676" s="66" t="s">
        <v>1920</v>
      </c>
      <c r="C4676" s="66" t="s">
        <v>3735</v>
      </c>
      <c r="D4676" s="11">
        <v>4457.7</v>
      </c>
      <c r="E4676" s="11">
        <v>4457.7</v>
      </c>
      <c r="F4676" s="3">
        <v>35106</v>
      </c>
      <c r="G4676" s="2"/>
      <c r="H4676" s="3">
        <v>43053</v>
      </c>
      <c r="I4676" s="2" t="s">
        <v>19506</v>
      </c>
      <c r="J4676" s="2" t="s">
        <v>13904</v>
      </c>
      <c r="K4676" s="2" t="s">
        <v>19216</v>
      </c>
      <c r="L4676" s="82" t="s">
        <v>19512</v>
      </c>
    </row>
    <row r="4677" spans="1:12" ht="96" customHeight="1" x14ac:dyDescent="0.3">
      <c r="A4677" s="2">
        <v>4673</v>
      </c>
      <c r="B4677" s="66" t="s">
        <v>253</v>
      </c>
      <c r="C4677" s="66" t="s">
        <v>3141</v>
      </c>
      <c r="D4677" s="11">
        <v>3201.67</v>
      </c>
      <c r="E4677" s="11">
        <v>3201.67</v>
      </c>
      <c r="F4677" s="3">
        <v>35136</v>
      </c>
      <c r="G4677" s="2"/>
      <c r="H4677" s="3">
        <v>43053</v>
      </c>
      <c r="I4677" s="2" t="s">
        <v>19506</v>
      </c>
      <c r="J4677" s="2" t="s">
        <v>13904</v>
      </c>
      <c r="K4677" s="2" t="s">
        <v>19216</v>
      </c>
      <c r="L4677" s="82" t="s">
        <v>19512</v>
      </c>
    </row>
    <row r="4678" spans="1:12" ht="96" customHeight="1" x14ac:dyDescent="0.3">
      <c r="A4678" s="2">
        <v>4674</v>
      </c>
      <c r="B4678" s="66" t="s">
        <v>5340</v>
      </c>
      <c r="C4678" s="66" t="s">
        <v>5341</v>
      </c>
      <c r="D4678" s="11">
        <v>3660</v>
      </c>
      <c r="E4678" s="11">
        <v>3660</v>
      </c>
      <c r="F4678" s="3">
        <v>39811</v>
      </c>
      <c r="G4678" s="2"/>
      <c r="H4678" s="3">
        <v>43053</v>
      </c>
      <c r="I4678" s="2" t="s">
        <v>19506</v>
      </c>
      <c r="J4678" s="2" t="s">
        <v>13904</v>
      </c>
      <c r="K4678" s="2" t="s">
        <v>19216</v>
      </c>
      <c r="L4678" s="82" t="s">
        <v>19512</v>
      </c>
    </row>
    <row r="4679" spans="1:12" ht="96" customHeight="1" x14ac:dyDescent="0.3">
      <c r="A4679" s="2">
        <v>4675</v>
      </c>
      <c r="B4679" s="66" t="s">
        <v>5340</v>
      </c>
      <c r="C4679" s="66" t="s">
        <v>5342</v>
      </c>
      <c r="D4679" s="11">
        <v>3660</v>
      </c>
      <c r="E4679" s="11">
        <v>3660</v>
      </c>
      <c r="F4679" s="3">
        <v>39811</v>
      </c>
      <c r="G4679" s="2"/>
      <c r="H4679" s="3">
        <v>43053</v>
      </c>
      <c r="I4679" s="2" t="s">
        <v>19506</v>
      </c>
      <c r="J4679" s="2" t="s">
        <v>13904</v>
      </c>
      <c r="K4679" s="2" t="s">
        <v>19216</v>
      </c>
      <c r="L4679" s="82" t="s">
        <v>19512</v>
      </c>
    </row>
    <row r="4680" spans="1:12" ht="96" customHeight="1" x14ac:dyDescent="0.3">
      <c r="A4680" s="2">
        <v>4676</v>
      </c>
      <c r="B4680" s="66" t="s">
        <v>5340</v>
      </c>
      <c r="C4680" s="66" t="s">
        <v>5343</v>
      </c>
      <c r="D4680" s="11">
        <v>3660</v>
      </c>
      <c r="E4680" s="11">
        <v>3660</v>
      </c>
      <c r="F4680" s="3">
        <v>39811</v>
      </c>
      <c r="G4680" s="2"/>
      <c r="H4680" s="3">
        <v>43053</v>
      </c>
      <c r="I4680" s="2" t="s">
        <v>19506</v>
      </c>
      <c r="J4680" s="2" t="s">
        <v>13904</v>
      </c>
      <c r="K4680" s="2" t="s">
        <v>19216</v>
      </c>
      <c r="L4680" s="82" t="s">
        <v>19512</v>
      </c>
    </row>
    <row r="4681" spans="1:12" ht="96" customHeight="1" x14ac:dyDescent="0.3">
      <c r="A4681" s="2">
        <v>4677</v>
      </c>
      <c r="B4681" s="66" t="s">
        <v>5344</v>
      </c>
      <c r="C4681" s="66" t="s">
        <v>5345</v>
      </c>
      <c r="D4681" s="11">
        <v>6499.44</v>
      </c>
      <c r="E4681" s="11">
        <v>6499.44</v>
      </c>
      <c r="F4681" s="3">
        <v>41558</v>
      </c>
      <c r="G4681" s="2"/>
      <c r="H4681" s="3">
        <v>43053</v>
      </c>
      <c r="I4681" s="2" t="s">
        <v>19506</v>
      </c>
      <c r="J4681" s="2" t="s">
        <v>13904</v>
      </c>
      <c r="K4681" s="2" t="s">
        <v>19216</v>
      </c>
      <c r="L4681" s="82" t="s">
        <v>19512</v>
      </c>
    </row>
    <row r="4682" spans="1:12" ht="96" customHeight="1" x14ac:dyDescent="0.3">
      <c r="A4682" s="2">
        <v>4678</v>
      </c>
      <c r="B4682" s="66" t="s">
        <v>5346</v>
      </c>
      <c r="C4682" s="66" t="s">
        <v>5347</v>
      </c>
      <c r="D4682" s="11">
        <v>4253.7</v>
      </c>
      <c r="E4682" s="11">
        <v>4253.7</v>
      </c>
      <c r="F4682" s="3">
        <v>41558</v>
      </c>
      <c r="G4682" s="2"/>
      <c r="H4682" s="3">
        <v>43053</v>
      </c>
      <c r="I4682" s="2" t="s">
        <v>19506</v>
      </c>
      <c r="J4682" s="2" t="s">
        <v>13904</v>
      </c>
      <c r="K4682" s="2" t="s">
        <v>19216</v>
      </c>
      <c r="L4682" s="82" t="s">
        <v>19512</v>
      </c>
    </row>
    <row r="4683" spans="1:12" ht="96" customHeight="1" x14ac:dyDescent="0.3">
      <c r="A4683" s="2">
        <v>4679</v>
      </c>
      <c r="B4683" s="66" t="s">
        <v>5346</v>
      </c>
      <c r="C4683" s="66" t="s">
        <v>5348</v>
      </c>
      <c r="D4683" s="11">
        <v>4253.6899999999996</v>
      </c>
      <c r="E4683" s="11">
        <v>4253.6899999999996</v>
      </c>
      <c r="F4683" s="3">
        <v>41558</v>
      </c>
      <c r="G4683" s="2"/>
      <c r="H4683" s="3">
        <v>43053</v>
      </c>
      <c r="I4683" s="2" t="s">
        <v>19506</v>
      </c>
      <c r="J4683" s="2" t="s">
        <v>13904</v>
      </c>
      <c r="K4683" s="2" t="s">
        <v>19216</v>
      </c>
      <c r="L4683" s="82" t="s">
        <v>19512</v>
      </c>
    </row>
    <row r="4684" spans="1:12" ht="96" customHeight="1" x14ac:dyDescent="0.3">
      <c r="A4684" s="2">
        <v>4680</v>
      </c>
      <c r="B4684" s="66" t="s">
        <v>5346</v>
      </c>
      <c r="C4684" s="66" t="s">
        <v>5349</v>
      </c>
      <c r="D4684" s="11">
        <v>4253.6899999999996</v>
      </c>
      <c r="E4684" s="11">
        <v>4253.6899999999996</v>
      </c>
      <c r="F4684" s="3">
        <v>41558</v>
      </c>
      <c r="G4684" s="2"/>
      <c r="H4684" s="3">
        <v>43053</v>
      </c>
      <c r="I4684" s="2" t="s">
        <v>19506</v>
      </c>
      <c r="J4684" s="2" t="s">
        <v>13904</v>
      </c>
      <c r="K4684" s="2" t="s">
        <v>19216</v>
      </c>
      <c r="L4684" s="82" t="s">
        <v>19512</v>
      </c>
    </row>
    <row r="4685" spans="1:12" ht="96" customHeight="1" x14ac:dyDescent="0.3">
      <c r="A4685" s="2">
        <v>4681</v>
      </c>
      <c r="B4685" s="66" t="s">
        <v>5350</v>
      </c>
      <c r="C4685" s="66" t="s">
        <v>5351</v>
      </c>
      <c r="D4685" s="11">
        <v>15548</v>
      </c>
      <c r="E4685" s="11">
        <v>15548</v>
      </c>
      <c r="F4685" s="3">
        <v>41683</v>
      </c>
      <c r="G4685" s="2"/>
      <c r="H4685" s="3">
        <v>43053</v>
      </c>
      <c r="I4685" s="2" t="s">
        <v>19506</v>
      </c>
      <c r="J4685" s="2" t="s">
        <v>13904</v>
      </c>
      <c r="K4685" s="2" t="s">
        <v>19216</v>
      </c>
      <c r="L4685" s="82" t="s">
        <v>19512</v>
      </c>
    </row>
    <row r="4686" spans="1:12" ht="96" customHeight="1" x14ac:dyDescent="0.3">
      <c r="A4686" s="2">
        <v>4682</v>
      </c>
      <c r="B4686" s="66" t="s">
        <v>4688</v>
      </c>
      <c r="C4686" s="66" t="s">
        <v>5352</v>
      </c>
      <c r="D4686" s="11">
        <v>5000</v>
      </c>
      <c r="E4686" s="11">
        <v>5000</v>
      </c>
      <c r="F4686" s="3">
        <v>39442</v>
      </c>
      <c r="G4686" s="2"/>
      <c r="H4686" s="3">
        <v>43053</v>
      </c>
      <c r="I4686" s="2" t="s">
        <v>19506</v>
      </c>
      <c r="J4686" s="2" t="s">
        <v>13904</v>
      </c>
      <c r="K4686" s="2" t="s">
        <v>19216</v>
      </c>
      <c r="L4686" s="82" t="s">
        <v>19512</v>
      </c>
    </row>
    <row r="4687" spans="1:12" ht="96" customHeight="1" x14ac:dyDescent="0.3">
      <c r="A4687" s="2">
        <v>4683</v>
      </c>
      <c r="B4687" s="66" t="s">
        <v>4688</v>
      </c>
      <c r="C4687" s="66" t="s">
        <v>5353</v>
      </c>
      <c r="D4687" s="11">
        <v>5000</v>
      </c>
      <c r="E4687" s="11">
        <v>5000</v>
      </c>
      <c r="F4687" s="3">
        <v>39442</v>
      </c>
      <c r="G4687" s="2"/>
      <c r="H4687" s="3">
        <v>43053</v>
      </c>
      <c r="I4687" s="2" t="s">
        <v>19506</v>
      </c>
      <c r="J4687" s="2" t="s">
        <v>13904</v>
      </c>
      <c r="K4687" s="2" t="s">
        <v>19216</v>
      </c>
      <c r="L4687" s="82" t="s">
        <v>19512</v>
      </c>
    </row>
    <row r="4688" spans="1:12" ht="96" customHeight="1" x14ac:dyDescent="0.3">
      <c r="A4688" s="2">
        <v>4684</v>
      </c>
      <c r="B4688" s="66" t="s">
        <v>5354</v>
      </c>
      <c r="C4688" s="66" t="s">
        <v>5355</v>
      </c>
      <c r="D4688" s="11">
        <v>9500</v>
      </c>
      <c r="E4688" s="11">
        <v>9500</v>
      </c>
      <c r="F4688" s="3">
        <v>41913</v>
      </c>
      <c r="G4688" s="2"/>
      <c r="H4688" s="3">
        <v>43053</v>
      </c>
      <c r="I4688" s="2" t="s">
        <v>19506</v>
      </c>
      <c r="J4688" s="2" t="s">
        <v>13904</v>
      </c>
      <c r="K4688" s="2" t="s">
        <v>19216</v>
      </c>
      <c r="L4688" s="82" t="s">
        <v>19512</v>
      </c>
    </row>
    <row r="4689" spans="1:12" ht="96" customHeight="1" x14ac:dyDescent="0.3">
      <c r="A4689" s="2">
        <v>4685</v>
      </c>
      <c r="B4689" s="66" t="s">
        <v>5354</v>
      </c>
      <c r="C4689" s="66" t="s">
        <v>5356</v>
      </c>
      <c r="D4689" s="11">
        <v>9500</v>
      </c>
      <c r="E4689" s="11">
        <v>9500</v>
      </c>
      <c r="F4689" s="3">
        <v>41913</v>
      </c>
      <c r="G4689" s="2"/>
      <c r="H4689" s="3">
        <v>43053</v>
      </c>
      <c r="I4689" s="2" t="s">
        <v>19506</v>
      </c>
      <c r="J4689" s="2" t="s">
        <v>13904</v>
      </c>
      <c r="K4689" s="2" t="s">
        <v>19216</v>
      </c>
      <c r="L4689" s="82" t="s">
        <v>19512</v>
      </c>
    </row>
    <row r="4690" spans="1:12" ht="96" customHeight="1" x14ac:dyDescent="0.3">
      <c r="A4690" s="2">
        <v>4686</v>
      </c>
      <c r="B4690" s="66" t="s">
        <v>5357</v>
      </c>
      <c r="C4690" s="66" t="s">
        <v>5358</v>
      </c>
      <c r="D4690" s="11">
        <v>4142</v>
      </c>
      <c r="E4690" s="11">
        <v>4142</v>
      </c>
      <c r="F4690" s="3">
        <v>41913</v>
      </c>
      <c r="G4690" s="2"/>
      <c r="H4690" s="3">
        <v>43053</v>
      </c>
      <c r="I4690" s="2" t="s">
        <v>19506</v>
      </c>
      <c r="J4690" s="2" t="s">
        <v>13904</v>
      </c>
      <c r="K4690" s="2" t="s">
        <v>19216</v>
      </c>
      <c r="L4690" s="82" t="s">
        <v>19512</v>
      </c>
    </row>
    <row r="4691" spans="1:12" ht="96" customHeight="1" x14ac:dyDescent="0.3">
      <c r="A4691" s="2">
        <v>4687</v>
      </c>
      <c r="B4691" s="66" t="s">
        <v>5357</v>
      </c>
      <c r="C4691" s="66" t="s">
        <v>5359</v>
      </c>
      <c r="D4691" s="11">
        <v>4142</v>
      </c>
      <c r="E4691" s="11">
        <v>4142</v>
      </c>
      <c r="F4691" s="3">
        <v>41913</v>
      </c>
      <c r="G4691" s="2"/>
      <c r="H4691" s="3">
        <v>43053</v>
      </c>
      <c r="I4691" s="2" t="s">
        <v>19506</v>
      </c>
      <c r="J4691" s="2" t="s">
        <v>13904</v>
      </c>
      <c r="K4691" s="2" t="s">
        <v>19216</v>
      </c>
      <c r="L4691" s="82" t="s">
        <v>19512</v>
      </c>
    </row>
    <row r="4692" spans="1:12" ht="96" customHeight="1" x14ac:dyDescent="0.3">
      <c r="A4692" s="2">
        <v>4688</v>
      </c>
      <c r="B4692" s="66" t="s">
        <v>5357</v>
      </c>
      <c r="C4692" s="66" t="s">
        <v>5360</v>
      </c>
      <c r="D4692" s="11">
        <v>4142</v>
      </c>
      <c r="E4692" s="11">
        <v>4142</v>
      </c>
      <c r="F4692" s="3">
        <v>41913</v>
      </c>
      <c r="G4692" s="2"/>
      <c r="H4692" s="3">
        <v>43053</v>
      </c>
      <c r="I4692" s="2" t="s">
        <v>19506</v>
      </c>
      <c r="J4692" s="2" t="s">
        <v>13904</v>
      </c>
      <c r="K4692" s="2" t="s">
        <v>19216</v>
      </c>
      <c r="L4692" s="82" t="s">
        <v>19512</v>
      </c>
    </row>
    <row r="4693" spans="1:12" ht="96" customHeight="1" x14ac:dyDescent="0.3">
      <c r="A4693" s="2">
        <v>4689</v>
      </c>
      <c r="B4693" s="66" t="s">
        <v>5357</v>
      </c>
      <c r="C4693" s="66" t="s">
        <v>5361</v>
      </c>
      <c r="D4693" s="11">
        <v>4142</v>
      </c>
      <c r="E4693" s="11">
        <v>4142</v>
      </c>
      <c r="F4693" s="3">
        <v>41913</v>
      </c>
      <c r="G4693" s="2"/>
      <c r="H4693" s="3">
        <v>43053</v>
      </c>
      <c r="I4693" s="2" t="s">
        <v>19506</v>
      </c>
      <c r="J4693" s="2" t="s">
        <v>13904</v>
      </c>
      <c r="K4693" s="2" t="s">
        <v>19216</v>
      </c>
      <c r="L4693" s="82" t="s">
        <v>19512</v>
      </c>
    </row>
    <row r="4694" spans="1:12" ht="96" customHeight="1" x14ac:dyDescent="0.3">
      <c r="A4694" s="2">
        <v>4690</v>
      </c>
      <c r="B4694" s="66" t="s">
        <v>5362</v>
      </c>
      <c r="C4694" s="66" t="s">
        <v>3145</v>
      </c>
      <c r="D4694" s="11">
        <v>18000</v>
      </c>
      <c r="E4694" s="11">
        <v>18000</v>
      </c>
      <c r="F4694" s="3">
        <v>41982</v>
      </c>
      <c r="G4694" s="2"/>
      <c r="H4694" s="3">
        <v>43053</v>
      </c>
      <c r="I4694" s="2" t="s">
        <v>19506</v>
      </c>
      <c r="J4694" s="2" t="s">
        <v>13904</v>
      </c>
      <c r="K4694" s="2" t="s">
        <v>19216</v>
      </c>
      <c r="L4694" s="82" t="s">
        <v>19512</v>
      </c>
    </row>
    <row r="4695" spans="1:12" ht="96" customHeight="1" x14ac:dyDescent="0.3">
      <c r="A4695" s="2">
        <v>4691</v>
      </c>
      <c r="B4695" s="66" t="s">
        <v>5363</v>
      </c>
      <c r="C4695" s="66" t="s">
        <v>5364</v>
      </c>
      <c r="D4695" s="11">
        <v>6000.3</v>
      </c>
      <c r="E4695" s="11">
        <v>6000.3</v>
      </c>
      <c r="F4695" s="3">
        <v>41115</v>
      </c>
      <c r="G4695" s="2"/>
      <c r="H4695" s="3">
        <v>43053</v>
      </c>
      <c r="I4695" s="2" t="s">
        <v>19506</v>
      </c>
      <c r="J4695" s="2" t="s">
        <v>13904</v>
      </c>
      <c r="K4695" s="2" t="s">
        <v>19216</v>
      </c>
      <c r="L4695" s="82" t="s">
        <v>19512</v>
      </c>
    </row>
    <row r="4696" spans="1:12" ht="96" customHeight="1" x14ac:dyDescent="0.3">
      <c r="A4696" s="2">
        <v>4692</v>
      </c>
      <c r="B4696" s="66" t="s">
        <v>3653</v>
      </c>
      <c r="C4696" s="66" t="s">
        <v>5365</v>
      </c>
      <c r="D4696" s="11">
        <v>4319.9799999999996</v>
      </c>
      <c r="E4696" s="11">
        <v>4319.9799999999996</v>
      </c>
      <c r="F4696" s="3">
        <v>41115</v>
      </c>
      <c r="G4696" s="2"/>
      <c r="H4696" s="3">
        <v>43053</v>
      </c>
      <c r="I4696" s="2" t="s">
        <v>19506</v>
      </c>
      <c r="J4696" s="2" t="s">
        <v>13904</v>
      </c>
      <c r="K4696" s="2" t="s">
        <v>19216</v>
      </c>
      <c r="L4696" s="82" t="s">
        <v>19512</v>
      </c>
    </row>
    <row r="4697" spans="1:12" ht="96" customHeight="1" x14ac:dyDescent="0.3">
      <c r="A4697" s="2">
        <v>4693</v>
      </c>
      <c r="B4697" s="66" t="s">
        <v>3486</v>
      </c>
      <c r="C4697" s="66" t="s">
        <v>5366</v>
      </c>
      <c r="D4697" s="11">
        <v>48050</v>
      </c>
      <c r="E4697" s="11">
        <v>48050</v>
      </c>
      <c r="F4697" s="3">
        <v>39764</v>
      </c>
      <c r="G4697" s="2"/>
      <c r="H4697" s="3">
        <v>43053</v>
      </c>
      <c r="I4697" s="2" t="s">
        <v>19506</v>
      </c>
      <c r="J4697" s="2" t="s">
        <v>13904</v>
      </c>
      <c r="K4697" s="2" t="s">
        <v>19216</v>
      </c>
      <c r="L4697" s="82" t="s">
        <v>19512</v>
      </c>
    </row>
    <row r="4698" spans="1:12" ht="96" customHeight="1" x14ac:dyDescent="0.3">
      <c r="A4698" s="2">
        <v>4694</v>
      </c>
      <c r="B4698" s="66" t="s">
        <v>5367</v>
      </c>
      <c r="C4698" s="66" t="s">
        <v>5368</v>
      </c>
      <c r="D4698" s="11">
        <v>14750</v>
      </c>
      <c r="E4698" s="11">
        <v>14750</v>
      </c>
      <c r="F4698" s="3">
        <v>39764</v>
      </c>
      <c r="G4698" s="2"/>
      <c r="H4698" s="3">
        <v>43053</v>
      </c>
      <c r="I4698" s="2" t="s">
        <v>19506</v>
      </c>
      <c r="J4698" s="2" t="s">
        <v>13904</v>
      </c>
      <c r="K4698" s="2" t="s">
        <v>19216</v>
      </c>
      <c r="L4698" s="82" t="s">
        <v>19512</v>
      </c>
    </row>
    <row r="4699" spans="1:12" ht="96" customHeight="1" x14ac:dyDescent="0.3">
      <c r="A4699" s="2">
        <v>4695</v>
      </c>
      <c r="B4699" s="66" t="s">
        <v>5369</v>
      </c>
      <c r="C4699" s="66" t="s">
        <v>4951</v>
      </c>
      <c r="D4699" s="11">
        <v>5800</v>
      </c>
      <c r="E4699" s="11">
        <v>5800</v>
      </c>
      <c r="F4699" s="3">
        <v>39420</v>
      </c>
      <c r="G4699" s="2"/>
      <c r="H4699" s="3">
        <v>43053</v>
      </c>
      <c r="I4699" s="2" t="s">
        <v>19506</v>
      </c>
      <c r="J4699" s="2" t="s">
        <v>13904</v>
      </c>
      <c r="K4699" s="2" t="s">
        <v>19216</v>
      </c>
      <c r="L4699" s="82" t="s">
        <v>19512</v>
      </c>
    </row>
    <row r="4700" spans="1:12" ht="96" customHeight="1" x14ac:dyDescent="0.3">
      <c r="A4700" s="2">
        <v>4696</v>
      </c>
      <c r="B4700" s="66" t="s">
        <v>5370</v>
      </c>
      <c r="C4700" s="66" t="s">
        <v>5371</v>
      </c>
      <c r="D4700" s="11">
        <v>4500</v>
      </c>
      <c r="E4700" s="11">
        <v>4500</v>
      </c>
      <c r="F4700" s="3">
        <v>39764</v>
      </c>
      <c r="G4700" s="2"/>
      <c r="H4700" s="3">
        <v>43053</v>
      </c>
      <c r="I4700" s="2" t="s">
        <v>19506</v>
      </c>
      <c r="J4700" s="2" t="s">
        <v>13904</v>
      </c>
      <c r="K4700" s="2" t="s">
        <v>19216</v>
      </c>
      <c r="L4700" s="82" t="s">
        <v>19512</v>
      </c>
    </row>
    <row r="4701" spans="1:12" ht="96" customHeight="1" x14ac:dyDescent="0.3">
      <c r="A4701" s="2">
        <v>4697</v>
      </c>
      <c r="B4701" s="66" t="s">
        <v>5370</v>
      </c>
      <c r="C4701" s="66" t="s">
        <v>5372</v>
      </c>
      <c r="D4701" s="11">
        <v>4500</v>
      </c>
      <c r="E4701" s="11">
        <v>4500</v>
      </c>
      <c r="F4701" s="3">
        <v>39764</v>
      </c>
      <c r="G4701" s="2"/>
      <c r="H4701" s="3">
        <v>43053</v>
      </c>
      <c r="I4701" s="2" t="s">
        <v>19506</v>
      </c>
      <c r="J4701" s="2" t="s">
        <v>13904</v>
      </c>
      <c r="K4701" s="2" t="s">
        <v>19216</v>
      </c>
      <c r="L4701" s="82" t="s">
        <v>19512</v>
      </c>
    </row>
    <row r="4702" spans="1:12" ht="96" customHeight="1" x14ac:dyDescent="0.3">
      <c r="A4702" s="2">
        <v>4698</v>
      </c>
      <c r="B4702" s="66" t="s">
        <v>5370</v>
      </c>
      <c r="C4702" s="66" t="s">
        <v>5373</v>
      </c>
      <c r="D4702" s="11">
        <v>4500</v>
      </c>
      <c r="E4702" s="11">
        <v>4500</v>
      </c>
      <c r="F4702" s="3">
        <v>39764</v>
      </c>
      <c r="G4702" s="2"/>
      <c r="H4702" s="3">
        <v>43053</v>
      </c>
      <c r="I4702" s="2" t="s">
        <v>19506</v>
      </c>
      <c r="J4702" s="2" t="s">
        <v>13904</v>
      </c>
      <c r="K4702" s="2" t="s">
        <v>19216</v>
      </c>
      <c r="L4702" s="82" t="s">
        <v>19512</v>
      </c>
    </row>
    <row r="4703" spans="1:12" ht="96" customHeight="1" x14ac:dyDescent="0.3">
      <c r="A4703" s="2">
        <v>4699</v>
      </c>
      <c r="B4703" s="66" t="s">
        <v>5370</v>
      </c>
      <c r="C4703" s="66" t="s">
        <v>5374</v>
      </c>
      <c r="D4703" s="11">
        <v>4500</v>
      </c>
      <c r="E4703" s="11">
        <v>4500</v>
      </c>
      <c r="F4703" s="3">
        <v>39764</v>
      </c>
      <c r="G4703" s="2"/>
      <c r="H4703" s="3">
        <v>43053</v>
      </c>
      <c r="I4703" s="2" t="s">
        <v>19506</v>
      </c>
      <c r="J4703" s="2" t="s">
        <v>13904</v>
      </c>
      <c r="K4703" s="2" t="s">
        <v>19216</v>
      </c>
      <c r="L4703" s="82" t="s">
        <v>19512</v>
      </c>
    </row>
    <row r="4704" spans="1:12" ht="96" customHeight="1" x14ac:dyDescent="0.3">
      <c r="A4704" s="2">
        <v>4700</v>
      </c>
      <c r="B4704" s="66" t="s">
        <v>5375</v>
      </c>
      <c r="C4704" s="66" t="s">
        <v>5376</v>
      </c>
      <c r="D4704" s="11">
        <v>5020.4399999999996</v>
      </c>
      <c r="E4704" s="11">
        <v>5020.4399999999996</v>
      </c>
      <c r="F4704" s="3">
        <v>39079</v>
      </c>
      <c r="G4704" s="2"/>
      <c r="H4704" s="3">
        <v>43053</v>
      </c>
      <c r="I4704" s="2" t="s">
        <v>19506</v>
      </c>
      <c r="J4704" s="2" t="s">
        <v>13904</v>
      </c>
      <c r="K4704" s="2" t="s">
        <v>19216</v>
      </c>
      <c r="L4704" s="82" t="s">
        <v>19512</v>
      </c>
    </row>
    <row r="4705" spans="1:15" ht="96" customHeight="1" x14ac:dyDescent="0.3">
      <c r="A4705" s="2">
        <v>4701</v>
      </c>
      <c r="B4705" s="66" t="s">
        <v>5377</v>
      </c>
      <c r="C4705" s="66" t="s">
        <v>5378</v>
      </c>
      <c r="D4705" s="11">
        <v>6195.5</v>
      </c>
      <c r="E4705" s="11">
        <v>6195.5</v>
      </c>
      <c r="F4705" s="3">
        <v>39771</v>
      </c>
      <c r="G4705" s="2"/>
      <c r="H4705" s="3">
        <v>43053</v>
      </c>
      <c r="I4705" s="2" t="s">
        <v>19506</v>
      </c>
      <c r="J4705" s="2" t="s">
        <v>13904</v>
      </c>
      <c r="K4705" s="2" t="s">
        <v>19216</v>
      </c>
      <c r="L4705" s="82" t="s">
        <v>19512</v>
      </c>
    </row>
    <row r="4706" spans="1:15" ht="96" customHeight="1" x14ac:dyDescent="0.3">
      <c r="A4706" s="2">
        <v>4702</v>
      </c>
      <c r="B4706" s="66" t="s">
        <v>5379</v>
      </c>
      <c r="C4706" s="66" t="s">
        <v>5380</v>
      </c>
      <c r="D4706" s="11">
        <v>3580.2</v>
      </c>
      <c r="E4706" s="11">
        <v>3580.2</v>
      </c>
      <c r="F4706" s="3">
        <v>39079</v>
      </c>
      <c r="G4706" s="2"/>
      <c r="H4706" s="3">
        <v>43053</v>
      </c>
      <c r="I4706" s="2" t="s">
        <v>19506</v>
      </c>
      <c r="J4706" s="2" t="s">
        <v>13904</v>
      </c>
      <c r="K4706" s="2" t="s">
        <v>19216</v>
      </c>
      <c r="L4706" s="82" t="s">
        <v>19512</v>
      </c>
    </row>
    <row r="4707" spans="1:15" s="19" customFormat="1" ht="96" customHeight="1" x14ac:dyDescent="0.3">
      <c r="A4707" s="2">
        <v>4703</v>
      </c>
      <c r="B4707" s="66" t="s">
        <v>3819</v>
      </c>
      <c r="C4707" s="66" t="s">
        <v>5381</v>
      </c>
      <c r="D4707" s="11">
        <v>1616206.76</v>
      </c>
      <c r="E4707" s="11">
        <v>143662.72</v>
      </c>
      <c r="F4707" s="3">
        <v>41632</v>
      </c>
      <c r="G4707" s="2" t="s">
        <v>18757</v>
      </c>
      <c r="H4707" s="2"/>
      <c r="I4707" s="2"/>
      <c r="J4707" s="2" t="s">
        <v>13904</v>
      </c>
      <c r="K4707" s="2" t="s">
        <v>19214</v>
      </c>
      <c r="L4707" s="2" t="s">
        <v>18758</v>
      </c>
      <c r="M4707" s="18"/>
      <c r="N4707" s="18"/>
      <c r="O4707" s="18"/>
    </row>
    <row r="4708" spans="1:15" ht="96" customHeight="1" x14ac:dyDescent="0.3">
      <c r="A4708" s="2">
        <v>4704</v>
      </c>
      <c r="B4708" s="66" t="s">
        <v>1062</v>
      </c>
      <c r="C4708" s="66" t="s">
        <v>3595</v>
      </c>
      <c r="D4708" s="11">
        <v>98211.38</v>
      </c>
      <c r="E4708" s="11">
        <v>54016.34</v>
      </c>
      <c r="F4708" s="3">
        <v>42004</v>
      </c>
      <c r="G4708" s="2" t="s">
        <v>18757</v>
      </c>
      <c r="H4708" s="2"/>
      <c r="I4708" s="2"/>
      <c r="J4708" s="2" t="s">
        <v>13904</v>
      </c>
      <c r="K4708" s="2" t="s">
        <v>19214</v>
      </c>
      <c r="L4708" s="82" t="s">
        <v>18758</v>
      </c>
    </row>
    <row r="4709" spans="1:15" ht="96" customHeight="1" x14ac:dyDescent="0.3">
      <c r="A4709" s="2">
        <v>4705</v>
      </c>
      <c r="B4709" s="66" t="s">
        <v>5382</v>
      </c>
      <c r="C4709" s="66" t="s">
        <v>5383</v>
      </c>
      <c r="D4709" s="11">
        <v>50500</v>
      </c>
      <c r="E4709" s="11">
        <v>13887.39</v>
      </c>
      <c r="F4709" s="3">
        <v>41619</v>
      </c>
      <c r="G4709" s="2" t="s">
        <v>18757</v>
      </c>
      <c r="H4709" s="2"/>
      <c r="I4709" s="2"/>
      <c r="J4709" s="2" t="s">
        <v>13904</v>
      </c>
      <c r="K4709" s="2" t="s">
        <v>19214</v>
      </c>
      <c r="L4709" s="82" t="s">
        <v>18758</v>
      </c>
    </row>
    <row r="4710" spans="1:15" ht="96" customHeight="1" x14ac:dyDescent="0.3">
      <c r="A4710" s="2">
        <v>4706</v>
      </c>
      <c r="B4710" s="66" t="s">
        <v>5384</v>
      </c>
      <c r="C4710" s="66" t="s">
        <v>5385</v>
      </c>
      <c r="D4710" s="11">
        <v>62900</v>
      </c>
      <c r="E4710" s="11">
        <v>24710.73</v>
      </c>
      <c r="F4710" s="3" t="s">
        <v>11172</v>
      </c>
      <c r="G4710" s="2" t="s">
        <v>18757</v>
      </c>
      <c r="H4710" s="2"/>
      <c r="I4710" s="2"/>
      <c r="J4710" s="2" t="s">
        <v>13904</v>
      </c>
      <c r="K4710" s="2" t="s">
        <v>19214</v>
      </c>
      <c r="L4710" s="82" t="s">
        <v>18758</v>
      </c>
    </row>
    <row r="4711" spans="1:15" ht="96" customHeight="1" x14ac:dyDescent="0.3">
      <c r="A4711" s="2">
        <v>4707</v>
      </c>
      <c r="B4711" s="66" t="s">
        <v>18771</v>
      </c>
      <c r="C4711" s="66">
        <v>410124223</v>
      </c>
      <c r="D4711" s="11">
        <v>200000</v>
      </c>
      <c r="E4711" s="11">
        <v>0</v>
      </c>
      <c r="F4711" s="3" t="s">
        <v>19701</v>
      </c>
      <c r="G4711" s="2" t="s">
        <v>18757</v>
      </c>
      <c r="H4711" s="3"/>
      <c r="I4711" s="2"/>
      <c r="J4711" s="2" t="s">
        <v>13904</v>
      </c>
      <c r="K4711" s="2" t="s">
        <v>19214</v>
      </c>
      <c r="L4711" s="82" t="s">
        <v>20504</v>
      </c>
    </row>
    <row r="4712" spans="1:15" ht="96" customHeight="1" x14ac:dyDescent="0.3">
      <c r="A4712" s="2">
        <v>4708</v>
      </c>
      <c r="B4712" s="66" t="s">
        <v>19844</v>
      </c>
      <c r="C4712" s="66">
        <v>4101250001</v>
      </c>
      <c r="D4712" s="11">
        <v>1792150</v>
      </c>
      <c r="E4712" s="11">
        <v>0</v>
      </c>
      <c r="F4712" s="3">
        <v>43070</v>
      </c>
      <c r="G4712" s="2" t="s">
        <v>19845</v>
      </c>
      <c r="H4712" s="3"/>
      <c r="I4712" s="2"/>
      <c r="J4712" s="2" t="s">
        <v>13904</v>
      </c>
      <c r="K4712" s="2" t="s">
        <v>19846</v>
      </c>
      <c r="L4712" s="82" t="s">
        <v>20505</v>
      </c>
    </row>
    <row r="4713" spans="1:15" ht="96" customHeight="1" x14ac:dyDescent="0.3">
      <c r="A4713" s="2">
        <v>4709</v>
      </c>
      <c r="B4713" s="66" t="s">
        <v>22204</v>
      </c>
      <c r="C4713" s="66">
        <v>4101240003</v>
      </c>
      <c r="D4713" s="11">
        <v>50210</v>
      </c>
      <c r="E4713" s="11">
        <v>0</v>
      </c>
      <c r="F4713" s="3">
        <v>43091</v>
      </c>
      <c r="G4713" s="2" t="s">
        <v>22252</v>
      </c>
      <c r="H4713" s="3"/>
      <c r="I4713" s="2"/>
      <c r="J4713" s="2" t="s">
        <v>13904</v>
      </c>
      <c r="K4713" s="2" t="s">
        <v>22253</v>
      </c>
      <c r="L4713" s="82" t="s">
        <v>22997</v>
      </c>
    </row>
    <row r="4714" spans="1:15" ht="96" customHeight="1" x14ac:dyDescent="0.3">
      <c r="A4714" s="2">
        <v>4710</v>
      </c>
      <c r="B4714" s="66" t="s">
        <v>5386</v>
      </c>
      <c r="C4714" s="66" t="s">
        <v>5387</v>
      </c>
      <c r="D4714" s="11">
        <v>46766.54</v>
      </c>
      <c r="E4714" s="11">
        <v>14029.92</v>
      </c>
      <c r="F4714" s="3">
        <v>41615</v>
      </c>
      <c r="G4714" s="2" t="s">
        <v>18757</v>
      </c>
      <c r="H4714" s="3">
        <v>43053</v>
      </c>
      <c r="I4714" s="2" t="s">
        <v>19506</v>
      </c>
      <c r="J4714" s="2" t="s">
        <v>13904</v>
      </c>
      <c r="K4714" s="2" t="s">
        <v>19214</v>
      </c>
      <c r="L4714" s="82" t="s">
        <v>19512</v>
      </c>
    </row>
    <row r="4715" spans="1:15" ht="96" customHeight="1" x14ac:dyDescent="0.3">
      <c r="A4715" s="2">
        <v>4711</v>
      </c>
      <c r="B4715" s="66" t="s">
        <v>5388</v>
      </c>
      <c r="C4715" s="66" t="s">
        <v>5389</v>
      </c>
      <c r="D4715" s="11">
        <v>105179.18</v>
      </c>
      <c r="E4715" s="11">
        <v>57848.67</v>
      </c>
      <c r="F4715" s="3">
        <v>41615</v>
      </c>
      <c r="G4715" s="2" t="s">
        <v>18757</v>
      </c>
      <c r="H4715" s="2"/>
      <c r="I4715" s="2"/>
      <c r="J4715" s="2" t="s">
        <v>13904</v>
      </c>
      <c r="K4715" s="2" t="s">
        <v>19214</v>
      </c>
      <c r="L4715" s="82" t="s">
        <v>18758</v>
      </c>
    </row>
    <row r="4716" spans="1:15" ht="96" customHeight="1" x14ac:dyDescent="0.3">
      <c r="A4716" s="2">
        <v>4712</v>
      </c>
      <c r="B4716" s="66" t="s">
        <v>5390</v>
      </c>
      <c r="C4716" s="66" t="s">
        <v>5391</v>
      </c>
      <c r="D4716" s="11">
        <v>322655.77</v>
      </c>
      <c r="E4716" s="11">
        <v>177460.8</v>
      </c>
      <c r="F4716" s="3">
        <v>41615</v>
      </c>
      <c r="G4716" s="2" t="s">
        <v>18757</v>
      </c>
      <c r="H4716" s="2"/>
      <c r="I4716" s="2"/>
      <c r="J4716" s="2" t="s">
        <v>13904</v>
      </c>
      <c r="K4716" s="2" t="s">
        <v>19214</v>
      </c>
      <c r="L4716" s="82" t="s">
        <v>18758</v>
      </c>
    </row>
    <row r="4717" spans="1:15" ht="96" customHeight="1" x14ac:dyDescent="0.3">
      <c r="A4717" s="2">
        <v>4713</v>
      </c>
      <c r="B4717" s="66" t="s">
        <v>5392</v>
      </c>
      <c r="C4717" s="66" t="s">
        <v>5393</v>
      </c>
      <c r="D4717" s="11">
        <v>231581.87</v>
      </c>
      <c r="E4717" s="11">
        <v>127370.1</v>
      </c>
      <c r="F4717" s="3">
        <v>41615</v>
      </c>
      <c r="G4717" s="2" t="s">
        <v>18757</v>
      </c>
      <c r="H4717" s="2"/>
      <c r="I4717" s="2"/>
      <c r="J4717" s="2" t="s">
        <v>13904</v>
      </c>
      <c r="K4717" s="2" t="s">
        <v>19214</v>
      </c>
      <c r="L4717" s="82" t="s">
        <v>18758</v>
      </c>
    </row>
    <row r="4718" spans="1:15" ht="96" customHeight="1" x14ac:dyDescent="0.3">
      <c r="A4718" s="2">
        <v>4714</v>
      </c>
      <c r="B4718" s="66" t="s">
        <v>5394</v>
      </c>
      <c r="C4718" s="66" t="s">
        <v>5395</v>
      </c>
      <c r="D4718" s="11">
        <v>314150</v>
      </c>
      <c r="E4718" s="11">
        <v>314150</v>
      </c>
      <c r="F4718" s="3">
        <v>38770</v>
      </c>
      <c r="G4718" s="2" t="s">
        <v>18757</v>
      </c>
      <c r="H4718" s="2" t="s">
        <v>20125</v>
      </c>
      <c r="I4718" s="2" t="s">
        <v>20126</v>
      </c>
      <c r="J4718" s="2" t="s">
        <v>13904</v>
      </c>
      <c r="K4718" s="2" t="s">
        <v>19214</v>
      </c>
      <c r="L4718" s="82"/>
    </row>
    <row r="4719" spans="1:15" ht="96" customHeight="1" x14ac:dyDescent="0.3">
      <c r="A4719" s="2">
        <v>4715</v>
      </c>
      <c r="B4719" s="66" t="s">
        <v>4541</v>
      </c>
      <c r="C4719" s="66" t="s">
        <v>5396</v>
      </c>
      <c r="D4719" s="11">
        <v>56620</v>
      </c>
      <c r="E4719" s="11">
        <v>31141.11</v>
      </c>
      <c r="F4719" s="3">
        <v>41619</v>
      </c>
      <c r="G4719" s="2" t="s">
        <v>18757</v>
      </c>
      <c r="H4719" s="2"/>
      <c r="I4719" s="2"/>
      <c r="J4719" s="2" t="s">
        <v>13904</v>
      </c>
      <c r="K4719" s="2" t="s">
        <v>19214</v>
      </c>
      <c r="L4719" s="82" t="s">
        <v>18758</v>
      </c>
    </row>
    <row r="4720" spans="1:15" ht="96" customHeight="1" x14ac:dyDescent="0.3">
      <c r="A4720" s="2">
        <v>4716</v>
      </c>
      <c r="B4720" s="66" t="s">
        <v>23363</v>
      </c>
      <c r="C4720" s="66">
        <v>4101240004</v>
      </c>
      <c r="D4720" s="11">
        <v>59388.4</v>
      </c>
      <c r="E4720" s="11">
        <v>59388.4</v>
      </c>
      <c r="F4720" s="3" t="s">
        <v>23332</v>
      </c>
      <c r="G4720" s="2" t="s">
        <v>23405</v>
      </c>
      <c r="H4720" s="3"/>
      <c r="I4720" s="2"/>
      <c r="J4720" s="2" t="s">
        <v>13904</v>
      </c>
      <c r="K4720" s="2" t="s">
        <v>23406</v>
      </c>
      <c r="L4720" s="82" t="s">
        <v>23407</v>
      </c>
    </row>
    <row r="4721" spans="1:12" ht="96" customHeight="1" x14ac:dyDescent="0.3">
      <c r="A4721" s="2">
        <v>4717</v>
      </c>
      <c r="B4721" s="66" t="s">
        <v>23408</v>
      </c>
      <c r="C4721" s="66">
        <v>4101240005</v>
      </c>
      <c r="D4721" s="244">
        <v>115000</v>
      </c>
      <c r="E4721" s="11"/>
      <c r="F4721" s="3" t="s">
        <v>23409</v>
      </c>
      <c r="G4721" s="2" t="s">
        <v>23410</v>
      </c>
      <c r="H4721" s="3"/>
      <c r="I4721" s="2"/>
      <c r="J4721" s="2" t="s">
        <v>13904</v>
      </c>
      <c r="K4721" s="242" t="s">
        <v>23406</v>
      </c>
      <c r="L4721" s="246" t="s">
        <v>23407</v>
      </c>
    </row>
    <row r="4722" spans="1:12" ht="96" customHeight="1" x14ac:dyDescent="0.3">
      <c r="A4722" s="2">
        <v>4718</v>
      </c>
      <c r="B4722" s="66" t="s">
        <v>5397</v>
      </c>
      <c r="C4722" s="66"/>
      <c r="D4722" s="244">
        <v>405</v>
      </c>
      <c r="E4722" s="11">
        <v>405</v>
      </c>
      <c r="F4722" s="3">
        <v>40674</v>
      </c>
      <c r="G4722" s="2" t="s">
        <v>18757</v>
      </c>
      <c r="H4722" s="3">
        <v>43053</v>
      </c>
      <c r="I4722" s="2" t="s">
        <v>19506</v>
      </c>
      <c r="J4722" s="2" t="s">
        <v>13904</v>
      </c>
      <c r="K4722" s="2" t="s">
        <v>19214</v>
      </c>
      <c r="L4722" s="82" t="s">
        <v>19512</v>
      </c>
    </row>
    <row r="4723" spans="1:12" ht="96" customHeight="1" x14ac:dyDescent="0.3">
      <c r="A4723" s="2">
        <v>4719</v>
      </c>
      <c r="B4723" s="66" t="s">
        <v>4833</v>
      </c>
      <c r="C4723" s="66"/>
      <c r="D4723" s="244">
        <v>135068.89000000001</v>
      </c>
      <c r="E4723" s="11">
        <v>135068.89000000001</v>
      </c>
      <c r="F4723" s="3">
        <v>39449</v>
      </c>
      <c r="G4723" s="2" t="s">
        <v>18757</v>
      </c>
      <c r="H4723" s="3">
        <v>43053</v>
      </c>
      <c r="I4723" s="2" t="s">
        <v>19506</v>
      </c>
      <c r="J4723" s="2" t="s">
        <v>13904</v>
      </c>
      <c r="K4723" s="2" t="s">
        <v>19214</v>
      </c>
      <c r="L4723" s="82" t="s">
        <v>19512</v>
      </c>
    </row>
    <row r="4724" spans="1:12" ht="96" customHeight="1" x14ac:dyDescent="0.3">
      <c r="A4724" s="2">
        <v>4720</v>
      </c>
      <c r="B4724" s="66" t="s">
        <v>4546</v>
      </c>
      <c r="C4724" s="66"/>
      <c r="D4724" s="244">
        <v>8478.4500000000007</v>
      </c>
      <c r="E4724" s="11">
        <v>8478.4500000000007</v>
      </c>
      <c r="F4724" s="3">
        <v>39755</v>
      </c>
      <c r="G4724" s="2" t="s">
        <v>18757</v>
      </c>
      <c r="H4724" s="3">
        <v>43053</v>
      </c>
      <c r="I4724" s="2" t="s">
        <v>19506</v>
      </c>
      <c r="J4724" s="2" t="s">
        <v>13904</v>
      </c>
      <c r="K4724" s="2" t="s">
        <v>19214</v>
      </c>
      <c r="L4724" s="82" t="s">
        <v>19512</v>
      </c>
    </row>
    <row r="4725" spans="1:12" ht="96" customHeight="1" x14ac:dyDescent="0.3">
      <c r="A4725" s="2">
        <v>4721</v>
      </c>
      <c r="B4725" s="66" t="s">
        <v>4546</v>
      </c>
      <c r="C4725" s="66" t="s">
        <v>5398</v>
      </c>
      <c r="D4725" s="11">
        <v>8468.1</v>
      </c>
      <c r="E4725" s="11">
        <v>8468.1</v>
      </c>
      <c r="F4725" s="3">
        <v>40106</v>
      </c>
      <c r="G4725" s="2" t="s">
        <v>18757</v>
      </c>
      <c r="H4725" s="3">
        <v>43053</v>
      </c>
      <c r="I4725" s="2" t="s">
        <v>19506</v>
      </c>
      <c r="J4725" s="2" t="s">
        <v>13904</v>
      </c>
      <c r="K4725" s="2" t="s">
        <v>19214</v>
      </c>
      <c r="L4725" s="82" t="s">
        <v>19512</v>
      </c>
    </row>
    <row r="4726" spans="1:12" ht="96" customHeight="1" x14ac:dyDescent="0.3">
      <c r="A4726" s="2">
        <v>4722</v>
      </c>
      <c r="B4726" s="66" t="s">
        <v>4546</v>
      </c>
      <c r="C4726" s="66"/>
      <c r="D4726" s="244">
        <v>11697.3</v>
      </c>
      <c r="E4726" s="11">
        <v>11697.3</v>
      </c>
      <c r="F4726" s="3">
        <v>40459</v>
      </c>
      <c r="G4726" s="2" t="s">
        <v>18757</v>
      </c>
      <c r="H4726" s="3">
        <v>43053</v>
      </c>
      <c r="I4726" s="2" t="s">
        <v>19506</v>
      </c>
      <c r="J4726" s="2" t="s">
        <v>13904</v>
      </c>
      <c r="K4726" s="2" t="s">
        <v>19214</v>
      </c>
      <c r="L4726" s="82" t="s">
        <v>19512</v>
      </c>
    </row>
    <row r="4727" spans="1:12" ht="96" customHeight="1" x14ac:dyDescent="0.3">
      <c r="A4727" s="2">
        <v>4723</v>
      </c>
      <c r="B4727" s="66" t="s">
        <v>5399</v>
      </c>
      <c r="C4727" s="66"/>
      <c r="D4727" s="244">
        <v>62469.1</v>
      </c>
      <c r="E4727" s="11">
        <v>62469.1</v>
      </c>
      <c r="F4727" s="3">
        <v>41180</v>
      </c>
      <c r="G4727" s="2" t="s">
        <v>18757</v>
      </c>
      <c r="H4727" s="3">
        <v>43053</v>
      </c>
      <c r="I4727" s="2" t="s">
        <v>19506</v>
      </c>
      <c r="J4727" s="2" t="s">
        <v>13904</v>
      </c>
      <c r="K4727" s="2" t="s">
        <v>19214</v>
      </c>
      <c r="L4727" s="82" t="s">
        <v>19512</v>
      </c>
    </row>
    <row r="4728" spans="1:12" ht="96" customHeight="1" x14ac:dyDescent="0.3">
      <c r="A4728" s="2">
        <v>4724</v>
      </c>
      <c r="B4728" s="66" t="s">
        <v>5400</v>
      </c>
      <c r="C4728" s="66"/>
      <c r="D4728" s="244">
        <v>87092.97</v>
      </c>
      <c r="E4728" s="11">
        <v>87092.97</v>
      </c>
      <c r="F4728" s="3">
        <v>41547</v>
      </c>
      <c r="G4728" s="2" t="s">
        <v>18757</v>
      </c>
      <c r="H4728" s="3">
        <v>43053</v>
      </c>
      <c r="I4728" s="2" t="s">
        <v>19506</v>
      </c>
      <c r="J4728" s="2" t="s">
        <v>13904</v>
      </c>
      <c r="K4728" s="2" t="s">
        <v>19214</v>
      </c>
      <c r="L4728" s="82" t="s">
        <v>19512</v>
      </c>
    </row>
    <row r="4729" spans="1:12" ht="96" customHeight="1" x14ac:dyDescent="0.3">
      <c r="A4729" s="2">
        <v>4725</v>
      </c>
      <c r="B4729" s="66" t="s">
        <v>5401</v>
      </c>
      <c r="C4729" s="66"/>
      <c r="D4729" s="244">
        <v>3703.25</v>
      </c>
      <c r="E4729" s="11">
        <v>3703.25</v>
      </c>
      <c r="F4729" s="3">
        <v>41243</v>
      </c>
      <c r="G4729" s="2" t="s">
        <v>18757</v>
      </c>
      <c r="H4729" s="3">
        <v>43053</v>
      </c>
      <c r="I4729" s="2" t="s">
        <v>19506</v>
      </c>
      <c r="J4729" s="2" t="s">
        <v>13904</v>
      </c>
      <c r="K4729" s="2" t="s">
        <v>19214</v>
      </c>
      <c r="L4729" s="82" t="s">
        <v>19512</v>
      </c>
    </row>
    <row r="4730" spans="1:12" ht="96" customHeight="1" x14ac:dyDescent="0.3">
      <c r="A4730" s="2">
        <v>4726</v>
      </c>
      <c r="B4730" s="66" t="s">
        <v>5402</v>
      </c>
      <c r="C4730" s="66"/>
      <c r="D4730" s="244">
        <v>121686.27</v>
      </c>
      <c r="E4730" s="11">
        <v>121686.27</v>
      </c>
      <c r="F4730" s="3">
        <v>41936</v>
      </c>
      <c r="G4730" s="2" t="s">
        <v>18757</v>
      </c>
      <c r="H4730" s="3">
        <v>43053</v>
      </c>
      <c r="I4730" s="2" t="s">
        <v>19506</v>
      </c>
      <c r="J4730" s="2" t="s">
        <v>13904</v>
      </c>
      <c r="K4730" s="2" t="s">
        <v>19214</v>
      </c>
      <c r="L4730" s="82" t="s">
        <v>19512</v>
      </c>
    </row>
    <row r="4731" spans="1:12" ht="96" customHeight="1" x14ac:dyDescent="0.3">
      <c r="A4731" s="2">
        <v>4727</v>
      </c>
      <c r="B4731" s="66" t="s">
        <v>5403</v>
      </c>
      <c r="C4731" s="66"/>
      <c r="D4731" s="244">
        <v>6060.95</v>
      </c>
      <c r="E4731" s="11">
        <v>6060.95</v>
      </c>
      <c r="F4731" s="3">
        <v>42185</v>
      </c>
      <c r="G4731" s="2" t="s">
        <v>18757</v>
      </c>
      <c r="H4731" s="3">
        <v>43053</v>
      </c>
      <c r="I4731" s="2" t="s">
        <v>19506</v>
      </c>
      <c r="J4731" s="2" t="s">
        <v>13904</v>
      </c>
      <c r="K4731" s="2" t="s">
        <v>19214</v>
      </c>
      <c r="L4731" s="82" t="s">
        <v>19512</v>
      </c>
    </row>
    <row r="4732" spans="1:12" ht="96" customHeight="1" x14ac:dyDescent="0.3">
      <c r="A4732" s="2">
        <v>4728</v>
      </c>
      <c r="B4732" s="66" t="s">
        <v>5404</v>
      </c>
      <c r="C4732" s="66"/>
      <c r="D4732" s="244">
        <v>3576</v>
      </c>
      <c r="E4732" s="11">
        <v>3576</v>
      </c>
      <c r="F4732" s="3">
        <v>42185</v>
      </c>
      <c r="G4732" s="2" t="s">
        <v>18757</v>
      </c>
      <c r="H4732" s="3">
        <v>43053</v>
      </c>
      <c r="I4732" s="2" t="s">
        <v>19506</v>
      </c>
      <c r="J4732" s="2" t="s">
        <v>13904</v>
      </c>
      <c r="K4732" s="2" t="s">
        <v>19214</v>
      </c>
      <c r="L4732" s="82" t="s">
        <v>19512</v>
      </c>
    </row>
    <row r="4733" spans="1:12" ht="96" customHeight="1" x14ac:dyDescent="0.3">
      <c r="A4733" s="2">
        <v>4729</v>
      </c>
      <c r="B4733" s="66" t="s">
        <v>4556</v>
      </c>
      <c r="C4733" s="66" t="s">
        <v>5405</v>
      </c>
      <c r="D4733" s="11">
        <v>4545</v>
      </c>
      <c r="E4733" s="11">
        <v>4545</v>
      </c>
      <c r="F4733" s="3">
        <v>41736</v>
      </c>
      <c r="G4733" s="2" t="s">
        <v>18757</v>
      </c>
      <c r="H4733" s="3">
        <v>43053</v>
      </c>
      <c r="I4733" s="2" t="s">
        <v>19506</v>
      </c>
      <c r="J4733" s="2" t="s">
        <v>13904</v>
      </c>
      <c r="K4733" s="2" t="s">
        <v>19214</v>
      </c>
      <c r="L4733" s="82" t="s">
        <v>19512</v>
      </c>
    </row>
    <row r="4734" spans="1:12" ht="96" customHeight="1" x14ac:dyDescent="0.3">
      <c r="A4734" s="2">
        <v>4730</v>
      </c>
      <c r="B4734" s="66" t="s">
        <v>5406</v>
      </c>
      <c r="C4734" s="66" t="s">
        <v>5407</v>
      </c>
      <c r="D4734" s="11">
        <v>3980</v>
      </c>
      <c r="E4734" s="11">
        <v>3980</v>
      </c>
      <c r="F4734" s="3">
        <v>41365</v>
      </c>
      <c r="G4734" s="2" t="s">
        <v>18757</v>
      </c>
      <c r="H4734" s="3">
        <v>43053</v>
      </c>
      <c r="I4734" s="2" t="s">
        <v>19506</v>
      </c>
      <c r="J4734" s="2" t="s">
        <v>13904</v>
      </c>
      <c r="K4734" s="2" t="s">
        <v>19214</v>
      </c>
      <c r="L4734" s="82" t="s">
        <v>19512</v>
      </c>
    </row>
    <row r="4735" spans="1:12" ht="96" customHeight="1" x14ac:dyDescent="0.3">
      <c r="A4735" s="2">
        <v>4731</v>
      </c>
      <c r="B4735" s="66" t="s">
        <v>5408</v>
      </c>
      <c r="C4735" s="66" t="s">
        <v>4651</v>
      </c>
      <c r="D4735" s="11">
        <v>24950</v>
      </c>
      <c r="E4735" s="11">
        <v>24950</v>
      </c>
      <c r="F4735" s="3">
        <v>41612</v>
      </c>
      <c r="G4735" s="2" t="s">
        <v>18757</v>
      </c>
      <c r="H4735" s="3">
        <v>43053</v>
      </c>
      <c r="I4735" s="2" t="s">
        <v>19506</v>
      </c>
      <c r="J4735" s="2" t="s">
        <v>13904</v>
      </c>
      <c r="K4735" s="2" t="s">
        <v>19214</v>
      </c>
      <c r="L4735" s="82" t="s">
        <v>19512</v>
      </c>
    </row>
    <row r="4736" spans="1:12" ht="96" customHeight="1" x14ac:dyDescent="0.3">
      <c r="A4736" s="2">
        <v>4732</v>
      </c>
      <c r="B4736" s="66" t="s">
        <v>5408</v>
      </c>
      <c r="C4736" s="66" t="s">
        <v>4652</v>
      </c>
      <c r="D4736" s="11">
        <v>24950</v>
      </c>
      <c r="E4736" s="11">
        <v>24950</v>
      </c>
      <c r="F4736" s="3">
        <v>41612</v>
      </c>
      <c r="G4736" s="2" t="s">
        <v>18757</v>
      </c>
      <c r="H4736" s="3">
        <v>43053</v>
      </c>
      <c r="I4736" s="2" t="s">
        <v>19506</v>
      </c>
      <c r="J4736" s="2" t="s">
        <v>13904</v>
      </c>
      <c r="K4736" s="2" t="s">
        <v>19214</v>
      </c>
      <c r="L4736" s="82" t="s">
        <v>19512</v>
      </c>
    </row>
    <row r="4737" spans="1:12" ht="96" customHeight="1" x14ac:dyDescent="0.3">
      <c r="A4737" s="2">
        <v>4733</v>
      </c>
      <c r="B4737" s="66" t="s">
        <v>5409</v>
      </c>
      <c r="C4737" s="66" t="s">
        <v>4348</v>
      </c>
      <c r="D4737" s="11">
        <v>4520.75</v>
      </c>
      <c r="E4737" s="11">
        <v>4520.75</v>
      </c>
      <c r="F4737" s="3">
        <v>38482</v>
      </c>
      <c r="G4737" s="2" t="s">
        <v>18757</v>
      </c>
      <c r="H4737" s="3">
        <v>43053</v>
      </c>
      <c r="I4737" s="2" t="s">
        <v>19506</v>
      </c>
      <c r="J4737" s="2" t="s">
        <v>13904</v>
      </c>
      <c r="K4737" s="2" t="s">
        <v>19214</v>
      </c>
      <c r="L4737" s="82" t="s">
        <v>19512</v>
      </c>
    </row>
    <row r="4738" spans="1:12" ht="96" customHeight="1" x14ac:dyDescent="0.3">
      <c r="A4738" s="2">
        <v>4734</v>
      </c>
      <c r="B4738" s="66" t="s">
        <v>5410</v>
      </c>
      <c r="C4738" s="66" t="s">
        <v>3765</v>
      </c>
      <c r="D4738" s="11">
        <v>3273.66</v>
      </c>
      <c r="E4738" s="11">
        <v>3273.66</v>
      </c>
      <c r="F4738" s="3">
        <v>37721</v>
      </c>
      <c r="G4738" s="2" t="s">
        <v>18757</v>
      </c>
      <c r="H4738" s="3">
        <v>43053</v>
      </c>
      <c r="I4738" s="2" t="s">
        <v>19506</v>
      </c>
      <c r="J4738" s="2" t="s">
        <v>13904</v>
      </c>
      <c r="K4738" s="2" t="s">
        <v>19214</v>
      </c>
      <c r="L4738" s="82" t="s">
        <v>19512</v>
      </c>
    </row>
    <row r="4739" spans="1:12" ht="96" customHeight="1" x14ac:dyDescent="0.3">
      <c r="A4739" s="2">
        <v>4735</v>
      </c>
      <c r="B4739" s="66" t="s">
        <v>5411</v>
      </c>
      <c r="C4739" s="66" t="s">
        <v>5222</v>
      </c>
      <c r="D4739" s="11">
        <v>15255.52</v>
      </c>
      <c r="E4739" s="11">
        <v>15255.52</v>
      </c>
      <c r="F4739" s="3">
        <v>38729</v>
      </c>
      <c r="G4739" s="2" t="s">
        <v>18757</v>
      </c>
      <c r="H4739" s="3">
        <v>43053</v>
      </c>
      <c r="I4739" s="2" t="s">
        <v>19506</v>
      </c>
      <c r="J4739" s="2" t="s">
        <v>13904</v>
      </c>
      <c r="K4739" s="2" t="s">
        <v>19214</v>
      </c>
      <c r="L4739" s="82" t="s">
        <v>19512</v>
      </c>
    </row>
    <row r="4740" spans="1:12" ht="96" customHeight="1" x14ac:dyDescent="0.3">
      <c r="A4740" s="2">
        <v>4736</v>
      </c>
      <c r="B4740" s="66" t="s">
        <v>5412</v>
      </c>
      <c r="C4740" s="66" t="s">
        <v>5413</v>
      </c>
      <c r="D4740" s="11">
        <v>8475.98</v>
      </c>
      <c r="E4740" s="11">
        <v>8475.98</v>
      </c>
      <c r="F4740" s="3">
        <v>37386</v>
      </c>
      <c r="G4740" s="2" t="s">
        <v>18757</v>
      </c>
      <c r="H4740" s="3">
        <v>43053</v>
      </c>
      <c r="I4740" s="2" t="s">
        <v>19506</v>
      </c>
      <c r="J4740" s="2" t="s">
        <v>13904</v>
      </c>
      <c r="K4740" s="2" t="s">
        <v>19214</v>
      </c>
      <c r="L4740" s="82" t="s">
        <v>19512</v>
      </c>
    </row>
    <row r="4741" spans="1:12" ht="96" customHeight="1" x14ac:dyDescent="0.3">
      <c r="A4741" s="2">
        <v>4737</v>
      </c>
      <c r="B4741" s="66" t="s">
        <v>5414</v>
      </c>
      <c r="C4741" s="66" t="s">
        <v>5415</v>
      </c>
      <c r="D4741" s="11">
        <v>27797</v>
      </c>
      <c r="E4741" s="11">
        <v>27797</v>
      </c>
      <c r="F4741" s="3">
        <v>37246</v>
      </c>
      <c r="G4741" s="2" t="s">
        <v>18757</v>
      </c>
      <c r="H4741" s="3">
        <v>43053</v>
      </c>
      <c r="I4741" s="2" t="s">
        <v>19506</v>
      </c>
      <c r="J4741" s="2" t="s">
        <v>13904</v>
      </c>
      <c r="K4741" s="2" t="s">
        <v>19214</v>
      </c>
      <c r="L4741" s="82" t="s">
        <v>19512</v>
      </c>
    </row>
    <row r="4742" spans="1:12" ht="96" customHeight="1" x14ac:dyDescent="0.3">
      <c r="A4742" s="2">
        <v>4738</v>
      </c>
      <c r="B4742" s="66" t="s">
        <v>5416</v>
      </c>
      <c r="C4742" s="66" t="s">
        <v>4354</v>
      </c>
      <c r="D4742" s="11">
        <v>4461.8999999999996</v>
      </c>
      <c r="E4742" s="11">
        <v>4461.8999999999996</v>
      </c>
      <c r="F4742" s="3">
        <v>38596</v>
      </c>
      <c r="G4742" s="2" t="s">
        <v>18757</v>
      </c>
      <c r="H4742" s="3">
        <v>43053</v>
      </c>
      <c r="I4742" s="2" t="s">
        <v>19506</v>
      </c>
      <c r="J4742" s="2" t="s">
        <v>13904</v>
      </c>
      <c r="K4742" s="2" t="s">
        <v>19214</v>
      </c>
      <c r="L4742" s="82" t="s">
        <v>19512</v>
      </c>
    </row>
    <row r="4743" spans="1:12" ht="96" customHeight="1" x14ac:dyDescent="0.3">
      <c r="A4743" s="2">
        <v>4739</v>
      </c>
      <c r="B4743" s="66" t="s">
        <v>3957</v>
      </c>
      <c r="C4743" s="66" t="s">
        <v>5417</v>
      </c>
      <c r="D4743" s="11">
        <v>11086.27</v>
      </c>
      <c r="E4743" s="11">
        <v>11086.27</v>
      </c>
      <c r="F4743" s="3">
        <v>38701</v>
      </c>
      <c r="G4743" s="2" t="s">
        <v>18757</v>
      </c>
      <c r="H4743" s="3">
        <v>43053</v>
      </c>
      <c r="I4743" s="2" t="s">
        <v>19506</v>
      </c>
      <c r="J4743" s="2" t="s">
        <v>13904</v>
      </c>
      <c r="K4743" s="2" t="s">
        <v>19214</v>
      </c>
      <c r="L4743" s="82" t="s">
        <v>19512</v>
      </c>
    </row>
    <row r="4744" spans="1:12" ht="96" customHeight="1" x14ac:dyDescent="0.3">
      <c r="A4744" s="2">
        <v>4740</v>
      </c>
      <c r="B4744" s="66" t="s">
        <v>5418</v>
      </c>
      <c r="C4744" s="66" t="s">
        <v>5419</v>
      </c>
      <c r="D4744" s="11">
        <v>7040.04</v>
      </c>
      <c r="E4744" s="11">
        <v>7040.04</v>
      </c>
      <c r="F4744" s="3">
        <v>37297</v>
      </c>
      <c r="G4744" s="2" t="s">
        <v>18757</v>
      </c>
      <c r="H4744" s="3">
        <v>43053</v>
      </c>
      <c r="I4744" s="2" t="s">
        <v>19506</v>
      </c>
      <c r="J4744" s="2" t="s">
        <v>13904</v>
      </c>
      <c r="K4744" s="2" t="s">
        <v>19214</v>
      </c>
      <c r="L4744" s="82" t="s">
        <v>19512</v>
      </c>
    </row>
    <row r="4745" spans="1:12" ht="96" customHeight="1" x14ac:dyDescent="0.3">
      <c r="A4745" s="2">
        <v>4741</v>
      </c>
      <c r="B4745" s="66" t="s">
        <v>5420</v>
      </c>
      <c r="C4745" s="66" t="s">
        <v>3400</v>
      </c>
      <c r="D4745" s="11">
        <v>16482</v>
      </c>
      <c r="E4745" s="11">
        <v>16482</v>
      </c>
      <c r="F4745" s="3">
        <v>39061</v>
      </c>
      <c r="G4745" s="2" t="s">
        <v>18757</v>
      </c>
      <c r="H4745" s="3">
        <v>43053</v>
      </c>
      <c r="I4745" s="2" t="s">
        <v>19506</v>
      </c>
      <c r="J4745" s="2" t="s">
        <v>13904</v>
      </c>
      <c r="K4745" s="2" t="s">
        <v>19214</v>
      </c>
      <c r="L4745" s="82" t="s">
        <v>19512</v>
      </c>
    </row>
    <row r="4746" spans="1:12" ht="96" customHeight="1" x14ac:dyDescent="0.3">
      <c r="A4746" s="2">
        <v>4742</v>
      </c>
      <c r="B4746" s="66" t="s">
        <v>5421</v>
      </c>
      <c r="C4746" s="66" t="s">
        <v>3206</v>
      </c>
      <c r="D4746" s="11">
        <v>24369.93</v>
      </c>
      <c r="E4746" s="11">
        <v>24369.93</v>
      </c>
      <c r="F4746" s="3">
        <v>41985</v>
      </c>
      <c r="G4746" s="2" t="s">
        <v>18757</v>
      </c>
      <c r="H4746" s="3">
        <v>43053</v>
      </c>
      <c r="I4746" s="2" t="s">
        <v>19506</v>
      </c>
      <c r="J4746" s="2" t="s">
        <v>13904</v>
      </c>
      <c r="K4746" s="2" t="s">
        <v>19214</v>
      </c>
      <c r="L4746" s="82" t="s">
        <v>19512</v>
      </c>
    </row>
    <row r="4747" spans="1:12" ht="96" customHeight="1" x14ac:dyDescent="0.3">
      <c r="A4747" s="2">
        <v>4743</v>
      </c>
      <c r="B4747" s="66" t="s">
        <v>5422</v>
      </c>
      <c r="C4747" s="66" t="s">
        <v>3790</v>
      </c>
      <c r="D4747" s="11">
        <v>4100</v>
      </c>
      <c r="E4747" s="11">
        <v>4100</v>
      </c>
      <c r="F4747" s="3">
        <v>42185</v>
      </c>
      <c r="G4747" s="2" t="s">
        <v>18757</v>
      </c>
      <c r="H4747" s="3">
        <v>43053</v>
      </c>
      <c r="I4747" s="2" t="s">
        <v>19506</v>
      </c>
      <c r="J4747" s="2" t="s">
        <v>13904</v>
      </c>
      <c r="K4747" s="2" t="s">
        <v>19214</v>
      </c>
      <c r="L4747" s="82" t="s">
        <v>19512</v>
      </c>
    </row>
    <row r="4748" spans="1:12" ht="96" customHeight="1" x14ac:dyDescent="0.3">
      <c r="A4748" s="2">
        <v>4744</v>
      </c>
      <c r="B4748" s="66" t="s">
        <v>5423</v>
      </c>
      <c r="C4748" s="66" t="s">
        <v>3459</v>
      </c>
      <c r="D4748" s="11">
        <v>30900</v>
      </c>
      <c r="E4748" s="11">
        <v>30900</v>
      </c>
      <c r="F4748" s="3">
        <v>42185</v>
      </c>
      <c r="G4748" s="2" t="s">
        <v>18757</v>
      </c>
      <c r="H4748" s="3">
        <v>43053</v>
      </c>
      <c r="I4748" s="2" t="s">
        <v>19506</v>
      </c>
      <c r="J4748" s="2" t="s">
        <v>13904</v>
      </c>
      <c r="K4748" s="2" t="s">
        <v>19214</v>
      </c>
      <c r="L4748" s="82" t="s">
        <v>19512</v>
      </c>
    </row>
    <row r="4749" spans="1:12" ht="96" customHeight="1" x14ac:dyDescent="0.3">
      <c r="A4749" s="2">
        <v>4745</v>
      </c>
      <c r="B4749" s="66" t="s">
        <v>5424</v>
      </c>
      <c r="C4749" s="66" t="s">
        <v>5425</v>
      </c>
      <c r="D4749" s="11">
        <v>5665</v>
      </c>
      <c r="E4749" s="11">
        <v>5665</v>
      </c>
      <c r="F4749" s="3">
        <v>41617</v>
      </c>
      <c r="G4749" s="2" t="s">
        <v>18757</v>
      </c>
      <c r="H4749" s="3">
        <v>43053</v>
      </c>
      <c r="I4749" s="2" t="s">
        <v>19506</v>
      </c>
      <c r="J4749" s="2" t="s">
        <v>13904</v>
      </c>
      <c r="K4749" s="2" t="s">
        <v>19214</v>
      </c>
      <c r="L4749" s="82" t="s">
        <v>19512</v>
      </c>
    </row>
    <row r="4750" spans="1:12" ht="96" customHeight="1" x14ac:dyDescent="0.3">
      <c r="A4750" s="2">
        <v>4746</v>
      </c>
      <c r="B4750" s="66" t="s">
        <v>5426</v>
      </c>
      <c r="C4750" s="66" t="s">
        <v>5427</v>
      </c>
      <c r="D4750" s="11">
        <v>23900</v>
      </c>
      <c r="E4750" s="11">
        <v>23900</v>
      </c>
      <c r="F4750" s="3">
        <v>41619</v>
      </c>
      <c r="G4750" s="2" t="s">
        <v>18757</v>
      </c>
      <c r="H4750" s="3">
        <v>43053</v>
      </c>
      <c r="I4750" s="2" t="s">
        <v>19506</v>
      </c>
      <c r="J4750" s="2" t="s">
        <v>13904</v>
      </c>
      <c r="K4750" s="2" t="s">
        <v>19214</v>
      </c>
      <c r="L4750" s="82" t="s">
        <v>19512</v>
      </c>
    </row>
    <row r="4751" spans="1:12" ht="96" customHeight="1" x14ac:dyDescent="0.3">
      <c r="A4751" s="2">
        <v>4747</v>
      </c>
      <c r="B4751" s="66" t="s">
        <v>5428</v>
      </c>
      <c r="C4751" s="66" t="s">
        <v>5429</v>
      </c>
      <c r="D4751" s="11">
        <v>4586</v>
      </c>
      <c r="E4751" s="11">
        <v>4586</v>
      </c>
      <c r="F4751" s="3">
        <v>41619</v>
      </c>
      <c r="G4751" s="2" t="s">
        <v>18757</v>
      </c>
      <c r="H4751" s="3">
        <v>43053</v>
      </c>
      <c r="I4751" s="2" t="s">
        <v>19506</v>
      </c>
      <c r="J4751" s="2" t="s">
        <v>13904</v>
      </c>
      <c r="K4751" s="2" t="s">
        <v>19214</v>
      </c>
      <c r="L4751" s="82" t="s">
        <v>19512</v>
      </c>
    </row>
    <row r="4752" spans="1:12" ht="96" customHeight="1" x14ac:dyDescent="0.3">
      <c r="A4752" s="2">
        <v>4748</v>
      </c>
      <c r="B4752" s="66" t="s">
        <v>5428</v>
      </c>
      <c r="C4752" s="66" t="s">
        <v>3304</v>
      </c>
      <c r="D4752" s="11">
        <v>4586</v>
      </c>
      <c r="E4752" s="11">
        <v>4586</v>
      </c>
      <c r="F4752" s="3">
        <v>41619</v>
      </c>
      <c r="G4752" s="2" t="s">
        <v>18757</v>
      </c>
      <c r="H4752" s="3">
        <v>43053</v>
      </c>
      <c r="I4752" s="2" t="s">
        <v>19506</v>
      </c>
      <c r="J4752" s="2" t="s">
        <v>13904</v>
      </c>
      <c r="K4752" s="2" t="s">
        <v>19214</v>
      </c>
      <c r="L4752" s="82" t="s">
        <v>19512</v>
      </c>
    </row>
    <row r="4753" spans="1:12" ht="96" customHeight="1" x14ac:dyDescent="0.3">
      <c r="A4753" s="2">
        <v>4749</v>
      </c>
      <c r="B4753" s="66" t="s">
        <v>5428</v>
      </c>
      <c r="C4753" s="66" t="s">
        <v>5430</v>
      </c>
      <c r="D4753" s="11">
        <v>4586</v>
      </c>
      <c r="E4753" s="11">
        <v>4586</v>
      </c>
      <c r="F4753" s="3">
        <v>41619</v>
      </c>
      <c r="G4753" s="2" t="s">
        <v>18757</v>
      </c>
      <c r="H4753" s="3">
        <v>43053</v>
      </c>
      <c r="I4753" s="2" t="s">
        <v>19506</v>
      </c>
      <c r="J4753" s="2" t="s">
        <v>13904</v>
      </c>
      <c r="K4753" s="2" t="s">
        <v>19214</v>
      </c>
      <c r="L4753" s="82" t="s">
        <v>19512</v>
      </c>
    </row>
    <row r="4754" spans="1:12" ht="96" customHeight="1" x14ac:dyDescent="0.3">
      <c r="A4754" s="2">
        <v>4750</v>
      </c>
      <c r="B4754" s="66" t="s">
        <v>5428</v>
      </c>
      <c r="C4754" s="66" t="s">
        <v>5431</v>
      </c>
      <c r="D4754" s="11">
        <v>4586</v>
      </c>
      <c r="E4754" s="11">
        <v>4586</v>
      </c>
      <c r="F4754" s="3">
        <v>41619</v>
      </c>
      <c r="G4754" s="2" t="s">
        <v>18757</v>
      </c>
      <c r="H4754" s="3">
        <v>43053</v>
      </c>
      <c r="I4754" s="2" t="s">
        <v>19506</v>
      </c>
      <c r="J4754" s="2" t="s">
        <v>13904</v>
      </c>
      <c r="K4754" s="2" t="s">
        <v>19214</v>
      </c>
      <c r="L4754" s="82" t="s">
        <v>19512</v>
      </c>
    </row>
    <row r="4755" spans="1:12" ht="96" customHeight="1" x14ac:dyDescent="0.3">
      <c r="A4755" s="2">
        <v>4751</v>
      </c>
      <c r="B4755" s="66" t="s">
        <v>5432</v>
      </c>
      <c r="C4755" s="66" t="s">
        <v>5433</v>
      </c>
      <c r="D4755" s="11">
        <v>11760</v>
      </c>
      <c r="E4755" s="11">
        <v>11760</v>
      </c>
      <c r="F4755" s="3">
        <v>41619</v>
      </c>
      <c r="G4755" s="2" t="s">
        <v>18757</v>
      </c>
      <c r="H4755" s="3">
        <v>43053</v>
      </c>
      <c r="I4755" s="2" t="s">
        <v>19506</v>
      </c>
      <c r="J4755" s="2" t="s">
        <v>13904</v>
      </c>
      <c r="K4755" s="2" t="s">
        <v>19214</v>
      </c>
      <c r="L4755" s="82" t="s">
        <v>19512</v>
      </c>
    </row>
    <row r="4756" spans="1:12" ht="96" customHeight="1" x14ac:dyDescent="0.3">
      <c r="A4756" s="2">
        <v>4752</v>
      </c>
      <c r="B4756" s="66" t="s">
        <v>4648</v>
      </c>
      <c r="C4756" s="66" t="s">
        <v>5434</v>
      </c>
      <c r="D4756" s="11">
        <v>3490</v>
      </c>
      <c r="E4756" s="11">
        <v>3490</v>
      </c>
      <c r="F4756" s="3">
        <v>41619</v>
      </c>
      <c r="G4756" s="2" t="s">
        <v>18757</v>
      </c>
      <c r="H4756" s="3">
        <v>43053</v>
      </c>
      <c r="I4756" s="2" t="s">
        <v>19506</v>
      </c>
      <c r="J4756" s="2" t="s">
        <v>13904</v>
      </c>
      <c r="K4756" s="2" t="s">
        <v>19214</v>
      </c>
      <c r="L4756" s="82" t="s">
        <v>19512</v>
      </c>
    </row>
    <row r="4757" spans="1:12" ht="96" customHeight="1" x14ac:dyDescent="0.3">
      <c r="A4757" s="2">
        <v>4753</v>
      </c>
      <c r="B4757" s="66" t="s">
        <v>5435</v>
      </c>
      <c r="C4757" s="66" t="s">
        <v>5436</v>
      </c>
      <c r="D4757" s="11">
        <v>30638</v>
      </c>
      <c r="E4757" s="11">
        <v>30638</v>
      </c>
      <c r="F4757" s="3">
        <v>41619</v>
      </c>
      <c r="G4757" s="2" t="s">
        <v>18757</v>
      </c>
      <c r="H4757" s="3">
        <v>43053</v>
      </c>
      <c r="I4757" s="2" t="s">
        <v>19506</v>
      </c>
      <c r="J4757" s="2" t="s">
        <v>13904</v>
      </c>
      <c r="K4757" s="2" t="s">
        <v>19214</v>
      </c>
      <c r="L4757" s="82" t="s">
        <v>19512</v>
      </c>
    </row>
    <row r="4758" spans="1:12" ht="96" customHeight="1" x14ac:dyDescent="0.3">
      <c r="A4758" s="2">
        <v>4754</v>
      </c>
      <c r="B4758" s="66" t="s">
        <v>5435</v>
      </c>
      <c r="C4758" s="66" t="s">
        <v>5437</v>
      </c>
      <c r="D4758" s="11">
        <v>30638</v>
      </c>
      <c r="E4758" s="11">
        <v>30638</v>
      </c>
      <c r="F4758" s="3">
        <v>41619</v>
      </c>
      <c r="G4758" s="2" t="s">
        <v>18757</v>
      </c>
      <c r="H4758" s="3">
        <v>43053</v>
      </c>
      <c r="I4758" s="2" t="s">
        <v>19506</v>
      </c>
      <c r="J4758" s="2" t="s">
        <v>13904</v>
      </c>
      <c r="K4758" s="2" t="s">
        <v>19214</v>
      </c>
      <c r="L4758" s="82" t="s">
        <v>19512</v>
      </c>
    </row>
    <row r="4759" spans="1:12" ht="96" customHeight="1" x14ac:dyDescent="0.3">
      <c r="A4759" s="2">
        <v>4755</v>
      </c>
      <c r="B4759" s="66" t="s">
        <v>4791</v>
      </c>
      <c r="C4759" s="66" t="s">
        <v>5438</v>
      </c>
      <c r="D4759" s="11">
        <v>8600</v>
      </c>
      <c r="E4759" s="11">
        <v>8600</v>
      </c>
      <c r="F4759" s="3">
        <v>41619</v>
      </c>
      <c r="G4759" s="2" t="s">
        <v>18757</v>
      </c>
      <c r="H4759" s="3">
        <v>43053</v>
      </c>
      <c r="I4759" s="2" t="s">
        <v>19506</v>
      </c>
      <c r="J4759" s="2" t="s">
        <v>13904</v>
      </c>
      <c r="K4759" s="2" t="s">
        <v>19214</v>
      </c>
      <c r="L4759" s="82" t="s">
        <v>19512</v>
      </c>
    </row>
    <row r="4760" spans="1:12" ht="96" customHeight="1" x14ac:dyDescent="0.3">
      <c r="A4760" s="2">
        <v>4756</v>
      </c>
      <c r="B4760" s="66" t="s">
        <v>5439</v>
      </c>
      <c r="C4760" s="66" t="s">
        <v>5440</v>
      </c>
      <c r="D4760" s="11">
        <v>33300</v>
      </c>
      <c r="E4760" s="11">
        <v>33300</v>
      </c>
      <c r="F4760" s="3">
        <v>41619</v>
      </c>
      <c r="G4760" s="2" t="s">
        <v>18757</v>
      </c>
      <c r="H4760" s="3">
        <v>43053</v>
      </c>
      <c r="I4760" s="2" t="s">
        <v>19506</v>
      </c>
      <c r="J4760" s="2" t="s">
        <v>13904</v>
      </c>
      <c r="K4760" s="2" t="s">
        <v>19214</v>
      </c>
      <c r="L4760" s="82" t="s">
        <v>19512</v>
      </c>
    </row>
    <row r="4761" spans="1:12" ht="96" customHeight="1" x14ac:dyDescent="0.3">
      <c r="A4761" s="2">
        <v>4757</v>
      </c>
      <c r="B4761" s="66" t="s">
        <v>5441</v>
      </c>
      <c r="C4761" s="66" t="s">
        <v>5442</v>
      </c>
      <c r="D4761" s="11">
        <v>7600</v>
      </c>
      <c r="E4761" s="11">
        <v>7600</v>
      </c>
      <c r="F4761" s="3">
        <v>41619</v>
      </c>
      <c r="G4761" s="2" t="s">
        <v>18757</v>
      </c>
      <c r="H4761" s="3">
        <v>43053</v>
      </c>
      <c r="I4761" s="2" t="s">
        <v>19506</v>
      </c>
      <c r="J4761" s="2" t="s">
        <v>13904</v>
      </c>
      <c r="K4761" s="2" t="s">
        <v>19214</v>
      </c>
      <c r="L4761" s="82" t="s">
        <v>19512</v>
      </c>
    </row>
    <row r="4762" spans="1:12" ht="96" customHeight="1" x14ac:dyDescent="0.3">
      <c r="A4762" s="2">
        <v>4758</v>
      </c>
      <c r="B4762" s="66" t="s">
        <v>5441</v>
      </c>
      <c r="C4762" s="66" t="s">
        <v>5443</v>
      </c>
      <c r="D4762" s="11">
        <v>7600</v>
      </c>
      <c r="E4762" s="11">
        <v>7600</v>
      </c>
      <c r="F4762" s="3">
        <v>41619</v>
      </c>
      <c r="G4762" s="2" t="s">
        <v>18757</v>
      </c>
      <c r="H4762" s="3">
        <v>43053</v>
      </c>
      <c r="I4762" s="2" t="s">
        <v>19506</v>
      </c>
      <c r="J4762" s="2" t="s">
        <v>13904</v>
      </c>
      <c r="K4762" s="2" t="s">
        <v>19214</v>
      </c>
      <c r="L4762" s="82" t="s">
        <v>19512</v>
      </c>
    </row>
    <row r="4763" spans="1:12" ht="96" customHeight="1" x14ac:dyDescent="0.3">
      <c r="A4763" s="2">
        <v>4759</v>
      </c>
      <c r="B4763" s="66" t="s">
        <v>5441</v>
      </c>
      <c r="C4763" s="66" t="s">
        <v>5444</v>
      </c>
      <c r="D4763" s="11">
        <v>7600</v>
      </c>
      <c r="E4763" s="11">
        <v>7600</v>
      </c>
      <c r="F4763" s="3">
        <v>41619</v>
      </c>
      <c r="G4763" s="2" t="s">
        <v>18757</v>
      </c>
      <c r="H4763" s="3">
        <v>43053</v>
      </c>
      <c r="I4763" s="2" t="s">
        <v>19506</v>
      </c>
      <c r="J4763" s="2" t="s">
        <v>13904</v>
      </c>
      <c r="K4763" s="2" t="s">
        <v>19214</v>
      </c>
      <c r="L4763" s="82" t="s">
        <v>19512</v>
      </c>
    </row>
    <row r="4764" spans="1:12" ht="96" customHeight="1" x14ac:dyDescent="0.3">
      <c r="A4764" s="2">
        <v>4760</v>
      </c>
      <c r="B4764" s="66" t="s">
        <v>5441</v>
      </c>
      <c r="C4764" s="66" t="s">
        <v>5445</v>
      </c>
      <c r="D4764" s="11">
        <v>7600</v>
      </c>
      <c r="E4764" s="11">
        <v>7600</v>
      </c>
      <c r="F4764" s="3">
        <v>41619</v>
      </c>
      <c r="G4764" s="2" t="s">
        <v>18757</v>
      </c>
      <c r="H4764" s="3">
        <v>43053</v>
      </c>
      <c r="I4764" s="2" t="s">
        <v>19506</v>
      </c>
      <c r="J4764" s="2" t="s">
        <v>13904</v>
      </c>
      <c r="K4764" s="2" t="s">
        <v>19214</v>
      </c>
      <c r="L4764" s="82" t="s">
        <v>19512</v>
      </c>
    </row>
    <row r="4765" spans="1:12" ht="96" customHeight="1" x14ac:dyDescent="0.3">
      <c r="A4765" s="2">
        <v>4761</v>
      </c>
      <c r="B4765" s="66" t="s">
        <v>5446</v>
      </c>
      <c r="C4765" s="66" t="s">
        <v>5447</v>
      </c>
      <c r="D4765" s="11">
        <v>24203.14</v>
      </c>
      <c r="E4765" s="11">
        <v>24203.14</v>
      </c>
      <c r="F4765" s="3">
        <v>41619</v>
      </c>
      <c r="G4765" s="2" t="s">
        <v>18757</v>
      </c>
      <c r="H4765" s="3">
        <v>43053</v>
      </c>
      <c r="I4765" s="2" t="s">
        <v>19506</v>
      </c>
      <c r="J4765" s="2" t="s">
        <v>13904</v>
      </c>
      <c r="K4765" s="2" t="s">
        <v>19214</v>
      </c>
      <c r="L4765" s="82" t="s">
        <v>19512</v>
      </c>
    </row>
    <row r="4766" spans="1:12" ht="96" customHeight="1" x14ac:dyDescent="0.3">
      <c r="A4766" s="2">
        <v>4762</v>
      </c>
      <c r="B4766" s="66" t="s">
        <v>5446</v>
      </c>
      <c r="C4766" s="66" t="s">
        <v>5448</v>
      </c>
      <c r="D4766" s="11">
        <v>24203.14</v>
      </c>
      <c r="E4766" s="11">
        <v>24203.14</v>
      </c>
      <c r="F4766" s="3">
        <v>41619</v>
      </c>
      <c r="G4766" s="2" t="s">
        <v>18757</v>
      </c>
      <c r="H4766" s="3">
        <v>43053</v>
      </c>
      <c r="I4766" s="2" t="s">
        <v>19506</v>
      </c>
      <c r="J4766" s="2" t="s">
        <v>13904</v>
      </c>
      <c r="K4766" s="2" t="s">
        <v>19214</v>
      </c>
      <c r="L4766" s="82" t="s">
        <v>19512</v>
      </c>
    </row>
    <row r="4767" spans="1:12" ht="96" customHeight="1" x14ac:dyDescent="0.3">
      <c r="A4767" s="2">
        <v>4763</v>
      </c>
      <c r="B4767" s="66" t="s">
        <v>5446</v>
      </c>
      <c r="C4767" s="66" t="s">
        <v>5449</v>
      </c>
      <c r="D4767" s="11">
        <v>24203.14</v>
      </c>
      <c r="E4767" s="11">
        <v>24203.14</v>
      </c>
      <c r="F4767" s="3">
        <v>41619</v>
      </c>
      <c r="G4767" s="2" t="s">
        <v>18757</v>
      </c>
      <c r="H4767" s="3">
        <v>43053</v>
      </c>
      <c r="I4767" s="2" t="s">
        <v>19506</v>
      </c>
      <c r="J4767" s="2" t="s">
        <v>13904</v>
      </c>
      <c r="K4767" s="2" t="s">
        <v>19214</v>
      </c>
      <c r="L4767" s="82" t="s">
        <v>19512</v>
      </c>
    </row>
    <row r="4768" spans="1:12" ht="96" customHeight="1" x14ac:dyDescent="0.3">
      <c r="A4768" s="2">
        <v>4764</v>
      </c>
      <c r="B4768" s="66" t="s">
        <v>5446</v>
      </c>
      <c r="C4768" s="66" t="s">
        <v>5450</v>
      </c>
      <c r="D4768" s="11">
        <v>24203.14</v>
      </c>
      <c r="E4768" s="11">
        <v>24203.14</v>
      </c>
      <c r="F4768" s="3">
        <v>41619</v>
      </c>
      <c r="G4768" s="2" t="s">
        <v>18757</v>
      </c>
      <c r="H4768" s="3">
        <v>43053</v>
      </c>
      <c r="I4768" s="2" t="s">
        <v>19506</v>
      </c>
      <c r="J4768" s="2" t="s">
        <v>13904</v>
      </c>
      <c r="K4768" s="2" t="s">
        <v>19214</v>
      </c>
      <c r="L4768" s="82" t="s">
        <v>19512</v>
      </c>
    </row>
    <row r="4769" spans="1:12" ht="96" customHeight="1" x14ac:dyDescent="0.3">
      <c r="A4769" s="2">
        <v>4765</v>
      </c>
      <c r="B4769" s="66" t="s">
        <v>5446</v>
      </c>
      <c r="C4769" s="66" t="s">
        <v>5451</v>
      </c>
      <c r="D4769" s="11">
        <v>24203.14</v>
      </c>
      <c r="E4769" s="11">
        <v>24203.14</v>
      </c>
      <c r="F4769" s="3">
        <v>41619</v>
      </c>
      <c r="G4769" s="2" t="s">
        <v>18757</v>
      </c>
      <c r="H4769" s="3">
        <v>43053</v>
      </c>
      <c r="I4769" s="2" t="s">
        <v>19506</v>
      </c>
      <c r="J4769" s="2" t="s">
        <v>13904</v>
      </c>
      <c r="K4769" s="2" t="s">
        <v>19214</v>
      </c>
      <c r="L4769" s="82" t="s">
        <v>19512</v>
      </c>
    </row>
    <row r="4770" spans="1:12" ht="96" customHeight="1" x14ac:dyDescent="0.3">
      <c r="A4770" s="2">
        <v>4766</v>
      </c>
      <c r="B4770" s="66" t="s">
        <v>5446</v>
      </c>
      <c r="C4770" s="66" t="s">
        <v>5452</v>
      </c>
      <c r="D4770" s="11">
        <v>24203.14</v>
      </c>
      <c r="E4770" s="11">
        <v>24203.14</v>
      </c>
      <c r="F4770" s="3">
        <v>41619</v>
      </c>
      <c r="G4770" s="2" t="s">
        <v>18757</v>
      </c>
      <c r="H4770" s="3">
        <v>43053</v>
      </c>
      <c r="I4770" s="2" t="s">
        <v>19506</v>
      </c>
      <c r="J4770" s="2" t="s">
        <v>13904</v>
      </c>
      <c r="K4770" s="2" t="s">
        <v>19214</v>
      </c>
      <c r="L4770" s="82" t="s">
        <v>19512</v>
      </c>
    </row>
    <row r="4771" spans="1:12" ht="96" customHeight="1" x14ac:dyDescent="0.3">
      <c r="A4771" s="2">
        <v>4767</v>
      </c>
      <c r="B4771" s="66" t="s">
        <v>5446</v>
      </c>
      <c r="C4771" s="66" t="s">
        <v>5453</v>
      </c>
      <c r="D4771" s="11">
        <v>24203.14</v>
      </c>
      <c r="E4771" s="11">
        <v>24203.14</v>
      </c>
      <c r="F4771" s="3">
        <v>41619</v>
      </c>
      <c r="G4771" s="2" t="s">
        <v>18757</v>
      </c>
      <c r="H4771" s="3">
        <v>43053</v>
      </c>
      <c r="I4771" s="2" t="s">
        <v>19506</v>
      </c>
      <c r="J4771" s="2" t="s">
        <v>13904</v>
      </c>
      <c r="K4771" s="2" t="s">
        <v>19214</v>
      </c>
      <c r="L4771" s="82" t="s">
        <v>19512</v>
      </c>
    </row>
    <row r="4772" spans="1:12" ht="96" customHeight="1" x14ac:dyDescent="0.3">
      <c r="A4772" s="2">
        <v>4768</v>
      </c>
      <c r="B4772" s="66" t="s">
        <v>5446</v>
      </c>
      <c r="C4772" s="66" t="s">
        <v>5454</v>
      </c>
      <c r="D4772" s="11">
        <v>24203.14</v>
      </c>
      <c r="E4772" s="11">
        <v>24203.14</v>
      </c>
      <c r="F4772" s="3">
        <v>41619</v>
      </c>
      <c r="G4772" s="2" t="s">
        <v>18757</v>
      </c>
      <c r="H4772" s="3">
        <v>43053</v>
      </c>
      <c r="I4772" s="2" t="s">
        <v>19506</v>
      </c>
      <c r="J4772" s="2" t="s">
        <v>13904</v>
      </c>
      <c r="K4772" s="2" t="s">
        <v>19214</v>
      </c>
      <c r="L4772" s="82" t="s">
        <v>19512</v>
      </c>
    </row>
    <row r="4773" spans="1:12" ht="96" customHeight="1" x14ac:dyDescent="0.3">
      <c r="A4773" s="2">
        <v>4769</v>
      </c>
      <c r="B4773" s="66" t="s">
        <v>5446</v>
      </c>
      <c r="C4773" s="66" t="s">
        <v>5455</v>
      </c>
      <c r="D4773" s="11">
        <v>24203.14</v>
      </c>
      <c r="E4773" s="11">
        <v>24203.14</v>
      </c>
      <c r="F4773" s="3">
        <v>41619</v>
      </c>
      <c r="G4773" s="2" t="s">
        <v>18757</v>
      </c>
      <c r="H4773" s="3">
        <v>43053</v>
      </c>
      <c r="I4773" s="2" t="s">
        <v>19506</v>
      </c>
      <c r="J4773" s="2" t="s">
        <v>13904</v>
      </c>
      <c r="K4773" s="2" t="s">
        <v>19214</v>
      </c>
      <c r="L4773" s="82" t="s">
        <v>19512</v>
      </c>
    </row>
    <row r="4774" spans="1:12" ht="96" customHeight="1" x14ac:dyDescent="0.3">
      <c r="A4774" s="2">
        <v>4770</v>
      </c>
      <c r="B4774" s="66" t="s">
        <v>5446</v>
      </c>
      <c r="C4774" s="66" t="s">
        <v>5456</v>
      </c>
      <c r="D4774" s="11">
        <v>24203.14</v>
      </c>
      <c r="E4774" s="11">
        <v>24203.14</v>
      </c>
      <c r="F4774" s="3">
        <v>41619</v>
      </c>
      <c r="G4774" s="2" t="s">
        <v>18757</v>
      </c>
      <c r="H4774" s="3">
        <v>43053</v>
      </c>
      <c r="I4774" s="2" t="s">
        <v>19506</v>
      </c>
      <c r="J4774" s="2" t="s">
        <v>13904</v>
      </c>
      <c r="K4774" s="2" t="s">
        <v>19214</v>
      </c>
      <c r="L4774" s="82" t="s">
        <v>19512</v>
      </c>
    </row>
    <row r="4775" spans="1:12" ht="96" customHeight="1" x14ac:dyDescent="0.3">
      <c r="A4775" s="2">
        <v>4771</v>
      </c>
      <c r="B4775" s="66" t="s">
        <v>5446</v>
      </c>
      <c r="C4775" s="66" t="s">
        <v>5457</v>
      </c>
      <c r="D4775" s="11">
        <v>24203.14</v>
      </c>
      <c r="E4775" s="11">
        <v>24203.14</v>
      </c>
      <c r="F4775" s="3">
        <v>41619</v>
      </c>
      <c r="G4775" s="2" t="s">
        <v>18757</v>
      </c>
      <c r="H4775" s="3">
        <v>43053</v>
      </c>
      <c r="I4775" s="2" t="s">
        <v>19506</v>
      </c>
      <c r="J4775" s="2" t="s">
        <v>13904</v>
      </c>
      <c r="K4775" s="2" t="s">
        <v>19214</v>
      </c>
      <c r="L4775" s="82" t="s">
        <v>19512</v>
      </c>
    </row>
    <row r="4776" spans="1:12" ht="96" customHeight="1" x14ac:dyDescent="0.3">
      <c r="A4776" s="2">
        <v>4772</v>
      </c>
      <c r="B4776" s="66" t="s">
        <v>5446</v>
      </c>
      <c r="C4776" s="66" t="s">
        <v>5458</v>
      </c>
      <c r="D4776" s="11">
        <v>24203.14</v>
      </c>
      <c r="E4776" s="11">
        <v>24203.14</v>
      </c>
      <c r="F4776" s="3">
        <v>41619</v>
      </c>
      <c r="G4776" s="2" t="s">
        <v>18757</v>
      </c>
      <c r="H4776" s="3">
        <v>43053</v>
      </c>
      <c r="I4776" s="2" t="s">
        <v>19506</v>
      </c>
      <c r="J4776" s="2" t="s">
        <v>13904</v>
      </c>
      <c r="K4776" s="2" t="s">
        <v>19214</v>
      </c>
      <c r="L4776" s="82" t="s">
        <v>19512</v>
      </c>
    </row>
    <row r="4777" spans="1:12" ht="96" customHeight="1" x14ac:dyDescent="0.3">
      <c r="A4777" s="2">
        <v>4773</v>
      </c>
      <c r="B4777" s="66" t="s">
        <v>5446</v>
      </c>
      <c r="C4777" s="66" t="s">
        <v>5459</v>
      </c>
      <c r="D4777" s="11">
        <v>24203.14</v>
      </c>
      <c r="E4777" s="11">
        <v>24203.14</v>
      </c>
      <c r="F4777" s="3">
        <v>41619</v>
      </c>
      <c r="G4777" s="2" t="s">
        <v>18757</v>
      </c>
      <c r="H4777" s="3">
        <v>43053</v>
      </c>
      <c r="I4777" s="2" t="s">
        <v>19506</v>
      </c>
      <c r="J4777" s="2" t="s">
        <v>13904</v>
      </c>
      <c r="K4777" s="2" t="s">
        <v>19214</v>
      </c>
      <c r="L4777" s="82" t="s">
        <v>19512</v>
      </c>
    </row>
    <row r="4778" spans="1:12" ht="96" customHeight="1" x14ac:dyDescent="0.3">
      <c r="A4778" s="2">
        <v>4774</v>
      </c>
      <c r="B4778" s="66" t="s">
        <v>5460</v>
      </c>
      <c r="C4778" s="66" t="s">
        <v>5461</v>
      </c>
      <c r="D4778" s="11">
        <v>12250</v>
      </c>
      <c r="E4778" s="11">
        <v>12250</v>
      </c>
      <c r="F4778" s="3">
        <v>41619</v>
      </c>
      <c r="G4778" s="2" t="s">
        <v>18757</v>
      </c>
      <c r="H4778" s="3">
        <v>43053</v>
      </c>
      <c r="I4778" s="2" t="s">
        <v>19506</v>
      </c>
      <c r="J4778" s="2" t="s">
        <v>13904</v>
      </c>
      <c r="K4778" s="2" t="s">
        <v>19214</v>
      </c>
      <c r="L4778" s="82" t="s">
        <v>19512</v>
      </c>
    </row>
    <row r="4779" spans="1:12" ht="96" customHeight="1" x14ac:dyDescent="0.3">
      <c r="A4779" s="2">
        <v>4775</v>
      </c>
      <c r="B4779" s="66" t="s">
        <v>5462</v>
      </c>
      <c r="C4779" s="66" t="s">
        <v>5463</v>
      </c>
      <c r="D4779" s="11">
        <v>38584</v>
      </c>
      <c r="E4779" s="11">
        <v>38584</v>
      </c>
      <c r="F4779" s="3">
        <v>41619</v>
      </c>
      <c r="G4779" s="2" t="s">
        <v>18757</v>
      </c>
      <c r="H4779" s="3">
        <v>43053</v>
      </c>
      <c r="I4779" s="2" t="s">
        <v>19506</v>
      </c>
      <c r="J4779" s="2" t="s">
        <v>13904</v>
      </c>
      <c r="K4779" s="2" t="s">
        <v>19214</v>
      </c>
      <c r="L4779" s="82" t="s">
        <v>19512</v>
      </c>
    </row>
    <row r="4780" spans="1:12" ht="96" customHeight="1" x14ac:dyDescent="0.3">
      <c r="A4780" s="2">
        <v>4776</v>
      </c>
      <c r="B4780" s="66" t="s">
        <v>5464</v>
      </c>
      <c r="C4780" s="66" t="s">
        <v>5465</v>
      </c>
      <c r="D4780" s="11">
        <v>27700.43</v>
      </c>
      <c r="E4780" s="11">
        <v>27700.43</v>
      </c>
      <c r="F4780" s="3">
        <v>41619</v>
      </c>
      <c r="G4780" s="2" t="s">
        <v>18757</v>
      </c>
      <c r="H4780" s="3">
        <v>43053</v>
      </c>
      <c r="I4780" s="2" t="s">
        <v>19506</v>
      </c>
      <c r="J4780" s="2" t="s">
        <v>13904</v>
      </c>
      <c r="K4780" s="2" t="s">
        <v>19214</v>
      </c>
      <c r="L4780" s="82" t="s">
        <v>19512</v>
      </c>
    </row>
    <row r="4781" spans="1:12" ht="96" customHeight="1" x14ac:dyDescent="0.3">
      <c r="A4781" s="2">
        <v>4777</v>
      </c>
      <c r="B4781" s="66" t="s">
        <v>5462</v>
      </c>
      <c r="C4781" s="66" t="s">
        <v>5466</v>
      </c>
      <c r="D4781" s="11">
        <v>38749</v>
      </c>
      <c r="E4781" s="11">
        <v>38749</v>
      </c>
      <c r="F4781" s="3">
        <v>41619</v>
      </c>
      <c r="G4781" s="2" t="s">
        <v>18757</v>
      </c>
      <c r="H4781" s="3">
        <v>43053</v>
      </c>
      <c r="I4781" s="2" t="s">
        <v>19506</v>
      </c>
      <c r="J4781" s="2" t="s">
        <v>13904</v>
      </c>
      <c r="K4781" s="2" t="s">
        <v>19214</v>
      </c>
      <c r="L4781" s="82" t="s">
        <v>19512</v>
      </c>
    </row>
    <row r="4782" spans="1:12" ht="96" customHeight="1" x14ac:dyDescent="0.3">
      <c r="A4782" s="2">
        <v>4778</v>
      </c>
      <c r="B4782" s="66" t="s">
        <v>5462</v>
      </c>
      <c r="C4782" s="66" t="s">
        <v>5467</v>
      </c>
      <c r="D4782" s="11">
        <v>38749</v>
      </c>
      <c r="E4782" s="11">
        <v>38749</v>
      </c>
      <c r="F4782" s="3">
        <v>41619</v>
      </c>
      <c r="G4782" s="2" t="s">
        <v>18757</v>
      </c>
      <c r="H4782" s="3">
        <v>43053</v>
      </c>
      <c r="I4782" s="2" t="s">
        <v>19506</v>
      </c>
      <c r="J4782" s="2" t="s">
        <v>13904</v>
      </c>
      <c r="K4782" s="2" t="s">
        <v>19214</v>
      </c>
      <c r="L4782" s="82" t="s">
        <v>19512</v>
      </c>
    </row>
    <row r="4783" spans="1:12" ht="96" customHeight="1" x14ac:dyDescent="0.3">
      <c r="A4783" s="2">
        <v>4779</v>
      </c>
      <c r="B4783" s="66" t="s">
        <v>5462</v>
      </c>
      <c r="C4783" s="66" t="s">
        <v>5468</v>
      </c>
      <c r="D4783" s="11">
        <v>38749</v>
      </c>
      <c r="E4783" s="11">
        <v>38749</v>
      </c>
      <c r="F4783" s="3">
        <v>41619</v>
      </c>
      <c r="G4783" s="2" t="s">
        <v>18757</v>
      </c>
      <c r="H4783" s="3">
        <v>43053</v>
      </c>
      <c r="I4783" s="2" t="s">
        <v>19506</v>
      </c>
      <c r="J4783" s="2" t="s">
        <v>13904</v>
      </c>
      <c r="K4783" s="2" t="s">
        <v>19214</v>
      </c>
      <c r="L4783" s="82" t="s">
        <v>19512</v>
      </c>
    </row>
    <row r="4784" spans="1:12" ht="96" customHeight="1" x14ac:dyDescent="0.3">
      <c r="A4784" s="2">
        <v>4780</v>
      </c>
      <c r="B4784" s="66" t="s">
        <v>222</v>
      </c>
      <c r="C4784" s="66" t="s">
        <v>5469</v>
      </c>
      <c r="D4784" s="11">
        <v>7461.3</v>
      </c>
      <c r="E4784" s="11">
        <v>7461.3</v>
      </c>
      <c r="F4784" s="3">
        <v>37478</v>
      </c>
      <c r="G4784" s="2" t="s">
        <v>18757</v>
      </c>
      <c r="H4784" s="3">
        <v>43053</v>
      </c>
      <c r="I4784" s="2" t="s">
        <v>19506</v>
      </c>
      <c r="J4784" s="2" t="s">
        <v>13904</v>
      </c>
      <c r="K4784" s="2" t="s">
        <v>19214</v>
      </c>
      <c r="L4784" s="82" t="s">
        <v>19512</v>
      </c>
    </row>
    <row r="4785" spans="1:12" ht="96" customHeight="1" x14ac:dyDescent="0.3">
      <c r="A4785" s="2">
        <v>4781</v>
      </c>
      <c r="B4785" s="66" t="s">
        <v>223</v>
      </c>
      <c r="C4785" s="66" t="s">
        <v>3301</v>
      </c>
      <c r="D4785" s="11">
        <v>18495.84</v>
      </c>
      <c r="E4785" s="11">
        <v>18495.84</v>
      </c>
      <c r="F4785" s="3">
        <v>38694</v>
      </c>
      <c r="G4785" s="2" t="s">
        <v>18757</v>
      </c>
      <c r="H4785" s="3">
        <v>43053</v>
      </c>
      <c r="I4785" s="2" t="s">
        <v>19506</v>
      </c>
      <c r="J4785" s="2" t="s">
        <v>13904</v>
      </c>
      <c r="K4785" s="2" t="s">
        <v>19214</v>
      </c>
      <c r="L4785" s="82" t="s">
        <v>19512</v>
      </c>
    </row>
    <row r="4786" spans="1:12" ht="96" customHeight="1" x14ac:dyDescent="0.3">
      <c r="A4786" s="2">
        <v>4782</v>
      </c>
      <c r="B4786" s="66" t="s">
        <v>5470</v>
      </c>
      <c r="C4786" s="66" t="s">
        <v>4344</v>
      </c>
      <c r="D4786" s="11">
        <v>8000</v>
      </c>
      <c r="E4786" s="11">
        <v>8000</v>
      </c>
      <c r="F4786" s="3">
        <v>40907</v>
      </c>
      <c r="G4786" s="2" t="s">
        <v>18757</v>
      </c>
      <c r="H4786" s="3">
        <v>43053</v>
      </c>
      <c r="I4786" s="2" t="s">
        <v>19506</v>
      </c>
      <c r="J4786" s="2" t="s">
        <v>13904</v>
      </c>
      <c r="K4786" s="2" t="s">
        <v>19214</v>
      </c>
      <c r="L4786" s="82" t="s">
        <v>19512</v>
      </c>
    </row>
    <row r="4787" spans="1:12" ht="96" customHeight="1" x14ac:dyDescent="0.3">
      <c r="A4787" s="2">
        <v>4783</v>
      </c>
      <c r="B4787" s="66" t="s">
        <v>5470</v>
      </c>
      <c r="C4787" s="66" t="s">
        <v>5471</v>
      </c>
      <c r="D4787" s="11">
        <v>8000</v>
      </c>
      <c r="E4787" s="11">
        <v>8000</v>
      </c>
      <c r="F4787" s="3">
        <v>40907</v>
      </c>
      <c r="G4787" s="2" t="s">
        <v>18757</v>
      </c>
      <c r="H4787" s="3">
        <v>43053</v>
      </c>
      <c r="I4787" s="2" t="s">
        <v>19506</v>
      </c>
      <c r="J4787" s="2" t="s">
        <v>13904</v>
      </c>
      <c r="K4787" s="2" t="s">
        <v>19214</v>
      </c>
      <c r="L4787" s="82" t="s">
        <v>19512</v>
      </c>
    </row>
    <row r="4788" spans="1:12" ht="96" customHeight="1" x14ac:dyDescent="0.3">
      <c r="A4788" s="2">
        <v>4784</v>
      </c>
      <c r="B4788" s="66" t="s">
        <v>5462</v>
      </c>
      <c r="C4788" s="66" t="s">
        <v>5472</v>
      </c>
      <c r="D4788" s="11">
        <v>38749</v>
      </c>
      <c r="E4788" s="11">
        <v>38749</v>
      </c>
      <c r="F4788" s="3">
        <v>41619</v>
      </c>
      <c r="G4788" s="2" t="s">
        <v>18757</v>
      </c>
      <c r="H4788" s="3">
        <v>43053</v>
      </c>
      <c r="I4788" s="2" t="s">
        <v>19506</v>
      </c>
      <c r="J4788" s="2" t="s">
        <v>13904</v>
      </c>
      <c r="K4788" s="2" t="s">
        <v>19214</v>
      </c>
      <c r="L4788" s="82" t="s">
        <v>19512</v>
      </c>
    </row>
    <row r="4789" spans="1:12" ht="96" customHeight="1" x14ac:dyDescent="0.3">
      <c r="A4789" s="2">
        <v>4785</v>
      </c>
      <c r="B4789" s="66" t="s">
        <v>5473</v>
      </c>
      <c r="C4789" s="66" t="s">
        <v>4209</v>
      </c>
      <c r="D4789" s="11">
        <v>9232.15</v>
      </c>
      <c r="E4789" s="11">
        <v>9232.15</v>
      </c>
      <c r="F4789" s="3">
        <v>36932</v>
      </c>
      <c r="G4789" s="2" t="s">
        <v>18757</v>
      </c>
      <c r="H4789" s="3">
        <v>43053</v>
      </c>
      <c r="I4789" s="2" t="s">
        <v>19506</v>
      </c>
      <c r="J4789" s="2" t="s">
        <v>13904</v>
      </c>
      <c r="K4789" s="2" t="s">
        <v>19214</v>
      </c>
      <c r="L4789" s="82" t="s">
        <v>19512</v>
      </c>
    </row>
    <row r="4790" spans="1:12" ht="96" customHeight="1" x14ac:dyDescent="0.3">
      <c r="A4790" s="2">
        <v>4786</v>
      </c>
      <c r="B4790" s="66" t="s">
        <v>222</v>
      </c>
      <c r="C4790" s="66" t="s">
        <v>5474</v>
      </c>
      <c r="D4790" s="11">
        <v>8976.24</v>
      </c>
      <c r="E4790" s="11">
        <v>8976.24</v>
      </c>
      <c r="F4790" s="3">
        <v>37782</v>
      </c>
      <c r="G4790" s="2" t="s">
        <v>18757</v>
      </c>
      <c r="H4790" s="3">
        <v>43053</v>
      </c>
      <c r="I4790" s="2" t="s">
        <v>19506</v>
      </c>
      <c r="J4790" s="2" t="s">
        <v>13904</v>
      </c>
      <c r="K4790" s="2" t="s">
        <v>19214</v>
      </c>
      <c r="L4790" s="82" t="s">
        <v>19512</v>
      </c>
    </row>
    <row r="4791" spans="1:12" ht="96" customHeight="1" x14ac:dyDescent="0.3">
      <c r="A4791" s="2">
        <v>4787</v>
      </c>
      <c r="B4791" s="66" t="s">
        <v>222</v>
      </c>
      <c r="C4791" s="66" t="s">
        <v>4202</v>
      </c>
      <c r="D4791" s="11">
        <v>5740.55</v>
      </c>
      <c r="E4791" s="11">
        <v>5740.55</v>
      </c>
      <c r="F4791" s="3">
        <v>38393</v>
      </c>
      <c r="G4791" s="2" t="s">
        <v>18757</v>
      </c>
      <c r="H4791" s="3">
        <v>43053</v>
      </c>
      <c r="I4791" s="2" t="s">
        <v>19506</v>
      </c>
      <c r="J4791" s="2" t="s">
        <v>13904</v>
      </c>
      <c r="K4791" s="2" t="s">
        <v>19214</v>
      </c>
      <c r="L4791" s="82" t="s">
        <v>19512</v>
      </c>
    </row>
    <row r="4792" spans="1:12" ht="96" customHeight="1" x14ac:dyDescent="0.3">
      <c r="A4792" s="2">
        <v>4788</v>
      </c>
      <c r="B4792" s="66" t="s">
        <v>222</v>
      </c>
      <c r="C4792" s="66" t="s">
        <v>3461</v>
      </c>
      <c r="D4792" s="11">
        <v>5371.07</v>
      </c>
      <c r="E4792" s="11">
        <v>5371.07</v>
      </c>
      <c r="F4792" s="3">
        <v>37478</v>
      </c>
      <c r="G4792" s="2" t="s">
        <v>18757</v>
      </c>
      <c r="H4792" s="3">
        <v>43053</v>
      </c>
      <c r="I4792" s="2" t="s">
        <v>19506</v>
      </c>
      <c r="J4792" s="2" t="s">
        <v>13904</v>
      </c>
      <c r="K4792" s="2" t="s">
        <v>19214</v>
      </c>
      <c r="L4792" s="82" t="s">
        <v>19512</v>
      </c>
    </row>
    <row r="4793" spans="1:12" ht="96" customHeight="1" x14ac:dyDescent="0.3">
      <c r="A4793" s="2">
        <v>4789</v>
      </c>
      <c r="B4793" s="66" t="s">
        <v>222</v>
      </c>
      <c r="C4793" s="66" t="s">
        <v>5475</v>
      </c>
      <c r="D4793" s="11">
        <v>8397.83</v>
      </c>
      <c r="E4793" s="11">
        <v>8397.83</v>
      </c>
      <c r="F4793" s="3">
        <v>36923</v>
      </c>
      <c r="G4793" s="2" t="s">
        <v>18757</v>
      </c>
      <c r="H4793" s="3">
        <v>43053</v>
      </c>
      <c r="I4793" s="2" t="s">
        <v>19506</v>
      </c>
      <c r="J4793" s="2" t="s">
        <v>13904</v>
      </c>
      <c r="K4793" s="2" t="s">
        <v>19214</v>
      </c>
      <c r="L4793" s="82" t="s">
        <v>19512</v>
      </c>
    </row>
    <row r="4794" spans="1:12" ht="96" customHeight="1" x14ac:dyDescent="0.3">
      <c r="A4794" s="2">
        <v>4790</v>
      </c>
      <c r="B4794" s="66" t="s">
        <v>5476</v>
      </c>
      <c r="C4794" s="66" t="s">
        <v>5477</v>
      </c>
      <c r="D4794" s="11">
        <v>31553.77</v>
      </c>
      <c r="E4794" s="11">
        <v>31553.77</v>
      </c>
      <c r="F4794" s="3">
        <v>39057</v>
      </c>
      <c r="G4794" s="2" t="s">
        <v>18757</v>
      </c>
      <c r="H4794" s="3">
        <v>43053</v>
      </c>
      <c r="I4794" s="2" t="s">
        <v>19506</v>
      </c>
      <c r="J4794" s="2" t="s">
        <v>13904</v>
      </c>
      <c r="K4794" s="2" t="s">
        <v>19214</v>
      </c>
      <c r="L4794" s="82" t="s">
        <v>19512</v>
      </c>
    </row>
    <row r="4795" spans="1:12" ht="96" customHeight="1" x14ac:dyDescent="0.3">
      <c r="A4795" s="2">
        <v>4791</v>
      </c>
      <c r="B4795" s="66" t="s">
        <v>5478</v>
      </c>
      <c r="C4795" s="66" t="s">
        <v>3673</v>
      </c>
      <c r="D4795" s="11">
        <v>8025</v>
      </c>
      <c r="E4795" s="11">
        <v>8025</v>
      </c>
      <c r="F4795" s="3">
        <v>38393</v>
      </c>
      <c r="G4795" s="2" t="s">
        <v>18757</v>
      </c>
      <c r="H4795" s="3">
        <v>43053</v>
      </c>
      <c r="I4795" s="2" t="s">
        <v>19506</v>
      </c>
      <c r="J4795" s="2" t="s">
        <v>13904</v>
      </c>
      <c r="K4795" s="2" t="s">
        <v>19214</v>
      </c>
      <c r="L4795" s="82" t="s">
        <v>19512</v>
      </c>
    </row>
    <row r="4796" spans="1:12" ht="96" customHeight="1" x14ac:dyDescent="0.3">
      <c r="A4796" s="2">
        <v>4792</v>
      </c>
      <c r="B4796" s="66" t="s">
        <v>5479</v>
      </c>
      <c r="C4796" s="66" t="s">
        <v>5480</v>
      </c>
      <c r="D4796" s="11">
        <v>30849.52</v>
      </c>
      <c r="E4796" s="11">
        <v>30849.52</v>
      </c>
      <c r="F4796" s="3">
        <v>38729</v>
      </c>
      <c r="G4796" s="2" t="s">
        <v>18757</v>
      </c>
      <c r="H4796" s="3">
        <v>43053</v>
      </c>
      <c r="I4796" s="2" t="s">
        <v>19506</v>
      </c>
      <c r="J4796" s="2" t="s">
        <v>13904</v>
      </c>
      <c r="K4796" s="2" t="s">
        <v>19214</v>
      </c>
      <c r="L4796" s="82" t="s">
        <v>19512</v>
      </c>
    </row>
    <row r="4797" spans="1:12" ht="96" customHeight="1" x14ac:dyDescent="0.3">
      <c r="A4797" s="2">
        <v>4793</v>
      </c>
      <c r="B4797" s="66" t="s">
        <v>5481</v>
      </c>
      <c r="C4797" s="66" t="s">
        <v>5482</v>
      </c>
      <c r="D4797" s="11">
        <v>11689.97</v>
      </c>
      <c r="E4797" s="11">
        <v>11689.97</v>
      </c>
      <c r="F4797" s="3">
        <v>37478</v>
      </c>
      <c r="G4797" s="2" t="s">
        <v>18757</v>
      </c>
      <c r="H4797" s="3">
        <v>43053</v>
      </c>
      <c r="I4797" s="2" t="s">
        <v>19506</v>
      </c>
      <c r="J4797" s="2" t="s">
        <v>13904</v>
      </c>
      <c r="K4797" s="2" t="s">
        <v>19214</v>
      </c>
      <c r="L4797" s="82" t="s">
        <v>19512</v>
      </c>
    </row>
    <row r="4798" spans="1:12" ht="96" customHeight="1" x14ac:dyDescent="0.3">
      <c r="A4798" s="2">
        <v>4794</v>
      </c>
      <c r="B4798" s="66" t="s">
        <v>223</v>
      </c>
      <c r="C4798" s="66" t="s">
        <v>3303</v>
      </c>
      <c r="D4798" s="11">
        <v>31880.16</v>
      </c>
      <c r="E4798" s="11">
        <v>31880.16</v>
      </c>
      <c r="F4798" s="3">
        <v>38729</v>
      </c>
      <c r="G4798" s="2" t="s">
        <v>18757</v>
      </c>
      <c r="H4798" s="3">
        <v>43053</v>
      </c>
      <c r="I4798" s="2" t="s">
        <v>19506</v>
      </c>
      <c r="J4798" s="2" t="s">
        <v>13904</v>
      </c>
      <c r="K4798" s="2" t="s">
        <v>19214</v>
      </c>
      <c r="L4798" s="82" t="s">
        <v>19512</v>
      </c>
    </row>
    <row r="4799" spans="1:12" ht="96" customHeight="1" x14ac:dyDescent="0.3">
      <c r="A4799" s="2">
        <v>4795</v>
      </c>
      <c r="B4799" s="66" t="s">
        <v>223</v>
      </c>
      <c r="C4799" s="66" t="s">
        <v>3409</v>
      </c>
      <c r="D4799" s="11">
        <v>11442.08</v>
      </c>
      <c r="E4799" s="11">
        <v>11442.08</v>
      </c>
      <c r="F4799" s="3">
        <v>38729</v>
      </c>
      <c r="G4799" s="2" t="s">
        <v>18757</v>
      </c>
      <c r="H4799" s="3">
        <v>43053</v>
      </c>
      <c r="I4799" s="2" t="s">
        <v>19506</v>
      </c>
      <c r="J4799" s="2" t="s">
        <v>13904</v>
      </c>
      <c r="K4799" s="2" t="s">
        <v>19214</v>
      </c>
      <c r="L4799" s="82" t="s">
        <v>19512</v>
      </c>
    </row>
    <row r="4800" spans="1:12" ht="96" customHeight="1" x14ac:dyDescent="0.3">
      <c r="A4800" s="2">
        <v>4796</v>
      </c>
      <c r="B4800" s="66" t="s">
        <v>223</v>
      </c>
      <c r="C4800" s="66" t="s">
        <v>3396</v>
      </c>
      <c r="D4800" s="11">
        <v>11442.08</v>
      </c>
      <c r="E4800" s="11">
        <v>11442.08</v>
      </c>
      <c r="F4800" s="3">
        <v>38729</v>
      </c>
      <c r="G4800" s="2" t="s">
        <v>18757</v>
      </c>
      <c r="H4800" s="3">
        <v>43053</v>
      </c>
      <c r="I4800" s="2" t="s">
        <v>19506</v>
      </c>
      <c r="J4800" s="2" t="s">
        <v>13904</v>
      </c>
      <c r="K4800" s="2" t="s">
        <v>19214</v>
      </c>
      <c r="L4800" s="82" t="s">
        <v>19512</v>
      </c>
    </row>
    <row r="4801" spans="1:12" ht="96" customHeight="1" x14ac:dyDescent="0.3">
      <c r="A4801" s="2">
        <v>4797</v>
      </c>
      <c r="B4801" s="66" t="s">
        <v>223</v>
      </c>
      <c r="C4801" s="66" t="s">
        <v>5483</v>
      </c>
      <c r="D4801" s="11">
        <v>11442.08</v>
      </c>
      <c r="E4801" s="11">
        <v>11442.08</v>
      </c>
      <c r="F4801" s="3">
        <v>38729</v>
      </c>
      <c r="G4801" s="2" t="s">
        <v>18757</v>
      </c>
      <c r="H4801" s="3">
        <v>43053</v>
      </c>
      <c r="I4801" s="2" t="s">
        <v>19506</v>
      </c>
      <c r="J4801" s="2" t="s">
        <v>13904</v>
      </c>
      <c r="K4801" s="2" t="s">
        <v>19214</v>
      </c>
      <c r="L4801" s="82" t="s">
        <v>19512</v>
      </c>
    </row>
    <row r="4802" spans="1:12" ht="96" customHeight="1" x14ac:dyDescent="0.3">
      <c r="A4802" s="2">
        <v>4798</v>
      </c>
      <c r="B4802" s="66" t="s">
        <v>223</v>
      </c>
      <c r="C4802" s="66" t="s">
        <v>3427</v>
      </c>
      <c r="D4802" s="11">
        <v>21889.919999999998</v>
      </c>
      <c r="E4802" s="11">
        <v>21889.919999999998</v>
      </c>
      <c r="F4802" s="3">
        <v>38729</v>
      </c>
      <c r="G4802" s="2" t="s">
        <v>18757</v>
      </c>
      <c r="H4802" s="3">
        <v>43053</v>
      </c>
      <c r="I4802" s="2" t="s">
        <v>19506</v>
      </c>
      <c r="J4802" s="2" t="s">
        <v>13904</v>
      </c>
      <c r="K4802" s="2" t="s">
        <v>19214</v>
      </c>
      <c r="L4802" s="82" t="s">
        <v>19512</v>
      </c>
    </row>
    <row r="4803" spans="1:12" ht="96" customHeight="1" x14ac:dyDescent="0.3">
      <c r="A4803" s="2">
        <v>4799</v>
      </c>
      <c r="B4803" s="66" t="s">
        <v>223</v>
      </c>
      <c r="C4803" s="66" t="s">
        <v>3405</v>
      </c>
      <c r="D4803" s="11">
        <v>11619.92</v>
      </c>
      <c r="E4803" s="11">
        <v>11619.92</v>
      </c>
      <c r="F4803" s="3">
        <v>38729</v>
      </c>
      <c r="G4803" s="2" t="s">
        <v>18757</v>
      </c>
      <c r="H4803" s="3">
        <v>43053</v>
      </c>
      <c r="I4803" s="2" t="s">
        <v>19506</v>
      </c>
      <c r="J4803" s="2" t="s">
        <v>13904</v>
      </c>
      <c r="K4803" s="2" t="s">
        <v>19214</v>
      </c>
      <c r="L4803" s="82" t="s">
        <v>19512</v>
      </c>
    </row>
    <row r="4804" spans="1:12" ht="96" customHeight="1" x14ac:dyDescent="0.3">
      <c r="A4804" s="2">
        <v>4800</v>
      </c>
      <c r="B4804" s="66" t="s">
        <v>4057</v>
      </c>
      <c r="C4804" s="66" t="s">
        <v>4571</v>
      </c>
      <c r="D4804" s="11">
        <v>5948.28</v>
      </c>
      <c r="E4804" s="11">
        <v>5948.28</v>
      </c>
      <c r="F4804" s="3">
        <v>37751</v>
      </c>
      <c r="G4804" s="2" t="s">
        <v>18757</v>
      </c>
      <c r="H4804" s="3">
        <v>43053</v>
      </c>
      <c r="I4804" s="2" t="s">
        <v>19506</v>
      </c>
      <c r="J4804" s="2" t="s">
        <v>13904</v>
      </c>
      <c r="K4804" s="2" t="s">
        <v>19214</v>
      </c>
      <c r="L4804" s="82" t="s">
        <v>19512</v>
      </c>
    </row>
    <row r="4805" spans="1:12" ht="96" customHeight="1" x14ac:dyDescent="0.3">
      <c r="A4805" s="2">
        <v>4801</v>
      </c>
      <c r="B4805" s="66" t="s">
        <v>4800</v>
      </c>
      <c r="C4805" s="66" t="s">
        <v>5484</v>
      </c>
      <c r="D4805" s="11">
        <v>5089.05</v>
      </c>
      <c r="E4805" s="11">
        <v>5089.05</v>
      </c>
      <c r="F4805" s="3">
        <v>31909</v>
      </c>
      <c r="G4805" s="2" t="s">
        <v>18757</v>
      </c>
      <c r="H4805" s="3">
        <v>43053</v>
      </c>
      <c r="I4805" s="2" t="s">
        <v>19506</v>
      </c>
      <c r="J4805" s="2" t="s">
        <v>13904</v>
      </c>
      <c r="K4805" s="2" t="s">
        <v>19214</v>
      </c>
      <c r="L4805" s="82" t="s">
        <v>19512</v>
      </c>
    </row>
    <row r="4806" spans="1:12" ht="96" customHeight="1" x14ac:dyDescent="0.3">
      <c r="A4806" s="2">
        <v>4802</v>
      </c>
      <c r="B4806" s="66" t="s">
        <v>4804</v>
      </c>
      <c r="C4806" s="66" t="s">
        <v>4567</v>
      </c>
      <c r="D4806" s="11">
        <v>3154.68</v>
      </c>
      <c r="E4806" s="11">
        <v>3154.68</v>
      </c>
      <c r="F4806" s="3">
        <v>35411</v>
      </c>
      <c r="G4806" s="2" t="s">
        <v>18757</v>
      </c>
      <c r="H4806" s="3">
        <v>43053</v>
      </c>
      <c r="I4806" s="2" t="s">
        <v>19506</v>
      </c>
      <c r="J4806" s="2" t="s">
        <v>13904</v>
      </c>
      <c r="K4806" s="2" t="s">
        <v>19214</v>
      </c>
      <c r="L4806" s="82" t="s">
        <v>19512</v>
      </c>
    </row>
    <row r="4807" spans="1:12" ht="96" customHeight="1" x14ac:dyDescent="0.3">
      <c r="A4807" s="2">
        <v>4803</v>
      </c>
      <c r="B4807" s="66" t="s">
        <v>5485</v>
      </c>
      <c r="C4807" s="66" t="s">
        <v>3128</v>
      </c>
      <c r="D4807" s="11">
        <v>5173.45</v>
      </c>
      <c r="E4807" s="11">
        <v>5173.45</v>
      </c>
      <c r="F4807" s="3">
        <v>38393</v>
      </c>
      <c r="G4807" s="2" t="s">
        <v>18757</v>
      </c>
      <c r="H4807" s="3">
        <v>43053</v>
      </c>
      <c r="I4807" s="2" t="s">
        <v>19506</v>
      </c>
      <c r="J4807" s="2" t="s">
        <v>13904</v>
      </c>
      <c r="K4807" s="2" t="s">
        <v>19214</v>
      </c>
      <c r="L4807" s="82" t="s">
        <v>19512</v>
      </c>
    </row>
    <row r="4808" spans="1:12" ht="96" customHeight="1" x14ac:dyDescent="0.3">
      <c r="A4808" s="2">
        <v>4804</v>
      </c>
      <c r="B4808" s="66" t="s">
        <v>5486</v>
      </c>
      <c r="C4808" s="66" t="s">
        <v>5487</v>
      </c>
      <c r="D4808" s="11">
        <v>4500</v>
      </c>
      <c r="E4808" s="11">
        <v>4500</v>
      </c>
      <c r="F4808" s="3">
        <v>40877</v>
      </c>
      <c r="G4808" s="2" t="s">
        <v>18757</v>
      </c>
      <c r="H4808" s="3">
        <v>43053</v>
      </c>
      <c r="I4808" s="2" t="s">
        <v>19506</v>
      </c>
      <c r="J4808" s="2" t="s">
        <v>13904</v>
      </c>
      <c r="K4808" s="2" t="s">
        <v>19214</v>
      </c>
      <c r="L4808" s="82" t="s">
        <v>19512</v>
      </c>
    </row>
    <row r="4809" spans="1:12" ht="96" customHeight="1" x14ac:dyDescent="0.3">
      <c r="A4809" s="2">
        <v>4805</v>
      </c>
      <c r="B4809" s="66" t="s">
        <v>4688</v>
      </c>
      <c r="C4809" s="66" t="s">
        <v>5488</v>
      </c>
      <c r="D4809" s="11">
        <v>5000</v>
      </c>
      <c r="E4809" s="11">
        <v>5000</v>
      </c>
      <c r="F4809" s="3">
        <v>39442</v>
      </c>
      <c r="G4809" s="2" t="s">
        <v>18757</v>
      </c>
      <c r="H4809" s="3">
        <v>43053</v>
      </c>
      <c r="I4809" s="2" t="s">
        <v>19506</v>
      </c>
      <c r="J4809" s="2" t="s">
        <v>13904</v>
      </c>
      <c r="K4809" s="2" t="s">
        <v>19214</v>
      </c>
      <c r="L4809" s="82" t="s">
        <v>19512</v>
      </c>
    </row>
    <row r="4810" spans="1:12" ht="96" customHeight="1" x14ac:dyDescent="0.3">
      <c r="A4810" s="2">
        <v>4806</v>
      </c>
      <c r="B4810" s="66" t="s">
        <v>4808</v>
      </c>
      <c r="C4810" s="66" t="s">
        <v>5489</v>
      </c>
      <c r="D4810" s="11">
        <v>5400</v>
      </c>
      <c r="E4810" s="11">
        <v>5400</v>
      </c>
      <c r="F4810" s="3">
        <v>39806</v>
      </c>
      <c r="G4810" s="2" t="s">
        <v>18757</v>
      </c>
      <c r="H4810" s="3">
        <v>43053</v>
      </c>
      <c r="I4810" s="2" t="s">
        <v>19506</v>
      </c>
      <c r="J4810" s="2" t="s">
        <v>13904</v>
      </c>
      <c r="K4810" s="2" t="s">
        <v>19214</v>
      </c>
      <c r="L4810" s="82" t="s">
        <v>19512</v>
      </c>
    </row>
    <row r="4811" spans="1:12" ht="96" customHeight="1" x14ac:dyDescent="0.3">
      <c r="A4811" s="2">
        <v>4807</v>
      </c>
      <c r="B4811" s="66" t="s">
        <v>5490</v>
      </c>
      <c r="C4811" s="66" t="s">
        <v>5491</v>
      </c>
      <c r="D4811" s="11">
        <v>4120</v>
      </c>
      <c r="E4811" s="11">
        <v>4120</v>
      </c>
      <c r="F4811" s="3">
        <v>39133</v>
      </c>
      <c r="G4811" s="2" t="s">
        <v>18757</v>
      </c>
      <c r="H4811" s="3">
        <v>43053</v>
      </c>
      <c r="I4811" s="2" t="s">
        <v>19506</v>
      </c>
      <c r="J4811" s="2" t="s">
        <v>13904</v>
      </c>
      <c r="K4811" s="2" t="s">
        <v>19214</v>
      </c>
      <c r="L4811" s="82" t="s">
        <v>19512</v>
      </c>
    </row>
    <row r="4812" spans="1:12" ht="96" customHeight="1" x14ac:dyDescent="0.3">
      <c r="A4812" s="2">
        <v>4808</v>
      </c>
      <c r="B4812" s="66" t="s">
        <v>5492</v>
      </c>
      <c r="C4812" s="66" t="s">
        <v>5493</v>
      </c>
      <c r="D4812" s="11">
        <v>3909.17</v>
      </c>
      <c r="E4812" s="11">
        <v>3909.17</v>
      </c>
      <c r="F4812" s="3">
        <v>39076</v>
      </c>
      <c r="G4812" s="2" t="s">
        <v>18757</v>
      </c>
      <c r="H4812" s="3">
        <v>43053</v>
      </c>
      <c r="I4812" s="2" t="s">
        <v>19506</v>
      </c>
      <c r="J4812" s="2" t="s">
        <v>13904</v>
      </c>
      <c r="K4812" s="2" t="s">
        <v>19214</v>
      </c>
      <c r="L4812" s="82" t="s">
        <v>19512</v>
      </c>
    </row>
    <row r="4813" spans="1:12" ht="96" customHeight="1" x14ac:dyDescent="0.3">
      <c r="A4813" s="2">
        <v>4809</v>
      </c>
      <c r="B4813" s="66" t="s">
        <v>5494</v>
      </c>
      <c r="C4813" s="66" t="s">
        <v>5495</v>
      </c>
      <c r="D4813" s="11">
        <v>4641.21</v>
      </c>
      <c r="E4813" s="11">
        <v>4641.21</v>
      </c>
      <c r="F4813" s="3">
        <v>37297</v>
      </c>
      <c r="G4813" s="2" t="s">
        <v>18757</v>
      </c>
      <c r="H4813" s="3">
        <v>43053</v>
      </c>
      <c r="I4813" s="2" t="s">
        <v>19506</v>
      </c>
      <c r="J4813" s="2" t="s">
        <v>13904</v>
      </c>
      <c r="K4813" s="2" t="s">
        <v>19214</v>
      </c>
      <c r="L4813" s="82" t="s">
        <v>19512</v>
      </c>
    </row>
    <row r="4814" spans="1:12" ht="96" customHeight="1" x14ac:dyDescent="0.3">
      <c r="A4814" s="2">
        <v>4810</v>
      </c>
      <c r="B4814" s="66" t="s">
        <v>5496</v>
      </c>
      <c r="C4814" s="66" t="s">
        <v>3148</v>
      </c>
      <c r="D4814" s="11">
        <v>5470.12</v>
      </c>
      <c r="E4814" s="11">
        <v>5470.12</v>
      </c>
      <c r="F4814" s="3">
        <v>41985</v>
      </c>
      <c r="G4814" s="2" t="s">
        <v>18757</v>
      </c>
      <c r="H4814" s="3">
        <v>43053</v>
      </c>
      <c r="I4814" s="2" t="s">
        <v>19506</v>
      </c>
      <c r="J4814" s="2" t="s">
        <v>13904</v>
      </c>
      <c r="K4814" s="2" t="s">
        <v>19214</v>
      </c>
      <c r="L4814" s="82" t="s">
        <v>19512</v>
      </c>
    </row>
    <row r="4815" spans="1:12" ht="96" customHeight="1" x14ac:dyDescent="0.3">
      <c r="A4815" s="2">
        <v>4811</v>
      </c>
      <c r="B4815" s="66" t="s">
        <v>5497</v>
      </c>
      <c r="C4815" s="66" t="s">
        <v>3147</v>
      </c>
      <c r="D4815" s="11">
        <v>6999.9</v>
      </c>
      <c r="E4815" s="11">
        <v>6999.9</v>
      </c>
      <c r="F4815" s="3">
        <v>41985</v>
      </c>
      <c r="G4815" s="2" t="s">
        <v>18757</v>
      </c>
      <c r="H4815" s="3">
        <v>43053</v>
      </c>
      <c r="I4815" s="2" t="s">
        <v>19506</v>
      </c>
      <c r="J4815" s="2" t="s">
        <v>13904</v>
      </c>
      <c r="K4815" s="2" t="s">
        <v>19214</v>
      </c>
      <c r="L4815" s="82" t="s">
        <v>19512</v>
      </c>
    </row>
    <row r="4816" spans="1:12" ht="96" customHeight="1" x14ac:dyDescent="0.3">
      <c r="A4816" s="2">
        <v>4812</v>
      </c>
      <c r="B4816" s="66" t="s">
        <v>5498</v>
      </c>
      <c r="C4816" s="66" t="s">
        <v>5499</v>
      </c>
      <c r="D4816" s="11">
        <v>17329.48</v>
      </c>
      <c r="E4816" s="11">
        <v>17329.48</v>
      </c>
      <c r="F4816" s="3">
        <v>41544</v>
      </c>
      <c r="G4816" s="2" t="s">
        <v>18757</v>
      </c>
      <c r="H4816" s="3">
        <v>43053</v>
      </c>
      <c r="I4816" s="2" t="s">
        <v>19506</v>
      </c>
      <c r="J4816" s="2" t="s">
        <v>13904</v>
      </c>
      <c r="K4816" s="2" t="s">
        <v>19214</v>
      </c>
      <c r="L4816" s="82" t="s">
        <v>19512</v>
      </c>
    </row>
    <row r="4817" spans="1:12" ht="96" customHeight="1" x14ac:dyDescent="0.3">
      <c r="A4817" s="2">
        <v>4813</v>
      </c>
      <c r="B4817" s="66" t="s">
        <v>5500</v>
      </c>
      <c r="C4817" s="66" t="s">
        <v>5501</v>
      </c>
      <c r="D4817" s="11">
        <v>17329.48</v>
      </c>
      <c r="E4817" s="11">
        <v>17329.48</v>
      </c>
      <c r="F4817" s="3">
        <v>41544</v>
      </c>
      <c r="G4817" s="2" t="s">
        <v>18757</v>
      </c>
      <c r="H4817" s="3">
        <v>43053</v>
      </c>
      <c r="I4817" s="2" t="s">
        <v>19506</v>
      </c>
      <c r="J4817" s="2" t="s">
        <v>13904</v>
      </c>
      <c r="K4817" s="2" t="s">
        <v>19214</v>
      </c>
      <c r="L4817" s="82" t="s">
        <v>19512</v>
      </c>
    </row>
    <row r="4818" spans="1:12" ht="96" customHeight="1" x14ac:dyDescent="0.3">
      <c r="A4818" s="2">
        <v>4814</v>
      </c>
      <c r="B4818" s="66" t="s">
        <v>5498</v>
      </c>
      <c r="C4818" s="66" t="s">
        <v>5502</v>
      </c>
      <c r="D4818" s="11">
        <v>17329.48</v>
      </c>
      <c r="E4818" s="11">
        <v>17329.48</v>
      </c>
      <c r="F4818" s="3">
        <v>41544</v>
      </c>
      <c r="G4818" s="2" t="s">
        <v>18757</v>
      </c>
      <c r="H4818" s="3">
        <v>43053</v>
      </c>
      <c r="I4818" s="2" t="s">
        <v>19506</v>
      </c>
      <c r="J4818" s="2" t="s">
        <v>13904</v>
      </c>
      <c r="K4818" s="2" t="s">
        <v>19214</v>
      </c>
      <c r="L4818" s="82" t="s">
        <v>19512</v>
      </c>
    </row>
    <row r="4819" spans="1:12" ht="96" customHeight="1" x14ac:dyDescent="0.3">
      <c r="A4819" s="2">
        <v>4815</v>
      </c>
      <c r="B4819" s="66" t="s">
        <v>5503</v>
      </c>
      <c r="C4819" s="66" t="s">
        <v>5504</v>
      </c>
      <c r="D4819" s="11">
        <v>15239.7</v>
      </c>
      <c r="E4819" s="11">
        <v>15239.7</v>
      </c>
      <c r="F4819" s="3">
        <v>41544</v>
      </c>
      <c r="G4819" s="2" t="s">
        <v>18757</v>
      </c>
      <c r="H4819" s="3">
        <v>43053</v>
      </c>
      <c r="I4819" s="2" t="s">
        <v>19506</v>
      </c>
      <c r="J4819" s="2" t="s">
        <v>13904</v>
      </c>
      <c r="K4819" s="2" t="s">
        <v>19214</v>
      </c>
      <c r="L4819" s="82" t="s">
        <v>19512</v>
      </c>
    </row>
    <row r="4820" spans="1:12" ht="96" customHeight="1" x14ac:dyDescent="0.3">
      <c r="A4820" s="2">
        <v>4816</v>
      </c>
      <c r="B4820" s="66" t="s">
        <v>5505</v>
      </c>
      <c r="C4820" s="66" t="s">
        <v>5506</v>
      </c>
      <c r="D4820" s="11">
        <v>9650</v>
      </c>
      <c r="E4820" s="11">
        <v>9650</v>
      </c>
      <c r="F4820" s="3">
        <v>41267</v>
      </c>
      <c r="G4820" s="2" t="s">
        <v>18757</v>
      </c>
      <c r="H4820" s="3">
        <v>43053</v>
      </c>
      <c r="I4820" s="2" t="s">
        <v>19506</v>
      </c>
      <c r="J4820" s="2" t="s">
        <v>13904</v>
      </c>
      <c r="K4820" s="2" t="s">
        <v>19214</v>
      </c>
      <c r="L4820" s="82" t="s">
        <v>19512</v>
      </c>
    </row>
    <row r="4821" spans="1:12" ht="96" customHeight="1" x14ac:dyDescent="0.3">
      <c r="A4821" s="2">
        <v>4817</v>
      </c>
      <c r="B4821" s="66" t="s">
        <v>5507</v>
      </c>
      <c r="C4821" s="66" t="s">
        <v>3638</v>
      </c>
      <c r="D4821" s="11">
        <v>5773</v>
      </c>
      <c r="E4821" s="11">
        <v>5773</v>
      </c>
      <c r="F4821" s="3">
        <v>41219</v>
      </c>
      <c r="G4821" s="2" t="s">
        <v>18757</v>
      </c>
      <c r="H4821" s="3">
        <v>43053</v>
      </c>
      <c r="I4821" s="2" t="s">
        <v>19506</v>
      </c>
      <c r="J4821" s="2" t="s">
        <v>13904</v>
      </c>
      <c r="K4821" s="2" t="s">
        <v>19214</v>
      </c>
      <c r="L4821" s="82" t="s">
        <v>19512</v>
      </c>
    </row>
    <row r="4822" spans="1:12" ht="96" customHeight="1" x14ac:dyDescent="0.3">
      <c r="A4822" s="2">
        <v>4818</v>
      </c>
      <c r="B4822" s="66" t="s">
        <v>5494</v>
      </c>
      <c r="C4822" s="66" t="s">
        <v>5508</v>
      </c>
      <c r="D4822" s="11">
        <v>4641.21</v>
      </c>
      <c r="E4822" s="11">
        <v>4641.21</v>
      </c>
      <c r="F4822" s="3">
        <v>37297</v>
      </c>
      <c r="G4822" s="2" t="s">
        <v>18757</v>
      </c>
      <c r="H4822" s="3">
        <v>43053</v>
      </c>
      <c r="I4822" s="2" t="s">
        <v>19506</v>
      </c>
      <c r="J4822" s="2" t="s">
        <v>13904</v>
      </c>
      <c r="K4822" s="2" t="s">
        <v>19214</v>
      </c>
      <c r="L4822" s="82" t="s">
        <v>19512</v>
      </c>
    </row>
    <row r="4823" spans="1:12" ht="96" customHeight="1" x14ac:dyDescent="0.3">
      <c r="A4823" s="2">
        <v>4819</v>
      </c>
      <c r="B4823" s="66" t="s">
        <v>5509</v>
      </c>
      <c r="C4823" s="66" t="s">
        <v>3146</v>
      </c>
      <c r="D4823" s="11">
        <v>19880</v>
      </c>
      <c r="E4823" s="11">
        <v>19880</v>
      </c>
      <c r="F4823" s="3">
        <v>41850</v>
      </c>
      <c r="G4823" s="2" t="s">
        <v>18757</v>
      </c>
      <c r="H4823" s="3">
        <v>43053</v>
      </c>
      <c r="I4823" s="2" t="s">
        <v>19506</v>
      </c>
      <c r="J4823" s="2" t="s">
        <v>13904</v>
      </c>
      <c r="K4823" s="2" t="s">
        <v>19214</v>
      </c>
      <c r="L4823" s="82" t="s">
        <v>19512</v>
      </c>
    </row>
    <row r="4824" spans="1:12" ht="96" customHeight="1" x14ac:dyDescent="0.3">
      <c r="A4824" s="2">
        <v>4820</v>
      </c>
      <c r="B4824" s="66" t="s">
        <v>5510</v>
      </c>
      <c r="C4824" s="66" t="s">
        <v>3145</v>
      </c>
      <c r="D4824" s="11">
        <v>15250</v>
      </c>
      <c r="E4824" s="11">
        <v>15250</v>
      </c>
      <c r="F4824" s="3">
        <v>41850</v>
      </c>
      <c r="G4824" s="2" t="s">
        <v>18757</v>
      </c>
      <c r="H4824" s="3">
        <v>43053</v>
      </c>
      <c r="I4824" s="2" t="s">
        <v>19506</v>
      </c>
      <c r="J4824" s="2" t="s">
        <v>13904</v>
      </c>
      <c r="K4824" s="2" t="s">
        <v>19214</v>
      </c>
      <c r="L4824" s="82" t="s">
        <v>19512</v>
      </c>
    </row>
    <row r="4825" spans="1:12" ht="96" customHeight="1" x14ac:dyDescent="0.3">
      <c r="A4825" s="2">
        <v>4821</v>
      </c>
      <c r="B4825" s="66" t="s">
        <v>5511</v>
      </c>
      <c r="C4825" s="66" t="s">
        <v>5512</v>
      </c>
      <c r="D4825" s="11">
        <v>5491.38</v>
      </c>
      <c r="E4825" s="11">
        <v>5491.38</v>
      </c>
      <c r="F4825" s="3">
        <v>41617</v>
      </c>
      <c r="G4825" s="2" t="s">
        <v>18757</v>
      </c>
      <c r="H4825" s="3">
        <v>43053</v>
      </c>
      <c r="I4825" s="2" t="s">
        <v>19506</v>
      </c>
      <c r="J4825" s="2" t="s">
        <v>13904</v>
      </c>
      <c r="K4825" s="2" t="s">
        <v>19214</v>
      </c>
      <c r="L4825" s="82" t="s">
        <v>19512</v>
      </c>
    </row>
    <row r="4826" spans="1:12" ht="96" customHeight="1" x14ac:dyDescent="0.3">
      <c r="A4826" s="2">
        <v>4822</v>
      </c>
      <c r="B4826" s="66" t="s">
        <v>5513</v>
      </c>
      <c r="C4826" s="66" t="s">
        <v>5514</v>
      </c>
      <c r="D4826" s="11">
        <v>4000</v>
      </c>
      <c r="E4826" s="11">
        <v>4000</v>
      </c>
      <c r="F4826" s="3">
        <v>39808</v>
      </c>
      <c r="G4826" s="2" t="s">
        <v>18757</v>
      </c>
      <c r="H4826" s="3">
        <v>43053</v>
      </c>
      <c r="I4826" s="2" t="s">
        <v>19506</v>
      </c>
      <c r="J4826" s="2" t="s">
        <v>13904</v>
      </c>
      <c r="K4826" s="2" t="s">
        <v>19214</v>
      </c>
      <c r="L4826" s="82" t="s">
        <v>19512</v>
      </c>
    </row>
    <row r="4827" spans="1:12" ht="96" customHeight="1" x14ac:dyDescent="0.3">
      <c r="A4827" s="2">
        <v>4823</v>
      </c>
      <c r="B4827" s="66" t="s">
        <v>5515</v>
      </c>
      <c r="C4827" s="66" t="s">
        <v>5516</v>
      </c>
      <c r="D4827" s="11">
        <v>11535.32</v>
      </c>
      <c r="E4827" s="11">
        <v>11535.32</v>
      </c>
      <c r="F4827" s="3">
        <v>41615</v>
      </c>
      <c r="G4827" s="2" t="s">
        <v>18757</v>
      </c>
      <c r="H4827" s="3">
        <v>43053</v>
      </c>
      <c r="I4827" s="2" t="s">
        <v>19506</v>
      </c>
      <c r="J4827" s="2" t="s">
        <v>13904</v>
      </c>
      <c r="K4827" s="2" t="s">
        <v>19214</v>
      </c>
      <c r="L4827" s="82" t="s">
        <v>19512</v>
      </c>
    </row>
    <row r="4828" spans="1:12" ht="96" customHeight="1" x14ac:dyDescent="0.3">
      <c r="A4828" s="2">
        <v>4824</v>
      </c>
      <c r="B4828" s="66" t="s">
        <v>5515</v>
      </c>
      <c r="C4828" s="66" t="s">
        <v>5517</v>
      </c>
      <c r="D4828" s="11">
        <v>11535.32</v>
      </c>
      <c r="E4828" s="11">
        <v>11535.32</v>
      </c>
      <c r="F4828" s="3">
        <v>41615</v>
      </c>
      <c r="G4828" s="2" t="s">
        <v>18757</v>
      </c>
      <c r="H4828" s="3">
        <v>43053</v>
      </c>
      <c r="I4828" s="2" t="s">
        <v>19506</v>
      </c>
      <c r="J4828" s="2" t="s">
        <v>13904</v>
      </c>
      <c r="K4828" s="2" t="s">
        <v>19214</v>
      </c>
      <c r="L4828" s="82" t="s">
        <v>19512</v>
      </c>
    </row>
    <row r="4829" spans="1:12" ht="96" customHeight="1" x14ac:dyDescent="0.3">
      <c r="A4829" s="2">
        <v>4825</v>
      </c>
      <c r="B4829" s="66" t="s">
        <v>5515</v>
      </c>
      <c r="C4829" s="66" t="s">
        <v>5518</v>
      </c>
      <c r="D4829" s="11">
        <v>11535.32</v>
      </c>
      <c r="E4829" s="11">
        <v>11535.32</v>
      </c>
      <c r="F4829" s="3">
        <v>41615</v>
      </c>
      <c r="G4829" s="2" t="s">
        <v>18757</v>
      </c>
      <c r="H4829" s="3">
        <v>43053</v>
      </c>
      <c r="I4829" s="2" t="s">
        <v>19506</v>
      </c>
      <c r="J4829" s="2" t="s">
        <v>13904</v>
      </c>
      <c r="K4829" s="2" t="s">
        <v>19214</v>
      </c>
      <c r="L4829" s="82" t="s">
        <v>19512</v>
      </c>
    </row>
    <row r="4830" spans="1:12" ht="96" customHeight="1" x14ac:dyDescent="0.3">
      <c r="A4830" s="2">
        <v>4826</v>
      </c>
      <c r="B4830" s="66" t="s">
        <v>5515</v>
      </c>
      <c r="C4830" s="66" t="s">
        <v>5519</v>
      </c>
      <c r="D4830" s="11">
        <v>11535.32</v>
      </c>
      <c r="E4830" s="11">
        <v>11535.32</v>
      </c>
      <c r="F4830" s="3">
        <v>41615</v>
      </c>
      <c r="G4830" s="2" t="s">
        <v>18757</v>
      </c>
      <c r="H4830" s="3">
        <v>43053</v>
      </c>
      <c r="I4830" s="2" t="s">
        <v>19506</v>
      </c>
      <c r="J4830" s="2" t="s">
        <v>13904</v>
      </c>
      <c r="K4830" s="2" t="s">
        <v>19214</v>
      </c>
      <c r="L4830" s="82" t="s">
        <v>19512</v>
      </c>
    </row>
    <row r="4831" spans="1:12" ht="96" customHeight="1" x14ac:dyDescent="0.3">
      <c r="A4831" s="2">
        <v>4827</v>
      </c>
      <c r="B4831" s="66" t="s">
        <v>5515</v>
      </c>
      <c r="C4831" s="66" t="s">
        <v>5520</v>
      </c>
      <c r="D4831" s="11">
        <v>11535.32</v>
      </c>
      <c r="E4831" s="11">
        <v>11535.32</v>
      </c>
      <c r="F4831" s="3">
        <v>41615</v>
      </c>
      <c r="G4831" s="2" t="s">
        <v>18757</v>
      </c>
      <c r="H4831" s="3">
        <v>43053</v>
      </c>
      <c r="I4831" s="2" t="s">
        <v>19506</v>
      </c>
      <c r="J4831" s="2" t="s">
        <v>13904</v>
      </c>
      <c r="K4831" s="2" t="s">
        <v>19214</v>
      </c>
      <c r="L4831" s="82" t="s">
        <v>19512</v>
      </c>
    </row>
    <row r="4832" spans="1:12" ht="96" customHeight="1" x14ac:dyDescent="0.3">
      <c r="A4832" s="2">
        <v>4828</v>
      </c>
      <c r="B4832" s="66" t="s">
        <v>5521</v>
      </c>
      <c r="C4832" s="66" t="s">
        <v>5522</v>
      </c>
      <c r="D4832" s="11">
        <v>16645.72</v>
      </c>
      <c r="E4832" s="11">
        <v>16645.72</v>
      </c>
      <c r="F4832" s="3">
        <v>41615</v>
      </c>
      <c r="G4832" s="2" t="s">
        <v>18757</v>
      </c>
      <c r="H4832" s="3">
        <v>43053</v>
      </c>
      <c r="I4832" s="2" t="s">
        <v>19506</v>
      </c>
      <c r="J4832" s="2" t="s">
        <v>13904</v>
      </c>
      <c r="K4832" s="2" t="s">
        <v>19214</v>
      </c>
      <c r="L4832" s="82" t="s">
        <v>19512</v>
      </c>
    </row>
    <row r="4833" spans="1:12" ht="96" customHeight="1" x14ac:dyDescent="0.3">
      <c r="A4833" s="2">
        <v>4829</v>
      </c>
      <c r="B4833" s="66" t="s">
        <v>5523</v>
      </c>
      <c r="C4833" s="66" t="s">
        <v>5524</v>
      </c>
      <c r="D4833" s="11">
        <v>8857.0400000000009</v>
      </c>
      <c r="E4833" s="11">
        <v>8857.0400000000009</v>
      </c>
      <c r="F4833" s="3">
        <v>41615</v>
      </c>
      <c r="G4833" s="2" t="s">
        <v>18757</v>
      </c>
      <c r="H4833" s="3">
        <v>43053</v>
      </c>
      <c r="I4833" s="2" t="s">
        <v>19506</v>
      </c>
      <c r="J4833" s="2" t="s">
        <v>13904</v>
      </c>
      <c r="K4833" s="2" t="s">
        <v>19214</v>
      </c>
      <c r="L4833" s="82" t="s">
        <v>19512</v>
      </c>
    </row>
    <row r="4834" spans="1:12" ht="96" customHeight="1" x14ac:dyDescent="0.3">
      <c r="A4834" s="2">
        <v>4830</v>
      </c>
      <c r="B4834" s="66" t="s">
        <v>5523</v>
      </c>
      <c r="C4834" s="66" t="s">
        <v>5525</v>
      </c>
      <c r="D4834" s="11">
        <v>8857.0400000000009</v>
      </c>
      <c r="E4834" s="11">
        <v>8857.0400000000009</v>
      </c>
      <c r="F4834" s="3">
        <v>41615</v>
      </c>
      <c r="G4834" s="2" t="s">
        <v>18757</v>
      </c>
      <c r="H4834" s="3">
        <v>43053</v>
      </c>
      <c r="I4834" s="2" t="s">
        <v>19506</v>
      </c>
      <c r="J4834" s="2" t="s">
        <v>13904</v>
      </c>
      <c r="K4834" s="2" t="s">
        <v>19214</v>
      </c>
      <c r="L4834" s="82" t="s">
        <v>19512</v>
      </c>
    </row>
    <row r="4835" spans="1:12" ht="96" customHeight="1" x14ac:dyDescent="0.3">
      <c r="A4835" s="2">
        <v>4831</v>
      </c>
      <c r="B4835" s="66" t="s">
        <v>5523</v>
      </c>
      <c r="C4835" s="66" t="s">
        <v>5526</v>
      </c>
      <c r="D4835" s="11">
        <v>8857.0400000000009</v>
      </c>
      <c r="E4835" s="11">
        <v>8857.0400000000009</v>
      </c>
      <c r="F4835" s="3">
        <v>41615</v>
      </c>
      <c r="G4835" s="2" t="s">
        <v>18757</v>
      </c>
      <c r="H4835" s="3">
        <v>43053</v>
      </c>
      <c r="I4835" s="2" t="s">
        <v>19506</v>
      </c>
      <c r="J4835" s="2" t="s">
        <v>13904</v>
      </c>
      <c r="K4835" s="2" t="s">
        <v>19214</v>
      </c>
      <c r="L4835" s="82" t="s">
        <v>19512</v>
      </c>
    </row>
    <row r="4836" spans="1:12" ht="96" customHeight="1" x14ac:dyDescent="0.3">
      <c r="A4836" s="2">
        <v>4832</v>
      </c>
      <c r="B4836" s="66" t="s">
        <v>5523</v>
      </c>
      <c r="C4836" s="66" t="s">
        <v>5527</v>
      </c>
      <c r="D4836" s="11">
        <v>8857.0400000000009</v>
      </c>
      <c r="E4836" s="11">
        <v>8857.0400000000009</v>
      </c>
      <c r="F4836" s="3">
        <v>41615</v>
      </c>
      <c r="G4836" s="2" t="s">
        <v>18757</v>
      </c>
      <c r="H4836" s="3">
        <v>43053</v>
      </c>
      <c r="I4836" s="2" t="s">
        <v>19506</v>
      </c>
      <c r="J4836" s="2" t="s">
        <v>13904</v>
      </c>
      <c r="K4836" s="2" t="s">
        <v>19214</v>
      </c>
      <c r="L4836" s="82" t="s">
        <v>19512</v>
      </c>
    </row>
    <row r="4837" spans="1:12" ht="96" customHeight="1" x14ac:dyDescent="0.3">
      <c r="A4837" s="2">
        <v>4833</v>
      </c>
      <c r="B4837" s="66" t="s">
        <v>5523</v>
      </c>
      <c r="C4837" s="66" t="s">
        <v>5528</v>
      </c>
      <c r="D4837" s="11">
        <v>8857.0400000000009</v>
      </c>
      <c r="E4837" s="11">
        <v>8857.0400000000009</v>
      </c>
      <c r="F4837" s="3">
        <v>41615</v>
      </c>
      <c r="G4837" s="2" t="s">
        <v>18757</v>
      </c>
      <c r="H4837" s="3">
        <v>43053</v>
      </c>
      <c r="I4837" s="2" t="s">
        <v>19506</v>
      </c>
      <c r="J4837" s="2" t="s">
        <v>13904</v>
      </c>
      <c r="K4837" s="2" t="s">
        <v>19214</v>
      </c>
      <c r="L4837" s="82" t="s">
        <v>19512</v>
      </c>
    </row>
    <row r="4838" spans="1:12" ht="96" customHeight="1" x14ac:dyDescent="0.3">
      <c r="A4838" s="2">
        <v>4834</v>
      </c>
      <c r="B4838" s="66" t="s">
        <v>5523</v>
      </c>
      <c r="C4838" s="66" t="s">
        <v>5529</v>
      </c>
      <c r="D4838" s="11">
        <v>8857.0400000000009</v>
      </c>
      <c r="E4838" s="11">
        <v>8857.0400000000009</v>
      </c>
      <c r="F4838" s="3">
        <v>41615</v>
      </c>
      <c r="G4838" s="2" t="s">
        <v>18757</v>
      </c>
      <c r="H4838" s="3">
        <v>43053</v>
      </c>
      <c r="I4838" s="2" t="s">
        <v>19506</v>
      </c>
      <c r="J4838" s="2" t="s">
        <v>13904</v>
      </c>
      <c r="K4838" s="2" t="s">
        <v>19214</v>
      </c>
      <c r="L4838" s="82" t="s">
        <v>19512</v>
      </c>
    </row>
    <row r="4839" spans="1:12" ht="96" customHeight="1" x14ac:dyDescent="0.3">
      <c r="A4839" s="2">
        <v>4835</v>
      </c>
      <c r="B4839" s="66" t="s">
        <v>5523</v>
      </c>
      <c r="C4839" s="66" t="s">
        <v>5530</v>
      </c>
      <c r="D4839" s="11">
        <v>8857.0400000000009</v>
      </c>
      <c r="E4839" s="11">
        <v>8857.0400000000009</v>
      </c>
      <c r="F4839" s="3">
        <v>41615</v>
      </c>
      <c r="G4839" s="2" t="s">
        <v>18757</v>
      </c>
      <c r="H4839" s="3">
        <v>43053</v>
      </c>
      <c r="I4839" s="2" t="s">
        <v>19506</v>
      </c>
      <c r="J4839" s="2" t="s">
        <v>13904</v>
      </c>
      <c r="K4839" s="2" t="s">
        <v>19214</v>
      </c>
      <c r="L4839" s="82" t="s">
        <v>19512</v>
      </c>
    </row>
    <row r="4840" spans="1:12" ht="96" customHeight="1" x14ac:dyDescent="0.3">
      <c r="A4840" s="2">
        <v>4836</v>
      </c>
      <c r="B4840" s="66" t="s">
        <v>5523</v>
      </c>
      <c r="C4840" s="66" t="s">
        <v>5531</v>
      </c>
      <c r="D4840" s="11">
        <v>8857.0400000000009</v>
      </c>
      <c r="E4840" s="11">
        <v>8857.0400000000009</v>
      </c>
      <c r="F4840" s="3">
        <v>41615</v>
      </c>
      <c r="G4840" s="2" t="s">
        <v>18757</v>
      </c>
      <c r="H4840" s="3">
        <v>43053</v>
      </c>
      <c r="I4840" s="2" t="s">
        <v>19506</v>
      </c>
      <c r="J4840" s="2" t="s">
        <v>13904</v>
      </c>
      <c r="K4840" s="2" t="s">
        <v>19214</v>
      </c>
      <c r="L4840" s="82" t="s">
        <v>19512</v>
      </c>
    </row>
    <row r="4841" spans="1:12" ht="96" customHeight="1" x14ac:dyDescent="0.3">
      <c r="A4841" s="2">
        <v>4837</v>
      </c>
      <c r="B4841" s="66" t="s">
        <v>5523</v>
      </c>
      <c r="C4841" s="66" t="s">
        <v>5532</v>
      </c>
      <c r="D4841" s="11">
        <v>8857.0400000000009</v>
      </c>
      <c r="E4841" s="11">
        <v>8857.0400000000009</v>
      </c>
      <c r="F4841" s="3">
        <v>41615</v>
      </c>
      <c r="G4841" s="2" t="s">
        <v>18757</v>
      </c>
      <c r="H4841" s="3">
        <v>43053</v>
      </c>
      <c r="I4841" s="2" t="s">
        <v>19506</v>
      </c>
      <c r="J4841" s="2" t="s">
        <v>13904</v>
      </c>
      <c r="K4841" s="2" t="s">
        <v>19214</v>
      </c>
      <c r="L4841" s="82" t="s">
        <v>19512</v>
      </c>
    </row>
    <row r="4842" spans="1:12" ht="96" customHeight="1" x14ac:dyDescent="0.3">
      <c r="A4842" s="2">
        <v>4838</v>
      </c>
      <c r="B4842" s="66" t="s">
        <v>5523</v>
      </c>
      <c r="C4842" s="66" t="s">
        <v>5533</v>
      </c>
      <c r="D4842" s="11">
        <v>8857.0400000000009</v>
      </c>
      <c r="E4842" s="11">
        <v>8857.0400000000009</v>
      </c>
      <c r="F4842" s="3">
        <v>41615</v>
      </c>
      <c r="G4842" s="2" t="s">
        <v>18757</v>
      </c>
      <c r="H4842" s="3">
        <v>43053</v>
      </c>
      <c r="I4842" s="2" t="s">
        <v>19506</v>
      </c>
      <c r="J4842" s="2" t="s">
        <v>13904</v>
      </c>
      <c r="K4842" s="2" t="s">
        <v>19214</v>
      </c>
      <c r="L4842" s="82" t="s">
        <v>19512</v>
      </c>
    </row>
    <row r="4843" spans="1:12" ht="96" customHeight="1" x14ac:dyDescent="0.3">
      <c r="A4843" s="2">
        <v>4839</v>
      </c>
      <c r="B4843" s="66" t="s">
        <v>5523</v>
      </c>
      <c r="C4843" s="66" t="s">
        <v>5534</v>
      </c>
      <c r="D4843" s="11">
        <v>8857.0400000000009</v>
      </c>
      <c r="E4843" s="11">
        <v>8857.0400000000009</v>
      </c>
      <c r="F4843" s="3">
        <v>41615</v>
      </c>
      <c r="G4843" s="2" t="s">
        <v>18757</v>
      </c>
      <c r="H4843" s="3">
        <v>43053</v>
      </c>
      <c r="I4843" s="2" t="s">
        <v>19506</v>
      </c>
      <c r="J4843" s="2" t="s">
        <v>13904</v>
      </c>
      <c r="K4843" s="2" t="s">
        <v>19214</v>
      </c>
      <c r="L4843" s="82" t="s">
        <v>19512</v>
      </c>
    </row>
    <row r="4844" spans="1:12" ht="96" customHeight="1" x14ac:dyDescent="0.3">
      <c r="A4844" s="2">
        <v>4840</v>
      </c>
      <c r="B4844" s="66" t="s">
        <v>5523</v>
      </c>
      <c r="C4844" s="66" t="s">
        <v>5535</v>
      </c>
      <c r="D4844" s="11">
        <v>8857.0400000000009</v>
      </c>
      <c r="E4844" s="11">
        <v>8857.0400000000009</v>
      </c>
      <c r="F4844" s="3">
        <v>41615</v>
      </c>
      <c r="G4844" s="2" t="s">
        <v>18757</v>
      </c>
      <c r="H4844" s="3">
        <v>43053</v>
      </c>
      <c r="I4844" s="2" t="s">
        <v>19506</v>
      </c>
      <c r="J4844" s="2" t="s">
        <v>13904</v>
      </c>
      <c r="K4844" s="2" t="s">
        <v>19214</v>
      </c>
      <c r="L4844" s="82" t="s">
        <v>19512</v>
      </c>
    </row>
    <row r="4845" spans="1:12" ht="96" customHeight="1" x14ac:dyDescent="0.3">
      <c r="A4845" s="2">
        <v>4841</v>
      </c>
      <c r="B4845" s="66" t="s">
        <v>5523</v>
      </c>
      <c r="C4845" s="66" t="s">
        <v>5536</v>
      </c>
      <c r="D4845" s="11">
        <v>8857.0400000000009</v>
      </c>
      <c r="E4845" s="11">
        <v>8857.0400000000009</v>
      </c>
      <c r="F4845" s="3">
        <v>41615</v>
      </c>
      <c r="G4845" s="2" t="s">
        <v>18757</v>
      </c>
      <c r="H4845" s="3">
        <v>43053</v>
      </c>
      <c r="I4845" s="2" t="s">
        <v>19506</v>
      </c>
      <c r="J4845" s="2" t="s">
        <v>13904</v>
      </c>
      <c r="K4845" s="2" t="s">
        <v>19214</v>
      </c>
      <c r="L4845" s="82" t="s">
        <v>19512</v>
      </c>
    </row>
    <row r="4846" spans="1:12" ht="96" customHeight="1" x14ac:dyDescent="0.3">
      <c r="A4846" s="2">
        <v>4842</v>
      </c>
      <c r="B4846" s="66" t="s">
        <v>5523</v>
      </c>
      <c r="C4846" s="66" t="s">
        <v>5537</v>
      </c>
      <c r="D4846" s="11">
        <v>8857.0400000000009</v>
      </c>
      <c r="E4846" s="11">
        <v>8857.0400000000009</v>
      </c>
      <c r="F4846" s="3">
        <v>41615</v>
      </c>
      <c r="G4846" s="2" t="s">
        <v>18757</v>
      </c>
      <c r="H4846" s="3">
        <v>43053</v>
      </c>
      <c r="I4846" s="2" t="s">
        <v>19506</v>
      </c>
      <c r="J4846" s="2" t="s">
        <v>13904</v>
      </c>
      <c r="K4846" s="2" t="s">
        <v>19214</v>
      </c>
      <c r="L4846" s="82" t="s">
        <v>19512</v>
      </c>
    </row>
    <row r="4847" spans="1:12" ht="96" customHeight="1" x14ac:dyDescent="0.3">
      <c r="A4847" s="2">
        <v>4843</v>
      </c>
      <c r="B4847" s="66" t="s">
        <v>5523</v>
      </c>
      <c r="C4847" s="66" t="s">
        <v>5538</v>
      </c>
      <c r="D4847" s="11">
        <v>8857.0400000000009</v>
      </c>
      <c r="E4847" s="11">
        <v>8857.0400000000009</v>
      </c>
      <c r="F4847" s="3">
        <v>41615</v>
      </c>
      <c r="G4847" s="2" t="s">
        <v>18757</v>
      </c>
      <c r="H4847" s="3">
        <v>43053</v>
      </c>
      <c r="I4847" s="2" t="s">
        <v>19506</v>
      </c>
      <c r="J4847" s="2" t="s">
        <v>13904</v>
      </c>
      <c r="K4847" s="2" t="s">
        <v>19214</v>
      </c>
      <c r="L4847" s="82" t="s">
        <v>19512</v>
      </c>
    </row>
    <row r="4848" spans="1:12" ht="96" customHeight="1" x14ac:dyDescent="0.3">
      <c r="A4848" s="2">
        <v>4844</v>
      </c>
      <c r="B4848" s="66" t="s">
        <v>5523</v>
      </c>
      <c r="C4848" s="66" t="s">
        <v>5539</v>
      </c>
      <c r="D4848" s="11">
        <v>8857.0400000000009</v>
      </c>
      <c r="E4848" s="11">
        <v>8857.0400000000009</v>
      </c>
      <c r="F4848" s="3">
        <v>41615</v>
      </c>
      <c r="G4848" s="2" t="s">
        <v>18757</v>
      </c>
      <c r="H4848" s="3">
        <v>43053</v>
      </c>
      <c r="I4848" s="2" t="s">
        <v>19506</v>
      </c>
      <c r="J4848" s="2" t="s">
        <v>13904</v>
      </c>
      <c r="K4848" s="2" t="s">
        <v>19214</v>
      </c>
      <c r="L4848" s="82" t="s">
        <v>19512</v>
      </c>
    </row>
    <row r="4849" spans="1:15" ht="96" customHeight="1" x14ac:dyDescent="0.3">
      <c r="A4849" s="2">
        <v>4845</v>
      </c>
      <c r="B4849" s="66" t="s">
        <v>5523</v>
      </c>
      <c r="C4849" s="66" t="s">
        <v>5540</v>
      </c>
      <c r="D4849" s="11">
        <v>8857.0400000000009</v>
      </c>
      <c r="E4849" s="11">
        <v>8857.0400000000009</v>
      </c>
      <c r="F4849" s="3">
        <v>41615</v>
      </c>
      <c r="G4849" s="2" t="s">
        <v>18757</v>
      </c>
      <c r="H4849" s="3">
        <v>43053</v>
      </c>
      <c r="I4849" s="2" t="s">
        <v>19506</v>
      </c>
      <c r="J4849" s="2" t="s">
        <v>13904</v>
      </c>
      <c r="K4849" s="2" t="s">
        <v>19214</v>
      </c>
      <c r="L4849" s="82" t="s">
        <v>19512</v>
      </c>
    </row>
    <row r="4850" spans="1:15" ht="96" customHeight="1" x14ac:dyDescent="0.3">
      <c r="A4850" s="2">
        <v>4846</v>
      </c>
      <c r="B4850" s="66" t="s">
        <v>5523</v>
      </c>
      <c r="C4850" s="66" t="s">
        <v>5541</v>
      </c>
      <c r="D4850" s="11">
        <v>8857.0400000000009</v>
      </c>
      <c r="E4850" s="11">
        <v>8857.0400000000009</v>
      </c>
      <c r="F4850" s="3">
        <v>41615</v>
      </c>
      <c r="G4850" s="2" t="s">
        <v>18757</v>
      </c>
      <c r="H4850" s="3">
        <v>43053</v>
      </c>
      <c r="I4850" s="2" t="s">
        <v>19506</v>
      </c>
      <c r="J4850" s="2" t="s">
        <v>13904</v>
      </c>
      <c r="K4850" s="2" t="s">
        <v>19214</v>
      </c>
      <c r="L4850" s="82" t="s">
        <v>19512</v>
      </c>
    </row>
    <row r="4851" spans="1:15" ht="96" customHeight="1" x14ac:dyDescent="0.3">
      <c r="A4851" s="2">
        <v>4847</v>
      </c>
      <c r="B4851" s="66" t="s">
        <v>5542</v>
      </c>
      <c r="C4851" s="66" t="s">
        <v>5543</v>
      </c>
      <c r="D4851" s="11">
        <v>9462.89</v>
      </c>
      <c r="E4851" s="11">
        <v>9462.89</v>
      </c>
      <c r="F4851" s="3">
        <v>41613</v>
      </c>
      <c r="G4851" s="2" t="s">
        <v>18757</v>
      </c>
      <c r="H4851" s="3">
        <v>43053</v>
      </c>
      <c r="I4851" s="2" t="s">
        <v>19506</v>
      </c>
      <c r="J4851" s="2" t="s">
        <v>13904</v>
      </c>
      <c r="K4851" s="2" t="s">
        <v>19214</v>
      </c>
      <c r="L4851" s="82" t="s">
        <v>19512</v>
      </c>
    </row>
    <row r="4852" spans="1:15" ht="96" customHeight="1" x14ac:dyDescent="0.3">
      <c r="A4852" s="2">
        <v>4848</v>
      </c>
      <c r="B4852" s="66" t="s">
        <v>4290</v>
      </c>
      <c r="C4852" s="66" t="s">
        <v>5544</v>
      </c>
      <c r="D4852" s="11">
        <v>9462.89</v>
      </c>
      <c r="E4852" s="11">
        <v>9462.89</v>
      </c>
      <c r="F4852" s="3">
        <v>41613</v>
      </c>
      <c r="G4852" s="2" t="s">
        <v>18757</v>
      </c>
      <c r="H4852" s="3">
        <v>43053</v>
      </c>
      <c r="I4852" s="2" t="s">
        <v>19506</v>
      </c>
      <c r="J4852" s="2" t="s">
        <v>13904</v>
      </c>
      <c r="K4852" s="2" t="s">
        <v>19214</v>
      </c>
      <c r="L4852" s="82" t="s">
        <v>19512</v>
      </c>
    </row>
    <row r="4853" spans="1:15" ht="96" customHeight="1" x14ac:dyDescent="0.3">
      <c r="A4853" s="2">
        <v>4849</v>
      </c>
      <c r="B4853" s="66" t="s">
        <v>5545</v>
      </c>
      <c r="C4853" s="66" t="s">
        <v>3333</v>
      </c>
      <c r="D4853" s="11">
        <v>16990</v>
      </c>
      <c r="E4853" s="11">
        <v>16990</v>
      </c>
      <c r="F4853" s="3">
        <v>41800</v>
      </c>
      <c r="G4853" s="2" t="s">
        <v>18757</v>
      </c>
      <c r="H4853" s="3">
        <v>43053</v>
      </c>
      <c r="I4853" s="2" t="s">
        <v>19506</v>
      </c>
      <c r="J4853" s="2" t="s">
        <v>13904</v>
      </c>
      <c r="K4853" s="2" t="s">
        <v>19214</v>
      </c>
      <c r="L4853" s="82" t="s">
        <v>19512</v>
      </c>
    </row>
    <row r="4854" spans="1:15" ht="96" customHeight="1" x14ac:dyDescent="0.3">
      <c r="A4854" s="2">
        <v>4850</v>
      </c>
      <c r="B4854" s="66" t="s">
        <v>5546</v>
      </c>
      <c r="C4854" s="66" t="s">
        <v>5376</v>
      </c>
      <c r="D4854" s="11">
        <v>3568.54</v>
      </c>
      <c r="E4854" s="11">
        <v>3568.54</v>
      </c>
      <c r="F4854" s="3">
        <v>39079</v>
      </c>
      <c r="G4854" s="2" t="s">
        <v>18757</v>
      </c>
      <c r="H4854" s="3">
        <v>43053</v>
      </c>
      <c r="I4854" s="2" t="s">
        <v>19506</v>
      </c>
      <c r="J4854" s="2" t="s">
        <v>13904</v>
      </c>
      <c r="K4854" s="2" t="s">
        <v>19214</v>
      </c>
      <c r="L4854" s="82" t="s">
        <v>19512</v>
      </c>
    </row>
    <row r="4855" spans="1:15" s="19" customFormat="1" ht="96" customHeight="1" x14ac:dyDescent="0.3">
      <c r="A4855" s="2">
        <v>4851</v>
      </c>
      <c r="B4855" s="66" t="s">
        <v>4974</v>
      </c>
      <c r="C4855" s="66" t="s">
        <v>5547</v>
      </c>
      <c r="D4855" s="11">
        <v>139978.79999999999</v>
      </c>
      <c r="E4855" s="11">
        <v>139978.79999999999</v>
      </c>
      <c r="F4855" s="3">
        <v>38729</v>
      </c>
      <c r="G4855" s="2" t="s">
        <v>22205</v>
      </c>
      <c r="H4855" s="2"/>
      <c r="I4855" s="2"/>
      <c r="J4855" s="2" t="s">
        <v>13904</v>
      </c>
      <c r="K4855" s="2" t="s">
        <v>19212</v>
      </c>
      <c r="L4855" s="2" t="s">
        <v>18768</v>
      </c>
      <c r="M4855" s="18"/>
      <c r="N4855" s="18"/>
      <c r="O4855" s="18"/>
    </row>
    <row r="4856" spans="1:15" ht="96" customHeight="1" x14ac:dyDescent="0.3">
      <c r="A4856" s="2">
        <v>4852</v>
      </c>
      <c r="B4856" s="66" t="s">
        <v>5548</v>
      </c>
      <c r="C4856" s="66" t="s">
        <v>5549</v>
      </c>
      <c r="D4856" s="11">
        <v>70867.09</v>
      </c>
      <c r="E4856" s="11">
        <v>70867.09</v>
      </c>
      <c r="F4856" s="3">
        <v>38760</v>
      </c>
      <c r="G4856" s="2" t="s">
        <v>22205</v>
      </c>
      <c r="H4856" s="2"/>
      <c r="I4856" s="2"/>
      <c r="J4856" s="2" t="s">
        <v>13904</v>
      </c>
      <c r="K4856" s="2" t="s">
        <v>19212</v>
      </c>
      <c r="L4856" s="82" t="s">
        <v>18768</v>
      </c>
    </row>
    <row r="4857" spans="1:15" ht="96" customHeight="1" x14ac:dyDescent="0.3">
      <c r="A4857" s="2">
        <v>4853</v>
      </c>
      <c r="B4857" s="66" t="s">
        <v>5550</v>
      </c>
      <c r="C4857" s="66" t="s">
        <v>5551</v>
      </c>
      <c r="D4857" s="11">
        <v>75440</v>
      </c>
      <c r="E4857" s="11">
        <v>75440</v>
      </c>
      <c r="F4857" s="3">
        <v>39741</v>
      </c>
      <c r="G4857" s="2" t="s">
        <v>22205</v>
      </c>
      <c r="H4857" s="2"/>
      <c r="I4857" s="2"/>
      <c r="J4857" s="2" t="s">
        <v>13904</v>
      </c>
      <c r="K4857" s="2" t="s">
        <v>19212</v>
      </c>
      <c r="L4857" s="82" t="s">
        <v>18768</v>
      </c>
    </row>
    <row r="4858" spans="1:15" ht="96" customHeight="1" x14ac:dyDescent="0.3">
      <c r="A4858" s="2">
        <v>4854</v>
      </c>
      <c r="B4858" s="66" t="s">
        <v>1062</v>
      </c>
      <c r="C4858" s="66" t="s">
        <v>4906</v>
      </c>
      <c r="D4858" s="11">
        <v>99765.759999999995</v>
      </c>
      <c r="E4858" s="11">
        <v>58196.63</v>
      </c>
      <c r="F4858" s="3">
        <v>42004</v>
      </c>
      <c r="G4858" s="2"/>
      <c r="H4858" s="2"/>
      <c r="I4858" s="2"/>
      <c r="J4858" s="2" t="s">
        <v>13904</v>
      </c>
      <c r="K4858" s="2" t="s">
        <v>19713</v>
      </c>
      <c r="L4858" s="82" t="s">
        <v>22664</v>
      </c>
    </row>
    <row r="4859" spans="1:15" ht="96" customHeight="1" x14ac:dyDescent="0.3">
      <c r="A4859" s="2">
        <v>4855</v>
      </c>
      <c r="B4859" s="66" t="s">
        <v>22204</v>
      </c>
      <c r="C4859" s="66">
        <v>4101240001</v>
      </c>
      <c r="D4859" s="11">
        <v>50210</v>
      </c>
      <c r="E4859" s="11">
        <v>9205.1299999999992</v>
      </c>
      <c r="F4859" s="3" t="s">
        <v>20110</v>
      </c>
      <c r="G4859" s="2" t="s">
        <v>22206</v>
      </c>
      <c r="H4859" s="3"/>
      <c r="I4859" s="2"/>
      <c r="J4859" s="2" t="s">
        <v>13904</v>
      </c>
      <c r="K4859" s="2" t="s">
        <v>22203</v>
      </c>
      <c r="L4859" s="82" t="s">
        <v>22998</v>
      </c>
    </row>
    <row r="4860" spans="1:15" ht="96" customHeight="1" x14ac:dyDescent="0.3">
      <c r="A4860" s="2">
        <v>4856</v>
      </c>
      <c r="B4860" s="66" t="s">
        <v>4976</v>
      </c>
      <c r="C4860" s="66" t="s">
        <v>4977</v>
      </c>
      <c r="D4860" s="11">
        <v>56620</v>
      </c>
      <c r="E4860" s="11">
        <v>33028.449999999997</v>
      </c>
      <c r="F4860" s="3">
        <v>41619</v>
      </c>
      <c r="G4860" s="2" t="s">
        <v>22205</v>
      </c>
      <c r="H4860" s="2"/>
      <c r="I4860" s="2"/>
      <c r="J4860" s="2" t="s">
        <v>13904</v>
      </c>
      <c r="K4860" s="2" t="s">
        <v>19212</v>
      </c>
      <c r="L4860" s="82" t="s">
        <v>18768</v>
      </c>
    </row>
    <row r="4861" spans="1:15" ht="96" customHeight="1" x14ac:dyDescent="0.3">
      <c r="A4861" s="2">
        <v>4857</v>
      </c>
      <c r="B4861" s="66" t="s">
        <v>4978</v>
      </c>
      <c r="C4861" s="66" t="s">
        <v>4979</v>
      </c>
      <c r="D4861" s="11">
        <v>50500</v>
      </c>
      <c r="E4861" s="11">
        <v>14729.05</v>
      </c>
      <c r="F4861" s="3">
        <v>41619</v>
      </c>
      <c r="G4861" s="2" t="s">
        <v>22205</v>
      </c>
      <c r="H4861" s="2"/>
      <c r="I4861" s="2"/>
      <c r="J4861" s="2" t="s">
        <v>13904</v>
      </c>
      <c r="K4861" s="2" t="s">
        <v>19212</v>
      </c>
      <c r="L4861" s="82" t="s">
        <v>18768</v>
      </c>
    </row>
    <row r="4862" spans="1:15" ht="96" customHeight="1" x14ac:dyDescent="0.3">
      <c r="A4862" s="2">
        <v>4858</v>
      </c>
      <c r="B4862" s="66" t="s">
        <v>4980</v>
      </c>
      <c r="C4862" s="66" t="s">
        <v>4981</v>
      </c>
      <c r="D4862" s="11">
        <v>62900</v>
      </c>
      <c r="E4862" s="11">
        <v>36691.550000000003</v>
      </c>
      <c r="F4862" s="3">
        <v>41619</v>
      </c>
      <c r="G4862" s="2" t="s">
        <v>22205</v>
      </c>
      <c r="H4862" s="2"/>
      <c r="I4862" s="2"/>
      <c r="J4862" s="2" t="s">
        <v>13904</v>
      </c>
      <c r="K4862" s="2" t="s">
        <v>19212</v>
      </c>
      <c r="L4862" s="82" t="s">
        <v>18768</v>
      </c>
    </row>
    <row r="4863" spans="1:15" ht="96" customHeight="1" x14ac:dyDescent="0.3">
      <c r="A4863" s="2">
        <v>4859</v>
      </c>
      <c r="B4863" s="66" t="s">
        <v>23242</v>
      </c>
      <c r="C4863" s="66">
        <v>4101240002</v>
      </c>
      <c r="D4863" s="11">
        <v>2077758.46</v>
      </c>
      <c r="E4863" s="11"/>
      <c r="F4863" s="3" t="s">
        <v>23243</v>
      </c>
      <c r="G4863" s="2" t="s">
        <v>23244</v>
      </c>
      <c r="H4863" s="3"/>
      <c r="I4863" s="2"/>
      <c r="J4863" s="242" t="s">
        <v>13904</v>
      </c>
      <c r="K4863" s="2" t="s">
        <v>23245</v>
      </c>
      <c r="L4863" s="246" t="s">
        <v>23246</v>
      </c>
    </row>
    <row r="4864" spans="1:15" ht="96" customHeight="1" x14ac:dyDescent="0.3">
      <c r="A4864" s="2">
        <v>4860</v>
      </c>
      <c r="B4864" s="66" t="s">
        <v>5553</v>
      </c>
      <c r="C4864" s="66"/>
      <c r="D4864" s="11">
        <v>108686.87</v>
      </c>
      <c r="E4864" s="11">
        <v>108686.87</v>
      </c>
      <c r="F4864" s="3">
        <v>41898</v>
      </c>
      <c r="G4864" s="2"/>
      <c r="H4864" s="3">
        <v>43053</v>
      </c>
      <c r="I4864" s="2" t="s">
        <v>19506</v>
      </c>
      <c r="J4864" s="2" t="s">
        <v>13904</v>
      </c>
      <c r="K4864" s="2" t="s">
        <v>19212</v>
      </c>
      <c r="L4864" s="82" t="s">
        <v>19512</v>
      </c>
    </row>
    <row r="4865" spans="1:12" ht="96" customHeight="1" x14ac:dyDescent="0.3">
      <c r="A4865" s="2">
        <v>4861</v>
      </c>
      <c r="B4865" s="66" t="s">
        <v>4547</v>
      </c>
      <c r="C4865" s="66"/>
      <c r="D4865" s="11">
        <v>20676.62</v>
      </c>
      <c r="E4865" s="11">
        <v>20676.62</v>
      </c>
      <c r="F4865" s="3">
        <v>40459</v>
      </c>
      <c r="G4865" s="2"/>
      <c r="H4865" s="3">
        <v>42755</v>
      </c>
      <c r="I4865" s="2" t="s">
        <v>18738</v>
      </c>
      <c r="J4865" s="2" t="s">
        <v>13904</v>
      </c>
      <c r="K4865" s="2"/>
      <c r="L4865" s="82"/>
    </row>
    <row r="4866" spans="1:12" ht="96" customHeight="1" x14ac:dyDescent="0.3">
      <c r="A4866" s="2">
        <v>4862</v>
      </c>
      <c r="B4866" s="66" t="s">
        <v>4548</v>
      </c>
      <c r="C4866" s="66"/>
      <c r="D4866" s="11">
        <v>29989.06</v>
      </c>
      <c r="E4866" s="11">
        <v>29989.06</v>
      </c>
      <c r="F4866" s="3">
        <v>40877</v>
      </c>
      <c r="G4866" s="2"/>
      <c r="H4866" s="3">
        <v>42755</v>
      </c>
      <c r="I4866" s="2" t="s">
        <v>18738</v>
      </c>
      <c r="J4866" s="2" t="s">
        <v>13904</v>
      </c>
      <c r="K4866" s="2"/>
      <c r="L4866" s="82"/>
    </row>
    <row r="4867" spans="1:12" ht="96" customHeight="1" x14ac:dyDescent="0.3">
      <c r="A4867" s="2">
        <v>4863</v>
      </c>
      <c r="B4867" s="66" t="s">
        <v>4551</v>
      </c>
      <c r="C4867" s="66"/>
      <c r="D4867" s="11">
        <v>56705.95</v>
      </c>
      <c r="E4867" s="11">
        <v>56705.95</v>
      </c>
      <c r="F4867" s="3">
        <v>41180</v>
      </c>
      <c r="G4867" s="2"/>
      <c r="H4867" s="3">
        <v>43053</v>
      </c>
      <c r="I4867" s="2" t="s">
        <v>19506</v>
      </c>
      <c r="J4867" s="2" t="s">
        <v>13904</v>
      </c>
      <c r="K4867" s="2" t="s">
        <v>19212</v>
      </c>
      <c r="L4867" s="82" t="s">
        <v>19512</v>
      </c>
    </row>
    <row r="4868" spans="1:12" ht="96" customHeight="1" x14ac:dyDescent="0.3">
      <c r="A4868" s="2">
        <v>4864</v>
      </c>
      <c r="B4868" s="66" t="s">
        <v>4552</v>
      </c>
      <c r="C4868" s="66"/>
      <c r="D4868" s="11">
        <v>86966.65</v>
      </c>
      <c r="E4868" s="11">
        <v>86966.65</v>
      </c>
      <c r="F4868" s="3">
        <v>41547</v>
      </c>
      <c r="G4868" s="2"/>
      <c r="H4868" s="3">
        <v>43053</v>
      </c>
      <c r="I4868" s="2" t="s">
        <v>19506</v>
      </c>
      <c r="J4868" s="2" t="s">
        <v>13904</v>
      </c>
      <c r="K4868" s="2" t="s">
        <v>19212</v>
      </c>
      <c r="L4868" s="82" t="s">
        <v>19512</v>
      </c>
    </row>
    <row r="4869" spans="1:12" ht="84" customHeight="1" x14ac:dyDescent="0.3">
      <c r="A4869" s="2">
        <v>4865</v>
      </c>
      <c r="B4869" s="66" t="s">
        <v>5554</v>
      </c>
      <c r="C4869" s="66"/>
      <c r="D4869" s="11">
        <v>5694</v>
      </c>
      <c r="E4869" s="11">
        <v>5694</v>
      </c>
      <c r="F4869" s="3">
        <v>42173</v>
      </c>
      <c r="G4869" s="2"/>
      <c r="H4869" s="3">
        <v>43053</v>
      </c>
      <c r="I4869" s="2" t="s">
        <v>19506</v>
      </c>
      <c r="J4869" s="2" t="s">
        <v>13904</v>
      </c>
      <c r="K4869" s="2"/>
      <c r="L4869" s="82" t="s">
        <v>19512</v>
      </c>
    </row>
    <row r="4870" spans="1:12" ht="96" customHeight="1" x14ac:dyDescent="0.3">
      <c r="A4870" s="2">
        <v>4866</v>
      </c>
      <c r="B4870" s="66" t="s">
        <v>4553</v>
      </c>
      <c r="C4870" s="66"/>
      <c r="D4870" s="11">
        <v>5554.87</v>
      </c>
      <c r="E4870" s="11">
        <v>5554.87</v>
      </c>
      <c r="F4870" s="3">
        <v>41243</v>
      </c>
      <c r="G4870" s="2"/>
      <c r="H4870" s="3">
        <v>43053</v>
      </c>
      <c r="I4870" s="2" t="s">
        <v>19506</v>
      </c>
      <c r="J4870" s="2" t="s">
        <v>13904</v>
      </c>
      <c r="K4870" s="2" t="s">
        <v>19212</v>
      </c>
      <c r="L4870" s="82" t="s">
        <v>19512</v>
      </c>
    </row>
    <row r="4871" spans="1:12" ht="96" customHeight="1" x14ac:dyDescent="0.3">
      <c r="A4871" s="2">
        <v>4867</v>
      </c>
      <c r="B4871" s="66" t="s">
        <v>4554</v>
      </c>
      <c r="C4871" s="66" t="s">
        <v>5555</v>
      </c>
      <c r="D4871" s="11">
        <v>3980</v>
      </c>
      <c r="E4871" s="11">
        <v>3980</v>
      </c>
      <c r="F4871" s="3">
        <v>41365</v>
      </c>
      <c r="G4871" s="2"/>
      <c r="H4871" s="3">
        <v>43053</v>
      </c>
      <c r="I4871" s="2" t="s">
        <v>19506</v>
      </c>
      <c r="J4871" s="2" t="s">
        <v>13904</v>
      </c>
      <c r="K4871" s="2" t="s">
        <v>19212</v>
      </c>
      <c r="L4871" s="82" t="s">
        <v>19512</v>
      </c>
    </row>
    <row r="4872" spans="1:12" ht="96" customHeight="1" x14ac:dyDescent="0.3">
      <c r="A4872" s="2">
        <v>4868</v>
      </c>
      <c r="B4872" s="66" t="s">
        <v>5556</v>
      </c>
      <c r="C4872" s="66" t="s">
        <v>4840</v>
      </c>
      <c r="D4872" s="11">
        <v>22900</v>
      </c>
      <c r="E4872" s="11">
        <v>22900</v>
      </c>
      <c r="F4872" s="3"/>
      <c r="G4872" s="2"/>
      <c r="H4872" s="3">
        <v>43053</v>
      </c>
      <c r="I4872" s="2" t="s">
        <v>19506</v>
      </c>
      <c r="J4872" s="2" t="s">
        <v>13904</v>
      </c>
      <c r="K4872" s="2" t="s">
        <v>19212</v>
      </c>
      <c r="L4872" s="82" t="s">
        <v>19512</v>
      </c>
    </row>
    <row r="4873" spans="1:12" ht="96" customHeight="1" x14ac:dyDescent="0.3">
      <c r="A4873" s="2">
        <v>4869</v>
      </c>
      <c r="B4873" s="66" t="s">
        <v>4556</v>
      </c>
      <c r="C4873" s="66" t="s">
        <v>4987</v>
      </c>
      <c r="D4873" s="11">
        <v>4545</v>
      </c>
      <c r="E4873" s="11">
        <v>4545</v>
      </c>
      <c r="F4873" s="3">
        <v>41736</v>
      </c>
      <c r="G4873" s="2"/>
      <c r="H4873" s="3">
        <v>43053</v>
      </c>
      <c r="I4873" s="2" t="s">
        <v>19506</v>
      </c>
      <c r="J4873" s="2" t="s">
        <v>13904</v>
      </c>
      <c r="K4873" s="2" t="s">
        <v>19212</v>
      </c>
      <c r="L4873" s="82" t="s">
        <v>19512</v>
      </c>
    </row>
    <row r="4874" spans="1:12" ht="96" customHeight="1" x14ac:dyDescent="0.3">
      <c r="A4874" s="2">
        <v>4870</v>
      </c>
      <c r="B4874" s="66" t="s">
        <v>5557</v>
      </c>
      <c r="C4874" s="66" t="s">
        <v>4738</v>
      </c>
      <c r="D4874" s="11">
        <v>7100</v>
      </c>
      <c r="E4874" s="11">
        <v>7100</v>
      </c>
      <c r="F4874" s="3">
        <v>41516</v>
      </c>
      <c r="G4874" s="2"/>
      <c r="H4874" s="3">
        <v>43053</v>
      </c>
      <c r="I4874" s="2" t="s">
        <v>19506</v>
      </c>
      <c r="J4874" s="2" t="s">
        <v>13904</v>
      </c>
      <c r="K4874" s="2" t="s">
        <v>19212</v>
      </c>
      <c r="L4874" s="82" t="s">
        <v>19512</v>
      </c>
    </row>
    <row r="4875" spans="1:12" ht="96" customHeight="1" x14ac:dyDescent="0.3">
      <c r="A4875" s="2">
        <v>4871</v>
      </c>
      <c r="B4875" s="66" t="s">
        <v>5558</v>
      </c>
      <c r="C4875" s="66" t="s">
        <v>5559</v>
      </c>
      <c r="D4875" s="11">
        <v>6268.35</v>
      </c>
      <c r="E4875" s="11">
        <v>6268.35</v>
      </c>
      <c r="F4875" s="3">
        <v>34495</v>
      </c>
      <c r="G4875" s="2"/>
      <c r="H4875" s="3">
        <v>43053</v>
      </c>
      <c r="I4875" s="2" t="s">
        <v>19506</v>
      </c>
      <c r="J4875" s="2" t="s">
        <v>13904</v>
      </c>
      <c r="K4875" s="2" t="s">
        <v>19212</v>
      </c>
      <c r="L4875" s="82" t="s">
        <v>19512</v>
      </c>
    </row>
    <row r="4876" spans="1:12" ht="96" customHeight="1" x14ac:dyDescent="0.3">
      <c r="A4876" s="2">
        <v>4872</v>
      </c>
      <c r="B4876" s="66" t="s">
        <v>5560</v>
      </c>
      <c r="C4876" s="66" t="s">
        <v>5561</v>
      </c>
      <c r="D4876" s="11">
        <v>10785.84</v>
      </c>
      <c r="E4876" s="11">
        <v>10785.84</v>
      </c>
      <c r="F4876" s="3">
        <v>38729</v>
      </c>
      <c r="G4876" s="2"/>
      <c r="H4876" s="3">
        <v>43053</v>
      </c>
      <c r="I4876" s="2" t="s">
        <v>19506</v>
      </c>
      <c r="J4876" s="2" t="s">
        <v>13904</v>
      </c>
      <c r="K4876" s="2" t="s">
        <v>19212</v>
      </c>
      <c r="L4876" s="82" t="s">
        <v>19512</v>
      </c>
    </row>
    <row r="4877" spans="1:12" ht="96" customHeight="1" x14ac:dyDescent="0.3">
      <c r="A4877" s="2">
        <v>4873</v>
      </c>
      <c r="B4877" s="66" t="s">
        <v>4800</v>
      </c>
      <c r="C4877" s="66" t="s">
        <v>3677</v>
      </c>
      <c r="D4877" s="11">
        <v>8870.0400000000009</v>
      </c>
      <c r="E4877" s="11">
        <v>8870.0400000000009</v>
      </c>
      <c r="F4877" s="3">
        <v>31544</v>
      </c>
      <c r="G4877" s="2"/>
      <c r="H4877" s="3">
        <v>43053</v>
      </c>
      <c r="I4877" s="2" t="s">
        <v>19506</v>
      </c>
      <c r="J4877" s="2" t="s">
        <v>13904</v>
      </c>
      <c r="K4877" s="2" t="s">
        <v>19212</v>
      </c>
      <c r="L4877" s="82" t="s">
        <v>19512</v>
      </c>
    </row>
    <row r="4878" spans="1:12" ht="96" customHeight="1" x14ac:dyDescent="0.3">
      <c r="A4878" s="2">
        <v>4874</v>
      </c>
      <c r="B4878" s="66" t="s">
        <v>4800</v>
      </c>
      <c r="C4878" s="66" t="s">
        <v>3617</v>
      </c>
      <c r="D4878" s="11">
        <v>12441.6</v>
      </c>
      <c r="E4878" s="11">
        <v>12441.6</v>
      </c>
      <c r="F4878" s="3">
        <v>31544</v>
      </c>
      <c r="G4878" s="2"/>
      <c r="H4878" s="3">
        <v>43053</v>
      </c>
      <c r="I4878" s="2" t="s">
        <v>19506</v>
      </c>
      <c r="J4878" s="2" t="s">
        <v>13904</v>
      </c>
      <c r="K4878" s="2" t="s">
        <v>19212</v>
      </c>
      <c r="L4878" s="82" t="s">
        <v>19512</v>
      </c>
    </row>
    <row r="4879" spans="1:12" ht="96" customHeight="1" x14ac:dyDescent="0.3">
      <c r="A4879" s="2">
        <v>4875</v>
      </c>
      <c r="B4879" s="66" t="s">
        <v>4800</v>
      </c>
      <c r="C4879" s="66" t="s">
        <v>3401</v>
      </c>
      <c r="D4879" s="11">
        <v>12441.6</v>
      </c>
      <c r="E4879" s="11">
        <v>12441.6</v>
      </c>
      <c r="F4879" s="3">
        <v>31544</v>
      </c>
      <c r="G4879" s="2"/>
      <c r="H4879" s="3">
        <v>43053</v>
      </c>
      <c r="I4879" s="2" t="s">
        <v>19506</v>
      </c>
      <c r="J4879" s="2" t="s">
        <v>13904</v>
      </c>
      <c r="K4879" s="2" t="s">
        <v>19212</v>
      </c>
      <c r="L4879" s="82" t="s">
        <v>19512</v>
      </c>
    </row>
    <row r="4880" spans="1:12" ht="96" customHeight="1" x14ac:dyDescent="0.3">
      <c r="A4880" s="2">
        <v>4876</v>
      </c>
      <c r="B4880" s="66" t="s">
        <v>4801</v>
      </c>
      <c r="C4880" s="66" t="s">
        <v>3201</v>
      </c>
      <c r="D4880" s="11">
        <v>12441.6</v>
      </c>
      <c r="E4880" s="11">
        <v>12441.6</v>
      </c>
      <c r="F4880" s="3">
        <v>31544</v>
      </c>
      <c r="G4880" s="2"/>
      <c r="H4880" s="3">
        <v>43053</v>
      </c>
      <c r="I4880" s="2" t="s">
        <v>19506</v>
      </c>
      <c r="J4880" s="2" t="s">
        <v>13904</v>
      </c>
      <c r="K4880" s="2" t="s">
        <v>19212</v>
      </c>
      <c r="L4880" s="82" t="s">
        <v>19512</v>
      </c>
    </row>
    <row r="4881" spans="1:12" ht="96" customHeight="1" x14ac:dyDescent="0.3">
      <c r="A4881" s="2">
        <v>4877</v>
      </c>
      <c r="B4881" s="66" t="s">
        <v>5562</v>
      </c>
      <c r="C4881" s="66" t="s">
        <v>3302</v>
      </c>
      <c r="D4881" s="11">
        <v>5717.28</v>
      </c>
      <c r="E4881" s="11">
        <v>5717.28</v>
      </c>
      <c r="F4881" s="3">
        <v>31544</v>
      </c>
      <c r="G4881" s="2"/>
      <c r="H4881" s="3">
        <v>43053</v>
      </c>
      <c r="I4881" s="2" t="s">
        <v>19506</v>
      </c>
      <c r="J4881" s="2" t="s">
        <v>13904</v>
      </c>
      <c r="K4881" s="2" t="s">
        <v>19212</v>
      </c>
      <c r="L4881" s="82" t="s">
        <v>19512</v>
      </c>
    </row>
    <row r="4882" spans="1:12" ht="96" customHeight="1" x14ac:dyDescent="0.3">
      <c r="A4882" s="2">
        <v>4878</v>
      </c>
      <c r="B4882" s="66" t="s">
        <v>5563</v>
      </c>
      <c r="C4882" s="66" t="s">
        <v>5564</v>
      </c>
      <c r="D4882" s="11">
        <v>3680.64</v>
      </c>
      <c r="E4882" s="11">
        <v>3680.64</v>
      </c>
      <c r="F4882" s="3">
        <v>32914</v>
      </c>
      <c r="G4882" s="2"/>
      <c r="H4882" s="3">
        <v>43053</v>
      </c>
      <c r="I4882" s="2" t="s">
        <v>19506</v>
      </c>
      <c r="J4882" s="2" t="s">
        <v>13904</v>
      </c>
      <c r="K4882" s="2" t="s">
        <v>19212</v>
      </c>
      <c r="L4882" s="82" t="s">
        <v>19512</v>
      </c>
    </row>
    <row r="4883" spans="1:12" ht="96" customHeight="1" x14ac:dyDescent="0.3">
      <c r="A4883" s="2">
        <v>4879</v>
      </c>
      <c r="B4883" s="66" t="s">
        <v>5565</v>
      </c>
      <c r="C4883" s="66" t="s">
        <v>5475</v>
      </c>
      <c r="D4883" s="11">
        <v>4018.35</v>
      </c>
      <c r="E4883" s="11">
        <v>4018.35</v>
      </c>
      <c r="F4883" s="3">
        <v>31544</v>
      </c>
      <c r="G4883" s="2"/>
      <c r="H4883" s="3">
        <v>43053</v>
      </c>
      <c r="I4883" s="2" t="s">
        <v>19506</v>
      </c>
      <c r="J4883" s="2" t="s">
        <v>13904</v>
      </c>
      <c r="K4883" s="2" t="s">
        <v>19212</v>
      </c>
      <c r="L4883" s="82" t="s">
        <v>19512</v>
      </c>
    </row>
    <row r="4884" spans="1:12" ht="96" customHeight="1" x14ac:dyDescent="0.3">
      <c r="A4884" s="2">
        <v>4880</v>
      </c>
      <c r="B4884" s="66" t="s">
        <v>5565</v>
      </c>
      <c r="C4884" s="66" t="s">
        <v>4209</v>
      </c>
      <c r="D4884" s="11">
        <v>4018.35</v>
      </c>
      <c r="E4884" s="11">
        <v>4018.35</v>
      </c>
      <c r="F4884" s="3">
        <v>31544</v>
      </c>
      <c r="G4884" s="2"/>
      <c r="H4884" s="3">
        <v>43053</v>
      </c>
      <c r="I4884" s="2" t="s">
        <v>19506</v>
      </c>
      <c r="J4884" s="2" t="s">
        <v>13904</v>
      </c>
      <c r="K4884" s="2" t="s">
        <v>19212</v>
      </c>
      <c r="L4884" s="82" t="s">
        <v>19512</v>
      </c>
    </row>
    <row r="4885" spans="1:12" ht="96" customHeight="1" x14ac:dyDescent="0.3">
      <c r="A4885" s="2">
        <v>4881</v>
      </c>
      <c r="B4885" s="66" t="s">
        <v>5562</v>
      </c>
      <c r="C4885" s="66" t="s">
        <v>5482</v>
      </c>
      <c r="D4885" s="11">
        <v>5717.28</v>
      </c>
      <c r="E4885" s="11">
        <v>5717.28</v>
      </c>
      <c r="F4885" s="3">
        <v>31544</v>
      </c>
      <c r="G4885" s="2"/>
      <c r="H4885" s="3">
        <v>43053</v>
      </c>
      <c r="I4885" s="2" t="s">
        <v>19506</v>
      </c>
      <c r="J4885" s="2" t="s">
        <v>13904</v>
      </c>
      <c r="K4885" s="2" t="s">
        <v>19212</v>
      </c>
      <c r="L4885" s="82" t="s">
        <v>19512</v>
      </c>
    </row>
    <row r="4886" spans="1:12" ht="96" customHeight="1" x14ac:dyDescent="0.3">
      <c r="A4886" s="2">
        <v>4882</v>
      </c>
      <c r="B4886" s="66" t="s">
        <v>5566</v>
      </c>
      <c r="C4886" s="66" t="s">
        <v>5567</v>
      </c>
      <c r="D4886" s="11">
        <v>16105.8</v>
      </c>
      <c r="E4886" s="11">
        <v>16105.8</v>
      </c>
      <c r="F4886" s="3">
        <v>38729</v>
      </c>
      <c r="G4886" s="2"/>
      <c r="H4886" s="3">
        <v>43053</v>
      </c>
      <c r="I4886" s="2" t="s">
        <v>19506</v>
      </c>
      <c r="J4886" s="2" t="s">
        <v>13904</v>
      </c>
      <c r="K4886" s="2" t="s">
        <v>19212</v>
      </c>
      <c r="L4886" s="82" t="s">
        <v>19512</v>
      </c>
    </row>
    <row r="4887" spans="1:12" ht="96" customHeight="1" x14ac:dyDescent="0.3">
      <c r="A4887" s="2">
        <v>4883</v>
      </c>
      <c r="B4887" s="66" t="s">
        <v>5568</v>
      </c>
      <c r="C4887" s="66" t="s">
        <v>5569</v>
      </c>
      <c r="D4887" s="11">
        <v>4800</v>
      </c>
      <c r="E4887" s="11">
        <v>4800</v>
      </c>
      <c r="F4887" s="3">
        <v>39232</v>
      </c>
      <c r="G4887" s="2"/>
      <c r="H4887" s="3">
        <v>43053</v>
      </c>
      <c r="I4887" s="2" t="s">
        <v>19506</v>
      </c>
      <c r="J4887" s="2" t="s">
        <v>13904</v>
      </c>
      <c r="K4887" s="2" t="s">
        <v>19212</v>
      </c>
      <c r="L4887" s="82" t="s">
        <v>19512</v>
      </c>
    </row>
    <row r="4888" spans="1:12" ht="96" customHeight="1" x14ac:dyDescent="0.3">
      <c r="A4888" s="2">
        <v>4884</v>
      </c>
      <c r="B4888" s="66" t="s">
        <v>5570</v>
      </c>
      <c r="C4888" s="66" t="s">
        <v>5571</v>
      </c>
      <c r="D4888" s="11">
        <v>4896</v>
      </c>
      <c r="E4888" s="11">
        <v>4896</v>
      </c>
      <c r="F4888" s="3">
        <v>39774</v>
      </c>
      <c r="G4888" s="2"/>
      <c r="H4888" s="3">
        <v>43053</v>
      </c>
      <c r="I4888" s="2" t="s">
        <v>19506</v>
      </c>
      <c r="J4888" s="2" t="s">
        <v>13904</v>
      </c>
      <c r="K4888" s="2" t="s">
        <v>19212</v>
      </c>
      <c r="L4888" s="82" t="s">
        <v>19512</v>
      </c>
    </row>
    <row r="4889" spans="1:12" ht="96" customHeight="1" x14ac:dyDescent="0.3">
      <c r="A4889" s="2">
        <v>4885</v>
      </c>
      <c r="B4889" s="66" t="s">
        <v>5572</v>
      </c>
      <c r="C4889" s="66" t="s">
        <v>5573</v>
      </c>
      <c r="D4889" s="11">
        <v>4896</v>
      </c>
      <c r="E4889" s="11">
        <v>4896</v>
      </c>
      <c r="F4889" s="3">
        <v>39774</v>
      </c>
      <c r="G4889" s="2"/>
      <c r="H4889" s="3">
        <v>43053</v>
      </c>
      <c r="I4889" s="2" t="s">
        <v>19506</v>
      </c>
      <c r="J4889" s="2" t="s">
        <v>13904</v>
      </c>
      <c r="K4889" s="2" t="s">
        <v>19212</v>
      </c>
      <c r="L4889" s="82" t="s">
        <v>19512</v>
      </c>
    </row>
    <row r="4890" spans="1:12" ht="96" customHeight="1" x14ac:dyDescent="0.3">
      <c r="A4890" s="2">
        <v>4886</v>
      </c>
      <c r="B4890" s="66" t="s">
        <v>5574</v>
      </c>
      <c r="C4890" s="66" t="s">
        <v>5575</v>
      </c>
      <c r="D4890" s="11">
        <v>4499</v>
      </c>
      <c r="E4890" s="11">
        <v>4499</v>
      </c>
      <c r="F4890" s="3">
        <v>39630</v>
      </c>
      <c r="G4890" s="2"/>
      <c r="H4890" s="3">
        <v>43053</v>
      </c>
      <c r="I4890" s="2" t="s">
        <v>19506</v>
      </c>
      <c r="J4890" s="2" t="s">
        <v>13904</v>
      </c>
      <c r="K4890" s="2" t="s">
        <v>19212</v>
      </c>
      <c r="L4890" s="82" t="s">
        <v>19512</v>
      </c>
    </row>
    <row r="4891" spans="1:12" ht="96" customHeight="1" x14ac:dyDescent="0.3">
      <c r="A4891" s="2">
        <v>4887</v>
      </c>
      <c r="B4891" s="66" t="s">
        <v>5576</v>
      </c>
      <c r="C4891" s="66" t="s">
        <v>5015</v>
      </c>
      <c r="D4891" s="11">
        <v>6666</v>
      </c>
      <c r="E4891" s="11">
        <v>6666</v>
      </c>
      <c r="F4891" s="3">
        <v>39436</v>
      </c>
      <c r="G4891" s="2"/>
      <c r="H4891" s="3">
        <v>43053</v>
      </c>
      <c r="I4891" s="2" t="s">
        <v>19506</v>
      </c>
      <c r="J4891" s="2" t="s">
        <v>13904</v>
      </c>
      <c r="K4891" s="2" t="s">
        <v>19212</v>
      </c>
      <c r="L4891" s="82" t="s">
        <v>19512</v>
      </c>
    </row>
    <row r="4892" spans="1:12" ht="96" customHeight="1" x14ac:dyDescent="0.3">
      <c r="A4892" s="2">
        <v>4888</v>
      </c>
      <c r="B4892" s="66" t="s">
        <v>1085</v>
      </c>
      <c r="C4892" s="66" t="s">
        <v>5577</v>
      </c>
      <c r="D4892" s="11">
        <v>9030</v>
      </c>
      <c r="E4892" s="11">
        <v>9030</v>
      </c>
      <c r="F4892" s="3">
        <v>36566</v>
      </c>
      <c r="G4892" s="2"/>
      <c r="H4892" s="3">
        <v>43053</v>
      </c>
      <c r="I4892" s="2" t="s">
        <v>19506</v>
      </c>
      <c r="J4892" s="2" t="s">
        <v>13904</v>
      </c>
      <c r="K4892" s="2" t="s">
        <v>19212</v>
      </c>
      <c r="L4892" s="82" t="s">
        <v>19512</v>
      </c>
    </row>
    <row r="4893" spans="1:12" ht="96" customHeight="1" x14ac:dyDescent="0.3">
      <c r="A4893" s="2">
        <v>4889</v>
      </c>
      <c r="B4893" s="66" t="s">
        <v>5578</v>
      </c>
      <c r="C4893" s="66" t="s">
        <v>5579</v>
      </c>
      <c r="D4893" s="11">
        <v>18972</v>
      </c>
      <c r="E4893" s="11">
        <v>18972</v>
      </c>
      <c r="F4893" s="3">
        <v>38729</v>
      </c>
      <c r="G4893" s="2"/>
      <c r="H4893" s="3">
        <v>43053</v>
      </c>
      <c r="I4893" s="2" t="s">
        <v>19506</v>
      </c>
      <c r="J4893" s="2" t="s">
        <v>13904</v>
      </c>
      <c r="K4893" s="2" t="s">
        <v>19212</v>
      </c>
      <c r="L4893" s="82" t="s">
        <v>19512</v>
      </c>
    </row>
    <row r="4894" spans="1:12" ht="96" customHeight="1" x14ac:dyDescent="0.3">
      <c r="A4894" s="2">
        <v>4890</v>
      </c>
      <c r="B4894" s="66" t="s">
        <v>5568</v>
      </c>
      <c r="C4894" s="66" t="s">
        <v>5580</v>
      </c>
      <c r="D4894" s="11">
        <v>4800</v>
      </c>
      <c r="E4894" s="11">
        <v>4800</v>
      </c>
      <c r="F4894" s="3">
        <v>39774</v>
      </c>
      <c r="G4894" s="2"/>
      <c r="H4894" s="3">
        <v>43053</v>
      </c>
      <c r="I4894" s="2" t="s">
        <v>19506</v>
      </c>
      <c r="J4894" s="2" t="s">
        <v>13904</v>
      </c>
      <c r="K4894" s="2" t="s">
        <v>19212</v>
      </c>
      <c r="L4894" s="82" t="s">
        <v>19512</v>
      </c>
    </row>
    <row r="4895" spans="1:12" ht="96" customHeight="1" x14ac:dyDescent="0.3">
      <c r="A4895" s="2">
        <v>4891</v>
      </c>
      <c r="B4895" s="66" t="s">
        <v>5581</v>
      </c>
      <c r="C4895" s="66" t="s">
        <v>4805</v>
      </c>
      <c r="D4895" s="11">
        <v>3862.7</v>
      </c>
      <c r="E4895" s="11">
        <v>3862.7</v>
      </c>
      <c r="F4895" s="3">
        <v>35226</v>
      </c>
      <c r="G4895" s="2"/>
      <c r="H4895" s="3">
        <v>43053</v>
      </c>
      <c r="I4895" s="2" t="s">
        <v>19506</v>
      </c>
      <c r="J4895" s="2" t="s">
        <v>13904</v>
      </c>
      <c r="K4895" s="2" t="s">
        <v>19212</v>
      </c>
      <c r="L4895" s="82" t="s">
        <v>19512</v>
      </c>
    </row>
    <row r="4896" spans="1:12" ht="96" customHeight="1" x14ac:dyDescent="0.3">
      <c r="A4896" s="2">
        <v>4892</v>
      </c>
      <c r="B4896" s="66" t="s">
        <v>5582</v>
      </c>
      <c r="C4896" s="66" t="s">
        <v>5583</v>
      </c>
      <c r="D4896" s="11">
        <v>13359.33</v>
      </c>
      <c r="E4896" s="11">
        <v>13359.33</v>
      </c>
      <c r="F4896" s="3">
        <v>36566</v>
      </c>
      <c r="G4896" s="2"/>
      <c r="H4896" s="3">
        <v>43053</v>
      </c>
      <c r="I4896" s="2" t="s">
        <v>19506</v>
      </c>
      <c r="J4896" s="2" t="s">
        <v>13904</v>
      </c>
      <c r="K4896" s="2" t="s">
        <v>19212</v>
      </c>
      <c r="L4896" s="82" t="s">
        <v>19512</v>
      </c>
    </row>
    <row r="4897" spans="1:12" ht="96" customHeight="1" x14ac:dyDescent="0.3">
      <c r="A4897" s="2">
        <v>4893</v>
      </c>
      <c r="B4897" s="66" t="s">
        <v>5572</v>
      </c>
      <c r="C4897" s="66" t="s">
        <v>5224</v>
      </c>
      <c r="D4897" s="11">
        <v>4896</v>
      </c>
      <c r="E4897" s="11">
        <v>4896</v>
      </c>
      <c r="F4897" s="3">
        <v>39774</v>
      </c>
      <c r="G4897" s="2"/>
      <c r="H4897" s="3">
        <v>43053</v>
      </c>
      <c r="I4897" s="2" t="s">
        <v>19506</v>
      </c>
      <c r="J4897" s="2" t="s">
        <v>13904</v>
      </c>
      <c r="K4897" s="2" t="s">
        <v>19212</v>
      </c>
      <c r="L4897" s="82" t="s">
        <v>19512</v>
      </c>
    </row>
    <row r="4898" spans="1:12" ht="96" customHeight="1" x14ac:dyDescent="0.3">
      <c r="A4898" s="2">
        <v>4894</v>
      </c>
      <c r="B4898" s="66" t="s">
        <v>5584</v>
      </c>
      <c r="C4898" s="66" t="s">
        <v>4806</v>
      </c>
      <c r="D4898" s="11">
        <v>3862.69</v>
      </c>
      <c r="E4898" s="11">
        <v>3862.69</v>
      </c>
      <c r="F4898" s="3">
        <v>35226</v>
      </c>
      <c r="G4898" s="2"/>
      <c r="H4898" s="3">
        <v>43053</v>
      </c>
      <c r="I4898" s="2" t="s">
        <v>19506</v>
      </c>
      <c r="J4898" s="2" t="s">
        <v>13904</v>
      </c>
      <c r="K4898" s="2" t="s">
        <v>19212</v>
      </c>
      <c r="L4898" s="82" t="s">
        <v>19512</v>
      </c>
    </row>
    <row r="4899" spans="1:12" ht="96" customHeight="1" x14ac:dyDescent="0.3">
      <c r="A4899" s="2">
        <v>4895</v>
      </c>
      <c r="B4899" s="66" t="s">
        <v>5572</v>
      </c>
      <c r="C4899" s="66" t="s">
        <v>5585</v>
      </c>
      <c r="D4899" s="11">
        <v>4896</v>
      </c>
      <c r="E4899" s="11">
        <v>4896</v>
      </c>
      <c r="F4899" s="3">
        <v>39774</v>
      </c>
      <c r="G4899" s="2"/>
      <c r="H4899" s="3">
        <v>43053</v>
      </c>
      <c r="I4899" s="2" t="s">
        <v>19506</v>
      </c>
      <c r="J4899" s="2" t="s">
        <v>13904</v>
      </c>
      <c r="K4899" s="2" t="s">
        <v>19212</v>
      </c>
      <c r="L4899" s="82" t="s">
        <v>19512</v>
      </c>
    </row>
    <row r="4900" spans="1:12" ht="96" customHeight="1" x14ac:dyDescent="0.3">
      <c r="A4900" s="2">
        <v>4896</v>
      </c>
      <c r="B4900" s="66" t="s">
        <v>5586</v>
      </c>
      <c r="C4900" s="66" t="s">
        <v>5587</v>
      </c>
      <c r="D4900" s="11">
        <v>16686.88</v>
      </c>
      <c r="E4900" s="11">
        <v>16686.88</v>
      </c>
      <c r="F4900" s="3">
        <v>38729</v>
      </c>
      <c r="G4900" s="2"/>
      <c r="H4900" s="3">
        <v>43053</v>
      </c>
      <c r="I4900" s="2" t="s">
        <v>19506</v>
      </c>
      <c r="J4900" s="2" t="s">
        <v>13904</v>
      </c>
      <c r="K4900" s="2" t="s">
        <v>19212</v>
      </c>
      <c r="L4900" s="82" t="s">
        <v>19512</v>
      </c>
    </row>
    <row r="4901" spans="1:12" ht="96" customHeight="1" x14ac:dyDescent="0.3">
      <c r="A4901" s="2">
        <v>4897</v>
      </c>
      <c r="B4901" s="66" t="s">
        <v>218</v>
      </c>
      <c r="C4901" s="66" t="s">
        <v>3606</v>
      </c>
      <c r="D4901" s="11">
        <v>41793.18</v>
      </c>
      <c r="E4901" s="11">
        <v>41793.18</v>
      </c>
      <c r="F4901" s="3">
        <v>38729</v>
      </c>
      <c r="G4901" s="2"/>
      <c r="H4901" s="3">
        <v>43053</v>
      </c>
      <c r="I4901" s="2" t="s">
        <v>19506</v>
      </c>
      <c r="J4901" s="2" t="s">
        <v>13904</v>
      </c>
      <c r="K4901" s="2" t="s">
        <v>19212</v>
      </c>
      <c r="L4901" s="82" t="s">
        <v>19512</v>
      </c>
    </row>
    <row r="4902" spans="1:12" ht="96" customHeight="1" x14ac:dyDescent="0.3">
      <c r="A4902" s="2">
        <v>4898</v>
      </c>
      <c r="B4902" s="66" t="s">
        <v>218</v>
      </c>
      <c r="C4902" s="66" t="s">
        <v>3601</v>
      </c>
      <c r="D4902" s="11">
        <v>23466.560000000001</v>
      </c>
      <c r="E4902" s="11">
        <v>23466.560000000001</v>
      </c>
      <c r="F4902" s="3">
        <v>38729</v>
      </c>
      <c r="G4902" s="2"/>
      <c r="H4902" s="3">
        <v>43053</v>
      </c>
      <c r="I4902" s="2" t="s">
        <v>19506</v>
      </c>
      <c r="J4902" s="2" t="s">
        <v>13904</v>
      </c>
      <c r="K4902" s="2" t="s">
        <v>19212</v>
      </c>
      <c r="L4902" s="82" t="s">
        <v>19512</v>
      </c>
    </row>
    <row r="4903" spans="1:12" ht="96" customHeight="1" x14ac:dyDescent="0.3">
      <c r="A4903" s="2">
        <v>4899</v>
      </c>
      <c r="B4903" s="66" t="s">
        <v>5485</v>
      </c>
      <c r="C4903" s="66" t="s">
        <v>5588</v>
      </c>
      <c r="D4903" s="11">
        <v>5753.65</v>
      </c>
      <c r="E4903" s="11">
        <v>5753.65</v>
      </c>
      <c r="F4903" s="3">
        <v>37511</v>
      </c>
      <c r="G4903" s="2"/>
      <c r="H4903" s="3">
        <v>43053</v>
      </c>
      <c r="I4903" s="2" t="s">
        <v>19506</v>
      </c>
      <c r="J4903" s="2" t="s">
        <v>13904</v>
      </c>
      <c r="K4903" s="2" t="s">
        <v>19212</v>
      </c>
      <c r="L4903" s="82" t="s">
        <v>19512</v>
      </c>
    </row>
    <row r="4904" spans="1:12" ht="96" customHeight="1" x14ac:dyDescent="0.3">
      <c r="A4904" s="2">
        <v>4900</v>
      </c>
      <c r="B4904" s="66" t="s">
        <v>4742</v>
      </c>
      <c r="C4904" s="66" t="s">
        <v>5589</v>
      </c>
      <c r="D4904" s="11">
        <v>31553.77</v>
      </c>
      <c r="E4904" s="11">
        <v>31553.77</v>
      </c>
      <c r="F4904" s="3">
        <v>39057</v>
      </c>
      <c r="G4904" s="2"/>
      <c r="H4904" s="3">
        <v>43053</v>
      </c>
      <c r="I4904" s="2" t="s">
        <v>19506</v>
      </c>
      <c r="J4904" s="2" t="s">
        <v>13904</v>
      </c>
      <c r="K4904" s="2" t="s">
        <v>19212</v>
      </c>
      <c r="L4904" s="82" t="s">
        <v>19512</v>
      </c>
    </row>
    <row r="4905" spans="1:12" ht="96" customHeight="1" x14ac:dyDescent="0.3">
      <c r="A4905" s="2">
        <v>4901</v>
      </c>
      <c r="B4905" s="66" t="s">
        <v>223</v>
      </c>
      <c r="C4905" s="66" t="s">
        <v>4892</v>
      </c>
      <c r="D4905" s="11">
        <v>11619.92</v>
      </c>
      <c r="E4905" s="11">
        <v>11619.92</v>
      </c>
      <c r="F4905" s="3">
        <v>38729</v>
      </c>
      <c r="G4905" s="2"/>
      <c r="H4905" s="3">
        <v>43053</v>
      </c>
      <c r="I4905" s="2" t="s">
        <v>19506</v>
      </c>
      <c r="J4905" s="2" t="s">
        <v>13904</v>
      </c>
      <c r="K4905" s="2" t="s">
        <v>19212</v>
      </c>
      <c r="L4905" s="82" t="s">
        <v>19512</v>
      </c>
    </row>
    <row r="4906" spans="1:12" ht="96" customHeight="1" x14ac:dyDescent="0.3">
      <c r="A4906" s="2">
        <v>4902</v>
      </c>
      <c r="B4906" s="66" t="s">
        <v>223</v>
      </c>
      <c r="C4906" s="66" t="s">
        <v>5590</v>
      </c>
      <c r="D4906" s="11">
        <v>21889.919999999998</v>
      </c>
      <c r="E4906" s="11">
        <v>21889.919999999998</v>
      </c>
      <c r="F4906" s="3">
        <v>38729</v>
      </c>
      <c r="G4906" s="2"/>
      <c r="H4906" s="3">
        <v>43053</v>
      </c>
      <c r="I4906" s="2" t="s">
        <v>19506</v>
      </c>
      <c r="J4906" s="2" t="s">
        <v>13904</v>
      </c>
      <c r="K4906" s="2" t="s">
        <v>19212</v>
      </c>
      <c r="L4906" s="82" t="s">
        <v>19512</v>
      </c>
    </row>
    <row r="4907" spans="1:12" ht="96" customHeight="1" x14ac:dyDescent="0.3">
      <c r="A4907" s="2">
        <v>4903</v>
      </c>
      <c r="B4907" s="66" t="s">
        <v>5591</v>
      </c>
      <c r="C4907" s="66" t="s">
        <v>5592</v>
      </c>
      <c r="D4907" s="11">
        <v>11442.08</v>
      </c>
      <c r="E4907" s="11">
        <v>11442.08</v>
      </c>
      <c r="F4907" s="3">
        <v>38729</v>
      </c>
      <c r="G4907" s="2"/>
      <c r="H4907" s="3">
        <v>43053</v>
      </c>
      <c r="I4907" s="2" t="s">
        <v>19506</v>
      </c>
      <c r="J4907" s="2" t="s">
        <v>13904</v>
      </c>
      <c r="K4907" s="2" t="s">
        <v>19212</v>
      </c>
      <c r="L4907" s="82" t="s">
        <v>19512</v>
      </c>
    </row>
    <row r="4908" spans="1:12" ht="96" customHeight="1" x14ac:dyDescent="0.3">
      <c r="A4908" s="2">
        <v>4904</v>
      </c>
      <c r="B4908" s="66" t="s">
        <v>5593</v>
      </c>
      <c r="C4908" s="66" t="s">
        <v>4848</v>
      </c>
      <c r="D4908" s="11">
        <v>3041.28</v>
      </c>
      <c r="E4908" s="11">
        <v>3041.28</v>
      </c>
      <c r="F4908" s="3">
        <v>36566</v>
      </c>
      <c r="G4908" s="2"/>
      <c r="H4908" s="3">
        <v>43053</v>
      </c>
      <c r="I4908" s="2" t="s">
        <v>19506</v>
      </c>
      <c r="J4908" s="2" t="s">
        <v>13904</v>
      </c>
      <c r="K4908" s="2" t="s">
        <v>19212</v>
      </c>
      <c r="L4908" s="82" t="s">
        <v>19512</v>
      </c>
    </row>
    <row r="4909" spans="1:12" ht="96" customHeight="1" x14ac:dyDescent="0.3">
      <c r="A4909" s="2">
        <v>4905</v>
      </c>
      <c r="B4909" s="66" t="s">
        <v>5485</v>
      </c>
      <c r="C4909" s="66" t="s">
        <v>5594</v>
      </c>
      <c r="D4909" s="11">
        <v>5753.65</v>
      </c>
      <c r="E4909" s="11">
        <v>5753.65</v>
      </c>
      <c r="F4909" s="3">
        <v>37511</v>
      </c>
      <c r="G4909" s="2"/>
      <c r="H4909" s="3">
        <v>43053</v>
      </c>
      <c r="I4909" s="2" t="s">
        <v>19506</v>
      </c>
      <c r="J4909" s="2" t="s">
        <v>13904</v>
      </c>
      <c r="K4909" s="2" t="s">
        <v>19212</v>
      </c>
      <c r="L4909" s="82" t="s">
        <v>19512</v>
      </c>
    </row>
    <row r="4910" spans="1:12" ht="96" customHeight="1" x14ac:dyDescent="0.3">
      <c r="A4910" s="2">
        <v>4906</v>
      </c>
      <c r="B4910" s="66" t="s">
        <v>5485</v>
      </c>
      <c r="C4910" s="66" t="s">
        <v>5595</v>
      </c>
      <c r="D4910" s="11">
        <v>5753.65</v>
      </c>
      <c r="E4910" s="11">
        <v>5753.65</v>
      </c>
      <c r="F4910" s="3">
        <v>37511</v>
      </c>
      <c r="G4910" s="2"/>
      <c r="H4910" s="3">
        <v>43053</v>
      </c>
      <c r="I4910" s="2" t="s">
        <v>19506</v>
      </c>
      <c r="J4910" s="2" t="s">
        <v>13904</v>
      </c>
      <c r="K4910" s="2" t="s">
        <v>19212</v>
      </c>
      <c r="L4910" s="82" t="s">
        <v>19512</v>
      </c>
    </row>
    <row r="4911" spans="1:12" ht="96" customHeight="1" x14ac:dyDescent="0.3">
      <c r="A4911" s="2">
        <v>4907</v>
      </c>
      <c r="B4911" s="66" t="s">
        <v>5572</v>
      </c>
      <c r="C4911" s="66" t="s">
        <v>5210</v>
      </c>
      <c r="D4911" s="11">
        <v>4896</v>
      </c>
      <c r="E4911" s="11">
        <v>4896</v>
      </c>
      <c r="F4911" s="3">
        <v>39774</v>
      </c>
      <c r="G4911" s="2"/>
      <c r="H4911" s="3">
        <v>43053</v>
      </c>
      <c r="I4911" s="2" t="s">
        <v>19506</v>
      </c>
      <c r="J4911" s="2" t="s">
        <v>13904</v>
      </c>
      <c r="K4911" s="2" t="s">
        <v>19212</v>
      </c>
      <c r="L4911" s="82" t="s">
        <v>19512</v>
      </c>
    </row>
    <row r="4912" spans="1:12" ht="96" customHeight="1" x14ac:dyDescent="0.3">
      <c r="A4912" s="2">
        <v>4908</v>
      </c>
      <c r="B4912" s="66" t="s">
        <v>5596</v>
      </c>
      <c r="C4912" s="66" t="s">
        <v>5597</v>
      </c>
      <c r="D4912" s="11">
        <v>4896</v>
      </c>
      <c r="E4912" s="11">
        <v>4896</v>
      </c>
      <c r="F4912" s="3">
        <v>39774</v>
      </c>
      <c r="G4912" s="2"/>
      <c r="H4912" s="3">
        <v>43053</v>
      </c>
      <c r="I4912" s="2" t="s">
        <v>19506</v>
      </c>
      <c r="J4912" s="2" t="s">
        <v>13904</v>
      </c>
      <c r="K4912" s="2" t="s">
        <v>19212</v>
      </c>
      <c r="L4912" s="82" t="s">
        <v>19512</v>
      </c>
    </row>
    <row r="4913" spans="1:12" ht="96" customHeight="1" x14ac:dyDescent="0.3">
      <c r="A4913" s="2">
        <v>4909</v>
      </c>
      <c r="B4913" s="66" t="s">
        <v>218</v>
      </c>
      <c r="C4913" s="66" t="s">
        <v>3298</v>
      </c>
      <c r="D4913" s="11">
        <v>44726.239999999998</v>
      </c>
      <c r="E4913" s="11">
        <v>44726.239999999998</v>
      </c>
      <c r="F4913" s="3">
        <v>38729</v>
      </c>
      <c r="G4913" s="2"/>
      <c r="H4913" s="3">
        <v>43053</v>
      </c>
      <c r="I4913" s="2" t="s">
        <v>19506</v>
      </c>
      <c r="J4913" s="2" t="s">
        <v>13904</v>
      </c>
      <c r="K4913" s="2" t="s">
        <v>19212</v>
      </c>
      <c r="L4913" s="82" t="s">
        <v>19512</v>
      </c>
    </row>
    <row r="4914" spans="1:12" ht="96" customHeight="1" x14ac:dyDescent="0.3">
      <c r="A4914" s="2">
        <v>4910</v>
      </c>
      <c r="B4914" s="66" t="s">
        <v>5598</v>
      </c>
      <c r="C4914" s="66" t="s">
        <v>4050</v>
      </c>
      <c r="D4914" s="11">
        <v>4566.99</v>
      </c>
      <c r="E4914" s="11">
        <v>4566.99</v>
      </c>
      <c r="F4914" s="3">
        <v>36566</v>
      </c>
      <c r="G4914" s="2"/>
      <c r="H4914" s="3">
        <v>43053</v>
      </c>
      <c r="I4914" s="2" t="s">
        <v>19506</v>
      </c>
      <c r="J4914" s="2" t="s">
        <v>13904</v>
      </c>
      <c r="K4914" s="2" t="s">
        <v>19212</v>
      </c>
      <c r="L4914" s="82" t="s">
        <v>19512</v>
      </c>
    </row>
    <row r="4915" spans="1:12" ht="96" customHeight="1" x14ac:dyDescent="0.3">
      <c r="A4915" s="2">
        <v>4911</v>
      </c>
      <c r="B4915" s="66" t="s">
        <v>222</v>
      </c>
      <c r="C4915" s="66" t="s">
        <v>5011</v>
      </c>
      <c r="D4915" s="11">
        <v>6384.35</v>
      </c>
      <c r="E4915" s="11">
        <v>6384.35</v>
      </c>
      <c r="F4915" s="3">
        <v>37299</v>
      </c>
      <c r="G4915" s="2"/>
      <c r="H4915" s="3">
        <v>43053</v>
      </c>
      <c r="I4915" s="2" t="s">
        <v>19506</v>
      </c>
      <c r="J4915" s="2" t="s">
        <v>13904</v>
      </c>
      <c r="K4915" s="2" t="s">
        <v>19212</v>
      </c>
      <c r="L4915" s="82" t="s">
        <v>19512</v>
      </c>
    </row>
    <row r="4916" spans="1:12" ht="96" customHeight="1" x14ac:dyDescent="0.3">
      <c r="A4916" s="2">
        <v>4912</v>
      </c>
      <c r="B4916" s="66" t="s">
        <v>5599</v>
      </c>
      <c r="C4916" s="66" t="s">
        <v>5600</v>
      </c>
      <c r="D4916" s="11">
        <v>14889</v>
      </c>
      <c r="E4916" s="11">
        <v>14889</v>
      </c>
      <c r="F4916" s="3">
        <v>39595</v>
      </c>
      <c r="G4916" s="2"/>
      <c r="H4916" s="3">
        <v>43053</v>
      </c>
      <c r="I4916" s="2" t="s">
        <v>19506</v>
      </c>
      <c r="J4916" s="2" t="s">
        <v>13904</v>
      </c>
      <c r="K4916" s="2" t="s">
        <v>19212</v>
      </c>
      <c r="L4916" s="82" t="s">
        <v>19512</v>
      </c>
    </row>
    <row r="4917" spans="1:12" ht="96" customHeight="1" x14ac:dyDescent="0.3">
      <c r="A4917" s="2">
        <v>4913</v>
      </c>
      <c r="B4917" s="66" t="s">
        <v>5601</v>
      </c>
      <c r="C4917" s="66" t="s">
        <v>5602</v>
      </c>
      <c r="D4917" s="11">
        <v>12936.8</v>
      </c>
      <c r="E4917" s="11">
        <v>12936.8</v>
      </c>
      <c r="F4917" s="3">
        <v>38729</v>
      </c>
      <c r="G4917" s="2"/>
      <c r="H4917" s="3">
        <v>43053</v>
      </c>
      <c r="I4917" s="2" t="s">
        <v>19506</v>
      </c>
      <c r="J4917" s="2" t="s">
        <v>13904</v>
      </c>
      <c r="K4917" s="2" t="s">
        <v>19212</v>
      </c>
      <c r="L4917" s="82" t="s">
        <v>19512</v>
      </c>
    </row>
    <row r="4918" spans="1:12" ht="96" customHeight="1" x14ac:dyDescent="0.3">
      <c r="A4918" s="2">
        <v>4914</v>
      </c>
      <c r="B4918" s="66" t="s">
        <v>4742</v>
      </c>
      <c r="C4918" s="66" t="s">
        <v>5603</v>
      </c>
      <c r="D4918" s="11">
        <v>33389.46</v>
      </c>
      <c r="E4918" s="11">
        <v>33389.46</v>
      </c>
      <c r="F4918" s="3">
        <v>39057</v>
      </c>
      <c r="G4918" s="2"/>
      <c r="H4918" s="3">
        <v>43053</v>
      </c>
      <c r="I4918" s="2" t="s">
        <v>19506</v>
      </c>
      <c r="J4918" s="2" t="s">
        <v>13904</v>
      </c>
      <c r="K4918" s="2" t="s">
        <v>19212</v>
      </c>
      <c r="L4918" s="82" t="s">
        <v>19512</v>
      </c>
    </row>
    <row r="4919" spans="1:12" ht="96" customHeight="1" x14ac:dyDescent="0.3">
      <c r="A4919" s="2">
        <v>4915</v>
      </c>
      <c r="B4919" s="66" t="s">
        <v>2899</v>
      </c>
      <c r="C4919" s="66" t="s">
        <v>3779</v>
      </c>
      <c r="D4919" s="11">
        <v>12322.08</v>
      </c>
      <c r="E4919" s="11">
        <v>12322.08</v>
      </c>
      <c r="F4919" s="3">
        <v>35105</v>
      </c>
      <c r="G4919" s="2"/>
      <c r="H4919" s="3">
        <v>43053</v>
      </c>
      <c r="I4919" s="2" t="s">
        <v>19506</v>
      </c>
      <c r="J4919" s="2" t="s">
        <v>13904</v>
      </c>
      <c r="K4919" s="2" t="s">
        <v>19212</v>
      </c>
      <c r="L4919" s="82" t="s">
        <v>19512</v>
      </c>
    </row>
    <row r="4920" spans="1:12" ht="96" customHeight="1" x14ac:dyDescent="0.3">
      <c r="A4920" s="2">
        <v>4916</v>
      </c>
      <c r="B4920" s="66" t="s">
        <v>4602</v>
      </c>
      <c r="C4920" s="66" t="s">
        <v>5604</v>
      </c>
      <c r="D4920" s="11">
        <v>27797</v>
      </c>
      <c r="E4920" s="11">
        <v>27797</v>
      </c>
      <c r="F4920" s="3">
        <v>37246</v>
      </c>
      <c r="G4920" s="2"/>
      <c r="H4920" s="3">
        <v>43053</v>
      </c>
      <c r="I4920" s="2" t="s">
        <v>19506</v>
      </c>
      <c r="J4920" s="2" t="s">
        <v>13904</v>
      </c>
      <c r="K4920" s="2" t="s">
        <v>19212</v>
      </c>
      <c r="L4920" s="82" t="s">
        <v>19512</v>
      </c>
    </row>
    <row r="4921" spans="1:12" ht="96" customHeight="1" x14ac:dyDescent="0.3">
      <c r="A4921" s="2">
        <v>4917</v>
      </c>
      <c r="B4921" s="66" t="s">
        <v>5605</v>
      </c>
      <c r="C4921" s="66" t="s">
        <v>3299</v>
      </c>
      <c r="D4921" s="11">
        <v>3689.97</v>
      </c>
      <c r="E4921" s="11">
        <v>3689.97</v>
      </c>
      <c r="F4921" s="3">
        <v>33066</v>
      </c>
      <c r="G4921" s="2"/>
      <c r="H4921" s="3">
        <v>43053</v>
      </c>
      <c r="I4921" s="2" t="s">
        <v>19506</v>
      </c>
      <c r="J4921" s="2" t="s">
        <v>13904</v>
      </c>
      <c r="K4921" s="2" t="s">
        <v>19212</v>
      </c>
      <c r="L4921" s="82" t="s">
        <v>19512</v>
      </c>
    </row>
    <row r="4922" spans="1:12" ht="96" customHeight="1" x14ac:dyDescent="0.3">
      <c r="A4922" s="2">
        <v>4918</v>
      </c>
      <c r="B4922" s="66" t="s">
        <v>217</v>
      </c>
      <c r="C4922" s="66" t="s">
        <v>4996</v>
      </c>
      <c r="D4922" s="11">
        <v>10875</v>
      </c>
      <c r="E4922" s="11">
        <v>10875</v>
      </c>
      <c r="F4922" s="3">
        <v>37480</v>
      </c>
      <c r="G4922" s="2"/>
      <c r="H4922" s="3">
        <v>43053</v>
      </c>
      <c r="I4922" s="2" t="s">
        <v>19506</v>
      </c>
      <c r="J4922" s="2" t="s">
        <v>13904</v>
      </c>
      <c r="K4922" s="2" t="s">
        <v>19212</v>
      </c>
      <c r="L4922" s="82" t="s">
        <v>19512</v>
      </c>
    </row>
    <row r="4923" spans="1:12" ht="96" customHeight="1" x14ac:dyDescent="0.3">
      <c r="A4923" s="2">
        <v>4919</v>
      </c>
      <c r="B4923" s="66" t="s">
        <v>5606</v>
      </c>
      <c r="C4923" s="66" t="s">
        <v>4997</v>
      </c>
      <c r="D4923" s="11">
        <v>10875</v>
      </c>
      <c r="E4923" s="11">
        <v>10875</v>
      </c>
      <c r="F4923" s="3">
        <v>37480</v>
      </c>
      <c r="G4923" s="2"/>
      <c r="H4923" s="3">
        <v>43053</v>
      </c>
      <c r="I4923" s="2" t="s">
        <v>19506</v>
      </c>
      <c r="J4923" s="2" t="s">
        <v>13904</v>
      </c>
      <c r="K4923" s="2" t="s">
        <v>19212</v>
      </c>
      <c r="L4923" s="82" t="s">
        <v>19512</v>
      </c>
    </row>
    <row r="4924" spans="1:12" ht="96" customHeight="1" x14ac:dyDescent="0.3">
      <c r="A4924" s="2">
        <v>4920</v>
      </c>
      <c r="B4924" s="66" t="s">
        <v>5607</v>
      </c>
      <c r="C4924" s="66" t="s">
        <v>5608</v>
      </c>
      <c r="D4924" s="11">
        <v>20649.439999999999</v>
      </c>
      <c r="E4924" s="11">
        <v>20649.439999999999</v>
      </c>
      <c r="F4924" s="3">
        <v>38729</v>
      </c>
      <c r="G4924" s="2"/>
      <c r="H4924" s="3">
        <v>43053</v>
      </c>
      <c r="I4924" s="2" t="s">
        <v>19506</v>
      </c>
      <c r="J4924" s="2" t="s">
        <v>13904</v>
      </c>
      <c r="K4924" s="2" t="s">
        <v>19212</v>
      </c>
      <c r="L4924" s="82" t="s">
        <v>19512</v>
      </c>
    </row>
    <row r="4925" spans="1:12" ht="96" customHeight="1" x14ac:dyDescent="0.3">
      <c r="A4925" s="2">
        <v>4921</v>
      </c>
      <c r="B4925" s="66" t="s">
        <v>5609</v>
      </c>
      <c r="C4925" s="66" t="s">
        <v>3765</v>
      </c>
      <c r="D4925" s="11">
        <v>4074.56</v>
      </c>
      <c r="E4925" s="11">
        <v>4074.56</v>
      </c>
      <c r="F4925" s="3">
        <v>36566</v>
      </c>
      <c r="G4925" s="2"/>
      <c r="H4925" s="3">
        <v>43053</v>
      </c>
      <c r="I4925" s="2" t="s">
        <v>19506</v>
      </c>
      <c r="J4925" s="2" t="s">
        <v>13904</v>
      </c>
      <c r="K4925" s="2" t="s">
        <v>19212</v>
      </c>
      <c r="L4925" s="82" t="s">
        <v>19512</v>
      </c>
    </row>
    <row r="4926" spans="1:12" ht="96" customHeight="1" x14ac:dyDescent="0.3">
      <c r="A4926" s="2">
        <v>4922</v>
      </c>
      <c r="B4926" s="66" t="s">
        <v>5610</v>
      </c>
      <c r="C4926" s="66" t="s">
        <v>4993</v>
      </c>
      <c r="D4926" s="11">
        <v>5800</v>
      </c>
      <c r="E4926" s="11">
        <v>5800</v>
      </c>
      <c r="F4926" s="3">
        <v>39232</v>
      </c>
      <c r="G4926" s="2"/>
      <c r="H4926" s="3">
        <v>43053</v>
      </c>
      <c r="I4926" s="2" t="s">
        <v>19506</v>
      </c>
      <c r="J4926" s="2" t="s">
        <v>13904</v>
      </c>
      <c r="K4926" s="2" t="s">
        <v>19212</v>
      </c>
      <c r="L4926" s="82" t="s">
        <v>19512</v>
      </c>
    </row>
    <row r="4927" spans="1:12" ht="96" customHeight="1" x14ac:dyDescent="0.3">
      <c r="A4927" s="2">
        <v>4923</v>
      </c>
      <c r="B4927" s="66" t="s">
        <v>5572</v>
      </c>
      <c r="C4927" s="66" t="s">
        <v>5611</v>
      </c>
      <c r="D4927" s="11">
        <v>4896</v>
      </c>
      <c r="E4927" s="11">
        <v>4896</v>
      </c>
      <c r="F4927" s="3">
        <v>39774</v>
      </c>
      <c r="G4927" s="2"/>
      <c r="H4927" s="3">
        <v>43053</v>
      </c>
      <c r="I4927" s="2" t="s">
        <v>19506</v>
      </c>
      <c r="J4927" s="2" t="s">
        <v>13904</v>
      </c>
      <c r="K4927" s="2" t="s">
        <v>19212</v>
      </c>
      <c r="L4927" s="82" t="s">
        <v>19512</v>
      </c>
    </row>
    <row r="4928" spans="1:12" ht="96" customHeight="1" x14ac:dyDescent="0.3">
      <c r="A4928" s="2">
        <v>4924</v>
      </c>
      <c r="B4928" s="66" t="s">
        <v>3957</v>
      </c>
      <c r="C4928" s="66" t="s">
        <v>5612</v>
      </c>
      <c r="D4928" s="11">
        <v>10575.36</v>
      </c>
      <c r="E4928" s="11">
        <v>10575.36</v>
      </c>
      <c r="F4928" s="3">
        <v>38729</v>
      </c>
      <c r="G4928" s="2"/>
      <c r="H4928" s="3">
        <v>43053</v>
      </c>
      <c r="I4928" s="2" t="s">
        <v>19506</v>
      </c>
      <c r="J4928" s="2" t="s">
        <v>13904</v>
      </c>
      <c r="K4928" s="2" t="s">
        <v>19212</v>
      </c>
      <c r="L4928" s="82" t="s">
        <v>19512</v>
      </c>
    </row>
    <row r="4929" spans="1:12" ht="96" customHeight="1" x14ac:dyDescent="0.3">
      <c r="A4929" s="2">
        <v>4925</v>
      </c>
      <c r="B4929" s="66" t="s">
        <v>5613</v>
      </c>
      <c r="C4929" s="66" t="s">
        <v>5614</v>
      </c>
      <c r="D4929" s="11">
        <v>7332.78</v>
      </c>
      <c r="E4929" s="11">
        <v>7332.78</v>
      </c>
      <c r="F4929" s="3">
        <v>36566</v>
      </c>
      <c r="G4929" s="2"/>
      <c r="H4929" s="3">
        <v>43053</v>
      </c>
      <c r="I4929" s="2" t="s">
        <v>19506</v>
      </c>
      <c r="J4929" s="2" t="s">
        <v>13904</v>
      </c>
      <c r="K4929" s="2" t="s">
        <v>19212</v>
      </c>
      <c r="L4929" s="82" t="s">
        <v>19512</v>
      </c>
    </row>
    <row r="4930" spans="1:12" ht="96" customHeight="1" x14ac:dyDescent="0.3">
      <c r="A4930" s="2">
        <v>4926</v>
      </c>
      <c r="B4930" s="66" t="s">
        <v>4062</v>
      </c>
      <c r="C4930" s="66" t="s">
        <v>5615</v>
      </c>
      <c r="D4930" s="11">
        <v>12466.44</v>
      </c>
      <c r="E4930" s="11">
        <v>12466.44</v>
      </c>
      <c r="F4930" s="3">
        <v>38729</v>
      </c>
      <c r="G4930" s="2"/>
      <c r="H4930" s="3">
        <v>43053</v>
      </c>
      <c r="I4930" s="2" t="s">
        <v>19506</v>
      </c>
      <c r="J4930" s="2" t="s">
        <v>13904</v>
      </c>
      <c r="K4930" s="2" t="s">
        <v>19212</v>
      </c>
      <c r="L4930" s="82" t="s">
        <v>19512</v>
      </c>
    </row>
    <row r="4931" spans="1:12" ht="96" customHeight="1" x14ac:dyDescent="0.3">
      <c r="A4931" s="2">
        <v>4927</v>
      </c>
      <c r="B4931" s="66" t="s">
        <v>1341</v>
      </c>
      <c r="C4931" s="66" t="s">
        <v>5616</v>
      </c>
      <c r="D4931" s="11">
        <v>11016</v>
      </c>
      <c r="E4931" s="11">
        <v>11016</v>
      </c>
      <c r="F4931" s="3">
        <v>38729</v>
      </c>
      <c r="G4931" s="2"/>
      <c r="H4931" s="3">
        <v>43053</v>
      </c>
      <c r="I4931" s="2" t="s">
        <v>19506</v>
      </c>
      <c r="J4931" s="2" t="s">
        <v>13904</v>
      </c>
      <c r="K4931" s="2" t="s">
        <v>19212</v>
      </c>
      <c r="L4931" s="82" t="s">
        <v>19512</v>
      </c>
    </row>
    <row r="4932" spans="1:12" ht="96" customHeight="1" x14ac:dyDescent="0.3">
      <c r="A4932" s="2">
        <v>4928</v>
      </c>
      <c r="B4932" s="66" t="s">
        <v>5617</v>
      </c>
      <c r="C4932" s="66" t="s">
        <v>5618</v>
      </c>
      <c r="D4932" s="11">
        <v>21208.49</v>
      </c>
      <c r="E4932" s="11">
        <v>21208.49</v>
      </c>
      <c r="F4932" s="3">
        <v>40751</v>
      </c>
      <c r="G4932" s="2"/>
      <c r="H4932" s="3">
        <v>43053</v>
      </c>
      <c r="I4932" s="2" t="s">
        <v>19506</v>
      </c>
      <c r="J4932" s="2" t="s">
        <v>13904</v>
      </c>
      <c r="K4932" s="2" t="s">
        <v>19212</v>
      </c>
      <c r="L4932" s="82" t="s">
        <v>19512</v>
      </c>
    </row>
    <row r="4933" spans="1:12" ht="96" customHeight="1" x14ac:dyDescent="0.3">
      <c r="A4933" s="2">
        <v>4929</v>
      </c>
      <c r="B4933" s="66" t="s">
        <v>5619</v>
      </c>
      <c r="C4933" s="66" t="s">
        <v>4719</v>
      </c>
      <c r="D4933" s="11">
        <v>21939.18</v>
      </c>
      <c r="E4933" s="11">
        <v>21939.18</v>
      </c>
      <c r="F4933" s="3">
        <v>38729</v>
      </c>
      <c r="G4933" s="2"/>
      <c r="H4933" s="3">
        <v>43053</v>
      </c>
      <c r="I4933" s="2" t="s">
        <v>19506</v>
      </c>
      <c r="J4933" s="2" t="s">
        <v>13904</v>
      </c>
      <c r="K4933" s="2" t="s">
        <v>19212</v>
      </c>
      <c r="L4933" s="82" t="s">
        <v>19512</v>
      </c>
    </row>
    <row r="4934" spans="1:12" ht="96" customHeight="1" x14ac:dyDescent="0.3">
      <c r="A4934" s="2">
        <v>4930</v>
      </c>
      <c r="B4934" s="66" t="s">
        <v>5609</v>
      </c>
      <c r="C4934" s="66" t="s">
        <v>4350</v>
      </c>
      <c r="D4934" s="11">
        <v>4074.56</v>
      </c>
      <c r="E4934" s="11">
        <v>4074.56</v>
      </c>
      <c r="F4934" s="3">
        <v>36566</v>
      </c>
      <c r="G4934" s="2"/>
      <c r="H4934" s="3">
        <v>43053</v>
      </c>
      <c r="I4934" s="2" t="s">
        <v>19506</v>
      </c>
      <c r="J4934" s="2" t="s">
        <v>13904</v>
      </c>
      <c r="K4934" s="2" t="s">
        <v>19212</v>
      </c>
      <c r="L4934" s="82" t="s">
        <v>19512</v>
      </c>
    </row>
    <row r="4935" spans="1:12" ht="96" customHeight="1" x14ac:dyDescent="0.3">
      <c r="A4935" s="2">
        <v>4931</v>
      </c>
      <c r="B4935" s="66" t="s">
        <v>5020</v>
      </c>
      <c r="C4935" s="66" t="s">
        <v>5309</v>
      </c>
      <c r="D4935" s="11">
        <v>33300</v>
      </c>
      <c r="E4935" s="11">
        <v>33300</v>
      </c>
      <c r="F4935" s="3">
        <v>41619</v>
      </c>
      <c r="G4935" s="2"/>
      <c r="H4935" s="3">
        <v>43053</v>
      </c>
      <c r="I4935" s="2" t="s">
        <v>19506</v>
      </c>
      <c r="J4935" s="2" t="s">
        <v>13904</v>
      </c>
      <c r="K4935" s="2" t="s">
        <v>19212</v>
      </c>
      <c r="L4935" s="82" t="s">
        <v>19512</v>
      </c>
    </row>
    <row r="4936" spans="1:12" ht="96" customHeight="1" x14ac:dyDescent="0.3">
      <c r="A4936" s="2">
        <v>4932</v>
      </c>
      <c r="B4936" s="66" t="s">
        <v>5022</v>
      </c>
      <c r="C4936" s="66" t="s">
        <v>5023</v>
      </c>
      <c r="D4936" s="11">
        <v>7600</v>
      </c>
      <c r="E4936" s="11">
        <v>7600</v>
      </c>
      <c r="F4936" s="3">
        <v>41619</v>
      </c>
      <c r="G4936" s="2"/>
      <c r="H4936" s="3">
        <v>43053</v>
      </c>
      <c r="I4936" s="2" t="s">
        <v>19506</v>
      </c>
      <c r="J4936" s="2" t="s">
        <v>13904</v>
      </c>
      <c r="K4936" s="2" t="s">
        <v>19212</v>
      </c>
      <c r="L4936" s="82" t="s">
        <v>19512</v>
      </c>
    </row>
    <row r="4937" spans="1:12" ht="96" customHeight="1" x14ac:dyDescent="0.3">
      <c r="A4937" s="2">
        <v>4933</v>
      </c>
      <c r="B4937" s="66" t="s">
        <v>5022</v>
      </c>
      <c r="C4937" s="66" t="s">
        <v>5024</v>
      </c>
      <c r="D4937" s="11">
        <v>7600</v>
      </c>
      <c r="E4937" s="11">
        <v>7600</v>
      </c>
      <c r="F4937" s="3">
        <v>41619</v>
      </c>
      <c r="G4937" s="2"/>
      <c r="H4937" s="3">
        <v>43053</v>
      </c>
      <c r="I4937" s="2" t="s">
        <v>19506</v>
      </c>
      <c r="J4937" s="2" t="s">
        <v>13904</v>
      </c>
      <c r="K4937" s="2" t="s">
        <v>19212</v>
      </c>
      <c r="L4937" s="82" t="s">
        <v>19512</v>
      </c>
    </row>
    <row r="4938" spans="1:12" ht="96" customHeight="1" x14ac:dyDescent="0.3">
      <c r="A4938" s="2">
        <v>4934</v>
      </c>
      <c r="B4938" s="66" t="s">
        <v>5022</v>
      </c>
      <c r="C4938" s="66" t="s">
        <v>5025</v>
      </c>
      <c r="D4938" s="11">
        <v>7600</v>
      </c>
      <c r="E4938" s="11">
        <v>7600</v>
      </c>
      <c r="F4938" s="3">
        <v>41619</v>
      </c>
      <c r="G4938" s="2"/>
      <c r="H4938" s="3">
        <v>43053</v>
      </c>
      <c r="I4938" s="2" t="s">
        <v>19506</v>
      </c>
      <c r="J4938" s="2" t="s">
        <v>13904</v>
      </c>
      <c r="K4938" s="2" t="s">
        <v>19212</v>
      </c>
      <c r="L4938" s="82" t="s">
        <v>19512</v>
      </c>
    </row>
    <row r="4939" spans="1:12" ht="96" customHeight="1" x14ac:dyDescent="0.3">
      <c r="A4939" s="2">
        <v>4935</v>
      </c>
      <c r="B4939" s="66" t="s">
        <v>5022</v>
      </c>
      <c r="C4939" s="66" t="s">
        <v>5026</v>
      </c>
      <c r="D4939" s="11">
        <v>7600</v>
      </c>
      <c r="E4939" s="11">
        <v>7600</v>
      </c>
      <c r="F4939" s="3">
        <v>41619</v>
      </c>
      <c r="G4939" s="2"/>
      <c r="H4939" s="3">
        <v>43053</v>
      </c>
      <c r="I4939" s="2" t="s">
        <v>19506</v>
      </c>
      <c r="J4939" s="2" t="s">
        <v>13904</v>
      </c>
      <c r="K4939" s="2" t="s">
        <v>19212</v>
      </c>
      <c r="L4939" s="82" t="s">
        <v>19512</v>
      </c>
    </row>
    <row r="4940" spans="1:12" ht="96" customHeight="1" x14ac:dyDescent="0.3">
      <c r="A4940" s="2">
        <v>4936</v>
      </c>
      <c r="B4940" s="66" t="s">
        <v>5027</v>
      </c>
      <c r="C4940" s="66" t="s">
        <v>5028</v>
      </c>
      <c r="D4940" s="11">
        <v>27700.43</v>
      </c>
      <c r="E4940" s="11">
        <v>27700.43</v>
      </c>
      <c r="F4940" s="3">
        <v>41619</v>
      </c>
      <c r="G4940" s="2"/>
      <c r="H4940" s="3">
        <v>43053</v>
      </c>
      <c r="I4940" s="2" t="s">
        <v>19506</v>
      </c>
      <c r="J4940" s="2" t="s">
        <v>13904</v>
      </c>
      <c r="K4940" s="2" t="s">
        <v>19212</v>
      </c>
      <c r="L4940" s="82" t="s">
        <v>19512</v>
      </c>
    </row>
    <row r="4941" spans="1:12" ht="96" customHeight="1" x14ac:dyDescent="0.3">
      <c r="A4941" s="2">
        <v>4937</v>
      </c>
      <c r="B4941" s="66" t="s">
        <v>5029</v>
      </c>
      <c r="C4941" s="66" t="s">
        <v>5030</v>
      </c>
      <c r="D4941" s="11">
        <v>24203.14</v>
      </c>
      <c r="E4941" s="11">
        <v>24203.14</v>
      </c>
      <c r="F4941" s="3">
        <v>41619</v>
      </c>
      <c r="G4941" s="2"/>
      <c r="H4941" s="3">
        <v>43053</v>
      </c>
      <c r="I4941" s="2" t="s">
        <v>19506</v>
      </c>
      <c r="J4941" s="2" t="s">
        <v>13904</v>
      </c>
      <c r="K4941" s="2" t="s">
        <v>19212</v>
      </c>
      <c r="L4941" s="82" t="s">
        <v>19512</v>
      </c>
    </row>
    <row r="4942" spans="1:12" ht="96" customHeight="1" x14ac:dyDescent="0.3">
      <c r="A4942" s="2">
        <v>4938</v>
      </c>
      <c r="B4942" s="66" t="s">
        <v>5029</v>
      </c>
      <c r="C4942" s="66" t="s">
        <v>5031</v>
      </c>
      <c r="D4942" s="11">
        <v>24203.14</v>
      </c>
      <c r="E4942" s="11">
        <v>24203.14</v>
      </c>
      <c r="F4942" s="3">
        <v>41619</v>
      </c>
      <c r="G4942" s="2"/>
      <c r="H4942" s="3">
        <v>43053</v>
      </c>
      <c r="I4942" s="2" t="s">
        <v>19506</v>
      </c>
      <c r="J4942" s="2" t="s">
        <v>13904</v>
      </c>
      <c r="K4942" s="2" t="s">
        <v>19212</v>
      </c>
      <c r="L4942" s="82" t="s">
        <v>19512</v>
      </c>
    </row>
    <row r="4943" spans="1:12" ht="96" customHeight="1" x14ac:dyDescent="0.3">
      <c r="A4943" s="2">
        <v>4939</v>
      </c>
      <c r="B4943" s="66" t="s">
        <v>5029</v>
      </c>
      <c r="C4943" s="66" t="s">
        <v>5032</v>
      </c>
      <c r="D4943" s="11">
        <v>24203.14</v>
      </c>
      <c r="E4943" s="11">
        <v>24203.14</v>
      </c>
      <c r="F4943" s="3">
        <v>41619</v>
      </c>
      <c r="G4943" s="2"/>
      <c r="H4943" s="3">
        <v>43053</v>
      </c>
      <c r="I4943" s="2" t="s">
        <v>19506</v>
      </c>
      <c r="J4943" s="2" t="s">
        <v>13904</v>
      </c>
      <c r="K4943" s="2" t="s">
        <v>19212</v>
      </c>
      <c r="L4943" s="82" t="s">
        <v>19512</v>
      </c>
    </row>
    <row r="4944" spans="1:12" ht="96" customHeight="1" x14ac:dyDescent="0.3">
      <c r="A4944" s="2">
        <v>4940</v>
      </c>
      <c r="B4944" s="66" t="s">
        <v>5029</v>
      </c>
      <c r="C4944" s="66" t="s">
        <v>5033</v>
      </c>
      <c r="D4944" s="11">
        <v>24203.14</v>
      </c>
      <c r="E4944" s="11">
        <v>24203.14</v>
      </c>
      <c r="F4944" s="3">
        <v>41619</v>
      </c>
      <c r="G4944" s="2"/>
      <c r="H4944" s="3">
        <v>43053</v>
      </c>
      <c r="I4944" s="2" t="s">
        <v>19506</v>
      </c>
      <c r="J4944" s="2" t="s">
        <v>13904</v>
      </c>
      <c r="K4944" s="2" t="s">
        <v>19212</v>
      </c>
      <c r="L4944" s="82" t="s">
        <v>19512</v>
      </c>
    </row>
    <row r="4945" spans="1:15" ht="96" customHeight="1" x14ac:dyDescent="0.3">
      <c r="A4945" s="2">
        <v>4941</v>
      </c>
      <c r="B4945" s="66" t="s">
        <v>5029</v>
      </c>
      <c r="C4945" s="66" t="s">
        <v>5034</v>
      </c>
      <c r="D4945" s="11">
        <v>24203.14</v>
      </c>
      <c r="E4945" s="11">
        <v>24203.14</v>
      </c>
      <c r="F4945" s="3">
        <v>41619</v>
      </c>
      <c r="G4945" s="2"/>
      <c r="H4945" s="3">
        <v>43053</v>
      </c>
      <c r="I4945" s="2" t="s">
        <v>19506</v>
      </c>
      <c r="J4945" s="2" t="s">
        <v>13904</v>
      </c>
      <c r="K4945" s="2" t="s">
        <v>19212</v>
      </c>
      <c r="L4945" s="82" t="s">
        <v>19512</v>
      </c>
    </row>
    <row r="4946" spans="1:15" ht="96" customHeight="1" x14ac:dyDescent="0.3">
      <c r="A4946" s="2">
        <v>4942</v>
      </c>
      <c r="B4946" s="66" t="s">
        <v>5029</v>
      </c>
      <c r="C4946" s="66" t="s">
        <v>5035</v>
      </c>
      <c r="D4946" s="11">
        <v>24203.14</v>
      </c>
      <c r="E4946" s="11">
        <v>24203.14</v>
      </c>
      <c r="F4946" s="3">
        <v>41619</v>
      </c>
      <c r="G4946" s="2"/>
      <c r="H4946" s="3">
        <v>43053</v>
      </c>
      <c r="I4946" s="2" t="s">
        <v>19506</v>
      </c>
      <c r="J4946" s="2" t="s">
        <v>13904</v>
      </c>
      <c r="K4946" s="2" t="s">
        <v>19212</v>
      </c>
      <c r="L4946" s="82" t="s">
        <v>19512</v>
      </c>
    </row>
    <row r="4947" spans="1:15" ht="96" customHeight="1" x14ac:dyDescent="0.3">
      <c r="A4947" s="2">
        <v>4943</v>
      </c>
      <c r="B4947" s="66" t="s">
        <v>5029</v>
      </c>
      <c r="C4947" s="66" t="s">
        <v>5036</v>
      </c>
      <c r="D4947" s="11">
        <v>24203.14</v>
      </c>
      <c r="E4947" s="11">
        <v>24203.14</v>
      </c>
      <c r="F4947" s="3">
        <v>41619</v>
      </c>
      <c r="G4947" s="2"/>
      <c r="H4947" s="3">
        <v>43053</v>
      </c>
      <c r="I4947" s="2" t="s">
        <v>19506</v>
      </c>
      <c r="J4947" s="2" t="s">
        <v>13904</v>
      </c>
      <c r="K4947" s="2" t="s">
        <v>19212</v>
      </c>
      <c r="L4947" s="82" t="s">
        <v>19512</v>
      </c>
    </row>
    <row r="4948" spans="1:15" ht="96" customHeight="1" x14ac:dyDescent="0.3">
      <c r="A4948" s="2">
        <v>4944</v>
      </c>
      <c r="B4948" s="66" t="s">
        <v>5029</v>
      </c>
      <c r="C4948" s="66" t="s">
        <v>5037</v>
      </c>
      <c r="D4948" s="11">
        <v>24203.14</v>
      </c>
      <c r="E4948" s="11">
        <v>24203.14</v>
      </c>
      <c r="F4948" s="3">
        <v>41619</v>
      </c>
      <c r="G4948" s="2"/>
      <c r="H4948" s="3">
        <v>43053</v>
      </c>
      <c r="I4948" s="2" t="s">
        <v>19506</v>
      </c>
      <c r="J4948" s="2" t="s">
        <v>13904</v>
      </c>
      <c r="K4948" s="2" t="s">
        <v>19212</v>
      </c>
      <c r="L4948" s="82" t="s">
        <v>19512</v>
      </c>
    </row>
    <row r="4949" spans="1:15" ht="96" customHeight="1" x14ac:dyDescent="0.3">
      <c r="A4949" s="2">
        <v>4945</v>
      </c>
      <c r="B4949" s="66" t="s">
        <v>5029</v>
      </c>
      <c r="C4949" s="66" t="s">
        <v>5038</v>
      </c>
      <c r="D4949" s="11">
        <v>24203.14</v>
      </c>
      <c r="E4949" s="11">
        <v>24203.14</v>
      </c>
      <c r="F4949" s="3">
        <v>41619</v>
      </c>
      <c r="G4949" s="2"/>
      <c r="H4949" s="3">
        <v>43053</v>
      </c>
      <c r="I4949" s="2" t="s">
        <v>19506</v>
      </c>
      <c r="J4949" s="2" t="s">
        <v>13904</v>
      </c>
      <c r="K4949" s="2" t="s">
        <v>19212</v>
      </c>
      <c r="L4949" s="82" t="s">
        <v>19512</v>
      </c>
    </row>
    <row r="4950" spans="1:15" ht="96" customHeight="1" x14ac:dyDescent="0.3">
      <c r="A4950" s="2">
        <v>4946</v>
      </c>
      <c r="B4950" s="66" t="s">
        <v>5029</v>
      </c>
      <c r="C4950" s="66" t="s">
        <v>5039</v>
      </c>
      <c r="D4950" s="11">
        <v>24203.14</v>
      </c>
      <c r="E4950" s="11">
        <v>24203.14</v>
      </c>
      <c r="F4950" s="3">
        <v>41619</v>
      </c>
      <c r="G4950" s="2"/>
      <c r="H4950" s="3">
        <v>43053</v>
      </c>
      <c r="I4950" s="2" t="s">
        <v>19506</v>
      </c>
      <c r="J4950" s="2" t="s">
        <v>13904</v>
      </c>
      <c r="K4950" s="2" t="s">
        <v>19212</v>
      </c>
      <c r="L4950" s="82" t="s">
        <v>19512</v>
      </c>
    </row>
    <row r="4951" spans="1:15" ht="96" customHeight="1" x14ac:dyDescent="0.3">
      <c r="A4951" s="2">
        <v>4947</v>
      </c>
      <c r="B4951" s="66" t="s">
        <v>5029</v>
      </c>
      <c r="C4951" s="66" t="s">
        <v>5040</v>
      </c>
      <c r="D4951" s="11">
        <v>24203.14</v>
      </c>
      <c r="E4951" s="11">
        <v>24203.14</v>
      </c>
      <c r="F4951" s="3">
        <v>41619</v>
      </c>
      <c r="G4951" s="2"/>
      <c r="H4951" s="3">
        <v>43053</v>
      </c>
      <c r="I4951" s="2" t="s">
        <v>19506</v>
      </c>
      <c r="J4951" s="2" t="s">
        <v>13904</v>
      </c>
      <c r="K4951" s="2" t="s">
        <v>19212</v>
      </c>
      <c r="L4951" s="82" t="s">
        <v>19512</v>
      </c>
    </row>
    <row r="4952" spans="1:15" ht="96" customHeight="1" x14ac:dyDescent="0.3">
      <c r="A4952" s="2">
        <v>4948</v>
      </c>
      <c r="B4952" s="66" t="s">
        <v>5029</v>
      </c>
      <c r="C4952" s="66" t="s">
        <v>5041</v>
      </c>
      <c r="D4952" s="11">
        <v>24203.14</v>
      </c>
      <c r="E4952" s="11">
        <v>24203.14</v>
      </c>
      <c r="F4952" s="3">
        <v>41619</v>
      </c>
      <c r="G4952" s="2"/>
      <c r="H4952" s="3">
        <v>43053</v>
      </c>
      <c r="I4952" s="2" t="s">
        <v>19506</v>
      </c>
      <c r="J4952" s="2" t="s">
        <v>13904</v>
      </c>
      <c r="K4952" s="2" t="s">
        <v>19212</v>
      </c>
      <c r="L4952" s="82" t="s">
        <v>19512</v>
      </c>
    </row>
    <row r="4953" spans="1:15" ht="96" customHeight="1" x14ac:dyDescent="0.3">
      <c r="A4953" s="2">
        <v>4949</v>
      </c>
      <c r="B4953" s="66" t="s">
        <v>5029</v>
      </c>
      <c r="C4953" s="66" t="s">
        <v>5042</v>
      </c>
      <c r="D4953" s="11">
        <v>24203.14</v>
      </c>
      <c r="E4953" s="11">
        <v>24203.14</v>
      </c>
      <c r="F4953" s="3">
        <v>41619</v>
      </c>
      <c r="G4953" s="2"/>
      <c r="H4953" s="3">
        <v>43053</v>
      </c>
      <c r="I4953" s="2" t="s">
        <v>19506</v>
      </c>
      <c r="J4953" s="2" t="s">
        <v>13904</v>
      </c>
      <c r="K4953" s="2" t="s">
        <v>19212</v>
      </c>
      <c r="L4953" s="82" t="s">
        <v>19512</v>
      </c>
    </row>
    <row r="4954" spans="1:15" ht="96" customHeight="1" x14ac:dyDescent="0.3">
      <c r="A4954" s="2">
        <v>4950</v>
      </c>
      <c r="B4954" s="66" t="s">
        <v>5043</v>
      </c>
      <c r="C4954" s="66" t="s">
        <v>5044</v>
      </c>
      <c r="D4954" s="11">
        <v>23900</v>
      </c>
      <c r="E4954" s="11">
        <v>23900</v>
      </c>
      <c r="F4954" s="3">
        <v>41619</v>
      </c>
      <c r="G4954" s="2"/>
      <c r="H4954" s="3">
        <v>43053</v>
      </c>
      <c r="I4954" s="2" t="s">
        <v>19506</v>
      </c>
      <c r="J4954" s="2" t="s">
        <v>13904</v>
      </c>
      <c r="K4954" s="2" t="s">
        <v>19212</v>
      </c>
      <c r="L4954" s="82" t="s">
        <v>19512</v>
      </c>
    </row>
    <row r="4955" spans="1:15" ht="96" customHeight="1" x14ac:dyDescent="0.3">
      <c r="A4955" s="2">
        <v>4951</v>
      </c>
      <c r="B4955" s="66" t="s">
        <v>5045</v>
      </c>
      <c r="C4955" s="66" t="s">
        <v>5046</v>
      </c>
      <c r="D4955" s="11">
        <v>12250</v>
      </c>
      <c r="E4955" s="11">
        <v>12250</v>
      </c>
      <c r="F4955" s="3">
        <v>41619</v>
      </c>
      <c r="G4955" s="2"/>
      <c r="H4955" s="3">
        <v>43053</v>
      </c>
      <c r="I4955" s="2" t="s">
        <v>19506</v>
      </c>
      <c r="J4955" s="2" t="s">
        <v>13904</v>
      </c>
      <c r="K4955" s="2" t="s">
        <v>19212</v>
      </c>
      <c r="L4955" s="82" t="s">
        <v>19512</v>
      </c>
    </row>
    <row r="4956" spans="1:15" ht="96" customHeight="1" x14ac:dyDescent="0.3">
      <c r="A4956" s="2">
        <v>4952</v>
      </c>
      <c r="B4956" s="66" t="s">
        <v>5047</v>
      </c>
      <c r="C4956" s="66" t="s">
        <v>5048</v>
      </c>
      <c r="D4956" s="11">
        <v>38584</v>
      </c>
      <c r="E4956" s="11">
        <v>38584</v>
      </c>
      <c r="F4956" s="3">
        <v>41619</v>
      </c>
      <c r="G4956" s="2"/>
      <c r="H4956" s="3">
        <v>43053</v>
      </c>
      <c r="I4956" s="2" t="s">
        <v>19506</v>
      </c>
      <c r="J4956" s="2" t="s">
        <v>13904</v>
      </c>
      <c r="K4956" s="2" t="s">
        <v>19212</v>
      </c>
      <c r="L4956" s="82" t="s">
        <v>19512</v>
      </c>
    </row>
    <row r="4957" spans="1:15" ht="96" customHeight="1" x14ac:dyDescent="0.3">
      <c r="A4957" s="2">
        <v>4953</v>
      </c>
      <c r="B4957" s="66" t="s">
        <v>5049</v>
      </c>
      <c r="C4957" s="66" t="s">
        <v>5050</v>
      </c>
      <c r="D4957" s="11">
        <v>38749</v>
      </c>
      <c r="E4957" s="11">
        <v>38749</v>
      </c>
      <c r="F4957" s="3">
        <v>41619</v>
      </c>
      <c r="G4957" s="2"/>
      <c r="H4957" s="3">
        <v>43053</v>
      </c>
      <c r="I4957" s="2" t="s">
        <v>19506</v>
      </c>
      <c r="J4957" s="2" t="s">
        <v>13904</v>
      </c>
      <c r="K4957" s="2" t="s">
        <v>19212</v>
      </c>
      <c r="L4957" s="82" t="s">
        <v>19512</v>
      </c>
    </row>
    <row r="4958" spans="1:15" ht="96" customHeight="1" x14ac:dyDescent="0.3">
      <c r="A4958" s="2">
        <v>4954</v>
      </c>
      <c r="B4958" s="66" t="s">
        <v>5049</v>
      </c>
      <c r="C4958" s="66" t="s">
        <v>5051</v>
      </c>
      <c r="D4958" s="11">
        <v>38749</v>
      </c>
      <c r="E4958" s="11">
        <v>38749</v>
      </c>
      <c r="F4958" s="3">
        <v>41619</v>
      </c>
      <c r="G4958" s="2"/>
      <c r="H4958" s="3">
        <v>43053</v>
      </c>
      <c r="I4958" s="2" t="s">
        <v>19506</v>
      </c>
      <c r="J4958" s="2" t="s">
        <v>13904</v>
      </c>
      <c r="K4958" s="2" t="s">
        <v>19212</v>
      </c>
      <c r="L4958" s="82" t="s">
        <v>19512</v>
      </c>
    </row>
    <row r="4959" spans="1:15" ht="96" customHeight="1" x14ac:dyDescent="0.3">
      <c r="A4959" s="2">
        <v>4955</v>
      </c>
      <c r="B4959" s="66" t="s">
        <v>5049</v>
      </c>
      <c r="C4959" s="66" t="s">
        <v>5052</v>
      </c>
      <c r="D4959" s="11">
        <v>38749</v>
      </c>
      <c r="E4959" s="11">
        <v>38749</v>
      </c>
      <c r="F4959" s="3">
        <v>41619</v>
      </c>
      <c r="G4959" s="2"/>
      <c r="H4959" s="3">
        <v>43053</v>
      </c>
      <c r="I4959" s="2" t="s">
        <v>19506</v>
      </c>
      <c r="J4959" s="2" t="s">
        <v>13904</v>
      </c>
      <c r="K4959" s="2" t="s">
        <v>19212</v>
      </c>
      <c r="L4959" s="82" t="s">
        <v>19512</v>
      </c>
    </row>
    <row r="4960" spans="1:15" ht="96" customHeight="1" x14ac:dyDescent="0.3">
      <c r="A4960" s="2">
        <v>4956</v>
      </c>
      <c r="B4960" s="66" t="s">
        <v>5049</v>
      </c>
      <c r="C4960" s="66" t="s">
        <v>5053</v>
      </c>
      <c r="D4960" s="11">
        <v>38749</v>
      </c>
      <c r="E4960" s="11">
        <v>38749</v>
      </c>
      <c r="F4960" s="3">
        <v>41619</v>
      </c>
      <c r="G4960" s="2"/>
      <c r="H4960" s="3">
        <v>43053</v>
      </c>
      <c r="I4960" s="2" t="s">
        <v>19506</v>
      </c>
      <c r="J4960" s="2" t="s">
        <v>13904</v>
      </c>
      <c r="K4960" s="2" t="s">
        <v>19212</v>
      </c>
      <c r="L4960" s="82" t="s">
        <v>19512</v>
      </c>
      <c r="M4960" s="18"/>
      <c r="N4960" s="18"/>
      <c r="O4960" s="18"/>
    </row>
    <row r="4961" spans="1:12" ht="96" customHeight="1" x14ac:dyDescent="0.3">
      <c r="A4961" s="2">
        <v>4957</v>
      </c>
      <c r="B4961" s="66" t="s">
        <v>5054</v>
      </c>
      <c r="C4961" s="66" t="s">
        <v>5055</v>
      </c>
      <c r="D4961" s="11">
        <v>4586</v>
      </c>
      <c r="E4961" s="11">
        <v>4586</v>
      </c>
      <c r="F4961" s="3">
        <v>41619</v>
      </c>
      <c r="G4961" s="2"/>
      <c r="H4961" s="3">
        <v>43053</v>
      </c>
      <c r="I4961" s="2" t="s">
        <v>19506</v>
      </c>
      <c r="J4961" s="2" t="s">
        <v>13904</v>
      </c>
      <c r="K4961" s="2" t="s">
        <v>19212</v>
      </c>
      <c r="L4961" s="82" t="s">
        <v>19512</v>
      </c>
    </row>
    <row r="4962" spans="1:12" ht="96" customHeight="1" x14ac:dyDescent="0.3">
      <c r="A4962" s="2">
        <v>4958</v>
      </c>
      <c r="B4962" s="66" t="s">
        <v>5054</v>
      </c>
      <c r="C4962" s="66" t="s">
        <v>5056</v>
      </c>
      <c r="D4962" s="11">
        <v>4586</v>
      </c>
      <c r="E4962" s="11">
        <v>4586</v>
      </c>
      <c r="F4962" s="3">
        <v>41619</v>
      </c>
      <c r="G4962" s="2"/>
      <c r="H4962" s="3">
        <v>43053</v>
      </c>
      <c r="I4962" s="2" t="s">
        <v>19506</v>
      </c>
      <c r="J4962" s="2" t="s">
        <v>13904</v>
      </c>
      <c r="K4962" s="2" t="s">
        <v>19212</v>
      </c>
      <c r="L4962" s="82" t="s">
        <v>19512</v>
      </c>
    </row>
    <row r="4963" spans="1:12" ht="96" customHeight="1" x14ac:dyDescent="0.3">
      <c r="A4963" s="2">
        <v>4959</v>
      </c>
      <c r="B4963" s="66" t="s">
        <v>5054</v>
      </c>
      <c r="C4963" s="66" t="s">
        <v>5057</v>
      </c>
      <c r="D4963" s="11">
        <v>4586</v>
      </c>
      <c r="E4963" s="11">
        <v>4586</v>
      </c>
      <c r="F4963" s="3">
        <v>41619</v>
      </c>
      <c r="G4963" s="2"/>
      <c r="H4963" s="3">
        <v>43053</v>
      </c>
      <c r="I4963" s="2" t="s">
        <v>19506</v>
      </c>
      <c r="J4963" s="2" t="s">
        <v>13904</v>
      </c>
      <c r="K4963" s="2" t="s">
        <v>19212</v>
      </c>
      <c r="L4963" s="82" t="s">
        <v>19512</v>
      </c>
    </row>
    <row r="4964" spans="1:12" ht="96" customHeight="1" x14ac:dyDescent="0.3">
      <c r="A4964" s="2">
        <v>4960</v>
      </c>
      <c r="B4964" s="66" t="s">
        <v>5054</v>
      </c>
      <c r="C4964" s="66" t="s">
        <v>5058</v>
      </c>
      <c r="D4964" s="11">
        <v>4586</v>
      </c>
      <c r="E4964" s="11">
        <v>4586</v>
      </c>
      <c r="F4964" s="3">
        <v>41619</v>
      </c>
      <c r="G4964" s="2"/>
      <c r="H4964" s="3">
        <v>43053</v>
      </c>
      <c r="I4964" s="2" t="s">
        <v>19506</v>
      </c>
      <c r="J4964" s="2" t="s">
        <v>13904</v>
      </c>
      <c r="K4964" s="2" t="s">
        <v>19212</v>
      </c>
      <c r="L4964" s="82" t="s">
        <v>19512</v>
      </c>
    </row>
    <row r="4965" spans="1:12" ht="96" customHeight="1" x14ac:dyDescent="0.3">
      <c r="A4965" s="2">
        <v>4961</v>
      </c>
      <c r="B4965" s="66" t="s">
        <v>5059</v>
      </c>
      <c r="C4965" s="66" t="s">
        <v>5060</v>
      </c>
      <c r="D4965" s="11">
        <v>11760</v>
      </c>
      <c r="E4965" s="11">
        <v>11760</v>
      </c>
      <c r="F4965" s="3">
        <v>41619</v>
      </c>
      <c r="G4965" s="2"/>
      <c r="H4965" s="3">
        <v>43053</v>
      </c>
      <c r="I4965" s="2" t="s">
        <v>19506</v>
      </c>
      <c r="J4965" s="2" t="s">
        <v>13904</v>
      </c>
      <c r="K4965" s="2" t="s">
        <v>19212</v>
      </c>
      <c r="L4965" s="82" t="s">
        <v>19512</v>
      </c>
    </row>
    <row r="4966" spans="1:12" ht="96" customHeight="1" x14ac:dyDescent="0.3">
      <c r="A4966" s="2">
        <v>4962</v>
      </c>
      <c r="B4966" s="66" t="s">
        <v>5061</v>
      </c>
      <c r="C4966" s="66" t="s">
        <v>5062</v>
      </c>
      <c r="D4966" s="11">
        <v>3490</v>
      </c>
      <c r="E4966" s="11">
        <v>3490</v>
      </c>
      <c r="F4966" s="3">
        <v>41619</v>
      </c>
      <c r="G4966" s="2"/>
      <c r="H4966" s="3">
        <v>43053</v>
      </c>
      <c r="I4966" s="2" t="s">
        <v>19506</v>
      </c>
      <c r="J4966" s="2" t="s">
        <v>13904</v>
      </c>
      <c r="K4966" s="2" t="s">
        <v>19212</v>
      </c>
      <c r="L4966" s="82" t="s">
        <v>19512</v>
      </c>
    </row>
    <row r="4967" spans="1:12" ht="96" customHeight="1" x14ac:dyDescent="0.3">
      <c r="A4967" s="2">
        <v>4963</v>
      </c>
      <c r="B4967" s="66" t="s">
        <v>5063</v>
      </c>
      <c r="C4967" s="66" t="s">
        <v>5064</v>
      </c>
      <c r="D4967" s="11">
        <v>30638</v>
      </c>
      <c r="E4967" s="11">
        <v>30638</v>
      </c>
      <c r="F4967" s="3">
        <v>41619</v>
      </c>
      <c r="G4967" s="2"/>
      <c r="H4967" s="3">
        <v>43053</v>
      </c>
      <c r="I4967" s="2" t="s">
        <v>19506</v>
      </c>
      <c r="J4967" s="2" t="s">
        <v>13904</v>
      </c>
      <c r="K4967" s="2" t="s">
        <v>19212</v>
      </c>
      <c r="L4967" s="82" t="s">
        <v>19512</v>
      </c>
    </row>
    <row r="4968" spans="1:12" ht="96" customHeight="1" x14ac:dyDescent="0.3">
      <c r="A4968" s="2">
        <v>4964</v>
      </c>
      <c r="B4968" s="66" t="s">
        <v>5063</v>
      </c>
      <c r="C4968" s="66" t="s">
        <v>5065</v>
      </c>
      <c r="D4968" s="11">
        <v>30638</v>
      </c>
      <c r="E4968" s="11">
        <v>30638</v>
      </c>
      <c r="F4968" s="3">
        <v>41619</v>
      </c>
      <c r="G4968" s="2"/>
      <c r="H4968" s="3">
        <v>43053</v>
      </c>
      <c r="I4968" s="2" t="s">
        <v>19506</v>
      </c>
      <c r="J4968" s="2" t="s">
        <v>13904</v>
      </c>
      <c r="K4968" s="2" t="s">
        <v>19212</v>
      </c>
      <c r="L4968" s="82" t="s">
        <v>19512</v>
      </c>
    </row>
    <row r="4969" spans="1:12" ht="96" customHeight="1" x14ac:dyDescent="0.3">
      <c r="A4969" s="2">
        <v>4965</v>
      </c>
      <c r="B4969" s="66" t="s">
        <v>5066</v>
      </c>
      <c r="C4969" s="66" t="s">
        <v>5067</v>
      </c>
      <c r="D4969" s="11">
        <v>8600</v>
      </c>
      <c r="E4969" s="11">
        <v>8600</v>
      </c>
      <c r="F4969" s="3">
        <v>41619</v>
      </c>
      <c r="G4969" s="2"/>
      <c r="H4969" s="3">
        <v>43053</v>
      </c>
      <c r="I4969" s="2" t="s">
        <v>19506</v>
      </c>
      <c r="J4969" s="2" t="s">
        <v>13904</v>
      </c>
      <c r="K4969" s="2" t="s">
        <v>19212</v>
      </c>
      <c r="L4969" s="82" t="s">
        <v>19512</v>
      </c>
    </row>
    <row r="4970" spans="1:12" ht="96" customHeight="1" x14ac:dyDescent="0.3">
      <c r="A4970" s="2">
        <v>4966</v>
      </c>
      <c r="B4970" s="66" t="s">
        <v>5620</v>
      </c>
      <c r="C4970" s="66">
        <v>410134006</v>
      </c>
      <c r="D4970" s="11">
        <v>16567</v>
      </c>
      <c r="E4970" s="11">
        <v>16567</v>
      </c>
      <c r="F4970" s="3">
        <v>41862</v>
      </c>
      <c r="G4970" s="2"/>
      <c r="H4970" s="3">
        <v>43053</v>
      </c>
      <c r="I4970" s="2" t="s">
        <v>19506</v>
      </c>
      <c r="J4970" s="2" t="s">
        <v>13904</v>
      </c>
      <c r="K4970" s="2" t="s">
        <v>19212</v>
      </c>
      <c r="L4970" s="82" t="s">
        <v>19512</v>
      </c>
    </row>
    <row r="4971" spans="1:12" ht="96" customHeight="1" x14ac:dyDescent="0.3">
      <c r="A4971" s="2">
        <v>4967</v>
      </c>
      <c r="B4971" s="66" t="s">
        <v>5620</v>
      </c>
      <c r="C4971" s="66" t="s">
        <v>3763</v>
      </c>
      <c r="D4971" s="11">
        <v>16567</v>
      </c>
      <c r="E4971" s="11">
        <v>16567</v>
      </c>
      <c r="F4971" s="3">
        <v>41862</v>
      </c>
      <c r="G4971" s="2"/>
      <c r="H4971" s="3">
        <v>43053</v>
      </c>
      <c r="I4971" s="2" t="s">
        <v>19506</v>
      </c>
      <c r="J4971" s="2" t="s">
        <v>13904</v>
      </c>
      <c r="K4971" s="2" t="s">
        <v>19212</v>
      </c>
      <c r="L4971" s="82" t="s">
        <v>19512</v>
      </c>
    </row>
    <row r="4972" spans="1:12" ht="96" customHeight="1" x14ac:dyDescent="0.3">
      <c r="A4972" s="2">
        <v>4968</v>
      </c>
      <c r="B4972" s="66" t="s">
        <v>5620</v>
      </c>
      <c r="C4972" s="66" t="s">
        <v>3206</v>
      </c>
      <c r="D4972" s="11">
        <v>16567</v>
      </c>
      <c r="E4972" s="11">
        <v>16567</v>
      </c>
      <c r="F4972" s="3">
        <v>41862</v>
      </c>
      <c r="G4972" s="2"/>
      <c r="H4972" s="3">
        <v>43053</v>
      </c>
      <c r="I4972" s="2" t="s">
        <v>19506</v>
      </c>
      <c r="J4972" s="2" t="s">
        <v>13904</v>
      </c>
      <c r="K4972" s="2" t="s">
        <v>19212</v>
      </c>
      <c r="L4972" s="82" t="s">
        <v>19512</v>
      </c>
    </row>
    <row r="4973" spans="1:12" ht="96" customHeight="1" x14ac:dyDescent="0.3">
      <c r="A4973" s="2">
        <v>4969</v>
      </c>
      <c r="B4973" s="66" t="s">
        <v>5620</v>
      </c>
      <c r="C4973" s="66" t="s">
        <v>3459</v>
      </c>
      <c r="D4973" s="11">
        <v>16567</v>
      </c>
      <c r="E4973" s="11">
        <v>16567</v>
      </c>
      <c r="F4973" s="3">
        <v>41862</v>
      </c>
      <c r="G4973" s="2"/>
      <c r="H4973" s="3">
        <v>43053</v>
      </c>
      <c r="I4973" s="2" t="s">
        <v>19506</v>
      </c>
      <c r="J4973" s="2" t="s">
        <v>13904</v>
      </c>
      <c r="K4973" s="2" t="s">
        <v>19212</v>
      </c>
      <c r="L4973" s="82" t="s">
        <v>19512</v>
      </c>
    </row>
    <row r="4974" spans="1:12" ht="96" customHeight="1" x14ac:dyDescent="0.3">
      <c r="A4974" s="2">
        <v>4970</v>
      </c>
      <c r="B4974" s="66" t="s">
        <v>5620</v>
      </c>
      <c r="C4974" s="66" t="s">
        <v>3840</v>
      </c>
      <c r="D4974" s="11">
        <v>16567</v>
      </c>
      <c r="E4974" s="11">
        <v>16567</v>
      </c>
      <c r="F4974" s="3">
        <v>41862</v>
      </c>
      <c r="G4974" s="2"/>
      <c r="H4974" s="3">
        <v>43053</v>
      </c>
      <c r="I4974" s="2" t="s">
        <v>19506</v>
      </c>
      <c r="J4974" s="2" t="s">
        <v>13904</v>
      </c>
      <c r="K4974" s="2" t="s">
        <v>19212</v>
      </c>
      <c r="L4974" s="82" t="s">
        <v>19512</v>
      </c>
    </row>
    <row r="4975" spans="1:12" ht="96" customHeight="1" x14ac:dyDescent="0.3">
      <c r="A4975" s="2">
        <v>4971</v>
      </c>
      <c r="B4975" s="66" t="s">
        <v>5621</v>
      </c>
      <c r="C4975" s="66" t="s">
        <v>3790</v>
      </c>
      <c r="D4975" s="11">
        <v>16567</v>
      </c>
      <c r="E4975" s="11">
        <v>16567</v>
      </c>
      <c r="F4975" s="3">
        <v>41862</v>
      </c>
      <c r="G4975" s="2"/>
      <c r="H4975" s="3">
        <v>43053</v>
      </c>
      <c r="I4975" s="2" t="s">
        <v>19506</v>
      </c>
      <c r="J4975" s="2" t="s">
        <v>13904</v>
      </c>
      <c r="K4975" s="2" t="s">
        <v>19212</v>
      </c>
      <c r="L4975" s="82" t="s">
        <v>19512</v>
      </c>
    </row>
    <row r="4976" spans="1:12" ht="96" customHeight="1" x14ac:dyDescent="0.3">
      <c r="A4976" s="2">
        <v>4972</v>
      </c>
      <c r="B4976" s="66" t="s">
        <v>5622</v>
      </c>
      <c r="C4976" s="66" t="s">
        <v>5623</v>
      </c>
      <c r="D4976" s="11">
        <v>18100</v>
      </c>
      <c r="E4976" s="11">
        <v>18100</v>
      </c>
      <c r="F4976" s="3">
        <v>41422</v>
      </c>
      <c r="G4976" s="2"/>
      <c r="H4976" s="3">
        <v>43053</v>
      </c>
      <c r="I4976" s="2" t="s">
        <v>19506</v>
      </c>
      <c r="J4976" s="2" t="s">
        <v>13904</v>
      </c>
      <c r="K4976" s="2" t="s">
        <v>19212</v>
      </c>
      <c r="L4976" s="82" t="s">
        <v>19512</v>
      </c>
    </row>
    <row r="4977" spans="1:15" ht="96" customHeight="1" x14ac:dyDescent="0.3">
      <c r="A4977" s="2">
        <v>4973</v>
      </c>
      <c r="B4977" s="66" t="s">
        <v>3170</v>
      </c>
      <c r="C4977" s="66" t="s">
        <v>5624</v>
      </c>
      <c r="D4977" s="11">
        <v>9430.56</v>
      </c>
      <c r="E4977" s="11">
        <v>9430.56</v>
      </c>
      <c r="F4977" s="3">
        <v>41115</v>
      </c>
      <c r="G4977" s="2"/>
      <c r="H4977" s="3">
        <v>43053</v>
      </c>
      <c r="I4977" s="2" t="s">
        <v>19506</v>
      </c>
      <c r="J4977" s="2" t="s">
        <v>13904</v>
      </c>
      <c r="K4977" s="2" t="s">
        <v>19212</v>
      </c>
      <c r="L4977" s="82" t="s">
        <v>19512</v>
      </c>
    </row>
    <row r="4978" spans="1:15" ht="96" customHeight="1" x14ac:dyDescent="0.3">
      <c r="A4978" s="2">
        <v>4974</v>
      </c>
      <c r="B4978" s="66" t="s">
        <v>1920</v>
      </c>
      <c r="C4978" s="66" t="s">
        <v>5625</v>
      </c>
      <c r="D4978" s="11">
        <v>4458</v>
      </c>
      <c r="E4978" s="11">
        <v>4458</v>
      </c>
      <c r="F4978" s="3">
        <v>32914</v>
      </c>
      <c r="G4978" s="2"/>
      <c r="H4978" s="3">
        <v>43053</v>
      </c>
      <c r="I4978" s="2" t="s">
        <v>19506</v>
      </c>
      <c r="J4978" s="2" t="s">
        <v>13904</v>
      </c>
      <c r="K4978" s="2" t="s">
        <v>19212</v>
      </c>
      <c r="L4978" s="82" t="s">
        <v>19512</v>
      </c>
    </row>
    <row r="4979" spans="1:15" ht="96" customHeight="1" x14ac:dyDescent="0.3">
      <c r="A4979" s="2">
        <v>4975</v>
      </c>
      <c r="B4979" s="66" t="s">
        <v>253</v>
      </c>
      <c r="C4979" s="66" t="s">
        <v>5626</v>
      </c>
      <c r="D4979" s="11">
        <v>3202.23</v>
      </c>
      <c r="E4979" s="11">
        <v>3202.23</v>
      </c>
      <c r="F4979" s="3">
        <v>32914</v>
      </c>
      <c r="G4979" s="2"/>
      <c r="H4979" s="3">
        <v>43053</v>
      </c>
      <c r="I4979" s="2" t="s">
        <v>19506</v>
      </c>
      <c r="J4979" s="2" t="s">
        <v>13904</v>
      </c>
      <c r="K4979" s="2" t="s">
        <v>19212</v>
      </c>
      <c r="L4979" s="82" t="s">
        <v>19512</v>
      </c>
    </row>
    <row r="4980" spans="1:15" ht="96" customHeight="1" x14ac:dyDescent="0.3">
      <c r="A4980" s="2">
        <v>4976</v>
      </c>
      <c r="B4980" s="66" t="s">
        <v>5369</v>
      </c>
      <c r="C4980" s="66" t="s">
        <v>5627</v>
      </c>
      <c r="D4980" s="11">
        <v>5800</v>
      </c>
      <c r="E4980" s="11">
        <v>5800</v>
      </c>
      <c r="F4980" s="3">
        <v>39420</v>
      </c>
      <c r="G4980" s="2"/>
      <c r="H4980" s="3">
        <v>43053</v>
      </c>
      <c r="I4980" s="2" t="s">
        <v>19506</v>
      </c>
      <c r="J4980" s="2" t="s">
        <v>13904</v>
      </c>
      <c r="K4980" s="2" t="s">
        <v>19212</v>
      </c>
      <c r="L4980" s="82" t="s">
        <v>19512</v>
      </c>
    </row>
    <row r="4981" spans="1:15" ht="96" customHeight="1" x14ac:dyDescent="0.3">
      <c r="A4981" s="2">
        <v>4977</v>
      </c>
      <c r="B4981" s="66" t="s">
        <v>5490</v>
      </c>
      <c r="C4981" s="66" t="s">
        <v>5628</v>
      </c>
      <c r="D4981" s="11">
        <v>4120</v>
      </c>
      <c r="E4981" s="11">
        <v>4120</v>
      </c>
      <c r="F4981" s="3">
        <v>39133</v>
      </c>
      <c r="G4981" s="2"/>
      <c r="H4981" s="3">
        <v>43053</v>
      </c>
      <c r="I4981" s="2" t="s">
        <v>19506</v>
      </c>
      <c r="J4981" s="2" t="s">
        <v>13904</v>
      </c>
      <c r="K4981" s="2" t="s">
        <v>19212</v>
      </c>
      <c r="L4981" s="82" t="s">
        <v>19512</v>
      </c>
    </row>
    <row r="4982" spans="1:15" ht="96" customHeight="1" x14ac:dyDescent="0.3">
      <c r="A4982" s="2">
        <v>4978</v>
      </c>
      <c r="B4982" s="66" t="s">
        <v>1391</v>
      </c>
      <c r="C4982" s="66" t="s">
        <v>5629</v>
      </c>
      <c r="D4982" s="11">
        <v>3500</v>
      </c>
      <c r="E4982" s="11">
        <v>3500</v>
      </c>
      <c r="F4982" s="3">
        <v>39694</v>
      </c>
      <c r="G4982" s="2"/>
      <c r="H4982" s="3">
        <v>43053</v>
      </c>
      <c r="I4982" s="2" t="s">
        <v>19506</v>
      </c>
      <c r="J4982" s="2" t="s">
        <v>13904</v>
      </c>
      <c r="K4982" s="2" t="s">
        <v>19212</v>
      </c>
      <c r="L4982" s="82" t="s">
        <v>19512</v>
      </c>
      <c r="M4982" s="18"/>
      <c r="N4982" s="18"/>
      <c r="O4982" s="18"/>
    </row>
    <row r="4983" spans="1:15" ht="96" customHeight="1" x14ac:dyDescent="0.3">
      <c r="A4983" s="2">
        <v>4979</v>
      </c>
      <c r="B4983" s="66" t="s">
        <v>5630</v>
      </c>
      <c r="C4983" s="66" t="s">
        <v>5631</v>
      </c>
      <c r="D4983" s="11">
        <v>3300</v>
      </c>
      <c r="E4983" s="11">
        <v>3300</v>
      </c>
      <c r="F4983" s="3">
        <v>41263</v>
      </c>
      <c r="G4983" s="2"/>
      <c r="H4983" s="3">
        <v>43053</v>
      </c>
      <c r="I4983" s="2" t="s">
        <v>19506</v>
      </c>
      <c r="J4983" s="2" t="s">
        <v>13904</v>
      </c>
      <c r="K4983" s="2" t="s">
        <v>19212</v>
      </c>
      <c r="L4983" s="82" t="s">
        <v>19512</v>
      </c>
    </row>
    <row r="4984" spans="1:15" ht="96" customHeight="1" x14ac:dyDescent="0.3">
      <c r="A4984" s="2">
        <v>4980</v>
      </c>
      <c r="B4984" s="66" t="s">
        <v>5630</v>
      </c>
      <c r="C4984" s="66" t="s">
        <v>5632</v>
      </c>
      <c r="D4984" s="11">
        <v>3300</v>
      </c>
      <c r="E4984" s="11">
        <v>3300</v>
      </c>
      <c r="F4984" s="3">
        <v>41263</v>
      </c>
      <c r="G4984" s="2"/>
      <c r="H4984" s="3">
        <v>43053</v>
      </c>
      <c r="I4984" s="2" t="s">
        <v>19506</v>
      </c>
      <c r="J4984" s="2" t="s">
        <v>13904</v>
      </c>
      <c r="K4984" s="2" t="s">
        <v>19212</v>
      </c>
      <c r="L4984" s="82" t="s">
        <v>19512</v>
      </c>
    </row>
    <row r="4985" spans="1:15" ht="96" customHeight="1" x14ac:dyDescent="0.3">
      <c r="A4985" s="2">
        <v>4981</v>
      </c>
      <c r="B4985" s="66" t="s">
        <v>5630</v>
      </c>
      <c r="C4985" s="66" t="s">
        <v>5633</v>
      </c>
      <c r="D4985" s="11">
        <v>3300</v>
      </c>
      <c r="E4985" s="11">
        <v>3300</v>
      </c>
      <c r="F4985" s="3">
        <v>41263</v>
      </c>
      <c r="G4985" s="2"/>
      <c r="H4985" s="3">
        <v>43053</v>
      </c>
      <c r="I4985" s="2" t="s">
        <v>19506</v>
      </c>
      <c r="J4985" s="2" t="s">
        <v>13904</v>
      </c>
      <c r="K4985" s="2" t="s">
        <v>19212</v>
      </c>
      <c r="L4985" s="82" t="s">
        <v>19512</v>
      </c>
    </row>
    <row r="4986" spans="1:15" ht="96" customHeight="1" x14ac:dyDescent="0.3">
      <c r="A4986" s="2">
        <v>4982</v>
      </c>
      <c r="B4986" s="66" t="s">
        <v>4933</v>
      </c>
      <c r="C4986" s="66" t="s">
        <v>5634</v>
      </c>
      <c r="D4986" s="11">
        <v>19500</v>
      </c>
      <c r="E4986" s="11">
        <v>19500</v>
      </c>
      <c r="F4986" s="3">
        <v>39588</v>
      </c>
      <c r="G4986" s="2"/>
      <c r="H4986" s="3">
        <v>43053</v>
      </c>
      <c r="I4986" s="2" t="s">
        <v>19506</v>
      </c>
      <c r="J4986" s="2" t="s">
        <v>13904</v>
      </c>
      <c r="K4986" s="2" t="s">
        <v>19212</v>
      </c>
      <c r="L4986" s="82" t="s">
        <v>19512</v>
      </c>
    </row>
    <row r="4987" spans="1:15" ht="96" customHeight="1" x14ac:dyDescent="0.3">
      <c r="A4987" s="2">
        <v>4983</v>
      </c>
      <c r="B4987" s="66" t="s">
        <v>269</v>
      </c>
      <c r="C4987" s="66" t="s">
        <v>5635</v>
      </c>
      <c r="D4987" s="11">
        <v>3728.09</v>
      </c>
      <c r="E4987" s="11">
        <v>3728.09</v>
      </c>
      <c r="F4987" s="3">
        <v>34678</v>
      </c>
      <c r="G4987" s="2"/>
      <c r="H4987" s="3">
        <v>43053</v>
      </c>
      <c r="I4987" s="2" t="s">
        <v>19506</v>
      </c>
      <c r="J4987" s="2" t="s">
        <v>13904</v>
      </c>
      <c r="K4987" s="2" t="s">
        <v>19212</v>
      </c>
      <c r="L4987" s="82" t="s">
        <v>19512</v>
      </c>
    </row>
    <row r="4988" spans="1:15" ht="96" customHeight="1" x14ac:dyDescent="0.3">
      <c r="A4988" s="2">
        <v>4984</v>
      </c>
      <c r="B4988" s="66" t="s">
        <v>4688</v>
      </c>
      <c r="C4988" s="66" t="s">
        <v>5636</v>
      </c>
      <c r="D4988" s="11">
        <v>5000</v>
      </c>
      <c r="E4988" s="11">
        <v>5000</v>
      </c>
      <c r="F4988" s="3">
        <v>39442</v>
      </c>
      <c r="G4988" s="2"/>
      <c r="H4988" s="3">
        <v>43053</v>
      </c>
      <c r="I4988" s="2" t="s">
        <v>19506</v>
      </c>
      <c r="J4988" s="2" t="s">
        <v>13904</v>
      </c>
      <c r="K4988" s="2" t="s">
        <v>19212</v>
      </c>
      <c r="L4988" s="82" t="s">
        <v>19512</v>
      </c>
    </row>
    <row r="4989" spans="1:15" ht="96" customHeight="1" x14ac:dyDescent="0.3">
      <c r="A4989" s="2">
        <v>4985</v>
      </c>
      <c r="B4989" s="66" t="s">
        <v>3639</v>
      </c>
      <c r="C4989" s="66" t="s">
        <v>5637</v>
      </c>
      <c r="D4989" s="11">
        <v>3909.17</v>
      </c>
      <c r="E4989" s="11">
        <v>3909.17</v>
      </c>
      <c r="F4989" s="3">
        <v>39066</v>
      </c>
      <c r="G4989" s="2"/>
      <c r="H4989" s="3">
        <v>43053</v>
      </c>
      <c r="I4989" s="2" t="s">
        <v>19506</v>
      </c>
      <c r="J4989" s="2" t="s">
        <v>13904</v>
      </c>
      <c r="K4989" s="2" t="s">
        <v>19212</v>
      </c>
      <c r="L4989" s="82" t="s">
        <v>19512</v>
      </c>
    </row>
    <row r="4990" spans="1:15" ht="96" customHeight="1" x14ac:dyDescent="0.3">
      <c r="A4990" s="2">
        <v>4986</v>
      </c>
      <c r="B4990" s="66" t="s">
        <v>197</v>
      </c>
      <c r="C4990" s="66" t="s">
        <v>5638</v>
      </c>
      <c r="D4990" s="11">
        <v>6286.5</v>
      </c>
      <c r="E4990" s="11">
        <v>6286.5</v>
      </c>
      <c r="F4990" s="3">
        <v>34377</v>
      </c>
      <c r="G4990" s="2"/>
      <c r="H4990" s="3">
        <v>43053</v>
      </c>
      <c r="I4990" s="2" t="s">
        <v>19506</v>
      </c>
      <c r="J4990" s="2" t="s">
        <v>13904</v>
      </c>
      <c r="K4990" s="2" t="s">
        <v>19212</v>
      </c>
      <c r="L4990" s="82" t="s">
        <v>19512</v>
      </c>
    </row>
    <row r="4991" spans="1:15" ht="96" customHeight="1" x14ac:dyDescent="0.3">
      <c r="A4991" s="2">
        <v>4987</v>
      </c>
      <c r="B4991" s="66" t="s">
        <v>5639</v>
      </c>
      <c r="C4991" s="66" t="s">
        <v>5640</v>
      </c>
      <c r="D4991" s="11">
        <v>5600.28</v>
      </c>
      <c r="E4991" s="11">
        <v>5600.28</v>
      </c>
      <c r="F4991" s="3">
        <v>41267</v>
      </c>
      <c r="G4991" s="2"/>
      <c r="H4991" s="3">
        <v>43053</v>
      </c>
      <c r="I4991" s="2" t="s">
        <v>19506</v>
      </c>
      <c r="J4991" s="2" t="s">
        <v>13904</v>
      </c>
      <c r="K4991" s="2" t="s">
        <v>19212</v>
      </c>
      <c r="L4991" s="82" t="s">
        <v>19512</v>
      </c>
    </row>
    <row r="4992" spans="1:15" ht="96" customHeight="1" x14ac:dyDescent="0.3">
      <c r="A4992" s="2">
        <v>4988</v>
      </c>
      <c r="B4992" s="66" t="s">
        <v>5641</v>
      </c>
      <c r="C4992" s="66" t="s">
        <v>5642</v>
      </c>
      <c r="D4992" s="11">
        <v>8300</v>
      </c>
      <c r="E4992" s="11">
        <v>8300</v>
      </c>
      <c r="F4992" s="3">
        <v>41256</v>
      </c>
      <c r="G4992" s="2"/>
      <c r="H4992" s="3">
        <v>43053</v>
      </c>
      <c r="I4992" s="2" t="s">
        <v>19506</v>
      </c>
      <c r="J4992" s="2" t="s">
        <v>13904</v>
      </c>
      <c r="K4992" s="2" t="s">
        <v>19212</v>
      </c>
      <c r="L4992" s="82" t="s">
        <v>19512</v>
      </c>
      <c r="M4992" s="18"/>
      <c r="N4992" s="18"/>
      <c r="O4992" s="18"/>
    </row>
    <row r="4993" spans="1:12" ht="96" customHeight="1" x14ac:dyDescent="0.3">
      <c r="A4993" s="2">
        <v>4989</v>
      </c>
      <c r="B4993" s="66" t="s">
        <v>5643</v>
      </c>
      <c r="C4993" s="66" t="s">
        <v>5644</v>
      </c>
      <c r="D4993" s="11">
        <v>7281.45</v>
      </c>
      <c r="E4993" s="11">
        <v>7281.45</v>
      </c>
      <c r="F4993" s="3">
        <v>41607</v>
      </c>
      <c r="G4993" s="2"/>
      <c r="H4993" s="3">
        <v>43053</v>
      </c>
      <c r="I4993" s="2" t="s">
        <v>19506</v>
      </c>
      <c r="J4993" s="2" t="s">
        <v>13904</v>
      </c>
      <c r="K4993" s="2" t="s">
        <v>19212</v>
      </c>
      <c r="L4993" s="82" t="s">
        <v>19512</v>
      </c>
    </row>
    <row r="4994" spans="1:12" ht="96" customHeight="1" x14ac:dyDescent="0.3">
      <c r="A4994" s="2">
        <v>4990</v>
      </c>
      <c r="B4994" s="66" t="s">
        <v>5643</v>
      </c>
      <c r="C4994" s="66" t="s">
        <v>3972</v>
      </c>
      <c r="D4994" s="11">
        <v>7281.45</v>
      </c>
      <c r="E4994" s="11">
        <v>7281.45</v>
      </c>
      <c r="F4994" s="3">
        <v>41607</v>
      </c>
      <c r="G4994" s="2"/>
      <c r="H4994" s="3">
        <v>43053</v>
      </c>
      <c r="I4994" s="2" t="s">
        <v>19506</v>
      </c>
      <c r="J4994" s="2" t="s">
        <v>13904</v>
      </c>
      <c r="K4994" s="2" t="s">
        <v>19212</v>
      </c>
      <c r="L4994" s="82" t="s">
        <v>19512</v>
      </c>
    </row>
    <row r="4995" spans="1:12" ht="96" customHeight="1" x14ac:dyDescent="0.3">
      <c r="A4995" s="2">
        <v>4991</v>
      </c>
      <c r="B4995" s="66" t="s">
        <v>5643</v>
      </c>
      <c r="C4995" s="66" t="s">
        <v>3232</v>
      </c>
      <c r="D4995" s="11">
        <v>7281.45</v>
      </c>
      <c r="E4995" s="11">
        <v>7281.45</v>
      </c>
      <c r="F4995" s="3">
        <v>41607</v>
      </c>
      <c r="G4995" s="2"/>
      <c r="H4995" s="3">
        <v>43053</v>
      </c>
      <c r="I4995" s="2" t="s">
        <v>19506</v>
      </c>
      <c r="J4995" s="2" t="s">
        <v>13904</v>
      </c>
      <c r="K4995" s="2" t="s">
        <v>19212</v>
      </c>
      <c r="L4995" s="82" t="s">
        <v>19512</v>
      </c>
    </row>
    <row r="4996" spans="1:12" ht="96" customHeight="1" x14ac:dyDescent="0.3">
      <c r="A4996" s="2">
        <v>4992</v>
      </c>
      <c r="B4996" s="66" t="s">
        <v>3377</v>
      </c>
      <c r="C4996" s="66" t="s">
        <v>3246</v>
      </c>
      <c r="D4996" s="11">
        <v>4030</v>
      </c>
      <c r="E4996" s="11">
        <v>4030</v>
      </c>
      <c r="F4996" s="3">
        <v>41851</v>
      </c>
      <c r="G4996" s="2"/>
      <c r="H4996" s="3">
        <v>43053</v>
      </c>
      <c r="I4996" s="2" t="s">
        <v>19506</v>
      </c>
      <c r="J4996" s="2" t="s">
        <v>13904</v>
      </c>
      <c r="K4996" s="2" t="s">
        <v>19212</v>
      </c>
      <c r="L4996" s="82" t="s">
        <v>19512</v>
      </c>
    </row>
    <row r="4997" spans="1:12" ht="96" customHeight="1" x14ac:dyDescent="0.3">
      <c r="A4997" s="2">
        <v>4993</v>
      </c>
      <c r="B4997" s="66" t="s">
        <v>3377</v>
      </c>
      <c r="C4997" s="66" t="s">
        <v>3245</v>
      </c>
      <c r="D4997" s="11">
        <v>4030</v>
      </c>
      <c r="E4997" s="11">
        <v>4030</v>
      </c>
      <c r="F4997" s="3">
        <v>41851</v>
      </c>
      <c r="G4997" s="2"/>
      <c r="H4997" s="3">
        <v>43053</v>
      </c>
      <c r="I4997" s="2" t="s">
        <v>19506</v>
      </c>
      <c r="J4997" s="2" t="s">
        <v>13904</v>
      </c>
      <c r="K4997" s="2" t="s">
        <v>19212</v>
      </c>
      <c r="L4997" s="82" t="s">
        <v>19512</v>
      </c>
    </row>
    <row r="4998" spans="1:12" ht="96" customHeight="1" x14ac:dyDescent="0.3">
      <c r="A4998" s="2">
        <v>4994</v>
      </c>
      <c r="B4998" s="66" t="s">
        <v>3377</v>
      </c>
      <c r="C4998" s="66" t="s">
        <v>3244</v>
      </c>
      <c r="D4998" s="11">
        <v>4030</v>
      </c>
      <c r="E4998" s="11">
        <v>4030</v>
      </c>
      <c r="F4998" s="3">
        <v>41851</v>
      </c>
      <c r="G4998" s="2"/>
      <c r="H4998" s="3">
        <v>43053</v>
      </c>
      <c r="I4998" s="2" t="s">
        <v>19506</v>
      </c>
      <c r="J4998" s="2" t="s">
        <v>13904</v>
      </c>
      <c r="K4998" s="2" t="s">
        <v>19212</v>
      </c>
      <c r="L4998" s="82" t="s">
        <v>19512</v>
      </c>
    </row>
    <row r="4999" spans="1:12" ht="96" customHeight="1" x14ac:dyDescent="0.3">
      <c r="A4999" s="2">
        <v>4995</v>
      </c>
      <c r="B4999" s="66" t="s">
        <v>3377</v>
      </c>
      <c r="C4999" s="66" t="s">
        <v>3243</v>
      </c>
      <c r="D4999" s="11">
        <v>4030</v>
      </c>
      <c r="E4999" s="11">
        <v>4030</v>
      </c>
      <c r="F4999" s="3">
        <v>41851</v>
      </c>
      <c r="G4999" s="2"/>
      <c r="H4999" s="3">
        <v>43053</v>
      </c>
      <c r="I4999" s="2" t="s">
        <v>19506</v>
      </c>
      <c r="J4999" s="2" t="s">
        <v>13904</v>
      </c>
      <c r="K4999" s="2" t="s">
        <v>19212</v>
      </c>
      <c r="L4999" s="82" t="s">
        <v>19512</v>
      </c>
    </row>
    <row r="5000" spans="1:12" ht="96" customHeight="1" x14ac:dyDescent="0.3">
      <c r="A5000" s="2">
        <v>4996</v>
      </c>
      <c r="B5000" s="66" t="s">
        <v>5645</v>
      </c>
      <c r="C5000" s="66" t="s">
        <v>3146</v>
      </c>
      <c r="D5000" s="11">
        <v>19500</v>
      </c>
      <c r="E5000" s="11">
        <v>19500</v>
      </c>
      <c r="F5000" s="3">
        <v>41851</v>
      </c>
      <c r="G5000" s="2"/>
      <c r="H5000" s="3">
        <v>43053</v>
      </c>
      <c r="I5000" s="2" t="s">
        <v>19506</v>
      </c>
      <c r="J5000" s="2" t="s">
        <v>13904</v>
      </c>
      <c r="K5000" s="2" t="s">
        <v>19212</v>
      </c>
      <c r="L5000" s="82" t="s">
        <v>19512</v>
      </c>
    </row>
    <row r="5001" spans="1:12" ht="96" customHeight="1" x14ac:dyDescent="0.3">
      <c r="A5001" s="2">
        <v>4997</v>
      </c>
      <c r="B5001" s="66" t="s">
        <v>5646</v>
      </c>
      <c r="C5001" s="66" t="s">
        <v>3145</v>
      </c>
      <c r="D5001" s="11">
        <v>5360</v>
      </c>
      <c r="E5001" s="11">
        <v>5360</v>
      </c>
      <c r="F5001" s="3">
        <v>41851</v>
      </c>
      <c r="G5001" s="2"/>
      <c r="H5001" s="3">
        <v>43053</v>
      </c>
      <c r="I5001" s="2" t="s">
        <v>19506</v>
      </c>
      <c r="J5001" s="2" t="s">
        <v>13904</v>
      </c>
      <c r="K5001" s="2" t="s">
        <v>19212</v>
      </c>
      <c r="L5001" s="82" t="s">
        <v>19512</v>
      </c>
    </row>
    <row r="5002" spans="1:12" ht="96" customHeight="1" x14ac:dyDescent="0.3">
      <c r="A5002" s="2">
        <v>4998</v>
      </c>
      <c r="B5002" s="66" t="s">
        <v>5647</v>
      </c>
      <c r="C5002" s="66" t="s">
        <v>3148</v>
      </c>
      <c r="D5002" s="11">
        <v>4380</v>
      </c>
      <c r="E5002" s="11">
        <v>4380</v>
      </c>
      <c r="F5002" s="3">
        <v>41851</v>
      </c>
      <c r="G5002" s="2"/>
      <c r="H5002" s="3">
        <v>43053</v>
      </c>
      <c r="I5002" s="2" t="s">
        <v>19506</v>
      </c>
      <c r="J5002" s="2" t="s">
        <v>13904</v>
      </c>
      <c r="K5002" s="2" t="s">
        <v>19212</v>
      </c>
      <c r="L5002" s="82" t="s">
        <v>19512</v>
      </c>
    </row>
    <row r="5003" spans="1:12" ht="96" customHeight="1" x14ac:dyDescent="0.3">
      <c r="A5003" s="2">
        <v>4999</v>
      </c>
      <c r="B5003" s="66" t="s">
        <v>5648</v>
      </c>
      <c r="C5003" s="66" t="s">
        <v>3147</v>
      </c>
      <c r="D5003" s="11">
        <v>6800</v>
      </c>
      <c r="E5003" s="11">
        <v>6800</v>
      </c>
      <c r="F5003" s="3">
        <v>41851</v>
      </c>
      <c r="G5003" s="2"/>
      <c r="H5003" s="3">
        <v>43053</v>
      </c>
      <c r="I5003" s="2" t="s">
        <v>19506</v>
      </c>
      <c r="J5003" s="2" t="s">
        <v>13904</v>
      </c>
      <c r="K5003" s="2" t="s">
        <v>19212</v>
      </c>
      <c r="L5003" s="82" t="s">
        <v>19512</v>
      </c>
    </row>
    <row r="5004" spans="1:12" ht="96" customHeight="1" x14ac:dyDescent="0.3">
      <c r="A5004" s="2">
        <v>5000</v>
      </c>
      <c r="B5004" s="66" t="s">
        <v>5649</v>
      </c>
      <c r="C5004" s="66" t="s">
        <v>3149</v>
      </c>
      <c r="D5004" s="11">
        <v>4600</v>
      </c>
      <c r="E5004" s="11">
        <v>4600</v>
      </c>
      <c r="F5004" s="3">
        <v>41851</v>
      </c>
      <c r="G5004" s="2"/>
      <c r="H5004" s="3">
        <v>43053</v>
      </c>
      <c r="I5004" s="2" t="s">
        <v>19506</v>
      </c>
      <c r="J5004" s="2" t="s">
        <v>13904</v>
      </c>
      <c r="K5004" s="2" t="s">
        <v>19212</v>
      </c>
      <c r="L5004" s="82" t="s">
        <v>19512</v>
      </c>
    </row>
    <row r="5005" spans="1:12" ht="96" customHeight="1" x14ac:dyDescent="0.3">
      <c r="A5005" s="2">
        <v>5001</v>
      </c>
      <c r="B5005" s="66" t="s">
        <v>3377</v>
      </c>
      <c r="C5005" s="66" t="s">
        <v>3242</v>
      </c>
      <c r="D5005" s="11">
        <v>4030</v>
      </c>
      <c r="E5005" s="11">
        <v>4030</v>
      </c>
      <c r="F5005" s="3">
        <v>41851</v>
      </c>
      <c r="G5005" s="2"/>
      <c r="H5005" s="3">
        <v>43053</v>
      </c>
      <c r="I5005" s="2" t="s">
        <v>19506</v>
      </c>
      <c r="J5005" s="2" t="s">
        <v>13904</v>
      </c>
      <c r="K5005" s="2" t="s">
        <v>19212</v>
      </c>
      <c r="L5005" s="82" t="s">
        <v>19512</v>
      </c>
    </row>
    <row r="5006" spans="1:12" ht="96" customHeight="1" x14ac:dyDescent="0.3">
      <c r="A5006" s="2">
        <v>5002</v>
      </c>
      <c r="B5006" s="66" t="s">
        <v>5650</v>
      </c>
      <c r="C5006" s="66" t="s">
        <v>3241</v>
      </c>
      <c r="D5006" s="11">
        <v>4510</v>
      </c>
      <c r="E5006" s="11">
        <v>4510</v>
      </c>
      <c r="F5006" s="3">
        <v>41851</v>
      </c>
      <c r="G5006" s="2"/>
      <c r="H5006" s="3">
        <v>43053</v>
      </c>
      <c r="I5006" s="2" t="s">
        <v>19506</v>
      </c>
      <c r="J5006" s="2" t="s">
        <v>13904</v>
      </c>
      <c r="K5006" s="2" t="s">
        <v>19212</v>
      </c>
      <c r="L5006" s="82" t="s">
        <v>19512</v>
      </c>
    </row>
    <row r="5007" spans="1:12" ht="96" customHeight="1" x14ac:dyDescent="0.3">
      <c r="A5007" s="2">
        <v>5003</v>
      </c>
      <c r="B5007" s="66" t="s">
        <v>5109</v>
      </c>
      <c r="C5007" s="66" t="s">
        <v>5651</v>
      </c>
      <c r="D5007" s="11">
        <v>6000.3</v>
      </c>
      <c r="E5007" s="11">
        <v>6000.3</v>
      </c>
      <c r="F5007" s="3">
        <v>41115</v>
      </c>
      <c r="G5007" s="2"/>
      <c r="H5007" s="3">
        <v>43053</v>
      </c>
      <c r="I5007" s="2" t="s">
        <v>19506</v>
      </c>
      <c r="J5007" s="2" t="s">
        <v>13904</v>
      </c>
      <c r="K5007" s="2" t="s">
        <v>19212</v>
      </c>
      <c r="L5007" s="82" t="s">
        <v>19512</v>
      </c>
    </row>
    <row r="5008" spans="1:12" ht="96" customHeight="1" x14ac:dyDescent="0.3">
      <c r="A5008" s="2">
        <v>5004</v>
      </c>
      <c r="B5008" s="66" t="s">
        <v>3653</v>
      </c>
      <c r="C5008" s="66" t="s">
        <v>5652</v>
      </c>
      <c r="D5008" s="11">
        <v>4319.9799999999996</v>
      </c>
      <c r="E5008" s="11">
        <v>4319.9799999999996</v>
      </c>
      <c r="F5008" s="3">
        <v>41115</v>
      </c>
      <c r="G5008" s="2"/>
      <c r="H5008" s="3">
        <v>43053</v>
      </c>
      <c r="I5008" s="2" t="s">
        <v>19506</v>
      </c>
      <c r="J5008" s="2" t="s">
        <v>13904</v>
      </c>
      <c r="K5008" s="2" t="s">
        <v>19212</v>
      </c>
      <c r="L5008" s="82" t="s">
        <v>19512</v>
      </c>
    </row>
    <row r="5009" spans="1:15" ht="96" customHeight="1" x14ac:dyDescent="0.3">
      <c r="A5009" s="2">
        <v>5005</v>
      </c>
      <c r="B5009" s="66" t="s">
        <v>18769</v>
      </c>
      <c r="C5009" s="66">
        <v>4101260001</v>
      </c>
      <c r="D5009" s="11">
        <v>268454.98</v>
      </c>
      <c r="E5009" s="11">
        <v>1491.42</v>
      </c>
      <c r="F5009" s="3">
        <v>42653</v>
      </c>
      <c r="G5009" s="2"/>
      <c r="H5009" s="2"/>
      <c r="I5009" s="2"/>
      <c r="J5009" s="2" t="s">
        <v>13904</v>
      </c>
      <c r="K5009" s="2" t="s">
        <v>19212</v>
      </c>
      <c r="L5009" s="82" t="s">
        <v>18768</v>
      </c>
    </row>
    <row r="5010" spans="1:15" ht="96" customHeight="1" x14ac:dyDescent="0.3">
      <c r="A5010" s="2">
        <v>5006</v>
      </c>
      <c r="B5010" s="66" t="s">
        <v>5346</v>
      </c>
      <c r="C5010" s="66" t="s">
        <v>5653</v>
      </c>
      <c r="D5010" s="11">
        <v>4250.34</v>
      </c>
      <c r="E5010" s="11">
        <v>4250.34</v>
      </c>
      <c r="F5010" s="3">
        <v>41558</v>
      </c>
      <c r="G5010" s="2"/>
      <c r="H5010" s="3">
        <v>43053</v>
      </c>
      <c r="I5010" s="2" t="s">
        <v>19506</v>
      </c>
      <c r="J5010" s="2" t="s">
        <v>13904</v>
      </c>
      <c r="K5010" s="2" t="s">
        <v>19212</v>
      </c>
      <c r="L5010" s="82" t="s">
        <v>19512</v>
      </c>
    </row>
    <row r="5011" spans="1:15" ht="96" customHeight="1" x14ac:dyDescent="0.3">
      <c r="A5011" s="2">
        <v>5007</v>
      </c>
      <c r="B5011" s="66" t="s">
        <v>5654</v>
      </c>
      <c r="C5011" s="66" t="s">
        <v>3151</v>
      </c>
      <c r="D5011" s="11">
        <v>3200</v>
      </c>
      <c r="E5011" s="11">
        <v>3200</v>
      </c>
      <c r="F5011" s="3">
        <v>41996</v>
      </c>
      <c r="G5011" s="2"/>
      <c r="H5011" s="3">
        <v>43053</v>
      </c>
      <c r="I5011" s="2" t="s">
        <v>19506</v>
      </c>
      <c r="J5011" s="2" t="s">
        <v>13904</v>
      </c>
      <c r="K5011" s="2" t="s">
        <v>19212</v>
      </c>
      <c r="L5011" s="82" t="s">
        <v>19512</v>
      </c>
    </row>
    <row r="5012" spans="1:15" ht="96" customHeight="1" x14ac:dyDescent="0.3">
      <c r="A5012" s="2">
        <v>5008</v>
      </c>
      <c r="B5012" s="66" t="s">
        <v>5655</v>
      </c>
      <c r="C5012" s="66" t="s">
        <v>5656</v>
      </c>
      <c r="D5012" s="11">
        <v>12855.78</v>
      </c>
      <c r="E5012" s="11">
        <v>12855.78</v>
      </c>
      <c r="F5012" s="3">
        <v>38762</v>
      </c>
      <c r="G5012" s="2"/>
      <c r="H5012" s="3">
        <v>43053</v>
      </c>
      <c r="I5012" s="2" t="s">
        <v>19506</v>
      </c>
      <c r="J5012" s="2" t="s">
        <v>13904</v>
      </c>
      <c r="K5012" s="2" t="s">
        <v>19212</v>
      </c>
      <c r="L5012" s="82" t="s">
        <v>19512</v>
      </c>
    </row>
    <row r="5013" spans="1:15" s="19" customFormat="1" ht="84" customHeight="1" x14ac:dyDescent="0.3">
      <c r="A5013" s="2">
        <v>5009</v>
      </c>
      <c r="B5013" s="66" t="s">
        <v>5658</v>
      </c>
      <c r="C5013" s="66" t="s">
        <v>5659</v>
      </c>
      <c r="D5013" s="11">
        <v>1500000</v>
      </c>
      <c r="E5013" s="11">
        <v>883332.98</v>
      </c>
      <c r="F5013" s="3">
        <v>39435</v>
      </c>
      <c r="G5013" s="2"/>
      <c r="H5013" s="2"/>
      <c r="I5013" s="2"/>
      <c r="J5013" s="2" t="s">
        <v>13904</v>
      </c>
      <c r="K5013" s="2" t="s">
        <v>5657</v>
      </c>
      <c r="L5013" s="2" t="s">
        <v>18773</v>
      </c>
      <c r="M5013" s="18"/>
      <c r="N5013" s="18"/>
      <c r="O5013" s="18"/>
    </row>
    <row r="5014" spans="1:15" ht="84" customHeight="1" x14ac:dyDescent="0.3">
      <c r="A5014" s="2">
        <v>5010</v>
      </c>
      <c r="B5014" s="66" t="s">
        <v>5660</v>
      </c>
      <c r="C5014" s="66" t="s">
        <v>5661</v>
      </c>
      <c r="D5014" s="11">
        <v>1793113</v>
      </c>
      <c r="E5014" s="11">
        <v>1778170.42</v>
      </c>
      <c r="F5014" s="3"/>
      <c r="G5014" s="2"/>
      <c r="H5014" s="2"/>
      <c r="I5014" s="2"/>
      <c r="J5014" s="2" t="s">
        <v>13904</v>
      </c>
      <c r="K5014" s="2" t="s">
        <v>5657</v>
      </c>
      <c r="L5014" s="82" t="s">
        <v>18773</v>
      </c>
    </row>
    <row r="5015" spans="1:15" ht="120" customHeight="1" x14ac:dyDescent="0.3">
      <c r="A5015" s="2">
        <v>5011</v>
      </c>
      <c r="B5015" s="66" t="s">
        <v>22204</v>
      </c>
      <c r="C5015" s="66">
        <v>4101240040</v>
      </c>
      <c r="D5015" s="11">
        <v>50120</v>
      </c>
      <c r="E5015" s="11">
        <v>0</v>
      </c>
      <c r="F5015" s="3" t="s">
        <v>20110</v>
      </c>
      <c r="G5015" s="2" t="s">
        <v>22208</v>
      </c>
      <c r="H5015" s="3"/>
      <c r="I5015" s="2"/>
      <c r="J5015" s="2" t="s">
        <v>13904</v>
      </c>
      <c r="K5015" s="2" t="s">
        <v>22207</v>
      </c>
      <c r="L5015" s="82" t="s">
        <v>22999</v>
      </c>
    </row>
    <row r="5016" spans="1:15" ht="120" customHeight="1" x14ac:dyDescent="0.3">
      <c r="A5016" s="2">
        <v>5012</v>
      </c>
      <c r="B5016" s="66" t="s">
        <v>22204</v>
      </c>
      <c r="C5016" s="66">
        <v>4101240041</v>
      </c>
      <c r="D5016" s="11">
        <v>50120</v>
      </c>
      <c r="E5016" s="11">
        <v>0</v>
      </c>
      <c r="F5016" s="3" t="s">
        <v>20110</v>
      </c>
      <c r="G5016" s="2" t="s">
        <v>22208</v>
      </c>
      <c r="H5016" s="3"/>
      <c r="I5016" s="2"/>
      <c r="J5016" s="2" t="s">
        <v>13904</v>
      </c>
      <c r="K5016" s="2" t="s">
        <v>22207</v>
      </c>
      <c r="L5016" s="246" t="s">
        <v>22999</v>
      </c>
    </row>
    <row r="5017" spans="1:15" ht="120" customHeight="1" x14ac:dyDescent="0.3">
      <c r="A5017" s="2">
        <v>5013</v>
      </c>
      <c r="B5017" s="66" t="s">
        <v>22204</v>
      </c>
      <c r="C5017" s="66">
        <v>4101240042</v>
      </c>
      <c r="D5017" s="11">
        <v>50120</v>
      </c>
      <c r="E5017" s="11">
        <v>0</v>
      </c>
      <c r="F5017" s="3" t="s">
        <v>20110</v>
      </c>
      <c r="G5017" s="2" t="s">
        <v>22208</v>
      </c>
      <c r="H5017" s="3"/>
      <c r="I5017" s="2"/>
      <c r="J5017" s="2" t="s">
        <v>13904</v>
      </c>
      <c r="K5017" s="2" t="s">
        <v>22207</v>
      </c>
      <c r="L5017" s="246" t="s">
        <v>22999</v>
      </c>
    </row>
    <row r="5018" spans="1:15" ht="120" customHeight="1" x14ac:dyDescent="0.3">
      <c r="A5018" s="2">
        <v>5014</v>
      </c>
      <c r="B5018" s="66" t="s">
        <v>22204</v>
      </c>
      <c r="C5018" s="66">
        <v>4101240043</v>
      </c>
      <c r="D5018" s="11">
        <v>50120</v>
      </c>
      <c r="E5018" s="11">
        <v>0</v>
      </c>
      <c r="F5018" s="3" t="s">
        <v>20110</v>
      </c>
      <c r="G5018" s="2" t="s">
        <v>22208</v>
      </c>
      <c r="H5018" s="3"/>
      <c r="I5018" s="2"/>
      <c r="J5018" s="2" t="s">
        <v>13904</v>
      </c>
      <c r="K5018" s="2" t="s">
        <v>22207</v>
      </c>
      <c r="L5018" s="246" t="s">
        <v>22999</v>
      </c>
    </row>
    <row r="5019" spans="1:15" ht="120" customHeight="1" x14ac:dyDescent="0.3">
      <c r="A5019" s="2">
        <v>5015</v>
      </c>
      <c r="B5019" s="66" t="s">
        <v>22204</v>
      </c>
      <c r="C5019" s="66">
        <v>4101240044</v>
      </c>
      <c r="D5019" s="11">
        <v>50120</v>
      </c>
      <c r="E5019" s="11">
        <v>0</v>
      </c>
      <c r="F5019" s="3" t="s">
        <v>20110</v>
      </c>
      <c r="G5019" s="2" t="s">
        <v>22208</v>
      </c>
      <c r="H5019" s="3"/>
      <c r="I5019" s="2"/>
      <c r="J5019" s="2" t="s">
        <v>13904</v>
      </c>
      <c r="K5019" s="2" t="s">
        <v>22207</v>
      </c>
      <c r="L5019" s="246" t="s">
        <v>22999</v>
      </c>
    </row>
    <row r="5020" spans="1:15" ht="84" customHeight="1" x14ac:dyDescent="0.3">
      <c r="A5020" s="2">
        <v>5016</v>
      </c>
      <c r="B5020" s="66" t="s">
        <v>5663</v>
      </c>
      <c r="C5020" s="66" t="s">
        <v>5664</v>
      </c>
      <c r="D5020" s="11">
        <v>114318.94</v>
      </c>
      <c r="E5020" s="11">
        <v>114318.94</v>
      </c>
      <c r="F5020" s="3">
        <v>39052</v>
      </c>
      <c r="G5020" s="2"/>
      <c r="H5020" s="2"/>
      <c r="I5020" s="2"/>
      <c r="J5020" s="2" t="s">
        <v>13904</v>
      </c>
      <c r="K5020" s="2" t="s">
        <v>5657</v>
      </c>
      <c r="L5020" s="82" t="s">
        <v>18773</v>
      </c>
    </row>
    <row r="5021" spans="1:15" ht="120" customHeight="1" x14ac:dyDescent="0.3">
      <c r="A5021" s="2">
        <v>5017</v>
      </c>
      <c r="B5021" s="66" t="s">
        <v>22204</v>
      </c>
      <c r="C5021" s="66">
        <v>4101240045</v>
      </c>
      <c r="D5021" s="11">
        <v>50120</v>
      </c>
      <c r="E5021" s="11">
        <v>0</v>
      </c>
      <c r="F5021" s="3" t="s">
        <v>20110</v>
      </c>
      <c r="G5021" s="2" t="s">
        <v>22208</v>
      </c>
      <c r="H5021" s="3"/>
      <c r="I5021" s="2"/>
      <c r="J5021" s="2" t="s">
        <v>13904</v>
      </c>
      <c r="K5021" s="2" t="s">
        <v>22207</v>
      </c>
      <c r="L5021" s="246" t="s">
        <v>22999</v>
      </c>
    </row>
    <row r="5022" spans="1:15" ht="120" customHeight="1" x14ac:dyDescent="0.3">
      <c r="A5022" s="2">
        <v>5018</v>
      </c>
      <c r="B5022" s="66" t="s">
        <v>22204</v>
      </c>
      <c r="C5022" s="66">
        <v>4101240046</v>
      </c>
      <c r="D5022" s="11">
        <v>50120</v>
      </c>
      <c r="E5022" s="11">
        <v>0</v>
      </c>
      <c r="F5022" s="3" t="s">
        <v>20110</v>
      </c>
      <c r="G5022" s="2" t="s">
        <v>22208</v>
      </c>
      <c r="H5022" s="3"/>
      <c r="I5022" s="2"/>
      <c r="J5022" s="2" t="s">
        <v>13904</v>
      </c>
      <c r="K5022" s="2" t="s">
        <v>22207</v>
      </c>
      <c r="L5022" s="246" t="s">
        <v>22999</v>
      </c>
    </row>
    <row r="5023" spans="1:15" ht="84" customHeight="1" x14ac:dyDescent="0.3">
      <c r="A5023" s="2">
        <v>5019</v>
      </c>
      <c r="B5023" s="66" t="s">
        <v>5665</v>
      </c>
      <c r="C5023" s="66" t="s">
        <v>5666</v>
      </c>
      <c r="D5023" s="11">
        <v>51547</v>
      </c>
      <c r="E5023" s="11">
        <v>51547</v>
      </c>
      <c r="F5023" s="3">
        <v>40870</v>
      </c>
      <c r="G5023" s="2"/>
      <c r="H5023" s="2"/>
      <c r="I5023" s="2"/>
      <c r="J5023" s="2" t="s">
        <v>13904</v>
      </c>
      <c r="K5023" s="2" t="s">
        <v>5657</v>
      </c>
      <c r="L5023" s="82" t="s">
        <v>18774</v>
      </c>
    </row>
    <row r="5024" spans="1:15" ht="120" customHeight="1" x14ac:dyDescent="0.3">
      <c r="A5024" s="2">
        <v>5020</v>
      </c>
      <c r="B5024" s="66" t="s">
        <v>22204</v>
      </c>
      <c r="C5024" s="66">
        <v>4101240047</v>
      </c>
      <c r="D5024" s="11">
        <v>50120</v>
      </c>
      <c r="E5024" s="11">
        <v>0</v>
      </c>
      <c r="F5024" s="3" t="s">
        <v>20110</v>
      </c>
      <c r="G5024" s="2" t="s">
        <v>22208</v>
      </c>
      <c r="H5024" s="3"/>
      <c r="I5024" s="2"/>
      <c r="J5024" s="2" t="s">
        <v>13904</v>
      </c>
      <c r="K5024" s="2" t="s">
        <v>22207</v>
      </c>
      <c r="L5024" s="246" t="s">
        <v>22999</v>
      </c>
    </row>
    <row r="5025" spans="1:12" ht="84" customHeight="1" x14ac:dyDescent="0.3">
      <c r="A5025" s="2">
        <v>5021</v>
      </c>
      <c r="B5025" s="66" t="s">
        <v>5668</v>
      </c>
      <c r="C5025" s="66" t="s">
        <v>5669</v>
      </c>
      <c r="D5025" s="11">
        <v>53634</v>
      </c>
      <c r="E5025" s="11">
        <v>53634</v>
      </c>
      <c r="F5025" s="3">
        <v>40870</v>
      </c>
      <c r="G5025" s="2"/>
      <c r="H5025" s="2"/>
      <c r="I5025" s="2"/>
      <c r="J5025" s="2" t="s">
        <v>13904</v>
      </c>
      <c r="K5025" s="2" t="s">
        <v>5657</v>
      </c>
      <c r="L5025" s="82" t="s">
        <v>18774</v>
      </c>
    </row>
    <row r="5026" spans="1:12" ht="120" customHeight="1" x14ac:dyDescent="0.3">
      <c r="A5026" s="2">
        <v>5022</v>
      </c>
      <c r="B5026" s="66" t="s">
        <v>22204</v>
      </c>
      <c r="C5026" s="66">
        <v>4101240048</v>
      </c>
      <c r="D5026" s="11">
        <v>50120</v>
      </c>
      <c r="E5026" s="11">
        <v>0</v>
      </c>
      <c r="F5026" s="3" t="s">
        <v>20110</v>
      </c>
      <c r="G5026" s="2" t="s">
        <v>22208</v>
      </c>
      <c r="H5026" s="3"/>
      <c r="I5026" s="2"/>
      <c r="J5026" s="2" t="s">
        <v>13904</v>
      </c>
      <c r="K5026" s="2" t="s">
        <v>22207</v>
      </c>
      <c r="L5026" s="246" t="s">
        <v>22999</v>
      </c>
    </row>
    <row r="5027" spans="1:12" ht="84" customHeight="1" x14ac:dyDescent="0.3">
      <c r="A5027" s="2">
        <v>5023</v>
      </c>
      <c r="B5027" s="66" t="s">
        <v>5670</v>
      </c>
      <c r="C5027" s="66" t="s">
        <v>5671</v>
      </c>
      <c r="D5027" s="11">
        <v>61748</v>
      </c>
      <c r="E5027" s="11">
        <v>61748</v>
      </c>
      <c r="F5027" s="3">
        <v>40862</v>
      </c>
      <c r="G5027" s="2"/>
      <c r="H5027" s="2"/>
      <c r="I5027" s="2"/>
      <c r="J5027" s="2" t="s">
        <v>13904</v>
      </c>
      <c r="K5027" s="2" t="s">
        <v>5657</v>
      </c>
      <c r="L5027" s="82" t="s">
        <v>18773</v>
      </c>
    </row>
    <row r="5028" spans="1:12" ht="84" customHeight="1" x14ac:dyDescent="0.3">
      <c r="A5028" s="2">
        <v>5024</v>
      </c>
      <c r="B5028" s="66" t="s">
        <v>5672</v>
      </c>
      <c r="C5028" s="66" t="s">
        <v>5673</v>
      </c>
      <c r="D5028" s="11">
        <v>75635.350000000006</v>
      </c>
      <c r="E5028" s="11">
        <v>75635.350000000006</v>
      </c>
      <c r="F5028" s="3">
        <v>39065</v>
      </c>
      <c r="G5028" s="2"/>
      <c r="H5028" s="2"/>
      <c r="I5028" s="2"/>
      <c r="J5028" s="2" t="s">
        <v>13904</v>
      </c>
      <c r="K5028" s="2" t="s">
        <v>5657</v>
      </c>
      <c r="L5028" s="82" t="s">
        <v>18773</v>
      </c>
    </row>
    <row r="5029" spans="1:12" ht="84" customHeight="1" x14ac:dyDescent="0.3">
      <c r="A5029" s="2">
        <v>5025</v>
      </c>
      <c r="B5029" s="66" t="s">
        <v>5674</v>
      </c>
      <c r="C5029" s="66" t="s">
        <v>5675</v>
      </c>
      <c r="D5029" s="11">
        <v>75635.350000000006</v>
      </c>
      <c r="E5029" s="11">
        <v>75635.350000000006</v>
      </c>
      <c r="F5029" s="3">
        <v>39073</v>
      </c>
      <c r="G5029" s="2"/>
      <c r="H5029" s="2"/>
      <c r="I5029" s="2"/>
      <c r="J5029" s="2" t="s">
        <v>13904</v>
      </c>
      <c r="K5029" s="2" t="s">
        <v>5657</v>
      </c>
      <c r="L5029" s="82" t="s">
        <v>18773</v>
      </c>
    </row>
    <row r="5030" spans="1:12" ht="84" customHeight="1" x14ac:dyDescent="0.3">
      <c r="A5030" s="2">
        <v>5026</v>
      </c>
      <c r="B5030" s="66" t="s">
        <v>5676</v>
      </c>
      <c r="C5030" s="66" t="s">
        <v>5677</v>
      </c>
      <c r="D5030" s="11">
        <v>51000</v>
      </c>
      <c r="E5030" s="11">
        <v>51000</v>
      </c>
      <c r="F5030" s="3">
        <v>39762</v>
      </c>
      <c r="G5030" s="2"/>
      <c r="H5030" s="2"/>
      <c r="I5030" s="2"/>
      <c r="J5030" s="2" t="s">
        <v>13904</v>
      </c>
      <c r="K5030" s="2" t="s">
        <v>5657</v>
      </c>
      <c r="L5030" s="82" t="s">
        <v>18773</v>
      </c>
    </row>
    <row r="5031" spans="1:12" ht="84" customHeight="1" x14ac:dyDescent="0.3">
      <c r="A5031" s="2">
        <v>5027</v>
      </c>
      <c r="B5031" s="66" t="s">
        <v>5678</v>
      </c>
      <c r="C5031" s="66" t="s">
        <v>5679</v>
      </c>
      <c r="D5031" s="11">
        <v>51000</v>
      </c>
      <c r="E5031" s="11">
        <v>40730.199999999997</v>
      </c>
      <c r="F5031" s="3">
        <v>39762</v>
      </c>
      <c r="G5031" s="2"/>
      <c r="H5031" s="2"/>
      <c r="I5031" s="2"/>
      <c r="J5031" s="2" t="s">
        <v>13904</v>
      </c>
      <c r="K5031" s="2" t="s">
        <v>5657</v>
      </c>
      <c r="L5031" s="82" t="s">
        <v>18773</v>
      </c>
    </row>
    <row r="5032" spans="1:12" ht="84" customHeight="1" x14ac:dyDescent="0.3">
      <c r="A5032" s="2">
        <v>5028</v>
      </c>
      <c r="B5032" s="66" t="s">
        <v>5680</v>
      </c>
      <c r="C5032" s="66" t="s">
        <v>5681</v>
      </c>
      <c r="D5032" s="11">
        <v>281618</v>
      </c>
      <c r="E5032" s="11">
        <v>223251.74</v>
      </c>
      <c r="F5032" s="3">
        <v>39806</v>
      </c>
      <c r="G5032" s="2"/>
      <c r="H5032" s="2"/>
      <c r="I5032" s="2"/>
      <c r="J5032" s="2" t="s">
        <v>13904</v>
      </c>
      <c r="K5032" s="2" t="s">
        <v>5657</v>
      </c>
      <c r="L5032" s="82" t="s">
        <v>18773</v>
      </c>
    </row>
    <row r="5033" spans="1:12" ht="84" customHeight="1" x14ac:dyDescent="0.3">
      <c r="A5033" s="2">
        <v>5029</v>
      </c>
      <c r="B5033" s="66" t="s">
        <v>5682</v>
      </c>
      <c r="C5033" s="66" t="s">
        <v>5683</v>
      </c>
      <c r="D5033" s="11">
        <v>359998</v>
      </c>
      <c r="E5033" s="11">
        <v>284998.09999999998</v>
      </c>
      <c r="F5033" s="3">
        <v>39806</v>
      </c>
      <c r="G5033" s="2"/>
      <c r="H5033" s="2"/>
      <c r="I5033" s="2"/>
      <c r="J5033" s="2" t="s">
        <v>13904</v>
      </c>
      <c r="K5033" s="2" t="s">
        <v>5657</v>
      </c>
      <c r="L5033" s="82" t="s">
        <v>18773</v>
      </c>
    </row>
    <row r="5034" spans="1:12" ht="84" customHeight="1" x14ac:dyDescent="0.3">
      <c r="A5034" s="2">
        <v>5030</v>
      </c>
      <c r="B5034" s="66" t="s">
        <v>5684</v>
      </c>
      <c r="C5034" s="66" t="s">
        <v>5685</v>
      </c>
      <c r="D5034" s="11">
        <v>689396.64</v>
      </c>
      <c r="E5034" s="11">
        <v>684087.29</v>
      </c>
      <c r="F5034" s="3">
        <v>39052</v>
      </c>
      <c r="G5034" s="2"/>
      <c r="H5034" s="2"/>
      <c r="I5034" s="2"/>
      <c r="J5034" s="2" t="s">
        <v>13904</v>
      </c>
      <c r="K5034" s="2" t="s">
        <v>5657</v>
      </c>
      <c r="L5034" s="82" t="s">
        <v>18773</v>
      </c>
    </row>
    <row r="5035" spans="1:12" ht="84" customHeight="1" x14ac:dyDescent="0.3">
      <c r="A5035" s="2">
        <v>5031</v>
      </c>
      <c r="B5035" s="66" t="s">
        <v>5686</v>
      </c>
      <c r="C5035" s="66" t="s">
        <v>5687</v>
      </c>
      <c r="D5035" s="11">
        <v>460621.95</v>
      </c>
      <c r="E5035" s="11">
        <v>460621.95</v>
      </c>
      <c r="F5035" s="3">
        <v>39052</v>
      </c>
      <c r="G5035" s="2"/>
      <c r="H5035" s="2"/>
      <c r="I5035" s="2"/>
      <c r="J5035" s="2" t="s">
        <v>13904</v>
      </c>
      <c r="K5035" s="2" t="s">
        <v>5657</v>
      </c>
      <c r="L5035" s="82" t="s">
        <v>18773</v>
      </c>
    </row>
    <row r="5036" spans="1:12" ht="84" customHeight="1" x14ac:dyDescent="0.3">
      <c r="A5036" s="2">
        <v>5032</v>
      </c>
      <c r="B5036" s="66" t="s">
        <v>5688</v>
      </c>
      <c r="C5036" s="66" t="s">
        <v>5689</v>
      </c>
      <c r="D5036" s="11">
        <v>56052.4</v>
      </c>
      <c r="E5036" s="11">
        <v>56052.4</v>
      </c>
      <c r="F5036" s="3">
        <v>39052</v>
      </c>
      <c r="G5036" s="2"/>
      <c r="H5036" s="2"/>
      <c r="I5036" s="2"/>
      <c r="J5036" s="2" t="s">
        <v>13904</v>
      </c>
      <c r="K5036" s="2" t="s">
        <v>5657</v>
      </c>
      <c r="L5036" s="82" t="s">
        <v>18773</v>
      </c>
    </row>
    <row r="5037" spans="1:12" ht="120" customHeight="1" x14ac:dyDescent="0.3">
      <c r="A5037" s="2">
        <v>5033</v>
      </c>
      <c r="B5037" s="66" t="s">
        <v>22204</v>
      </c>
      <c r="C5037" s="66">
        <v>4101240049</v>
      </c>
      <c r="D5037" s="11">
        <v>50120</v>
      </c>
      <c r="E5037" s="11">
        <v>0</v>
      </c>
      <c r="F5037" s="3" t="s">
        <v>20110</v>
      </c>
      <c r="G5037" s="2" t="s">
        <v>22208</v>
      </c>
      <c r="H5037" s="3"/>
      <c r="I5037" s="2"/>
      <c r="J5037" s="2" t="s">
        <v>13904</v>
      </c>
      <c r="K5037" s="2" t="s">
        <v>22207</v>
      </c>
      <c r="L5037" s="246" t="s">
        <v>22999</v>
      </c>
    </row>
    <row r="5038" spans="1:12" ht="120" customHeight="1" x14ac:dyDescent="0.3">
      <c r="A5038" s="2">
        <v>5034</v>
      </c>
      <c r="B5038" s="66" t="s">
        <v>22204</v>
      </c>
      <c r="C5038" s="66">
        <v>4101240050</v>
      </c>
      <c r="D5038" s="11">
        <v>50120</v>
      </c>
      <c r="E5038" s="11">
        <v>0</v>
      </c>
      <c r="F5038" s="3" t="s">
        <v>20110</v>
      </c>
      <c r="G5038" s="2" t="s">
        <v>22208</v>
      </c>
      <c r="H5038" s="3"/>
      <c r="I5038" s="2"/>
      <c r="J5038" s="2" t="s">
        <v>13904</v>
      </c>
      <c r="K5038" s="2" t="s">
        <v>22207</v>
      </c>
      <c r="L5038" s="246" t="s">
        <v>22999</v>
      </c>
    </row>
    <row r="5039" spans="1:12" ht="120" customHeight="1" x14ac:dyDescent="0.3">
      <c r="A5039" s="2">
        <v>5035</v>
      </c>
      <c r="B5039" s="66" t="s">
        <v>22204</v>
      </c>
      <c r="C5039" s="66">
        <v>4101240060</v>
      </c>
      <c r="D5039" s="11">
        <v>50120</v>
      </c>
      <c r="E5039" s="11">
        <v>0</v>
      </c>
      <c r="F5039" s="3" t="s">
        <v>20110</v>
      </c>
      <c r="G5039" s="2" t="s">
        <v>22208</v>
      </c>
      <c r="H5039" s="3"/>
      <c r="I5039" s="2"/>
      <c r="J5039" s="2" t="s">
        <v>13904</v>
      </c>
      <c r="K5039" s="2" t="s">
        <v>22207</v>
      </c>
      <c r="L5039" s="246" t="s">
        <v>22999</v>
      </c>
    </row>
    <row r="5040" spans="1:12" ht="120" customHeight="1" x14ac:dyDescent="0.3">
      <c r="A5040" s="2">
        <v>5036</v>
      </c>
      <c r="B5040" s="66" t="s">
        <v>22204</v>
      </c>
      <c r="C5040" s="66">
        <v>4101240051</v>
      </c>
      <c r="D5040" s="11">
        <v>50120</v>
      </c>
      <c r="E5040" s="11">
        <v>0</v>
      </c>
      <c r="F5040" s="3" t="s">
        <v>20110</v>
      </c>
      <c r="G5040" s="2" t="s">
        <v>22208</v>
      </c>
      <c r="H5040" s="3"/>
      <c r="I5040" s="2"/>
      <c r="J5040" s="2" t="s">
        <v>13904</v>
      </c>
      <c r="K5040" s="2" t="s">
        <v>22207</v>
      </c>
      <c r="L5040" s="246" t="s">
        <v>22999</v>
      </c>
    </row>
    <row r="5041" spans="1:15" ht="120" customHeight="1" x14ac:dyDescent="0.3">
      <c r="A5041" s="2">
        <v>5037</v>
      </c>
      <c r="B5041" s="66" t="s">
        <v>22204</v>
      </c>
      <c r="C5041" s="66">
        <v>4101240052</v>
      </c>
      <c r="D5041" s="11">
        <v>50120</v>
      </c>
      <c r="E5041" s="11">
        <v>0</v>
      </c>
      <c r="F5041" s="3" t="s">
        <v>20110</v>
      </c>
      <c r="G5041" s="2" t="s">
        <v>22208</v>
      </c>
      <c r="H5041" s="3"/>
      <c r="I5041" s="2"/>
      <c r="J5041" s="2" t="s">
        <v>13904</v>
      </c>
      <c r="K5041" s="2" t="s">
        <v>22207</v>
      </c>
      <c r="L5041" s="246" t="s">
        <v>22999</v>
      </c>
    </row>
    <row r="5042" spans="1:15" ht="120" customHeight="1" x14ac:dyDescent="0.3">
      <c r="A5042" s="2">
        <v>5038</v>
      </c>
      <c r="B5042" s="66" t="s">
        <v>22204</v>
      </c>
      <c r="C5042" s="66">
        <v>4101240053</v>
      </c>
      <c r="D5042" s="11">
        <v>50120</v>
      </c>
      <c r="E5042" s="11">
        <v>0</v>
      </c>
      <c r="F5042" s="3" t="s">
        <v>20110</v>
      </c>
      <c r="G5042" s="2" t="s">
        <v>22208</v>
      </c>
      <c r="H5042" s="3"/>
      <c r="I5042" s="2"/>
      <c r="J5042" s="2" t="s">
        <v>13904</v>
      </c>
      <c r="K5042" s="2" t="s">
        <v>22207</v>
      </c>
      <c r="L5042" s="246" t="s">
        <v>22999</v>
      </c>
    </row>
    <row r="5043" spans="1:15" ht="120" customHeight="1" x14ac:dyDescent="0.3">
      <c r="A5043" s="2">
        <v>5039</v>
      </c>
      <c r="B5043" s="66" t="s">
        <v>22204</v>
      </c>
      <c r="C5043" s="66">
        <v>4101240054</v>
      </c>
      <c r="D5043" s="11">
        <v>50120</v>
      </c>
      <c r="E5043" s="11">
        <v>0</v>
      </c>
      <c r="F5043" s="3" t="s">
        <v>20110</v>
      </c>
      <c r="G5043" s="2" t="s">
        <v>22208</v>
      </c>
      <c r="H5043" s="3"/>
      <c r="I5043" s="2"/>
      <c r="J5043" s="2" t="s">
        <v>13904</v>
      </c>
      <c r="K5043" s="2" t="s">
        <v>22207</v>
      </c>
      <c r="L5043" s="246" t="s">
        <v>22999</v>
      </c>
    </row>
    <row r="5044" spans="1:15" ht="120" customHeight="1" x14ac:dyDescent="0.3">
      <c r="A5044" s="2">
        <v>5040</v>
      </c>
      <c r="B5044" s="66" t="s">
        <v>22204</v>
      </c>
      <c r="C5044" s="66">
        <v>4101240055</v>
      </c>
      <c r="D5044" s="11">
        <v>50120</v>
      </c>
      <c r="E5044" s="11">
        <v>0</v>
      </c>
      <c r="F5044" s="3" t="s">
        <v>20110</v>
      </c>
      <c r="G5044" s="2" t="s">
        <v>22208</v>
      </c>
      <c r="H5044" s="3"/>
      <c r="I5044" s="2"/>
      <c r="J5044" s="2" t="s">
        <v>13904</v>
      </c>
      <c r="K5044" s="2" t="s">
        <v>22207</v>
      </c>
      <c r="L5044" s="246" t="s">
        <v>22999</v>
      </c>
    </row>
    <row r="5045" spans="1:15" ht="120" customHeight="1" x14ac:dyDescent="0.3">
      <c r="A5045" s="2">
        <v>5041</v>
      </c>
      <c r="B5045" s="66" t="s">
        <v>22204</v>
      </c>
      <c r="C5045" s="66">
        <v>4101240056</v>
      </c>
      <c r="D5045" s="11">
        <v>50120</v>
      </c>
      <c r="E5045" s="11">
        <v>0</v>
      </c>
      <c r="F5045" s="3" t="s">
        <v>20110</v>
      </c>
      <c r="G5045" s="2" t="s">
        <v>22208</v>
      </c>
      <c r="H5045" s="3"/>
      <c r="I5045" s="2"/>
      <c r="J5045" s="2" t="s">
        <v>13904</v>
      </c>
      <c r="K5045" s="2" t="s">
        <v>22207</v>
      </c>
      <c r="L5045" s="246" t="s">
        <v>22999</v>
      </c>
    </row>
    <row r="5046" spans="1:15" ht="120" customHeight="1" x14ac:dyDescent="0.3">
      <c r="A5046" s="2">
        <v>5042</v>
      </c>
      <c r="B5046" s="66" t="s">
        <v>22204</v>
      </c>
      <c r="C5046" s="66">
        <v>4101240057</v>
      </c>
      <c r="D5046" s="11">
        <v>50120</v>
      </c>
      <c r="E5046" s="11">
        <v>0</v>
      </c>
      <c r="F5046" s="3" t="s">
        <v>20110</v>
      </c>
      <c r="G5046" s="2" t="s">
        <v>22208</v>
      </c>
      <c r="H5046" s="3"/>
      <c r="I5046" s="2"/>
      <c r="J5046" s="2" t="s">
        <v>13904</v>
      </c>
      <c r="K5046" s="2" t="s">
        <v>22207</v>
      </c>
      <c r="L5046" s="246" t="s">
        <v>22999</v>
      </c>
    </row>
    <row r="5047" spans="1:15" ht="120" customHeight="1" x14ac:dyDescent="0.3">
      <c r="A5047" s="2">
        <v>5043</v>
      </c>
      <c r="B5047" s="66" t="s">
        <v>22204</v>
      </c>
      <c r="C5047" s="66">
        <v>4101240058</v>
      </c>
      <c r="D5047" s="11">
        <v>50120</v>
      </c>
      <c r="E5047" s="11">
        <v>0</v>
      </c>
      <c r="F5047" s="3" t="s">
        <v>20110</v>
      </c>
      <c r="G5047" s="2" t="s">
        <v>22208</v>
      </c>
      <c r="H5047" s="3"/>
      <c r="I5047" s="2"/>
      <c r="J5047" s="2" t="s">
        <v>13904</v>
      </c>
      <c r="K5047" s="2" t="s">
        <v>22207</v>
      </c>
      <c r="L5047" s="246" t="s">
        <v>22999</v>
      </c>
    </row>
    <row r="5048" spans="1:15" ht="120" customHeight="1" x14ac:dyDescent="0.3">
      <c r="A5048" s="2">
        <v>5044</v>
      </c>
      <c r="B5048" s="66" t="s">
        <v>22204</v>
      </c>
      <c r="C5048" s="66">
        <v>4101240059</v>
      </c>
      <c r="D5048" s="11">
        <v>50120</v>
      </c>
      <c r="E5048" s="11">
        <v>0</v>
      </c>
      <c r="F5048" s="3" t="s">
        <v>20110</v>
      </c>
      <c r="G5048" s="2" t="s">
        <v>22208</v>
      </c>
      <c r="H5048" s="3"/>
      <c r="I5048" s="2"/>
      <c r="J5048" s="2" t="s">
        <v>13904</v>
      </c>
      <c r="K5048" s="2" t="s">
        <v>22207</v>
      </c>
      <c r="L5048" s="246" t="s">
        <v>22999</v>
      </c>
      <c r="M5048" s="18"/>
      <c r="N5048" s="18"/>
      <c r="O5048" s="18"/>
    </row>
    <row r="5049" spans="1:15" ht="120" customHeight="1" x14ac:dyDescent="0.3">
      <c r="A5049" s="2">
        <v>5045</v>
      </c>
      <c r="B5049" s="66" t="s">
        <v>22204</v>
      </c>
      <c r="C5049" s="66">
        <v>4101240060</v>
      </c>
      <c r="D5049" s="11">
        <v>50120</v>
      </c>
      <c r="E5049" s="11">
        <v>0</v>
      </c>
      <c r="F5049" s="3" t="s">
        <v>20110</v>
      </c>
      <c r="G5049" s="2" t="s">
        <v>22208</v>
      </c>
      <c r="H5049" s="3"/>
      <c r="I5049" s="2"/>
      <c r="J5049" s="2" t="s">
        <v>13904</v>
      </c>
      <c r="K5049" s="2" t="s">
        <v>22207</v>
      </c>
      <c r="L5049" s="246" t="s">
        <v>22999</v>
      </c>
    </row>
    <row r="5050" spans="1:15" ht="120" customHeight="1" x14ac:dyDescent="0.3">
      <c r="A5050" s="2">
        <v>5046</v>
      </c>
      <c r="B5050" s="66" t="s">
        <v>22204</v>
      </c>
      <c r="C5050" s="66">
        <v>4101240061</v>
      </c>
      <c r="D5050" s="11">
        <v>50120</v>
      </c>
      <c r="E5050" s="11">
        <v>0</v>
      </c>
      <c r="F5050" s="3" t="s">
        <v>20110</v>
      </c>
      <c r="G5050" s="2" t="s">
        <v>22208</v>
      </c>
      <c r="H5050" s="3"/>
      <c r="I5050" s="2"/>
      <c r="J5050" s="2" t="s">
        <v>13904</v>
      </c>
      <c r="K5050" s="2" t="s">
        <v>22207</v>
      </c>
      <c r="L5050" s="246" t="s">
        <v>22999</v>
      </c>
    </row>
    <row r="5051" spans="1:15" ht="120" customHeight="1" x14ac:dyDescent="0.3">
      <c r="A5051" s="2">
        <v>5047</v>
      </c>
      <c r="B5051" s="66" t="s">
        <v>22204</v>
      </c>
      <c r="C5051" s="66">
        <v>4101240062</v>
      </c>
      <c r="D5051" s="11">
        <v>50120</v>
      </c>
      <c r="E5051" s="11">
        <v>0</v>
      </c>
      <c r="F5051" s="3" t="s">
        <v>20110</v>
      </c>
      <c r="G5051" s="2" t="s">
        <v>22208</v>
      </c>
      <c r="H5051" s="3"/>
      <c r="I5051" s="2"/>
      <c r="J5051" s="2" t="s">
        <v>13904</v>
      </c>
      <c r="K5051" s="2" t="s">
        <v>22207</v>
      </c>
      <c r="L5051" s="246" t="s">
        <v>22999</v>
      </c>
    </row>
    <row r="5052" spans="1:15" ht="120" customHeight="1" x14ac:dyDescent="0.3">
      <c r="A5052" s="2">
        <v>5048</v>
      </c>
      <c r="B5052" s="66" t="s">
        <v>22204</v>
      </c>
      <c r="C5052" s="66">
        <v>4101240063</v>
      </c>
      <c r="D5052" s="11">
        <v>50120</v>
      </c>
      <c r="E5052" s="11">
        <v>0</v>
      </c>
      <c r="F5052" s="3" t="s">
        <v>20110</v>
      </c>
      <c r="G5052" s="2" t="s">
        <v>22208</v>
      </c>
      <c r="H5052" s="3"/>
      <c r="I5052" s="2"/>
      <c r="J5052" s="2" t="s">
        <v>13904</v>
      </c>
      <c r="K5052" s="2" t="s">
        <v>22207</v>
      </c>
      <c r="L5052" s="246" t="s">
        <v>22999</v>
      </c>
    </row>
    <row r="5053" spans="1:15" ht="120" customHeight="1" x14ac:dyDescent="0.3">
      <c r="A5053" s="2">
        <v>5049</v>
      </c>
      <c r="B5053" s="66" t="s">
        <v>22204</v>
      </c>
      <c r="C5053" s="66">
        <v>4101240064</v>
      </c>
      <c r="D5053" s="11">
        <v>50120</v>
      </c>
      <c r="E5053" s="11">
        <v>0</v>
      </c>
      <c r="F5053" s="3" t="s">
        <v>20110</v>
      </c>
      <c r="G5053" s="2" t="s">
        <v>22208</v>
      </c>
      <c r="H5053" s="3"/>
      <c r="I5053" s="2"/>
      <c r="J5053" s="2" t="s">
        <v>13904</v>
      </c>
      <c r="K5053" s="2" t="s">
        <v>22207</v>
      </c>
      <c r="L5053" s="246" t="s">
        <v>22999</v>
      </c>
    </row>
    <row r="5054" spans="1:15" ht="120" customHeight="1" x14ac:dyDescent="0.3">
      <c r="A5054" s="2">
        <v>5050</v>
      </c>
      <c r="B5054" s="66" t="s">
        <v>22204</v>
      </c>
      <c r="C5054" s="66">
        <v>4101240065</v>
      </c>
      <c r="D5054" s="11">
        <v>50120</v>
      </c>
      <c r="E5054" s="11">
        <v>0</v>
      </c>
      <c r="F5054" s="3" t="s">
        <v>20110</v>
      </c>
      <c r="G5054" s="2" t="s">
        <v>22208</v>
      </c>
      <c r="H5054" s="3"/>
      <c r="I5054" s="2"/>
      <c r="J5054" s="2" t="s">
        <v>13904</v>
      </c>
      <c r="K5054" s="2" t="s">
        <v>22207</v>
      </c>
      <c r="L5054" s="246" t="s">
        <v>22999</v>
      </c>
    </row>
    <row r="5055" spans="1:15" ht="120" customHeight="1" x14ac:dyDescent="0.3">
      <c r="A5055" s="2">
        <v>5051</v>
      </c>
      <c r="B5055" s="66" t="s">
        <v>22204</v>
      </c>
      <c r="C5055" s="66">
        <v>4101240066</v>
      </c>
      <c r="D5055" s="11">
        <v>50120</v>
      </c>
      <c r="E5055" s="11">
        <v>0</v>
      </c>
      <c r="F5055" s="3" t="s">
        <v>20110</v>
      </c>
      <c r="G5055" s="2" t="s">
        <v>22208</v>
      </c>
      <c r="H5055" s="3"/>
      <c r="I5055" s="2"/>
      <c r="J5055" s="2" t="s">
        <v>13904</v>
      </c>
      <c r="K5055" s="2" t="s">
        <v>22207</v>
      </c>
      <c r="L5055" s="246" t="s">
        <v>22999</v>
      </c>
    </row>
    <row r="5056" spans="1:15" ht="120" customHeight="1" x14ac:dyDescent="0.3">
      <c r="A5056" s="2">
        <v>5052</v>
      </c>
      <c r="B5056" s="66" t="s">
        <v>22204</v>
      </c>
      <c r="C5056" s="66">
        <v>4101240067</v>
      </c>
      <c r="D5056" s="11">
        <v>50120</v>
      </c>
      <c r="E5056" s="11">
        <v>0</v>
      </c>
      <c r="F5056" s="3" t="s">
        <v>20110</v>
      </c>
      <c r="G5056" s="2" t="s">
        <v>22208</v>
      </c>
      <c r="H5056" s="3"/>
      <c r="I5056" s="2"/>
      <c r="J5056" s="2" t="s">
        <v>13904</v>
      </c>
      <c r="K5056" s="2" t="s">
        <v>22207</v>
      </c>
      <c r="L5056" s="246" t="s">
        <v>22999</v>
      </c>
    </row>
    <row r="5057" spans="1:12" ht="120" customHeight="1" x14ac:dyDescent="0.3">
      <c r="A5057" s="2">
        <v>5053</v>
      </c>
      <c r="B5057" s="66" t="s">
        <v>22204</v>
      </c>
      <c r="C5057" s="66">
        <v>4101240068</v>
      </c>
      <c r="D5057" s="11">
        <v>50120</v>
      </c>
      <c r="E5057" s="11">
        <v>0</v>
      </c>
      <c r="F5057" s="3" t="s">
        <v>20110</v>
      </c>
      <c r="G5057" s="2" t="s">
        <v>22208</v>
      </c>
      <c r="H5057" s="3"/>
      <c r="I5057" s="2"/>
      <c r="J5057" s="2" t="s">
        <v>13904</v>
      </c>
      <c r="K5057" s="2" t="s">
        <v>22207</v>
      </c>
      <c r="L5057" s="246" t="s">
        <v>22999</v>
      </c>
    </row>
    <row r="5058" spans="1:12" ht="120" customHeight="1" x14ac:dyDescent="0.3">
      <c r="A5058" s="2">
        <v>5054</v>
      </c>
      <c r="B5058" s="66" t="s">
        <v>22204</v>
      </c>
      <c r="C5058" s="66">
        <v>4101240069</v>
      </c>
      <c r="D5058" s="11">
        <v>50120</v>
      </c>
      <c r="E5058" s="11">
        <v>0</v>
      </c>
      <c r="F5058" s="3" t="s">
        <v>20110</v>
      </c>
      <c r="G5058" s="2" t="s">
        <v>22208</v>
      </c>
      <c r="H5058" s="3"/>
      <c r="I5058" s="2"/>
      <c r="J5058" s="2" t="s">
        <v>13904</v>
      </c>
      <c r="K5058" s="2" t="s">
        <v>22207</v>
      </c>
      <c r="L5058" s="246" t="s">
        <v>22999</v>
      </c>
    </row>
    <row r="5059" spans="1:12" ht="120" customHeight="1" x14ac:dyDescent="0.3">
      <c r="A5059" s="2">
        <v>5055</v>
      </c>
      <c r="B5059" s="66" t="s">
        <v>22204</v>
      </c>
      <c r="C5059" s="66">
        <v>4101240070</v>
      </c>
      <c r="D5059" s="11">
        <v>50120</v>
      </c>
      <c r="E5059" s="11">
        <v>0</v>
      </c>
      <c r="F5059" s="3" t="s">
        <v>20110</v>
      </c>
      <c r="G5059" s="2" t="s">
        <v>22208</v>
      </c>
      <c r="H5059" s="3"/>
      <c r="I5059" s="2"/>
      <c r="J5059" s="2" t="s">
        <v>13904</v>
      </c>
      <c r="K5059" s="2" t="s">
        <v>22207</v>
      </c>
      <c r="L5059" s="246" t="s">
        <v>22999</v>
      </c>
    </row>
    <row r="5060" spans="1:12" ht="120" customHeight="1" x14ac:dyDescent="0.3">
      <c r="A5060" s="2">
        <v>5056</v>
      </c>
      <c r="B5060" s="66" t="s">
        <v>22204</v>
      </c>
      <c r="C5060" s="66">
        <v>4101240071</v>
      </c>
      <c r="D5060" s="11">
        <v>50120</v>
      </c>
      <c r="E5060" s="11">
        <v>0</v>
      </c>
      <c r="F5060" s="3" t="s">
        <v>20110</v>
      </c>
      <c r="G5060" s="2" t="s">
        <v>22208</v>
      </c>
      <c r="H5060" s="3"/>
      <c r="I5060" s="2"/>
      <c r="J5060" s="2" t="s">
        <v>13904</v>
      </c>
      <c r="K5060" s="2" t="s">
        <v>22207</v>
      </c>
      <c r="L5060" s="246" t="s">
        <v>22999</v>
      </c>
    </row>
    <row r="5061" spans="1:12" ht="120" customHeight="1" x14ac:dyDescent="0.3">
      <c r="A5061" s="2">
        <v>5057</v>
      </c>
      <c r="B5061" s="66" t="s">
        <v>22204</v>
      </c>
      <c r="C5061" s="66">
        <v>4101240072</v>
      </c>
      <c r="D5061" s="11">
        <v>50120</v>
      </c>
      <c r="E5061" s="11">
        <v>0</v>
      </c>
      <c r="F5061" s="3" t="s">
        <v>20110</v>
      </c>
      <c r="G5061" s="2" t="s">
        <v>22208</v>
      </c>
      <c r="H5061" s="3"/>
      <c r="I5061" s="2"/>
      <c r="J5061" s="2" t="s">
        <v>13904</v>
      </c>
      <c r="K5061" s="2" t="s">
        <v>22207</v>
      </c>
      <c r="L5061" s="246" t="s">
        <v>22999</v>
      </c>
    </row>
    <row r="5062" spans="1:12" ht="120" customHeight="1" x14ac:dyDescent="0.3">
      <c r="A5062" s="2">
        <v>5058</v>
      </c>
      <c r="B5062" s="66" t="s">
        <v>22204</v>
      </c>
      <c r="C5062" s="66">
        <v>4101240073</v>
      </c>
      <c r="D5062" s="11">
        <v>50120</v>
      </c>
      <c r="E5062" s="11">
        <v>0</v>
      </c>
      <c r="F5062" s="3" t="s">
        <v>20110</v>
      </c>
      <c r="G5062" s="2" t="s">
        <v>22208</v>
      </c>
      <c r="H5062" s="3"/>
      <c r="I5062" s="2"/>
      <c r="J5062" s="2" t="s">
        <v>13904</v>
      </c>
      <c r="K5062" s="2" t="s">
        <v>22207</v>
      </c>
      <c r="L5062" s="246" t="s">
        <v>22999</v>
      </c>
    </row>
    <row r="5063" spans="1:12" ht="120" customHeight="1" x14ac:dyDescent="0.3">
      <c r="A5063" s="2">
        <v>5059</v>
      </c>
      <c r="B5063" s="66" t="s">
        <v>22204</v>
      </c>
      <c r="C5063" s="66">
        <v>4101240074</v>
      </c>
      <c r="D5063" s="11">
        <v>50120</v>
      </c>
      <c r="E5063" s="11">
        <v>0</v>
      </c>
      <c r="F5063" s="3" t="s">
        <v>20110</v>
      </c>
      <c r="G5063" s="2" t="s">
        <v>22208</v>
      </c>
      <c r="H5063" s="3"/>
      <c r="I5063" s="2"/>
      <c r="J5063" s="2" t="s">
        <v>13904</v>
      </c>
      <c r="K5063" s="2" t="s">
        <v>22207</v>
      </c>
      <c r="L5063" s="246" t="s">
        <v>22999</v>
      </c>
    </row>
    <row r="5064" spans="1:12" ht="120" customHeight="1" x14ac:dyDescent="0.3">
      <c r="A5064" s="2">
        <v>5060</v>
      </c>
      <c r="B5064" s="66" t="s">
        <v>22204</v>
      </c>
      <c r="C5064" s="66">
        <v>4101240075</v>
      </c>
      <c r="D5064" s="11">
        <v>50120</v>
      </c>
      <c r="E5064" s="11">
        <v>0</v>
      </c>
      <c r="F5064" s="3" t="s">
        <v>20110</v>
      </c>
      <c r="G5064" s="2" t="s">
        <v>22208</v>
      </c>
      <c r="H5064" s="3"/>
      <c r="I5064" s="2"/>
      <c r="J5064" s="2" t="s">
        <v>13904</v>
      </c>
      <c r="K5064" s="2" t="s">
        <v>22207</v>
      </c>
      <c r="L5064" s="246" t="s">
        <v>22999</v>
      </c>
    </row>
    <row r="5065" spans="1:12" ht="120" customHeight="1" x14ac:dyDescent="0.3">
      <c r="A5065" s="2">
        <v>5061</v>
      </c>
      <c r="B5065" s="66" t="s">
        <v>22204</v>
      </c>
      <c r="C5065" s="66">
        <v>4101240076</v>
      </c>
      <c r="D5065" s="11">
        <v>50120</v>
      </c>
      <c r="E5065" s="11">
        <v>0</v>
      </c>
      <c r="F5065" s="3" t="s">
        <v>20110</v>
      </c>
      <c r="G5065" s="2" t="s">
        <v>22208</v>
      </c>
      <c r="H5065" s="3"/>
      <c r="I5065" s="2"/>
      <c r="J5065" s="2" t="s">
        <v>13904</v>
      </c>
      <c r="K5065" s="2" t="s">
        <v>22207</v>
      </c>
      <c r="L5065" s="246" t="s">
        <v>22999</v>
      </c>
    </row>
    <row r="5066" spans="1:12" ht="120" customHeight="1" x14ac:dyDescent="0.3">
      <c r="A5066" s="2">
        <v>5062</v>
      </c>
      <c r="B5066" s="66" t="s">
        <v>22204</v>
      </c>
      <c r="C5066" s="66">
        <v>4101240077</v>
      </c>
      <c r="D5066" s="11">
        <v>50120</v>
      </c>
      <c r="E5066" s="11">
        <v>0</v>
      </c>
      <c r="F5066" s="3" t="s">
        <v>20110</v>
      </c>
      <c r="G5066" s="2" t="s">
        <v>22208</v>
      </c>
      <c r="H5066" s="3"/>
      <c r="I5066" s="2"/>
      <c r="J5066" s="2" t="s">
        <v>13904</v>
      </c>
      <c r="K5066" s="2" t="s">
        <v>22207</v>
      </c>
      <c r="L5066" s="246" t="s">
        <v>22999</v>
      </c>
    </row>
    <row r="5067" spans="1:12" ht="120" customHeight="1" x14ac:dyDescent="0.3">
      <c r="A5067" s="2">
        <v>5063</v>
      </c>
      <c r="B5067" s="66" t="s">
        <v>22204</v>
      </c>
      <c r="C5067" s="66">
        <v>4101240078</v>
      </c>
      <c r="D5067" s="11">
        <v>50120</v>
      </c>
      <c r="E5067" s="11">
        <v>0</v>
      </c>
      <c r="F5067" s="3" t="s">
        <v>20110</v>
      </c>
      <c r="G5067" s="2" t="s">
        <v>22208</v>
      </c>
      <c r="H5067" s="3"/>
      <c r="I5067" s="2"/>
      <c r="J5067" s="2" t="s">
        <v>13904</v>
      </c>
      <c r="K5067" s="2" t="s">
        <v>22207</v>
      </c>
      <c r="L5067" s="246" t="s">
        <v>22999</v>
      </c>
    </row>
    <row r="5068" spans="1:12" ht="120" customHeight="1" x14ac:dyDescent="0.3">
      <c r="A5068" s="2">
        <v>5064</v>
      </c>
      <c r="B5068" s="66" t="s">
        <v>22204</v>
      </c>
      <c r="C5068" s="66">
        <v>4101240079</v>
      </c>
      <c r="D5068" s="11">
        <v>50120</v>
      </c>
      <c r="E5068" s="11">
        <v>0</v>
      </c>
      <c r="F5068" s="3" t="s">
        <v>20110</v>
      </c>
      <c r="G5068" s="2" t="s">
        <v>22208</v>
      </c>
      <c r="H5068" s="3"/>
      <c r="I5068" s="2"/>
      <c r="J5068" s="2" t="s">
        <v>13904</v>
      </c>
      <c r="K5068" s="2" t="s">
        <v>22207</v>
      </c>
      <c r="L5068" s="246" t="s">
        <v>22999</v>
      </c>
    </row>
    <row r="5069" spans="1:12" ht="84" customHeight="1" x14ac:dyDescent="0.3">
      <c r="A5069" s="2">
        <v>5065</v>
      </c>
      <c r="B5069" s="66" t="s">
        <v>5690</v>
      </c>
      <c r="C5069" s="66" t="s">
        <v>5691</v>
      </c>
      <c r="D5069" s="11">
        <v>241106.36</v>
      </c>
      <c r="E5069" s="11">
        <v>241106.36</v>
      </c>
      <c r="F5069" s="3">
        <v>38876</v>
      </c>
      <c r="G5069" s="2"/>
      <c r="H5069" s="2"/>
      <c r="I5069" s="2"/>
      <c r="J5069" s="2" t="s">
        <v>13904</v>
      </c>
      <c r="K5069" s="2" t="s">
        <v>5657</v>
      </c>
      <c r="L5069" s="82" t="s">
        <v>18772</v>
      </c>
    </row>
    <row r="5070" spans="1:12" ht="120" customHeight="1" x14ac:dyDescent="0.3">
      <c r="A5070" s="2">
        <v>5066</v>
      </c>
      <c r="B5070" s="66" t="s">
        <v>22204</v>
      </c>
      <c r="C5070" s="66">
        <v>4101240080</v>
      </c>
      <c r="D5070" s="11">
        <v>50120</v>
      </c>
      <c r="E5070" s="11">
        <v>0</v>
      </c>
      <c r="F5070" s="3" t="s">
        <v>20110</v>
      </c>
      <c r="G5070" s="2" t="s">
        <v>22208</v>
      </c>
      <c r="H5070" s="3"/>
      <c r="I5070" s="2"/>
      <c r="J5070" s="2" t="s">
        <v>13904</v>
      </c>
      <c r="K5070" s="2" t="s">
        <v>22207</v>
      </c>
      <c r="L5070" s="82" t="s">
        <v>23000</v>
      </c>
    </row>
    <row r="5071" spans="1:12" ht="84" customHeight="1" x14ac:dyDescent="0.3">
      <c r="A5071" s="2">
        <v>5067</v>
      </c>
      <c r="B5071" s="66" t="s">
        <v>5692</v>
      </c>
      <c r="C5071" s="66" t="s">
        <v>5693</v>
      </c>
      <c r="D5071" s="11">
        <v>169000</v>
      </c>
      <c r="E5071" s="11">
        <v>169000</v>
      </c>
      <c r="F5071" s="3">
        <v>39171</v>
      </c>
      <c r="G5071" s="2"/>
      <c r="H5071" s="2"/>
      <c r="I5071" s="2"/>
      <c r="J5071" s="2" t="s">
        <v>13904</v>
      </c>
      <c r="K5071" s="2" t="s">
        <v>5657</v>
      </c>
      <c r="L5071" s="82" t="s">
        <v>18773</v>
      </c>
    </row>
    <row r="5072" spans="1:12" ht="84" customHeight="1" x14ac:dyDescent="0.3">
      <c r="A5072" s="2">
        <v>5068</v>
      </c>
      <c r="B5072" s="66" t="s">
        <v>5692</v>
      </c>
      <c r="C5072" s="66" t="s">
        <v>5694</v>
      </c>
      <c r="D5072" s="11">
        <v>169000</v>
      </c>
      <c r="E5072" s="11">
        <v>169000</v>
      </c>
      <c r="F5072" s="3">
        <v>39171</v>
      </c>
      <c r="G5072" s="2"/>
      <c r="H5072" s="2"/>
      <c r="I5072" s="2"/>
      <c r="J5072" s="2" t="s">
        <v>13904</v>
      </c>
      <c r="K5072" s="2" t="s">
        <v>5657</v>
      </c>
      <c r="L5072" s="82" t="s">
        <v>18773</v>
      </c>
    </row>
    <row r="5073" spans="1:12" ht="84" customHeight="1" x14ac:dyDescent="0.3">
      <c r="A5073" s="2">
        <v>5069</v>
      </c>
      <c r="B5073" s="66" t="s">
        <v>5692</v>
      </c>
      <c r="C5073" s="66" t="s">
        <v>5695</v>
      </c>
      <c r="D5073" s="11">
        <v>169000</v>
      </c>
      <c r="E5073" s="11">
        <v>169000</v>
      </c>
      <c r="F5073" s="3">
        <v>39171</v>
      </c>
      <c r="G5073" s="2"/>
      <c r="H5073" s="2"/>
      <c r="I5073" s="2"/>
      <c r="J5073" s="2" t="s">
        <v>13904</v>
      </c>
      <c r="K5073" s="2" t="s">
        <v>5657</v>
      </c>
      <c r="L5073" s="82" t="s">
        <v>18773</v>
      </c>
    </row>
    <row r="5074" spans="1:12" ht="84" customHeight="1" x14ac:dyDescent="0.3">
      <c r="A5074" s="2">
        <v>5070</v>
      </c>
      <c r="B5074" s="66" t="s">
        <v>5692</v>
      </c>
      <c r="C5074" s="66" t="s">
        <v>5696</v>
      </c>
      <c r="D5074" s="11">
        <v>169000</v>
      </c>
      <c r="E5074" s="11">
        <v>169000</v>
      </c>
      <c r="F5074" s="3">
        <v>39171</v>
      </c>
      <c r="G5074" s="2"/>
      <c r="H5074" s="2"/>
      <c r="I5074" s="2"/>
      <c r="J5074" s="2" t="s">
        <v>13904</v>
      </c>
      <c r="K5074" s="2" t="s">
        <v>5657</v>
      </c>
      <c r="L5074" s="82" t="s">
        <v>18773</v>
      </c>
    </row>
    <row r="5075" spans="1:12" ht="84" customHeight="1" x14ac:dyDescent="0.3">
      <c r="A5075" s="2">
        <v>5071</v>
      </c>
      <c r="B5075" s="66" t="s">
        <v>5692</v>
      </c>
      <c r="C5075" s="66" t="s">
        <v>5697</v>
      </c>
      <c r="D5075" s="11">
        <v>169000</v>
      </c>
      <c r="E5075" s="11">
        <v>169000</v>
      </c>
      <c r="F5075" s="3">
        <v>39171</v>
      </c>
      <c r="G5075" s="2"/>
      <c r="H5075" s="2"/>
      <c r="I5075" s="2"/>
      <c r="J5075" s="2" t="s">
        <v>13904</v>
      </c>
      <c r="K5075" s="2" t="s">
        <v>5657</v>
      </c>
      <c r="L5075" s="82" t="s">
        <v>18773</v>
      </c>
    </row>
    <row r="5076" spans="1:12" ht="84" customHeight="1" x14ac:dyDescent="0.3">
      <c r="A5076" s="2">
        <v>5072</v>
      </c>
      <c r="B5076" s="66" t="s">
        <v>5692</v>
      </c>
      <c r="C5076" s="66" t="s">
        <v>5698</v>
      </c>
      <c r="D5076" s="11">
        <v>169000</v>
      </c>
      <c r="E5076" s="11">
        <v>169000</v>
      </c>
      <c r="F5076" s="3">
        <v>39171</v>
      </c>
      <c r="G5076" s="2"/>
      <c r="H5076" s="2"/>
      <c r="I5076" s="2"/>
      <c r="J5076" s="2" t="s">
        <v>13904</v>
      </c>
      <c r="K5076" s="2" t="s">
        <v>5657</v>
      </c>
      <c r="L5076" s="82" t="s">
        <v>18773</v>
      </c>
    </row>
    <row r="5077" spans="1:12" ht="84" customHeight="1" x14ac:dyDescent="0.3">
      <c r="A5077" s="2">
        <v>5073</v>
      </c>
      <c r="B5077" s="66" t="s">
        <v>5692</v>
      </c>
      <c r="C5077" s="66" t="s">
        <v>5699</v>
      </c>
      <c r="D5077" s="11">
        <v>169000</v>
      </c>
      <c r="E5077" s="11">
        <v>169000</v>
      </c>
      <c r="F5077" s="3">
        <v>39171</v>
      </c>
      <c r="G5077" s="2"/>
      <c r="H5077" s="2"/>
      <c r="I5077" s="2"/>
      <c r="J5077" s="2" t="s">
        <v>13904</v>
      </c>
      <c r="K5077" s="2" t="s">
        <v>5657</v>
      </c>
      <c r="L5077" s="82" t="s">
        <v>18773</v>
      </c>
    </row>
    <row r="5078" spans="1:12" ht="84" customHeight="1" x14ac:dyDescent="0.3">
      <c r="A5078" s="2">
        <v>5074</v>
      </c>
      <c r="B5078" s="66" t="s">
        <v>5692</v>
      </c>
      <c r="C5078" s="66" t="s">
        <v>5700</v>
      </c>
      <c r="D5078" s="11">
        <v>169000</v>
      </c>
      <c r="E5078" s="11">
        <v>169000</v>
      </c>
      <c r="F5078" s="3">
        <v>39171</v>
      </c>
      <c r="G5078" s="2"/>
      <c r="H5078" s="2"/>
      <c r="I5078" s="2"/>
      <c r="J5078" s="2" t="s">
        <v>13904</v>
      </c>
      <c r="K5078" s="2" t="s">
        <v>5657</v>
      </c>
      <c r="L5078" s="82" t="s">
        <v>18773</v>
      </c>
    </row>
    <row r="5079" spans="1:12" ht="84" customHeight="1" x14ac:dyDescent="0.3">
      <c r="A5079" s="2">
        <v>5075</v>
      </c>
      <c r="B5079" s="66" t="s">
        <v>5692</v>
      </c>
      <c r="C5079" s="66" t="s">
        <v>5701</v>
      </c>
      <c r="D5079" s="11">
        <v>169000</v>
      </c>
      <c r="E5079" s="11">
        <v>169000</v>
      </c>
      <c r="F5079" s="3">
        <v>39171</v>
      </c>
      <c r="G5079" s="2"/>
      <c r="H5079" s="2"/>
      <c r="I5079" s="2"/>
      <c r="J5079" s="2" t="s">
        <v>13904</v>
      </c>
      <c r="K5079" s="2" t="s">
        <v>5657</v>
      </c>
      <c r="L5079" s="82" t="s">
        <v>18773</v>
      </c>
    </row>
    <row r="5080" spans="1:12" ht="84" customHeight="1" x14ac:dyDescent="0.3">
      <c r="A5080" s="2">
        <v>5076</v>
      </c>
      <c r="B5080" s="66" t="s">
        <v>5702</v>
      </c>
      <c r="C5080" s="66" t="s">
        <v>5703</v>
      </c>
      <c r="D5080" s="11">
        <v>172444.84</v>
      </c>
      <c r="E5080" s="11">
        <v>172444.84</v>
      </c>
      <c r="F5080" s="3">
        <v>39052</v>
      </c>
      <c r="G5080" s="2"/>
      <c r="H5080" s="2"/>
      <c r="I5080" s="2"/>
      <c r="J5080" s="2" t="s">
        <v>13904</v>
      </c>
      <c r="K5080" s="2" t="s">
        <v>5657</v>
      </c>
      <c r="L5080" s="82" t="s">
        <v>18773</v>
      </c>
    </row>
    <row r="5081" spans="1:12" ht="84" customHeight="1" x14ac:dyDescent="0.3">
      <c r="A5081" s="2">
        <v>5077</v>
      </c>
      <c r="B5081" s="66" t="s">
        <v>5704</v>
      </c>
      <c r="C5081" s="66" t="s">
        <v>5705</v>
      </c>
      <c r="D5081" s="11">
        <v>172444.84</v>
      </c>
      <c r="E5081" s="11">
        <v>172444.84</v>
      </c>
      <c r="F5081" s="3">
        <v>39052</v>
      </c>
      <c r="G5081" s="2"/>
      <c r="H5081" s="2"/>
      <c r="I5081" s="2"/>
      <c r="J5081" s="2" t="s">
        <v>13904</v>
      </c>
      <c r="K5081" s="2" t="s">
        <v>5657</v>
      </c>
      <c r="L5081" s="82" t="s">
        <v>18773</v>
      </c>
    </row>
    <row r="5082" spans="1:12" ht="84" customHeight="1" x14ac:dyDescent="0.3">
      <c r="A5082" s="2">
        <v>5078</v>
      </c>
      <c r="B5082" s="66" t="s">
        <v>5706</v>
      </c>
      <c r="C5082" s="66" t="s">
        <v>5707</v>
      </c>
      <c r="D5082" s="11">
        <v>172444.84</v>
      </c>
      <c r="E5082" s="11">
        <v>172444.84</v>
      </c>
      <c r="F5082" s="3">
        <v>39447</v>
      </c>
      <c r="G5082" s="2"/>
      <c r="H5082" s="2"/>
      <c r="I5082" s="2"/>
      <c r="J5082" s="2" t="s">
        <v>13904</v>
      </c>
      <c r="K5082" s="2" t="s">
        <v>5657</v>
      </c>
      <c r="L5082" s="82" t="s">
        <v>18773</v>
      </c>
    </row>
    <row r="5083" spans="1:12" ht="84" customHeight="1" x14ac:dyDescent="0.3">
      <c r="A5083" s="2">
        <v>5079</v>
      </c>
      <c r="B5083" s="66" t="s">
        <v>5708</v>
      </c>
      <c r="C5083" s="66" t="s">
        <v>5709</v>
      </c>
      <c r="D5083" s="11">
        <v>54087</v>
      </c>
      <c r="E5083" s="11">
        <v>54087</v>
      </c>
      <c r="F5083" s="3">
        <v>40862</v>
      </c>
      <c r="G5083" s="2"/>
      <c r="H5083" s="2"/>
      <c r="I5083" s="2"/>
      <c r="J5083" s="2" t="s">
        <v>13904</v>
      </c>
      <c r="K5083" s="2" t="s">
        <v>5657</v>
      </c>
      <c r="L5083" s="82" t="s">
        <v>18774</v>
      </c>
    </row>
    <row r="5084" spans="1:12" ht="120" customHeight="1" x14ac:dyDescent="0.3">
      <c r="A5084" s="2">
        <v>5080</v>
      </c>
      <c r="B5084" s="66" t="s">
        <v>22204</v>
      </c>
      <c r="C5084" s="66">
        <v>4101240081</v>
      </c>
      <c r="D5084" s="11">
        <v>50120</v>
      </c>
      <c r="E5084" s="11">
        <v>0</v>
      </c>
      <c r="F5084" s="3" t="s">
        <v>20110</v>
      </c>
      <c r="G5084" s="2" t="s">
        <v>22208</v>
      </c>
      <c r="H5084" s="3"/>
      <c r="I5084" s="2"/>
      <c r="J5084" s="2" t="s">
        <v>13904</v>
      </c>
      <c r="K5084" s="2" t="s">
        <v>22207</v>
      </c>
      <c r="L5084" s="246" t="s">
        <v>23000</v>
      </c>
    </row>
    <row r="5085" spans="1:12" ht="120" customHeight="1" x14ac:dyDescent="0.3">
      <c r="A5085" s="2">
        <v>5081</v>
      </c>
      <c r="B5085" s="66" t="s">
        <v>22204</v>
      </c>
      <c r="C5085" s="66">
        <v>4101240082</v>
      </c>
      <c r="D5085" s="11">
        <v>50120</v>
      </c>
      <c r="E5085" s="11">
        <v>0</v>
      </c>
      <c r="F5085" s="3" t="s">
        <v>20110</v>
      </c>
      <c r="G5085" s="2" t="s">
        <v>22208</v>
      </c>
      <c r="H5085" s="3"/>
      <c r="I5085" s="2"/>
      <c r="J5085" s="2" t="s">
        <v>13904</v>
      </c>
      <c r="K5085" s="2" t="s">
        <v>22207</v>
      </c>
      <c r="L5085" s="246" t="s">
        <v>23000</v>
      </c>
    </row>
    <row r="5086" spans="1:12" ht="120" customHeight="1" x14ac:dyDescent="0.3">
      <c r="A5086" s="2">
        <v>5082</v>
      </c>
      <c r="B5086" s="66" t="s">
        <v>22204</v>
      </c>
      <c r="C5086" s="66">
        <v>4101240083</v>
      </c>
      <c r="D5086" s="11">
        <v>50120</v>
      </c>
      <c r="E5086" s="11">
        <v>0</v>
      </c>
      <c r="F5086" s="3" t="s">
        <v>20110</v>
      </c>
      <c r="G5086" s="2" t="s">
        <v>22208</v>
      </c>
      <c r="H5086" s="3"/>
      <c r="I5086" s="2"/>
      <c r="J5086" s="2" t="s">
        <v>13904</v>
      </c>
      <c r="K5086" s="2" t="s">
        <v>22207</v>
      </c>
      <c r="L5086" s="246" t="s">
        <v>23000</v>
      </c>
    </row>
    <row r="5087" spans="1:12" ht="120" customHeight="1" x14ac:dyDescent="0.3">
      <c r="A5087" s="2">
        <v>5083</v>
      </c>
      <c r="B5087" s="66" t="s">
        <v>22204</v>
      </c>
      <c r="C5087" s="66">
        <v>4101240084</v>
      </c>
      <c r="D5087" s="11">
        <v>50120</v>
      </c>
      <c r="E5087" s="11">
        <v>0</v>
      </c>
      <c r="F5087" s="3" t="s">
        <v>20110</v>
      </c>
      <c r="G5087" s="2" t="s">
        <v>22208</v>
      </c>
      <c r="H5087" s="3"/>
      <c r="I5087" s="2"/>
      <c r="J5087" s="2" t="s">
        <v>13904</v>
      </c>
      <c r="K5087" s="2" t="s">
        <v>22207</v>
      </c>
      <c r="L5087" s="246" t="s">
        <v>23000</v>
      </c>
    </row>
    <row r="5088" spans="1:12" ht="120" customHeight="1" x14ac:dyDescent="0.3">
      <c r="A5088" s="2">
        <v>5084</v>
      </c>
      <c r="B5088" s="66" t="s">
        <v>22204</v>
      </c>
      <c r="C5088" s="66">
        <v>4101240085</v>
      </c>
      <c r="D5088" s="11">
        <v>50120</v>
      </c>
      <c r="E5088" s="11">
        <v>0</v>
      </c>
      <c r="F5088" s="3" t="s">
        <v>20110</v>
      </c>
      <c r="G5088" s="2" t="s">
        <v>22208</v>
      </c>
      <c r="H5088" s="3"/>
      <c r="I5088" s="2"/>
      <c r="J5088" s="2" t="s">
        <v>13904</v>
      </c>
      <c r="K5088" s="2" t="s">
        <v>22207</v>
      </c>
      <c r="L5088" s="246" t="s">
        <v>23000</v>
      </c>
    </row>
    <row r="5089" spans="1:12" ht="120" customHeight="1" x14ac:dyDescent="0.3">
      <c r="A5089" s="2">
        <v>5085</v>
      </c>
      <c r="B5089" s="66" t="s">
        <v>22204</v>
      </c>
      <c r="C5089" s="66">
        <v>4101240086</v>
      </c>
      <c r="D5089" s="11">
        <v>50120</v>
      </c>
      <c r="E5089" s="11">
        <v>0</v>
      </c>
      <c r="F5089" s="3" t="s">
        <v>20110</v>
      </c>
      <c r="G5089" s="2" t="s">
        <v>22208</v>
      </c>
      <c r="H5089" s="3"/>
      <c r="I5089" s="2"/>
      <c r="J5089" s="2" t="s">
        <v>13904</v>
      </c>
      <c r="K5089" s="2" t="s">
        <v>22207</v>
      </c>
      <c r="L5089" s="246" t="s">
        <v>23000</v>
      </c>
    </row>
    <row r="5090" spans="1:12" ht="120" customHeight="1" x14ac:dyDescent="0.3">
      <c r="A5090" s="2">
        <v>5086</v>
      </c>
      <c r="B5090" s="66" t="s">
        <v>22204</v>
      </c>
      <c r="C5090" s="66">
        <v>4101240087</v>
      </c>
      <c r="D5090" s="11">
        <v>50120</v>
      </c>
      <c r="E5090" s="11">
        <v>0</v>
      </c>
      <c r="F5090" s="3" t="s">
        <v>20110</v>
      </c>
      <c r="G5090" s="2" t="s">
        <v>22208</v>
      </c>
      <c r="H5090" s="3"/>
      <c r="I5090" s="2"/>
      <c r="J5090" s="2" t="s">
        <v>13904</v>
      </c>
      <c r="K5090" s="2" t="s">
        <v>22207</v>
      </c>
      <c r="L5090" s="246" t="s">
        <v>23000</v>
      </c>
    </row>
    <row r="5091" spans="1:12" ht="84" customHeight="1" x14ac:dyDescent="0.3">
      <c r="A5091" s="2">
        <v>5087</v>
      </c>
      <c r="B5091" s="66" t="s">
        <v>5710</v>
      </c>
      <c r="C5091" s="66" t="s">
        <v>5711</v>
      </c>
      <c r="D5091" s="11">
        <v>172444.84</v>
      </c>
      <c r="E5091" s="11">
        <v>172444.84</v>
      </c>
      <c r="F5091" s="3">
        <v>39052</v>
      </c>
      <c r="G5091" s="2"/>
      <c r="H5091" s="2"/>
      <c r="I5091" s="2"/>
      <c r="J5091" s="2" t="s">
        <v>13904</v>
      </c>
      <c r="K5091" s="2" t="s">
        <v>5657</v>
      </c>
      <c r="L5091" s="82" t="s">
        <v>18772</v>
      </c>
    </row>
    <row r="5092" spans="1:12" ht="84" customHeight="1" x14ac:dyDescent="0.3">
      <c r="A5092" s="2">
        <v>5088</v>
      </c>
      <c r="B5092" s="66" t="s">
        <v>5712</v>
      </c>
      <c r="C5092" s="66" t="s">
        <v>5713</v>
      </c>
      <c r="D5092" s="11">
        <v>87285.17</v>
      </c>
      <c r="E5092" s="11">
        <v>86612.78</v>
      </c>
      <c r="F5092" s="3">
        <v>39052</v>
      </c>
      <c r="G5092" s="2"/>
      <c r="H5092" s="2"/>
      <c r="I5092" s="2"/>
      <c r="J5092" s="2" t="s">
        <v>13904</v>
      </c>
      <c r="K5092" s="2" t="s">
        <v>5657</v>
      </c>
      <c r="L5092" s="82" t="s">
        <v>18773</v>
      </c>
    </row>
    <row r="5093" spans="1:12" ht="120" customHeight="1" x14ac:dyDescent="0.3">
      <c r="A5093" s="2">
        <v>5089</v>
      </c>
      <c r="B5093" s="66" t="s">
        <v>22204</v>
      </c>
      <c r="C5093" s="66">
        <v>4101240088</v>
      </c>
      <c r="D5093" s="11">
        <v>50120</v>
      </c>
      <c r="E5093" s="11">
        <v>0</v>
      </c>
      <c r="F5093" s="3" t="s">
        <v>20110</v>
      </c>
      <c r="G5093" s="2" t="s">
        <v>22208</v>
      </c>
      <c r="H5093" s="3"/>
      <c r="I5093" s="2"/>
      <c r="J5093" s="2" t="s">
        <v>13904</v>
      </c>
      <c r="K5093" s="2" t="s">
        <v>22207</v>
      </c>
      <c r="L5093" s="246" t="s">
        <v>23000</v>
      </c>
    </row>
    <row r="5094" spans="1:12" ht="120" customHeight="1" x14ac:dyDescent="0.3">
      <c r="A5094" s="2">
        <v>5090</v>
      </c>
      <c r="B5094" s="66" t="s">
        <v>22204</v>
      </c>
      <c r="C5094" s="66">
        <v>4101240089</v>
      </c>
      <c r="D5094" s="11">
        <v>50120</v>
      </c>
      <c r="E5094" s="11">
        <v>0</v>
      </c>
      <c r="F5094" s="3" t="s">
        <v>20110</v>
      </c>
      <c r="G5094" s="2" t="s">
        <v>22208</v>
      </c>
      <c r="H5094" s="3"/>
      <c r="I5094" s="2"/>
      <c r="J5094" s="2" t="s">
        <v>13904</v>
      </c>
      <c r="K5094" s="2" t="s">
        <v>22207</v>
      </c>
      <c r="L5094" s="246" t="s">
        <v>23000</v>
      </c>
    </row>
    <row r="5095" spans="1:12" ht="84" customHeight="1" x14ac:dyDescent="0.3">
      <c r="A5095" s="2">
        <v>5091</v>
      </c>
      <c r="B5095" s="66" t="s">
        <v>5714</v>
      </c>
      <c r="C5095" s="66" t="s">
        <v>5715</v>
      </c>
      <c r="D5095" s="11">
        <v>118483</v>
      </c>
      <c r="E5095" s="11">
        <v>118483</v>
      </c>
      <c r="F5095" s="3">
        <v>39052</v>
      </c>
      <c r="G5095" s="2"/>
      <c r="H5095" s="2"/>
      <c r="I5095" s="2"/>
      <c r="J5095" s="2" t="s">
        <v>13904</v>
      </c>
      <c r="K5095" s="2" t="s">
        <v>5657</v>
      </c>
      <c r="L5095" s="82" t="s">
        <v>18773</v>
      </c>
    </row>
    <row r="5096" spans="1:12" ht="84" customHeight="1" x14ac:dyDescent="0.3">
      <c r="A5096" s="2">
        <v>5092</v>
      </c>
      <c r="B5096" s="66" t="s">
        <v>4568</v>
      </c>
      <c r="C5096" s="66" t="s">
        <v>5716</v>
      </c>
      <c r="D5096" s="11">
        <v>71400</v>
      </c>
      <c r="E5096" s="11">
        <v>69071.960000000006</v>
      </c>
      <c r="F5096" s="3">
        <v>39142</v>
      </c>
      <c r="G5096" s="2"/>
      <c r="H5096" s="2"/>
      <c r="I5096" s="2"/>
      <c r="J5096" s="2" t="s">
        <v>13904</v>
      </c>
      <c r="K5096" s="2" t="s">
        <v>5657</v>
      </c>
      <c r="L5096" s="82" t="s">
        <v>18773</v>
      </c>
    </row>
    <row r="5097" spans="1:12" ht="84" customHeight="1" x14ac:dyDescent="0.3">
      <c r="A5097" s="2">
        <v>5093</v>
      </c>
      <c r="B5097" s="66" t="s">
        <v>5717</v>
      </c>
      <c r="C5097" s="66" t="s">
        <v>5718</v>
      </c>
      <c r="D5097" s="11">
        <v>420479</v>
      </c>
      <c r="E5097" s="11">
        <v>420479</v>
      </c>
      <c r="F5097" s="3">
        <v>39052</v>
      </c>
      <c r="G5097" s="2"/>
      <c r="H5097" s="2"/>
      <c r="I5097" s="2"/>
      <c r="J5097" s="2" t="s">
        <v>13904</v>
      </c>
      <c r="K5097" s="2" t="s">
        <v>5657</v>
      </c>
      <c r="L5097" s="82" t="s">
        <v>18773</v>
      </c>
    </row>
    <row r="5098" spans="1:12" ht="120" customHeight="1" x14ac:dyDescent="0.3">
      <c r="A5098" s="2">
        <v>5094</v>
      </c>
      <c r="B5098" s="66" t="s">
        <v>22204</v>
      </c>
      <c r="C5098" s="66">
        <v>4101240090</v>
      </c>
      <c r="D5098" s="11">
        <v>50120</v>
      </c>
      <c r="E5098" s="11">
        <v>0</v>
      </c>
      <c r="F5098" s="3" t="s">
        <v>20110</v>
      </c>
      <c r="G5098" s="2" t="s">
        <v>22208</v>
      </c>
      <c r="H5098" s="3"/>
      <c r="I5098" s="2"/>
      <c r="J5098" s="2" t="s">
        <v>13904</v>
      </c>
      <c r="K5098" s="2" t="s">
        <v>22207</v>
      </c>
      <c r="L5098" s="246" t="s">
        <v>23000</v>
      </c>
    </row>
    <row r="5099" spans="1:12" ht="120" customHeight="1" x14ac:dyDescent="0.3">
      <c r="A5099" s="2">
        <v>5095</v>
      </c>
      <c r="B5099" s="66" t="s">
        <v>22204</v>
      </c>
      <c r="C5099" s="66">
        <v>4101240091</v>
      </c>
      <c r="D5099" s="11">
        <v>50120</v>
      </c>
      <c r="E5099" s="11">
        <v>0</v>
      </c>
      <c r="F5099" s="3" t="s">
        <v>20110</v>
      </c>
      <c r="G5099" s="2" t="s">
        <v>22208</v>
      </c>
      <c r="H5099" s="3"/>
      <c r="I5099" s="2"/>
      <c r="J5099" s="2" t="s">
        <v>13904</v>
      </c>
      <c r="K5099" s="2" t="s">
        <v>22207</v>
      </c>
      <c r="L5099" s="246" t="s">
        <v>23000</v>
      </c>
    </row>
    <row r="5100" spans="1:12" ht="84" customHeight="1" x14ac:dyDescent="0.3">
      <c r="A5100" s="2">
        <v>5096</v>
      </c>
      <c r="B5100" s="66" t="s">
        <v>5719</v>
      </c>
      <c r="C5100" s="66" t="s">
        <v>5720</v>
      </c>
      <c r="D5100" s="11">
        <v>219248</v>
      </c>
      <c r="E5100" s="11">
        <v>212099.45</v>
      </c>
      <c r="F5100" s="3">
        <v>39142</v>
      </c>
      <c r="G5100" s="2"/>
      <c r="H5100" s="2"/>
      <c r="I5100" s="2"/>
      <c r="J5100" s="2" t="s">
        <v>13904</v>
      </c>
      <c r="K5100" s="2" t="s">
        <v>5657</v>
      </c>
      <c r="L5100" s="82" t="s">
        <v>18773</v>
      </c>
    </row>
    <row r="5101" spans="1:12" ht="120" customHeight="1" x14ac:dyDescent="0.3">
      <c r="A5101" s="2">
        <v>5097</v>
      </c>
      <c r="B5101" s="66" t="s">
        <v>22204</v>
      </c>
      <c r="C5101" s="66">
        <v>4101240092</v>
      </c>
      <c r="D5101" s="11">
        <v>50120</v>
      </c>
      <c r="E5101" s="11">
        <v>0</v>
      </c>
      <c r="F5101" s="3" t="s">
        <v>20110</v>
      </c>
      <c r="G5101" s="2" t="s">
        <v>22208</v>
      </c>
      <c r="H5101" s="3"/>
      <c r="I5101" s="2"/>
      <c r="J5101" s="2" t="s">
        <v>13904</v>
      </c>
      <c r="K5101" s="2" t="s">
        <v>22207</v>
      </c>
      <c r="L5101" s="246" t="s">
        <v>23000</v>
      </c>
    </row>
    <row r="5102" spans="1:12" ht="120" customHeight="1" x14ac:dyDescent="0.3">
      <c r="A5102" s="2">
        <v>5098</v>
      </c>
      <c r="B5102" s="66" t="s">
        <v>22204</v>
      </c>
      <c r="C5102" s="66">
        <v>4101240093</v>
      </c>
      <c r="D5102" s="11">
        <v>50120</v>
      </c>
      <c r="E5102" s="11">
        <v>0</v>
      </c>
      <c r="F5102" s="3" t="s">
        <v>20110</v>
      </c>
      <c r="G5102" s="2" t="s">
        <v>22208</v>
      </c>
      <c r="H5102" s="3"/>
      <c r="I5102" s="2"/>
      <c r="J5102" s="2" t="s">
        <v>13904</v>
      </c>
      <c r="K5102" s="2" t="s">
        <v>22207</v>
      </c>
      <c r="L5102" s="246" t="s">
        <v>23000</v>
      </c>
    </row>
    <row r="5103" spans="1:12" ht="84" customHeight="1" x14ac:dyDescent="0.3">
      <c r="A5103" s="2">
        <v>5099</v>
      </c>
      <c r="B5103" s="66" t="s">
        <v>5721</v>
      </c>
      <c r="C5103" s="66" t="s">
        <v>5722</v>
      </c>
      <c r="D5103" s="11">
        <v>185510</v>
      </c>
      <c r="E5103" s="11">
        <v>94300.89</v>
      </c>
      <c r="F5103" s="3">
        <v>41617</v>
      </c>
      <c r="G5103" s="2"/>
      <c r="H5103" s="2"/>
      <c r="I5103" s="2"/>
      <c r="J5103" s="2" t="s">
        <v>13904</v>
      </c>
      <c r="K5103" s="2" t="s">
        <v>5657</v>
      </c>
      <c r="L5103" s="82" t="s">
        <v>18774</v>
      </c>
    </row>
    <row r="5104" spans="1:12" ht="84" customHeight="1" x14ac:dyDescent="0.3">
      <c r="A5104" s="2">
        <v>5100</v>
      </c>
      <c r="B5104" s="66" t="s">
        <v>5723</v>
      </c>
      <c r="C5104" s="66" t="s">
        <v>5724</v>
      </c>
      <c r="D5104" s="11">
        <v>213375</v>
      </c>
      <c r="E5104" s="11">
        <v>103131.31</v>
      </c>
      <c r="F5104" s="3">
        <v>41617</v>
      </c>
      <c r="G5104" s="2"/>
      <c r="H5104" s="2"/>
      <c r="I5104" s="2"/>
      <c r="J5104" s="2" t="s">
        <v>13904</v>
      </c>
      <c r="K5104" s="2" t="s">
        <v>5657</v>
      </c>
      <c r="L5104" s="82" t="s">
        <v>18774</v>
      </c>
    </row>
    <row r="5105" spans="1:15" ht="120" customHeight="1" x14ac:dyDescent="0.3">
      <c r="A5105" s="2">
        <v>5101</v>
      </c>
      <c r="B5105" s="66" t="s">
        <v>22204</v>
      </c>
      <c r="C5105" s="66">
        <v>4101240094</v>
      </c>
      <c r="D5105" s="11">
        <v>50120</v>
      </c>
      <c r="E5105" s="11">
        <v>0</v>
      </c>
      <c r="F5105" s="3" t="s">
        <v>20110</v>
      </c>
      <c r="G5105" s="2" t="s">
        <v>22208</v>
      </c>
      <c r="H5105" s="3"/>
      <c r="I5105" s="2"/>
      <c r="J5105" s="2" t="s">
        <v>13904</v>
      </c>
      <c r="K5105" s="2" t="s">
        <v>22207</v>
      </c>
      <c r="L5105" s="246" t="s">
        <v>23000</v>
      </c>
    </row>
    <row r="5106" spans="1:15" ht="120" customHeight="1" x14ac:dyDescent="0.3">
      <c r="A5106" s="2">
        <v>5102</v>
      </c>
      <c r="B5106" s="66" t="s">
        <v>22204</v>
      </c>
      <c r="C5106" s="66">
        <v>4101240095</v>
      </c>
      <c r="D5106" s="11">
        <v>50120</v>
      </c>
      <c r="E5106" s="11">
        <v>0</v>
      </c>
      <c r="F5106" s="3" t="s">
        <v>20110</v>
      </c>
      <c r="G5106" s="2" t="s">
        <v>22208</v>
      </c>
      <c r="H5106" s="3"/>
      <c r="I5106" s="2"/>
      <c r="J5106" s="2" t="s">
        <v>13904</v>
      </c>
      <c r="K5106" s="2" t="s">
        <v>22207</v>
      </c>
      <c r="L5106" s="246" t="s">
        <v>23000</v>
      </c>
    </row>
    <row r="5107" spans="1:15" ht="120" customHeight="1" x14ac:dyDescent="0.3">
      <c r="A5107" s="2">
        <v>5103</v>
      </c>
      <c r="B5107" s="66" t="s">
        <v>22204</v>
      </c>
      <c r="C5107" s="66">
        <v>4101240096</v>
      </c>
      <c r="D5107" s="11">
        <v>50120</v>
      </c>
      <c r="E5107" s="11">
        <v>0</v>
      </c>
      <c r="F5107" s="3" t="s">
        <v>20110</v>
      </c>
      <c r="G5107" s="2" t="s">
        <v>22208</v>
      </c>
      <c r="H5107" s="3"/>
      <c r="I5107" s="2"/>
      <c r="J5107" s="2" t="s">
        <v>13904</v>
      </c>
      <c r="K5107" s="2" t="s">
        <v>22207</v>
      </c>
      <c r="L5107" s="246" t="s">
        <v>23000</v>
      </c>
    </row>
    <row r="5108" spans="1:15" ht="120" customHeight="1" x14ac:dyDescent="0.3">
      <c r="A5108" s="2">
        <v>5104</v>
      </c>
      <c r="B5108" s="66" t="s">
        <v>22204</v>
      </c>
      <c r="C5108" s="66">
        <v>4101240097</v>
      </c>
      <c r="D5108" s="11">
        <v>50120</v>
      </c>
      <c r="E5108" s="11">
        <v>0</v>
      </c>
      <c r="F5108" s="3" t="s">
        <v>20110</v>
      </c>
      <c r="G5108" s="2" t="s">
        <v>22208</v>
      </c>
      <c r="H5108" s="3"/>
      <c r="I5108" s="2"/>
      <c r="J5108" s="2" t="s">
        <v>13904</v>
      </c>
      <c r="K5108" s="2" t="s">
        <v>22207</v>
      </c>
      <c r="L5108" s="246" t="s">
        <v>23000</v>
      </c>
    </row>
    <row r="5109" spans="1:15" ht="84" customHeight="1" x14ac:dyDescent="0.3">
      <c r="A5109" s="2">
        <v>5105</v>
      </c>
      <c r="B5109" s="66" t="s">
        <v>5727</v>
      </c>
      <c r="C5109" s="66" t="s">
        <v>5728</v>
      </c>
      <c r="D5109" s="11">
        <v>55564</v>
      </c>
      <c r="E5109" s="11">
        <v>16206.05</v>
      </c>
      <c r="F5109" s="3">
        <v>41617</v>
      </c>
      <c r="G5109" s="2"/>
      <c r="H5109" s="2"/>
      <c r="I5109" s="2"/>
      <c r="J5109" s="2" t="s">
        <v>13904</v>
      </c>
      <c r="K5109" s="2" t="s">
        <v>5657</v>
      </c>
      <c r="L5109" s="82" t="s">
        <v>18774</v>
      </c>
    </row>
    <row r="5110" spans="1:15" ht="84" customHeight="1" x14ac:dyDescent="0.3">
      <c r="A5110" s="2">
        <v>5106</v>
      </c>
      <c r="B5110" s="66" t="s">
        <v>5729</v>
      </c>
      <c r="C5110" s="66" t="s">
        <v>4188</v>
      </c>
      <c r="D5110" s="11">
        <v>318783</v>
      </c>
      <c r="E5110" s="11">
        <v>92978.55</v>
      </c>
      <c r="F5110" s="3">
        <v>41617</v>
      </c>
      <c r="G5110" s="2"/>
      <c r="H5110" s="2"/>
      <c r="I5110" s="2"/>
      <c r="J5110" s="2" t="s">
        <v>13904</v>
      </c>
      <c r="K5110" s="2" t="s">
        <v>5657</v>
      </c>
      <c r="L5110" s="82" t="s">
        <v>18774</v>
      </c>
    </row>
    <row r="5111" spans="1:15" ht="84" customHeight="1" x14ac:dyDescent="0.3">
      <c r="A5111" s="2">
        <v>5107</v>
      </c>
      <c r="B5111" s="66" t="s">
        <v>5730</v>
      </c>
      <c r="C5111" s="66" t="s">
        <v>5731</v>
      </c>
      <c r="D5111" s="11">
        <v>103902</v>
      </c>
      <c r="E5111" s="11">
        <v>30304.75</v>
      </c>
      <c r="F5111" s="3">
        <v>41617</v>
      </c>
      <c r="G5111" s="2"/>
      <c r="H5111" s="2"/>
      <c r="I5111" s="2"/>
      <c r="J5111" s="2" t="s">
        <v>13904</v>
      </c>
      <c r="K5111" s="2" t="s">
        <v>5657</v>
      </c>
      <c r="L5111" s="82" t="s">
        <v>18774</v>
      </c>
    </row>
    <row r="5112" spans="1:15" ht="84" customHeight="1" x14ac:dyDescent="0.3">
      <c r="A5112" s="2">
        <v>5108</v>
      </c>
      <c r="B5112" s="66" t="s">
        <v>5730</v>
      </c>
      <c r="C5112" s="66" t="s">
        <v>5732</v>
      </c>
      <c r="D5112" s="11">
        <v>103902</v>
      </c>
      <c r="E5112" s="11">
        <v>30304.75</v>
      </c>
      <c r="F5112" s="3">
        <v>41617</v>
      </c>
      <c r="G5112" s="2"/>
      <c r="H5112" s="2"/>
      <c r="I5112" s="2"/>
      <c r="J5112" s="2" t="s">
        <v>13904</v>
      </c>
      <c r="K5112" s="2" t="s">
        <v>5657</v>
      </c>
      <c r="L5112" s="82" t="s">
        <v>18774</v>
      </c>
    </row>
    <row r="5113" spans="1:15" ht="84" customHeight="1" x14ac:dyDescent="0.3">
      <c r="A5113" s="2">
        <v>5109</v>
      </c>
      <c r="B5113" s="66" t="s">
        <v>5733</v>
      </c>
      <c r="C5113" s="66" t="s">
        <v>5734</v>
      </c>
      <c r="D5113" s="11">
        <v>122025</v>
      </c>
      <c r="E5113" s="11">
        <v>122025</v>
      </c>
      <c r="F5113" s="3">
        <v>41617</v>
      </c>
      <c r="G5113" s="2"/>
      <c r="H5113" s="2"/>
      <c r="I5113" s="2"/>
      <c r="J5113" s="2" t="s">
        <v>13904</v>
      </c>
      <c r="K5113" s="2" t="s">
        <v>5657</v>
      </c>
      <c r="L5113" s="2" t="s">
        <v>18774</v>
      </c>
      <c r="M5113" s="18"/>
      <c r="N5113" s="18"/>
      <c r="O5113" s="18"/>
    </row>
    <row r="5114" spans="1:15" ht="84" customHeight="1" x14ac:dyDescent="0.3">
      <c r="A5114" s="2">
        <v>5110</v>
      </c>
      <c r="B5114" s="66" t="s">
        <v>5735</v>
      </c>
      <c r="C5114" s="66" t="s">
        <v>5736</v>
      </c>
      <c r="D5114" s="11">
        <v>51000</v>
      </c>
      <c r="E5114" s="11">
        <v>51000</v>
      </c>
      <c r="F5114" s="3">
        <v>39762</v>
      </c>
      <c r="G5114" s="2"/>
      <c r="H5114" s="2"/>
      <c r="I5114" s="2"/>
      <c r="J5114" s="2" t="s">
        <v>13904</v>
      </c>
      <c r="K5114" s="2" t="s">
        <v>5657</v>
      </c>
      <c r="L5114" s="82" t="s">
        <v>18773</v>
      </c>
    </row>
    <row r="5115" spans="1:15" ht="84" customHeight="1" x14ac:dyDescent="0.3">
      <c r="A5115" s="2">
        <v>5111</v>
      </c>
      <c r="B5115" s="66" t="s">
        <v>5737</v>
      </c>
      <c r="C5115" s="66" t="s">
        <v>5738</v>
      </c>
      <c r="D5115" s="11">
        <v>318000</v>
      </c>
      <c r="E5115" s="11">
        <v>203166.59</v>
      </c>
      <c r="F5115" s="3">
        <v>41978</v>
      </c>
      <c r="G5115" s="2"/>
      <c r="H5115" s="2"/>
      <c r="I5115" s="2"/>
      <c r="J5115" s="2" t="s">
        <v>13904</v>
      </c>
      <c r="K5115" s="2" t="s">
        <v>5657</v>
      </c>
      <c r="L5115" s="82" t="s">
        <v>18774</v>
      </c>
    </row>
    <row r="5116" spans="1:15" ht="84" customHeight="1" x14ac:dyDescent="0.3">
      <c r="A5116" s="2">
        <v>5112</v>
      </c>
      <c r="B5116" s="66" t="s">
        <v>5739</v>
      </c>
      <c r="C5116" s="66" t="s">
        <v>5740</v>
      </c>
      <c r="D5116" s="11">
        <v>250529</v>
      </c>
      <c r="E5116" s="11">
        <v>68597.27</v>
      </c>
      <c r="F5116" s="3">
        <v>41978</v>
      </c>
      <c r="G5116" s="2"/>
      <c r="H5116" s="2"/>
      <c r="I5116" s="2"/>
      <c r="J5116" s="2" t="s">
        <v>13904</v>
      </c>
      <c r="K5116" s="2" t="s">
        <v>5657</v>
      </c>
      <c r="L5116" s="82" t="s">
        <v>18774</v>
      </c>
    </row>
    <row r="5117" spans="1:15" ht="84" customHeight="1" x14ac:dyDescent="0.3">
      <c r="A5117" s="2">
        <v>5113</v>
      </c>
      <c r="B5117" s="66" t="s">
        <v>5741</v>
      </c>
      <c r="C5117" s="66" t="s">
        <v>3595</v>
      </c>
      <c r="D5117" s="11">
        <v>81000</v>
      </c>
      <c r="E5117" s="11">
        <v>81000</v>
      </c>
      <c r="F5117" s="3">
        <v>41226</v>
      </c>
      <c r="G5117" s="2"/>
      <c r="H5117" s="2"/>
      <c r="I5117" s="2"/>
      <c r="J5117" s="2" t="s">
        <v>13904</v>
      </c>
      <c r="K5117" s="2" t="s">
        <v>5657</v>
      </c>
      <c r="L5117" s="82" t="s">
        <v>18774</v>
      </c>
    </row>
    <row r="5118" spans="1:15" ht="84" customHeight="1" x14ac:dyDescent="0.3">
      <c r="A5118" s="2">
        <v>5114</v>
      </c>
      <c r="B5118" s="66" t="s">
        <v>5741</v>
      </c>
      <c r="C5118" s="66" t="s">
        <v>3822</v>
      </c>
      <c r="D5118" s="11">
        <v>81000</v>
      </c>
      <c r="E5118" s="11">
        <v>81000</v>
      </c>
      <c r="F5118" s="3">
        <v>41226</v>
      </c>
      <c r="G5118" s="2"/>
      <c r="H5118" s="2"/>
      <c r="I5118" s="2"/>
      <c r="J5118" s="2" t="s">
        <v>13904</v>
      </c>
      <c r="K5118" s="2" t="s">
        <v>5657</v>
      </c>
      <c r="L5118" s="82" t="s">
        <v>18774</v>
      </c>
    </row>
    <row r="5119" spans="1:15" ht="84" customHeight="1" x14ac:dyDescent="0.3">
      <c r="A5119" s="2">
        <v>5115</v>
      </c>
      <c r="B5119" s="66" t="s">
        <v>5741</v>
      </c>
      <c r="C5119" s="66" t="s">
        <v>4498</v>
      </c>
      <c r="D5119" s="11">
        <v>81000</v>
      </c>
      <c r="E5119" s="11">
        <v>81000</v>
      </c>
      <c r="F5119" s="3">
        <v>41226</v>
      </c>
      <c r="G5119" s="2"/>
      <c r="H5119" s="2"/>
      <c r="I5119" s="2"/>
      <c r="J5119" s="2" t="s">
        <v>13904</v>
      </c>
      <c r="K5119" s="2" t="s">
        <v>5657</v>
      </c>
      <c r="L5119" s="82" t="s">
        <v>18774</v>
      </c>
    </row>
    <row r="5120" spans="1:15" ht="84" customHeight="1" x14ac:dyDescent="0.3">
      <c r="A5120" s="2">
        <v>5116</v>
      </c>
      <c r="B5120" s="66" t="s">
        <v>5741</v>
      </c>
      <c r="C5120" s="66" t="s">
        <v>4494</v>
      </c>
      <c r="D5120" s="11">
        <v>81000</v>
      </c>
      <c r="E5120" s="11">
        <v>81000</v>
      </c>
      <c r="F5120" s="3">
        <v>41226</v>
      </c>
      <c r="G5120" s="2"/>
      <c r="H5120" s="2"/>
      <c r="I5120" s="2"/>
      <c r="J5120" s="2" t="s">
        <v>13904</v>
      </c>
      <c r="K5120" s="2" t="s">
        <v>5657</v>
      </c>
      <c r="L5120" s="82" t="s">
        <v>18774</v>
      </c>
    </row>
    <row r="5121" spans="1:12" ht="84" customHeight="1" x14ac:dyDescent="0.3">
      <c r="A5121" s="2">
        <v>5117</v>
      </c>
      <c r="B5121" s="66" t="s">
        <v>5741</v>
      </c>
      <c r="C5121" s="66" t="s">
        <v>4331</v>
      </c>
      <c r="D5121" s="11">
        <v>81000</v>
      </c>
      <c r="E5121" s="11">
        <v>81000</v>
      </c>
      <c r="F5121" s="3">
        <v>41226</v>
      </c>
      <c r="G5121" s="2"/>
      <c r="H5121" s="2"/>
      <c r="I5121" s="2"/>
      <c r="J5121" s="2" t="s">
        <v>13904</v>
      </c>
      <c r="K5121" s="2" t="s">
        <v>5657</v>
      </c>
      <c r="L5121" s="82" t="s">
        <v>18774</v>
      </c>
    </row>
    <row r="5122" spans="1:12" ht="84" customHeight="1" x14ac:dyDescent="0.3">
      <c r="A5122" s="2">
        <v>5118</v>
      </c>
      <c r="B5122" s="66" t="s">
        <v>5742</v>
      </c>
      <c r="C5122" s="66" t="s">
        <v>4327</v>
      </c>
      <c r="D5122" s="11">
        <v>60000</v>
      </c>
      <c r="E5122" s="11">
        <v>60000</v>
      </c>
      <c r="F5122" s="3">
        <v>41226</v>
      </c>
      <c r="G5122" s="2"/>
      <c r="H5122" s="2"/>
      <c r="I5122" s="2"/>
      <c r="J5122" s="2" t="s">
        <v>13904</v>
      </c>
      <c r="K5122" s="2" t="s">
        <v>5657</v>
      </c>
      <c r="L5122" s="82" t="s">
        <v>18774</v>
      </c>
    </row>
    <row r="5123" spans="1:12" ht="84" customHeight="1" x14ac:dyDescent="0.3">
      <c r="A5123" s="2">
        <v>5119</v>
      </c>
      <c r="B5123" s="66" t="s">
        <v>5742</v>
      </c>
      <c r="C5123" s="66" t="s">
        <v>3091</v>
      </c>
      <c r="D5123" s="11">
        <v>60000</v>
      </c>
      <c r="E5123" s="11">
        <v>60000</v>
      </c>
      <c r="F5123" s="3">
        <v>41226</v>
      </c>
      <c r="G5123" s="2"/>
      <c r="H5123" s="2"/>
      <c r="I5123" s="2"/>
      <c r="J5123" s="2" t="s">
        <v>13904</v>
      </c>
      <c r="K5123" s="2" t="s">
        <v>5657</v>
      </c>
      <c r="L5123" s="82" t="s">
        <v>18774</v>
      </c>
    </row>
    <row r="5124" spans="1:12" ht="84" customHeight="1" x14ac:dyDescent="0.3">
      <c r="A5124" s="2">
        <v>5120</v>
      </c>
      <c r="B5124" s="66" t="s">
        <v>5742</v>
      </c>
      <c r="C5124" s="66" t="s">
        <v>4496</v>
      </c>
      <c r="D5124" s="11">
        <v>60000</v>
      </c>
      <c r="E5124" s="11">
        <v>60000</v>
      </c>
      <c r="F5124" s="3">
        <v>41226</v>
      </c>
      <c r="G5124" s="2"/>
      <c r="H5124" s="2"/>
      <c r="I5124" s="2"/>
      <c r="J5124" s="2" t="s">
        <v>13904</v>
      </c>
      <c r="K5124" s="2" t="s">
        <v>5657</v>
      </c>
      <c r="L5124" s="82" t="s">
        <v>18774</v>
      </c>
    </row>
    <row r="5125" spans="1:12" ht="84" customHeight="1" x14ac:dyDescent="0.3">
      <c r="A5125" s="2">
        <v>5121</v>
      </c>
      <c r="B5125" s="66" t="s">
        <v>5742</v>
      </c>
      <c r="C5125" s="66" t="s">
        <v>4983</v>
      </c>
      <c r="D5125" s="11">
        <v>60000</v>
      </c>
      <c r="E5125" s="11">
        <v>60000</v>
      </c>
      <c r="F5125" s="3">
        <v>41226</v>
      </c>
      <c r="G5125" s="2"/>
      <c r="H5125" s="2"/>
      <c r="I5125" s="2"/>
      <c r="J5125" s="2" t="s">
        <v>13904</v>
      </c>
      <c r="K5125" s="2" t="s">
        <v>5657</v>
      </c>
      <c r="L5125" s="82" t="s">
        <v>18774</v>
      </c>
    </row>
    <row r="5126" spans="1:12" ht="84" customHeight="1" x14ac:dyDescent="0.3">
      <c r="A5126" s="2">
        <v>5122</v>
      </c>
      <c r="B5126" s="66" t="s">
        <v>5742</v>
      </c>
      <c r="C5126" s="66" t="s">
        <v>5743</v>
      </c>
      <c r="D5126" s="11">
        <v>60000</v>
      </c>
      <c r="E5126" s="11">
        <v>60000</v>
      </c>
      <c r="F5126" s="3">
        <v>41226</v>
      </c>
      <c r="G5126" s="2"/>
      <c r="H5126" s="2"/>
      <c r="I5126" s="2"/>
      <c r="J5126" s="2" t="s">
        <v>13904</v>
      </c>
      <c r="K5126" s="2" t="s">
        <v>5657</v>
      </c>
      <c r="L5126" s="82" t="s">
        <v>18774</v>
      </c>
    </row>
    <row r="5127" spans="1:12" ht="120" customHeight="1" x14ac:dyDescent="0.3">
      <c r="A5127" s="2">
        <v>5123</v>
      </c>
      <c r="B5127" s="66" t="s">
        <v>22204</v>
      </c>
      <c r="C5127" s="66">
        <v>4101240098</v>
      </c>
      <c r="D5127" s="11">
        <v>50120</v>
      </c>
      <c r="E5127" s="11">
        <v>0</v>
      </c>
      <c r="F5127" s="3" t="s">
        <v>20110</v>
      </c>
      <c r="G5127" s="2" t="s">
        <v>22208</v>
      </c>
      <c r="H5127" s="3"/>
      <c r="I5127" s="2"/>
      <c r="J5127" s="2" t="s">
        <v>13904</v>
      </c>
      <c r="K5127" s="2" t="s">
        <v>22207</v>
      </c>
      <c r="L5127" s="246" t="s">
        <v>23000</v>
      </c>
    </row>
    <row r="5128" spans="1:12" ht="120" customHeight="1" x14ac:dyDescent="0.3">
      <c r="A5128" s="2">
        <v>5124</v>
      </c>
      <c r="B5128" s="66" t="s">
        <v>1062</v>
      </c>
      <c r="C5128" s="66">
        <v>4101240034</v>
      </c>
      <c r="D5128" s="11">
        <v>80000</v>
      </c>
      <c r="E5128" s="11">
        <v>0</v>
      </c>
      <c r="F5128" s="3" t="s">
        <v>22209</v>
      </c>
      <c r="G5128" s="2" t="s">
        <v>22210</v>
      </c>
      <c r="H5128" s="3"/>
      <c r="I5128" s="2"/>
      <c r="J5128" s="2" t="s">
        <v>13904</v>
      </c>
      <c r="K5128" s="2" t="s">
        <v>22207</v>
      </c>
      <c r="L5128" s="246" t="s">
        <v>23000</v>
      </c>
    </row>
    <row r="5129" spans="1:12" ht="120" customHeight="1" x14ac:dyDescent="0.3">
      <c r="A5129" s="2">
        <v>5125</v>
      </c>
      <c r="B5129" s="66" t="s">
        <v>22211</v>
      </c>
      <c r="C5129" s="66">
        <v>4101240102</v>
      </c>
      <c r="D5129" s="11">
        <v>128500</v>
      </c>
      <c r="E5129" s="11">
        <v>0</v>
      </c>
      <c r="F5129" s="3" t="s">
        <v>22212</v>
      </c>
      <c r="G5129" s="2" t="s">
        <v>22213</v>
      </c>
      <c r="H5129" s="3"/>
      <c r="I5129" s="2"/>
      <c r="J5129" s="2" t="s">
        <v>13904</v>
      </c>
      <c r="K5129" s="2" t="s">
        <v>22207</v>
      </c>
      <c r="L5129" s="246" t="s">
        <v>23000</v>
      </c>
    </row>
    <row r="5130" spans="1:12" ht="120" customHeight="1" x14ac:dyDescent="0.3">
      <c r="A5130" s="2">
        <v>5126</v>
      </c>
      <c r="B5130" s="66" t="s">
        <v>22214</v>
      </c>
      <c r="C5130" s="66">
        <v>4101240101</v>
      </c>
      <c r="D5130" s="11">
        <v>244500</v>
      </c>
      <c r="E5130" s="11">
        <v>0</v>
      </c>
      <c r="F5130" s="3" t="s">
        <v>22212</v>
      </c>
      <c r="G5130" s="2" t="s">
        <v>22213</v>
      </c>
      <c r="H5130" s="3"/>
      <c r="I5130" s="2"/>
      <c r="J5130" s="2" t="s">
        <v>13904</v>
      </c>
      <c r="K5130" s="2" t="s">
        <v>22207</v>
      </c>
      <c r="L5130" s="246" t="s">
        <v>23000</v>
      </c>
    </row>
    <row r="5131" spans="1:12" ht="120" customHeight="1" x14ac:dyDescent="0.3">
      <c r="A5131" s="2">
        <v>5127</v>
      </c>
      <c r="B5131" s="66" t="s">
        <v>22215</v>
      </c>
      <c r="C5131" s="66">
        <v>4101240100</v>
      </c>
      <c r="D5131" s="11">
        <v>229500</v>
      </c>
      <c r="E5131" s="11">
        <v>0</v>
      </c>
      <c r="F5131" s="3" t="s">
        <v>22212</v>
      </c>
      <c r="G5131" s="2" t="s">
        <v>22213</v>
      </c>
      <c r="H5131" s="3"/>
      <c r="I5131" s="2"/>
      <c r="J5131" s="2" t="s">
        <v>13904</v>
      </c>
      <c r="K5131" s="2" t="s">
        <v>22207</v>
      </c>
      <c r="L5131" s="246" t="s">
        <v>23000</v>
      </c>
    </row>
    <row r="5132" spans="1:12" ht="84" customHeight="1" x14ac:dyDescent="0.3">
      <c r="A5132" s="2">
        <v>5128</v>
      </c>
      <c r="B5132" s="66" t="s">
        <v>5744</v>
      </c>
      <c r="C5132" s="66" t="s">
        <v>5745</v>
      </c>
      <c r="D5132" s="11">
        <v>78313</v>
      </c>
      <c r="E5132" s="11">
        <v>78313</v>
      </c>
      <c r="F5132" s="3">
        <v>40862</v>
      </c>
      <c r="G5132" s="2"/>
      <c r="H5132" s="2"/>
      <c r="I5132" s="2"/>
      <c r="J5132" s="2" t="s">
        <v>13904</v>
      </c>
      <c r="K5132" s="2" t="s">
        <v>5657</v>
      </c>
      <c r="L5132" s="82" t="s">
        <v>18773</v>
      </c>
    </row>
    <row r="5133" spans="1:12" ht="84" customHeight="1" x14ac:dyDescent="0.3">
      <c r="A5133" s="2">
        <v>5129</v>
      </c>
      <c r="B5133" s="66" t="s">
        <v>5746</v>
      </c>
      <c r="C5133" s="66" t="s">
        <v>5747</v>
      </c>
      <c r="D5133" s="11">
        <v>167236</v>
      </c>
      <c r="E5133" s="11">
        <v>167236</v>
      </c>
      <c r="F5133" s="3">
        <v>40862</v>
      </c>
      <c r="G5133" s="2"/>
      <c r="H5133" s="2"/>
      <c r="I5133" s="2"/>
      <c r="J5133" s="2" t="s">
        <v>13904</v>
      </c>
      <c r="K5133" s="2" t="s">
        <v>5657</v>
      </c>
      <c r="L5133" s="82" t="s">
        <v>18774</v>
      </c>
    </row>
    <row r="5134" spans="1:12" ht="84" customHeight="1" x14ac:dyDescent="0.3">
      <c r="A5134" s="2">
        <v>5130</v>
      </c>
      <c r="B5134" s="66" t="s">
        <v>5748</v>
      </c>
      <c r="C5134" s="66" t="s">
        <v>5749</v>
      </c>
      <c r="D5134" s="11">
        <v>85268</v>
      </c>
      <c r="E5134" s="11">
        <v>85268</v>
      </c>
      <c r="F5134" s="3">
        <v>40862</v>
      </c>
      <c r="G5134" s="2"/>
      <c r="H5134" s="2"/>
      <c r="I5134" s="2"/>
      <c r="J5134" s="2" t="s">
        <v>13904</v>
      </c>
      <c r="K5134" s="2" t="s">
        <v>5657</v>
      </c>
      <c r="L5134" s="82" t="s">
        <v>18774</v>
      </c>
    </row>
    <row r="5135" spans="1:12" ht="84" customHeight="1" x14ac:dyDescent="0.3">
      <c r="A5135" s="2">
        <v>5131</v>
      </c>
      <c r="B5135" s="66" t="s">
        <v>5750</v>
      </c>
      <c r="C5135" s="66" t="s">
        <v>5751</v>
      </c>
      <c r="D5135" s="11">
        <v>85268</v>
      </c>
      <c r="E5135" s="11">
        <v>85268</v>
      </c>
      <c r="F5135" s="3">
        <v>40862</v>
      </c>
      <c r="G5135" s="2"/>
      <c r="H5135" s="2"/>
      <c r="I5135" s="2"/>
      <c r="J5135" s="2" t="s">
        <v>13904</v>
      </c>
      <c r="K5135" s="2" t="s">
        <v>5657</v>
      </c>
      <c r="L5135" s="82" t="s">
        <v>18773</v>
      </c>
    </row>
    <row r="5136" spans="1:12" ht="84" customHeight="1" x14ac:dyDescent="0.3">
      <c r="A5136" s="2">
        <v>5132</v>
      </c>
      <c r="B5136" s="66" t="s">
        <v>5752</v>
      </c>
      <c r="C5136" s="66" t="s">
        <v>5753</v>
      </c>
      <c r="D5136" s="11">
        <v>85268</v>
      </c>
      <c r="E5136" s="11">
        <v>85268</v>
      </c>
      <c r="F5136" s="3">
        <v>40862</v>
      </c>
      <c r="G5136" s="2"/>
      <c r="H5136" s="2"/>
      <c r="I5136" s="2"/>
      <c r="J5136" s="2" t="s">
        <v>13904</v>
      </c>
      <c r="K5136" s="2" t="s">
        <v>5657</v>
      </c>
      <c r="L5136" s="82" t="s">
        <v>18773</v>
      </c>
    </row>
    <row r="5137" spans="1:15" s="19" customFormat="1" ht="84" customHeight="1" x14ac:dyDescent="0.3">
      <c r="A5137" s="2">
        <v>5133</v>
      </c>
      <c r="B5137" s="66" t="s">
        <v>5754</v>
      </c>
      <c r="C5137" s="66" t="s">
        <v>5755</v>
      </c>
      <c r="D5137" s="11">
        <v>84346</v>
      </c>
      <c r="E5137" s="11">
        <v>84346</v>
      </c>
      <c r="F5137" s="3">
        <v>40862</v>
      </c>
      <c r="G5137" s="2"/>
      <c r="H5137" s="2"/>
      <c r="I5137" s="2"/>
      <c r="J5137" s="2" t="s">
        <v>13904</v>
      </c>
      <c r="K5137" s="2" t="s">
        <v>5657</v>
      </c>
      <c r="L5137" s="82" t="s">
        <v>18773</v>
      </c>
      <c r="M5137" s="16"/>
      <c r="N5137" s="16"/>
      <c r="O5137" s="16"/>
    </row>
    <row r="5138" spans="1:15" ht="120" customHeight="1" x14ac:dyDescent="0.3">
      <c r="A5138" s="2">
        <v>5134</v>
      </c>
      <c r="B5138" s="66" t="s">
        <v>22216</v>
      </c>
      <c r="C5138" s="66">
        <v>4101120001</v>
      </c>
      <c r="D5138" s="11">
        <v>1187955.95</v>
      </c>
      <c r="E5138" s="11">
        <v>0</v>
      </c>
      <c r="F5138" s="3" t="s">
        <v>22217</v>
      </c>
      <c r="G5138" s="2" t="s">
        <v>22218</v>
      </c>
      <c r="H5138" s="3"/>
      <c r="I5138" s="2"/>
      <c r="J5138" s="2" t="s">
        <v>13904</v>
      </c>
      <c r="K5138" s="2" t="s">
        <v>22207</v>
      </c>
      <c r="L5138" s="246" t="s">
        <v>23000</v>
      </c>
    </row>
    <row r="5139" spans="1:15" ht="84" customHeight="1" x14ac:dyDescent="0.3">
      <c r="A5139" s="2">
        <v>5135</v>
      </c>
      <c r="B5139" s="66" t="s">
        <v>23354</v>
      </c>
      <c r="C5139" s="66">
        <v>4101340338</v>
      </c>
      <c r="D5139" s="11">
        <v>63950</v>
      </c>
      <c r="E5139" s="11">
        <v>63950</v>
      </c>
      <c r="F5139" s="3" t="s">
        <v>23355</v>
      </c>
      <c r="G5139" s="2" t="s">
        <v>22213</v>
      </c>
      <c r="H5139" s="3"/>
      <c r="I5139" s="2"/>
      <c r="J5139" s="2" t="s">
        <v>13904</v>
      </c>
      <c r="K5139" s="2" t="s">
        <v>23353</v>
      </c>
      <c r="L5139" s="82" t="s">
        <v>23352</v>
      </c>
    </row>
    <row r="5140" spans="1:15" ht="84" customHeight="1" x14ac:dyDescent="0.3">
      <c r="A5140" s="2">
        <v>5136</v>
      </c>
      <c r="B5140" s="66" t="s">
        <v>5758</v>
      </c>
      <c r="C5140" s="66" t="s">
        <v>5759</v>
      </c>
      <c r="D5140" s="11">
        <v>171320.22</v>
      </c>
      <c r="E5140" s="11">
        <v>171320.22</v>
      </c>
      <c r="F5140" s="3">
        <v>39052</v>
      </c>
      <c r="G5140" s="2"/>
      <c r="H5140" s="2"/>
      <c r="I5140" s="2"/>
      <c r="J5140" s="2" t="s">
        <v>13904</v>
      </c>
      <c r="K5140" s="2" t="s">
        <v>5657</v>
      </c>
      <c r="L5140" s="82" t="s">
        <v>18773</v>
      </c>
    </row>
    <row r="5141" spans="1:15" ht="84" customHeight="1" x14ac:dyDescent="0.3">
      <c r="A5141" s="2">
        <v>5137</v>
      </c>
      <c r="B5141" s="66" t="s">
        <v>5760</v>
      </c>
      <c r="C5141" s="66" t="s">
        <v>5761</v>
      </c>
      <c r="D5141" s="11">
        <v>181449.83</v>
      </c>
      <c r="E5141" s="11">
        <v>181449.83</v>
      </c>
      <c r="F5141" s="3">
        <v>39052</v>
      </c>
      <c r="G5141" s="2"/>
      <c r="H5141" s="2"/>
      <c r="I5141" s="2"/>
      <c r="J5141" s="2" t="s">
        <v>13904</v>
      </c>
      <c r="K5141" s="2" t="s">
        <v>5657</v>
      </c>
      <c r="L5141" s="82" t="s">
        <v>18845</v>
      </c>
    </row>
    <row r="5142" spans="1:15" ht="84" customHeight="1" x14ac:dyDescent="0.3">
      <c r="A5142" s="2">
        <v>5138</v>
      </c>
      <c r="B5142" s="66" t="s">
        <v>5762</v>
      </c>
      <c r="C5142" s="66" t="s">
        <v>5763</v>
      </c>
      <c r="D5142" s="11">
        <v>110205.9</v>
      </c>
      <c r="E5142" s="11">
        <v>110205.9</v>
      </c>
      <c r="F5142" s="3">
        <v>39052</v>
      </c>
      <c r="G5142" s="2"/>
      <c r="H5142" s="2"/>
      <c r="I5142" s="2"/>
      <c r="J5142" s="2" t="s">
        <v>13904</v>
      </c>
      <c r="K5142" s="2" t="s">
        <v>5657</v>
      </c>
      <c r="L5142" s="82" t="s">
        <v>18773</v>
      </c>
    </row>
    <row r="5143" spans="1:15" ht="84" customHeight="1" x14ac:dyDescent="0.3">
      <c r="A5143" s="2">
        <v>5139</v>
      </c>
      <c r="B5143" s="66" t="s">
        <v>5764</v>
      </c>
      <c r="C5143" s="66" t="s">
        <v>5765</v>
      </c>
      <c r="D5143" s="11">
        <v>110205.9</v>
      </c>
      <c r="E5143" s="11">
        <v>110205.9</v>
      </c>
      <c r="F5143" s="3">
        <v>39052</v>
      </c>
      <c r="G5143" s="2"/>
      <c r="H5143" s="2"/>
      <c r="I5143" s="2"/>
      <c r="J5143" s="2" t="s">
        <v>13904</v>
      </c>
      <c r="K5143" s="2" t="s">
        <v>5657</v>
      </c>
      <c r="L5143" s="82" t="s">
        <v>18772</v>
      </c>
    </row>
    <row r="5144" spans="1:15" ht="84" customHeight="1" x14ac:dyDescent="0.3">
      <c r="A5144" s="2">
        <v>5140</v>
      </c>
      <c r="B5144" s="66" t="s">
        <v>5766</v>
      </c>
      <c r="C5144" s="66" t="s">
        <v>5767</v>
      </c>
      <c r="D5144" s="11">
        <v>73684.350000000006</v>
      </c>
      <c r="E5144" s="11">
        <v>73684.350000000006</v>
      </c>
      <c r="F5144" s="3">
        <v>39052</v>
      </c>
      <c r="G5144" s="2"/>
      <c r="H5144" s="2"/>
      <c r="I5144" s="2"/>
      <c r="J5144" s="2" t="s">
        <v>13904</v>
      </c>
      <c r="K5144" s="2" t="s">
        <v>5657</v>
      </c>
      <c r="L5144" s="82" t="s">
        <v>18773</v>
      </c>
    </row>
    <row r="5145" spans="1:15" ht="84" customHeight="1" x14ac:dyDescent="0.3">
      <c r="A5145" s="2">
        <v>5141</v>
      </c>
      <c r="B5145" s="66" t="s">
        <v>5768</v>
      </c>
      <c r="C5145" s="66" t="s">
        <v>5769</v>
      </c>
      <c r="D5145" s="11">
        <v>87072.3</v>
      </c>
      <c r="E5145" s="11">
        <v>87072.3</v>
      </c>
      <c r="F5145" s="3">
        <v>39052</v>
      </c>
      <c r="G5145" s="2"/>
      <c r="H5145" s="2"/>
      <c r="I5145" s="2"/>
      <c r="J5145" s="2" t="s">
        <v>13904</v>
      </c>
      <c r="K5145" s="2" t="s">
        <v>5657</v>
      </c>
      <c r="L5145" s="82" t="s">
        <v>18772</v>
      </c>
    </row>
    <row r="5146" spans="1:15" ht="84" customHeight="1" x14ac:dyDescent="0.3">
      <c r="A5146" s="2">
        <v>5142</v>
      </c>
      <c r="B5146" s="66" t="s">
        <v>5770</v>
      </c>
      <c r="C5146" s="66" t="s">
        <v>5771</v>
      </c>
      <c r="D5146" s="11">
        <v>86751</v>
      </c>
      <c r="E5146" s="11">
        <v>86751</v>
      </c>
      <c r="F5146" s="3">
        <v>39052</v>
      </c>
      <c r="G5146" s="2"/>
      <c r="H5146" s="2"/>
      <c r="I5146" s="2"/>
      <c r="J5146" s="2" t="s">
        <v>13904</v>
      </c>
      <c r="K5146" s="2" t="s">
        <v>5657</v>
      </c>
      <c r="L5146" s="82" t="s">
        <v>18772</v>
      </c>
    </row>
    <row r="5147" spans="1:15" ht="84" customHeight="1" x14ac:dyDescent="0.3">
      <c r="A5147" s="2">
        <v>5143</v>
      </c>
      <c r="B5147" s="66" t="s">
        <v>5772</v>
      </c>
      <c r="C5147" s="66" t="s">
        <v>5773</v>
      </c>
      <c r="D5147" s="11">
        <v>136071.06</v>
      </c>
      <c r="E5147" s="11">
        <v>136071.06</v>
      </c>
      <c r="F5147" s="3">
        <v>39052</v>
      </c>
      <c r="G5147" s="2"/>
      <c r="H5147" s="2"/>
      <c r="I5147" s="2"/>
      <c r="J5147" s="2" t="s">
        <v>13904</v>
      </c>
      <c r="K5147" s="2" t="s">
        <v>5657</v>
      </c>
      <c r="L5147" s="82" t="s">
        <v>18772</v>
      </c>
    </row>
    <row r="5148" spans="1:15" ht="96" customHeight="1" x14ac:dyDescent="0.3">
      <c r="A5148" s="2">
        <v>5144</v>
      </c>
      <c r="B5148" s="66" t="s">
        <v>23356</v>
      </c>
      <c r="C5148" s="66">
        <v>4101340336</v>
      </c>
      <c r="D5148" s="11">
        <v>89950</v>
      </c>
      <c r="E5148" s="11">
        <v>89950</v>
      </c>
      <c r="F5148" s="243" t="s">
        <v>23355</v>
      </c>
      <c r="G5148" s="242" t="s">
        <v>22213</v>
      </c>
      <c r="H5148" s="2"/>
      <c r="I5148" s="2"/>
      <c r="J5148" s="2" t="s">
        <v>13904</v>
      </c>
      <c r="K5148" s="242" t="s">
        <v>23353</v>
      </c>
      <c r="L5148" s="246" t="s">
        <v>23352</v>
      </c>
    </row>
    <row r="5149" spans="1:15" ht="84" customHeight="1" x14ac:dyDescent="0.3">
      <c r="A5149" s="2">
        <v>5145</v>
      </c>
      <c r="B5149" s="66" t="s">
        <v>5774</v>
      </c>
      <c r="C5149" s="66" t="s">
        <v>5775</v>
      </c>
      <c r="D5149" s="11">
        <v>83377.86</v>
      </c>
      <c r="E5149" s="11">
        <v>83377.86</v>
      </c>
      <c r="F5149" s="3">
        <v>39052</v>
      </c>
      <c r="G5149" s="2"/>
      <c r="H5149" s="2"/>
      <c r="I5149" s="2"/>
      <c r="J5149" s="2" t="s">
        <v>13904</v>
      </c>
      <c r="K5149" s="2" t="s">
        <v>5657</v>
      </c>
      <c r="L5149" s="82" t="s">
        <v>18773</v>
      </c>
    </row>
    <row r="5150" spans="1:15" ht="84" customHeight="1" x14ac:dyDescent="0.3">
      <c r="A5150" s="2">
        <v>5146</v>
      </c>
      <c r="B5150" s="66" t="s">
        <v>5776</v>
      </c>
      <c r="C5150" s="66" t="s">
        <v>4215</v>
      </c>
      <c r="D5150" s="11">
        <v>67151.7</v>
      </c>
      <c r="E5150" s="11">
        <v>67151.7</v>
      </c>
      <c r="F5150" s="3">
        <v>39052</v>
      </c>
      <c r="G5150" s="2"/>
      <c r="H5150" s="2"/>
      <c r="I5150" s="2"/>
      <c r="J5150" s="2" t="s">
        <v>13904</v>
      </c>
      <c r="K5150" s="2" t="s">
        <v>5657</v>
      </c>
      <c r="L5150" s="82" t="s">
        <v>18773</v>
      </c>
    </row>
    <row r="5151" spans="1:15" ht="96" customHeight="1" x14ac:dyDescent="0.3">
      <c r="A5151" s="2">
        <v>5147</v>
      </c>
      <c r="B5151" s="66" t="s">
        <v>23357</v>
      </c>
      <c r="C5151" s="66">
        <v>4101340331</v>
      </c>
      <c r="D5151" s="11">
        <v>86380</v>
      </c>
      <c r="E5151" s="11">
        <v>86380</v>
      </c>
      <c r="F5151" s="243" t="s">
        <v>23355</v>
      </c>
      <c r="G5151" s="242" t="s">
        <v>22213</v>
      </c>
      <c r="H5151" s="3"/>
      <c r="I5151" s="2"/>
      <c r="J5151" s="2" t="s">
        <v>13904</v>
      </c>
      <c r="K5151" s="242" t="s">
        <v>23353</v>
      </c>
      <c r="L5151" s="246" t="s">
        <v>23352</v>
      </c>
    </row>
    <row r="5152" spans="1:15" ht="84" customHeight="1" x14ac:dyDescent="0.3">
      <c r="A5152" s="2">
        <v>5148</v>
      </c>
      <c r="B5152" s="66" t="s">
        <v>5777</v>
      </c>
      <c r="C5152" s="66" t="s">
        <v>5778</v>
      </c>
      <c r="D5152" s="11">
        <v>98317.8</v>
      </c>
      <c r="E5152" s="11">
        <v>98317.8</v>
      </c>
      <c r="F5152" s="3">
        <v>39052</v>
      </c>
      <c r="G5152" s="2"/>
      <c r="H5152" s="2"/>
      <c r="I5152" s="2"/>
      <c r="J5152" s="2" t="s">
        <v>13904</v>
      </c>
      <c r="K5152" s="2" t="s">
        <v>5657</v>
      </c>
      <c r="L5152" s="82" t="s">
        <v>18773</v>
      </c>
    </row>
    <row r="5153" spans="1:15" ht="84" customHeight="1" x14ac:dyDescent="0.3">
      <c r="A5153" s="2">
        <v>5149</v>
      </c>
      <c r="B5153" s="66" t="s">
        <v>23358</v>
      </c>
      <c r="C5153" s="66">
        <v>4101340330</v>
      </c>
      <c r="D5153" s="11">
        <v>60800</v>
      </c>
      <c r="E5153" s="11">
        <v>60800</v>
      </c>
      <c r="F5153" s="243" t="s">
        <v>23355</v>
      </c>
      <c r="G5153" s="242" t="s">
        <v>22213</v>
      </c>
      <c r="H5153" s="3"/>
      <c r="I5153" s="2"/>
      <c r="J5153" s="2" t="s">
        <v>13904</v>
      </c>
      <c r="K5153" s="242" t="s">
        <v>23353</v>
      </c>
      <c r="L5153" s="246" t="s">
        <v>23352</v>
      </c>
    </row>
    <row r="5154" spans="1:15" ht="84" customHeight="1" x14ac:dyDescent="0.3">
      <c r="A5154" s="2">
        <v>5150</v>
      </c>
      <c r="B5154" s="66" t="s">
        <v>23359</v>
      </c>
      <c r="C5154" s="66">
        <v>4101240103</v>
      </c>
      <c r="D5154" s="11">
        <v>64348.6</v>
      </c>
      <c r="E5154" s="11">
        <v>64348.6</v>
      </c>
      <c r="F5154" s="3" t="s">
        <v>23360</v>
      </c>
      <c r="G5154" s="2" t="s">
        <v>23361</v>
      </c>
      <c r="H5154" s="3"/>
      <c r="I5154" s="2"/>
      <c r="J5154" s="2" t="s">
        <v>13904</v>
      </c>
      <c r="K5154" s="242" t="s">
        <v>23353</v>
      </c>
      <c r="L5154" s="246" t="s">
        <v>23352</v>
      </c>
    </row>
    <row r="5155" spans="1:15" ht="84" customHeight="1" x14ac:dyDescent="0.3">
      <c r="A5155" s="2">
        <v>5151</v>
      </c>
      <c r="B5155" s="66" t="s">
        <v>23362</v>
      </c>
      <c r="C5155" s="66">
        <v>4101240104</v>
      </c>
      <c r="D5155" s="11">
        <v>51346.85</v>
      </c>
      <c r="E5155" s="11">
        <v>51346.85</v>
      </c>
      <c r="F5155" s="243" t="s">
        <v>23360</v>
      </c>
      <c r="G5155" s="242" t="s">
        <v>23361</v>
      </c>
      <c r="H5155" s="3"/>
      <c r="I5155" s="2"/>
      <c r="J5155" s="2" t="s">
        <v>13904</v>
      </c>
      <c r="K5155" s="242" t="s">
        <v>23353</v>
      </c>
      <c r="L5155" s="246" t="s">
        <v>23352</v>
      </c>
    </row>
    <row r="5156" spans="1:15" ht="84" customHeight="1" x14ac:dyDescent="0.3">
      <c r="A5156" s="2">
        <v>5152</v>
      </c>
      <c r="B5156" s="66" t="s">
        <v>23363</v>
      </c>
      <c r="C5156" s="66">
        <v>4101240105</v>
      </c>
      <c r="D5156" s="11">
        <v>95831.27</v>
      </c>
      <c r="E5156" s="11">
        <v>95831.27</v>
      </c>
      <c r="F5156" s="3" t="s">
        <v>23120</v>
      </c>
      <c r="G5156" s="2" t="s">
        <v>23366</v>
      </c>
      <c r="H5156" s="3"/>
      <c r="I5156" s="2"/>
      <c r="J5156" s="2" t="s">
        <v>13904</v>
      </c>
      <c r="K5156" s="242" t="s">
        <v>23353</v>
      </c>
      <c r="L5156" s="246" t="s">
        <v>23352</v>
      </c>
      <c r="M5156" s="18"/>
      <c r="N5156" s="18"/>
      <c r="O5156" s="18"/>
    </row>
    <row r="5157" spans="1:15" ht="84" customHeight="1" x14ac:dyDescent="0.3">
      <c r="A5157" s="2">
        <v>5153</v>
      </c>
      <c r="B5157" s="245" t="s">
        <v>23363</v>
      </c>
      <c r="C5157" s="245">
        <v>4101240106</v>
      </c>
      <c r="D5157" s="244">
        <v>95831.27</v>
      </c>
      <c r="E5157" s="244">
        <v>95831.27</v>
      </c>
      <c r="F5157" s="243" t="s">
        <v>23120</v>
      </c>
      <c r="G5157" s="242" t="s">
        <v>23367</v>
      </c>
      <c r="H5157" s="3"/>
      <c r="I5157" s="2"/>
      <c r="J5157" s="2" t="s">
        <v>13904</v>
      </c>
      <c r="K5157" s="242" t="s">
        <v>23353</v>
      </c>
      <c r="L5157" s="246" t="s">
        <v>23352</v>
      </c>
    </row>
    <row r="5158" spans="1:15" ht="84" customHeight="1" x14ac:dyDescent="0.3">
      <c r="A5158" s="2">
        <v>5154</v>
      </c>
      <c r="B5158" s="245" t="s">
        <v>23363</v>
      </c>
      <c r="C5158" s="245">
        <v>4101240107</v>
      </c>
      <c r="D5158" s="244">
        <v>95831.27</v>
      </c>
      <c r="E5158" s="244">
        <v>95831.27</v>
      </c>
      <c r="F5158" s="243" t="s">
        <v>23120</v>
      </c>
      <c r="G5158" s="242" t="s">
        <v>23368</v>
      </c>
      <c r="H5158" s="3"/>
      <c r="I5158" s="2"/>
      <c r="J5158" s="2" t="s">
        <v>13904</v>
      </c>
      <c r="K5158" s="242" t="s">
        <v>23364</v>
      </c>
      <c r="L5158" s="246" t="s">
        <v>23365</v>
      </c>
    </row>
    <row r="5159" spans="1:15" s="19" customFormat="1" ht="84" customHeight="1" x14ac:dyDescent="0.3">
      <c r="A5159" s="2">
        <v>5155</v>
      </c>
      <c r="B5159" s="66" t="s">
        <v>5781</v>
      </c>
      <c r="C5159" s="66" t="s">
        <v>5782</v>
      </c>
      <c r="D5159" s="11">
        <v>64381</v>
      </c>
      <c r="E5159" s="11">
        <v>64381</v>
      </c>
      <c r="F5159" s="3">
        <v>39052</v>
      </c>
      <c r="G5159" s="2"/>
      <c r="H5159" s="2"/>
      <c r="I5159" s="2"/>
      <c r="J5159" s="2" t="s">
        <v>13904</v>
      </c>
      <c r="K5159" s="2" t="s">
        <v>5657</v>
      </c>
      <c r="L5159" s="82" t="s">
        <v>18773</v>
      </c>
      <c r="M5159" s="16"/>
      <c r="N5159" s="16"/>
      <c r="O5159" s="16"/>
    </row>
    <row r="5160" spans="1:15" ht="84" customHeight="1" x14ac:dyDescent="0.3">
      <c r="A5160" s="242">
        <v>5153</v>
      </c>
      <c r="B5160" s="245" t="s">
        <v>23363</v>
      </c>
      <c r="C5160" s="245">
        <v>4101240108</v>
      </c>
      <c r="D5160" s="244">
        <v>132394.99</v>
      </c>
      <c r="E5160" s="244"/>
      <c r="F5160" s="243" t="s">
        <v>23120</v>
      </c>
      <c r="G5160" s="242" t="s">
        <v>23367</v>
      </c>
      <c r="H5160" s="243"/>
      <c r="I5160" s="242"/>
      <c r="J5160" s="242" t="s">
        <v>13904</v>
      </c>
      <c r="K5160" s="242" t="s">
        <v>23353</v>
      </c>
      <c r="L5160" s="246" t="s">
        <v>23352</v>
      </c>
    </row>
    <row r="5161" spans="1:15" ht="84" customHeight="1" x14ac:dyDescent="0.3">
      <c r="A5161" s="2">
        <v>5157</v>
      </c>
      <c r="B5161" s="66" t="s">
        <v>5783</v>
      </c>
      <c r="C5161" s="66" t="s">
        <v>5784</v>
      </c>
      <c r="D5161" s="11">
        <v>352220</v>
      </c>
      <c r="E5161" s="11">
        <v>352220</v>
      </c>
      <c r="F5161" s="3">
        <v>39147</v>
      </c>
      <c r="G5161" s="2"/>
      <c r="H5161" s="2"/>
      <c r="I5161" s="2"/>
      <c r="J5161" s="2" t="s">
        <v>13904</v>
      </c>
      <c r="K5161" s="2" t="s">
        <v>5657</v>
      </c>
      <c r="L5161" s="82" t="s">
        <v>18773</v>
      </c>
    </row>
    <row r="5162" spans="1:15" ht="84" customHeight="1" x14ac:dyDescent="0.3">
      <c r="A5162" s="2">
        <v>5158</v>
      </c>
      <c r="B5162" s="66" t="s">
        <v>5785</v>
      </c>
      <c r="C5162" s="66" t="s">
        <v>5786</v>
      </c>
      <c r="D5162" s="11">
        <v>83544</v>
      </c>
      <c r="E5162" s="11">
        <v>83544</v>
      </c>
      <c r="F5162" s="3">
        <v>32176</v>
      </c>
      <c r="G5162" s="2"/>
      <c r="H5162" s="2"/>
      <c r="I5162" s="2"/>
      <c r="J5162" s="2" t="s">
        <v>13904</v>
      </c>
      <c r="K5162" s="2" t="s">
        <v>5657</v>
      </c>
      <c r="L5162" s="82" t="s">
        <v>18773</v>
      </c>
    </row>
    <row r="5163" spans="1:15" ht="96" customHeight="1" x14ac:dyDescent="0.3">
      <c r="A5163" s="2">
        <v>5159</v>
      </c>
      <c r="B5163" s="66" t="s">
        <v>5787</v>
      </c>
      <c r="C5163" s="66" t="s">
        <v>5788</v>
      </c>
      <c r="D5163" s="11">
        <v>44908</v>
      </c>
      <c r="E5163" s="11">
        <v>44908</v>
      </c>
      <c r="F5163" s="3">
        <v>31448</v>
      </c>
      <c r="G5163" s="2"/>
      <c r="H5163" s="3" t="s">
        <v>20754</v>
      </c>
      <c r="I5163" s="2" t="s">
        <v>20755</v>
      </c>
      <c r="J5163" s="2" t="s">
        <v>13904</v>
      </c>
      <c r="K5163" s="2" t="s">
        <v>5657</v>
      </c>
      <c r="L5163" s="246"/>
    </row>
    <row r="5164" spans="1:15" ht="84" customHeight="1" x14ac:dyDescent="0.3">
      <c r="A5164" s="2">
        <v>5160</v>
      </c>
      <c r="B5164" s="66" t="s">
        <v>5789</v>
      </c>
      <c r="C5164" s="66" t="s">
        <v>5790</v>
      </c>
      <c r="D5164" s="11">
        <v>513600</v>
      </c>
      <c r="E5164" s="11">
        <v>494050.72</v>
      </c>
      <c r="F5164" s="3">
        <v>39154</v>
      </c>
      <c r="G5164" s="2"/>
      <c r="H5164" s="2"/>
      <c r="I5164" s="2"/>
      <c r="J5164" s="2" t="s">
        <v>13904</v>
      </c>
      <c r="K5164" s="2" t="s">
        <v>5657</v>
      </c>
      <c r="L5164" s="82" t="s">
        <v>18773</v>
      </c>
    </row>
    <row r="5165" spans="1:15" ht="84" customHeight="1" x14ac:dyDescent="0.3">
      <c r="A5165" s="2">
        <v>5161</v>
      </c>
      <c r="B5165" s="66" t="s">
        <v>5791</v>
      </c>
      <c r="C5165" s="66" t="s">
        <v>5792</v>
      </c>
      <c r="D5165" s="11">
        <v>439200</v>
      </c>
      <c r="E5165" s="11">
        <v>439200</v>
      </c>
      <c r="F5165" s="3">
        <v>39154</v>
      </c>
      <c r="G5165" s="2"/>
      <c r="H5165" s="2"/>
      <c r="I5165" s="2"/>
      <c r="J5165" s="2" t="s">
        <v>13904</v>
      </c>
      <c r="K5165" s="2" t="s">
        <v>5657</v>
      </c>
      <c r="L5165" s="82" t="s">
        <v>18773</v>
      </c>
    </row>
    <row r="5166" spans="1:15" ht="84" customHeight="1" x14ac:dyDescent="0.3">
      <c r="A5166" s="2">
        <v>5162</v>
      </c>
      <c r="B5166" s="66" t="s">
        <v>5793</v>
      </c>
      <c r="C5166" s="66" t="s">
        <v>5794</v>
      </c>
      <c r="D5166" s="11">
        <v>193045</v>
      </c>
      <c r="E5166" s="11">
        <v>193045</v>
      </c>
      <c r="F5166" s="3">
        <v>30357</v>
      </c>
      <c r="G5166" s="2"/>
      <c r="H5166" s="2"/>
      <c r="I5166" s="2"/>
      <c r="J5166" s="2" t="s">
        <v>13904</v>
      </c>
      <c r="K5166" s="2" t="s">
        <v>5657</v>
      </c>
      <c r="L5166" s="82" t="s">
        <v>18773</v>
      </c>
    </row>
    <row r="5167" spans="1:15" ht="84" customHeight="1" x14ac:dyDescent="0.3">
      <c r="A5167" s="2">
        <v>5163</v>
      </c>
      <c r="B5167" s="66" t="s">
        <v>5795</v>
      </c>
      <c r="C5167" s="66" t="s">
        <v>5796</v>
      </c>
      <c r="D5167" s="11">
        <v>175000</v>
      </c>
      <c r="E5167" s="11">
        <v>175000</v>
      </c>
      <c r="F5167" s="3">
        <v>41771</v>
      </c>
      <c r="G5167" s="2"/>
      <c r="H5167" s="2"/>
      <c r="I5167" s="2"/>
      <c r="J5167" s="2" t="s">
        <v>13904</v>
      </c>
      <c r="K5167" s="2" t="s">
        <v>5657</v>
      </c>
      <c r="L5167" s="82" t="s">
        <v>18775</v>
      </c>
    </row>
    <row r="5168" spans="1:15" ht="84" customHeight="1" x14ac:dyDescent="0.3">
      <c r="A5168" s="2">
        <v>5164</v>
      </c>
      <c r="B5168" s="66" t="s">
        <v>5797</v>
      </c>
      <c r="C5168" s="66" t="s">
        <v>5798</v>
      </c>
      <c r="D5168" s="11">
        <v>143807.5</v>
      </c>
      <c r="E5168" s="11">
        <v>143807.5</v>
      </c>
      <c r="F5168" s="3">
        <v>38232</v>
      </c>
      <c r="G5168" s="2"/>
      <c r="H5168" s="2"/>
      <c r="I5168" s="2"/>
      <c r="J5168" s="2" t="s">
        <v>13904</v>
      </c>
      <c r="K5168" s="2" t="s">
        <v>5657</v>
      </c>
      <c r="L5168" s="82" t="s">
        <v>18773</v>
      </c>
    </row>
    <row r="5169" spans="1:15" s="19" customFormat="1" ht="84" customHeight="1" x14ac:dyDescent="0.3">
      <c r="A5169" s="2">
        <v>5165</v>
      </c>
      <c r="B5169" s="66" t="s">
        <v>5799</v>
      </c>
      <c r="C5169" s="66" t="s">
        <v>5800</v>
      </c>
      <c r="D5169" s="11">
        <v>97492</v>
      </c>
      <c r="E5169" s="11">
        <v>97492</v>
      </c>
      <c r="F5169" s="3">
        <v>33274</v>
      </c>
      <c r="G5169" s="2"/>
      <c r="H5169" s="2"/>
      <c r="I5169" s="2"/>
      <c r="J5169" s="2" t="s">
        <v>13904</v>
      </c>
      <c r="K5169" s="2" t="s">
        <v>5657</v>
      </c>
      <c r="L5169" s="82" t="s">
        <v>18773</v>
      </c>
      <c r="M5169" s="16"/>
      <c r="N5169" s="16"/>
      <c r="O5169" s="16"/>
    </row>
    <row r="5170" spans="1:15" ht="84" customHeight="1" x14ac:dyDescent="0.3">
      <c r="A5170" s="2">
        <v>5166</v>
      </c>
      <c r="B5170" s="66" t="s">
        <v>5801</v>
      </c>
      <c r="C5170" s="66" t="s">
        <v>5802</v>
      </c>
      <c r="D5170" s="11">
        <v>38660.129999999997</v>
      </c>
      <c r="E5170" s="11">
        <v>32897.699999999997</v>
      </c>
      <c r="F5170" s="3">
        <v>39057</v>
      </c>
      <c r="G5170" s="2"/>
      <c r="H5170" s="3">
        <v>43053</v>
      </c>
      <c r="I5170" s="2" t="s">
        <v>19506</v>
      </c>
      <c r="J5170" s="2" t="s">
        <v>13904</v>
      </c>
      <c r="K5170" s="2" t="s">
        <v>5657</v>
      </c>
      <c r="L5170" s="82" t="s">
        <v>19512</v>
      </c>
    </row>
    <row r="5171" spans="1:15" ht="84" customHeight="1" x14ac:dyDescent="0.3">
      <c r="A5171" s="2">
        <v>5167</v>
      </c>
      <c r="B5171" s="66" t="s">
        <v>5803</v>
      </c>
      <c r="C5171" s="66" t="s">
        <v>5804</v>
      </c>
      <c r="D5171" s="11">
        <v>26295</v>
      </c>
      <c r="E5171" s="11">
        <v>26295</v>
      </c>
      <c r="F5171" s="3">
        <v>39782</v>
      </c>
      <c r="G5171" s="2"/>
      <c r="H5171" s="3">
        <v>43053</v>
      </c>
      <c r="I5171" s="2" t="s">
        <v>19506</v>
      </c>
      <c r="J5171" s="2" t="s">
        <v>13904</v>
      </c>
      <c r="K5171" s="2" t="s">
        <v>5657</v>
      </c>
      <c r="L5171" s="82" t="s">
        <v>19512</v>
      </c>
    </row>
    <row r="5172" spans="1:15" ht="84" customHeight="1" x14ac:dyDescent="0.3">
      <c r="A5172" s="2">
        <v>5168</v>
      </c>
      <c r="B5172" s="66" t="s">
        <v>5805</v>
      </c>
      <c r="C5172" s="66" t="s">
        <v>5806</v>
      </c>
      <c r="D5172" s="11">
        <v>356821</v>
      </c>
      <c r="E5172" s="11">
        <v>136781.46</v>
      </c>
      <c r="F5172" s="3">
        <v>41983</v>
      </c>
      <c r="G5172" s="2"/>
      <c r="H5172" s="2"/>
      <c r="I5172" s="2"/>
      <c r="J5172" s="2" t="s">
        <v>13904</v>
      </c>
      <c r="K5172" s="2" t="s">
        <v>5657</v>
      </c>
      <c r="L5172" s="82" t="s">
        <v>18774</v>
      </c>
    </row>
    <row r="5173" spans="1:15" ht="84" customHeight="1" x14ac:dyDescent="0.3">
      <c r="A5173" s="2">
        <v>5169</v>
      </c>
      <c r="B5173" s="66" t="s">
        <v>5807</v>
      </c>
      <c r="C5173" s="66" t="s">
        <v>5808</v>
      </c>
      <c r="D5173" s="11">
        <v>51877</v>
      </c>
      <c r="E5173" s="11">
        <v>14204.34</v>
      </c>
      <c r="F5173" s="3">
        <v>41983</v>
      </c>
      <c r="G5173" s="2"/>
      <c r="H5173" s="2"/>
      <c r="I5173" s="2"/>
      <c r="J5173" s="2" t="s">
        <v>13904</v>
      </c>
      <c r="K5173" s="2" t="s">
        <v>5657</v>
      </c>
      <c r="L5173" s="82" t="s">
        <v>18774</v>
      </c>
    </row>
    <row r="5174" spans="1:15" ht="84" customHeight="1" x14ac:dyDescent="0.3">
      <c r="A5174" s="2">
        <v>5170</v>
      </c>
      <c r="B5174" s="66" t="s">
        <v>5809</v>
      </c>
      <c r="C5174" s="66" t="s">
        <v>5810</v>
      </c>
      <c r="D5174" s="11">
        <v>87383</v>
      </c>
      <c r="E5174" s="11">
        <v>14</v>
      </c>
      <c r="F5174" s="3">
        <v>41983</v>
      </c>
      <c r="G5174" s="2"/>
      <c r="H5174" s="2"/>
      <c r="I5174" s="2"/>
      <c r="J5174" s="2" t="s">
        <v>13904</v>
      </c>
      <c r="K5174" s="2" t="s">
        <v>5657</v>
      </c>
      <c r="L5174" s="82" t="s">
        <v>18775</v>
      </c>
    </row>
    <row r="5175" spans="1:15" ht="84" customHeight="1" x14ac:dyDescent="0.3">
      <c r="A5175" s="2">
        <v>5171</v>
      </c>
      <c r="B5175" s="66" t="s">
        <v>5811</v>
      </c>
      <c r="C5175" s="66" t="s">
        <v>5812</v>
      </c>
      <c r="D5175" s="11">
        <v>272311</v>
      </c>
      <c r="E5175" s="11">
        <v>104385.96</v>
      </c>
      <c r="F5175" s="3">
        <v>41983</v>
      </c>
      <c r="G5175" s="2"/>
      <c r="H5175" s="2"/>
      <c r="I5175" s="2"/>
      <c r="J5175" s="2" t="s">
        <v>13904</v>
      </c>
      <c r="K5175" s="2" t="s">
        <v>5657</v>
      </c>
      <c r="L5175" s="82" t="s">
        <v>18774</v>
      </c>
    </row>
    <row r="5176" spans="1:15" ht="84" customHeight="1" x14ac:dyDescent="0.3">
      <c r="A5176" s="2">
        <v>5172</v>
      </c>
      <c r="B5176" s="66" t="s">
        <v>5813</v>
      </c>
      <c r="C5176" s="66" t="s">
        <v>5814</v>
      </c>
      <c r="D5176" s="11">
        <v>78523.490000000005</v>
      </c>
      <c r="E5176" s="11">
        <v>78523.490000000005</v>
      </c>
      <c r="F5176" s="3">
        <v>39052</v>
      </c>
      <c r="G5176" s="2"/>
      <c r="H5176" s="2"/>
      <c r="I5176" s="2"/>
      <c r="J5176" s="2" t="s">
        <v>13904</v>
      </c>
      <c r="K5176" s="2" t="s">
        <v>5657</v>
      </c>
      <c r="L5176" s="82" t="s">
        <v>18773</v>
      </c>
    </row>
    <row r="5177" spans="1:15" ht="84" customHeight="1" x14ac:dyDescent="0.3">
      <c r="A5177" s="2">
        <v>5173</v>
      </c>
      <c r="B5177" s="66" t="s">
        <v>5815</v>
      </c>
      <c r="C5177" s="66" t="s">
        <v>5816</v>
      </c>
      <c r="D5177" s="11">
        <v>188292</v>
      </c>
      <c r="E5177" s="11">
        <v>188292</v>
      </c>
      <c r="F5177" s="3">
        <v>39052</v>
      </c>
      <c r="G5177" s="2"/>
      <c r="H5177" s="2"/>
      <c r="I5177" s="2"/>
      <c r="J5177" s="2" t="s">
        <v>13904</v>
      </c>
      <c r="K5177" s="2" t="s">
        <v>5657</v>
      </c>
      <c r="L5177" s="82" t="s">
        <v>18773</v>
      </c>
    </row>
    <row r="5178" spans="1:15" ht="84" customHeight="1" x14ac:dyDescent="0.3">
      <c r="A5178" s="2">
        <v>5174</v>
      </c>
      <c r="B5178" s="66" t="s">
        <v>5817</v>
      </c>
      <c r="C5178" s="66" t="s">
        <v>5818</v>
      </c>
      <c r="D5178" s="11">
        <v>188292</v>
      </c>
      <c r="E5178" s="11">
        <v>188292</v>
      </c>
      <c r="F5178" s="3">
        <v>39052</v>
      </c>
      <c r="G5178" s="2"/>
      <c r="H5178" s="2"/>
      <c r="I5178" s="2"/>
      <c r="J5178" s="2" t="s">
        <v>13904</v>
      </c>
      <c r="K5178" s="2" t="s">
        <v>5657</v>
      </c>
      <c r="L5178" s="82" t="s">
        <v>18773</v>
      </c>
    </row>
    <row r="5179" spans="1:15" ht="84" customHeight="1" x14ac:dyDescent="0.3">
      <c r="A5179" s="2">
        <v>5175</v>
      </c>
      <c r="B5179" s="66" t="s">
        <v>5819</v>
      </c>
      <c r="C5179" s="66" t="s">
        <v>5820</v>
      </c>
      <c r="D5179" s="11">
        <v>152592</v>
      </c>
      <c r="E5179" s="11">
        <v>152592</v>
      </c>
      <c r="F5179" s="3">
        <v>39052</v>
      </c>
      <c r="G5179" s="2"/>
      <c r="H5179" s="2"/>
      <c r="I5179" s="2"/>
      <c r="J5179" s="2" t="s">
        <v>13904</v>
      </c>
      <c r="K5179" s="2" t="s">
        <v>5657</v>
      </c>
      <c r="L5179" s="82" t="s">
        <v>18773</v>
      </c>
    </row>
    <row r="5180" spans="1:15" ht="84" customHeight="1" x14ac:dyDescent="0.3">
      <c r="A5180" s="2">
        <v>5176</v>
      </c>
      <c r="B5180" s="66" t="s">
        <v>5819</v>
      </c>
      <c r="C5180" s="66" t="s">
        <v>5821</v>
      </c>
      <c r="D5180" s="11">
        <v>152592</v>
      </c>
      <c r="E5180" s="11">
        <v>152592</v>
      </c>
      <c r="F5180" s="3">
        <v>39052</v>
      </c>
      <c r="G5180" s="2"/>
      <c r="H5180" s="2"/>
      <c r="I5180" s="2"/>
      <c r="J5180" s="2" t="s">
        <v>13904</v>
      </c>
      <c r="K5180" s="2" t="s">
        <v>5657</v>
      </c>
      <c r="L5180" s="82" t="s">
        <v>18773</v>
      </c>
    </row>
    <row r="5181" spans="1:15" ht="84" customHeight="1" x14ac:dyDescent="0.3">
      <c r="A5181" s="2">
        <v>5177</v>
      </c>
      <c r="B5181" s="66" t="s">
        <v>5822</v>
      </c>
      <c r="C5181" s="66" t="s">
        <v>5823</v>
      </c>
      <c r="D5181" s="11">
        <v>1196644.5</v>
      </c>
      <c r="E5181" s="11">
        <v>1196644.5</v>
      </c>
      <c r="F5181" s="3">
        <v>39052</v>
      </c>
      <c r="G5181" s="2"/>
      <c r="H5181" s="2"/>
      <c r="I5181" s="2"/>
      <c r="J5181" s="2" t="s">
        <v>13904</v>
      </c>
      <c r="K5181" s="2" t="s">
        <v>5657</v>
      </c>
      <c r="L5181" s="82" t="s">
        <v>18773</v>
      </c>
    </row>
    <row r="5182" spans="1:15" ht="84" customHeight="1" x14ac:dyDescent="0.3">
      <c r="A5182" s="2">
        <v>5178</v>
      </c>
      <c r="B5182" s="66" t="s">
        <v>5824</v>
      </c>
      <c r="C5182" s="66" t="s">
        <v>5825</v>
      </c>
      <c r="D5182" s="11">
        <v>30877.4</v>
      </c>
      <c r="E5182" s="11">
        <v>30877.4</v>
      </c>
      <c r="F5182" s="3">
        <v>39052</v>
      </c>
      <c r="G5182" s="2"/>
      <c r="H5182" s="3">
        <v>43053</v>
      </c>
      <c r="I5182" s="2" t="s">
        <v>19506</v>
      </c>
      <c r="J5182" s="2" t="s">
        <v>13904</v>
      </c>
      <c r="K5182" s="2" t="s">
        <v>5657</v>
      </c>
      <c r="L5182" s="82" t="s">
        <v>19512</v>
      </c>
    </row>
    <row r="5183" spans="1:15" ht="84" customHeight="1" x14ac:dyDescent="0.3">
      <c r="A5183" s="2">
        <v>5179</v>
      </c>
      <c r="B5183" s="66" t="s">
        <v>5824</v>
      </c>
      <c r="C5183" s="66" t="s">
        <v>5826</v>
      </c>
      <c r="D5183" s="11">
        <v>30877.4</v>
      </c>
      <c r="E5183" s="11">
        <v>30877.4</v>
      </c>
      <c r="F5183" s="3">
        <v>39052</v>
      </c>
      <c r="G5183" s="2"/>
      <c r="H5183" s="3">
        <v>43053</v>
      </c>
      <c r="I5183" s="2" t="s">
        <v>19506</v>
      </c>
      <c r="J5183" s="2" t="s">
        <v>13904</v>
      </c>
      <c r="K5183" s="2" t="s">
        <v>5657</v>
      </c>
      <c r="L5183" s="82" t="s">
        <v>19512</v>
      </c>
    </row>
    <row r="5184" spans="1:15" ht="84" customHeight="1" x14ac:dyDescent="0.3">
      <c r="A5184" s="2">
        <v>5180</v>
      </c>
      <c r="B5184" s="66" t="s">
        <v>5824</v>
      </c>
      <c r="C5184" s="66" t="s">
        <v>5827</v>
      </c>
      <c r="D5184" s="11">
        <v>30877.4</v>
      </c>
      <c r="E5184" s="11">
        <v>30877.4</v>
      </c>
      <c r="F5184" s="3">
        <v>39052</v>
      </c>
      <c r="G5184" s="2"/>
      <c r="H5184" s="3">
        <v>43053</v>
      </c>
      <c r="I5184" s="2" t="s">
        <v>19506</v>
      </c>
      <c r="J5184" s="2" t="s">
        <v>13904</v>
      </c>
      <c r="K5184" s="2" t="s">
        <v>5657</v>
      </c>
      <c r="L5184" s="82" t="s">
        <v>19512</v>
      </c>
    </row>
    <row r="5185" spans="1:12" ht="84" customHeight="1" x14ac:dyDescent="0.3">
      <c r="A5185" s="2">
        <v>5181</v>
      </c>
      <c r="B5185" s="66" t="s">
        <v>5828</v>
      </c>
      <c r="C5185" s="66" t="s">
        <v>5829</v>
      </c>
      <c r="D5185" s="11">
        <v>33397.800000000003</v>
      </c>
      <c r="E5185" s="11">
        <v>33397.800000000003</v>
      </c>
      <c r="F5185" s="3">
        <v>39052</v>
      </c>
      <c r="G5185" s="2"/>
      <c r="H5185" s="3">
        <v>43053</v>
      </c>
      <c r="I5185" s="2" t="s">
        <v>19506</v>
      </c>
      <c r="J5185" s="2" t="s">
        <v>13904</v>
      </c>
      <c r="K5185" s="2" t="s">
        <v>5657</v>
      </c>
      <c r="L5185" s="82" t="s">
        <v>19512</v>
      </c>
    </row>
    <row r="5186" spans="1:12" ht="84" customHeight="1" x14ac:dyDescent="0.3">
      <c r="A5186" s="2">
        <v>5182</v>
      </c>
      <c r="B5186" s="66" t="s">
        <v>5828</v>
      </c>
      <c r="C5186" s="66" t="s">
        <v>5830</v>
      </c>
      <c r="D5186" s="11">
        <v>33397.800000000003</v>
      </c>
      <c r="E5186" s="11">
        <v>33397.800000000003</v>
      </c>
      <c r="F5186" s="3">
        <v>39052</v>
      </c>
      <c r="G5186" s="2"/>
      <c r="H5186" s="3">
        <v>43053</v>
      </c>
      <c r="I5186" s="2" t="s">
        <v>19506</v>
      </c>
      <c r="J5186" s="2" t="s">
        <v>13904</v>
      </c>
      <c r="K5186" s="2" t="s">
        <v>5657</v>
      </c>
      <c r="L5186" s="82" t="s">
        <v>19512</v>
      </c>
    </row>
    <row r="5187" spans="1:12" ht="84" customHeight="1" x14ac:dyDescent="0.3">
      <c r="A5187" s="2">
        <v>5183</v>
      </c>
      <c r="B5187" s="66" t="s">
        <v>5828</v>
      </c>
      <c r="C5187" s="66" t="s">
        <v>5831</v>
      </c>
      <c r="D5187" s="11">
        <v>33397.800000000003</v>
      </c>
      <c r="E5187" s="11">
        <v>33397.800000000003</v>
      </c>
      <c r="F5187" s="3">
        <v>39052</v>
      </c>
      <c r="G5187" s="2"/>
      <c r="H5187" s="3">
        <v>43053</v>
      </c>
      <c r="I5187" s="2" t="s">
        <v>19506</v>
      </c>
      <c r="J5187" s="2" t="s">
        <v>13904</v>
      </c>
      <c r="K5187" s="2" t="s">
        <v>5657</v>
      </c>
      <c r="L5187" s="82" t="s">
        <v>19512</v>
      </c>
    </row>
    <row r="5188" spans="1:12" ht="84" customHeight="1" x14ac:dyDescent="0.3">
      <c r="A5188" s="2">
        <v>5184</v>
      </c>
      <c r="B5188" s="66" t="s">
        <v>5828</v>
      </c>
      <c r="C5188" s="66" t="s">
        <v>5832</v>
      </c>
      <c r="D5188" s="11">
        <v>33397.800000000003</v>
      </c>
      <c r="E5188" s="11">
        <v>33397.800000000003</v>
      </c>
      <c r="F5188" s="3">
        <v>39052</v>
      </c>
      <c r="G5188" s="2"/>
      <c r="H5188" s="3">
        <v>43053</v>
      </c>
      <c r="I5188" s="2" t="s">
        <v>19506</v>
      </c>
      <c r="J5188" s="2" t="s">
        <v>13904</v>
      </c>
      <c r="K5188" s="2" t="s">
        <v>5657</v>
      </c>
      <c r="L5188" s="82" t="s">
        <v>19512</v>
      </c>
    </row>
    <row r="5189" spans="1:12" ht="84" customHeight="1" x14ac:dyDescent="0.3">
      <c r="A5189" s="2">
        <v>5185</v>
      </c>
      <c r="B5189" s="66" t="s">
        <v>5828</v>
      </c>
      <c r="C5189" s="66" t="s">
        <v>5833</v>
      </c>
      <c r="D5189" s="11">
        <v>33397.800000000003</v>
      </c>
      <c r="E5189" s="11">
        <v>33397.800000000003</v>
      </c>
      <c r="F5189" s="3">
        <v>39052</v>
      </c>
      <c r="G5189" s="2"/>
      <c r="H5189" s="3">
        <v>43053</v>
      </c>
      <c r="I5189" s="2" t="s">
        <v>19506</v>
      </c>
      <c r="J5189" s="2" t="s">
        <v>13904</v>
      </c>
      <c r="K5189" s="2" t="s">
        <v>5657</v>
      </c>
      <c r="L5189" s="82" t="s">
        <v>19512</v>
      </c>
    </row>
    <row r="5190" spans="1:12" ht="84" customHeight="1" x14ac:dyDescent="0.3">
      <c r="A5190" s="2">
        <v>5186</v>
      </c>
      <c r="B5190" s="66" t="s">
        <v>5828</v>
      </c>
      <c r="C5190" s="66" t="s">
        <v>5834</v>
      </c>
      <c r="D5190" s="11">
        <v>33397.800000000003</v>
      </c>
      <c r="E5190" s="11">
        <v>33397.800000000003</v>
      </c>
      <c r="F5190" s="3">
        <v>39052</v>
      </c>
      <c r="G5190" s="2"/>
      <c r="H5190" s="3">
        <v>43053</v>
      </c>
      <c r="I5190" s="2" t="s">
        <v>19506</v>
      </c>
      <c r="J5190" s="2" t="s">
        <v>13904</v>
      </c>
      <c r="K5190" s="2" t="s">
        <v>5657</v>
      </c>
      <c r="L5190" s="82" t="s">
        <v>19512</v>
      </c>
    </row>
    <row r="5191" spans="1:12" ht="84" customHeight="1" x14ac:dyDescent="0.3">
      <c r="A5191" s="2">
        <v>5187</v>
      </c>
      <c r="B5191" s="66" t="s">
        <v>5828</v>
      </c>
      <c r="C5191" s="66" t="s">
        <v>5835</v>
      </c>
      <c r="D5191" s="11">
        <v>33397.800000000003</v>
      </c>
      <c r="E5191" s="11">
        <v>33397.800000000003</v>
      </c>
      <c r="F5191" s="3">
        <v>39052</v>
      </c>
      <c r="G5191" s="2"/>
      <c r="H5191" s="3">
        <v>43053</v>
      </c>
      <c r="I5191" s="2" t="s">
        <v>19506</v>
      </c>
      <c r="J5191" s="2" t="s">
        <v>13904</v>
      </c>
      <c r="K5191" s="2" t="s">
        <v>5657</v>
      </c>
      <c r="L5191" s="82" t="s">
        <v>19512</v>
      </c>
    </row>
    <row r="5192" spans="1:12" ht="84" customHeight="1" x14ac:dyDescent="0.3">
      <c r="A5192" s="2">
        <v>5188</v>
      </c>
      <c r="B5192" s="66" t="s">
        <v>5828</v>
      </c>
      <c r="C5192" s="66" t="s">
        <v>5836</v>
      </c>
      <c r="D5192" s="11">
        <v>33397.800000000003</v>
      </c>
      <c r="E5192" s="11">
        <v>33397.800000000003</v>
      </c>
      <c r="F5192" s="3">
        <v>39052</v>
      </c>
      <c r="G5192" s="2"/>
      <c r="H5192" s="3">
        <v>43053</v>
      </c>
      <c r="I5192" s="2" t="s">
        <v>19506</v>
      </c>
      <c r="J5192" s="2" t="s">
        <v>13904</v>
      </c>
      <c r="K5192" s="2" t="s">
        <v>5657</v>
      </c>
      <c r="L5192" s="82" t="s">
        <v>19512</v>
      </c>
    </row>
    <row r="5193" spans="1:12" ht="84" customHeight="1" x14ac:dyDescent="0.3">
      <c r="A5193" s="2">
        <v>5189</v>
      </c>
      <c r="B5193" s="66" t="s">
        <v>5828</v>
      </c>
      <c r="C5193" s="66" t="s">
        <v>5837</v>
      </c>
      <c r="D5193" s="11">
        <v>33397.800000000003</v>
      </c>
      <c r="E5193" s="11">
        <v>33397.800000000003</v>
      </c>
      <c r="F5193" s="3">
        <v>39052</v>
      </c>
      <c r="G5193" s="2"/>
      <c r="H5193" s="3">
        <v>43053</v>
      </c>
      <c r="I5193" s="2" t="s">
        <v>19506</v>
      </c>
      <c r="J5193" s="2" t="s">
        <v>13904</v>
      </c>
      <c r="K5193" s="2" t="s">
        <v>5657</v>
      </c>
      <c r="L5193" s="82" t="s">
        <v>19512</v>
      </c>
    </row>
    <row r="5194" spans="1:12" ht="84" customHeight="1" x14ac:dyDescent="0.3">
      <c r="A5194" s="2">
        <v>5190</v>
      </c>
      <c r="B5194" s="66" t="s">
        <v>5828</v>
      </c>
      <c r="C5194" s="66" t="s">
        <v>5838</v>
      </c>
      <c r="D5194" s="11">
        <v>33397.800000000003</v>
      </c>
      <c r="E5194" s="11">
        <v>33397.800000000003</v>
      </c>
      <c r="F5194" s="3">
        <v>39052</v>
      </c>
      <c r="G5194" s="2"/>
      <c r="H5194" s="3">
        <v>43053</v>
      </c>
      <c r="I5194" s="2" t="s">
        <v>19506</v>
      </c>
      <c r="J5194" s="2" t="s">
        <v>13904</v>
      </c>
      <c r="K5194" s="2" t="s">
        <v>5657</v>
      </c>
      <c r="L5194" s="82" t="s">
        <v>19512</v>
      </c>
    </row>
    <row r="5195" spans="1:12" ht="84" customHeight="1" x14ac:dyDescent="0.3">
      <c r="A5195" s="2">
        <v>5191</v>
      </c>
      <c r="B5195" s="66" t="s">
        <v>5828</v>
      </c>
      <c r="C5195" s="66" t="s">
        <v>5839</v>
      </c>
      <c r="D5195" s="11">
        <v>33397.800000000003</v>
      </c>
      <c r="E5195" s="11">
        <v>33397.800000000003</v>
      </c>
      <c r="F5195" s="3">
        <v>39052</v>
      </c>
      <c r="G5195" s="2"/>
      <c r="H5195" s="3">
        <v>43053</v>
      </c>
      <c r="I5195" s="2" t="s">
        <v>19506</v>
      </c>
      <c r="J5195" s="2" t="s">
        <v>13904</v>
      </c>
      <c r="K5195" s="2" t="s">
        <v>5657</v>
      </c>
      <c r="L5195" s="82" t="s">
        <v>19512</v>
      </c>
    </row>
    <row r="5196" spans="1:12" ht="84" customHeight="1" x14ac:dyDescent="0.3">
      <c r="A5196" s="2">
        <v>5192</v>
      </c>
      <c r="B5196" s="66" t="s">
        <v>5828</v>
      </c>
      <c r="C5196" s="66" t="s">
        <v>5840</v>
      </c>
      <c r="D5196" s="11">
        <v>33397.800000000003</v>
      </c>
      <c r="E5196" s="11">
        <v>33397.800000000003</v>
      </c>
      <c r="F5196" s="3">
        <v>39052</v>
      </c>
      <c r="G5196" s="2"/>
      <c r="H5196" s="3">
        <v>43053</v>
      </c>
      <c r="I5196" s="2" t="s">
        <v>19506</v>
      </c>
      <c r="J5196" s="2" t="s">
        <v>13904</v>
      </c>
      <c r="K5196" s="2" t="s">
        <v>5657</v>
      </c>
      <c r="L5196" s="82" t="s">
        <v>19512</v>
      </c>
    </row>
    <row r="5197" spans="1:12" ht="84" customHeight="1" x14ac:dyDescent="0.3">
      <c r="A5197" s="2">
        <v>5193</v>
      </c>
      <c r="B5197" s="66" t="s">
        <v>5828</v>
      </c>
      <c r="C5197" s="66" t="s">
        <v>5841</v>
      </c>
      <c r="D5197" s="11">
        <v>33397.800000000003</v>
      </c>
      <c r="E5197" s="11">
        <v>33397.800000000003</v>
      </c>
      <c r="F5197" s="3">
        <v>39052</v>
      </c>
      <c r="G5197" s="2"/>
      <c r="H5197" s="3">
        <v>43053</v>
      </c>
      <c r="I5197" s="2" t="s">
        <v>19506</v>
      </c>
      <c r="J5197" s="2" t="s">
        <v>13904</v>
      </c>
      <c r="K5197" s="2" t="s">
        <v>5657</v>
      </c>
      <c r="L5197" s="82" t="s">
        <v>19512</v>
      </c>
    </row>
    <row r="5198" spans="1:12" ht="84" customHeight="1" x14ac:dyDescent="0.3">
      <c r="A5198" s="2">
        <v>5194</v>
      </c>
      <c r="B5198" s="66" t="s">
        <v>5828</v>
      </c>
      <c r="C5198" s="66" t="s">
        <v>5842</v>
      </c>
      <c r="D5198" s="11">
        <v>30877.4</v>
      </c>
      <c r="E5198" s="11">
        <v>30877.4</v>
      </c>
      <c r="F5198" s="3">
        <v>39052</v>
      </c>
      <c r="G5198" s="2"/>
      <c r="H5198" s="3">
        <v>43053</v>
      </c>
      <c r="I5198" s="2" t="s">
        <v>19506</v>
      </c>
      <c r="J5198" s="2" t="s">
        <v>13904</v>
      </c>
      <c r="K5198" s="2" t="s">
        <v>5657</v>
      </c>
      <c r="L5198" s="82" t="s">
        <v>19512</v>
      </c>
    </row>
    <row r="5199" spans="1:12" ht="84" customHeight="1" x14ac:dyDescent="0.3">
      <c r="A5199" s="2">
        <v>5195</v>
      </c>
      <c r="B5199" s="66" t="s">
        <v>5828</v>
      </c>
      <c r="C5199" s="66" t="s">
        <v>5843</v>
      </c>
      <c r="D5199" s="11">
        <v>30877.4</v>
      </c>
      <c r="E5199" s="11">
        <v>30877.4</v>
      </c>
      <c r="F5199" s="3">
        <v>39052</v>
      </c>
      <c r="G5199" s="2"/>
      <c r="H5199" s="3">
        <v>43053</v>
      </c>
      <c r="I5199" s="2" t="s">
        <v>19506</v>
      </c>
      <c r="J5199" s="2" t="s">
        <v>13904</v>
      </c>
      <c r="K5199" s="2" t="s">
        <v>5657</v>
      </c>
      <c r="L5199" s="82" t="s">
        <v>19512</v>
      </c>
    </row>
    <row r="5200" spans="1:12" ht="84" customHeight="1" x14ac:dyDescent="0.3">
      <c r="A5200" s="2">
        <v>5196</v>
      </c>
      <c r="B5200" s="66" t="s">
        <v>5828</v>
      </c>
      <c r="C5200" s="66" t="s">
        <v>5844</v>
      </c>
      <c r="D5200" s="11">
        <v>30877.4</v>
      </c>
      <c r="E5200" s="11">
        <v>30877.4</v>
      </c>
      <c r="F5200" s="3">
        <v>39052</v>
      </c>
      <c r="G5200" s="2"/>
      <c r="H5200" s="3">
        <v>43053</v>
      </c>
      <c r="I5200" s="2" t="s">
        <v>19506</v>
      </c>
      <c r="J5200" s="2" t="s">
        <v>13904</v>
      </c>
      <c r="K5200" s="2" t="s">
        <v>5657</v>
      </c>
      <c r="L5200" s="82" t="s">
        <v>19512</v>
      </c>
    </row>
    <row r="5201" spans="1:12" ht="84" customHeight="1" x14ac:dyDescent="0.3">
      <c r="A5201" s="2">
        <v>5197</v>
      </c>
      <c r="B5201" s="66" t="s">
        <v>5828</v>
      </c>
      <c r="C5201" s="66" t="s">
        <v>5845</v>
      </c>
      <c r="D5201" s="11">
        <v>30877.4</v>
      </c>
      <c r="E5201" s="11">
        <v>30877.4</v>
      </c>
      <c r="F5201" s="3">
        <v>39052</v>
      </c>
      <c r="G5201" s="2"/>
      <c r="H5201" s="3">
        <v>43053</v>
      </c>
      <c r="I5201" s="2" t="s">
        <v>19506</v>
      </c>
      <c r="J5201" s="2" t="s">
        <v>13904</v>
      </c>
      <c r="K5201" s="2" t="s">
        <v>5657</v>
      </c>
      <c r="L5201" s="82" t="s">
        <v>19512</v>
      </c>
    </row>
    <row r="5202" spans="1:12" ht="84" customHeight="1" x14ac:dyDescent="0.3">
      <c r="A5202" s="2">
        <v>5198</v>
      </c>
      <c r="B5202" s="66" t="s">
        <v>5828</v>
      </c>
      <c r="C5202" s="66" t="s">
        <v>5846</v>
      </c>
      <c r="D5202" s="11">
        <v>30877.4</v>
      </c>
      <c r="E5202" s="11">
        <v>30877.4</v>
      </c>
      <c r="F5202" s="3">
        <v>39052</v>
      </c>
      <c r="G5202" s="2"/>
      <c r="H5202" s="3">
        <v>43053</v>
      </c>
      <c r="I5202" s="2" t="s">
        <v>19506</v>
      </c>
      <c r="J5202" s="2" t="s">
        <v>13904</v>
      </c>
      <c r="K5202" s="2" t="s">
        <v>5657</v>
      </c>
      <c r="L5202" s="82" t="s">
        <v>19512</v>
      </c>
    </row>
    <row r="5203" spans="1:12" ht="84" customHeight="1" x14ac:dyDescent="0.3">
      <c r="A5203" s="2">
        <v>5199</v>
      </c>
      <c r="B5203" s="66" t="s">
        <v>5828</v>
      </c>
      <c r="C5203" s="66" t="s">
        <v>5847</v>
      </c>
      <c r="D5203" s="11">
        <v>30877.4</v>
      </c>
      <c r="E5203" s="11">
        <v>30877.4</v>
      </c>
      <c r="F5203" s="3">
        <v>39052</v>
      </c>
      <c r="G5203" s="2"/>
      <c r="H5203" s="3">
        <v>43053</v>
      </c>
      <c r="I5203" s="2" t="s">
        <v>19506</v>
      </c>
      <c r="J5203" s="2" t="s">
        <v>13904</v>
      </c>
      <c r="K5203" s="2" t="s">
        <v>5657</v>
      </c>
      <c r="L5203" s="82" t="s">
        <v>19512</v>
      </c>
    </row>
    <row r="5204" spans="1:12" ht="84" customHeight="1" x14ac:dyDescent="0.3">
      <c r="A5204" s="2">
        <v>5200</v>
      </c>
      <c r="B5204" s="66" t="s">
        <v>5828</v>
      </c>
      <c r="C5204" s="66" t="s">
        <v>5848</v>
      </c>
      <c r="D5204" s="11">
        <v>30877.4</v>
      </c>
      <c r="E5204" s="11">
        <v>30877.4</v>
      </c>
      <c r="F5204" s="3">
        <v>39052</v>
      </c>
      <c r="G5204" s="2"/>
      <c r="H5204" s="3">
        <v>43053</v>
      </c>
      <c r="I5204" s="2" t="s">
        <v>19506</v>
      </c>
      <c r="J5204" s="2" t="s">
        <v>13904</v>
      </c>
      <c r="K5204" s="2" t="s">
        <v>5657</v>
      </c>
      <c r="L5204" s="82" t="s">
        <v>19512</v>
      </c>
    </row>
    <row r="5205" spans="1:12" ht="84" customHeight="1" x14ac:dyDescent="0.3">
      <c r="A5205" s="2">
        <v>5201</v>
      </c>
      <c r="B5205" s="66" t="s">
        <v>5828</v>
      </c>
      <c r="C5205" s="66" t="s">
        <v>5849</v>
      </c>
      <c r="D5205" s="11">
        <v>30877.4</v>
      </c>
      <c r="E5205" s="11">
        <v>30877.4</v>
      </c>
      <c r="F5205" s="3">
        <v>39052</v>
      </c>
      <c r="G5205" s="2"/>
      <c r="H5205" s="3">
        <v>43053</v>
      </c>
      <c r="I5205" s="2" t="s">
        <v>19506</v>
      </c>
      <c r="J5205" s="2" t="s">
        <v>13904</v>
      </c>
      <c r="K5205" s="2" t="s">
        <v>5657</v>
      </c>
      <c r="L5205" s="82" t="s">
        <v>19512</v>
      </c>
    </row>
    <row r="5206" spans="1:12" ht="84" customHeight="1" x14ac:dyDescent="0.3">
      <c r="A5206" s="2">
        <v>5202</v>
      </c>
      <c r="B5206" s="66" t="s">
        <v>5828</v>
      </c>
      <c r="C5206" s="66" t="s">
        <v>5850</v>
      </c>
      <c r="D5206" s="11">
        <v>30877.4</v>
      </c>
      <c r="E5206" s="11">
        <v>30877.4</v>
      </c>
      <c r="F5206" s="3">
        <v>39052</v>
      </c>
      <c r="G5206" s="2"/>
      <c r="H5206" s="3">
        <v>43053</v>
      </c>
      <c r="I5206" s="2" t="s">
        <v>19506</v>
      </c>
      <c r="J5206" s="2" t="s">
        <v>13904</v>
      </c>
      <c r="K5206" s="2" t="s">
        <v>5657</v>
      </c>
      <c r="L5206" s="82" t="s">
        <v>19512</v>
      </c>
    </row>
    <row r="5207" spans="1:12" ht="84" customHeight="1" x14ac:dyDescent="0.3">
      <c r="A5207" s="2">
        <v>5203</v>
      </c>
      <c r="B5207" s="66" t="s">
        <v>5828</v>
      </c>
      <c r="C5207" s="66" t="s">
        <v>5851</v>
      </c>
      <c r="D5207" s="11">
        <v>30877.4</v>
      </c>
      <c r="E5207" s="11">
        <v>30877.4</v>
      </c>
      <c r="F5207" s="3">
        <v>39052</v>
      </c>
      <c r="G5207" s="2"/>
      <c r="H5207" s="3">
        <v>43053</v>
      </c>
      <c r="I5207" s="2" t="s">
        <v>19506</v>
      </c>
      <c r="J5207" s="2" t="s">
        <v>13904</v>
      </c>
      <c r="K5207" s="2" t="s">
        <v>5657</v>
      </c>
      <c r="L5207" s="82" t="s">
        <v>19512</v>
      </c>
    </row>
    <row r="5208" spans="1:12" ht="84" customHeight="1" x14ac:dyDescent="0.3">
      <c r="A5208" s="2">
        <v>5204</v>
      </c>
      <c r="B5208" s="66" t="s">
        <v>5828</v>
      </c>
      <c r="C5208" s="66" t="s">
        <v>5852</v>
      </c>
      <c r="D5208" s="11">
        <v>30877.4</v>
      </c>
      <c r="E5208" s="11">
        <v>30877.4</v>
      </c>
      <c r="F5208" s="3">
        <v>39052</v>
      </c>
      <c r="G5208" s="2"/>
      <c r="H5208" s="3">
        <v>43053</v>
      </c>
      <c r="I5208" s="2" t="s">
        <v>19506</v>
      </c>
      <c r="J5208" s="2" t="s">
        <v>13904</v>
      </c>
      <c r="K5208" s="2" t="s">
        <v>5657</v>
      </c>
      <c r="L5208" s="82" t="s">
        <v>19512</v>
      </c>
    </row>
    <row r="5209" spans="1:12" ht="84" customHeight="1" x14ac:dyDescent="0.3">
      <c r="A5209" s="2">
        <v>5205</v>
      </c>
      <c r="B5209" s="66" t="s">
        <v>5828</v>
      </c>
      <c r="C5209" s="66" t="s">
        <v>5853</v>
      </c>
      <c r="D5209" s="11">
        <v>30877.4</v>
      </c>
      <c r="E5209" s="11">
        <v>30877.4</v>
      </c>
      <c r="F5209" s="3">
        <v>39052</v>
      </c>
      <c r="G5209" s="2"/>
      <c r="H5209" s="3">
        <v>43053</v>
      </c>
      <c r="I5209" s="2" t="s">
        <v>19506</v>
      </c>
      <c r="J5209" s="2" t="s">
        <v>13904</v>
      </c>
      <c r="K5209" s="2" t="s">
        <v>5657</v>
      </c>
      <c r="L5209" s="82" t="s">
        <v>19512</v>
      </c>
    </row>
    <row r="5210" spans="1:12" ht="84" customHeight="1" x14ac:dyDescent="0.3">
      <c r="A5210" s="2">
        <v>5206</v>
      </c>
      <c r="B5210" s="66" t="s">
        <v>5828</v>
      </c>
      <c r="C5210" s="66" t="s">
        <v>5854</v>
      </c>
      <c r="D5210" s="11">
        <v>30877.4</v>
      </c>
      <c r="E5210" s="11">
        <v>30877.4</v>
      </c>
      <c r="F5210" s="3">
        <v>39052</v>
      </c>
      <c r="G5210" s="2"/>
      <c r="H5210" s="3">
        <v>43053</v>
      </c>
      <c r="I5210" s="2" t="s">
        <v>19506</v>
      </c>
      <c r="J5210" s="2" t="s">
        <v>13904</v>
      </c>
      <c r="K5210" s="2" t="s">
        <v>5657</v>
      </c>
      <c r="L5210" s="82" t="s">
        <v>19512</v>
      </c>
    </row>
    <row r="5211" spans="1:12" ht="84" customHeight="1" x14ac:dyDescent="0.3">
      <c r="A5211" s="2">
        <v>5207</v>
      </c>
      <c r="B5211" s="66" t="s">
        <v>5828</v>
      </c>
      <c r="C5211" s="66" t="s">
        <v>5855</v>
      </c>
      <c r="D5211" s="11">
        <v>30877.4</v>
      </c>
      <c r="E5211" s="11">
        <v>30877.4</v>
      </c>
      <c r="F5211" s="3">
        <v>39052</v>
      </c>
      <c r="G5211" s="2"/>
      <c r="H5211" s="3">
        <v>43053</v>
      </c>
      <c r="I5211" s="2" t="s">
        <v>19506</v>
      </c>
      <c r="J5211" s="2" t="s">
        <v>13904</v>
      </c>
      <c r="K5211" s="2" t="s">
        <v>5657</v>
      </c>
      <c r="L5211" s="82" t="s">
        <v>19512</v>
      </c>
    </row>
    <row r="5212" spans="1:12" ht="84" customHeight="1" x14ac:dyDescent="0.3">
      <c r="A5212" s="2">
        <v>5208</v>
      </c>
      <c r="B5212" s="66" t="s">
        <v>5828</v>
      </c>
      <c r="C5212" s="66" t="s">
        <v>5856</v>
      </c>
      <c r="D5212" s="11">
        <v>30877.4</v>
      </c>
      <c r="E5212" s="11">
        <v>30877.4</v>
      </c>
      <c r="F5212" s="3">
        <v>39052</v>
      </c>
      <c r="G5212" s="2"/>
      <c r="H5212" s="3">
        <v>43053</v>
      </c>
      <c r="I5212" s="2" t="s">
        <v>19506</v>
      </c>
      <c r="J5212" s="2" t="s">
        <v>13904</v>
      </c>
      <c r="K5212" s="2" t="s">
        <v>5657</v>
      </c>
      <c r="L5212" s="82" t="s">
        <v>19512</v>
      </c>
    </row>
    <row r="5213" spans="1:12" ht="84" customHeight="1" x14ac:dyDescent="0.3">
      <c r="A5213" s="2">
        <v>5209</v>
      </c>
      <c r="B5213" s="66" t="s">
        <v>5857</v>
      </c>
      <c r="C5213" s="66" t="s">
        <v>5858</v>
      </c>
      <c r="D5213" s="11">
        <v>30877.4</v>
      </c>
      <c r="E5213" s="11">
        <v>30877.4</v>
      </c>
      <c r="F5213" s="3">
        <v>39052</v>
      </c>
      <c r="G5213" s="2"/>
      <c r="H5213" s="3">
        <v>43053</v>
      </c>
      <c r="I5213" s="2" t="s">
        <v>19506</v>
      </c>
      <c r="J5213" s="2" t="s">
        <v>13904</v>
      </c>
      <c r="K5213" s="2" t="s">
        <v>5657</v>
      </c>
      <c r="L5213" s="82" t="s">
        <v>19512</v>
      </c>
    </row>
    <row r="5214" spans="1:12" ht="84" customHeight="1" x14ac:dyDescent="0.3">
      <c r="A5214" s="2">
        <v>5210</v>
      </c>
      <c r="B5214" s="66" t="s">
        <v>5859</v>
      </c>
      <c r="C5214" s="66" t="s">
        <v>5860</v>
      </c>
      <c r="D5214" s="11">
        <v>50000</v>
      </c>
      <c r="E5214" s="11">
        <v>50000</v>
      </c>
      <c r="F5214" s="3">
        <v>39680</v>
      </c>
      <c r="G5214" s="2"/>
      <c r="H5214" s="2"/>
      <c r="I5214" s="2"/>
      <c r="J5214" s="2" t="s">
        <v>13904</v>
      </c>
      <c r="K5214" s="2" t="s">
        <v>5657</v>
      </c>
      <c r="L5214" s="82" t="s">
        <v>18773</v>
      </c>
    </row>
    <row r="5215" spans="1:12" ht="84" customHeight="1" x14ac:dyDescent="0.3">
      <c r="A5215" s="2">
        <v>5211</v>
      </c>
      <c r="B5215" s="66" t="s">
        <v>5861</v>
      </c>
      <c r="C5215" s="66" t="s">
        <v>5862</v>
      </c>
      <c r="D5215" s="11">
        <v>24490.5</v>
      </c>
      <c r="E5215" s="11">
        <v>18201.71</v>
      </c>
      <c r="F5215" s="3">
        <v>39052</v>
      </c>
      <c r="G5215" s="2"/>
      <c r="H5215" s="3">
        <v>43053</v>
      </c>
      <c r="I5215" s="2" t="s">
        <v>19506</v>
      </c>
      <c r="J5215" s="2" t="s">
        <v>13904</v>
      </c>
      <c r="K5215" s="2" t="s">
        <v>5657</v>
      </c>
      <c r="L5215" s="82" t="s">
        <v>19512</v>
      </c>
    </row>
    <row r="5216" spans="1:12" ht="84" customHeight="1" x14ac:dyDescent="0.3">
      <c r="A5216" s="2">
        <v>5212</v>
      </c>
      <c r="B5216" s="66" t="s">
        <v>5863</v>
      </c>
      <c r="C5216" s="66" t="s">
        <v>5864</v>
      </c>
      <c r="D5216" s="11">
        <v>22345.15</v>
      </c>
      <c r="E5216" s="11">
        <v>22345.15</v>
      </c>
      <c r="F5216" s="3">
        <v>39052</v>
      </c>
      <c r="G5216" s="2"/>
      <c r="H5216" s="3">
        <v>43053</v>
      </c>
      <c r="I5216" s="2" t="s">
        <v>19506</v>
      </c>
      <c r="J5216" s="2" t="s">
        <v>13904</v>
      </c>
      <c r="K5216" s="2" t="s">
        <v>5657</v>
      </c>
      <c r="L5216" s="82" t="s">
        <v>19512</v>
      </c>
    </row>
    <row r="5217" spans="1:15" ht="84" customHeight="1" x14ac:dyDescent="0.3">
      <c r="A5217" s="2">
        <v>5213</v>
      </c>
      <c r="B5217" s="66" t="s">
        <v>5863</v>
      </c>
      <c r="C5217" s="66" t="s">
        <v>5865</v>
      </c>
      <c r="D5217" s="11">
        <v>22345.15</v>
      </c>
      <c r="E5217" s="11">
        <v>22345.15</v>
      </c>
      <c r="F5217" s="3">
        <v>39052</v>
      </c>
      <c r="G5217" s="2"/>
      <c r="H5217" s="3">
        <v>43053</v>
      </c>
      <c r="I5217" s="2" t="s">
        <v>19506</v>
      </c>
      <c r="J5217" s="2" t="s">
        <v>13904</v>
      </c>
      <c r="K5217" s="2" t="s">
        <v>5657</v>
      </c>
      <c r="L5217" s="82" t="s">
        <v>19512</v>
      </c>
    </row>
    <row r="5218" spans="1:15" ht="84" customHeight="1" x14ac:dyDescent="0.3">
      <c r="A5218" s="2">
        <v>5214</v>
      </c>
      <c r="B5218" s="66" t="s">
        <v>5863</v>
      </c>
      <c r="C5218" s="66" t="s">
        <v>5866</v>
      </c>
      <c r="D5218" s="11">
        <v>22345.15</v>
      </c>
      <c r="E5218" s="11">
        <v>22345.15</v>
      </c>
      <c r="F5218" s="3">
        <v>39052</v>
      </c>
      <c r="G5218" s="2"/>
      <c r="H5218" s="3">
        <v>43053</v>
      </c>
      <c r="I5218" s="2" t="s">
        <v>19506</v>
      </c>
      <c r="J5218" s="2" t="s">
        <v>13904</v>
      </c>
      <c r="K5218" s="2" t="s">
        <v>5657</v>
      </c>
      <c r="L5218" s="82" t="s">
        <v>19512</v>
      </c>
    </row>
    <row r="5219" spans="1:15" ht="84" customHeight="1" x14ac:dyDescent="0.3">
      <c r="A5219" s="2">
        <v>5215</v>
      </c>
      <c r="B5219" s="66" t="s">
        <v>5863</v>
      </c>
      <c r="C5219" s="66" t="s">
        <v>5867</v>
      </c>
      <c r="D5219" s="11">
        <v>22345.15</v>
      </c>
      <c r="E5219" s="11">
        <v>22345.15</v>
      </c>
      <c r="F5219" s="3">
        <v>39052</v>
      </c>
      <c r="G5219" s="2"/>
      <c r="H5219" s="3">
        <v>43053</v>
      </c>
      <c r="I5219" s="2" t="s">
        <v>19506</v>
      </c>
      <c r="J5219" s="2" t="s">
        <v>13904</v>
      </c>
      <c r="K5219" s="2" t="s">
        <v>5657</v>
      </c>
      <c r="L5219" s="82" t="s">
        <v>19512</v>
      </c>
    </row>
    <row r="5220" spans="1:15" ht="84" customHeight="1" x14ac:dyDescent="0.3">
      <c r="A5220" s="2">
        <v>5216</v>
      </c>
      <c r="B5220" s="66" t="s">
        <v>5863</v>
      </c>
      <c r="C5220" s="66" t="s">
        <v>5868</v>
      </c>
      <c r="D5220" s="11">
        <v>22345.15</v>
      </c>
      <c r="E5220" s="11">
        <v>22345.15</v>
      </c>
      <c r="F5220" s="3">
        <v>39052</v>
      </c>
      <c r="G5220" s="2"/>
      <c r="H5220" s="3">
        <v>43053</v>
      </c>
      <c r="I5220" s="2" t="s">
        <v>19506</v>
      </c>
      <c r="J5220" s="2" t="s">
        <v>13904</v>
      </c>
      <c r="K5220" s="2" t="s">
        <v>5657</v>
      </c>
      <c r="L5220" s="82" t="s">
        <v>19512</v>
      </c>
    </row>
    <row r="5221" spans="1:15" ht="84" customHeight="1" x14ac:dyDescent="0.3">
      <c r="A5221" s="2">
        <v>5217</v>
      </c>
      <c r="B5221" s="66" t="s">
        <v>5869</v>
      </c>
      <c r="C5221" s="66" t="s">
        <v>5870</v>
      </c>
      <c r="D5221" s="11">
        <v>66218.399999999994</v>
      </c>
      <c r="E5221" s="11">
        <v>66218.399999999994</v>
      </c>
      <c r="F5221" s="3">
        <v>39052</v>
      </c>
      <c r="G5221" s="2"/>
      <c r="H5221" s="2"/>
      <c r="I5221" s="2"/>
      <c r="J5221" s="2" t="s">
        <v>13904</v>
      </c>
      <c r="K5221" s="2" t="s">
        <v>5657</v>
      </c>
      <c r="L5221" s="82" t="s">
        <v>18773</v>
      </c>
    </row>
    <row r="5222" spans="1:15" ht="84" customHeight="1" x14ac:dyDescent="0.3">
      <c r="A5222" s="2">
        <v>5218</v>
      </c>
      <c r="B5222" s="66" t="s">
        <v>5871</v>
      </c>
      <c r="C5222" s="66" t="s">
        <v>5872</v>
      </c>
      <c r="D5222" s="11">
        <v>66218.399999999994</v>
      </c>
      <c r="E5222" s="11">
        <v>66218.399999999994</v>
      </c>
      <c r="F5222" s="3">
        <v>39052</v>
      </c>
      <c r="G5222" s="2"/>
      <c r="H5222" s="2"/>
      <c r="I5222" s="2"/>
      <c r="J5222" s="2" t="s">
        <v>13904</v>
      </c>
      <c r="K5222" s="2" t="s">
        <v>5657</v>
      </c>
      <c r="L5222" s="82" t="s">
        <v>18773</v>
      </c>
    </row>
    <row r="5223" spans="1:15" ht="84" customHeight="1" x14ac:dyDescent="0.3">
      <c r="A5223" s="2">
        <v>5219</v>
      </c>
      <c r="B5223" s="66" t="s">
        <v>5873</v>
      </c>
      <c r="C5223" s="66" t="s">
        <v>5874</v>
      </c>
      <c r="D5223" s="11">
        <v>93998.43</v>
      </c>
      <c r="E5223" s="11">
        <v>85306.6</v>
      </c>
      <c r="F5223" s="3">
        <v>39447</v>
      </c>
      <c r="G5223" s="2"/>
      <c r="H5223" s="2"/>
      <c r="I5223" s="2"/>
      <c r="J5223" s="2" t="s">
        <v>13904</v>
      </c>
      <c r="K5223" s="2" t="s">
        <v>5657</v>
      </c>
      <c r="L5223" s="82" t="s">
        <v>18773</v>
      </c>
    </row>
    <row r="5224" spans="1:15" ht="84" customHeight="1" x14ac:dyDescent="0.3">
      <c r="A5224" s="2">
        <v>5220</v>
      </c>
      <c r="B5224" s="66" t="s">
        <v>5875</v>
      </c>
      <c r="C5224" s="66" t="s">
        <v>5876</v>
      </c>
      <c r="D5224" s="11">
        <v>72000</v>
      </c>
      <c r="E5224" s="11">
        <v>69652.320000000007</v>
      </c>
      <c r="F5224" s="3">
        <v>39142</v>
      </c>
      <c r="G5224" s="2"/>
      <c r="H5224" s="2"/>
      <c r="I5224" s="2"/>
      <c r="J5224" s="2" t="s">
        <v>13904</v>
      </c>
      <c r="K5224" s="2" t="s">
        <v>5657</v>
      </c>
      <c r="L5224" s="82" t="s">
        <v>18773</v>
      </c>
    </row>
    <row r="5225" spans="1:15" s="19" customFormat="1" ht="84" customHeight="1" x14ac:dyDescent="0.3">
      <c r="A5225" s="2">
        <v>5221</v>
      </c>
      <c r="B5225" s="66" t="s">
        <v>5877</v>
      </c>
      <c r="C5225" s="66" t="s">
        <v>5878</v>
      </c>
      <c r="D5225" s="11">
        <v>44880</v>
      </c>
      <c r="E5225" s="11">
        <v>37071.96</v>
      </c>
      <c r="F5225" s="3">
        <v>39142</v>
      </c>
      <c r="G5225" s="2"/>
      <c r="H5225" s="3">
        <v>43053</v>
      </c>
      <c r="I5225" s="2" t="s">
        <v>19506</v>
      </c>
      <c r="J5225" s="2" t="s">
        <v>13904</v>
      </c>
      <c r="K5225" s="2" t="s">
        <v>5657</v>
      </c>
      <c r="L5225" s="82" t="s">
        <v>19512</v>
      </c>
      <c r="M5225" s="16"/>
      <c r="N5225" s="16"/>
      <c r="O5225" s="16"/>
    </row>
    <row r="5226" spans="1:15" ht="84" customHeight="1" x14ac:dyDescent="0.3">
      <c r="A5226" s="2">
        <v>5222</v>
      </c>
      <c r="B5226" s="66" t="s">
        <v>5879</v>
      </c>
      <c r="C5226" s="66" t="s">
        <v>5880</v>
      </c>
      <c r="D5226" s="11">
        <v>84000</v>
      </c>
      <c r="E5226" s="11">
        <v>81261.2</v>
      </c>
      <c r="F5226" s="3">
        <v>39142</v>
      </c>
      <c r="G5226" s="2"/>
      <c r="H5226" s="2"/>
      <c r="I5226" s="2"/>
      <c r="J5226" s="2" t="s">
        <v>13904</v>
      </c>
      <c r="K5226" s="2" t="s">
        <v>5657</v>
      </c>
      <c r="L5226" s="82" t="s">
        <v>18773</v>
      </c>
    </row>
    <row r="5227" spans="1:15" ht="84" customHeight="1" x14ac:dyDescent="0.3">
      <c r="A5227" s="2">
        <v>5223</v>
      </c>
      <c r="B5227" s="66" t="s">
        <v>5881</v>
      </c>
      <c r="C5227" s="66" t="s">
        <v>5882</v>
      </c>
      <c r="D5227" s="11">
        <v>38880</v>
      </c>
      <c r="E5227" s="11">
        <v>38880</v>
      </c>
      <c r="F5227" s="3">
        <v>39142</v>
      </c>
      <c r="G5227" s="2"/>
      <c r="H5227" s="3">
        <v>43053</v>
      </c>
      <c r="I5227" s="2" t="s">
        <v>19506</v>
      </c>
      <c r="J5227" s="2" t="s">
        <v>13904</v>
      </c>
      <c r="K5227" s="2" t="s">
        <v>5657</v>
      </c>
      <c r="L5227" s="82" t="s">
        <v>19512</v>
      </c>
    </row>
    <row r="5228" spans="1:15" ht="84" customHeight="1" x14ac:dyDescent="0.3">
      <c r="A5228" s="2">
        <v>5224</v>
      </c>
      <c r="B5228" s="66" t="s">
        <v>5883</v>
      </c>
      <c r="C5228" s="66" t="s">
        <v>5884</v>
      </c>
      <c r="D5228" s="11">
        <v>97678.43</v>
      </c>
      <c r="E5228" s="11">
        <v>94493.61</v>
      </c>
      <c r="F5228" s="3">
        <v>39142</v>
      </c>
      <c r="G5228" s="2"/>
      <c r="H5228" s="2"/>
      <c r="I5228" s="2"/>
      <c r="J5228" s="2" t="s">
        <v>13904</v>
      </c>
      <c r="K5228" s="2" t="s">
        <v>5657</v>
      </c>
      <c r="L5228" s="82" t="s">
        <v>18773</v>
      </c>
    </row>
    <row r="5229" spans="1:15" ht="84" customHeight="1" x14ac:dyDescent="0.3">
      <c r="A5229" s="2">
        <v>5225</v>
      </c>
      <c r="B5229" s="66" t="s">
        <v>5885</v>
      </c>
      <c r="C5229" s="66" t="s">
        <v>5886</v>
      </c>
      <c r="D5229" s="11">
        <v>1357190.36</v>
      </c>
      <c r="E5229" s="11">
        <v>1346737.64</v>
      </c>
      <c r="F5229" s="3">
        <v>39057</v>
      </c>
      <c r="G5229" s="2"/>
      <c r="H5229" s="2"/>
      <c r="I5229" s="2"/>
      <c r="J5229" s="2" t="s">
        <v>13904</v>
      </c>
      <c r="K5229" s="2" t="s">
        <v>5657</v>
      </c>
      <c r="L5229" s="82" t="s">
        <v>18773</v>
      </c>
    </row>
    <row r="5230" spans="1:15" ht="84" customHeight="1" x14ac:dyDescent="0.3">
      <c r="A5230" s="2">
        <v>5226</v>
      </c>
      <c r="B5230" s="66" t="s">
        <v>5887</v>
      </c>
      <c r="C5230" s="66" t="s">
        <v>5888</v>
      </c>
      <c r="D5230" s="11">
        <v>87204</v>
      </c>
      <c r="E5230" s="11">
        <v>86532.38</v>
      </c>
      <c r="F5230" s="3">
        <v>39052</v>
      </c>
      <c r="G5230" s="2"/>
      <c r="H5230" s="2"/>
      <c r="I5230" s="2"/>
      <c r="J5230" s="2" t="s">
        <v>13904</v>
      </c>
      <c r="K5230" s="2" t="s">
        <v>5657</v>
      </c>
      <c r="L5230" s="82" t="s">
        <v>18773</v>
      </c>
    </row>
    <row r="5231" spans="1:15" ht="84" customHeight="1" x14ac:dyDescent="0.3">
      <c r="A5231" s="2">
        <v>5227</v>
      </c>
      <c r="B5231" s="66" t="s">
        <v>5889</v>
      </c>
      <c r="C5231" s="66" t="s">
        <v>5890</v>
      </c>
      <c r="D5231" s="11">
        <v>226189.58</v>
      </c>
      <c r="E5231" s="11">
        <v>224447.37</v>
      </c>
      <c r="F5231" s="3">
        <v>39052</v>
      </c>
      <c r="G5231" s="2"/>
      <c r="H5231" s="2"/>
      <c r="I5231" s="2"/>
      <c r="J5231" s="2" t="s">
        <v>13904</v>
      </c>
      <c r="K5231" s="2" t="s">
        <v>5657</v>
      </c>
      <c r="L5231" s="82" t="s">
        <v>18773</v>
      </c>
    </row>
    <row r="5232" spans="1:15" ht="84" customHeight="1" x14ac:dyDescent="0.3">
      <c r="A5232" s="2">
        <v>5228</v>
      </c>
      <c r="B5232" s="66" t="s">
        <v>5891</v>
      </c>
      <c r="C5232" s="66" t="s">
        <v>5892</v>
      </c>
      <c r="D5232" s="11">
        <v>20693.38</v>
      </c>
      <c r="E5232" s="11">
        <v>20693.38</v>
      </c>
      <c r="F5232" s="3">
        <v>39052</v>
      </c>
      <c r="G5232" s="2"/>
      <c r="H5232" s="3">
        <v>43053</v>
      </c>
      <c r="I5232" s="2" t="s">
        <v>19506</v>
      </c>
      <c r="J5232" s="2" t="s">
        <v>13904</v>
      </c>
      <c r="K5232" s="2" t="s">
        <v>5657</v>
      </c>
      <c r="L5232" s="82" t="s">
        <v>19512</v>
      </c>
    </row>
    <row r="5233" spans="1:12" ht="84" customHeight="1" x14ac:dyDescent="0.3">
      <c r="A5233" s="2">
        <v>5229</v>
      </c>
      <c r="B5233" s="66" t="s">
        <v>5893</v>
      </c>
      <c r="C5233" s="66" t="s">
        <v>5894</v>
      </c>
      <c r="D5233" s="11">
        <v>20693.38</v>
      </c>
      <c r="E5233" s="11">
        <v>20693.38</v>
      </c>
      <c r="F5233" s="3">
        <v>39052</v>
      </c>
      <c r="G5233" s="2"/>
      <c r="H5233" s="3">
        <v>43053</v>
      </c>
      <c r="I5233" s="2" t="s">
        <v>19506</v>
      </c>
      <c r="J5233" s="2" t="s">
        <v>13904</v>
      </c>
      <c r="K5233" s="2" t="s">
        <v>5657</v>
      </c>
      <c r="L5233" s="82" t="s">
        <v>19512</v>
      </c>
    </row>
    <row r="5234" spans="1:12" ht="84" customHeight="1" x14ac:dyDescent="0.3">
      <c r="A5234" s="2">
        <v>5230</v>
      </c>
      <c r="B5234" s="66" t="s">
        <v>5895</v>
      </c>
      <c r="C5234" s="66" t="s">
        <v>5896</v>
      </c>
      <c r="D5234" s="11">
        <v>20693.38</v>
      </c>
      <c r="E5234" s="11">
        <v>20693.38</v>
      </c>
      <c r="F5234" s="3">
        <v>39052</v>
      </c>
      <c r="G5234" s="2"/>
      <c r="H5234" s="3">
        <v>43053</v>
      </c>
      <c r="I5234" s="2" t="s">
        <v>19506</v>
      </c>
      <c r="J5234" s="2" t="s">
        <v>13904</v>
      </c>
      <c r="K5234" s="2" t="s">
        <v>5657</v>
      </c>
      <c r="L5234" s="82" t="s">
        <v>19512</v>
      </c>
    </row>
    <row r="5235" spans="1:12" ht="84" customHeight="1" x14ac:dyDescent="0.3">
      <c r="A5235" s="2">
        <v>5231</v>
      </c>
      <c r="B5235" s="66" t="s">
        <v>5897</v>
      </c>
      <c r="C5235" s="66" t="s">
        <v>5898</v>
      </c>
      <c r="D5235" s="11">
        <v>23890</v>
      </c>
      <c r="E5235" s="11">
        <v>23890</v>
      </c>
      <c r="F5235" s="3">
        <v>39428</v>
      </c>
      <c r="G5235" s="2"/>
      <c r="H5235" s="3">
        <v>43053</v>
      </c>
      <c r="I5235" s="2" t="s">
        <v>19506</v>
      </c>
      <c r="J5235" s="2" t="s">
        <v>13904</v>
      </c>
      <c r="K5235" s="2" t="s">
        <v>5657</v>
      </c>
      <c r="L5235" s="82" t="s">
        <v>19512</v>
      </c>
    </row>
    <row r="5236" spans="1:12" ht="84" customHeight="1" x14ac:dyDescent="0.3">
      <c r="A5236" s="2">
        <v>5232</v>
      </c>
      <c r="B5236" s="66" t="s">
        <v>5899</v>
      </c>
      <c r="C5236" s="66" t="s">
        <v>5900</v>
      </c>
      <c r="D5236" s="11">
        <v>39262.230000000003</v>
      </c>
      <c r="E5236" s="11">
        <v>39262.230000000003</v>
      </c>
      <c r="F5236" s="3">
        <v>39052</v>
      </c>
      <c r="G5236" s="2"/>
      <c r="H5236" s="3">
        <v>43053</v>
      </c>
      <c r="I5236" s="2" t="s">
        <v>19506</v>
      </c>
      <c r="J5236" s="2" t="s">
        <v>13904</v>
      </c>
      <c r="K5236" s="2" t="s">
        <v>5657</v>
      </c>
      <c r="L5236" s="82" t="s">
        <v>19512</v>
      </c>
    </row>
    <row r="5237" spans="1:12" ht="84" customHeight="1" x14ac:dyDescent="0.3">
      <c r="A5237" s="2">
        <v>5233</v>
      </c>
      <c r="B5237" s="66" t="s">
        <v>5899</v>
      </c>
      <c r="C5237" s="66" t="s">
        <v>5901</v>
      </c>
      <c r="D5237" s="11">
        <v>39262.230000000003</v>
      </c>
      <c r="E5237" s="11">
        <v>39262.230000000003</v>
      </c>
      <c r="F5237" s="3">
        <v>39052</v>
      </c>
      <c r="G5237" s="2"/>
      <c r="H5237" s="3">
        <v>43053</v>
      </c>
      <c r="I5237" s="2" t="s">
        <v>19506</v>
      </c>
      <c r="J5237" s="2" t="s">
        <v>13904</v>
      </c>
      <c r="K5237" s="2" t="s">
        <v>5657</v>
      </c>
      <c r="L5237" s="82" t="s">
        <v>19512</v>
      </c>
    </row>
    <row r="5238" spans="1:12" ht="84" customHeight="1" x14ac:dyDescent="0.3">
      <c r="A5238" s="2">
        <v>5234</v>
      </c>
      <c r="B5238" s="66" t="s">
        <v>5902</v>
      </c>
      <c r="C5238" s="66" t="s">
        <v>5903</v>
      </c>
      <c r="D5238" s="11">
        <v>467688.06</v>
      </c>
      <c r="E5238" s="11">
        <v>467688.06</v>
      </c>
      <c r="F5238" s="3">
        <v>39052</v>
      </c>
      <c r="G5238" s="2"/>
      <c r="H5238" s="2"/>
      <c r="I5238" s="2"/>
      <c r="J5238" s="2" t="s">
        <v>13904</v>
      </c>
      <c r="K5238" s="2" t="s">
        <v>5657</v>
      </c>
      <c r="L5238" s="82" t="s">
        <v>18773</v>
      </c>
    </row>
    <row r="5239" spans="1:12" ht="84" customHeight="1" x14ac:dyDescent="0.3">
      <c r="A5239" s="2">
        <v>5235</v>
      </c>
      <c r="B5239" s="66" t="s">
        <v>5904</v>
      </c>
      <c r="C5239" s="66" t="s">
        <v>5905</v>
      </c>
      <c r="D5239" s="11">
        <v>62946.6</v>
      </c>
      <c r="E5239" s="11">
        <v>62946.6</v>
      </c>
      <c r="F5239" s="3">
        <v>39052</v>
      </c>
      <c r="G5239" s="2"/>
      <c r="H5239" s="2"/>
      <c r="I5239" s="2"/>
      <c r="J5239" s="2" t="s">
        <v>13904</v>
      </c>
      <c r="K5239" s="2" t="s">
        <v>5657</v>
      </c>
      <c r="L5239" s="82" t="s">
        <v>18773</v>
      </c>
    </row>
    <row r="5240" spans="1:12" ht="84" customHeight="1" x14ac:dyDescent="0.3">
      <c r="A5240" s="2">
        <v>5236</v>
      </c>
      <c r="B5240" s="66" t="s">
        <v>5906</v>
      </c>
      <c r="C5240" s="66" t="s">
        <v>5907</v>
      </c>
      <c r="D5240" s="11">
        <v>54997.440000000002</v>
      </c>
      <c r="E5240" s="11">
        <v>54997.440000000002</v>
      </c>
      <c r="F5240" s="3">
        <v>39052</v>
      </c>
      <c r="G5240" s="2"/>
      <c r="H5240" s="2"/>
      <c r="I5240" s="2"/>
      <c r="J5240" s="2" t="s">
        <v>13904</v>
      </c>
      <c r="K5240" s="2" t="s">
        <v>5657</v>
      </c>
      <c r="L5240" s="82" t="s">
        <v>18773</v>
      </c>
    </row>
    <row r="5241" spans="1:12" ht="84" customHeight="1" x14ac:dyDescent="0.3">
      <c r="A5241" s="2">
        <v>5237</v>
      </c>
      <c r="B5241" s="66" t="s">
        <v>5906</v>
      </c>
      <c r="C5241" s="66" t="s">
        <v>5908</v>
      </c>
      <c r="D5241" s="11">
        <v>57538.7</v>
      </c>
      <c r="E5241" s="11">
        <v>57538.7</v>
      </c>
      <c r="F5241" s="3">
        <v>39052</v>
      </c>
      <c r="G5241" s="2"/>
      <c r="H5241" s="2"/>
      <c r="I5241" s="2"/>
      <c r="J5241" s="2" t="s">
        <v>13904</v>
      </c>
      <c r="K5241" s="2" t="s">
        <v>5657</v>
      </c>
      <c r="L5241" s="82" t="s">
        <v>18773</v>
      </c>
    </row>
    <row r="5242" spans="1:12" ht="84" customHeight="1" x14ac:dyDescent="0.3">
      <c r="A5242" s="2">
        <v>5238</v>
      </c>
      <c r="B5242" s="66" t="s">
        <v>5909</v>
      </c>
      <c r="C5242" s="66" t="s">
        <v>5910</v>
      </c>
      <c r="D5242" s="11">
        <v>62946.63</v>
      </c>
      <c r="E5242" s="11">
        <v>62946.63</v>
      </c>
      <c r="F5242" s="3">
        <v>39052</v>
      </c>
      <c r="G5242" s="2"/>
      <c r="H5242" s="2"/>
      <c r="I5242" s="2"/>
      <c r="J5242" s="2" t="s">
        <v>13904</v>
      </c>
      <c r="K5242" s="2" t="s">
        <v>5657</v>
      </c>
      <c r="L5242" s="82" t="s">
        <v>18773</v>
      </c>
    </row>
    <row r="5243" spans="1:12" ht="84" customHeight="1" x14ac:dyDescent="0.3">
      <c r="A5243" s="2">
        <v>5239</v>
      </c>
      <c r="B5243" s="66" t="s">
        <v>5909</v>
      </c>
      <c r="C5243" s="66" t="s">
        <v>5911</v>
      </c>
      <c r="D5243" s="11">
        <v>44665.32</v>
      </c>
      <c r="E5243" s="11">
        <v>44665.32</v>
      </c>
      <c r="F5243" s="3">
        <v>39052</v>
      </c>
      <c r="G5243" s="2"/>
      <c r="H5243" s="3">
        <v>43053</v>
      </c>
      <c r="I5243" s="2" t="s">
        <v>19506</v>
      </c>
      <c r="J5243" s="2" t="s">
        <v>13904</v>
      </c>
      <c r="K5243" s="2" t="s">
        <v>5657</v>
      </c>
      <c r="L5243" s="82" t="s">
        <v>19512</v>
      </c>
    </row>
    <row r="5244" spans="1:12" ht="84" customHeight="1" x14ac:dyDescent="0.3">
      <c r="A5244" s="2">
        <v>5240</v>
      </c>
      <c r="B5244" s="66" t="s">
        <v>5909</v>
      </c>
      <c r="C5244" s="66" t="s">
        <v>5912</v>
      </c>
      <c r="D5244" s="11">
        <v>44665.7</v>
      </c>
      <c r="E5244" s="11">
        <v>44665.7</v>
      </c>
      <c r="F5244" s="3">
        <v>39052</v>
      </c>
      <c r="G5244" s="2"/>
      <c r="H5244" s="3">
        <v>43053</v>
      </c>
      <c r="I5244" s="2" t="s">
        <v>19506</v>
      </c>
      <c r="J5244" s="2" t="s">
        <v>13904</v>
      </c>
      <c r="K5244" s="2" t="s">
        <v>5657</v>
      </c>
      <c r="L5244" s="82" t="s">
        <v>19512</v>
      </c>
    </row>
    <row r="5245" spans="1:12" ht="84" customHeight="1" x14ac:dyDescent="0.3">
      <c r="A5245" s="2">
        <v>5241</v>
      </c>
      <c r="B5245" s="66" t="s">
        <v>5913</v>
      </c>
      <c r="C5245" s="66" t="s">
        <v>5914</v>
      </c>
      <c r="D5245" s="11">
        <v>62946.6</v>
      </c>
      <c r="E5245" s="11">
        <v>62946.6</v>
      </c>
      <c r="F5245" s="3">
        <v>39052</v>
      </c>
      <c r="G5245" s="2"/>
      <c r="H5245" s="2"/>
      <c r="I5245" s="2"/>
      <c r="J5245" s="2" t="s">
        <v>13904</v>
      </c>
      <c r="K5245" s="2" t="s">
        <v>5657</v>
      </c>
      <c r="L5245" s="82" t="s">
        <v>18773</v>
      </c>
    </row>
    <row r="5246" spans="1:12" ht="84" customHeight="1" x14ac:dyDescent="0.3">
      <c r="A5246" s="2">
        <v>5242</v>
      </c>
      <c r="B5246" s="66" t="s">
        <v>5688</v>
      </c>
      <c r="C5246" s="66" t="s">
        <v>5915</v>
      </c>
      <c r="D5246" s="11">
        <v>56801.37</v>
      </c>
      <c r="E5246" s="11">
        <v>56801.37</v>
      </c>
      <c r="F5246" s="3">
        <v>39052</v>
      </c>
      <c r="G5246" s="2"/>
      <c r="H5246" s="2"/>
      <c r="I5246" s="2"/>
      <c r="J5246" s="2" t="s">
        <v>13904</v>
      </c>
      <c r="K5246" s="2" t="s">
        <v>5657</v>
      </c>
      <c r="L5246" s="82" t="s">
        <v>18773</v>
      </c>
    </row>
    <row r="5247" spans="1:12" ht="84" customHeight="1" x14ac:dyDescent="0.3">
      <c r="A5247" s="2">
        <v>5243</v>
      </c>
      <c r="B5247" s="66" t="s">
        <v>5688</v>
      </c>
      <c r="C5247" s="66" t="s">
        <v>5916</v>
      </c>
      <c r="D5247" s="11">
        <v>46932.63</v>
      </c>
      <c r="E5247" s="11">
        <v>46932.63</v>
      </c>
      <c r="F5247" s="3">
        <v>39052</v>
      </c>
      <c r="G5247" s="2"/>
      <c r="H5247" s="3">
        <v>43053</v>
      </c>
      <c r="I5247" s="2" t="s">
        <v>19506</v>
      </c>
      <c r="J5247" s="2" t="s">
        <v>13904</v>
      </c>
      <c r="K5247" s="2" t="s">
        <v>5657</v>
      </c>
      <c r="L5247" s="82" t="s">
        <v>19512</v>
      </c>
    </row>
    <row r="5248" spans="1:12" ht="84" customHeight="1" x14ac:dyDescent="0.3">
      <c r="A5248" s="2">
        <v>5244</v>
      </c>
      <c r="B5248" s="66" t="s">
        <v>5688</v>
      </c>
      <c r="C5248" s="66" t="s">
        <v>5917</v>
      </c>
      <c r="D5248" s="11">
        <v>49339.83</v>
      </c>
      <c r="E5248" s="11">
        <v>49339.83</v>
      </c>
      <c r="F5248" s="3">
        <v>39052</v>
      </c>
      <c r="G5248" s="2"/>
      <c r="H5248" s="3">
        <v>43053</v>
      </c>
      <c r="I5248" s="2" t="s">
        <v>19506</v>
      </c>
      <c r="J5248" s="2" t="s">
        <v>13904</v>
      </c>
      <c r="K5248" s="2" t="s">
        <v>5657</v>
      </c>
      <c r="L5248" s="82" t="s">
        <v>19512</v>
      </c>
    </row>
    <row r="5249" spans="1:12" ht="84" customHeight="1" x14ac:dyDescent="0.3">
      <c r="A5249" s="2">
        <v>5245</v>
      </c>
      <c r="B5249" s="66" t="s">
        <v>5688</v>
      </c>
      <c r="C5249" s="66" t="s">
        <v>5918</v>
      </c>
      <c r="D5249" s="11">
        <v>45868.9</v>
      </c>
      <c r="E5249" s="11">
        <v>45868.9</v>
      </c>
      <c r="F5249" s="3">
        <v>39052</v>
      </c>
      <c r="G5249" s="2"/>
      <c r="H5249" s="3">
        <v>43053</v>
      </c>
      <c r="I5249" s="2" t="s">
        <v>19506</v>
      </c>
      <c r="J5249" s="2" t="s">
        <v>13904</v>
      </c>
      <c r="K5249" s="2" t="s">
        <v>5657</v>
      </c>
      <c r="L5249" s="82" t="s">
        <v>19512</v>
      </c>
    </row>
    <row r="5250" spans="1:12" ht="84" customHeight="1" x14ac:dyDescent="0.3">
      <c r="A5250" s="2">
        <v>5246</v>
      </c>
      <c r="B5250" s="66" t="s">
        <v>5688</v>
      </c>
      <c r="C5250" s="66" t="s">
        <v>5919</v>
      </c>
      <c r="D5250" s="11">
        <v>46687.83</v>
      </c>
      <c r="E5250" s="11">
        <v>46687.83</v>
      </c>
      <c r="F5250" s="3">
        <v>39052</v>
      </c>
      <c r="G5250" s="2"/>
      <c r="H5250" s="3">
        <v>43053</v>
      </c>
      <c r="I5250" s="2" t="s">
        <v>19506</v>
      </c>
      <c r="J5250" s="2" t="s">
        <v>13904</v>
      </c>
      <c r="K5250" s="2" t="s">
        <v>5657</v>
      </c>
      <c r="L5250" s="82" t="s">
        <v>19512</v>
      </c>
    </row>
    <row r="5251" spans="1:12" ht="84" customHeight="1" x14ac:dyDescent="0.3">
      <c r="A5251" s="2">
        <v>5247</v>
      </c>
      <c r="B5251" s="66" t="s">
        <v>5688</v>
      </c>
      <c r="C5251" s="66" t="s">
        <v>5920</v>
      </c>
      <c r="D5251" s="11">
        <v>53020.57</v>
      </c>
      <c r="E5251" s="11">
        <v>53020.57</v>
      </c>
      <c r="F5251" s="3">
        <v>39052</v>
      </c>
      <c r="G5251" s="2"/>
      <c r="H5251" s="2"/>
      <c r="I5251" s="2"/>
      <c r="J5251" s="2" t="s">
        <v>13904</v>
      </c>
      <c r="K5251" s="2" t="s">
        <v>5657</v>
      </c>
      <c r="L5251" s="82" t="s">
        <v>18773</v>
      </c>
    </row>
    <row r="5252" spans="1:12" ht="84" customHeight="1" x14ac:dyDescent="0.3">
      <c r="A5252" s="2">
        <v>5248</v>
      </c>
      <c r="B5252" s="66" t="s">
        <v>5688</v>
      </c>
      <c r="C5252" s="66" t="s">
        <v>5921</v>
      </c>
      <c r="D5252" s="11">
        <v>62946.63</v>
      </c>
      <c r="E5252" s="11">
        <v>62946.63</v>
      </c>
      <c r="F5252" s="3">
        <v>39052</v>
      </c>
      <c r="G5252" s="2"/>
      <c r="H5252" s="2"/>
      <c r="I5252" s="2"/>
      <c r="J5252" s="2" t="s">
        <v>13904</v>
      </c>
      <c r="K5252" s="2" t="s">
        <v>5657</v>
      </c>
      <c r="L5252" s="82" t="s">
        <v>18773</v>
      </c>
    </row>
    <row r="5253" spans="1:12" ht="84" customHeight="1" x14ac:dyDescent="0.3">
      <c r="A5253" s="2">
        <v>5249</v>
      </c>
      <c r="B5253" s="66" t="s">
        <v>5688</v>
      </c>
      <c r="C5253" s="66" t="s">
        <v>5922</v>
      </c>
      <c r="D5253" s="11">
        <v>62946.63</v>
      </c>
      <c r="E5253" s="11">
        <v>62946.63</v>
      </c>
      <c r="F5253" s="3">
        <v>39052</v>
      </c>
      <c r="G5253" s="2"/>
      <c r="H5253" s="2"/>
      <c r="I5253" s="2"/>
      <c r="J5253" s="2" t="s">
        <v>13904</v>
      </c>
      <c r="K5253" s="2" t="s">
        <v>5657</v>
      </c>
      <c r="L5253" s="82" t="s">
        <v>18773</v>
      </c>
    </row>
    <row r="5254" spans="1:12" ht="84" customHeight="1" x14ac:dyDescent="0.3">
      <c r="A5254" s="2">
        <v>5250</v>
      </c>
      <c r="B5254" s="66" t="s">
        <v>5688</v>
      </c>
      <c r="C5254" s="66" t="s">
        <v>5923</v>
      </c>
      <c r="D5254" s="11">
        <v>62946.63</v>
      </c>
      <c r="E5254" s="11">
        <v>62946.63</v>
      </c>
      <c r="F5254" s="3">
        <v>39052</v>
      </c>
      <c r="G5254" s="2"/>
      <c r="H5254" s="2"/>
      <c r="I5254" s="2"/>
      <c r="J5254" s="2" t="s">
        <v>13904</v>
      </c>
      <c r="K5254" s="2" t="s">
        <v>5657</v>
      </c>
      <c r="L5254" s="82" t="s">
        <v>18773</v>
      </c>
    </row>
    <row r="5255" spans="1:12" ht="84" customHeight="1" x14ac:dyDescent="0.3">
      <c r="A5255" s="2">
        <v>5251</v>
      </c>
      <c r="B5255" s="66" t="s">
        <v>5688</v>
      </c>
      <c r="C5255" s="66" t="s">
        <v>5924</v>
      </c>
      <c r="D5255" s="11">
        <v>62946.63</v>
      </c>
      <c r="E5255" s="11">
        <v>62946.63</v>
      </c>
      <c r="F5255" s="3">
        <v>39052</v>
      </c>
      <c r="G5255" s="2"/>
      <c r="H5255" s="2"/>
      <c r="I5255" s="2"/>
      <c r="J5255" s="2" t="s">
        <v>13904</v>
      </c>
      <c r="K5255" s="2" t="s">
        <v>5657</v>
      </c>
      <c r="L5255" s="82" t="s">
        <v>18773</v>
      </c>
    </row>
    <row r="5256" spans="1:12" ht="84" customHeight="1" x14ac:dyDescent="0.3">
      <c r="A5256" s="2">
        <v>5252</v>
      </c>
      <c r="B5256" s="66" t="s">
        <v>5688</v>
      </c>
      <c r="C5256" s="66" t="s">
        <v>5925</v>
      </c>
      <c r="D5256" s="11">
        <v>62946.63</v>
      </c>
      <c r="E5256" s="11">
        <v>62946.63</v>
      </c>
      <c r="F5256" s="3">
        <v>39052</v>
      </c>
      <c r="G5256" s="2"/>
      <c r="H5256" s="2"/>
      <c r="I5256" s="2"/>
      <c r="J5256" s="2" t="s">
        <v>13904</v>
      </c>
      <c r="K5256" s="2" t="s">
        <v>5657</v>
      </c>
      <c r="L5256" s="82" t="s">
        <v>18773</v>
      </c>
    </row>
    <row r="5257" spans="1:12" ht="84" customHeight="1" x14ac:dyDescent="0.3">
      <c r="A5257" s="2">
        <v>5253</v>
      </c>
      <c r="B5257" s="66" t="s">
        <v>5688</v>
      </c>
      <c r="C5257" s="66" t="s">
        <v>5926</v>
      </c>
      <c r="D5257" s="11">
        <v>62946.63</v>
      </c>
      <c r="E5257" s="11">
        <v>62946.63</v>
      </c>
      <c r="F5257" s="3">
        <v>39052</v>
      </c>
      <c r="G5257" s="2"/>
      <c r="H5257" s="2"/>
      <c r="I5257" s="2"/>
      <c r="J5257" s="2" t="s">
        <v>13904</v>
      </c>
      <c r="K5257" s="2" t="s">
        <v>5657</v>
      </c>
      <c r="L5257" s="82" t="s">
        <v>18773</v>
      </c>
    </row>
    <row r="5258" spans="1:12" ht="84" customHeight="1" x14ac:dyDescent="0.3">
      <c r="A5258" s="2">
        <v>5254</v>
      </c>
      <c r="B5258" s="66" t="s">
        <v>5688</v>
      </c>
      <c r="C5258" s="66" t="s">
        <v>5927</v>
      </c>
      <c r="D5258" s="11">
        <v>44665.32</v>
      </c>
      <c r="E5258" s="11">
        <v>44665.32</v>
      </c>
      <c r="F5258" s="3">
        <v>39052</v>
      </c>
      <c r="G5258" s="2"/>
      <c r="H5258" s="3">
        <v>43053</v>
      </c>
      <c r="I5258" s="2" t="s">
        <v>19506</v>
      </c>
      <c r="J5258" s="2" t="s">
        <v>13904</v>
      </c>
      <c r="K5258" s="2" t="s">
        <v>5657</v>
      </c>
      <c r="L5258" s="82" t="s">
        <v>19512</v>
      </c>
    </row>
    <row r="5259" spans="1:12" ht="84" customHeight="1" x14ac:dyDescent="0.3">
      <c r="A5259" s="2">
        <v>5255</v>
      </c>
      <c r="B5259" s="66" t="s">
        <v>5688</v>
      </c>
      <c r="C5259" s="66" t="s">
        <v>5928</v>
      </c>
      <c r="D5259" s="11">
        <v>44665.73</v>
      </c>
      <c r="E5259" s="11">
        <v>44665.73</v>
      </c>
      <c r="F5259" s="3">
        <v>39052</v>
      </c>
      <c r="G5259" s="2"/>
      <c r="H5259" s="3">
        <v>43053</v>
      </c>
      <c r="I5259" s="2" t="s">
        <v>19506</v>
      </c>
      <c r="J5259" s="2" t="s">
        <v>13904</v>
      </c>
      <c r="K5259" s="2" t="s">
        <v>5657</v>
      </c>
      <c r="L5259" s="82" t="s">
        <v>19512</v>
      </c>
    </row>
    <row r="5260" spans="1:12" ht="84" customHeight="1" x14ac:dyDescent="0.3">
      <c r="A5260" s="2">
        <v>5256</v>
      </c>
      <c r="B5260" s="66" t="s">
        <v>5688</v>
      </c>
      <c r="C5260" s="66" t="s">
        <v>5929</v>
      </c>
      <c r="D5260" s="11">
        <v>44665.7</v>
      </c>
      <c r="E5260" s="11">
        <v>44665.7</v>
      </c>
      <c r="F5260" s="3">
        <v>39052</v>
      </c>
      <c r="G5260" s="2"/>
      <c r="H5260" s="3">
        <v>43053</v>
      </c>
      <c r="I5260" s="2" t="s">
        <v>19506</v>
      </c>
      <c r="J5260" s="2" t="s">
        <v>13904</v>
      </c>
      <c r="K5260" s="2" t="s">
        <v>5657</v>
      </c>
      <c r="L5260" s="82" t="s">
        <v>19512</v>
      </c>
    </row>
    <row r="5261" spans="1:12" ht="84" customHeight="1" x14ac:dyDescent="0.3">
      <c r="A5261" s="2">
        <v>5257</v>
      </c>
      <c r="B5261" s="66" t="s">
        <v>5688</v>
      </c>
      <c r="C5261" s="66" t="s">
        <v>5930</v>
      </c>
      <c r="D5261" s="11">
        <v>54997.4</v>
      </c>
      <c r="E5261" s="11">
        <v>54997.4</v>
      </c>
      <c r="F5261" s="3">
        <v>39052</v>
      </c>
      <c r="G5261" s="2"/>
      <c r="H5261" s="2"/>
      <c r="I5261" s="2"/>
      <c r="J5261" s="2" t="s">
        <v>13904</v>
      </c>
      <c r="K5261" s="2" t="s">
        <v>5657</v>
      </c>
      <c r="L5261" s="82" t="s">
        <v>18773</v>
      </c>
    </row>
    <row r="5262" spans="1:12" ht="84" customHeight="1" x14ac:dyDescent="0.3">
      <c r="A5262" s="2">
        <v>5258</v>
      </c>
      <c r="B5262" s="66" t="s">
        <v>5688</v>
      </c>
      <c r="C5262" s="66" t="s">
        <v>5931</v>
      </c>
      <c r="D5262" s="11">
        <v>54997.4</v>
      </c>
      <c r="E5262" s="11">
        <v>54997.4</v>
      </c>
      <c r="F5262" s="3">
        <v>39052</v>
      </c>
      <c r="G5262" s="2"/>
      <c r="H5262" s="2"/>
      <c r="I5262" s="2"/>
      <c r="J5262" s="2" t="s">
        <v>13904</v>
      </c>
      <c r="K5262" s="2" t="s">
        <v>5657</v>
      </c>
      <c r="L5262" s="82" t="s">
        <v>18773</v>
      </c>
    </row>
    <row r="5263" spans="1:12" ht="84" customHeight="1" x14ac:dyDescent="0.3">
      <c r="A5263" s="2">
        <v>5259</v>
      </c>
      <c r="B5263" s="66" t="s">
        <v>5688</v>
      </c>
      <c r="C5263" s="66" t="s">
        <v>5932</v>
      </c>
      <c r="D5263" s="11">
        <v>44665.73</v>
      </c>
      <c r="E5263" s="11">
        <v>44665.73</v>
      </c>
      <c r="F5263" s="3">
        <v>39052</v>
      </c>
      <c r="G5263" s="2"/>
      <c r="H5263" s="3">
        <v>43053</v>
      </c>
      <c r="I5263" s="2" t="s">
        <v>19506</v>
      </c>
      <c r="J5263" s="2" t="s">
        <v>13904</v>
      </c>
      <c r="K5263" s="2" t="s">
        <v>5657</v>
      </c>
      <c r="L5263" s="82" t="s">
        <v>19512</v>
      </c>
    </row>
    <row r="5264" spans="1:12" ht="84" customHeight="1" x14ac:dyDescent="0.3">
      <c r="A5264" s="2">
        <v>5260</v>
      </c>
      <c r="B5264" s="66" t="s">
        <v>5688</v>
      </c>
      <c r="C5264" s="66" t="s">
        <v>5933</v>
      </c>
      <c r="D5264" s="11">
        <v>55239.87</v>
      </c>
      <c r="E5264" s="11">
        <v>55239.87</v>
      </c>
      <c r="F5264" s="3">
        <v>39052</v>
      </c>
      <c r="G5264" s="2"/>
      <c r="H5264" s="2"/>
      <c r="I5264" s="2"/>
      <c r="J5264" s="2" t="s">
        <v>13904</v>
      </c>
      <c r="K5264" s="2" t="s">
        <v>5657</v>
      </c>
      <c r="L5264" s="82" t="s">
        <v>18773</v>
      </c>
    </row>
    <row r="5265" spans="1:12" ht="84" customHeight="1" x14ac:dyDescent="0.3">
      <c r="A5265" s="2">
        <v>5261</v>
      </c>
      <c r="B5265" s="66" t="s">
        <v>5934</v>
      </c>
      <c r="C5265" s="66" t="s">
        <v>5935</v>
      </c>
      <c r="D5265" s="11">
        <v>97110</v>
      </c>
      <c r="E5265" s="11">
        <v>97110</v>
      </c>
      <c r="F5265" s="3">
        <v>39142</v>
      </c>
      <c r="G5265" s="2"/>
      <c r="H5265" s="2"/>
      <c r="I5265" s="2"/>
      <c r="J5265" s="2" t="s">
        <v>13904</v>
      </c>
      <c r="K5265" s="2" t="s">
        <v>5657</v>
      </c>
      <c r="L5265" s="82" t="s">
        <v>19227</v>
      </c>
    </row>
    <row r="5266" spans="1:12" ht="84" customHeight="1" x14ac:dyDescent="0.3">
      <c r="A5266" s="2">
        <v>5262</v>
      </c>
      <c r="B5266" s="66" t="s">
        <v>5936</v>
      </c>
      <c r="C5266" s="66" t="s">
        <v>5937</v>
      </c>
      <c r="D5266" s="11">
        <v>20280</v>
      </c>
      <c r="E5266" s="11">
        <v>17257.14</v>
      </c>
      <c r="F5266" s="3">
        <v>39052</v>
      </c>
      <c r="G5266" s="2"/>
      <c r="H5266" s="3">
        <v>43053</v>
      </c>
      <c r="I5266" s="2" t="s">
        <v>19506</v>
      </c>
      <c r="J5266" s="2" t="s">
        <v>13904</v>
      </c>
      <c r="K5266" s="2" t="s">
        <v>5657</v>
      </c>
      <c r="L5266" s="82" t="s">
        <v>19512</v>
      </c>
    </row>
    <row r="5267" spans="1:12" ht="84" customHeight="1" x14ac:dyDescent="0.3">
      <c r="A5267" s="2">
        <v>5263</v>
      </c>
      <c r="B5267" s="66" t="s">
        <v>5938</v>
      </c>
      <c r="C5267" s="66" t="s">
        <v>5939</v>
      </c>
      <c r="D5267" s="11">
        <v>81760.570000000007</v>
      </c>
      <c r="E5267" s="11">
        <v>81760.570000000007</v>
      </c>
      <c r="F5267" s="3">
        <v>39052</v>
      </c>
      <c r="G5267" s="2"/>
      <c r="H5267" s="2"/>
      <c r="I5267" s="2"/>
      <c r="J5267" s="2" t="s">
        <v>13904</v>
      </c>
      <c r="K5267" s="2" t="s">
        <v>5657</v>
      </c>
      <c r="L5267" s="82" t="s">
        <v>18773</v>
      </c>
    </row>
    <row r="5268" spans="1:12" ht="84" customHeight="1" x14ac:dyDescent="0.3">
      <c r="A5268" s="2">
        <v>5264</v>
      </c>
      <c r="B5268" s="66" t="s">
        <v>5712</v>
      </c>
      <c r="C5268" s="66" t="s">
        <v>5940</v>
      </c>
      <c r="D5268" s="11">
        <v>87285.17</v>
      </c>
      <c r="E5268" s="11">
        <v>86907.02</v>
      </c>
      <c r="F5268" s="3">
        <v>39052</v>
      </c>
      <c r="G5268" s="2"/>
      <c r="H5268" s="2"/>
      <c r="I5268" s="2"/>
      <c r="J5268" s="2" t="s">
        <v>13904</v>
      </c>
      <c r="K5268" s="2" t="s">
        <v>5657</v>
      </c>
      <c r="L5268" s="82" t="s">
        <v>18773</v>
      </c>
    </row>
    <row r="5269" spans="1:12" ht="84" customHeight="1" x14ac:dyDescent="0.3">
      <c r="A5269" s="2">
        <v>5265</v>
      </c>
      <c r="B5269" s="66" t="s">
        <v>1328</v>
      </c>
      <c r="C5269" s="66" t="s">
        <v>5941</v>
      </c>
      <c r="D5269" s="11">
        <v>145129.60000000001</v>
      </c>
      <c r="E5269" s="11">
        <v>145129.60000000001</v>
      </c>
      <c r="F5269" s="3">
        <v>39142</v>
      </c>
      <c r="G5269" s="2"/>
      <c r="H5269" s="2"/>
      <c r="I5269" s="2"/>
      <c r="J5269" s="2" t="s">
        <v>13904</v>
      </c>
      <c r="K5269" s="2" t="s">
        <v>5657</v>
      </c>
      <c r="L5269" s="82" t="s">
        <v>18773</v>
      </c>
    </row>
    <row r="5270" spans="1:12" ht="84" customHeight="1" x14ac:dyDescent="0.3">
      <c r="A5270" s="2">
        <v>5266</v>
      </c>
      <c r="B5270" s="66" t="s">
        <v>1328</v>
      </c>
      <c r="C5270" s="66" t="s">
        <v>5942</v>
      </c>
      <c r="D5270" s="11">
        <v>145129.60000000001</v>
      </c>
      <c r="E5270" s="11">
        <v>145129.60000000001</v>
      </c>
      <c r="F5270" s="3">
        <v>39142</v>
      </c>
      <c r="G5270" s="2"/>
      <c r="H5270" s="2"/>
      <c r="I5270" s="2"/>
      <c r="J5270" s="2" t="s">
        <v>13904</v>
      </c>
      <c r="K5270" s="2" t="s">
        <v>5657</v>
      </c>
      <c r="L5270" s="82" t="s">
        <v>18773</v>
      </c>
    </row>
    <row r="5271" spans="1:12" ht="84" customHeight="1" x14ac:dyDescent="0.3">
      <c r="A5271" s="2">
        <v>5267</v>
      </c>
      <c r="B5271" s="66" t="s">
        <v>5943</v>
      </c>
      <c r="C5271" s="66" t="s">
        <v>5944</v>
      </c>
      <c r="D5271" s="11">
        <v>67564.800000000003</v>
      </c>
      <c r="E5271" s="11">
        <v>67564.800000000003</v>
      </c>
      <c r="F5271" s="3">
        <v>39052</v>
      </c>
      <c r="G5271" s="2"/>
      <c r="H5271" s="2"/>
      <c r="I5271" s="2"/>
      <c r="J5271" s="2" t="s">
        <v>13904</v>
      </c>
      <c r="K5271" s="2" t="s">
        <v>5657</v>
      </c>
      <c r="L5271" s="82" t="s">
        <v>18773</v>
      </c>
    </row>
    <row r="5272" spans="1:12" ht="84" customHeight="1" x14ac:dyDescent="0.3">
      <c r="A5272" s="2">
        <v>5268</v>
      </c>
      <c r="B5272" s="66" t="s">
        <v>5945</v>
      </c>
      <c r="C5272" s="66" t="s">
        <v>5946</v>
      </c>
      <c r="D5272" s="11">
        <v>20644.8</v>
      </c>
      <c r="E5272" s="11">
        <v>20644.8</v>
      </c>
      <c r="F5272" s="3">
        <v>39052</v>
      </c>
      <c r="G5272" s="2"/>
      <c r="H5272" s="3">
        <v>43053</v>
      </c>
      <c r="I5272" s="2" t="s">
        <v>19506</v>
      </c>
      <c r="J5272" s="2" t="s">
        <v>13904</v>
      </c>
      <c r="K5272" s="2" t="s">
        <v>5657</v>
      </c>
      <c r="L5272" s="82" t="s">
        <v>19512</v>
      </c>
    </row>
    <row r="5273" spans="1:12" ht="84" customHeight="1" x14ac:dyDescent="0.3">
      <c r="A5273" s="2">
        <v>5269</v>
      </c>
      <c r="B5273" s="66" t="s">
        <v>5947</v>
      </c>
      <c r="C5273" s="66" t="s">
        <v>5948</v>
      </c>
      <c r="D5273" s="11">
        <v>18214.05</v>
      </c>
      <c r="E5273" s="11">
        <v>18214.05</v>
      </c>
      <c r="F5273" s="3">
        <v>39052</v>
      </c>
      <c r="G5273" s="2"/>
      <c r="H5273" s="3">
        <v>43053</v>
      </c>
      <c r="I5273" s="2" t="s">
        <v>19506</v>
      </c>
      <c r="J5273" s="2" t="s">
        <v>13904</v>
      </c>
      <c r="K5273" s="2" t="s">
        <v>5657</v>
      </c>
      <c r="L5273" s="82" t="s">
        <v>19512</v>
      </c>
    </row>
    <row r="5274" spans="1:12" ht="84" customHeight="1" x14ac:dyDescent="0.3">
      <c r="A5274" s="2">
        <v>5270</v>
      </c>
      <c r="B5274" s="66" t="s">
        <v>5949</v>
      </c>
      <c r="C5274" s="66" t="s">
        <v>5950</v>
      </c>
      <c r="D5274" s="11">
        <v>18675.349999999999</v>
      </c>
      <c r="E5274" s="11">
        <v>18675.349999999999</v>
      </c>
      <c r="F5274" s="3">
        <v>39052</v>
      </c>
      <c r="G5274" s="2"/>
      <c r="H5274" s="3">
        <v>43053</v>
      </c>
      <c r="I5274" s="2" t="s">
        <v>19506</v>
      </c>
      <c r="J5274" s="2" t="s">
        <v>13904</v>
      </c>
      <c r="K5274" s="2" t="s">
        <v>5657</v>
      </c>
      <c r="L5274" s="82" t="s">
        <v>19512</v>
      </c>
    </row>
    <row r="5275" spans="1:12" ht="84" customHeight="1" x14ac:dyDescent="0.3">
      <c r="A5275" s="2">
        <v>5271</v>
      </c>
      <c r="B5275" s="66" t="s">
        <v>5951</v>
      </c>
      <c r="C5275" s="66" t="s">
        <v>5952</v>
      </c>
      <c r="D5275" s="11">
        <v>26631.71</v>
      </c>
      <c r="E5275" s="11">
        <v>26631.71</v>
      </c>
      <c r="F5275" s="3">
        <v>39052</v>
      </c>
      <c r="G5275" s="2"/>
      <c r="H5275" s="3">
        <v>43053</v>
      </c>
      <c r="I5275" s="2" t="s">
        <v>19506</v>
      </c>
      <c r="J5275" s="2" t="s">
        <v>13904</v>
      </c>
      <c r="K5275" s="2" t="s">
        <v>5657</v>
      </c>
      <c r="L5275" s="82" t="s">
        <v>19512</v>
      </c>
    </row>
    <row r="5276" spans="1:12" ht="84" customHeight="1" x14ac:dyDescent="0.3">
      <c r="A5276" s="2">
        <v>5272</v>
      </c>
      <c r="B5276" s="66" t="s">
        <v>5953</v>
      </c>
      <c r="C5276" s="66" t="s">
        <v>5954</v>
      </c>
      <c r="D5276" s="11">
        <v>36309</v>
      </c>
      <c r="E5276" s="11">
        <v>36309</v>
      </c>
      <c r="F5276" s="3">
        <v>39058</v>
      </c>
      <c r="G5276" s="2"/>
      <c r="H5276" s="3">
        <v>43053</v>
      </c>
      <c r="I5276" s="2" t="s">
        <v>19506</v>
      </c>
      <c r="J5276" s="2" t="s">
        <v>13904</v>
      </c>
      <c r="K5276" s="2" t="s">
        <v>5657</v>
      </c>
      <c r="L5276" s="82" t="s">
        <v>19512</v>
      </c>
    </row>
    <row r="5277" spans="1:12" ht="84" customHeight="1" x14ac:dyDescent="0.3">
      <c r="A5277" s="2">
        <v>5273</v>
      </c>
      <c r="B5277" s="66" t="s">
        <v>5955</v>
      </c>
      <c r="C5277" s="66" t="s">
        <v>5956</v>
      </c>
      <c r="D5277" s="11">
        <v>69457.149999999994</v>
      </c>
      <c r="E5277" s="11">
        <v>69457.149999999994</v>
      </c>
      <c r="F5277" s="3">
        <v>39052</v>
      </c>
      <c r="G5277" s="2"/>
      <c r="H5277" s="2"/>
      <c r="I5277" s="2"/>
      <c r="J5277" s="2" t="s">
        <v>13904</v>
      </c>
      <c r="K5277" s="2" t="s">
        <v>5657</v>
      </c>
      <c r="L5277" s="82" t="s">
        <v>18773</v>
      </c>
    </row>
    <row r="5278" spans="1:12" ht="84" customHeight="1" x14ac:dyDescent="0.3">
      <c r="A5278" s="2">
        <v>5274</v>
      </c>
      <c r="B5278" s="66" t="s">
        <v>5957</v>
      </c>
      <c r="C5278" s="66" t="s">
        <v>5958</v>
      </c>
      <c r="D5278" s="11">
        <v>69457.149999999994</v>
      </c>
      <c r="E5278" s="11">
        <v>69457.149999999994</v>
      </c>
      <c r="F5278" s="3">
        <v>39052</v>
      </c>
      <c r="G5278" s="2"/>
      <c r="H5278" s="2"/>
      <c r="I5278" s="2"/>
      <c r="J5278" s="2" t="s">
        <v>13904</v>
      </c>
      <c r="K5278" s="2" t="s">
        <v>5657</v>
      </c>
      <c r="L5278" s="82" t="s">
        <v>18773</v>
      </c>
    </row>
    <row r="5279" spans="1:12" ht="84" customHeight="1" x14ac:dyDescent="0.3">
      <c r="A5279" s="2">
        <v>5275</v>
      </c>
      <c r="B5279" s="66" t="s">
        <v>5959</v>
      </c>
      <c r="C5279" s="66" t="s">
        <v>5960</v>
      </c>
      <c r="D5279" s="11">
        <v>75059.37</v>
      </c>
      <c r="E5279" s="11">
        <v>75059.37</v>
      </c>
      <c r="F5279" s="3">
        <v>39052</v>
      </c>
      <c r="G5279" s="2"/>
      <c r="H5279" s="2"/>
      <c r="I5279" s="2"/>
      <c r="J5279" s="2" t="s">
        <v>13904</v>
      </c>
      <c r="K5279" s="2" t="s">
        <v>5657</v>
      </c>
      <c r="L5279" s="82" t="s">
        <v>18773</v>
      </c>
    </row>
    <row r="5280" spans="1:12" ht="84" customHeight="1" x14ac:dyDescent="0.3">
      <c r="A5280" s="2">
        <v>5276</v>
      </c>
      <c r="B5280" s="66" t="s">
        <v>5961</v>
      </c>
      <c r="C5280" s="66" t="s">
        <v>5962</v>
      </c>
      <c r="D5280" s="11">
        <v>60000</v>
      </c>
      <c r="E5280" s="11">
        <v>16428.669999999998</v>
      </c>
      <c r="F5280" s="3">
        <v>41978</v>
      </c>
      <c r="G5280" s="2"/>
      <c r="H5280" s="2"/>
      <c r="I5280" s="2"/>
      <c r="J5280" s="2" t="s">
        <v>13904</v>
      </c>
      <c r="K5280" s="2" t="s">
        <v>5657</v>
      </c>
      <c r="L5280" s="82" t="s">
        <v>18774</v>
      </c>
    </row>
    <row r="5281" spans="1:15" ht="84" customHeight="1" x14ac:dyDescent="0.3">
      <c r="A5281" s="2">
        <v>5277</v>
      </c>
      <c r="B5281" s="66" t="s">
        <v>5961</v>
      </c>
      <c r="C5281" s="66" t="s">
        <v>5963</v>
      </c>
      <c r="D5281" s="11">
        <v>60000</v>
      </c>
      <c r="E5281" s="11">
        <v>16428.669999999998</v>
      </c>
      <c r="F5281" s="3">
        <v>41978</v>
      </c>
      <c r="G5281" s="2"/>
      <c r="H5281" s="2"/>
      <c r="I5281" s="2"/>
      <c r="J5281" s="2" t="s">
        <v>13904</v>
      </c>
      <c r="K5281" s="2" t="s">
        <v>5657</v>
      </c>
      <c r="L5281" s="82" t="s">
        <v>18774</v>
      </c>
    </row>
    <row r="5282" spans="1:15" ht="84" customHeight="1" x14ac:dyDescent="0.3">
      <c r="A5282" s="2">
        <v>5278</v>
      </c>
      <c r="B5282" s="66" t="s">
        <v>5961</v>
      </c>
      <c r="C5282" s="66" t="s">
        <v>5964</v>
      </c>
      <c r="D5282" s="11">
        <v>60000</v>
      </c>
      <c r="E5282" s="11">
        <v>16428.669999999998</v>
      </c>
      <c r="F5282" s="3">
        <v>41978</v>
      </c>
      <c r="G5282" s="2"/>
      <c r="H5282" s="2"/>
      <c r="I5282" s="2"/>
      <c r="J5282" s="2" t="s">
        <v>13904</v>
      </c>
      <c r="K5282" s="2" t="s">
        <v>5657</v>
      </c>
      <c r="L5282" s="82" t="s">
        <v>18774</v>
      </c>
    </row>
    <row r="5283" spans="1:15" ht="84" customHeight="1" x14ac:dyDescent="0.3">
      <c r="A5283" s="2">
        <v>5279</v>
      </c>
      <c r="B5283" s="66" t="s">
        <v>5961</v>
      </c>
      <c r="C5283" s="66" t="s">
        <v>5965</v>
      </c>
      <c r="D5283" s="11">
        <v>60000</v>
      </c>
      <c r="E5283" s="11">
        <v>16428.669999999998</v>
      </c>
      <c r="F5283" s="3">
        <v>41978</v>
      </c>
      <c r="G5283" s="2"/>
      <c r="H5283" s="2"/>
      <c r="I5283" s="2"/>
      <c r="J5283" s="2" t="s">
        <v>13904</v>
      </c>
      <c r="K5283" s="2" t="s">
        <v>5657</v>
      </c>
      <c r="L5283" s="82" t="s">
        <v>18774</v>
      </c>
    </row>
    <row r="5284" spans="1:15" ht="84" customHeight="1" x14ac:dyDescent="0.3">
      <c r="A5284" s="2">
        <v>5280</v>
      </c>
      <c r="B5284" s="66" t="s">
        <v>5961</v>
      </c>
      <c r="C5284" s="66" t="s">
        <v>5966</v>
      </c>
      <c r="D5284" s="11">
        <v>60000</v>
      </c>
      <c r="E5284" s="11">
        <v>16428.669999999998</v>
      </c>
      <c r="F5284" s="3">
        <v>41978</v>
      </c>
      <c r="G5284" s="2"/>
      <c r="H5284" s="2"/>
      <c r="I5284" s="2"/>
      <c r="J5284" s="2" t="s">
        <v>13904</v>
      </c>
      <c r="K5284" s="2" t="s">
        <v>5657</v>
      </c>
      <c r="L5284" s="82" t="s">
        <v>18774</v>
      </c>
    </row>
    <row r="5285" spans="1:15" ht="84" customHeight="1" x14ac:dyDescent="0.3">
      <c r="A5285" s="2">
        <v>5281</v>
      </c>
      <c r="B5285" s="66" t="s">
        <v>5961</v>
      </c>
      <c r="C5285" s="66" t="s">
        <v>5967</v>
      </c>
      <c r="D5285" s="11">
        <v>60000</v>
      </c>
      <c r="E5285" s="11">
        <v>16428.669999999998</v>
      </c>
      <c r="F5285" s="3">
        <v>41978</v>
      </c>
      <c r="G5285" s="2"/>
      <c r="H5285" s="2"/>
      <c r="I5285" s="2"/>
      <c r="J5285" s="2" t="s">
        <v>13904</v>
      </c>
      <c r="K5285" s="2" t="s">
        <v>5657</v>
      </c>
      <c r="L5285" s="82" t="s">
        <v>18774</v>
      </c>
    </row>
    <row r="5286" spans="1:15" ht="84" customHeight="1" x14ac:dyDescent="0.3">
      <c r="A5286" s="2">
        <v>5282</v>
      </c>
      <c r="B5286" s="66" t="s">
        <v>5968</v>
      </c>
      <c r="C5286" s="66" t="s">
        <v>5969</v>
      </c>
      <c r="D5286" s="11">
        <v>382522</v>
      </c>
      <c r="E5286" s="11">
        <v>104738.09</v>
      </c>
      <c r="F5286" s="3">
        <v>41978</v>
      </c>
      <c r="G5286" s="2"/>
      <c r="H5286" s="2"/>
      <c r="I5286" s="2"/>
      <c r="J5286" s="2" t="s">
        <v>13904</v>
      </c>
      <c r="K5286" s="2" t="s">
        <v>5657</v>
      </c>
      <c r="L5286" s="82" t="s">
        <v>18774</v>
      </c>
    </row>
    <row r="5287" spans="1:15" ht="84" customHeight="1" x14ac:dyDescent="0.3">
      <c r="A5287" s="2">
        <v>5283</v>
      </c>
      <c r="B5287" s="66" t="s">
        <v>1328</v>
      </c>
      <c r="C5287" s="66" t="s">
        <v>5970</v>
      </c>
      <c r="D5287" s="11">
        <v>145129.60000000001</v>
      </c>
      <c r="E5287" s="11">
        <v>145129.60000000001</v>
      </c>
      <c r="F5287" s="3">
        <v>39052</v>
      </c>
      <c r="G5287" s="2"/>
      <c r="H5287" s="2"/>
      <c r="I5287" s="2"/>
      <c r="J5287" s="2" t="s">
        <v>13904</v>
      </c>
      <c r="K5287" s="2" t="s">
        <v>5657</v>
      </c>
      <c r="L5287" s="82" t="s">
        <v>18773</v>
      </c>
    </row>
    <row r="5288" spans="1:15" ht="84" customHeight="1" x14ac:dyDescent="0.3">
      <c r="A5288" s="2">
        <v>5284</v>
      </c>
      <c r="B5288" s="66" t="s">
        <v>5688</v>
      </c>
      <c r="C5288" s="66" t="s">
        <v>5971</v>
      </c>
      <c r="D5288" s="11">
        <v>62946.63</v>
      </c>
      <c r="E5288" s="11">
        <v>62946.63</v>
      </c>
      <c r="F5288" s="3">
        <v>38718</v>
      </c>
      <c r="G5288" s="2"/>
      <c r="H5288" s="2"/>
      <c r="I5288" s="2"/>
      <c r="J5288" s="2" t="s">
        <v>13904</v>
      </c>
      <c r="K5288" s="2" t="s">
        <v>5657</v>
      </c>
      <c r="L5288" s="82" t="s">
        <v>18773</v>
      </c>
    </row>
    <row r="5289" spans="1:15" ht="84" customHeight="1" x14ac:dyDescent="0.3">
      <c r="A5289" s="2">
        <v>5285</v>
      </c>
      <c r="B5289" s="66" t="s">
        <v>5972</v>
      </c>
      <c r="C5289" s="66" t="s">
        <v>5973</v>
      </c>
      <c r="D5289" s="11">
        <v>48356.160000000003</v>
      </c>
      <c r="E5289" s="11">
        <v>48356.160000000003</v>
      </c>
      <c r="F5289" s="3">
        <v>39052</v>
      </c>
      <c r="G5289" s="2"/>
      <c r="H5289" s="3">
        <v>43053</v>
      </c>
      <c r="I5289" s="2" t="s">
        <v>19506</v>
      </c>
      <c r="J5289" s="2" t="s">
        <v>13904</v>
      </c>
      <c r="K5289" s="2" t="s">
        <v>5657</v>
      </c>
      <c r="L5289" s="82" t="s">
        <v>19512</v>
      </c>
    </row>
    <row r="5290" spans="1:15" s="19" customFormat="1" ht="84" customHeight="1" x14ac:dyDescent="0.3">
      <c r="A5290" s="2">
        <v>5286</v>
      </c>
      <c r="B5290" s="66" t="s">
        <v>5974</v>
      </c>
      <c r="C5290" s="66" t="s">
        <v>5975</v>
      </c>
      <c r="D5290" s="11">
        <v>48356.15</v>
      </c>
      <c r="E5290" s="11">
        <v>48356.15</v>
      </c>
      <c r="F5290" s="3">
        <v>39052</v>
      </c>
      <c r="G5290" s="2"/>
      <c r="H5290" s="3">
        <v>43053</v>
      </c>
      <c r="I5290" s="2" t="s">
        <v>19506</v>
      </c>
      <c r="J5290" s="2" t="s">
        <v>13904</v>
      </c>
      <c r="K5290" s="2" t="s">
        <v>5657</v>
      </c>
      <c r="L5290" s="82" t="s">
        <v>19512</v>
      </c>
      <c r="M5290" s="16"/>
      <c r="N5290" s="16"/>
      <c r="O5290" s="16"/>
    </row>
    <row r="5291" spans="1:15" ht="84" customHeight="1" x14ac:dyDescent="0.3">
      <c r="A5291" s="2">
        <v>5287</v>
      </c>
      <c r="B5291" s="66" t="s">
        <v>5976</v>
      </c>
      <c r="C5291" s="66" t="s">
        <v>5977</v>
      </c>
      <c r="D5291" s="11">
        <v>48356.160000000003</v>
      </c>
      <c r="E5291" s="11">
        <v>48356.160000000003</v>
      </c>
      <c r="F5291" s="3">
        <v>39052</v>
      </c>
      <c r="G5291" s="2"/>
      <c r="H5291" s="3">
        <v>43053</v>
      </c>
      <c r="I5291" s="2" t="s">
        <v>19506</v>
      </c>
      <c r="J5291" s="2" t="s">
        <v>13904</v>
      </c>
      <c r="K5291" s="2" t="s">
        <v>5657</v>
      </c>
      <c r="L5291" s="82" t="s">
        <v>19512</v>
      </c>
    </row>
    <row r="5292" spans="1:15" ht="84" customHeight="1" x14ac:dyDescent="0.3">
      <c r="A5292" s="2">
        <v>5288</v>
      </c>
      <c r="B5292" s="66" t="s">
        <v>5976</v>
      </c>
      <c r="C5292" s="66" t="s">
        <v>5978</v>
      </c>
      <c r="D5292" s="11">
        <v>48356.160000000003</v>
      </c>
      <c r="E5292" s="11">
        <v>48356.160000000003</v>
      </c>
      <c r="F5292" s="3">
        <v>39052</v>
      </c>
      <c r="G5292" s="2"/>
      <c r="H5292" s="3">
        <v>43053</v>
      </c>
      <c r="I5292" s="2" t="s">
        <v>19506</v>
      </c>
      <c r="J5292" s="2" t="s">
        <v>13904</v>
      </c>
      <c r="K5292" s="2" t="s">
        <v>5657</v>
      </c>
      <c r="L5292" s="82" t="s">
        <v>19512</v>
      </c>
    </row>
    <row r="5293" spans="1:15" ht="84" customHeight="1" x14ac:dyDescent="0.3">
      <c r="A5293" s="2">
        <v>5289</v>
      </c>
      <c r="B5293" s="66" t="s">
        <v>5979</v>
      </c>
      <c r="C5293" s="66" t="s">
        <v>5980</v>
      </c>
      <c r="D5293" s="11">
        <v>24834.6</v>
      </c>
      <c r="E5293" s="11">
        <v>21132.959999999999</v>
      </c>
      <c r="F5293" s="3">
        <v>39052</v>
      </c>
      <c r="G5293" s="2"/>
      <c r="H5293" s="3">
        <v>43053</v>
      </c>
      <c r="I5293" s="2" t="s">
        <v>19506</v>
      </c>
      <c r="J5293" s="2" t="s">
        <v>13904</v>
      </c>
      <c r="K5293" s="2" t="s">
        <v>5657</v>
      </c>
      <c r="L5293" s="82" t="s">
        <v>19512</v>
      </c>
    </row>
    <row r="5294" spans="1:15" ht="84" customHeight="1" x14ac:dyDescent="0.3">
      <c r="A5294" s="2">
        <v>5290</v>
      </c>
      <c r="B5294" s="66" t="s">
        <v>5981</v>
      </c>
      <c r="C5294" s="66" t="s">
        <v>5982</v>
      </c>
      <c r="D5294" s="11">
        <v>623713.68000000005</v>
      </c>
      <c r="E5294" s="11">
        <v>623713.68000000005</v>
      </c>
      <c r="F5294" s="3">
        <v>39052</v>
      </c>
      <c r="G5294" s="2"/>
      <c r="H5294" s="2"/>
      <c r="I5294" s="2"/>
      <c r="J5294" s="2" t="s">
        <v>13904</v>
      </c>
      <c r="K5294" s="2" t="s">
        <v>5657</v>
      </c>
      <c r="L5294" s="82" t="s">
        <v>18773</v>
      </c>
    </row>
    <row r="5295" spans="1:15" ht="84" customHeight="1" x14ac:dyDescent="0.3">
      <c r="A5295" s="2">
        <v>5291</v>
      </c>
      <c r="B5295" s="66" t="s">
        <v>5983</v>
      </c>
      <c r="C5295" s="66" t="s">
        <v>5984</v>
      </c>
      <c r="D5295" s="11">
        <v>22346.16</v>
      </c>
      <c r="E5295" s="11">
        <v>22346.16</v>
      </c>
      <c r="F5295" s="3">
        <v>39052</v>
      </c>
      <c r="G5295" s="2"/>
      <c r="H5295" s="3">
        <v>43053</v>
      </c>
      <c r="I5295" s="2" t="s">
        <v>19506</v>
      </c>
      <c r="J5295" s="2" t="s">
        <v>13904</v>
      </c>
      <c r="K5295" s="2" t="s">
        <v>5657</v>
      </c>
      <c r="L5295" s="82" t="s">
        <v>19512</v>
      </c>
    </row>
    <row r="5296" spans="1:15" ht="84" customHeight="1" x14ac:dyDescent="0.3">
      <c r="A5296" s="2">
        <v>5292</v>
      </c>
      <c r="B5296" s="66" t="s">
        <v>5983</v>
      </c>
      <c r="C5296" s="66" t="s">
        <v>5985</v>
      </c>
      <c r="D5296" s="11">
        <v>22346.16</v>
      </c>
      <c r="E5296" s="11">
        <v>22346.16</v>
      </c>
      <c r="F5296" s="3">
        <v>39052</v>
      </c>
      <c r="G5296" s="2"/>
      <c r="H5296" s="3">
        <v>43053</v>
      </c>
      <c r="I5296" s="2" t="s">
        <v>19506</v>
      </c>
      <c r="J5296" s="2" t="s">
        <v>13904</v>
      </c>
      <c r="K5296" s="2" t="s">
        <v>5657</v>
      </c>
      <c r="L5296" s="82" t="s">
        <v>19512</v>
      </c>
    </row>
    <row r="5297" spans="1:12" ht="84" customHeight="1" x14ac:dyDescent="0.3">
      <c r="A5297" s="2">
        <v>5293</v>
      </c>
      <c r="B5297" s="66" t="s">
        <v>5986</v>
      </c>
      <c r="C5297" s="66" t="s">
        <v>3218</v>
      </c>
      <c r="D5297" s="11">
        <v>22346.16</v>
      </c>
      <c r="E5297" s="11">
        <v>22346.16</v>
      </c>
      <c r="F5297" s="3">
        <v>39052</v>
      </c>
      <c r="G5297" s="2"/>
      <c r="H5297" s="3">
        <v>43053</v>
      </c>
      <c r="I5297" s="2" t="s">
        <v>19506</v>
      </c>
      <c r="J5297" s="2" t="s">
        <v>13904</v>
      </c>
      <c r="K5297" s="2" t="s">
        <v>5657</v>
      </c>
      <c r="L5297" s="82" t="s">
        <v>19512</v>
      </c>
    </row>
    <row r="5298" spans="1:12" ht="84" customHeight="1" x14ac:dyDescent="0.3">
      <c r="A5298" s="2">
        <v>5294</v>
      </c>
      <c r="B5298" s="66" t="s">
        <v>5987</v>
      </c>
      <c r="C5298" s="66" t="s">
        <v>3216</v>
      </c>
      <c r="D5298" s="11">
        <v>22346.16</v>
      </c>
      <c r="E5298" s="11">
        <v>22346.16</v>
      </c>
      <c r="F5298" s="3">
        <v>39052</v>
      </c>
      <c r="G5298" s="2"/>
      <c r="H5298" s="3">
        <v>43053</v>
      </c>
      <c r="I5298" s="2" t="s">
        <v>19506</v>
      </c>
      <c r="J5298" s="2" t="s">
        <v>13904</v>
      </c>
      <c r="K5298" s="2" t="s">
        <v>5657</v>
      </c>
      <c r="L5298" s="82" t="s">
        <v>19512</v>
      </c>
    </row>
    <row r="5299" spans="1:12" ht="84" customHeight="1" x14ac:dyDescent="0.3">
      <c r="A5299" s="2">
        <v>5295</v>
      </c>
      <c r="B5299" s="66" t="s">
        <v>5987</v>
      </c>
      <c r="C5299" s="66" t="s">
        <v>5988</v>
      </c>
      <c r="D5299" s="11">
        <v>22346.16</v>
      </c>
      <c r="E5299" s="11">
        <v>22346.16</v>
      </c>
      <c r="F5299" s="3">
        <v>39052</v>
      </c>
      <c r="G5299" s="2"/>
      <c r="H5299" s="3">
        <v>43053</v>
      </c>
      <c r="I5299" s="2" t="s">
        <v>19506</v>
      </c>
      <c r="J5299" s="2" t="s">
        <v>13904</v>
      </c>
      <c r="K5299" s="2" t="s">
        <v>5657</v>
      </c>
      <c r="L5299" s="82" t="s">
        <v>19512</v>
      </c>
    </row>
    <row r="5300" spans="1:12" ht="84" customHeight="1" x14ac:dyDescent="0.3">
      <c r="A5300" s="2">
        <v>5296</v>
      </c>
      <c r="B5300" s="66" t="s">
        <v>5987</v>
      </c>
      <c r="C5300" s="66" t="s">
        <v>5989</v>
      </c>
      <c r="D5300" s="11">
        <v>22346.16</v>
      </c>
      <c r="E5300" s="11">
        <v>22346.16</v>
      </c>
      <c r="F5300" s="3">
        <v>39052</v>
      </c>
      <c r="G5300" s="2"/>
      <c r="H5300" s="3">
        <v>43053</v>
      </c>
      <c r="I5300" s="2" t="s">
        <v>19506</v>
      </c>
      <c r="J5300" s="2" t="s">
        <v>13904</v>
      </c>
      <c r="K5300" s="2" t="s">
        <v>5657</v>
      </c>
      <c r="L5300" s="82" t="s">
        <v>19512</v>
      </c>
    </row>
    <row r="5301" spans="1:12" ht="84" customHeight="1" x14ac:dyDescent="0.3">
      <c r="A5301" s="2">
        <v>5297</v>
      </c>
      <c r="B5301" s="66" t="s">
        <v>5987</v>
      </c>
      <c r="C5301" s="66" t="s">
        <v>5990</v>
      </c>
      <c r="D5301" s="11">
        <v>22346.16</v>
      </c>
      <c r="E5301" s="11">
        <v>22346.16</v>
      </c>
      <c r="F5301" s="3">
        <v>39052</v>
      </c>
      <c r="G5301" s="2"/>
      <c r="H5301" s="3">
        <v>43053</v>
      </c>
      <c r="I5301" s="2" t="s">
        <v>19506</v>
      </c>
      <c r="J5301" s="2" t="s">
        <v>13904</v>
      </c>
      <c r="K5301" s="2" t="s">
        <v>5657</v>
      </c>
      <c r="L5301" s="82" t="s">
        <v>19512</v>
      </c>
    </row>
    <row r="5302" spans="1:12" ht="84" customHeight="1" x14ac:dyDescent="0.3">
      <c r="A5302" s="2">
        <v>5298</v>
      </c>
      <c r="B5302" s="66" t="s">
        <v>5987</v>
      </c>
      <c r="C5302" s="66" t="s">
        <v>5991</v>
      </c>
      <c r="D5302" s="11">
        <v>22346.15</v>
      </c>
      <c r="E5302" s="11">
        <v>22346.15</v>
      </c>
      <c r="F5302" s="3">
        <v>39052</v>
      </c>
      <c r="G5302" s="2"/>
      <c r="H5302" s="3">
        <v>43053</v>
      </c>
      <c r="I5302" s="2" t="s">
        <v>19506</v>
      </c>
      <c r="J5302" s="2" t="s">
        <v>13904</v>
      </c>
      <c r="K5302" s="2" t="s">
        <v>5657</v>
      </c>
      <c r="L5302" s="82" t="s">
        <v>19512</v>
      </c>
    </row>
    <row r="5303" spans="1:12" ht="84" customHeight="1" x14ac:dyDescent="0.3">
      <c r="A5303" s="2">
        <v>5299</v>
      </c>
      <c r="B5303" s="66" t="s">
        <v>5992</v>
      </c>
      <c r="C5303" s="66" t="s">
        <v>5993</v>
      </c>
      <c r="D5303" s="11">
        <v>22346.15</v>
      </c>
      <c r="E5303" s="11">
        <v>22346.15</v>
      </c>
      <c r="F5303" s="3">
        <v>39052</v>
      </c>
      <c r="G5303" s="2"/>
      <c r="H5303" s="3">
        <v>43053</v>
      </c>
      <c r="I5303" s="2" t="s">
        <v>19506</v>
      </c>
      <c r="J5303" s="2" t="s">
        <v>13904</v>
      </c>
      <c r="K5303" s="2" t="s">
        <v>5657</v>
      </c>
      <c r="L5303" s="82" t="s">
        <v>19512</v>
      </c>
    </row>
    <row r="5304" spans="1:12" ht="84" customHeight="1" x14ac:dyDescent="0.3">
      <c r="A5304" s="2">
        <v>5300</v>
      </c>
      <c r="B5304" s="66" t="s">
        <v>5994</v>
      </c>
      <c r="C5304" s="66" t="s">
        <v>5995</v>
      </c>
      <c r="D5304" s="11">
        <v>22044.23</v>
      </c>
      <c r="E5304" s="11">
        <v>22044.23</v>
      </c>
      <c r="F5304" s="3">
        <v>39052</v>
      </c>
      <c r="G5304" s="2"/>
      <c r="H5304" s="3">
        <v>43053</v>
      </c>
      <c r="I5304" s="2" t="s">
        <v>19506</v>
      </c>
      <c r="J5304" s="2" t="s">
        <v>13904</v>
      </c>
      <c r="K5304" s="2" t="s">
        <v>5657</v>
      </c>
      <c r="L5304" s="82" t="s">
        <v>19512</v>
      </c>
    </row>
    <row r="5305" spans="1:12" ht="84" customHeight="1" x14ac:dyDescent="0.3">
      <c r="A5305" s="2">
        <v>5301</v>
      </c>
      <c r="B5305" s="66" t="s">
        <v>5996</v>
      </c>
      <c r="C5305" s="66" t="s">
        <v>5997</v>
      </c>
      <c r="D5305" s="11">
        <v>22044.23</v>
      </c>
      <c r="E5305" s="11">
        <v>22044.23</v>
      </c>
      <c r="F5305" s="3">
        <v>39052</v>
      </c>
      <c r="G5305" s="2"/>
      <c r="H5305" s="3">
        <v>43053</v>
      </c>
      <c r="I5305" s="2" t="s">
        <v>19506</v>
      </c>
      <c r="J5305" s="2" t="s">
        <v>13904</v>
      </c>
      <c r="K5305" s="2" t="s">
        <v>5657</v>
      </c>
      <c r="L5305" s="82" t="s">
        <v>19512</v>
      </c>
    </row>
    <row r="5306" spans="1:12" ht="84" customHeight="1" x14ac:dyDescent="0.3">
      <c r="A5306" s="2">
        <v>5302</v>
      </c>
      <c r="B5306" s="66" t="s">
        <v>5996</v>
      </c>
      <c r="C5306" s="66" t="s">
        <v>5998</v>
      </c>
      <c r="D5306" s="11">
        <v>22044.23</v>
      </c>
      <c r="E5306" s="11">
        <v>22044.23</v>
      </c>
      <c r="F5306" s="3">
        <v>39052</v>
      </c>
      <c r="G5306" s="2"/>
      <c r="H5306" s="3">
        <v>43053</v>
      </c>
      <c r="I5306" s="2" t="s">
        <v>19506</v>
      </c>
      <c r="J5306" s="2" t="s">
        <v>13904</v>
      </c>
      <c r="K5306" s="2" t="s">
        <v>5657</v>
      </c>
      <c r="L5306" s="82" t="s">
        <v>19512</v>
      </c>
    </row>
    <row r="5307" spans="1:12" ht="84" customHeight="1" x14ac:dyDescent="0.3">
      <c r="A5307" s="2">
        <v>5303</v>
      </c>
      <c r="B5307" s="66" t="s">
        <v>5996</v>
      </c>
      <c r="C5307" s="66" t="s">
        <v>5999</v>
      </c>
      <c r="D5307" s="11">
        <v>22044.23</v>
      </c>
      <c r="E5307" s="11">
        <v>22044.23</v>
      </c>
      <c r="F5307" s="3">
        <v>39052</v>
      </c>
      <c r="G5307" s="2"/>
      <c r="H5307" s="3">
        <v>43053</v>
      </c>
      <c r="I5307" s="2" t="s">
        <v>19506</v>
      </c>
      <c r="J5307" s="2" t="s">
        <v>13904</v>
      </c>
      <c r="K5307" s="2" t="s">
        <v>5657</v>
      </c>
      <c r="L5307" s="82" t="s">
        <v>19512</v>
      </c>
    </row>
    <row r="5308" spans="1:12" ht="84" customHeight="1" x14ac:dyDescent="0.3">
      <c r="A5308" s="2">
        <v>5304</v>
      </c>
      <c r="B5308" s="66" t="s">
        <v>5996</v>
      </c>
      <c r="C5308" s="66" t="s">
        <v>3511</v>
      </c>
      <c r="D5308" s="11">
        <v>22044.25</v>
      </c>
      <c r="E5308" s="11">
        <v>22044.25</v>
      </c>
      <c r="F5308" s="3">
        <v>39052</v>
      </c>
      <c r="G5308" s="2"/>
      <c r="H5308" s="3">
        <v>43053</v>
      </c>
      <c r="I5308" s="2" t="s">
        <v>19506</v>
      </c>
      <c r="J5308" s="2" t="s">
        <v>13904</v>
      </c>
      <c r="K5308" s="2" t="s">
        <v>5657</v>
      </c>
      <c r="L5308" s="82" t="s">
        <v>19512</v>
      </c>
    </row>
    <row r="5309" spans="1:12" ht="84" customHeight="1" x14ac:dyDescent="0.3">
      <c r="A5309" s="2">
        <v>5305</v>
      </c>
      <c r="B5309" s="66" t="s">
        <v>5996</v>
      </c>
      <c r="C5309" s="66" t="s">
        <v>3549</v>
      </c>
      <c r="D5309" s="11">
        <v>22044.23</v>
      </c>
      <c r="E5309" s="11">
        <v>22044.23</v>
      </c>
      <c r="F5309" s="3">
        <v>39052</v>
      </c>
      <c r="G5309" s="2"/>
      <c r="H5309" s="3">
        <v>43053</v>
      </c>
      <c r="I5309" s="2" t="s">
        <v>19506</v>
      </c>
      <c r="J5309" s="2" t="s">
        <v>13904</v>
      </c>
      <c r="K5309" s="2" t="s">
        <v>5657</v>
      </c>
      <c r="L5309" s="82" t="s">
        <v>19512</v>
      </c>
    </row>
    <row r="5310" spans="1:12" ht="84" customHeight="1" x14ac:dyDescent="0.3">
      <c r="A5310" s="2">
        <v>5306</v>
      </c>
      <c r="B5310" s="66" t="s">
        <v>6000</v>
      </c>
      <c r="C5310" s="66" t="s">
        <v>6001</v>
      </c>
      <c r="D5310" s="11">
        <v>24846.18</v>
      </c>
      <c r="E5310" s="11">
        <v>24846.18</v>
      </c>
      <c r="F5310" s="3">
        <v>39052</v>
      </c>
      <c r="G5310" s="2"/>
      <c r="H5310" s="3">
        <v>43053</v>
      </c>
      <c r="I5310" s="2" t="s">
        <v>19506</v>
      </c>
      <c r="J5310" s="2" t="s">
        <v>13904</v>
      </c>
      <c r="K5310" s="2" t="s">
        <v>5657</v>
      </c>
      <c r="L5310" s="82" t="s">
        <v>19512</v>
      </c>
    </row>
    <row r="5311" spans="1:12" ht="84" customHeight="1" x14ac:dyDescent="0.3">
      <c r="A5311" s="2">
        <v>5307</v>
      </c>
      <c r="B5311" s="66" t="s">
        <v>6002</v>
      </c>
      <c r="C5311" s="66" t="s">
        <v>6003</v>
      </c>
      <c r="D5311" s="11">
        <v>21970</v>
      </c>
      <c r="E5311" s="11">
        <v>7479.12</v>
      </c>
      <c r="F5311" s="3">
        <v>39052</v>
      </c>
      <c r="G5311" s="2"/>
      <c r="H5311" s="3">
        <v>43053</v>
      </c>
      <c r="I5311" s="2" t="s">
        <v>19506</v>
      </c>
      <c r="J5311" s="2" t="s">
        <v>13904</v>
      </c>
      <c r="K5311" s="2" t="s">
        <v>5657</v>
      </c>
      <c r="L5311" s="82" t="s">
        <v>19512</v>
      </c>
    </row>
    <row r="5312" spans="1:12" ht="84" customHeight="1" x14ac:dyDescent="0.3">
      <c r="A5312" s="2">
        <v>5308</v>
      </c>
      <c r="B5312" s="66" t="s">
        <v>6004</v>
      </c>
      <c r="C5312" s="66" t="s">
        <v>6005</v>
      </c>
      <c r="D5312" s="11">
        <v>40392</v>
      </c>
      <c r="E5312" s="11">
        <v>40392</v>
      </c>
      <c r="F5312" s="3">
        <v>39052</v>
      </c>
      <c r="G5312" s="2"/>
      <c r="H5312" s="3">
        <v>43053</v>
      </c>
      <c r="I5312" s="2" t="s">
        <v>19506</v>
      </c>
      <c r="J5312" s="2" t="s">
        <v>13904</v>
      </c>
      <c r="K5312" s="2" t="s">
        <v>5657</v>
      </c>
      <c r="L5312" s="82" t="s">
        <v>19512</v>
      </c>
    </row>
    <row r="5313" spans="1:12" ht="84" customHeight="1" x14ac:dyDescent="0.3">
      <c r="A5313" s="2">
        <v>5309</v>
      </c>
      <c r="B5313" s="66" t="s">
        <v>6006</v>
      </c>
      <c r="C5313" s="66" t="s">
        <v>6007</v>
      </c>
      <c r="D5313" s="11">
        <v>40392</v>
      </c>
      <c r="E5313" s="11">
        <v>40392</v>
      </c>
      <c r="F5313" s="3">
        <v>39052</v>
      </c>
      <c r="G5313" s="2"/>
      <c r="H5313" s="3">
        <v>43053</v>
      </c>
      <c r="I5313" s="2" t="s">
        <v>19506</v>
      </c>
      <c r="J5313" s="2" t="s">
        <v>13904</v>
      </c>
      <c r="K5313" s="2" t="s">
        <v>5657</v>
      </c>
      <c r="L5313" s="82" t="s">
        <v>19512</v>
      </c>
    </row>
    <row r="5314" spans="1:12" ht="84" customHeight="1" x14ac:dyDescent="0.3">
      <c r="A5314" s="2">
        <v>5310</v>
      </c>
      <c r="B5314" s="66" t="s">
        <v>6006</v>
      </c>
      <c r="C5314" s="66" t="s">
        <v>6008</v>
      </c>
      <c r="D5314" s="11">
        <v>40392</v>
      </c>
      <c r="E5314" s="11">
        <v>40392</v>
      </c>
      <c r="F5314" s="3">
        <v>39052</v>
      </c>
      <c r="G5314" s="2"/>
      <c r="H5314" s="3">
        <v>43053</v>
      </c>
      <c r="I5314" s="2" t="s">
        <v>19506</v>
      </c>
      <c r="J5314" s="2" t="s">
        <v>13904</v>
      </c>
      <c r="K5314" s="2" t="s">
        <v>5657</v>
      </c>
      <c r="L5314" s="82" t="s">
        <v>19512</v>
      </c>
    </row>
    <row r="5315" spans="1:12" ht="84" customHeight="1" x14ac:dyDescent="0.3">
      <c r="A5315" s="2">
        <v>5311</v>
      </c>
      <c r="B5315" s="66" t="s">
        <v>5688</v>
      </c>
      <c r="C5315" s="66" t="s">
        <v>6009</v>
      </c>
      <c r="D5315" s="11">
        <v>56801.37</v>
      </c>
      <c r="E5315" s="11">
        <v>56801.37</v>
      </c>
      <c r="F5315" s="3">
        <v>39052</v>
      </c>
      <c r="G5315" s="2"/>
      <c r="H5315" s="2"/>
      <c r="I5315" s="2"/>
      <c r="J5315" s="2" t="s">
        <v>13904</v>
      </c>
      <c r="K5315" s="2" t="s">
        <v>5657</v>
      </c>
      <c r="L5315" s="82" t="s">
        <v>18773</v>
      </c>
    </row>
    <row r="5316" spans="1:12" ht="84" customHeight="1" x14ac:dyDescent="0.3">
      <c r="A5316" s="2">
        <v>5312</v>
      </c>
      <c r="B5316" s="66" t="s">
        <v>6010</v>
      </c>
      <c r="C5316" s="66" t="s">
        <v>6011</v>
      </c>
      <c r="D5316" s="11">
        <v>56777.93</v>
      </c>
      <c r="E5316" s="11">
        <v>56777.93</v>
      </c>
      <c r="F5316" s="3">
        <v>39052</v>
      </c>
      <c r="G5316" s="2"/>
      <c r="H5316" s="2"/>
      <c r="I5316" s="2"/>
      <c r="J5316" s="2" t="s">
        <v>13904</v>
      </c>
      <c r="K5316" s="2" t="s">
        <v>5657</v>
      </c>
      <c r="L5316" s="82" t="s">
        <v>18773</v>
      </c>
    </row>
    <row r="5317" spans="1:12" ht="84" customHeight="1" x14ac:dyDescent="0.3">
      <c r="A5317" s="2">
        <v>5313</v>
      </c>
      <c r="B5317" s="66" t="s">
        <v>6012</v>
      </c>
      <c r="C5317" s="66" t="s">
        <v>6013</v>
      </c>
      <c r="D5317" s="11">
        <v>563054.52</v>
      </c>
      <c r="E5317" s="11">
        <v>563054.52</v>
      </c>
      <c r="F5317" s="3">
        <v>39052</v>
      </c>
      <c r="G5317" s="2"/>
      <c r="H5317" s="2"/>
      <c r="I5317" s="2"/>
      <c r="J5317" s="2" t="s">
        <v>13904</v>
      </c>
      <c r="K5317" s="2" t="s">
        <v>5657</v>
      </c>
      <c r="L5317" s="82" t="s">
        <v>18773</v>
      </c>
    </row>
    <row r="5318" spans="1:12" ht="84" customHeight="1" x14ac:dyDescent="0.3">
      <c r="A5318" s="2">
        <v>5314</v>
      </c>
      <c r="B5318" s="66" t="s">
        <v>6014</v>
      </c>
      <c r="C5318" s="66" t="s">
        <v>6015</v>
      </c>
      <c r="D5318" s="11">
        <v>39193.26</v>
      </c>
      <c r="E5318" s="11">
        <v>33351.550000000003</v>
      </c>
      <c r="F5318" s="3">
        <v>39052</v>
      </c>
      <c r="G5318" s="2"/>
      <c r="H5318" s="3">
        <v>43053</v>
      </c>
      <c r="I5318" s="2" t="s">
        <v>19506</v>
      </c>
      <c r="J5318" s="2" t="s">
        <v>13904</v>
      </c>
      <c r="K5318" s="2" t="s">
        <v>5657</v>
      </c>
      <c r="L5318" s="82" t="s">
        <v>19512</v>
      </c>
    </row>
    <row r="5319" spans="1:12" ht="84" customHeight="1" x14ac:dyDescent="0.3">
      <c r="A5319" s="2">
        <v>5315</v>
      </c>
      <c r="B5319" s="66" t="s">
        <v>6016</v>
      </c>
      <c r="C5319" s="66" t="s">
        <v>6017</v>
      </c>
      <c r="D5319" s="11">
        <v>238017.49</v>
      </c>
      <c r="E5319" s="11">
        <v>236184.35</v>
      </c>
      <c r="F5319" s="3">
        <v>39052</v>
      </c>
      <c r="G5319" s="2"/>
      <c r="H5319" s="2"/>
      <c r="I5319" s="2"/>
      <c r="J5319" s="2" t="s">
        <v>13904</v>
      </c>
      <c r="K5319" s="2" t="s">
        <v>5657</v>
      </c>
      <c r="L5319" s="82" t="s">
        <v>18773</v>
      </c>
    </row>
    <row r="5320" spans="1:12" ht="84" customHeight="1" x14ac:dyDescent="0.3">
      <c r="A5320" s="2">
        <v>5316</v>
      </c>
      <c r="B5320" s="66" t="s">
        <v>6018</v>
      </c>
      <c r="C5320" s="66" t="s">
        <v>6019</v>
      </c>
      <c r="D5320" s="11">
        <v>57482.34</v>
      </c>
      <c r="E5320" s="11">
        <v>57003.37</v>
      </c>
      <c r="F5320" s="3">
        <v>39052</v>
      </c>
      <c r="G5320" s="2"/>
      <c r="H5320" s="2"/>
      <c r="I5320" s="2"/>
      <c r="J5320" s="2" t="s">
        <v>13904</v>
      </c>
      <c r="K5320" s="2" t="s">
        <v>5657</v>
      </c>
      <c r="L5320" s="82" t="s">
        <v>18773</v>
      </c>
    </row>
    <row r="5321" spans="1:12" ht="84" customHeight="1" x14ac:dyDescent="0.3">
      <c r="A5321" s="2">
        <v>5317</v>
      </c>
      <c r="B5321" s="66" t="s">
        <v>6020</v>
      </c>
      <c r="C5321" s="66" t="s">
        <v>6021</v>
      </c>
      <c r="D5321" s="11">
        <v>99383.94</v>
      </c>
      <c r="E5321" s="11">
        <v>99383.94</v>
      </c>
      <c r="F5321" s="3">
        <v>39052</v>
      </c>
      <c r="G5321" s="2"/>
      <c r="H5321" s="2"/>
      <c r="I5321" s="2"/>
      <c r="J5321" s="2" t="s">
        <v>13904</v>
      </c>
      <c r="K5321" s="2" t="s">
        <v>5657</v>
      </c>
      <c r="L5321" s="82" t="s">
        <v>18773</v>
      </c>
    </row>
    <row r="5322" spans="1:12" ht="84" customHeight="1" x14ac:dyDescent="0.3">
      <c r="A5322" s="2">
        <v>5318</v>
      </c>
      <c r="B5322" s="66" t="s">
        <v>6022</v>
      </c>
      <c r="C5322" s="66" t="s">
        <v>6023</v>
      </c>
      <c r="D5322" s="11">
        <v>26622</v>
      </c>
      <c r="E5322" s="11">
        <v>26622</v>
      </c>
      <c r="F5322" s="3">
        <v>39052</v>
      </c>
      <c r="G5322" s="2"/>
      <c r="H5322" s="3">
        <v>43053</v>
      </c>
      <c r="I5322" s="2" t="s">
        <v>19506</v>
      </c>
      <c r="J5322" s="2" t="s">
        <v>13904</v>
      </c>
      <c r="K5322" s="2" t="s">
        <v>5657</v>
      </c>
      <c r="L5322" s="82" t="s">
        <v>19512</v>
      </c>
    </row>
    <row r="5323" spans="1:12" ht="84" customHeight="1" x14ac:dyDescent="0.3">
      <c r="A5323" s="2">
        <v>5319</v>
      </c>
      <c r="B5323" s="66" t="s">
        <v>6024</v>
      </c>
      <c r="C5323" s="66" t="s">
        <v>6025</v>
      </c>
      <c r="D5323" s="11">
        <v>26622</v>
      </c>
      <c r="E5323" s="11">
        <v>26622</v>
      </c>
      <c r="F5323" s="3">
        <v>39052</v>
      </c>
      <c r="G5323" s="2"/>
      <c r="H5323" s="3">
        <v>43053</v>
      </c>
      <c r="I5323" s="2" t="s">
        <v>19506</v>
      </c>
      <c r="J5323" s="2" t="s">
        <v>13904</v>
      </c>
      <c r="K5323" s="2" t="s">
        <v>5657</v>
      </c>
      <c r="L5323" s="82" t="s">
        <v>19512</v>
      </c>
    </row>
    <row r="5324" spans="1:12" ht="84" customHeight="1" x14ac:dyDescent="0.3">
      <c r="A5324" s="2">
        <v>5320</v>
      </c>
      <c r="B5324" s="66" t="s">
        <v>6024</v>
      </c>
      <c r="C5324" s="66" t="s">
        <v>6026</v>
      </c>
      <c r="D5324" s="11">
        <v>26622</v>
      </c>
      <c r="E5324" s="11">
        <v>26622</v>
      </c>
      <c r="F5324" s="3">
        <v>39052</v>
      </c>
      <c r="G5324" s="2"/>
      <c r="H5324" s="3">
        <v>43053</v>
      </c>
      <c r="I5324" s="2" t="s">
        <v>19506</v>
      </c>
      <c r="J5324" s="2" t="s">
        <v>13904</v>
      </c>
      <c r="K5324" s="2" t="s">
        <v>5657</v>
      </c>
      <c r="L5324" s="82" t="s">
        <v>19512</v>
      </c>
    </row>
    <row r="5325" spans="1:12" ht="84" customHeight="1" x14ac:dyDescent="0.3">
      <c r="A5325" s="2">
        <v>5321</v>
      </c>
      <c r="B5325" s="66" t="s">
        <v>6024</v>
      </c>
      <c r="C5325" s="66" t="s">
        <v>6027</v>
      </c>
      <c r="D5325" s="11">
        <v>26622</v>
      </c>
      <c r="E5325" s="11">
        <v>26622</v>
      </c>
      <c r="F5325" s="3">
        <v>39052</v>
      </c>
      <c r="G5325" s="2"/>
      <c r="H5325" s="3">
        <v>43053</v>
      </c>
      <c r="I5325" s="2" t="s">
        <v>19506</v>
      </c>
      <c r="J5325" s="2" t="s">
        <v>13904</v>
      </c>
      <c r="K5325" s="2" t="s">
        <v>5657</v>
      </c>
      <c r="L5325" s="82" t="s">
        <v>19512</v>
      </c>
    </row>
    <row r="5326" spans="1:12" ht="84" customHeight="1" x14ac:dyDescent="0.3">
      <c r="A5326" s="2">
        <v>5322</v>
      </c>
      <c r="B5326" s="66" t="s">
        <v>6028</v>
      </c>
      <c r="C5326" s="66" t="s">
        <v>6029</v>
      </c>
      <c r="D5326" s="11">
        <v>26622</v>
      </c>
      <c r="E5326" s="11">
        <v>26622</v>
      </c>
      <c r="F5326" s="3">
        <v>39052</v>
      </c>
      <c r="G5326" s="2"/>
      <c r="H5326" s="3">
        <v>43053</v>
      </c>
      <c r="I5326" s="2" t="s">
        <v>19506</v>
      </c>
      <c r="J5326" s="2" t="s">
        <v>13904</v>
      </c>
      <c r="K5326" s="2" t="s">
        <v>5657</v>
      </c>
      <c r="L5326" s="82" t="s">
        <v>19512</v>
      </c>
    </row>
    <row r="5327" spans="1:12" ht="84" customHeight="1" x14ac:dyDescent="0.3">
      <c r="A5327" s="2">
        <v>5323</v>
      </c>
      <c r="B5327" s="66" t="s">
        <v>6030</v>
      </c>
      <c r="C5327" s="66" t="s">
        <v>6031</v>
      </c>
      <c r="D5327" s="11">
        <v>58850</v>
      </c>
      <c r="E5327" s="11">
        <v>58850</v>
      </c>
      <c r="F5327" s="3">
        <v>39052</v>
      </c>
      <c r="G5327" s="2"/>
      <c r="H5327" s="2"/>
      <c r="I5327" s="2"/>
      <c r="J5327" s="2" t="s">
        <v>13904</v>
      </c>
      <c r="K5327" s="2" t="s">
        <v>5657</v>
      </c>
      <c r="L5327" s="82" t="s">
        <v>18773</v>
      </c>
    </row>
    <row r="5328" spans="1:12" ht="84" customHeight="1" x14ac:dyDescent="0.3">
      <c r="A5328" s="2">
        <v>5324</v>
      </c>
      <c r="B5328" s="66" t="s">
        <v>6032</v>
      </c>
      <c r="C5328" s="66" t="s">
        <v>6033</v>
      </c>
      <c r="D5328" s="11">
        <v>28386</v>
      </c>
      <c r="E5328" s="11">
        <v>28386</v>
      </c>
      <c r="F5328" s="3">
        <v>39052</v>
      </c>
      <c r="G5328" s="2"/>
      <c r="H5328" s="3">
        <v>43053</v>
      </c>
      <c r="I5328" s="2" t="s">
        <v>19506</v>
      </c>
      <c r="J5328" s="2" t="s">
        <v>13904</v>
      </c>
      <c r="K5328" s="2" t="s">
        <v>5657</v>
      </c>
      <c r="L5328" s="82" t="s">
        <v>19512</v>
      </c>
    </row>
    <row r="5329" spans="1:15" ht="84" customHeight="1" x14ac:dyDescent="0.3">
      <c r="A5329" s="2">
        <v>5325</v>
      </c>
      <c r="B5329" s="66" t="s">
        <v>6034</v>
      </c>
      <c r="C5329" s="66" t="s">
        <v>6035</v>
      </c>
      <c r="D5329" s="11">
        <v>20433.310000000001</v>
      </c>
      <c r="E5329" s="11">
        <v>20433.310000000001</v>
      </c>
      <c r="F5329" s="3">
        <v>39058</v>
      </c>
      <c r="G5329" s="2"/>
      <c r="H5329" s="3">
        <v>43053</v>
      </c>
      <c r="I5329" s="2" t="s">
        <v>19506</v>
      </c>
      <c r="J5329" s="2" t="s">
        <v>13904</v>
      </c>
      <c r="K5329" s="2" t="s">
        <v>5657</v>
      </c>
      <c r="L5329" s="82" t="s">
        <v>19512</v>
      </c>
    </row>
    <row r="5330" spans="1:15" ht="84" customHeight="1" x14ac:dyDescent="0.3">
      <c r="A5330" s="2">
        <v>5326</v>
      </c>
      <c r="B5330" s="66" t="s">
        <v>6036</v>
      </c>
      <c r="C5330" s="66" t="s">
        <v>6037</v>
      </c>
      <c r="D5330" s="11">
        <v>22333.14</v>
      </c>
      <c r="E5330" s="11">
        <v>22333.14</v>
      </c>
      <c r="F5330" s="3">
        <v>39052</v>
      </c>
      <c r="G5330" s="2"/>
      <c r="H5330" s="3">
        <v>43053</v>
      </c>
      <c r="I5330" s="2" t="s">
        <v>19506</v>
      </c>
      <c r="J5330" s="2" t="s">
        <v>13904</v>
      </c>
      <c r="K5330" s="2" t="s">
        <v>5657</v>
      </c>
      <c r="L5330" s="82" t="s">
        <v>19512</v>
      </c>
    </row>
    <row r="5331" spans="1:15" ht="84" customHeight="1" x14ac:dyDescent="0.3">
      <c r="A5331" s="2">
        <v>5327</v>
      </c>
      <c r="B5331" s="66" t="s">
        <v>6038</v>
      </c>
      <c r="C5331" s="66" t="s">
        <v>6039</v>
      </c>
      <c r="D5331" s="11">
        <v>22333.14</v>
      </c>
      <c r="E5331" s="11">
        <v>22333.14</v>
      </c>
      <c r="F5331" s="3">
        <v>39052</v>
      </c>
      <c r="G5331" s="2"/>
      <c r="H5331" s="3">
        <v>43053</v>
      </c>
      <c r="I5331" s="2" t="s">
        <v>19506</v>
      </c>
      <c r="J5331" s="2" t="s">
        <v>13904</v>
      </c>
      <c r="K5331" s="2" t="s">
        <v>5657</v>
      </c>
      <c r="L5331" s="82" t="s">
        <v>19512</v>
      </c>
    </row>
    <row r="5332" spans="1:15" ht="84" customHeight="1" x14ac:dyDescent="0.3">
      <c r="A5332" s="2">
        <v>5328</v>
      </c>
      <c r="B5332" s="66" t="s">
        <v>6040</v>
      </c>
      <c r="C5332" s="66" t="s">
        <v>6041</v>
      </c>
      <c r="D5332" s="11">
        <v>61398.17</v>
      </c>
      <c r="E5332" s="11">
        <v>61398.17</v>
      </c>
      <c r="F5332" s="3">
        <v>39052</v>
      </c>
      <c r="G5332" s="2"/>
      <c r="H5332" s="2"/>
      <c r="I5332" s="2"/>
      <c r="J5332" s="2" t="s">
        <v>13904</v>
      </c>
      <c r="K5332" s="2" t="s">
        <v>5657</v>
      </c>
      <c r="L5332" s="82" t="s">
        <v>18773</v>
      </c>
    </row>
    <row r="5333" spans="1:15" s="19" customFormat="1" ht="84" customHeight="1" x14ac:dyDescent="0.3">
      <c r="A5333" s="2">
        <v>5329</v>
      </c>
      <c r="B5333" s="66" t="s">
        <v>6040</v>
      </c>
      <c r="C5333" s="66" t="s">
        <v>6042</v>
      </c>
      <c r="D5333" s="11">
        <v>61398.17</v>
      </c>
      <c r="E5333" s="11">
        <v>61398.17</v>
      </c>
      <c r="F5333" s="3">
        <v>39052</v>
      </c>
      <c r="G5333" s="2"/>
      <c r="H5333" s="2"/>
      <c r="I5333" s="2"/>
      <c r="J5333" s="2" t="s">
        <v>13904</v>
      </c>
      <c r="K5333" s="2" t="s">
        <v>5657</v>
      </c>
      <c r="L5333" s="82" t="s">
        <v>18773</v>
      </c>
      <c r="M5333" s="16"/>
      <c r="N5333" s="16"/>
      <c r="O5333" s="16"/>
    </row>
    <row r="5334" spans="1:15" ht="84" customHeight="1" x14ac:dyDescent="0.3">
      <c r="A5334" s="2">
        <v>5330</v>
      </c>
      <c r="B5334" s="66" t="s">
        <v>6043</v>
      </c>
      <c r="C5334" s="66"/>
      <c r="D5334" s="11">
        <v>30276</v>
      </c>
      <c r="E5334" s="11">
        <v>30276</v>
      </c>
      <c r="F5334" s="3">
        <v>41562</v>
      </c>
      <c r="G5334" s="2"/>
      <c r="H5334" s="3">
        <v>43053</v>
      </c>
      <c r="I5334" s="2" t="s">
        <v>19506</v>
      </c>
      <c r="J5334" s="2" t="s">
        <v>13904</v>
      </c>
      <c r="K5334" s="2" t="s">
        <v>5657</v>
      </c>
      <c r="L5334" s="82" t="s">
        <v>19512</v>
      </c>
    </row>
    <row r="5335" spans="1:15" ht="84" customHeight="1" x14ac:dyDescent="0.3">
      <c r="A5335" s="2">
        <v>5331</v>
      </c>
      <c r="B5335" s="66" t="s">
        <v>6044</v>
      </c>
      <c r="C5335" s="66"/>
      <c r="D5335" s="11">
        <v>17226</v>
      </c>
      <c r="E5335" s="11">
        <v>17226</v>
      </c>
      <c r="F5335" s="3">
        <v>41562</v>
      </c>
      <c r="G5335" s="2"/>
      <c r="H5335" s="3">
        <v>43053</v>
      </c>
      <c r="I5335" s="2" t="s">
        <v>19506</v>
      </c>
      <c r="J5335" s="2" t="s">
        <v>13904</v>
      </c>
      <c r="K5335" s="2" t="s">
        <v>5657</v>
      </c>
      <c r="L5335" s="82" t="s">
        <v>19512</v>
      </c>
    </row>
    <row r="5336" spans="1:15" ht="84" customHeight="1" x14ac:dyDescent="0.3">
      <c r="A5336" s="2">
        <v>5332</v>
      </c>
      <c r="B5336" s="66" t="s">
        <v>6045</v>
      </c>
      <c r="C5336" s="66"/>
      <c r="D5336" s="11">
        <v>5330</v>
      </c>
      <c r="E5336" s="11">
        <v>5330</v>
      </c>
      <c r="F5336" s="3">
        <v>41562</v>
      </c>
      <c r="G5336" s="2"/>
      <c r="H5336" s="3">
        <v>43053</v>
      </c>
      <c r="I5336" s="2" t="s">
        <v>19506</v>
      </c>
      <c r="J5336" s="2" t="s">
        <v>13904</v>
      </c>
      <c r="K5336" s="2" t="s">
        <v>5657</v>
      </c>
      <c r="L5336" s="82" t="s">
        <v>19512</v>
      </c>
    </row>
    <row r="5337" spans="1:15" ht="84" customHeight="1" x14ac:dyDescent="0.3">
      <c r="A5337" s="2">
        <v>5333</v>
      </c>
      <c r="B5337" s="66" t="s">
        <v>6046</v>
      </c>
      <c r="C5337" s="66"/>
      <c r="D5337" s="11">
        <v>65130</v>
      </c>
      <c r="E5337" s="11">
        <v>65130</v>
      </c>
      <c r="F5337" s="3">
        <v>41765</v>
      </c>
      <c r="G5337" s="2"/>
      <c r="H5337" s="3">
        <v>43053</v>
      </c>
      <c r="I5337" s="2" t="s">
        <v>19506</v>
      </c>
      <c r="J5337" s="2" t="s">
        <v>13904</v>
      </c>
      <c r="K5337" s="2" t="s">
        <v>5657</v>
      </c>
      <c r="L5337" s="82" t="s">
        <v>19512</v>
      </c>
    </row>
    <row r="5338" spans="1:15" ht="84" customHeight="1" x14ac:dyDescent="0.3">
      <c r="A5338" s="2">
        <v>5334</v>
      </c>
      <c r="B5338" s="66" t="s">
        <v>6047</v>
      </c>
      <c r="C5338" s="66"/>
      <c r="D5338" s="11">
        <v>8340</v>
      </c>
      <c r="E5338" s="11">
        <v>8340</v>
      </c>
      <c r="F5338" s="3">
        <v>41493</v>
      </c>
      <c r="G5338" s="2"/>
      <c r="H5338" s="3">
        <v>43053</v>
      </c>
      <c r="I5338" s="2" t="s">
        <v>19506</v>
      </c>
      <c r="J5338" s="2" t="s">
        <v>13904</v>
      </c>
      <c r="K5338" s="2" t="s">
        <v>5657</v>
      </c>
      <c r="L5338" s="82" t="s">
        <v>19512</v>
      </c>
    </row>
    <row r="5339" spans="1:15" ht="84" customHeight="1" x14ac:dyDescent="0.3">
      <c r="A5339" s="2">
        <v>5335</v>
      </c>
      <c r="B5339" s="66" t="s">
        <v>6048</v>
      </c>
      <c r="C5339" s="66"/>
      <c r="D5339" s="11">
        <v>8450</v>
      </c>
      <c r="E5339" s="11">
        <v>8450</v>
      </c>
      <c r="F5339" s="3">
        <v>41593</v>
      </c>
      <c r="G5339" s="2"/>
      <c r="H5339" s="3">
        <v>43053</v>
      </c>
      <c r="I5339" s="2" t="s">
        <v>19506</v>
      </c>
      <c r="J5339" s="2" t="s">
        <v>13904</v>
      </c>
      <c r="K5339" s="2" t="s">
        <v>5657</v>
      </c>
      <c r="L5339" s="82" t="s">
        <v>19512</v>
      </c>
    </row>
    <row r="5340" spans="1:15" ht="84" customHeight="1" x14ac:dyDescent="0.3">
      <c r="A5340" s="2">
        <v>5336</v>
      </c>
      <c r="B5340" s="66" t="s">
        <v>6049</v>
      </c>
      <c r="C5340" s="66"/>
      <c r="D5340" s="11">
        <v>9354</v>
      </c>
      <c r="E5340" s="11">
        <v>9354</v>
      </c>
      <c r="F5340" s="3">
        <v>41591</v>
      </c>
      <c r="G5340" s="2"/>
      <c r="H5340" s="3">
        <v>43053</v>
      </c>
      <c r="I5340" s="2" t="s">
        <v>19506</v>
      </c>
      <c r="J5340" s="2" t="s">
        <v>13904</v>
      </c>
      <c r="K5340" s="2" t="s">
        <v>5657</v>
      </c>
      <c r="L5340" s="82" t="s">
        <v>19512</v>
      </c>
    </row>
    <row r="5341" spans="1:15" ht="84" customHeight="1" x14ac:dyDescent="0.3">
      <c r="A5341" s="2">
        <v>5337</v>
      </c>
      <c r="B5341" s="66" t="s">
        <v>6050</v>
      </c>
      <c r="C5341" s="66"/>
      <c r="D5341" s="11">
        <v>249567.49</v>
      </c>
      <c r="E5341" s="11">
        <v>249567.49</v>
      </c>
      <c r="F5341" s="3">
        <v>40835</v>
      </c>
      <c r="G5341" s="2"/>
      <c r="H5341" s="3">
        <v>43053</v>
      </c>
      <c r="I5341" s="2" t="s">
        <v>19506</v>
      </c>
      <c r="J5341" s="2" t="s">
        <v>13904</v>
      </c>
      <c r="K5341" s="2" t="s">
        <v>5657</v>
      </c>
      <c r="L5341" s="82" t="s">
        <v>19512</v>
      </c>
    </row>
    <row r="5342" spans="1:15" ht="84" customHeight="1" x14ac:dyDescent="0.3">
      <c r="A5342" s="2">
        <v>5338</v>
      </c>
      <c r="B5342" s="66" t="s">
        <v>3741</v>
      </c>
      <c r="C5342" s="66"/>
      <c r="D5342" s="11">
        <v>405</v>
      </c>
      <c r="E5342" s="11">
        <v>405</v>
      </c>
      <c r="F5342" s="3">
        <v>40674</v>
      </c>
      <c r="G5342" s="2"/>
      <c r="H5342" s="3">
        <v>43053</v>
      </c>
      <c r="I5342" s="2" t="s">
        <v>19506</v>
      </c>
      <c r="J5342" s="2" t="s">
        <v>13904</v>
      </c>
      <c r="K5342" s="2" t="s">
        <v>5657</v>
      </c>
      <c r="L5342" s="82" t="s">
        <v>19512</v>
      </c>
    </row>
    <row r="5343" spans="1:15" ht="84" customHeight="1" x14ac:dyDescent="0.3">
      <c r="A5343" s="2">
        <v>5339</v>
      </c>
      <c r="B5343" s="66" t="s">
        <v>4316</v>
      </c>
      <c r="C5343" s="66"/>
      <c r="D5343" s="11">
        <v>637488.43000000005</v>
      </c>
      <c r="E5343" s="11">
        <v>637488.43000000005</v>
      </c>
      <c r="F5343" s="3">
        <v>39457</v>
      </c>
      <c r="G5343" s="2"/>
      <c r="H5343" s="3">
        <v>43053</v>
      </c>
      <c r="I5343" s="2" t="s">
        <v>19506</v>
      </c>
      <c r="J5343" s="2" t="s">
        <v>13904</v>
      </c>
      <c r="K5343" s="2" t="s">
        <v>5657</v>
      </c>
      <c r="L5343" s="82" t="s">
        <v>19512</v>
      </c>
    </row>
    <row r="5344" spans="1:15" ht="84" customHeight="1" x14ac:dyDescent="0.3">
      <c r="A5344" s="2">
        <v>5340</v>
      </c>
      <c r="B5344" s="66" t="s">
        <v>6051</v>
      </c>
      <c r="C5344" s="66"/>
      <c r="D5344" s="11">
        <v>1336480.3400000001</v>
      </c>
      <c r="E5344" s="11">
        <v>1336480.3400000001</v>
      </c>
      <c r="F5344" s="3">
        <v>41547</v>
      </c>
      <c r="G5344" s="2"/>
      <c r="H5344" s="3">
        <v>43053</v>
      </c>
      <c r="I5344" s="2" t="s">
        <v>19506</v>
      </c>
      <c r="J5344" s="2" t="s">
        <v>13904</v>
      </c>
      <c r="K5344" s="2" t="s">
        <v>5657</v>
      </c>
      <c r="L5344" s="82" t="s">
        <v>19512</v>
      </c>
    </row>
    <row r="5345" spans="1:12" ht="84" customHeight="1" x14ac:dyDescent="0.3">
      <c r="A5345" s="2">
        <v>5341</v>
      </c>
      <c r="B5345" s="66" t="s">
        <v>6052</v>
      </c>
      <c r="C5345" s="66"/>
      <c r="D5345" s="11">
        <v>1941851.06</v>
      </c>
      <c r="E5345" s="11">
        <v>1941851.06</v>
      </c>
      <c r="F5345" s="3">
        <v>41898</v>
      </c>
      <c r="G5345" s="2"/>
      <c r="H5345" s="3">
        <v>43053</v>
      </c>
      <c r="I5345" s="2" t="s">
        <v>19506</v>
      </c>
      <c r="J5345" s="2" t="s">
        <v>13904</v>
      </c>
      <c r="K5345" s="2" t="s">
        <v>5657</v>
      </c>
      <c r="L5345" s="82" t="s">
        <v>19512</v>
      </c>
    </row>
    <row r="5346" spans="1:12" ht="84" customHeight="1" x14ac:dyDescent="0.3">
      <c r="A5346" s="2">
        <v>5342</v>
      </c>
      <c r="B5346" s="66" t="s">
        <v>6053</v>
      </c>
      <c r="C5346" s="66"/>
      <c r="D5346" s="11">
        <v>80673.600000000006</v>
      </c>
      <c r="E5346" s="11">
        <v>80673.600000000006</v>
      </c>
      <c r="F5346" s="3">
        <v>42004</v>
      </c>
      <c r="G5346" s="2"/>
      <c r="H5346" s="3">
        <v>43053</v>
      </c>
      <c r="I5346" s="2" t="s">
        <v>19506</v>
      </c>
      <c r="J5346" s="2" t="s">
        <v>13904</v>
      </c>
      <c r="K5346" s="2" t="s">
        <v>5657</v>
      </c>
      <c r="L5346" s="82" t="s">
        <v>19512</v>
      </c>
    </row>
    <row r="5347" spans="1:12" ht="84" customHeight="1" x14ac:dyDescent="0.3">
      <c r="A5347" s="2">
        <v>5343</v>
      </c>
      <c r="B5347" s="66" t="s">
        <v>6054</v>
      </c>
      <c r="C5347" s="66"/>
      <c r="D5347" s="11">
        <v>64819.57</v>
      </c>
      <c r="E5347" s="11">
        <v>64819.57</v>
      </c>
      <c r="F5347" s="3">
        <v>42004</v>
      </c>
      <c r="G5347" s="2"/>
      <c r="H5347" s="3">
        <v>43053</v>
      </c>
      <c r="I5347" s="2" t="s">
        <v>19506</v>
      </c>
      <c r="J5347" s="2" t="s">
        <v>13904</v>
      </c>
      <c r="K5347" s="2" t="s">
        <v>5657</v>
      </c>
      <c r="L5347" s="82" t="s">
        <v>19512</v>
      </c>
    </row>
    <row r="5348" spans="1:12" ht="84" customHeight="1" x14ac:dyDescent="0.3">
      <c r="A5348" s="2">
        <v>5344</v>
      </c>
      <c r="B5348" s="66" t="s">
        <v>6055</v>
      </c>
      <c r="C5348" s="66"/>
      <c r="D5348" s="11">
        <v>42605.919999999998</v>
      </c>
      <c r="E5348" s="11">
        <v>42605.919999999998</v>
      </c>
      <c r="F5348" s="3">
        <v>42004</v>
      </c>
      <c r="G5348" s="2"/>
      <c r="H5348" s="3">
        <v>43053</v>
      </c>
      <c r="I5348" s="2" t="s">
        <v>19506</v>
      </c>
      <c r="J5348" s="2" t="s">
        <v>13904</v>
      </c>
      <c r="K5348" s="2" t="s">
        <v>5657</v>
      </c>
      <c r="L5348" s="82" t="s">
        <v>19512</v>
      </c>
    </row>
    <row r="5349" spans="1:12" ht="84" customHeight="1" x14ac:dyDescent="0.3">
      <c r="A5349" s="2">
        <v>5345</v>
      </c>
      <c r="B5349" s="66" t="s">
        <v>6056</v>
      </c>
      <c r="C5349" s="66"/>
      <c r="D5349" s="11">
        <v>1422621.8</v>
      </c>
      <c r="E5349" s="11">
        <v>1422621.8</v>
      </c>
      <c r="F5349" s="3">
        <v>42186</v>
      </c>
      <c r="G5349" s="2"/>
      <c r="H5349" s="3">
        <v>43053</v>
      </c>
      <c r="I5349" s="2" t="s">
        <v>19506</v>
      </c>
      <c r="J5349" s="2" t="s">
        <v>13904</v>
      </c>
      <c r="K5349" s="2" t="s">
        <v>5657</v>
      </c>
      <c r="L5349" s="82" t="s">
        <v>19512</v>
      </c>
    </row>
    <row r="5350" spans="1:12" ht="84" customHeight="1" x14ac:dyDescent="0.3">
      <c r="A5350" s="2">
        <v>5346</v>
      </c>
      <c r="B5350" s="66" t="s">
        <v>6057</v>
      </c>
      <c r="C5350" s="66"/>
      <c r="D5350" s="11">
        <v>418300.61</v>
      </c>
      <c r="E5350" s="11">
        <v>418300.61</v>
      </c>
      <c r="F5350" s="3">
        <v>41180</v>
      </c>
      <c r="G5350" s="2"/>
      <c r="H5350" s="3">
        <v>43053</v>
      </c>
      <c r="I5350" s="2" t="s">
        <v>19506</v>
      </c>
      <c r="J5350" s="2" t="s">
        <v>13904</v>
      </c>
      <c r="K5350" s="2" t="s">
        <v>5657</v>
      </c>
      <c r="L5350" s="82" t="s">
        <v>19512</v>
      </c>
    </row>
    <row r="5351" spans="1:12" ht="84" customHeight="1" x14ac:dyDescent="0.3">
      <c r="A5351" s="2">
        <v>5347</v>
      </c>
      <c r="B5351" s="66" t="s">
        <v>6057</v>
      </c>
      <c r="C5351" s="66"/>
      <c r="D5351" s="11">
        <v>170635.43</v>
      </c>
      <c r="E5351" s="11">
        <v>170635.43</v>
      </c>
      <c r="F5351" s="3">
        <v>41180</v>
      </c>
      <c r="G5351" s="2"/>
      <c r="H5351" s="3">
        <v>43053</v>
      </c>
      <c r="I5351" s="2" t="s">
        <v>19506</v>
      </c>
      <c r="J5351" s="2" t="s">
        <v>13904</v>
      </c>
      <c r="K5351" s="2" t="s">
        <v>5657</v>
      </c>
      <c r="L5351" s="82" t="s">
        <v>19512</v>
      </c>
    </row>
    <row r="5352" spans="1:12" ht="84" customHeight="1" x14ac:dyDescent="0.3">
      <c r="A5352" s="2">
        <v>5348</v>
      </c>
      <c r="B5352" s="66" t="s">
        <v>3739</v>
      </c>
      <c r="C5352" s="66"/>
      <c r="D5352" s="11">
        <v>1193.27</v>
      </c>
      <c r="E5352" s="11">
        <v>1193.27</v>
      </c>
      <c r="F5352" s="3">
        <v>37691</v>
      </c>
      <c r="G5352" s="2"/>
      <c r="H5352" s="3">
        <v>43053</v>
      </c>
      <c r="I5352" s="2" t="s">
        <v>19506</v>
      </c>
      <c r="J5352" s="2" t="s">
        <v>13904</v>
      </c>
      <c r="K5352" s="2" t="s">
        <v>5657</v>
      </c>
      <c r="L5352" s="82" t="s">
        <v>19512</v>
      </c>
    </row>
    <row r="5353" spans="1:12" ht="84" customHeight="1" x14ac:dyDescent="0.3">
      <c r="A5353" s="2">
        <v>5349</v>
      </c>
      <c r="B5353" s="66" t="s">
        <v>4546</v>
      </c>
      <c r="C5353" s="66" t="s">
        <v>6058</v>
      </c>
      <c r="D5353" s="11">
        <v>5.2</v>
      </c>
      <c r="E5353" s="11">
        <v>5.2</v>
      </c>
      <c r="F5353" s="3">
        <v>39755</v>
      </c>
      <c r="G5353" s="2"/>
      <c r="H5353" s="3">
        <v>43053</v>
      </c>
      <c r="I5353" s="2" t="s">
        <v>19506</v>
      </c>
      <c r="J5353" s="2" t="s">
        <v>13904</v>
      </c>
      <c r="K5353" s="2" t="s">
        <v>5657</v>
      </c>
      <c r="L5353" s="82" t="s">
        <v>19512</v>
      </c>
    </row>
    <row r="5354" spans="1:12" ht="84" customHeight="1" x14ac:dyDescent="0.3">
      <c r="A5354" s="2">
        <v>5350</v>
      </c>
      <c r="B5354" s="66" t="s">
        <v>4316</v>
      </c>
      <c r="C5354" s="66"/>
      <c r="D5354" s="11">
        <v>28.72</v>
      </c>
      <c r="E5354" s="11">
        <v>28.72</v>
      </c>
      <c r="F5354" s="3">
        <v>37656</v>
      </c>
      <c r="G5354" s="2"/>
      <c r="H5354" s="3">
        <v>43053</v>
      </c>
      <c r="I5354" s="2" t="s">
        <v>19506</v>
      </c>
      <c r="J5354" s="2" t="s">
        <v>13904</v>
      </c>
      <c r="K5354" s="2" t="s">
        <v>5657</v>
      </c>
      <c r="L5354" s="82" t="s">
        <v>19512</v>
      </c>
    </row>
    <row r="5355" spans="1:12" ht="84" customHeight="1" x14ac:dyDescent="0.3">
      <c r="A5355" s="2">
        <v>5351</v>
      </c>
      <c r="B5355" s="66" t="s">
        <v>3739</v>
      </c>
      <c r="C5355" s="66"/>
      <c r="D5355" s="11">
        <v>52.32</v>
      </c>
      <c r="E5355" s="11">
        <v>52.32</v>
      </c>
      <c r="F5355" s="3">
        <v>39447</v>
      </c>
      <c r="G5355" s="2"/>
      <c r="H5355" s="3">
        <v>43053</v>
      </c>
      <c r="I5355" s="2" t="s">
        <v>19506</v>
      </c>
      <c r="J5355" s="2" t="s">
        <v>13904</v>
      </c>
      <c r="K5355" s="2" t="s">
        <v>5657</v>
      </c>
      <c r="L5355" s="82" t="s">
        <v>19512</v>
      </c>
    </row>
    <row r="5356" spans="1:12" ht="84" customHeight="1" x14ac:dyDescent="0.3">
      <c r="A5356" s="2">
        <v>5352</v>
      </c>
      <c r="B5356" s="66" t="s">
        <v>6059</v>
      </c>
      <c r="C5356" s="66" t="s">
        <v>6060</v>
      </c>
      <c r="D5356" s="11">
        <v>85</v>
      </c>
      <c r="E5356" s="11">
        <v>85</v>
      </c>
      <c r="F5356" s="3">
        <v>37677</v>
      </c>
      <c r="G5356" s="2"/>
      <c r="H5356" s="3">
        <v>43053</v>
      </c>
      <c r="I5356" s="2" t="s">
        <v>19506</v>
      </c>
      <c r="J5356" s="2" t="s">
        <v>13904</v>
      </c>
      <c r="K5356" s="2" t="s">
        <v>5657</v>
      </c>
      <c r="L5356" s="82" t="s">
        <v>19512</v>
      </c>
    </row>
    <row r="5357" spans="1:12" ht="84" customHeight="1" x14ac:dyDescent="0.3">
      <c r="A5357" s="2">
        <v>5353</v>
      </c>
      <c r="B5357" s="66" t="s">
        <v>6061</v>
      </c>
      <c r="C5357" s="66"/>
      <c r="D5357" s="11">
        <v>728</v>
      </c>
      <c r="E5357" s="11">
        <v>728</v>
      </c>
      <c r="F5357" s="3">
        <v>36230</v>
      </c>
      <c r="G5357" s="2"/>
      <c r="H5357" s="3">
        <v>43053</v>
      </c>
      <c r="I5357" s="2" t="s">
        <v>19506</v>
      </c>
      <c r="J5357" s="2" t="s">
        <v>13904</v>
      </c>
      <c r="K5357" s="2" t="s">
        <v>5657</v>
      </c>
      <c r="L5357" s="82" t="s">
        <v>19512</v>
      </c>
    </row>
    <row r="5358" spans="1:12" ht="84" customHeight="1" x14ac:dyDescent="0.3">
      <c r="A5358" s="2">
        <v>5354</v>
      </c>
      <c r="B5358" s="66" t="s">
        <v>6062</v>
      </c>
      <c r="C5358" s="66" t="s">
        <v>6063</v>
      </c>
      <c r="D5358" s="11">
        <v>6000</v>
      </c>
      <c r="E5358" s="11">
        <v>6000</v>
      </c>
      <c r="F5358" s="3">
        <v>40134</v>
      </c>
      <c r="G5358" s="2"/>
      <c r="H5358" s="3">
        <v>43053</v>
      </c>
      <c r="I5358" s="2" t="s">
        <v>19506</v>
      </c>
      <c r="J5358" s="2" t="s">
        <v>13904</v>
      </c>
      <c r="K5358" s="2" t="s">
        <v>5657</v>
      </c>
      <c r="L5358" s="82" t="s">
        <v>19512</v>
      </c>
    </row>
    <row r="5359" spans="1:12" ht="84" customHeight="1" x14ac:dyDescent="0.3">
      <c r="A5359" s="2">
        <v>5355</v>
      </c>
      <c r="B5359" s="66" t="s">
        <v>6064</v>
      </c>
      <c r="C5359" s="66" t="s">
        <v>6065</v>
      </c>
      <c r="D5359" s="11">
        <v>4820</v>
      </c>
      <c r="E5359" s="11">
        <v>4820</v>
      </c>
      <c r="F5359" s="3">
        <v>39965</v>
      </c>
      <c r="G5359" s="2"/>
      <c r="H5359" s="3">
        <v>43053</v>
      </c>
      <c r="I5359" s="2" t="s">
        <v>19506</v>
      </c>
      <c r="J5359" s="2" t="s">
        <v>13904</v>
      </c>
      <c r="K5359" s="2" t="s">
        <v>5657</v>
      </c>
      <c r="L5359" s="82" t="s">
        <v>19512</v>
      </c>
    </row>
    <row r="5360" spans="1:12" ht="84" customHeight="1" x14ac:dyDescent="0.3">
      <c r="A5360" s="2">
        <v>5356</v>
      </c>
      <c r="B5360" s="66" t="s">
        <v>6066</v>
      </c>
      <c r="C5360" s="66" t="s">
        <v>6067</v>
      </c>
      <c r="D5360" s="11">
        <v>4820</v>
      </c>
      <c r="E5360" s="11">
        <v>4820</v>
      </c>
      <c r="F5360" s="3">
        <v>39965</v>
      </c>
      <c r="G5360" s="2"/>
      <c r="H5360" s="3">
        <v>43053</v>
      </c>
      <c r="I5360" s="2" t="s">
        <v>19506</v>
      </c>
      <c r="J5360" s="2" t="s">
        <v>13904</v>
      </c>
      <c r="K5360" s="2" t="s">
        <v>5657</v>
      </c>
      <c r="L5360" s="82" t="s">
        <v>19512</v>
      </c>
    </row>
    <row r="5361" spans="1:12" ht="84" customHeight="1" x14ac:dyDescent="0.3">
      <c r="A5361" s="2">
        <v>5357</v>
      </c>
      <c r="B5361" s="66" t="s">
        <v>6068</v>
      </c>
      <c r="C5361" s="66" t="s">
        <v>6069</v>
      </c>
      <c r="D5361" s="11">
        <v>6152</v>
      </c>
      <c r="E5361" s="11">
        <v>6152</v>
      </c>
      <c r="F5361" s="3">
        <v>39965</v>
      </c>
      <c r="G5361" s="2"/>
      <c r="H5361" s="3">
        <v>43053</v>
      </c>
      <c r="I5361" s="2" t="s">
        <v>19506</v>
      </c>
      <c r="J5361" s="2" t="s">
        <v>13904</v>
      </c>
      <c r="K5361" s="2" t="s">
        <v>5657</v>
      </c>
      <c r="L5361" s="82" t="s">
        <v>19512</v>
      </c>
    </row>
    <row r="5362" spans="1:12" ht="84" customHeight="1" x14ac:dyDescent="0.3">
      <c r="A5362" s="2">
        <v>5358</v>
      </c>
      <c r="B5362" s="66" t="s">
        <v>6070</v>
      </c>
      <c r="C5362" s="66" t="s">
        <v>6071</v>
      </c>
      <c r="D5362" s="11">
        <v>8050</v>
      </c>
      <c r="E5362" s="11">
        <v>8050</v>
      </c>
      <c r="F5362" s="3">
        <v>40907</v>
      </c>
      <c r="G5362" s="2"/>
      <c r="H5362" s="3">
        <v>43053</v>
      </c>
      <c r="I5362" s="2" t="s">
        <v>19506</v>
      </c>
      <c r="J5362" s="2" t="s">
        <v>13904</v>
      </c>
      <c r="K5362" s="2" t="s">
        <v>5657</v>
      </c>
      <c r="L5362" s="82" t="s">
        <v>19512</v>
      </c>
    </row>
    <row r="5363" spans="1:12" ht="84" customHeight="1" x14ac:dyDescent="0.3">
      <c r="A5363" s="2">
        <v>5359</v>
      </c>
      <c r="B5363" s="66" t="s">
        <v>6072</v>
      </c>
      <c r="C5363" s="66" t="s">
        <v>6073</v>
      </c>
      <c r="D5363" s="11">
        <v>6100</v>
      </c>
      <c r="E5363" s="11">
        <v>6100</v>
      </c>
      <c r="F5363" s="3">
        <v>40907</v>
      </c>
      <c r="G5363" s="2"/>
      <c r="H5363" s="3">
        <v>43053</v>
      </c>
      <c r="I5363" s="2" t="s">
        <v>19506</v>
      </c>
      <c r="J5363" s="2" t="s">
        <v>13904</v>
      </c>
      <c r="K5363" s="2" t="s">
        <v>5657</v>
      </c>
      <c r="L5363" s="82" t="s">
        <v>19512</v>
      </c>
    </row>
    <row r="5364" spans="1:12" ht="84" customHeight="1" x14ac:dyDescent="0.3">
      <c r="A5364" s="2">
        <v>5360</v>
      </c>
      <c r="B5364" s="66" t="s">
        <v>4556</v>
      </c>
      <c r="C5364" s="66" t="s">
        <v>6074</v>
      </c>
      <c r="D5364" s="11">
        <v>4545</v>
      </c>
      <c r="E5364" s="11">
        <v>4545</v>
      </c>
      <c r="F5364" s="3">
        <v>41736</v>
      </c>
      <c r="G5364" s="2"/>
      <c r="H5364" s="3">
        <v>43053</v>
      </c>
      <c r="I5364" s="2" t="s">
        <v>19506</v>
      </c>
      <c r="J5364" s="2" t="s">
        <v>13904</v>
      </c>
      <c r="K5364" s="2" t="s">
        <v>5657</v>
      </c>
      <c r="L5364" s="82" t="s">
        <v>19512</v>
      </c>
    </row>
    <row r="5365" spans="1:12" ht="84" customHeight="1" x14ac:dyDescent="0.3">
      <c r="A5365" s="2">
        <v>5361</v>
      </c>
      <c r="B5365" s="66" t="s">
        <v>6075</v>
      </c>
      <c r="C5365" s="66" t="s">
        <v>6076</v>
      </c>
      <c r="D5365" s="11">
        <v>7210</v>
      </c>
      <c r="E5365" s="11">
        <v>7210</v>
      </c>
      <c r="F5365" s="3">
        <v>41365</v>
      </c>
      <c r="G5365" s="2"/>
      <c r="H5365" s="3">
        <v>43053</v>
      </c>
      <c r="I5365" s="2" t="s">
        <v>19506</v>
      </c>
      <c r="J5365" s="2" t="s">
        <v>13904</v>
      </c>
      <c r="K5365" s="2" t="s">
        <v>5657</v>
      </c>
      <c r="L5365" s="82" t="s">
        <v>19512</v>
      </c>
    </row>
    <row r="5366" spans="1:12" ht="84" customHeight="1" x14ac:dyDescent="0.3">
      <c r="A5366" s="2">
        <v>5362</v>
      </c>
      <c r="B5366" s="66" t="s">
        <v>6077</v>
      </c>
      <c r="C5366" s="66" t="s">
        <v>6078</v>
      </c>
      <c r="D5366" s="11">
        <v>10142</v>
      </c>
      <c r="E5366" s="11">
        <v>10142</v>
      </c>
      <c r="F5366" s="3">
        <v>39171</v>
      </c>
      <c r="G5366" s="2"/>
      <c r="H5366" s="3">
        <v>43053</v>
      </c>
      <c r="I5366" s="2" t="s">
        <v>19506</v>
      </c>
      <c r="J5366" s="2" t="s">
        <v>13904</v>
      </c>
      <c r="K5366" s="2" t="s">
        <v>5657</v>
      </c>
      <c r="L5366" s="82" t="s">
        <v>19512</v>
      </c>
    </row>
    <row r="5367" spans="1:12" ht="84" customHeight="1" x14ac:dyDescent="0.3">
      <c r="A5367" s="2">
        <v>5363</v>
      </c>
      <c r="B5367" s="66" t="s">
        <v>218</v>
      </c>
      <c r="C5367" s="66" t="s">
        <v>6079</v>
      </c>
      <c r="D5367" s="11">
        <v>33586.06</v>
      </c>
      <c r="E5367" s="11">
        <v>33586.06</v>
      </c>
      <c r="F5367" s="3">
        <v>39813</v>
      </c>
      <c r="G5367" s="2"/>
      <c r="H5367" s="3">
        <v>43053</v>
      </c>
      <c r="I5367" s="2" t="s">
        <v>19506</v>
      </c>
      <c r="J5367" s="2" t="s">
        <v>13904</v>
      </c>
      <c r="K5367" s="2" t="s">
        <v>5657</v>
      </c>
      <c r="L5367" s="82" t="s">
        <v>19512</v>
      </c>
    </row>
    <row r="5368" spans="1:12" ht="84" customHeight="1" x14ac:dyDescent="0.3">
      <c r="A5368" s="2">
        <v>5364</v>
      </c>
      <c r="B5368" s="66" t="s">
        <v>6080</v>
      </c>
      <c r="C5368" s="66" t="s">
        <v>6081</v>
      </c>
      <c r="D5368" s="11">
        <v>24501.360000000001</v>
      </c>
      <c r="E5368" s="11">
        <v>24501.360000000001</v>
      </c>
      <c r="F5368" s="3">
        <v>38392</v>
      </c>
      <c r="G5368" s="2"/>
      <c r="H5368" s="3">
        <v>43053</v>
      </c>
      <c r="I5368" s="2" t="s">
        <v>19506</v>
      </c>
      <c r="J5368" s="2" t="s">
        <v>13904</v>
      </c>
      <c r="K5368" s="2" t="s">
        <v>5657</v>
      </c>
      <c r="L5368" s="82" t="s">
        <v>19512</v>
      </c>
    </row>
    <row r="5369" spans="1:12" ht="84" customHeight="1" x14ac:dyDescent="0.3">
      <c r="A5369" s="2">
        <v>5365</v>
      </c>
      <c r="B5369" s="66" t="s">
        <v>6082</v>
      </c>
      <c r="C5369" s="66" t="s">
        <v>6083</v>
      </c>
      <c r="D5369" s="11">
        <v>13963.32</v>
      </c>
      <c r="E5369" s="11">
        <v>13963.32</v>
      </c>
      <c r="F5369" s="3">
        <v>39052</v>
      </c>
      <c r="G5369" s="2"/>
      <c r="H5369" s="3">
        <v>43053</v>
      </c>
      <c r="I5369" s="2" t="s">
        <v>19506</v>
      </c>
      <c r="J5369" s="2" t="s">
        <v>13904</v>
      </c>
      <c r="K5369" s="2" t="s">
        <v>5657</v>
      </c>
      <c r="L5369" s="82" t="s">
        <v>19512</v>
      </c>
    </row>
    <row r="5370" spans="1:12" ht="84" customHeight="1" x14ac:dyDescent="0.3">
      <c r="A5370" s="2">
        <v>5366</v>
      </c>
      <c r="B5370" s="66" t="s">
        <v>2854</v>
      </c>
      <c r="C5370" s="66" t="s">
        <v>6084</v>
      </c>
      <c r="D5370" s="11">
        <v>19740</v>
      </c>
      <c r="E5370" s="11">
        <v>19740</v>
      </c>
      <c r="F5370" s="3">
        <v>39142</v>
      </c>
      <c r="G5370" s="2"/>
      <c r="H5370" s="3">
        <v>43053</v>
      </c>
      <c r="I5370" s="2" t="s">
        <v>19506</v>
      </c>
      <c r="J5370" s="2" t="s">
        <v>13904</v>
      </c>
      <c r="K5370" s="2" t="s">
        <v>5657</v>
      </c>
      <c r="L5370" s="82" t="s">
        <v>19512</v>
      </c>
    </row>
    <row r="5371" spans="1:12" ht="84" customHeight="1" x14ac:dyDescent="0.3">
      <c r="A5371" s="2">
        <v>5367</v>
      </c>
      <c r="B5371" s="66" t="s">
        <v>6085</v>
      </c>
      <c r="C5371" s="66" t="s">
        <v>6086</v>
      </c>
      <c r="D5371" s="11">
        <v>4676.7</v>
      </c>
      <c r="E5371" s="11">
        <v>4676.7</v>
      </c>
      <c r="F5371" s="3">
        <v>39051</v>
      </c>
      <c r="G5371" s="2"/>
      <c r="H5371" s="3">
        <v>43053</v>
      </c>
      <c r="I5371" s="2" t="s">
        <v>19506</v>
      </c>
      <c r="J5371" s="2" t="s">
        <v>13904</v>
      </c>
      <c r="K5371" s="2" t="s">
        <v>5657</v>
      </c>
      <c r="L5371" s="82" t="s">
        <v>19512</v>
      </c>
    </row>
    <row r="5372" spans="1:12" ht="84" customHeight="1" x14ac:dyDescent="0.3">
      <c r="A5372" s="2">
        <v>5368</v>
      </c>
      <c r="B5372" s="66" t="s">
        <v>6087</v>
      </c>
      <c r="C5372" s="66" t="s">
        <v>6088</v>
      </c>
      <c r="D5372" s="11">
        <v>18972</v>
      </c>
      <c r="E5372" s="11">
        <v>18972</v>
      </c>
      <c r="F5372" s="3">
        <v>40870</v>
      </c>
      <c r="G5372" s="2"/>
      <c r="H5372" s="3">
        <v>43053</v>
      </c>
      <c r="I5372" s="2" t="s">
        <v>19506</v>
      </c>
      <c r="J5372" s="2" t="s">
        <v>13904</v>
      </c>
      <c r="K5372" s="2" t="s">
        <v>5657</v>
      </c>
      <c r="L5372" s="82" t="s">
        <v>19512</v>
      </c>
    </row>
    <row r="5373" spans="1:12" ht="84" customHeight="1" x14ac:dyDescent="0.3">
      <c r="A5373" s="2">
        <v>5369</v>
      </c>
      <c r="B5373" s="66" t="s">
        <v>6089</v>
      </c>
      <c r="C5373" s="66" t="s">
        <v>6090</v>
      </c>
      <c r="D5373" s="11">
        <v>24800</v>
      </c>
      <c r="E5373" s="11">
        <v>24800</v>
      </c>
      <c r="F5373" s="3">
        <v>39762</v>
      </c>
      <c r="G5373" s="2"/>
      <c r="H5373" s="3">
        <v>43053</v>
      </c>
      <c r="I5373" s="2" t="s">
        <v>19506</v>
      </c>
      <c r="J5373" s="2" t="s">
        <v>13904</v>
      </c>
      <c r="K5373" s="2" t="s">
        <v>5657</v>
      </c>
      <c r="L5373" s="82" t="s">
        <v>19512</v>
      </c>
    </row>
    <row r="5374" spans="1:12" ht="84" customHeight="1" x14ac:dyDescent="0.3">
      <c r="A5374" s="2">
        <v>5370</v>
      </c>
      <c r="B5374" s="66" t="s">
        <v>6091</v>
      </c>
      <c r="C5374" s="66" t="s">
        <v>6092</v>
      </c>
      <c r="D5374" s="11">
        <v>13083</v>
      </c>
      <c r="E5374" s="11">
        <v>13083</v>
      </c>
      <c r="F5374" s="3">
        <v>40870</v>
      </c>
      <c r="G5374" s="2"/>
      <c r="H5374" s="3">
        <v>43053</v>
      </c>
      <c r="I5374" s="2" t="s">
        <v>19506</v>
      </c>
      <c r="J5374" s="2" t="s">
        <v>13904</v>
      </c>
      <c r="K5374" s="2" t="s">
        <v>5657</v>
      </c>
      <c r="L5374" s="82" t="s">
        <v>19512</v>
      </c>
    </row>
    <row r="5375" spans="1:12" ht="84" customHeight="1" x14ac:dyDescent="0.3">
      <c r="A5375" s="2">
        <v>5371</v>
      </c>
      <c r="B5375" s="66" t="s">
        <v>6091</v>
      </c>
      <c r="C5375" s="66" t="s">
        <v>6093</v>
      </c>
      <c r="D5375" s="11">
        <v>13083</v>
      </c>
      <c r="E5375" s="11">
        <v>13083</v>
      </c>
      <c r="F5375" s="3">
        <v>40870</v>
      </c>
      <c r="G5375" s="2"/>
      <c r="H5375" s="3">
        <v>43053</v>
      </c>
      <c r="I5375" s="2" t="s">
        <v>19506</v>
      </c>
      <c r="J5375" s="2" t="s">
        <v>13904</v>
      </c>
      <c r="K5375" s="2" t="s">
        <v>5657</v>
      </c>
      <c r="L5375" s="82" t="s">
        <v>19512</v>
      </c>
    </row>
    <row r="5376" spans="1:12" ht="84" customHeight="1" x14ac:dyDescent="0.3">
      <c r="A5376" s="2">
        <v>5372</v>
      </c>
      <c r="B5376" s="66" t="s">
        <v>6094</v>
      </c>
      <c r="C5376" s="66" t="s">
        <v>6095</v>
      </c>
      <c r="D5376" s="11">
        <v>13083</v>
      </c>
      <c r="E5376" s="11">
        <v>13083</v>
      </c>
      <c r="F5376" s="3">
        <v>40870</v>
      </c>
      <c r="G5376" s="2"/>
      <c r="H5376" s="3">
        <v>43053</v>
      </c>
      <c r="I5376" s="2" t="s">
        <v>19506</v>
      </c>
      <c r="J5376" s="2" t="s">
        <v>13904</v>
      </c>
      <c r="K5376" s="2" t="s">
        <v>5657</v>
      </c>
      <c r="L5376" s="82" t="s">
        <v>19512</v>
      </c>
    </row>
    <row r="5377" spans="1:12" ht="84" customHeight="1" x14ac:dyDescent="0.3">
      <c r="A5377" s="2">
        <v>5373</v>
      </c>
      <c r="B5377" s="66" t="s">
        <v>6096</v>
      </c>
      <c r="C5377" s="66" t="s">
        <v>6097</v>
      </c>
      <c r="D5377" s="11">
        <v>13083</v>
      </c>
      <c r="E5377" s="11">
        <v>13083</v>
      </c>
      <c r="F5377" s="3">
        <v>40870</v>
      </c>
      <c r="G5377" s="2"/>
      <c r="H5377" s="3">
        <v>43053</v>
      </c>
      <c r="I5377" s="2" t="s">
        <v>19506</v>
      </c>
      <c r="J5377" s="2" t="s">
        <v>13904</v>
      </c>
      <c r="K5377" s="2" t="s">
        <v>5657</v>
      </c>
      <c r="L5377" s="82" t="s">
        <v>19512</v>
      </c>
    </row>
    <row r="5378" spans="1:12" ht="84" customHeight="1" x14ac:dyDescent="0.3">
      <c r="A5378" s="2">
        <v>5374</v>
      </c>
      <c r="B5378" s="66" t="s">
        <v>6096</v>
      </c>
      <c r="C5378" s="66" t="s">
        <v>6098</v>
      </c>
      <c r="D5378" s="11">
        <v>13083</v>
      </c>
      <c r="E5378" s="11">
        <v>13083</v>
      </c>
      <c r="F5378" s="3">
        <v>40870</v>
      </c>
      <c r="G5378" s="2"/>
      <c r="H5378" s="3">
        <v>43053</v>
      </c>
      <c r="I5378" s="2" t="s">
        <v>19506</v>
      </c>
      <c r="J5378" s="2" t="s">
        <v>13904</v>
      </c>
      <c r="K5378" s="2" t="s">
        <v>5657</v>
      </c>
      <c r="L5378" s="82" t="s">
        <v>19512</v>
      </c>
    </row>
    <row r="5379" spans="1:12" ht="84" customHeight="1" x14ac:dyDescent="0.3">
      <c r="A5379" s="2">
        <v>5375</v>
      </c>
      <c r="B5379" s="66" t="s">
        <v>6099</v>
      </c>
      <c r="C5379" s="66" t="s">
        <v>6100</v>
      </c>
      <c r="D5379" s="11">
        <v>27691</v>
      </c>
      <c r="E5379" s="11">
        <v>27691</v>
      </c>
      <c r="F5379" s="3">
        <v>40870</v>
      </c>
      <c r="G5379" s="2"/>
      <c r="H5379" s="3">
        <v>43053</v>
      </c>
      <c r="I5379" s="2" t="s">
        <v>19506</v>
      </c>
      <c r="J5379" s="2" t="s">
        <v>13904</v>
      </c>
      <c r="K5379" s="2" t="s">
        <v>5657</v>
      </c>
      <c r="L5379" s="82" t="s">
        <v>19512</v>
      </c>
    </row>
    <row r="5380" spans="1:12" ht="84" customHeight="1" x14ac:dyDescent="0.3">
      <c r="A5380" s="2">
        <v>5376</v>
      </c>
      <c r="B5380" s="66" t="s">
        <v>6101</v>
      </c>
      <c r="C5380" s="66" t="s">
        <v>6102</v>
      </c>
      <c r="D5380" s="11">
        <v>27691</v>
      </c>
      <c r="E5380" s="11">
        <v>27691</v>
      </c>
      <c r="F5380" s="3">
        <v>40870</v>
      </c>
      <c r="G5380" s="2"/>
      <c r="H5380" s="3">
        <v>43053</v>
      </c>
      <c r="I5380" s="2" t="s">
        <v>19506</v>
      </c>
      <c r="J5380" s="2" t="s">
        <v>13904</v>
      </c>
      <c r="K5380" s="2" t="s">
        <v>5657</v>
      </c>
      <c r="L5380" s="82" t="s">
        <v>19512</v>
      </c>
    </row>
    <row r="5381" spans="1:12" ht="84" customHeight="1" x14ac:dyDescent="0.3">
      <c r="A5381" s="2">
        <v>5377</v>
      </c>
      <c r="B5381" s="66" t="s">
        <v>6103</v>
      </c>
      <c r="C5381" s="66" t="s">
        <v>6104</v>
      </c>
      <c r="D5381" s="11">
        <v>27691</v>
      </c>
      <c r="E5381" s="11">
        <v>27691</v>
      </c>
      <c r="F5381" s="3">
        <v>40870</v>
      </c>
      <c r="G5381" s="2"/>
      <c r="H5381" s="3">
        <v>43053</v>
      </c>
      <c r="I5381" s="2" t="s">
        <v>19506</v>
      </c>
      <c r="J5381" s="2" t="s">
        <v>13904</v>
      </c>
      <c r="K5381" s="2" t="s">
        <v>5657</v>
      </c>
      <c r="L5381" s="82" t="s">
        <v>19512</v>
      </c>
    </row>
    <row r="5382" spans="1:12" ht="84" customHeight="1" x14ac:dyDescent="0.3">
      <c r="A5382" s="2">
        <v>5378</v>
      </c>
      <c r="B5382" s="66" t="s">
        <v>6103</v>
      </c>
      <c r="C5382" s="66" t="s">
        <v>6105</v>
      </c>
      <c r="D5382" s="11">
        <v>27691</v>
      </c>
      <c r="E5382" s="11">
        <v>27691</v>
      </c>
      <c r="F5382" s="3">
        <v>40870</v>
      </c>
      <c r="G5382" s="2"/>
      <c r="H5382" s="3">
        <v>43053</v>
      </c>
      <c r="I5382" s="2" t="s">
        <v>19506</v>
      </c>
      <c r="J5382" s="2" t="s">
        <v>13904</v>
      </c>
      <c r="K5382" s="2" t="s">
        <v>5657</v>
      </c>
      <c r="L5382" s="82" t="s">
        <v>19512</v>
      </c>
    </row>
    <row r="5383" spans="1:12" ht="84" customHeight="1" x14ac:dyDescent="0.3">
      <c r="A5383" s="2">
        <v>5379</v>
      </c>
      <c r="B5383" s="66" t="s">
        <v>6106</v>
      </c>
      <c r="C5383" s="66" t="s">
        <v>6107</v>
      </c>
      <c r="D5383" s="11">
        <v>27691</v>
      </c>
      <c r="E5383" s="11">
        <v>27691</v>
      </c>
      <c r="F5383" s="3">
        <v>40870</v>
      </c>
      <c r="G5383" s="2"/>
      <c r="H5383" s="3">
        <v>43053</v>
      </c>
      <c r="I5383" s="2" t="s">
        <v>19506</v>
      </c>
      <c r="J5383" s="2" t="s">
        <v>13904</v>
      </c>
      <c r="K5383" s="2" t="s">
        <v>5657</v>
      </c>
      <c r="L5383" s="82" t="s">
        <v>19512</v>
      </c>
    </row>
    <row r="5384" spans="1:12" ht="84" customHeight="1" x14ac:dyDescent="0.3">
      <c r="A5384" s="2">
        <v>5380</v>
      </c>
      <c r="B5384" s="66" t="s">
        <v>6108</v>
      </c>
      <c r="C5384" s="66" t="s">
        <v>6109</v>
      </c>
      <c r="D5384" s="11">
        <v>6000</v>
      </c>
      <c r="E5384" s="11">
        <v>6000</v>
      </c>
      <c r="F5384" s="3">
        <v>39762</v>
      </c>
      <c r="G5384" s="2"/>
      <c r="H5384" s="3">
        <v>43053</v>
      </c>
      <c r="I5384" s="2" t="s">
        <v>19506</v>
      </c>
      <c r="J5384" s="2" t="s">
        <v>13904</v>
      </c>
      <c r="K5384" s="2" t="s">
        <v>5657</v>
      </c>
      <c r="L5384" s="82" t="s">
        <v>19512</v>
      </c>
    </row>
    <row r="5385" spans="1:12" ht="84" customHeight="1" x14ac:dyDescent="0.3">
      <c r="A5385" s="2">
        <v>5381</v>
      </c>
      <c r="B5385" s="66" t="s">
        <v>6110</v>
      </c>
      <c r="C5385" s="66" t="s">
        <v>6111</v>
      </c>
      <c r="D5385" s="11">
        <v>22994</v>
      </c>
      <c r="E5385" s="11">
        <v>22994</v>
      </c>
      <c r="F5385" s="3">
        <v>40870</v>
      </c>
      <c r="G5385" s="2"/>
      <c r="H5385" s="3">
        <v>43053</v>
      </c>
      <c r="I5385" s="2" t="s">
        <v>19506</v>
      </c>
      <c r="J5385" s="2" t="s">
        <v>13904</v>
      </c>
      <c r="K5385" s="2" t="s">
        <v>5657</v>
      </c>
      <c r="L5385" s="82" t="s">
        <v>19512</v>
      </c>
    </row>
    <row r="5386" spans="1:12" ht="84" customHeight="1" x14ac:dyDescent="0.3">
      <c r="A5386" s="2">
        <v>5382</v>
      </c>
      <c r="B5386" s="66" t="s">
        <v>6112</v>
      </c>
      <c r="C5386" s="66" t="s">
        <v>6113</v>
      </c>
      <c r="D5386" s="11">
        <v>22994</v>
      </c>
      <c r="E5386" s="11">
        <v>22994</v>
      </c>
      <c r="F5386" s="3">
        <v>40870</v>
      </c>
      <c r="G5386" s="2"/>
      <c r="H5386" s="3">
        <v>43053</v>
      </c>
      <c r="I5386" s="2" t="s">
        <v>19506</v>
      </c>
      <c r="J5386" s="2" t="s">
        <v>13904</v>
      </c>
      <c r="K5386" s="2" t="s">
        <v>5657</v>
      </c>
      <c r="L5386" s="82" t="s">
        <v>19512</v>
      </c>
    </row>
    <row r="5387" spans="1:12" ht="84" customHeight="1" x14ac:dyDescent="0.3">
      <c r="A5387" s="2">
        <v>5383</v>
      </c>
      <c r="B5387" s="66" t="s">
        <v>6114</v>
      </c>
      <c r="C5387" s="66" t="s">
        <v>6115</v>
      </c>
      <c r="D5387" s="11">
        <v>22994</v>
      </c>
      <c r="E5387" s="11">
        <v>22994</v>
      </c>
      <c r="F5387" s="3">
        <v>40870</v>
      </c>
      <c r="G5387" s="2"/>
      <c r="H5387" s="3">
        <v>43053</v>
      </c>
      <c r="I5387" s="2" t="s">
        <v>19506</v>
      </c>
      <c r="J5387" s="2" t="s">
        <v>13904</v>
      </c>
      <c r="K5387" s="2" t="s">
        <v>5657</v>
      </c>
      <c r="L5387" s="82" t="s">
        <v>19512</v>
      </c>
    </row>
    <row r="5388" spans="1:12" ht="84" customHeight="1" x14ac:dyDescent="0.3">
      <c r="A5388" s="2">
        <v>5384</v>
      </c>
      <c r="B5388" s="66" t="s">
        <v>6116</v>
      </c>
      <c r="C5388" s="66" t="s">
        <v>6117</v>
      </c>
      <c r="D5388" s="11">
        <v>22994</v>
      </c>
      <c r="E5388" s="11">
        <v>22994</v>
      </c>
      <c r="F5388" s="3">
        <v>40870</v>
      </c>
      <c r="G5388" s="2"/>
      <c r="H5388" s="3">
        <v>43053</v>
      </c>
      <c r="I5388" s="2" t="s">
        <v>19506</v>
      </c>
      <c r="J5388" s="2" t="s">
        <v>13904</v>
      </c>
      <c r="K5388" s="2" t="s">
        <v>5657</v>
      </c>
      <c r="L5388" s="82" t="s">
        <v>19512</v>
      </c>
    </row>
    <row r="5389" spans="1:12" ht="84" customHeight="1" x14ac:dyDescent="0.3">
      <c r="A5389" s="2">
        <v>5385</v>
      </c>
      <c r="B5389" s="66" t="s">
        <v>6118</v>
      </c>
      <c r="C5389" s="66" t="s">
        <v>6119</v>
      </c>
      <c r="D5389" s="11">
        <v>22994</v>
      </c>
      <c r="E5389" s="11">
        <v>22994</v>
      </c>
      <c r="F5389" s="3">
        <v>40870</v>
      </c>
      <c r="G5389" s="2"/>
      <c r="H5389" s="3">
        <v>43053</v>
      </c>
      <c r="I5389" s="2" t="s">
        <v>19506</v>
      </c>
      <c r="J5389" s="2" t="s">
        <v>13904</v>
      </c>
      <c r="K5389" s="2" t="s">
        <v>5657</v>
      </c>
      <c r="L5389" s="82" t="s">
        <v>19512</v>
      </c>
    </row>
    <row r="5390" spans="1:12" ht="84" customHeight="1" x14ac:dyDescent="0.3">
      <c r="A5390" s="2">
        <v>5386</v>
      </c>
      <c r="B5390" s="66" t="s">
        <v>6120</v>
      </c>
      <c r="C5390" s="66" t="s">
        <v>6121</v>
      </c>
      <c r="D5390" s="11">
        <v>22994</v>
      </c>
      <c r="E5390" s="11">
        <v>22994</v>
      </c>
      <c r="F5390" s="3">
        <v>40870</v>
      </c>
      <c r="G5390" s="2"/>
      <c r="H5390" s="3">
        <v>43053</v>
      </c>
      <c r="I5390" s="2" t="s">
        <v>19506</v>
      </c>
      <c r="J5390" s="2" t="s">
        <v>13904</v>
      </c>
      <c r="K5390" s="2" t="s">
        <v>5657</v>
      </c>
      <c r="L5390" s="82" t="s">
        <v>19512</v>
      </c>
    </row>
    <row r="5391" spans="1:12" ht="84" customHeight="1" x14ac:dyDescent="0.3">
      <c r="A5391" s="2">
        <v>5387</v>
      </c>
      <c r="B5391" s="66" t="s">
        <v>6122</v>
      </c>
      <c r="C5391" s="66" t="s">
        <v>6123</v>
      </c>
      <c r="D5391" s="11">
        <v>22994</v>
      </c>
      <c r="E5391" s="11">
        <v>22994</v>
      </c>
      <c r="F5391" s="3">
        <v>40870</v>
      </c>
      <c r="G5391" s="2"/>
      <c r="H5391" s="3">
        <v>43053</v>
      </c>
      <c r="I5391" s="2" t="s">
        <v>19506</v>
      </c>
      <c r="J5391" s="2" t="s">
        <v>13904</v>
      </c>
      <c r="K5391" s="2" t="s">
        <v>5657</v>
      </c>
      <c r="L5391" s="82" t="s">
        <v>19512</v>
      </c>
    </row>
    <row r="5392" spans="1:12" ht="84" customHeight="1" x14ac:dyDescent="0.3">
      <c r="A5392" s="2">
        <v>5388</v>
      </c>
      <c r="B5392" s="66" t="s">
        <v>6124</v>
      </c>
      <c r="C5392" s="66" t="s">
        <v>6125</v>
      </c>
      <c r="D5392" s="11">
        <v>22994</v>
      </c>
      <c r="E5392" s="11">
        <v>22994</v>
      </c>
      <c r="F5392" s="3">
        <v>40870</v>
      </c>
      <c r="G5392" s="2"/>
      <c r="H5392" s="3">
        <v>43053</v>
      </c>
      <c r="I5392" s="2" t="s">
        <v>19506</v>
      </c>
      <c r="J5392" s="2" t="s">
        <v>13904</v>
      </c>
      <c r="K5392" s="2" t="s">
        <v>5657</v>
      </c>
      <c r="L5392" s="82" t="s">
        <v>19512</v>
      </c>
    </row>
    <row r="5393" spans="1:12" ht="84" customHeight="1" x14ac:dyDescent="0.3">
      <c r="A5393" s="2">
        <v>5389</v>
      </c>
      <c r="B5393" s="66" t="s">
        <v>6126</v>
      </c>
      <c r="C5393" s="66" t="s">
        <v>6127</v>
      </c>
      <c r="D5393" s="11">
        <v>22994</v>
      </c>
      <c r="E5393" s="11">
        <v>22994</v>
      </c>
      <c r="F5393" s="3">
        <v>40870</v>
      </c>
      <c r="G5393" s="2"/>
      <c r="H5393" s="3">
        <v>43053</v>
      </c>
      <c r="I5393" s="2" t="s">
        <v>19506</v>
      </c>
      <c r="J5393" s="2" t="s">
        <v>13904</v>
      </c>
      <c r="K5393" s="2" t="s">
        <v>5657</v>
      </c>
      <c r="L5393" s="82" t="s">
        <v>19512</v>
      </c>
    </row>
    <row r="5394" spans="1:12" ht="84" customHeight="1" x14ac:dyDescent="0.3">
      <c r="A5394" s="2">
        <v>5390</v>
      </c>
      <c r="B5394" s="66" t="s">
        <v>6126</v>
      </c>
      <c r="C5394" s="66" t="s">
        <v>6128</v>
      </c>
      <c r="D5394" s="11">
        <v>22994</v>
      </c>
      <c r="E5394" s="11">
        <v>22994</v>
      </c>
      <c r="F5394" s="3">
        <v>40870</v>
      </c>
      <c r="G5394" s="2"/>
      <c r="H5394" s="3">
        <v>43053</v>
      </c>
      <c r="I5394" s="2" t="s">
        <v>19506</v>
      </c>
      <c r="J5394" s="2" t="s">
        <v>13904</v>
      </c>
      <c r="K5394" s="2" t="s">
        <v>5657</v>
      </c>
      <c r="L5394" s="82" t="s">
        <v>19512</v>
      </c>
    </row>
    <row r="5395" spans="1:12" ht="84" customHeight="1" x14ac:dyDescent="0.3">
      <c r="A5395" s="2">
        <v>5391</v>
      </c>
      <c r="B5395" s="66" t="s">
        <v>6129</v>
      </c>
      <c r="C5395" s="66" t="s">
        <v>6130</v>
      </c>
      <c r="D5395" s="11">
        <v>22994</v>
      </c>
      <c r="E5395" s="11">
        <v>22994</v>
      </c>
      <c r="F5395" s="3">
        <v>40870</v>
      </c>
      <c r="G5395" s="2"/>
      <c r="H5395" s="3">
        <v>43053</v>
      </c>
      <c r="I5395" s="2" t="s">
        <v>19506</v>
      </c>
      <c r="J5395" s="2" t="s">
        <v>13904</v>
      </c>
      <c r="K5395" s="2" t="s">
        <v>5657</v>
      </c>
      <c r="L5395" s="82" t="s">
        <v>19512</v>
      </c>
    </row>
    <row r="5396" spans="1:12" ht="84" customHeight="1" x14ac:dyDescent="0.3">
      <c r="A5396" s="2">
        <v>5392</v>
      </c>
      <c r="B5396" s="66" t="s">
        <v>6131</v>
      </c>
      <c r="C5396" s="66" t="s">
        <v>6132</v>
      </c>
      <c r="D5396" s="11">
        <v>22994</v>
      </c>
      <c r="E5396" s="11">
        <v>22994</v>
      </c>
      <c r="F5396" s="3">
        <v>40870</v>
      </c>
      <c r="G5396" s="2"/>
      <c r="H5396" s="3">
        <v>43053</v>
      </c>
      <c r="I5396" s="2" t="s">
        <v>19506</v>
      </c>
      <c r="J5396" s="2" t="s">
        <v>13904</v>
      </c>
      <c r="K5396" s="2" t="s">
        <v>5657</v>
      </c>
      <c r="L5396" s="82" t="s">
        <v>19512</v>
      </c>
    </row>
    <row r="5397" spans="1:12" ht="84" customHeight="1" x14ac:dyDescent="0.3">
      <c r="A5397" s="2">
        <v>5393</v>
      </c>
      <c r="B5397" s="66" t="s">
        <v>6133</v>
      </c>
      <c r="C5397" s="66" t="s">
        <v>6134</v>
      </c>
      <c r="D5397" s="11">
        <v>22994</v>
      </c>
      <c r="E5397" s="11">
        <v>22994</v>
      </c>
      <c r="F5397" s="3">
        <v>40870</v>
      </c>
      <c r="G5397" s="2"/>
      <c r="H5397" s="3">
        <v>43053</v>
      </c>
      <c r="I5397" s="2" t="s">
        <v>19506</v>
      </c>
      <c r="J5397" s="2" t="s">
        <v>13904</v>
      </c>
      <c r="K5397" s="2" t="s">
        <v>5657</v>
      </c>
      <c r="L5397" s="82" t="s">
        <v>19512</v>
      </c>
    </row>
    <row r="5398" spans="1:12" ht="84" customHeight="1" x14ac:dyDescent="0.3">
      <c r="A5398" s="2">
        <v>5394</v>
      </c>
      <c r="B5398" s="66" t="s">
        <v>6135</v>
      </c>
      <c r="C5398" s="66" t="s">
        <v>6136</v>
      </c>
      <c r="D5398" s="11">
        <v>31027</v>
      </c>
      <c r="E5398" s="11">
        <v>31027</v>
      </c>
      <c r="F5398" s="3">
        <v>40870</v>
      </c>
      <c r="G5398" s="2"/>
      <c r="H5398" s="3">
        <v>43053</v>
      </c>
      <c r="I5398" s="2" t="s">
        <v>19506</v>
      </c>
      <c r="J5398" s="2" t="s">
        <v>13904</v>
      </c>
      <c r="K5398" s="2" t="s">
        <v>5657</v>
      </c>
      <c r="L5398" s="82" t="s">
        <v>19512</v>
      </c>
    </row>
    <row r="5399" spans="1:12" ht="84" customHeight="1" x14ac:dyDescent="0.3">
      <c r="A5399" s="2">
        <v>5395</v>
      </c>
      <c r="B5399" s="66" t="s">
        <v>6137</v>
      </c>
      <c r="C5399" s="66" t="s">
        <v>6138</v>
      </c>
      <c r="D5399" s="11">
        <v>37440</v>
      </c>
      <c r="E5399" s="11">
        <v>37440</v>
      </c>
      <c r="F5399" s="3">
        <v>40870</v>
      </c>
      <c r="G5399" s="2"/>
      <c r="H5399" s="3">
        <v>43053</v>
      </c>
      <c r="I5399" s="2" t="s">
        <v>19506</v>
      </c>
      <c r="J5399" s="2" t="s">
        <v>13904</v>
      </c>
      <c r="K5399" s="2" t="s">
        <v>5657</v>
      </c>
      <c r="L5399" s="82" t="s">
        <v>19512</v>
      </c>
    </row>
    <row r="5400" spans="1:12" ht="84" customHeight="1" x14ac:dyDescent="0.3">
      <c r="A5400" s="2">
        <v>5396</v>
      </c>
      <c r="B5400" s="66" t="s">
        <v>6139</v>
      </c>
      <c r="C5400" s="66" t="s">
        <v>6140</v>
      </c>
      <c r="D5400" s="11">
        <v>8677</v>
      </c>
      <c r="E5400" s="11">
        <v>8677</v>
      </c>
      <c r="F5400" s="3">
        <v>40870</v>
      </c>
      <c r="G5400" s="2"/>
      <c r="H5400" s="3">
        <v>43053</v>
      </c>
      <c r="I5400" s="2" t="s">
        <v>19506</v>
      </c>
      <c r="J5400" s="2" t="s">
        <v>13904</v>
      </c>
      <c r="K5400" s="2" t="s">
        <v>5657</v>
      </c>
      <c r="L5400" s="82" t="s">
        <v>19512</v>
      </c>
    </row>
    <row r="5401" spans="1:12" ht="84" customHeight="1" x14ac:dyDescent="0.3">
      <c r="A5401" s="2">
        <v>5397</v>
      </c>
      <c r="B5401" s="66" t="s">
        <v>6141</v>
      </c>
      <c r="C5401" s="66" t="s">
        <v>6142</v>
      </c>
      <c r="D5401" s="11">
        <v>9702</v>
      </c>
      <c r="E5401" s="11">
        <v>9702</v>
      </c>
      <c r="F5401" s="3">
        <v>40870</v>
      </c>
      <c r="G5401" s="2"/>
      <c r="H5401" s="3">
        <v>43053</v>
      </c>
      <c r="I5401" s="2" t="s">
        <v>19506</v>
      </c>
      <c r="J5401" s="2" t="s">
        <v>13904</v>
      </c>
      <c r="K5401" s="2" t="s">
        <v>5657</v>
      </c>
      <c r="L5401" s="82" t="s">
        <v>19512</v>
      </c>
    </row>
    <row r="5402" spans="1:12" ht="84" customHeight="1" x14ac:dyDescent="0.3">
      <c r="A5402" s="2">
        <v>5398</v>
      </c>
      <c r="B5402" s="66" t="s">
        <v>6143</v>
      </c>
      <c r="C5402" s="66" t="s">
        <v>6144</v>
      </c>
      <c r="D5402" s="11">
        <v>30929.23</v>
      </c>
      <c r="E5402" s="11">
        <v>30929.23</v>
      </c>
      <c r="F5402" s="3">
        <v>38602</v>
      </c>
      <c r="G5402" s="2"/>
      <c r="H5402" s="3">
        <v>43053</v>
      </c>
      <c r="I5402" s="2" t="s">
        <v>19506</v>
      </c>
      <c r="J5402" s="2" t="s">
        <v>13904</v>
      </c>
      <c r="K5402" s="2" t="s">
        <v>5657</v>
      </c>
      <c r="L5402" s="82" t="s">
        <v>19512</v>
      </c>
    </row>
    <row r="5403" spans="1:12" ht="84" customHeight="1" x14ac:dyDescent="0.3">
      <c r="A5403" s="2">
        <v>5399</v>
      </c>
      <c r="B5403" s="66" t="s">
        <v>2249</v>
      </c>
      <c r="C5403" s="66" t="s">
        <v>6145</v>
      </c>
      <c r="D5403" s="11">
        <v>7553</v>
      </c>
      <c r="E5403" s="11">
        <v>7553</v>
      </c>
      <c r="F5403" s="3">
        <v>41771</v>
      </c>
      <c r="G5403" s="2"/>
      <c r="H5403" s="3">
        <v>43053</v>
      </c>
      <c r="I5403" s="2" t="s">
        <v>19506</v>
      </c>
      <c r="J5403" s="2" t="s">
        <v>13904</v>
      </c>
      <c r="K5403" s="2" t="s">
        <v>5657</v>
      </c>
      <c r="L5403" s="82" t="s">
        <v>19512</v>
      </c>
    </row>
    <row r="5404" spans="1:12" ht="84" customHeight="1" x14ac:dyDescent="0.3">
      <c r="A5404" s="2">
        <v>5400</v>
      </c>
      <c r="B5404" s="66" t="s">
        <v>1080</v>
      </c>
      <c r="C5404" s="66" t="s">
        <v>6146</v>
      </c>
      <c r="D5404" s="11">
        <v>3677.1</v>
      </c>
      <c r="E5404" s="11">
        <v>3677.1</v>
      </c>
      <c r="F5404" s="3">
        <v>36879</v>
      </c>
      <c r="G5404" s="2"/>
      <c r="H5404" s="3">
        <v>43053</v>
      </c>
      <c r="I5404" s="2" t="s">
        <v>19506</v>
      </c>
      <c r="J5404" s="2" t="s">
        <v>13904</v>
      </c>
      <c r="K5404" s="2" t="s">
        <v>5657</v>
      </c>
      <c r="L5404" s="82" t="s">
        <v>19512</v>
      </c>
    </row>
    <row r="5405" spans="1:12" ht="84" customHeight="1" x14ac:dyDescent="0.3">
      <c r="A5405" s="2">
        <v>5401</v>
      </c>
      <c r="B5405" s="66" t="s">
        <v>222</v>
      </c>
      <c r="C5405" s="66" t="s">
        <v>6147</v>
      </c>
      <c r="D5405" s="11">
        <v>10000</v>
      </c>
      <c r="E5405" s="11">
        <v>10000</v>
      </c>
      <c r="F5405" s="3">
        <v>39762</v>
      </c>
      <c r="G5405" s="2"/>
      <c r="H5405" s="3">
        <v>43053</v>
      </c>
      <c r="I5405" s="2" t="s">
        <v>19506</v>
      </c>
      <c r="J5405" s="2" t="s">
        <v>13904</v>
      </c>
      <c r="K5405" s="2" t="s">
        <v>5657</v>
      </c>
      <c r="L5405" s="82" t="s">
        <v>19512</v>
      </c>
    </row>
    <row r="5406" spans="1:12" ht="84" customHeight="1" x14ac:dyDescent="0.3">
      <c r="A5406" s="2">
        <v>5402</v>
      </c>
      <c r="B5406" s="66" t="s">
        <v>6148</v>
      </c>
      <c r="C5406" s="66" t="s">
        <v>6149</v>
      </c>
      <c r="D5406" s="11">
        <v>19800</v>
      </c>
      <c r="E5406" s="11">
        <v>19800</v>
      </c>
      <c r="F5406" s="3">
        <v>39142</v>
      </c>
      <c r="G5406" s="2"/>
      <c r="H5406" s="3">
        <v>43053</v>
      </c>
      <c r="I5406" s="2" t="s">
        <v>19506</v>
      </c>
      <c r="J5406" s="2" t="s">
        <v>13904</v>
      </c>
      <c r="K5406" s="2" t="s">
        <v>5657</v>
      </c>
      <c r="L5406" s="82" t="s">
        <v>19512</v>
      </c>
    </row>
    <row r="5407" spans="1:12" ht="84" customHeight="1" x14ac:dyDescent="0.3">
      <c r="A5407" s="2">
        <v>5403</v>
      </c>
      <c r="B5407" s="66" t="s">
        <v>6148</v>
      </c>
      <c r="C5407" s="66" t="s">
        <v>6150</v>
      </c>
      <c r="D5407" s="11">
        <v>19800</v>
      </c>
      <c r="E5407" s="11">
        <v>19800</v>
      </c>
      <c r="F5407" s="3">
        <v>39142</v>
      </c>
      <c r="G5407" s="2"/>
      <c r="H5407" s="3">
        <v>43053</v>
      </c>
      <c r="I5407" s="2" t="s">
        <v>19506</v>
      </c>
      <c r="J5407" s="2" t="s">
        <v>13904</v>
      </c>
      <c r="K5407" s="2" t="s">
        <v>5657</v>
      </c>
      <c r="L5407" s="82" t="s">
        <v>19512</v>
      </c>
    </row>
    <row r="5408" spans="1:12" ht="84" customHeight="1" x14ac:dyDescent="0.3">
      <c r="A5408" s="2">
        <v>5404</v>
      </c>
      <c r="B5408" s="66" t="s">
        <v>6151</v>
      </c>
      <c r="C5408" s="66" t="s">
        <v>6152</v>
      </c>
      <c r="D5408" s="11">
        <v>10500</v>
      </c>
      <c r="E5408" s="11">
        <v>10500</v>
      </c>
      <c r="F5408" s="3">
        <v>39142</v>
      </c>
      <c r="G5408" s="2"/>
      <c r="H5408" s="3">
        <v>43053</v>
      </c>
      <c r="I5408" s="2" t="s">
        <v>19506</v>
      </c>
      <c r="J5408" s="2" t="s">
        <v>13904</v>
      </c>
      <c r="K5408" s="2" t="s">
        <v>5657</v>
      </c>
      <c r="L5408" s="82" t="s">
        <v>19512</v>
      </c>
    </row>
    <row r="5409" spans="1:12" ht="84" customHeight="1" x14ac:dyDescent="0.3">
      <c r="A5409" s="2">
        <v>5405</v>
      </c>
      <c r="B5409" s="66" t="s">
        <v>6153</v>
      </c>
      <c r="C5409" s="66" t="s">
        <v>6154</v>
      </c>
      <c r="D5409" s="11">
        <v>4200</v>
      </c>
      <c r="E5409" s="11">
        <v>4200</v>
      </c>
      <c r="F5409" s="3">
        <v>39142</v>
      </c>
      <c r="G5409" s="2"/>
      <c r="H5409" s="3">
        <v>43053</v>
      </c>
      <c r="I5409" s="2" t="s">
        <v>19506</v>
      </c>
      <c r="J5409" s="2" t="s">
        <v>13904</v>
      </c>
      <c r="K5409" s="2" t="s">
        <v>5657</v>
      </c>
      <c r="L5409" s="82" t="s">
        <v>19512</v>
      </c>
    </row>
    <row r="5410" spans="1:12" ht="84" customHeight="1" x14ac:dyDescent="0.3">
      <c r="A5410" s="2">
        <v>5406</v>
      </c>
      <c r="B5410" s="66" t="s">
        <v>6155</v>
      </c>
      <c r="C5410" s="66" t="s">
        <v>6156</v>
      </c>
      <c r="D5410" s="11">
        <v>5010</v>
      </c>
      <c r="E5410" s="11">
        <v>5010</v>
      </c>
      <c r="F5410" s="3">
        <v>40862</v>
      </c>
      <c r="G5410" s="2"/>
      <c r="H5410" s="3">
        <v>43053</v>
      </c>
      <c r="I5410" s="2" t="s">
        <v>19506</v>
      </c>
      <c r="J5410" s="2" t="s">
        <v>13904</v>
      </c>
      <c r="K5410" s="2" t="s">
        <v>5657</v>
      </c>
      <c r="L5410" s="82" t="s">
        <v>19512</v>
      </c>
    </row>
    <row r="5411" spans="1:12" ht="84" customHeight="1" x14ac:dyDescent="0.3">
      <c r="A5411" s="2">
        <v>5407</v>
      </c>
      <c r="B5411" s="66" t="s">
        <v>6157</v>
      </c>
      <c r="C5411" s="66" t="s">
        <v>6158</v>
      </c>
      <c r="D5411" s="11">
        <v>9458.7999999999993</v>
      </c>
      <c r="E5411" s="11">
        <v>9458.7999999999993</v>
      </c>
      <c r="F5411" s="3">
        <v>39052</v>
      </c>
      <c r="G5411" s="2"/>
      <c r="H5411" s="3">
        <v>43053</v>
      </c>
      <c r="I5411" s="2" t="s">
        <v>19506</v>
      </c>
      <c r="J5411" s="2" t="s">
        <v>13904</v>
      </c>
      <c r="K5411" s="2" t="s">
        <v>5657</v>
      </c>
      <c r="L5411" s="82" t="s">
        <v>19512</v>
      </c>
    </row>
    <row r="5412" spans="1:12" ht="84" customHeight="1" x14ac:dyDescent="0.3">
      <c r="A5412" s="2">
        <v>5408</v>
      </c>
      <c r="B5412" s="66" t="s">
        <v>6159</v>
      </c>
      <c r="C5412" s="66" t="s">
        <v>6160</v>
      </c>
      <c r="D5412" s="11">
        <v>9458.7999999999993</v>
      </c>
      <c r="E5412" s="11">
        <v>9458.7999999999993</v>
      </c>
      <c r="F5412" s="3">
        <v>39052</v>
      </c>
      <c r="G5412" s="2"/>
      <c r="H5412" s="3">
        <v>43053</v>
      </c>
      <c r="I5412" s="2" t="s">
        <v>19506</v>
      </c>
      <c r="J5412" s="2" t="s">
        <v>13904</v>
      </c>
      <c r="K5412" s="2" t="s">
        <v>5657</v>
      </c>
      <c r="L5412" s="82" t="s">
        <v>19512</v>
      </c>
    </row>
    <row r="5413" spans="1:12" ht="84" customHeight="1" x14ac:dyDescent="0.3">
      <c r="A5413" s="2">
        <v>5409</v>
      </c>
      <c r="B5413" s="66" t="s">
        <v>6161</v>
      </c>
      <c r="C5413" s="66" t="s">
        <v>6162</v>
      </c>
      <c r="D5413" s="11">
        <v>9458.7999999999993</v>
      </c>
      <c r="E5413" s="11">
        <v>9458.7999999999993</v>
      </c>
      <c r="F5413" s="3">
        <v>39052</v>
      </c>
      <c r="G5413" s="2"/>
      <c r="H5413" s="3">
        <v>43053</v>
      </c>
      <c r="I5413" s="2" t="s">
        <v>19506</v>
      </c>
      <c r="J5413" s="2" t="s">
        <v>13904</v>
      </c>
      <c r="K5413" s="2" t="s">
        <v>5657</v>
      </c>
      <c r="L5413" s="82" t="s">
        <v>19512</v>
      </c>
    </row>
    <row r="5414" spans="1:12" ht="84" customHeight="1" x14ac:dyDescent="0.3">
      <c r="A5414" s="2">
        <v>5410</v>
      </c>
      <c r="B5414" s="66" t="s">
        <v>6163</v>
      </c>
      <c r="C5414" s="66" t="s">
        <v>6164</v>
      </c>
      <c r="D5414" s="11">
        <v>9458.77</v>
      </c>
      <c r="E5414" s="11">
        <v>9458.77</v>
      </c>
      <c r="F5414" s="3">
        <v>39052</v>
      </c>
      <c r="G5414" s="2"/>
      <c r="H5414" s="3">
        <v>43053</v>
      </c>
      <c r="I5414" s="2" t="s">
        <v>19506</v>
      </c>
      <c r="J5414" s="2" t="s">
        <v>13904</v>
      </c>
      <c r="K5414" s="2" t="s">
        <v>5657</v>
      </c>
      <c r="L5414" s="82" t="s">
        <v>19512</v>
      </c>
    </row>
    <row r="5415" spans="1:12" ht="84" customHeight="1" x14ac:dyDescent="0.3">
      <c r="A5415" s="2">
        <v>5411</v>
      </c>
      <c r="B5415" s="66" t="s">
        <v>6165</v>
      </c>
      <c r="C5415" s="66" t="s">
        <v>6166</v>
      </c>
      <c r="D5415" s="11">
        <v>9458.7999999999993</v>
      </c>
      <c r="E5415" s="11">
        <v>9458.7999999999993</v>
      </c>
      <c r="F5415" s="3">
        <v>39052</v>
      </c>
      <c r="G5415" s="2"/>
      <c r="H5415" s="3">
        <v>43053</v>
      </c>
      <c r="I5415" s="2" t="s">
        <v>19506</v>
      </c>
      <c r="J5415" s="2" t="s">
        <v>13904</v>
      </c>
      <c r="K5415" s="2" t="s">
        <v>5657</v>
      </c>
      <c r="L5415" s="82" t="s">
        <v>19512</v>
      </c>
    </row>
    <row r="5416" spans="1:12" ht="84" customHeight="1" x14ac:dyDescent="0.3">
      <c r="A5416" s="2">
        <v>5412</v>
      </c>
      <c r="B5416" s="66" t="s">
        <v>6167</v>
      </c>
      <c r="C5416" s="66" t="s">
        <v>6168</v>
      </c>
      <c r="D5416" s="11">
        <v>9458.7999999999993</v>
      </c>
      <c r="E5416" s="11">
        <v>9458.7999999999993</v>
      </c>
      <c r="F5416" s="3">
        <v>39052</v>
      </c>
      <c r="G5416" s="2"/>
      <c r="H5416" s="3">
        <v>43053</v>
      </c>
      <c r="I5416" s="2" t="s">
        <v>19506</v>
      </c>
      <c r="J5416" s="2" t="s">
        <v>13904</v>
      </c>
      <c r="K5416" s="2" t="s">
        <v>5657</v>
      </c>
      <c r="L5416" s="82" t="s">
        <v>19512</v>
      </c>
    </row>
    <row r="5417" spans="1:12" ht="84" customHeight="1" x14ac:dyDescent="0.3">
      <c r="A5417" s="2">
        <v>5413</v>
      </c>
      <c r="B5417" s="66" t="s">
        <v>6165</v>
      </c>
      <c r="C5417" s="66" t="s">
        <v>6169</v>
      </c>
      <c r="D5417" s="11">
        <v>9458.7999999999993</v>
      </c>
      <c r="E5417" s="11">
        <v>9458.7999999999993</v>
      </c>
      <c r="F5417" s="3">
        <v>39052</v>
      </c>
      <c r="G5417" s="2"/>
      <c r="H5417" s="3">
        <v>43053</v>
      </c>
      <c r="I5417" s="2" t="s">
        <v>19506</v>
      </c>
      <c r="J5417" s="2" t="s">
        <v>13904</v>
      </c>
      <c r="K5417" s="2" t="s">
        <v>5657</v>
      </c>
      <c r="L5417" s="82" t="s">
        <v>19512</v>
      </c>
    </row>
    <row r="5418" spans="1:12" ht="84" customHeight="1" x14ac:dyDescent="0.3">
      <c r="A5418" s="2">
        <v>5414</v>
      </c>
      <c r="B5418" s="66" t="s">
        <v>6165</v>
      </c>
      <c r="C5418" s="66" t="s">
        <v>5725</v>
      </c>
      <c r="D5418" s="11">
        <v>9458.77</v>
      </c>
      <c r="E5418" s="11">
        <v>9458.77</v>
      </c>
      <c r="F5418" s="3">
        <v>39052</v>
      </c>
      <c r="G5418" s="2"/>
      <c r="H5418" s="3">
        <v>43053</v>
      </c>
      <c r="I5418" s="2" t="s">
        <v>19506</v>
      </c>
      <c r="J5418" s="2" t="s">
        <v>13904</v>
      </c>
      <c r="K5418" s="2" t="s">
        <v>5657</v>
      </c>
      <c r="L5418" s="82" t="s">
        <v>19512</v>
      </c>
    </row>
    <row r="5419" spans="1:12" ht="84" customHeight="1" x14ac:dyDescent="0.3">
      <c r="A5419" s="2">
        <v>5415</v>
      </c>
      <c r="B5419" s="66" t="s">
        <v>6165</v>
      </c>
      <c r="C5419" s="66" t="s">
        <v>6170</v>
      </c>
      <c r="D5419" s="11">
        <v>10142</v>
      </c>
      <c r="E5419" s="11">
        <v>10142</v>
      </c>
      <c r="F5419" s="3">
        <v>39171</v>
      </c>
      <c r="G5419" s="2"/>
      <c r="H5419" s="3">
        <v>43053</v>
      </c>
      <c r="I5419" s="2" t="s">
        <v>19506</v>
      </c>
      <c r="J5419" s="2" t="s">
        <v>13904</v>
      </c>
      <c r="K5419" s="2" t="s">
        <v>5657</v>
      </c>
      <c r="L5419" s="82" t="s">
        <v>19512</v>
      </c>
    </row>
    <row r="5420" spans="1:12" ht="84" customHeight="1" x14ac:dyDescent="0.3">
      <c r="A5420" s="2">
        <v>5416</v>
      </c>
      <c r="B5420" s="66" t="s">
        <v>6171</v>
      </c>
      <c r="C5420" s="66" t="s">
        <v>6172</v>
      </c>
      <c r="D5420" s="11">
        <v>9458.7999999999993</v>
      </c>
      <c r="E5420" s="11">
        <v>9458.7999999999993</v>
      </c>
      <c r="F5420" s="3">
        <v>39052</v>
      </c>
      <c r="G5420" s="2"/>
      <c r="H5420" s="3">
        <v>43053</v>
      </c>
      <c r="I5420" s="2" t="s">
        <v>19506</v>
      </c>
      <c r="J5420" s="2" t="s">
        <v>13904</v>
      </c>
      <c r="K5420" s="2" t="s">
        <v>5657</v>
      </c>
      <c r="L5420" s="82" t="s">
        <v>19512</v>
      </c>
    </row>
    <row r="5421" spans="1:12" ht="84" customHeight="1" x14ac:dyDescent="0.3">
      <c r="A5421" s="2">
        <v>5417</v>
      </c>
      <c r="B5421" s="66" t="s">
        <v>6171</v>
      </c>
      <c r="C5421" s="66" t="s">
        <v>6173</v>
      </c>
      <c r="D5421" s="11">
        <v>9458.77</v>
      </c>
      <c r="E5421" s="11">
        <v>9458.77</v>
      </c>
      <c r="F5421" s="3">
        <v>39052</v>
      </c>
      <c r="G5421" s="2"/>
      <c r="H5421" s="3">
        <v>43053</v>
      </c>
      <c r="I5421" s="2" t="s">
        <v>19506</v>
      </c>
      <c r="J5421" s="2" t="s">
        <v>13904</v>
      </c>
      <c r="K5421" s="2" t="s">
        <v>5657</v>
      </c>
      <c r="L5421" s="82" t="s">
        <v>19512</v>
      </c>
    </row>
    <row r="5422" spans="1:12" ht="84" customHeight="1" x14ac:dyDescent="0.3">
      <c r="A5422" s="2">
        <v>5418</v>
      </c>
      <c r="B5422" s="66" t="s">
        <v>6171</v>
      </c>
      <c r="C5422" s="66" t="s">
        <v>6174</v>
      </c>
      <c r="D5422" s="11">
        <v>10142</v>
      </c>
      <c r="E5422" s="11">
        <v>10142</v>
      </c>
      <c r="F5422" s="3">
        <v>39171</v>
      </c>
      <c r="G5422" s="2"/>
      <c r="H5422" s="3">
        <v>43053</v>
      </c>
      <c r="I5422" s="2" t="s">
        <v>19506</v>
      </c>
      <c r="J5422" s="2" t="s">
        <v>13904</v>
      </c>
      <c r="K5422" s="2" t="s">
        <v>5657</v>
      </c>
      <c r="L5422" s="82" t="s">
        <v>19512</v>
      </c>
    </row>
    <row r="5423" spans="1:12" ht="84" customHeight="1" x14ac:dyDescent="0.3">
      <c r="A5423" s="2">
        <v>5419</v>
      </c>
      <c r="B5423" s="66" t="s">
        <v>6175</v>
      </c>
      <c r="C5423" s="66" t="s">
        <v>6176</v>
      </c>
      <c r="D5423" s="11">
        <v>9458.7999999999993</v>
      </c>
      <c r="E5423" s="11">
        <v>9458.7999999999993</v>
      </c>
      <c r="F5423" s="3">
        <v>39052</v>
      </c>
      <c r="G5423" s="2"/>
      <c r="H5423" s="3">
        <v>43053</v>
      </c>
      <c r="I5423" s="2" t="s">
        <v>19506</v>
      </c>
      <c r="J5423" s="2" t="s">
        <v>13904</v>
      </c>
      <c r="K5423" s="2" t="s">
        <v>5657</v>
      </c>
      <c r="L5423" s="82" t="s">
        <v>19512</v>
      </c>
    </row>
    <row r="5424" spans="1:12" ht="84" customHeight="1" x14ac:dyDescent="0.3">
      <c r="A5424" s="2">
        <v>5420</v>
      </c>
      <c r="B5424" s="66" t="s">
        <v>6175</v>
      </c>
      <c r="C5424" s="66" t="s">
        <v>6177</v>
      </c>
      <c r="D5424" s="11">
        <v>9458.7999999999993</v>
      </c>
      <c r="E5424" s="11">
        <v>9458.7999999999993</v>
      </c>
      <c r="F5424" s="3">
        <v>39052</v>
      </c>
      <c r="G5424" s="2"/>
      <c r="H5424" s="3">
        <v>43053</v>
      </c>
      <c r="I5424" s="2" t="s">
        <v>19506</v>
      </c>
      <c r="J5424" s="2" t="s">
        <v>13904</v>
      </c>
      <c r="K5424" s="2" t="s">
        <v>5657</v>
      </c>
      <c r="L5424" s="82" t="s">
        <v>19512</v>
      </c>
    </row>
    <row r="5425" spans="1:12" ht="84" customHeight="1" x14ac:dyDescent="0.3">
      <c r="A5425" s="2">
        <v>5421</v>
      </c>
      <c r="B5425" s="66" t="s">
        <v>6175</v>
      </c>
      <c r="C5425" s="66" t="s">
        <v>6178</v>
      </c>
      <c r="D5425" s="11">
        <v>9458.77</v>
      </c>
      <c r="E5425" s="11">
        <v>9458.77</v>
      </c>
      <c r="F5425" s="3">
        <v>39052</v>
      </c>
      <c r="G5425" s="2"/>
      <c r="H5425" s="3">
        <v>43053</v>
      </c>
      <c r="I5425" s="2" t="s">
        <v>19506</v>
      </c>
      <c r="J5425" s="2" t="s">
        <v>13904</v>
      </c>
      <c r="K5425" s="2" t="s">
        <v>5657</v>
      </c>
      <c r="L5425" s="82" t="s">
        <v>19512</v>
      </c>
    </row>
    <row r="5426" spans="1:12" ht="84" customHeight="1" x14ac:dyDescent="0.3">
      <c r="A5426" s="2">
        <v>5422</v>
      </c>
      <c r="B5426" s="66" t="s">
        <v>6175</v>
      </c>
      <c r="C5426" s="66" t="s">
        <v>6179</v>
      </c>
      <c r="D5426" s="11">
        <v>9458.77</v>
      </c>
      <c r="E5426" s="11">
        <v>9458.77</v>
      </c>
      <c r="F5426" s="3">
        <v>39052</v>
      </c>
      <c r="G5426" s="2"/>
      <c r="H5426" s="3">
        <v>43053</v>
      </c>
      <c r="I5426" s="2" t="s">
        <v>19506</v>
      </c>
      <c r="J5426" s="2" t="s">
        <v>13904</v>
      </c>
      <c r="K5426" s="2" t="s">
        <v>5657</v>
      </c>
      <c r="L5426" s="82" t="s">
        <v>19512</v>
      </c>
    </row>
    <row r="5427" spans="1:12" ht="84" customHeight="1" x14ac:dyDescent="0.3">
      <c r="A5427" s="2">
        <v>5423</v>
      </c>
      <c r="B5427" s="66" t="s">
        <v>6180</v>
      </c>
      <c r="C5427" s="66" t="s">
        <v>6181</v>
      </c>
      <c r="D5427" s="11">
        <v>9458.77</v>
      </c>
      <c r="E5427" s="11">
        <v>9458.77</v>
      </c>
      <c r="F5427" s="3">
        <v>39052</v>
      </c>
      <c r="G5427" s="2"/>
      <c r="H5427" s="3">
        <v>43053</v>
      </c>
      <c r="I5427" s="2" t="s">
        <v>19506</v>
      </c>
      <c r="J5427" s="2" t="s">
        <v>13904</v>
      </c>
      <c r="K5427" s="2" t="s">
        <v>5657</v>
      </c>
      <c r="L5427" s="82" t="s">
        <v>19512</v>
      </c>
    </row>
    <row r="5428" spans="1:12" ht="84" customHeight="1" x14ac:dyDescent="0.3">
      <c r="A5428" s="2">
        <v>5424</v>
      </c>
      <c r="B5428" s="66" t="s">
        <v>6175</v>
      </c>
      <c r="C5428" s="66" t="s">
        <v>6182</v>
      </c>
      <c r="D5428" s="11">
        <v>9458.77</v>
      </c>
      <c r="E5428" s="11">
        <v>9458.77</v>
      </c>
      <c r="F5428" s="3">
        <v>39052</v>
      </c>
      <c r="G5428" s="2"/>
      <c r="H5428" s="3">
        <v>43053</v>
      </c>
      <c r="I5428" s="2" t="s">
        <v>19506</v>
      </c>
      <c r="J5428" s="2" t="s">
        <v>13904</v>
      </c>
      <c r="K5428" s="2" t="s">
        <v>5657</v>
      </c>
      <c r="L5428" s="82" t="s">
        <v>19512</v>
      </c>
    </row>
    <row r="5429" spans="1:12" ht="84" customHeight="1" x14ac:dyDescent="0.3">
      <c r="A5429" s="2">
        <v>5425</v>
      </c>
      <c r="B5429" s="66" t="s">
        <v>6175</v>
      </c>
      <c r="C5429" s="66" t="s">
        <v>6183</v>
      </c>
      <c r="D5429" s="11">
        <v>10142</v>
      </c>
      <c r="E5429" s="11">
        <v>10142</v>
      </c>
      <c r="F5429" s="3">
        <v>39171</v>
      </c>
      <c r="G5429" s="2"/>
      <c r="H5429" s="3">
        <v>43053</v>
      </c>
      <c r="I5429" s="2" t="s">
        <v>19506</v>
      </c>
      <c r="J5429" s="2" t="s">
        <v>13904</v>
      </c>
      <c r="K5429" s="2" t="s">
        <v>5657</v>
      </c>
      <c r="L5429" s="82" t="s">
        <v>19512</v>
      </c>
    </row>
    <row r="5430" spans="1:12" ht="84" customHeight="1" x14ac:dyDescent="0.3">
      <c r="A5430" s="2">
        <v>5426</v>
      </c>
      <c r="B5430" s="66" t="s">
        <v>6175</v>
      </c>
      <c r="C5430" s="66" t="s">
        <v>6184</v>
      </c>
      <c r="D5430" s="11">
        <v>10142</v>
      </c>
      <c r="E5430" s="11">
        <v>10142</v>
      </c>
      <c r="F5430" s="3">
        <v>39171</v>
      </c>
      <c r="G5430" s="2"/>
      <c r="H5430" s="3">
        <v>43053</v>
      </c>
      <c r="I5430" s="2" t="s">
        <v>19506</v>
      </c>
      <c r="J5430" s="2" t="s">
        <v>13904</v>
      </c>
      <c r="K5430" s="2" t="s">
        <v>5657</v>
      </c>
      <c r="L5430" s="82" t="s">
        <v>19512</v>
      </c>
    </row>
    <row r="5431" spans="1:12" ht="84" customHeight="1" x14ac:dyDescent="0.3">
      <c r="A5431" s="2">
        <v>5427</v>
      </c>
      <c r="B5431" s="66" t="s">
        <v>6175</v>
      </c>
      <c r="C5431" s="66" t="s">
        <v>6185</v>
      </c>
      <c r="D5431" s="11">
        <v>10142</v>
      </c>
      <c r="E5431" s="11">
        <v>10142</v>
      </c>
      <c r="F5431" s="3">
        <v>39171</v>
      </c>
      <c r="G5431" s="2"/>
      <c r="H5431" s="3">
        <v>43053</v>
      </c>
      <c r="I5431" s="2" t="s">
        <v>19506</v>
      </c>
      <c r="J5431" s="2" t="s">
        <v>13904</v>
      </c>
      <c r="K5431" s="2" t="s">
        <v>5657</v>
      </c>
      <c r="L5431" s="82" t="s">
        <v>19512</v>
      </c>
    </row>
    <row r="5432" spans="1:12" ht="84" customHeight="1" x14ac:dyDescent="0.3">
      <c r="A5432" s="2">
        <v>5428</v>
      </c>
      <c r="B5432" s="66" t="s">
        <v>6175</v>
      </c>
      <c r="C5432" s="66" t="s">
        <v>6186</v>
      </c>
      <c r="D5432" s="11">
        <v>10142</v>
      </c>
      <c r="E5432" s="11">
        <v>10142</v>
      </c>
      <c r="F5432" s="3">
        <v>39171</v>
      </c>
      <c r="G5432" s="2"/>
      <c r="H5432" s="3">
        <v>43053</v>
      </c>
      <c r="I5432" s="2" t="s">
        <v>19506</v>
      </c>
      <c r="J5432" s="2" t="s">
        <v>13904</v>
      </c>
      <c r="K5432" s="2" t="s">
        <v>5657</v>
      </c>
      <c r="L5432" s="82" t="s">
        <v>19512</v>
      </c>
    </row>
    <row r="5433" spans="1:12" ht="84" customHeight="1" x14ac:dyDescent="0.3">
      <c r="A5433" s="2">
        <v>5429</v>
      </c>
      <c r="B5433" s="66" t="s">
        <v>6175</v>
      </c>
      <c r="C5433" s="66" t="s">
        <v>6187</v>
      </c>
      <c r="D5433" s="11">
        <v>10142</v>
      </c>
      <c r="E5433" s="11">
        <v>10142</v>
      </c>
      <c r="F5433" s="3">
        <v>39171</v>
      </c>
      <c r="G5433" s="2"/>
      <c r="H5433" s="3">
        <v>43053</v>
      </c>
      <c r="I5433" s="2" t="s">
        <v>19506</v>
      </c>
      <c r="J5433" s="2" t="s">
        <v>13904</v>
      </c>
      <c r="K5433" s="2" t="s">
        <v>5657</v>
      </c>
      <c r="L5433" s="82" t="s">
        <v>19512</v>
      </c>
    </row>
    <row r="5434" spans="1:12" ht="84" customHeight="1" x14ac:dyDescent="0.3">
      <c r="A5434" s="2">
        <v>5430</v>
      </c>
      <c r="B5434" s="66" t="s">
        <v>6175</v>
      </c>
      <c r="C5434" s="66" t="s">
        <v>6188</v>
      </c>
      <c r="D5434" s="11">
        <v>10142</v>
      </c>
      <c r="E5434" s="11">
        <v>10142</v>
      </c>
      <c r="F5434" s="3">
        <v>39171</v>
      </c>
      <c r="G5434" s="2"/>
      <c r="H5434" s="3">
        <v>43053</v>
      </c>
      <c r="I5434" s="2" t="s">
        <v>19506</v>
      </c>
      <c r="J5434" s="2" t="s">
        <v>13904</v>
      </c>
      <c r="K5434" s="2" t="s">
        <v>5657</v>
      </c>
      <c r="L5434" s="82" t="s">
        <v>19512</v>
      </c>
    </row>
    <row r="5435" spans="1:12" ht="84" customHeight="1" x14ac:dyDescent="0.3">
      <c r="A5435" s="2">
        <v>5431</v>
      </c>
      <c r="B5435" s="66" t="s">
        <v>6175</v>
      </c>
      <c r="C5435" s="66" t="s">
        <v>6189</v>
      </c>
      <c r="D5435" s="11">
        <v>10142</v>
      </c>
      <c r="E5435" s="11">
        <v>10142</v>
      </c>
      <c r="F5435" s="3">
        <v>39171</v>
      </c>
      <c r="G5435" s="2"/>
      <c r="H5435" s="3">
        <v>43053</v>
      </c>
      <c r="I5435" s="2" t="s">
        <v>19506</v>
      </c>
      <c r="J5435" s="2" t="s">
        <v>13904</v>
      </c>
      <c r="K5435" s="2" t="s">
        <v>5657</v>
      </c>
      <c r="L5435" s="82" t="s">
        <v>19512</v>
      </c>
    </row>
    <row r="5436" spans="1:12" ht="84" customHeight="1" x14ac:dyDescent="0.3">
      <c r="A5436" s="2">
        <v>5432</v>
      </c>
      <c r="B5436" s="66" t="s">
        <v>6175</v>
      </c>
      <c r="C5436" s="66" t="s">
        <v>6190</v>
      </c>
      <c r="D5436" s="11">
        <v>10142</v>
      </c>
      <c r="E5436" s="11">
        <v>10142</v>
      </c>
      <c r="F5436" s="3">
        <v>39171</v>
      </c>
      <c r="G5436" s="2"/>
      <c r="H5436" s="3">
        <v>43053</v>
      </c>
      <c r="I5436" s="2" t="s">
        <v>19506</v>
      </c>
      <c r="J5436" s="2" t="s">
        <v>13904</v>
      </c>
      <c r="K5436" s="2" t="s">
        <v>5657</v>
      </c>
      <c r="L5436" s="82" t="s">
        <v>19512</v>
      </c>
    </row>
    <row r="5437" spans="1:12" ht="84" customHeight="1" x14ac:dyDescent="0.3">
      <c r="A5437" s="2">
        <v>5433</v>
      </c>
      <c r="B5437" s="66" t="s">
        <v>6175</v>
      </c>
      <c r="C5437" s="66" t="s">
        <v>6191</v>
      </c>
      <c r="D5437" s="11">
        <v>9458.7999999999993</v>
      </c>
      <c r="E5437" s="11">
        <v>9458.7999999999993</v>
      </c>
      <c r="F5437" s="3">
        <v>39058</v>
      </c>
      <c r="G5437" s="2"/>
      <c r="H5437" s="3">
        <v>43053</v>
      </c>
      <c r="I5437" s="2" t="s">
        <v>19506</v>
      </c>
      <c r="J5437" s="2" t="s">
        <v>13904</v>
      </c>
      <c r="K5437" s="2" t="s">
        <v>5657</v>
      </c>
      <c r="L5437" s="82" t="s">
        <v>19512</v>
      </c>
    </row>
    <row r="5438" spans="1:12" ht="84" customHeight="1" x14ac:dyDescent="0.3">
      <c r="A5438" s="2">
        <v>5434</v>
      </c>
      <c r="B5438" s="66" t="s">
        <v>6192</v>
      </c>
      <c r="C5438" s="66" t="s">
        <v>6193</v>
      </c>
      <c r="D5438" s="11">
        <v>9458.77</v>
      </c>
      <c r="E5438" s="11">
        <v>9458.77</v>
      </c>
      <c r="F5438" s="3">
        <v>39052</v>
      </c>
      <c r="G5438" s="2"/>
      <c r="H5438" s="3">
        <v>43053</v>
      </c>
      <c r="I5438" s="2" t="s">
        <v>19506</v>
      </c>
      <c r="J5438" s="2" t="s">
        <v>13904</v>
      </c>
      <c r="K5438" s="2" t="s">
        <v>5657</v>
      </c>
      <c r="L5438" s="82" t="s">
        <v>19512</v>
      </c>
    </row>
    <row r="5439" spans="1:12" ht="84" customHeight="1" x14ac:dyDescent="0.3">
      <c r="A5439" s="2">
        <v>5435</v>
      </c>
      <c r="B5439" s="66" t="s">
        <v>6194</v>
      </c>
      <c r="C5439" s="66" t="s">
        <v>6195</v>
      </c>
      <c r="D5439" s="11">
        <v>9458.77</v>
      </c>
      <c r="E5439" s="11">
        <v>9458.77</v>
      </c>
      <c r="F5439" s="3">
        <v>39052</v>
      </c>
      <c r="G5439" s="2"/>
      <c r="H5439" s="3">
        <v>43053</v>
      </c>
      <c r="I5439" s="2" t="s">
        <v>19506</v>
      </c>
      <c r="J5439" s="2" t="s">
        <v>13904</v>
      </c>
      <c r="K5439" s="2" t="s">
        <v>5657</v>
      </c>
      <c r="L5439" s="82" t="s">
        <v>19512</v>
      </c>
    </row>
    <row r="5440" spans="1:12" ht="84" customHeight="1" x14ac:dyDescent="0.3">
      <c r="A5440" s="2">
        <v>5436</v>
      </c>
      <c r="B5440" s="66" t="s">
        <v>6194</v>
      </c>
      <c r="C5440" s="66" t="s">
        <v>6196</v>
      </c>
      <c r="D5440" s="11">
        <v>9458.77</v>
      </c>
      <c r="E5440" s="11">
        <v>9458.77</v>
      </c>
      <c r="F5440" s="3">
        <v>39052</v>
      </c>
      <c r="G5440" s="2"/>
      <c r="H5440" s="3">
        <v>43053</v>
      </c>
      <c r="I5440" s="2" t="s">
        <v>19506</v>
      </c>
      <c r="J5440" s="2" t="s">
        <v>13904</v>
      </c>
      <c r="K5440" s="2" t="s">
        <v>5657</v>
      </c>
      <c r="L5440" s="82" t="s">
        <v>19512</v>
      </c>
    </row>
    <row r="5441" spans="1:12" ht="84" customHeight="1" x14ac:dyDescent="0.3">
      <c r="A5441" s="2">
        <v>5437</v>
      </c>
      <c r="B5441" s="66" t="s">
        <v>6197</v>
      </c>
      <c r="C5441" s="66" t="s">
        <v>6198</v>
      </c>
      <c r="D5441" s="11">
        <v>9458.7999999999993</v>
      </c>
      <c r="E5441" s="11">
        <v>9458.7999999999993</v>
      </c>
      <c r="F5441" s="3">
        <v>39052</v>
      </c>
      <c r="G5441" s="2"/>
      <c r="H5441" s="3">
        <v>43053</v>
      </c>
      <c r="I5441" s="2" t="s">
        <v>19506</v>
      </c>
      <c r="J5441" s="2" t="s">
        <v>13904</v>
      </c>
      <c r="K5441" s="2" t="s">
        <v>5657</v>
      </c>
      <c r="L5441" s="82" t="s">
        <v>19512</v>
      </c>
    </row>
    <row r="5442" spans="1:12" ht="84" customHeight="1" x14ac:dyDescent="0.3">
      <c r="A5442" s="2">
        <v>5438</v>
      </c>
      <c r="B5442" s="66" t="s">
        <v>6199</v>
      </c>
      <c r="C5442" s="66" t="s">
        <v>6200</v>
      </c>
      <c r="D5442" s="11">
        <v>10142</v>
      </c>
      <c r="E5442" s="11">
        <v>10142</v>
      </c>
      <c r="F5442" s="3">
        <v>39171</v>
      </c>
      <c r="G5442" s="2"/>
      <c r="H5442" s="3">
        <v>43053</v>
      </c>
      <c r="I5442" s="2" t="s">
        <v>19506</v>
      </c>
      <c r="J5442" s="2" t="s">
        <v>13904</v>
      </c>
      <c r="K5442" s="2" t="s">
        <v>5657</v>
      </c>
      <c r="L5442" s="82" t="s">
        <v>19512</v>
      </c>
    </row>
    <row r="5443" spans="1:12" ht="84" customHeight="1" x14ac:dyDescent="0.3">
      <c r="A5443" s="2">
        <v>5439</v>
      </c>
      <c r="B5443" s="66" t="s">
        <v>6199</v>
      </c>
      <c r="C5443" s="66" t="s">
        <v>6201</v>
      </c>
      <c r="D5443" s="11">
        <v>10142</v>
      </c>
      <c r="E5443" s="11">
        <v>10142</v>
      </c>
      <c r="F5443" s="3">
        <v>39171</v>
      </c>
      <c r="G5443" s="2"/>
      <c r="H5443" s="3">
        <v>43053</v>
      </c>
      <c r="I5443" s="2" t="s">
        <v>19506</v>
      </c>
      <c r="J5443" s="2" t="s">
        <v>13904</v>
      </c>
      <c r="K5443" s="2" t="s">
        <v>5657</v>
      </c>
      <c r="L5443" s="82" t="s">
        <v>19512</v>
      </c>
    </row>
    <row r="5444" spans="1:12" ht="84" customHeight="1" x14ac:dyDescent="0.3">
      <c r="A5444" s="2">
        <v>5440</v>
      </c>
      <c r="B5444" s="66" t="s">
        <v>6199</v>
      </c>
      <c r="C5444" s="66" t="s">
        <v>6202</v>
      </c>
      <c r="D5444" s="11">
        <v>10142</v>
      </c>
      <c r="E5444" s="11">
        <v>10142</v>
      </c>
      <c r="F5444" s="3">
        <v>39171</v>
      </c>
      <c r="G5444" s="2"/>
      <c r="H5444" s="3">
        <v>43053</v>
      </c>
      <c r="I5444" s="2" t="s">
        <v>19506</v>
      </c>
      <c r="J5444" s="2" t="s">
        <v>13904</v>
      </c>
      <c r="K5444" s="2" t="s">
        <v>5657</v>
      </c>
      <c r="L5444" s="82" t="s">
        <v>19512</v>
      </c>
    </row>
    <row r="5445" spans="1:12" ht="84" customHeight="1" x14ac:dyDescent="0.3">
      <c r="A5445" s="2">
        <v>5441</v>
      </c>
      <c r="B5445" s="66" t="s">
        <v>6199</v>
      </c>
      <c r="C5445" s="66" t="s">
        <v>6203</v>
      </c>
      <c r="D5445" s="11">
        <v>10142</v>
      </c>
      <c r="E5445" s="11">
        <v>10142</v>
      </c>
      <c r="F5445" s="3">
        <v>39171</v>
      </c>
      <c r="G5445" s="2"/>
      <c r="H5445" s="3">
        <v>43053</v>
      </c>
      <c r="I5445" s="2" t="s">
        <v>19506</v>
      </c>
      <c r="J5445" s="2" t="s">
        <v>13904</v>
      </c>
      <c r="K5445" s="2" t="s">
        <v>5657</v>
      </c>
      <c r="L5445" s="82" t="s">
        <v>19512</v>
      </c>
    </row>
    <row r="5446" spans="1:12" ht="84" customHeight="1" x14ac:dyDescent="0.3">
      <c r="A5446" s="2">
        <v>5442</v>
      </c>
      <c r="B5446" s="66" t="s">
        <v>6199</v>
      </c>
      <c r="C5446" s="66" t="s">
        <v>6204</v>
      </c>
      <c r="D5446" s="11">
        <v>10142</v>
      </c>
      <c r="E5446" s="11">
        <v>10142</v>
      </c>
      <c r="F5446" s="3">
        <v>39171</v>
      </c>
      <c r="G5446" s="2"/>
      <c r="H5446" s="3">
        <v>43053</v>
      </c>
      <c r="I5446" s="2" t="s">
        <v>19506</v>
      </c>
      <c r="J5446" s="2" t="s">
        <v>13904</v>
      </c>
      <c r="K5446" s="2" t="s">
        <v>5657</v>
      </c>
      <c r="L5446" s="82" t="s">
        <v>19512</v>
      </c>
    </row>
    <row r="5447" spans="1:12" ht="84" customHeight="1" x14ac:dyDescent="0.3">
      <c r="A5447" s="2">
        <v>5443</v>
      </c>
      <c r="B5447" s="66" t="s">
        <v>6199</v>
      </c>
      <c r="C5447" s="66" t="s">
        <v>6205</v>
      </c>
      <c r="D5447" s="11">
        <v>10142</v>
      </c>
      <c r="E5447" s="11">
        <v>10142</v>
      </c>
      <c r="F5447" s="3">
        <v>39171</v>
      </c>
      <c r="G5447" s="2"/>
      <c r="H5447" s="3">
        <v>43053</v>
      </c>
      <c r="I5447" s="2" t="s">
        <v>19506</v>
      </c>
      <c r="J5447" s="2" t="s">
        <v>13904</v>
      </c>
      <c r="K5447" s="2" t="s">
        <v>5657</v>
      </c>
      <c r="L5447" s="82" t="s">
        <v>19512</v>
      </c>
    </row>
    <row r="5448" spans="1:12" ht="84" customHeight="1" x14ac:dyDescent="0.3">
      <c r="A5448" s="2">
        <v>5444</v>
      </c>
      <c r="B5448" s="66" t="s">
        <v>6199</v>
      </c>
      <c r="C5448" s="66" t="s">
        <v>6206</v>
      </c>
      <c r="D5448" s="11">
        <v>10142</v>
      </c>
      <c r="E5448" s="11">
        <v>10142</v>
      </c>
      <c r="F5448" s="3">
        <v>39171</v>
      </c>
      <c r="G5448" s="2"/>
      <c r="H5448" s="3">
        <v>43053</v>
      </c>
      <c r="I5448" s="2" t="s">
        <v>19506</v>
      </c>
      <c r="J5448" s="2" t="s">
        <v>13904</v>
      </c>
      <c r="K5448" s="2" t="s">
        <v>5657</v>
      </c>
      <c r="L5448" s="82" t="s">
        <v>19512</v>
      </c>
    </row>
    <row r="5449" spans="1:12" ht="84" customHeight="1" x14ac:dyDescent="0.3">
      <c r="A5449" s="2">
        <v>5445</v>
      </c>
      <c r="B5449" s="66" t="s">
        <v>6199</v>
      </c>
      <c r="C5449" s="66" t="s">
        <v>6207</v>
      </c>
      <c r="D5449" s="11">
        <v>10142</v>
      </c>
      <c r="E5449" s="11">
        <v>10142</v>
      </c>
      <c r="F5449" s="3">
        <v>39171</v>
      </c>
      <c r="G5449" s="2"/>
      <c r="H5449" s="3">
        <v>43053</v>
      </c>
      <c r="I5449" s="2" t="s">
        <v>19506</v>
      </c>
      <c r="J5449" s="2" t="s">
        <v>13904</v>
      </c>
      <c r="K5449" s="2" t="s">
        <v>5657</v>
      </c>
      <c r="L5449" s="82" t="s">
        <v>19512</v>
      </c>
    </row>
    <row r="5450" spans="1:12" ht="84" customHeight="1" x14ac:dyDescent="0.3">
      <c r="A5450" s="2">
        <v>5446</v>
      </c>
      <c r="B5450" s="66" t="s">
        <v>6199</v>
      </c>
      <c r="C5450" s="66" t="s">
        <v>6208</v>
      </c>
      <c r="D5450" s="11">
        <v>10142</v>
      </c>
      <c r="E5450" s="11">
        <v>10142</v>
      </c>
      <c r="F5450" s="3">
        <v>39171</v>
      </c>
      <c r="G5450" s="2"/>
      <c r="H5450" s="3">
        <v>43053</v>
      </c>
      <c r="I5450" s="2" t="s">
        <v>19506</v>
      </c>
      <c r="J5450" s="2" t="s">
        <v>13904</v>
      </c>
      <c r="K5450" s="2" t="s">
        <v>5657</v>
      </c>
      <c r="L5450" s="82" t="s">
        <v>19512</v>
      </c>
    </row>
    <row r="5451" spans="1:12" ht="84" customHeight="1" x14ac:dyDescent="0.3">
      <c r="A5451" s="2">
        <v>5447</v>
      </c>
      <c r="B5451" s="66" t="s">
        <v>6209</v>
      </c>
      <c r="C5451" s="66" t="s">
        <v>6210</v>
      </c>
      <c r="D5451" s="11">
        <v>17489</v>
      </c>
      <c r="E5451" s="11">
        <v>17489</v>
      </c>
      <c r="F5451" s="3">
        <v>40862</v>
      </c>
      <c r="G5451" s="2"/>
      <c r="H5451" s="3">
        <v>43053</v>
      </c>
      <c r="I5451" s="2" t="s">
        <v>19506</v>
      </c>
      <c r="J5451" s="2" t="s">
        <v>13904</v>
      </c>
      <c r="K5451" s="2" t="s">
        <v>5657</v>
      </c>
      <c r="L5451" s="82" t="s">
        <v>19512</v>
      </c>
    </row>
    <row r="5452" spans="1:12" ht="84" customHeight="1" x14ac:dyDescent="0.3">
      <c r="A5452" s="2">
        <v>5448</v>
      </c>
      <c r="B5452" s="66" t="s">
        <v>6211</v>
      </c>
      <c r="C5452" s="66" t="s">
        <v>6212</v>
      </c>
      <c r="D5452" s="11">
        <v>27703</v>
      </c>
      <c r="E5452" s="11">
        <v>27703</v>
      </c>
      <c r="F5452" s="3">
        <v>39052</v>
      </c>
      <c r="G5452" s="2"/>
      <c r="H5452" s="3">
        <v>43053</v>
      </c>
      <c r="I5452" s="2" t="s">
        <v>19506</v>
      </c>
      <c r="J5452" s="2" t="s">
        <v>13904</v>
      </c>
      <c r="K5452" s="2" t="s">
        <v>5657</v>
      </c>
      <c r="L5452" s="82" t="s">
        <v>19512</v>
      </c>
    </row>
    <row r="5453" spans="1:12" ht="84" customHeight="1" x14ac:dyDescent="0.3">
      <c r="A5453" s="2">
        <v>5449</v>
      </c>
      <c r="B5453" s="66" t="s">
        <v>6213</v>
      </c>
      <c r="C5453" s="66" t="s">
        <v>6214</v>
      </c>
      <c r="D5453" s="11">
        <v>12600</v>
      </c>
      <c r="E5453" s="11">
        <v>12600</v>
      </c>
      <c r="F5453" s="3">
        <v>39142</v>
      </c>
      <c r="G5453" s="2"/>
      <c r="H5453" s="3">
        <v>43053</v>
      </c>
      <c r="I5453" s="2" t="s">
        <v>19506</v>
      </c>
      <c r="J5453" s="2" t="s">
        <v>13904</v>
      </c>
      <c r="K5453" s="2" t="s">
        <v>5657</v>
      </c>
      <c r="L5453" s="82" t="s">
        <v>19512</v>
      </c>
    </row>
    <row r="5454" spans="1:12" ht="84" customHeight="1" x14ac:dyDescent="0.3">
      <c r="A5454" s="2">
        <v>5450</v>
      </c>
      <c r="B5454" s="66" t="s">
        <v>6213</v>
      </c>
      <c r="C5454" s="66" t="s">
        <v>6215</v>
      </c>
      <c r="D5454" s="11">
        <v>12600</v>
      </c>
      <c r="E5454" s="11">
        <v>12600</v>
      </c>
      <c r="F5454" s="3">
        <v>39142</v>
      </c>
      <c r="G5454" s="2"/>
      <c r="H5454" s="3">
        <v>43053</v>
      </c>
      <c r="I5454" s="2" t="s">
        <v>19506</v>
      </c>
      <c r="J5454" s="2" t="s">
        <v>13904</v>
      </c>
      <c r="K5454" s="2" t="s">
        <v>5657</v>
      </c>
      <c r="L5454" s="82" t="s">
        <v>19512</v>
      </c>
    </row>
    <row r="5455" spans="1:12" ht="84" customHeight="1" x14ac:dyDescent="0.3">
      <c r="A5455" s="2">
        <v>5451</v>
      </c>
      <c r="B5455" s="66" t="s">
        <v>6216</v>
      </c>
      <c r="C5455" s="66" t="s">
        <v>6217</v>
      </c>
      <c r="D5455" s="11">
        <v>19950</v>
      </c>
      <c r="E5455" s="11">
        <v>19950</v>
      </c>
      <c r="F5455" s="3">
        <v>39142</v>
      </c>
      <c r="G5455" s="2"/>
      <c r="H5455" s="3">
        <v>43053</v>
      </c>
      <c r="I5455" s="2" t="s">
        <v>19506</v>
      </c>
      <c r="J5455" s="2" t="s">
        <v>13904</v>
      </c>
      <c r="K5455" s="2" t="s">
        <v>5657</v>
      </c>
      <c r="L5455" s="82" t="s">
        <v>19512</v>
      </c>
    </row>
    <row r="5456" spans="1:12" ht="84" customHeight="1" x14ac:dyDescent="0.3">
      <c r="A5456" s="2">
        <v>5452</v>
      </c>
      <c r="B5456" s="66" t="s">
        <v>6218</v>
      </c>
      <c r="C5456" s="66" t="s">
        <v>6219</v>
      </c>
      <c r="D5456" s="11">
        <v>16800</v>
      </c>
      <c r="E5456" s="11">
        <v>16800</v>
      </c>
      <c r="F5456" s="3">
        <v>39142</v>
      </c>
      <c r="G5456" s="2"/>
      <c r="H5456" s="3">
        <v>43053</v>
      </c>
      <c r="I5456" s="2" t="s">
        <v>19506</v>
      </c>
      <c r="J5456" s="2" t="s">
        <v>13904</v>
      </c>
      <c r="K5456" s="2" t="s">
        <v>5657</v>
      </c>
      <c r="L5456" s="82" t="s">
        <v>19512</v>
      </c>
    </row>
    <row r="5457" spans="1:12" ht="84" customHeight="1" x14ac:dyDescent="0.3">
      <c r="A5457" s="2">
        <v>5453</v>
      </c>
      <c r="B5457" s="66" t="s">
        <v>6220</v>
      </c>
      <c r="C5457" s="66" t="s">
        <v>6221</v>
      </c>
      <c r="D5457" s="11">
        <v>16800</v>
      </c>
      <c r="E5457" s="11">
        <v>16800</v>
      </c>
      <c r="F5457" s="3">
        <v>39142</v>
      </c>
      <c r="G5457" s="2"/>
      <c r="H5457" s="3">
        <v>43053</v>
      </c>
      <c r="I5457" s="2" t="s">
        <v>19506</v>
      </c>
      <c r="J5457" s="2" t="s">
        <v>13904</v>
      </c>
      <c r="K5457" s="2" t="s">
        <v>5657</v>
      </c>
      <c r="L5457" s="82" t="s">
        <v>19512</v>
      </c>
    </row>
    <row r="5458" spans="1:12" ht="84" customHeight="1" x14ac:dyDescent="0.3">
      <c r="A5458" s="2">
        <v>5454</v>
      </c>
      <c r="B5458" s="66" t="s">
        <v>6222</v>
      </c>
      <c r="C5458" s="66" t="s">
        <v>6223</v>
      </c>
      <c r="D5458" s="11">
        <v>10080</v>
      </c>
      <c r="E5458" s="11">
        <v>10080</v>
      </c>
      <c r="F5458" s="3">
        <v>39142</v>
      </c>
      <c r="G5458" s="2"/>
      <c r="H5458" s="3">
        <v>43053</v>
      </c>
      <c r="I5458" s="2" t="s">
        <v>19506</v>
      </c>
      <c r="J5458" s="2" t="s">
        <v>13904</v>
      </c>
      <c r="K5458" s="2" t="s">
        <v>5657</v>
      </c>
      <c r="L5458" s="82" t="s">
        <v>19512</v>
      </c>
    </row>
    <row r="5459" spans="1:12" ht="84" customHeight="1" x14ac:dyDescent="0.3">
      <c r="A5459" s="2">
        <v>5455</v>
      </c>
      <c r="B5459" s="66" t="s">
        <v>218</v>
      </c>
      <c r="C5459" s="66" t="s">
        <v>6224</v>
      </c>
      <c r="D5459" s="11">
        <v>33586.120000000003</v>
      </c>
      <c r="E5459" s="11">
        <v>33586.120000000003</v>
      </c>
      <c r="F5459" s="3">
        <v>39813</v>
      </c>
      <c r="G5459" s="2"/>
      <c r="H5459" s="3">
        <v>43053</v>
      </c>
      <c r="I5459" s="2" t="s">
        <v>19506</v>
      </c>
      <c r="J5459" s="2" t="s">
        <v>13904</v>
      </c>
      <c r="K5459" s="2" t="s">
        <v>5657</v>
      </c>
      <c r="L5459" s="82" t="s">
        <v>19512</v>
      </c>
    </row>
    <row r="5460" spans="1:12" ht="84" customHeight="1" x14ac:dyDescent="0.3">
      <c r="A5460" s="2">
        <v>5456</v>
      </c>
      <c r="B5460" s="66" t="s">
        <v>218</v>
      </c>
      <c r="C5460" s="66" t="s">
        <v>6225</v>
      </c>
      <c r="D5460" s="11">
        <v>33586.06</v>
      </c>
      <c r="E5460" s="11">
        <v>33586.06</v>
      </c>
      <c r="F5460" s="3">
        <v>39813</v>
      </c>
      <c r="G5460" s="2"/>
      <c r="H5460" s="3">
        <v>43053</v>
      </c>
      <c r="I5460" s="2" t="s">
        <v>19506</v>
      </c>
      <c r="J5460" s="2" t="s">
        <v>13904</v>
      </c>
      <c r="K5460" s="2" t="s">
        <v>5657</v>
      </c>
      <c r="L5460" s="82" t="s">
        <v>19512</v>
      </c>
    </row>
    <row r="5461" spans="1:12" ht="84" customHeight="1" x14ac:dyDescent="0.3">
      <c r="A5461" s="2">
        <v>5457</v>
      </c>
      <c r="B5461" s="66" t="s">
        <v>218</v>
      </c>
      <c r="C5461" s="66" t="s">
        <v>6226</v>
      </c>
      <c r="D5461" s="11">
        <v>33586.06</v>
      </c>
      <c r="E5461" s="11">
        <v>33586.06</v>
      </c>
      <c r="F5461" s="3">
        <v>39813</v>
      </c>
      <c r="G5461" s="2"/>
      <c r="H5461" s="3">
        <v>43053</v>
      </c>
      <c r="I5461" s="2" t="s">
        <v>19506</v>
      </c>
      <c r="J5461" s="2" t="s">
        <v>13904</v>
      </c>
      <c r="K5461" s="2" t="s">
        <v>5657</v>
      </c>
      <c r="L5461" s="82" t="s">
        <v>19512</v>
      </c>
    </row>
    <row r="5462" spans="1:12" ht="84" customHeight="1" x14ac:dyDescent="0.3">
      <c r="A5462" s="2">
        <v>5458</v>
      </c>
      <c r="B5462" s="66" t="s">
        <v>218</v>
      </c>
      <c r="C5462" s="66" t="s">
        <v>6227</v>
      </c>
      <c r="D5462" s="11">
        <v>33586.06</v>
      </c>
      <c r="E5462" s="11">
        <v>33586.06</v>
      </c>
      <c r="F5462" s="3">
        <v>39813</v>
      </c>
      <c r="G5462" s="2"/>
      <c r="H5462" s="3">
        <v>43053</v>
      </c>
      <c r="I5462" s="2" t="s">
        <v>19506</v>
      </c>
      <c r="J5462" s="2" t="s">
        <v>13904</v>
      </c>
      <c r="K5462" s="2" t="s">
        <v>5657</v>
      </c>
      <c r="L5462" s="82" t="s">
        <v>19512</v>
      </c>
    </row>
    <row r="5463" spans="1:12" ht="84" customHeight="1" x14ac:dyDescent="0.3">
      <c r="A5463" s="2">
        <v>5459</v>
      </c>
      <c r="B5463" s="66" t="s">
        <v>218</v>
      </c>
      <c r="C5463" s="66" t="s">
        <v>6228</v>
      </c>
      <c r="D5463" s="11">
        <v>33586.06</v>
      </c>
      <c r="E5463" s="11">
        <v>33586.06</v>
      </c>
      <c r="F5463" s="3">
        <v>39813</v>
      </c>
      <c r="G5463" s="2"/>
      <c r="H5463" s="3">
        <v>43053</v>
      </c>
      <c r="I5463" s="2" t="s">
        <v>19506</v>
      </c>
      <c r="J5463" s="2" t="s">
        <v>13904</v>
      </c>
      <c r="K5463" s="2" t="s">
        <v>5657</v>
      </c>
      <c r="L5463" s="82" t="s">
        <v>19512</v>
      </c>
    </row>
    <row r="5464" spans="1:12" ht="84" customHeight="1" x14ac:dyDescent="0.3">
      <c r="A5464" s="2">
        <v>5460</v>
      </c>
      <c r="B5464" s="66" t="s">
        <v>218</v>
      </c>
      <c r="C5464" s="66" t="s">
        <v>6229</v>
      </c>
      <c r="D5464" s="11">
        <v>33586.06</v>
      </c>
      <c r="E5464" s="11">
        <v>33586.06</v>
      </c>
      <c r="F5464" s="3">
        <v>39813</v>
      </c>
      <c r="G5464" s="2"/>
      <c r="H5464" s="3">
        <v>43053</v>
      </c>
      <c r="I5464" s="2" t="s">
        <v>19506</v>
      </c>
      <c r="J5464" s="2" t="s">
        <v>13904</v>
      </c>
      <c r="K5464" s="2" t="s">
        <v>5657</v>
      </c>
      <c r="L5464" s="82" t="s">
        <v>19512</v>
      </c>
    </row>
    <row r="5465" spans="1:12" ht="84" customHeight="1" x14ac:dyDescent="0.3">
      <c r="A5465" s="2">
        <v>5461</v>
      </c>
      <c r="B5465" s="66" t="s">
        <v>6230</v>
      </c>
      <c r="C5465" s="66" t="s">
        <v>6231</v>
      </c>
      <c r="D5465" s="11">
        <v>33586.06</v>
      </c>
      <c r="E5465" s="11">
        <v>33586.06</v>
      </c>
      <c r="F5465" s="3">
        <v>39813</v>
      </c>
      <c r="G5465" s="2"/>
      <c r="H5465" s="3">
        <v>43053</v>
      </c>
      <c r="I5465" s="2" t="s">
        <v>19506</v>
      </c>
      <c r="J5465" s="2" t="s">
        <v>13904</v>
      </c>
      <c r="K5465" s="2" t="s">
        <v>5657</v>
      </c>
      <c r="L5465" s="82" t="s">
        <v>19512</v>
      </c>
    </row>
    <row r="5466" spans="1:12" ht="84" customHeight="1" x14ac:dyDescent="0.3">
      <c r="A5466" s="2">
        <v>5462</v>
      </c>
      <c r="B5466" s="66" t="s">
        <v>218</v>
      </c>
      <c r="C5466" s="66" t="s">
        <v>6232</v>
      </c>
      <c r="D5466" s="11">
        <v>33586.06</v>
      </c>
      <c r="E5466" s="11">
        <v>33586.06</v>
      </c>
      <c r="F5466" s="3">
        <v>39813</v>
      </c>
      <c r="G5466" s="2"/>
      <c r="H5466" s="3">
        <v>43053</v>
      </c>
      <c r="I5466" s="2" t="s">
        <v>19506</v>
      </c>
      <c r="J5466" s="2" t="s">
        <v>13904</v>
      </c>
      <c r="K5466" s="2" t="s">
        <v>5657</v>
      </c>
      <c r="L5466" s="82" t="s">
        <v>19512</v>
      </c>
    </row>
    <row r="5467" spans="1:12" ht="84" customHeight="1" x14ac:dyDescent="0.3">
      <c r="A5467" s="2">
        <v>5463</v>
      </c>
      <c r="B5467" s="66" t="s">
        <v>218</v>
      </c>
      <c r="C5467" s="66" t="s">
        <v>6233</v>
      </c>
      <c r="D5467" s="11">
        <v>33586.06</v>
      </c>
      <c r="E5467" s="11">
        <v>33586.06</v>
      </c>
      <c r="F5467" s="3">
        <v>39813</v>
      </c>
      <c r="G5467" s="2"/>
      <c r="H5467" s="3">
        <v>43053</v>
      </c>
      <c r="I5467" s="2" t="s">
        <v>19506</v>
      </c>
      <c r="J5467" s="2" t="s">
        <v>13904</v>
      </c>
      <c r="K5467" s="2" t="s">
        <v>5657</v>
      </c>
      <c r="L5467" s="82" t="s">
        <v>19512</v>
      </c>
    </row>
    <row r="5468" spans="1:12" ht="84" customHeight="1" x14ac:dyDescent="0.3">
      <c r="A5468" s="2">
        <v>5464</v>
      </c>
      <c r="B5468" s="66" t="s">
        <v>6234</v>
      </c>
      <c r="C5468" s="66" t="s">
        <v>6235</v>
      </c>
      <c r="D5468" s="11">
        <v>15296.99</v>
      </c>
      <c r="E5468" s="11">
        <v>15296.99</v>
      </c>
      <c r="F5468" s="3">
        <v>40751</v>
      </c>
      <c r="G5468" s="2"/>
      <c r="H5468" s="3">
        <v>43053</v>
      </c>
      <c r="I5468" s="2" t="s">
        <v>19506</v>
      </c>
      <c r="J5468" s="2" t="s">
        <v>13904</v>
      </c>
      <c r="K5468" s="2" t="s">
        <v>5657</v>
      </c>
      <c r="L5468" s="82" t="s">
        <v>19512</v>
      </c>
    </row>
    <row r="5469" spans="1:12" ht="84" customHeight="1" x14ac:dyDescent="0.3">
      <c r="A5469" s="2">
        <v>5465</v>
      </c>
      <c r="B5469" s="66" t="s">
        <v>6236</v>
      </c>
      <c r="C5469" s="66" t="s">
        <v>6237</v>
      </c>
      <c r="D5469" s="11">
        <v>24800</v>
      </c>
      <c r="E5469" s="11">
        <v>24800</v>
      </c>
      <c r="F5469" s="3">
        <v>39762</v>
      </c>
      <c r="G5469" s="2"/>
      <c r="H5469" s="3">
        <v>43053</v>
      </c>
      <c r="I5469" s="2" t="s">
        <v>19506</v>
      </c>
      <c r="J5469" s="2" t="s">
        <v>13904</v>
      </c>
      <c r="K5469" s="2" t="s">
        <v>5657</v>
      </c>
      <c r="L5469" s="82" t="s">
        <v>19512</v>
      </c>
    </row>
    <row r="5470" spans="1:12" ht="84" customHeight="1" x14ac:dyDescent="0.3">
      <c r="A5470" s="2">
        <v>5466</v>
      </c>
      <c r="B5470" s="66" t="s">
        <v>6089</v>
      </c>
      <c r="C5470" s="66" t="s">
        <v>6238</v>
      </c>
      <c r="D5470" s="11">
        <v>24800</v>
      </c>
      <c r="E5470" s="11">
        <v>24800</v>
      </c>
      <c r="F5470" s="3">
        <v>39762</v>
      </c>
      <c r="G5470" s="2"/>
      <c r="H5470" s="3">
        <v>43053</v>
      </c>
      <c r="I5470" s="2" t="s">
        <v>19506</v>
      </c>
      <c r="J5470" s="2" t="s">
        <v>13904</v>
      </c>
      <c r="K5470" s="2" t="s">
        <v>5657</v>
      </c>
      <c r="L5470" s="82" t="s">
        <v>19512</v>
      </c>
    </row>
    <row r="5471" spans="1:12" ht="84" customHeight="1" x14ac:dyDescent="0.3">
      <c r="A5471" s="2">
        <v>5467</v>
      </c>
      <c r="B5471" s="66" t="s">
        <v>6089</v>
      </c>
      <c r="C5471" s="66" t="s">
        <v>6239</v>
      </c>
      <c r="D5471" s="11">
        <v>24800</v>
      </c>
      <c r="E5471" s="11">
        <v>24800</v>
      </c>
      <c r="F5471" s="3">
        <v>39762</v>
      </c>
      <c r="G5471" s="2"/>
      <c r="H5471" s="3">
        <v>43053</v>
      </c>
      <c r="I5471" s="2" t="s">
        <v>19506</v>
      </c>
      <c r="J5471" s="2" t="s">
        <v>13904</v>
      </c>
      <c r="K5471" s="2" t="s">
        <v>5657</v>
      </c>
      <c r="L5471" s="82" t="s">
        <v>19512</v>
      </c>
    </row>
    <row r="5472" spans="1:12" ht="84" customHeight="1" x14ac:dyDescent="0.3">
      <c r="A5472" s="2">
        <v>5468</v>
      </c>
      <c r="B5472" s="66" t="s">
        <v>6089</v>
      </c>
      <c r="C5472" s="66" t="s">
        <v>6240</v>
      </c>
      <c r="D5472" s="11">
        <v>24800</v>
      </c>
      <c r="E5472" s="11">
        <v>24800</v>
      </c>
      <c r="F5472" s="3">
        <v>39762</v>
      </c>
      <c r="G5472" s="2"/>
      <c r="H5472" s="3">
        <v>43053</v>
      </c>
      <c r="I5472" s="2" t="s">
        <v>19506</v>
      </c>
      <c r="J5472" s="2" t="s">
        <v>13904</v>
      </c>
      <c r="K5472" s="2" t="s">
        <v>5657</v>
      </c>
      <c r="L5472" s="82" t="s">
        <v>19512</v>
      </c>
    </row>
    <row r="5473" spans="1:12" ht="84" customHeight="1" x14ac:dyDescent="0.3">
      <c r="A5473" s="2">
        <v>5469</v>
      </c>
      <c r="B5473" s="66" t="s">
        <v>6241</v>
      </c>
      <c r="C5473" s="66" t="s">
        <v>6242</v>
      </c>
      <c r="D5473" s="11">
        <v>24800</v>
      </c>
      <c r="E5473" s="11">
        <v>24800</v>
      </c>
      <c r="F5473" s="3">
        <v>39762</v>
      </c>
      <c r="G5473" s="2"/>
      <c r="H5473" s="3">
        <v>43053</v>
      </c>
      <c r="I5473" s="2" t="s">
        <v>19506</v>
      </c>
      <c r="J5473" s="2" t="s">
        <v>13904</v>
      </c>
      <c r="K5473" s="2" t="s">
        <v>5657</v>
      </c>
      <c r="L5473" s="82" t="s">
        <v>19512</v>
      </c>
    </row>
    <row r="5474" spans="1:12" ht="84" customHeight="1" x14ac:dyDescent="0.3">
      <c r="A5474" s="2">
        <v>5470</v>
      </c>
      <c r="B5474" s="66" t="s">
        <v>6089</v>
      </c>
      <c r="C5474" s="66" t="s">
        <v>6243</v>
      </c>
      <c r="D5474" s="11">
        <v>24800</v>
      </c>
      <c r="E5474" s="11">
        <v>24800</v>
      </c>
      <c r="F5474" s="3">
        <v>39762</v>
      </c>
      <c r="G5474" s="2"/>
      <c r="H5474" s="3">
        <v>43053</v>
      </c>
      <c r="I5474" s="2" t="s">
        <v>19506</v>
      </c>
      <c r="J5474" s="2" t="s">
        <v>13904</v>
      </c>
      <c r="K5474" s="2" t="s">
        <v>5657</v>
      </c>
      <c r="L5474" s="82" t="s">
        <v>19512</v>
      </c>
    </row>
    <row r="5475" spans="1:12" ht="84" customHeight="1" x14ac:dyDescent="0.3">
      <c r="A5475" s="2">
        <v>5471</v>
      </c>
      <c r="B5475" s="66" t="s">
        <v>6244</v>
      </c>
      <c r="C5475" s="66" t="s">
        <v>6245</v>
      </c>
      <c r="D5475" s="11">
        <v>15296.99</v>
      </c>
      <c r="E5475" s="11">
        <v>15296.99</v>
      </c>
      <c r="F5475" s="3">
        <v>40751</v>
      </c>
      <c r="G5475" s="2"/>
      <c r="H5475" s="3">
        <v>43053</v>
      </c>
      <c r="I5475" s="2" t="s">
        <v>19506</v>
      </c>
      <c r="J5475" s="2" t="s">
        <v>13904</v>
      </c>
      <c r="K5475" s="2" t="s">
        <v>5657</v>
      </c>
      <c r="L5475" s="82" t="s">
        <v>19512</v>
      </c>
    </row>
    <row r="5476" spans="1:12" ht="84" customHeight="1" x14ac:dyDescent="0.3">
      <c r="A5476" s="2">
        <v>5472</v>
      </c>
      <c r="B5476" s="66" t="s">
        <v>6246</v>
      </c>
      <c r="C5476" s="66" t="s">
        <v>6247</v>
      </c>
      <c r="D5476" s="11">
        <v>24391.43</v>
      </c>
      <c r="E5476" s="11">
        <v>24391.43</v>
      </c>
      <c r="F5476" s="3">
        <v>40751</v>
      </c>
      <c r="G5476" s="2"/>
      <c r="H5476" s="3">
        <v>43053</v>
      </c>
      <c r="I5476" s="2" t="s">
        <v>19506</v>
      </c>
      <c r="J5476" s="2" t="s">
        <v>13904</v>
      </c>
      <c r="K5476" s="2" t="s">
        <v>5657</v>
      </c>
      <c r="L5476" s="82" t="s">
        <v>19512</v>
      </c>
    </row>
    <row r="5477" spans="1:12" ht="84" customHeight="1" x14ac:dyDescent="0.3">
      <c r="A5477" s="2">
        <v>5473</v>
      </c>
      <c r="B5477" s="66" t="s">
        <v>6248</v>
      </c>
      <c r="C5477" s="66" t="s">
        <v>6249</v>
      </c>
      <c r="D5477" s="11">
        <v>10000</v>
      </c>
      <c r="E5477" s="11">
        <v>10000</v>
      </c>
      <c r="F5477" s="3">
        <v>39762</v>
      </c>
      <c r="G5477" s="2"/>
      <c r="H5477" s="3">
        <v>43053</v>
      </c>
      <c r="I5477" s="2" t="s">
        <v>19506</v>
      </c>
      <c r="J5477" s="2" t="s">
        <v>13904</v>
      </c>
      <c r="K5477" s="2" t="s">
        <v>5657</v>
      </c>
      <c r="L5477" s="82" t="s">
        <v>19512</v>
      </c>
    </row>
    <row r="5478" spans="1:12" ht="84" customHeight="1" x14ac:dyDescent="0.3">
      <c r="A5478" s="2">
        <v>5474</v>
      </c>
      <c r="B5478" s="66" t="s">
        <v>6250</v>
      </c>
      <c r="C5478" s="66" t="s">
        <v>6251</v>
      </c>
      <c r="D5478" s="11">
        <v>10000</v>
      </c>
      <c r="E5478" s="11">
        <v>10000</v>
      </c>
      <c r="F5478" s="3">
        <v>39762</v>
      </c>
      <c r="G5478" s="2"/>
      <c r="H5478" s="3">
        <v>43053</v>
      </c>
      <c r="I5478" s="2" t="s">
        <v>19506</v>
      </c>
      <c r="J5478" s="2" t="s">
        <v>13904</v>
      </c>
      <c r="K5478" s="2" t="s">
        <v>5657</v>
      </c>
      <c r="L5478" s="82" t="s">
        <v>19512</v>
      </c>
    </row>
    <row r="5479" spans="1:12" ht="84" customHeight="1" x14ac:dyDescent="0.3">
      <c r="A5479" s="2">
        <v>5475</v>
      </c>
      <c r="B5479" s="66" t="s">
        <v>6252</v>
      </c>
      <c r="C5479" s="66" t="s">
        <v>6253</v>
      </c>
      <c r="D5479" s="11">
        <v>31876</v>
      </c>
      <c r="E5479" s="11">
        <v>31876</v>
      </c>
      <c r="F5479" s="3">
        <v>40862</v>
      </c>
      <c r="G5479" s="2"/>
      <c r="H5479" s="3">
        <v>43053</v>
      </c>
      <c r="I5479" s="2" t="s">
        <v>19506</v>
      </c>
      <c r="J5479" s="2" t="s">
        <v>13904</v>
      </c>
      <c r="K5479" s="2" t="s">
        <v>5657</v>
      </c>
      <c r="L5479" s="82" t="s">
        <v>19512</v>
      </c>
    </row>
    <row r="5480" spans="1:12" ht="84" customHeight="1" x14ac:dyDescent="0.3">
      <c r="A5480" s="2">
        <v>5476</v>
      </c>
      <c r="B5480" s="66" t="s">
        <v>6254</v>
      </c>
      <c r="C5480" s="66" t="s">
        <v>6255</v>
      </c>
      <c r="D5480" s="11">
        <v>16304.23</v>
      </c>
      <c r="E5480" s="11">
        <v>16304.23</v>
      </c>
      <c r="F5480" s="3">
        <v>39052</v>
      </c>
      <c r="G5480" s="2"/>
      <c r="H5480" s="3">
        <v>43053</v>
      </c>
      <c r="I5480" s="2" t="s">
        <v>19506</v>
      </c>
      <c r="J5480" s="2" t="s">
        <v>13904</v>
      </c>
      <c r="K5480" s="2" t="s">
        <v>5657</v>
      </c>
      <c r="L5480" s="82" t="s">
        <v>19512</v>
      </c>
    </row>
    <row r="5481" spans="1:12" ht="84" customHeight="1" x14ac:dyDescent="0.3">
      <c r="A5481" s="2">
        <v>5477</v>
      </c>
      <c r="B5481" s="66" t="s">
        <v>6256</v>
      </c>
      <c r="C5481" s="66" t="s">
        <v>6257</v>
      </c>
      <c r="D5481" s="11">
        <v>32608.45</v>
      </c>
      <c r="E5481" s="11">
        <v>32608.45</v>
      </c>
      <c r="F5481" s="3">
        <v>39052</v>
      </c>
      <c r="G5481" s="2"/>
      <c r="H5481" s="3">
        <v>43053</v>
      </c>
      <c r="I5481" s="2" t="s">
        <v>19506</v>
      </c>
      <c r="J5481" s="2" t="s">
        <v>13904</v>
      </c>
      <c r="K5481" s="2" t="s">
        <v>5657</v>
      </c>
      <c r="L5481" s="82" t="s">
        <v>19512</v>
      </c>
    </row>
    <row r="5482" spans="1:12" ht="84" customHeight="1" x14ac:dyDescent="0.3">
      <c r="A5482" s="2">
        <v>5478</v>
      </c>
      <c r="B5482" s="66" t="s">
        <v>6258</v>
      </c>
      <c r="C5482" s="66" t="s">
        <v>6259</v>
      </c>
      <c r="D5482" s="11">
        <v>5100</v>
      </c>
      <c r="E5482" s="11">
        <v>5100</v>
      </c>
      <c r="F5482" s="3">
        <v>39052</v>
      </c>
      <c r="G5482" s="2"/>
      <c r="H5482" s="3">
        <v>43053</v>
      </c>
      <c r="I5482" s="2" t="s">
        <v>19506</v>
      </c>
      <c r="J5482" s="2" t="s">
        <v>13904</v>
      </c>
      <c r="K5482" s="2" t="s">
        <v>5657</v>
      </c>
      <c r="L5482" s="82" t="s">
        <v>19512</v>
      </c>
    </row>
    <row r="5483" spans="1:12" ht="84" customHeight="1" x14ac:dyDescent="0.3">
      <c r="A5483" s="2">
        <v>5479</v>
      </c>
      <c r="B5483" s="66" t="s">
        <v>6260</v>
      </c>
      <c r="C5483" s="66" t="s">
        <v>6261</v>
      </c>
      <c r="D5483" s="11">
        <v>5100</v>
      </c>
      <c r="E5483" s="11">
        <v>5100</v>
      </c>
      <c r="F5483" s="3">
        <v>39052</v>
      </c>
      <c r="G5483" s="2"/>
      <c r="H5483" s="3">
        <v>43053</v>
      </c>
      <c r="I5483" s="2" t="s">
        <v>19506</v>
      </c>
      <c r="J5483" s="2" t="s">
        <v>13904</v>
      </c>
      <c r="K5483" s="2" t="s">
        <v>5657</v>
      </c>
      <c r="L5483" s="82" t="s">
        <v>19512</v>
      </c>
    </row>
    <row r="5484" spans="1:12" ht="84" customHeight="1" x14ac:dyDescent="0.3">
      <c r="A5484" s="2">
        <v>5480</v>
      </c>
      <c r="B5484" s="66" t="s">
        <v>6262</v>
      </c>
      <c r="C5484" s="66" t="s">
        <v>6263</v>
      </c>
      <c r="D5484" s="11">
        <v>5100</v>
      </c>
      <c r="E5484" s="11">
        <v>5100</v>
      </c>
      <c r="F5484" s="3">
        <v>39052</v>
      </c>
      <c r="G5484" s="2"/>
      <c r="H5484" s="3">
        <v>43053</v>
      </c>
      <c r="I5484" s="2" t="s">
        <v>19506</v>
      </c>
      <c r="J5484" s="2" t="s">
        <v>13904</v>
      </c>
      <c r="K5484" s="2" t="s">
        <v>5657</v>
      </c>
      <c r="L5484" s="82" t="s">
        <v>19512</v>
      </c>
    </row>
    <row r="5485" spans="1:12" ht="84" customHeight="1" x14ac:dyDescent="0.3">
      <c r="A5485" s="2">
        <v>5481</v>
      </c>
      <c r="B5485" s="66" t="s">
        <v>6264</v>
      </c>
      <c r="C5485" s="66" t="s">
        <v>6265</v>
      </c>
      <c r="D5485" s="11">
        <v>5100</v>
      </c>
      <c r="E5485" s="11">
        <v>5100</v>
      </c>
      <c r="F5485" s="3">
        <v>39052</v>
      </c>
      <c r="G5485" s="2"/>
      <c r="H5485" s="3">
        <v>43053</v>
      </c>
      <c r="I5485" s="2" t="s">
        <v>19506</v>
      </c>
      <c r="J5485" s="2" t="s">
        <v>13904</v>
      </c>
      <c r="K5485" s="2" t="s">
        <v>5657</v>
      </c>
      <c r="L5485" s="82" t="s">
        <v>19512</v>
      </c>
    </row>
    <row r="5486" spans="1:12" ht="84" customHeight="1" x14ac:dyDescent="0.3">
      <c r="A5486" s="2">
        <v>5482</v>
      </c>
      <c r="B5486" s="66" t="s">
        <v>6266</v>
      </c>
      <c r="C5486" s="66" t="s">
        <v>6267</v>
      </c>
      <c r="D5486" s="11">
        <v>5100</v>
      </c>
      <c r="E5486" s="11">
        <v>5100</v>
      </c>
      <c r="F5486" s="3">
        <v>39052</v>
      </c>
      <c r="G5486" s="2"/>
      <c r="H5486" s="3">
        <v>43053</v>
      </c>
      <c r="I5486" s="2" t="s">
        <v>19506</v>
      </c>
      <c r="J5486" s="2" t="s">
        <v>13904</v>
      </c>
      <c r="K5486" s="2" t="s">
        <v>5657</v>
      </c>
      <c r="L5486" s="82" t="s">
        <v>19512</v>
      </c>
    </row>
    <row r="5487" spans="1:12" ht="84" customHeight="1" x14ac:dyDescent="0.3">
      <c r="A5487" s="2">
        <v>5483</v>
      </c>
      <c r="B5487" s="66" t="s">
        <v>6266</v>
      </c>
      <c r="C5487" s="66" t="s">
        <v>6268</v>
      </c>
      <c r="D5487" s="11">
        <v>5100</v>
      </c>
      <c r="E5487" s="11">
        <v>5100</v>
      </c>
      <c r="F5487" s="3">
        <v>39052</v>
      </c>
      <c r="G5487" s="2"/>
      <c r="H5487" s="3">
        <v>43053</v>
      </c>
      <c r="I5487" s="2" t="s">
        <v>19506</v>
      </c>
      <c r="J5487" s="2" t="s">
        <v>13904</v>
      </c>
      <c r="K5487" s="2" t="s">
        <v>5657</v>
      </c>
      <c r="L5487" s="82" t="s">
        <v>19512</v>
      </c>
    </row>
    <row r="5488" spans="1:12" ht="84" customHeight="1" x14ac:dyDescent="0.3">
      <c r="A5488" s="2">
        <v>5484</v>
      </c>
      <c r="B5488" s="66" t="s">
        <v>6269</v>
      </c>
      <c r="C5488" s="66" t="s">
        <v>6270</v>
      </c>
      <c r="D5488" s="11">
        <v>5100</v>
      </c>
      <c r="E5488" s="11">
        <v>5100</v>
      </c>
      <c r="F5488" s="3">
        <v>39052</v>
      </c>
      <c r="G5488" s="2"/>
      <c r="H5488" s="3">
        <v>43053</v>
      </c>
      <c r="I5488" s="2" t="s">
        <v>19506</v>
      </c>
      <c r="J5488" s="2" t="s">
        <v>13904</v>
      </c>
      <c r="K5488" s="2" t="s">
        <v>5657</v>
      </c>
      <c r="L5488" s="82" t="s">
        <v>19512</v>
      </c>
    </row>
    <row r="5489" spans="1:12" ht="84" customHeight="1" x14ac:dyDescent="0.3">
      <c r="A5489" s="2">
        <v>5485</v>
      </c>
      <c r="B5489" s="66" t="s">
        <v>6271</v>
      </c>
      <c r="C5489" s="66" t="s">
        <v>6272</v>
      </c>
      <c r="D5489" s="11">
        <v>5100</v>
      </c>
      <c r="E5489" s="11">
        <v>5100</v>
      </c>
      <c r="F5489" s="3">
        <v>39052</v>
      </c>
      <c r="G5489" s="2"/>
      <c r="H5489" s="3">
        <v>43053</v>
      </c>
      <c r="I5489" s="2" t="s">
        <v>19506</v>
      </c>
      <c r="J5489" s="2" t="s">
        <v>13904</v>
      </c>
      <c r="K5489" s="2" t="s">
        <v>5657</v>
      </c>
      <c r="L5489" s="82" t="s">
        <v>19512</v>
      </c>
    </row>
    <row r="5490" spans="1:12" ht="84" customHeight="1" x14ac:dyDescent="0.3">
      <c r="A5490" s="2">
        <v>5486</v>
      </c>
      <c r="B5490" s="66" t="s">
        <v>6273</v>
      </c>
      <c r="C5490" s="66" t="s">
        <v>6274</v>
      </c>
      <c r="D5490" s="11">
        <v>5100</v>
      </c>
      <c r="E5490" s="11">
        <v>5100</v>
      </c>
      <c r="F5490" s="3">
        <v>39052</v>
      </c>
      <c r="G5490" s="2"/>
      <c r="H5490" s="3">
        <v>43053</v>
      </c>
      <c r="I5490" s="2" t="s">
        <v>19506</v>
      </c>
      <c r="J5490" s="2" t="s">
        <v>13904</v>
      </c>
      <c r="K5490" s="2" t="s">
        <v>5657</v>
      </c>
      <c r="L5490" s="82" t="s">
        <v>19512</v>
      </c>
    </row>
    <row r="5491" spans="1:12" ht="84" customHeight="1" x14ac:dyDescent="0.3">
      <c r="A5491" s="2">
        <v>5487</v>
      </c>
      <c r="B5491" s="66" t="s">
        <v>6273</v>
      </c>
      <c r="C5491" s="66" t="s">
        <v>6275</v>
      </c>
      <c r="D5491" s="11">
        <v>5100</v>
      </c>
      <c r="E5491" s="11">
        <v>5100</v>
      </c>
      <c r="F5491" s="3">
        <v>39052</v>
      </c>
      <c r="G5491" s="2"/>
      <c r="H5491" s="3">
        <v>43053</v>
      </c>
      <c r="I5491" s="2" t="s">
        <v>19506</v>
      </c>
      <c r="J5491" s="2" t="s">
        <v>13904</v>
      </c>
      <c r="K5491" s="2" t="s">
        <v>5657</v>
      </c>
      <c r="L5491" s="82" t="s">
        <v>19512</v>
      </c>
    </row>
    <row r="5492" spans="1:12" ht="84" customHeight="1" x14ac:dyDescent="0.3">
      <c r="A5492" s="2">
        <v>5488</v>
      </c>
      <c r="B5492" s="66" t="s">
        <v>6276</v>
      </c>
      <c r="C5492" s="66" t="s">
        <v>6277</v>
      </c>
      <c r="D5492" s="11">
        <v>5100</v>
      </c>
      <c r="E5492" s="11">
        <v>5100</v>
      </c>
      <c r="F5492" s="3">
        <v>39052</v>
      </c>
      <c r="G5492" s="2"/>
      <c r="H5492" s="3">
        <v>43053</v>
      </c>
      <c r="I5492" s="2" t="s">
        <v>19506</v>
      </c>
      <c r="J5492" s="2" t="s">
        <v>13904</v>
      </c>
      <c r="K5492" s="2" t="s">
        <v>5657</v>
      </c>
      <c r="L5492" s="82" t="s">
        <v>19512</v>
      </c>
    </row>
    <row r="5493" spans="1:12" ht="84" customHeight="1" x14ac:dyDescent="0.3">
      <c r="A5493" s="2">
        <v>5489</v>
      </c>
      <c r="B5493" s="66" t="s">
        <v>6273</v>
      </c>
      <c r="C5493" s="66" t="s">
        <v>6278</v>
      </c>
      <c r="D5493" s="11">
        <v>5100</v>
      </c>
      <c r="E5493" s="11">
        <v>5100</v>
      </c>
      <c r="F5493" s="3">
        <v>39052</v>
      </c>
      <c r="G5493" s="2"/>
      <c r="H5493" s="3">
        <v>43053</v>
      </c>
      <c r="I5493" s="2" t="s">
        <v>19506</v>
      </c>
      <c r="J5493" s="2" t="s">
        <v>13904</v>
      </c>
      <c r="K5493" s="2" t="s">
        <v>5657</v>
      </c>
      <c r="L5493" s="82" t="s">
        <v>19512</v>
      </c>
    </row>
    <row r="5494" spans="1:12" ht="84" customHeight="1" x14ac:dyDescent="0.3">
      <c r="A5494" s="2">
        <v>5490</v>
      </c>
      <c r="B5494" s="66" t="s">
        <v>6273</v>
      </c>
      <c r="C5494" s="66" t="s">
        <v>6279</v>
      </c>
      <c r="D5494" s="11">
        <v>5100</v>
      </c>
      <c r="E5494" s="11">
        <v>5100</v>
      </c>
      <c r="F5494" s="3">
        <v>39052</v>
      </c>
      <c r="G5494" s="2"/>
      <c r="H5494" s="3">
        <v>43053</v>
      </c>
      <c r="I5494" s="2" t="s">
        <v>19506</v>
      </c>
      <c r="J5494" s="2" t="s">
        <v>13904</v>
      </c>
      <c r="K5494" s="2" t="s">
        <v>5657</v>
      </c>
      <c r="L5494" s="82" t="s">
        <v>19512</v>
      </c>
    </row>
    <row r="5495" spans="1:12" ht="84" customHeight="1" x14ac:dyDescent="0.3">
      <c r="A5495" s="2">
        <v>5491</v>
      </c>
      <c r="B5495" s="66" t="s">
        <v>6280</v>
      </c>
      <c r="C5495" s="66" t="s">
        <v>6281</v>
      </c>
      <c r="D5495" s="11">
        <v>5100</v>
      </c>
      <c r="E5495" s="11">
        <v>5100</v>
      </c>
      <c r="F5495" s="3">
        <v>39052</v>
      </c>
      <c r="G5495" s="2"/>
      <c r="H5495" s="3">
        <v>43053</v>
      </c>
      <c r="I5495" s="2" t="s">
        <v>19506</v>
      </c>
      <c r="J5495" s="2" t="s">
        <v>13904</v>
      </c>
      <c r="K5495" s="2" t="s">
        <v>5657</v>
      </c>
      <c r="L5495" s="82" t="s">
        <v>19512</v>
      </c>
    </row>
    <row r="5496" spans="1:12" ht="84" customHeight="1" x14ac:dyDescent="0.3">
      <c r="A5496" s="2">
        <v>5492</v>
      </c>
      <c r="B5496" s="66" t="s">
        <v>6282</v>
      </c>
      <c r="C5496" s="66" t="s">
        <v>6283</v>
      </c>
      <c r="D5496" s="11">
        <v>5100</v>
      </c>
      <c r="E5496" s="11">
        <v>5100</v>
      </c>
      <c r="F5496" s="3">
        <v>39052</v>
      </c>
      <c r="G5496" s="2"/>
      <c r="H5496" s="3">
        <v>43053</v>
      </c>
      <c r="I5496" s="2" t="s">
        <v>19506</v>
      </c>
      <c r="J5496" s="2" t="s">
        <v>13904</v>
      </c>
      <c r="K5496" s="2" t="s">
        <v>5657</v>
      </c>
      <c r="L5496" s="82" t="s">
        <v>19512</v>
      </c>
    </row>
    <row r="5497" spans="1:12" ht="84" customHeight="1" x14ac:dyDescent="0.3">
      <c r="A5497" s="2">
        <v>5493</v>
      </c>
      <c r="B5497" s="66" t="s">
        <v>18776</v>
      </c>
      <c r="C5497" s="66">
        <v>4101260012</v>
      </c>
      <c r="D5497" s="11">
        <v>72900</v>
      </c>
      <c r="E5497" s="11">
        <v>13365</v>
      </c>
      <c r="F5497" s="3">
        <v>42342</v>
      </c>
      <c r="G5497" s="2"/>
      <c r="H5497" s="2"/>
      <c r="I5497" s="2"/>
      <c r="J5497" s="2" t="s">
        <v>13904</v>
      </c>
      <c r="K5497" s="2" t="s">
        <v>5657</v>
      </c>
      <c r="L5497" s="82" t="s">
        <v>18773</v>
      </c>
    </row>
    <row r="5498" spans="1:12" ht="84" customHeight="1" x14ac:dyDescent="0.3">
      <c r="A5498" s="2">
        <v>5494</v>
      </c>
      <c r="B5498" s="66" t="s">
        <v>18777</v>
      </c>
      <c r="C5498" s="66">
        <v>4101240027</v>
      </c>
      <c r="D5498" s="11">
        <v>119277.66</v>
      </c>
      <c r="E5498" s="11">
        <v>15619.67</v>
      </c>
      <c r="F5498" s="3">
        <v>42342</v>
      </c>
      <c r="G5498" s="2"/>
      <c r="H5498" s="2"/>
      <c r="I5498" s="2"/>
      <c r="J5498" s="2" t="s">
        <v>13904</v>
      </c>
      <c r="K5498" s="2" t="s">
        <v>5657</v>
      </c>
      <c r="L5498" s="82" t="s">
        <v>18773</v>
      </c>
    </row>
    <row r="5499" spans="1:12" ht="84" customHeight="1" x14ac:dyDescent="0.3">
      <c r="A5499" s="2">
        <v>5495</v>
      </c>
      <c r="B5499" s="66" t="s">
        <v>18778</v>
      </c>
      <c r="C5499" s="66">
        <v>4101260014</v>
      </c>
      <c r="D5499" s="11">
        <v>135000</v>
      </c>
      <c r="E5499" s="11">
        <v>24750</v>
      </c>
      <c r="F5499" s="3">
        <v>42348</v>
      </c>
      <c r="G5499" s="2"/>
      <c r="H5499" s="2"/>
      <c r="I5499" s="2"/>
      <c r="J5499" s="2" t="s">
        <v>13904</v>
      </c>
      <c r="K5499" s="2" t="s">
        <v>5657</v>
      </c>
      <c r="L5499" s="82" t="s">
        <v>18773</v>
      </c>
    </row>
    <row r="5500" spans="1:12" ht="84" customHeight="1" x14ac:dyDescent="0.3">
      <c r="A5500" s="2">
        <v>5496</v>
      </c>
      <c r="B5500" s="66" t="s">
        <v>6284</v>
      </c>
      <c r="C5500" s="66" t="s">
        <v>6285</v>
      </c>
      <c r="D5500" s="11">
        <v>5100</v>
      </c>
      <c r="E5500" s="11">
        <v>5100</v>
      </c>
      <c r="F5500" s="3">
        <v>39052</v>
      </c>
      <c r="G5500" s="2"/>
      <c r="H5500" s="3">
        <v>43053</v>
      </c>
      <c r="I5500" s="2" t="s">
        <v>19506</v>
      </c>
      <c r="J5500" s="2" t="s">
        <v>13904</v>
      </c>
      <c r="K5500" s="2" t="s">
        <v>5657</v>
      </c>
      <c r="L5500" s="82" t="s">
        <v>19512</v>
      </c>
    </row>
    <row r="5501" spans="1:12" ht="84" customHeight="1" x14ac:dyDescent="0.3">
      <c r="A5501" s="2">
        <v>5497</v>
      </c>
      <c r="B5501" s="66" t="s">
        <v>6286</v>
      </c>
      <c r="C5501" s="66" t="s">
        <v>6287</v>
      </c>
      <c r="D5501" s="11">
        <v>11061.5</v>
      </c>
      <c r="E5501" s="11">
        <v>11061.5</v>
      </c>
      <c r="F5501" s="3">
        <v>39052</v>
      </c>
      <c r="G5501" s="2"/>
      <c r="H5501" s="3">
        <v>43053</v>
      </c>
      <c r="I5501" s="2" t="s">
        <v>19506</v>
      </c>
      <c r="J5501" s="2" t="s">
        <v>13904</v>
      </c>
      <c r="K5501" s="2" t="s">
        <v>5657</v>
      </c>
      <c r="L5501" s="82" t="s">
        <v>19512</v>
      </c>
    </row>
    <row r="5502" spans="1:12" ht="84" customHeight="1" x14ac:dyDescent="0.3">
      <c r="A5502" s="2">
        <v>5498</v>
      </c>
      <c r="B5502" s="66" t="s">
        <v>6288</v>
      </c>
      <c r="C5502" s="66" t="s">
        <v>6289</v>
      </c>
      <c r="D5502" s="11">
        <v>6000</v>
      </c>
      <c r="E5502" s="11">
        <v>6000</v>
      </c>
      <c r="F5502" s="3">
        <v>39762</v>
      </c>
      <c r="G5502" s="2"/>
      <c r="H5502" s="3">
        <v>43053</v>
      </c>
      <c r="I5502" s="2" t="s">
        <v>19506</v>
      </c>
      <c r="J5502" s="2" t="s">
        <v>13904</v>
      </c>
      <c r="K5502" s="2" t="s">
        <v>5657</v>
      </c>
      <c r="L5502" s="82" t="s">
        <v>19512</v>
      </c>
    </row>
    <row r="5503" spans="1:12" ht="84" customHeight="1" x14ac:dyDescent="0.3">
      <c r="A5503" s="2">
        <v>5499</v>
      </c>
      <c r="B5503" s="66" t="s">
        <v>6108</v>
      </c>
      <c r="C5503" s="66" t="s">
        <v>6290</v>
      </c>
      <c r="D5503" s="11">
        <v>6000</v>
      </c>
      <c r="E5503" s="11">
        <v>6000</v>
      </c>
      <c r="F5503" s="3">
        <v>39762</v>
      </c>
      <c r="G5503" s="2"/>
      <c r="H5503" s="3">
        <v>43053</v>
      </c>
      <c r="I5503" s="2" t="s">
        <v>19506</v>
      </c>
      <c r="J5503" s="2" t="s">
        <v>13904</v>
      </c>
      <c r="K5503" s="2" t="s">
        <v>5657</v>
      </c>
      <c r="L5503" s="82" t="s">
        <v>19512</v>
      </c>
    </row>
    <row r="5504" spans="1:12" ht="84" customHeight="1" x14ac:dyDescent="0.3">
      <c r="A5504" s="2">
        <v>5500</v>
      </c>
      <c r="B5504" s="66" t="s">
        <v>6291</v>
      </c>
      <c r="C5504" s="66" t="s">
        <v>6292</v>
      </c>
      <c r="D5504" s="11">
        <v>4889.46</v>
      </c>
      <c r="E5504" s="11">
        <v>4889.46</v>
      </c>
      <c r="F5504" s="3">
        <v>40751</v>
      </c>
      <c r="G5504" s="2"/>
      <c r="H5504" s="3">
        <v>43053</v>
      </c>
      <c r="I5504" s="2" t="s">
        <v>19506</v>
      </c>
      <c r="J5504" s="2" t="s">
        <v>13904</v>
      </c>
      <c r="K5504" s="2" t="s">
        <v>5657</v>
      </c>
      <c r="L5504" s="82" t="s">
        <v>19512</v>
      </c>
    </row>
    <row r="5505" spans="1:12" ht="84" customHeight="1" x14ac:dyDescent="0.3">
      <c r="A5505" s="2">
        <v>5501</v>
      </c>
      <c r="B5505" s="66" t="s">
        <v>6293</v>
      </c>
      <c r="C5505" s="66" t="s">
        <v>6294</v>
      </c>
      <c r="D5505" s="11">
        <v>11595.4</v>
      </c>
      <c r="E5505" s="11">
        <v>11595.4</v>
      </c>
      <c r="F5505" s="3">
        <v>39783</v>
      </c>
      <c r="G5505" s="2"/>
      <c r="H5505" s="3">
        <v>43053</v>
      </c>
      <c r="I5505" s="2" t="s">
        <v>19506</v>
      </c>
      <c r="J5505" s="2" t="s">
        <v>13904</v>
      </c>
      <c r="K5505" s="2" t="s">
        <v>5657</v>
      </c>
      <c r="L5505" s="82" t="s">
        <v>19512</v>
      </c>
    </row>
    <row r="5506" spans="1:12" ht="84" customHeight="1" x14ac:dyDescent="0.3">
      <c r="A5506" s="2">
        <v>5502</v>
      </c>
      <c r="B5506" s="66" t="s">
        <v>6295</v>
      </c>
      <c r="C5506" s="66" t="s">
        <v>6296</v>
      </c>
      <c r="D5506" s="11">
        <v>6000</v>
      </c>
      <c r="E5506" s="11">
        <v>6000</v>
      </c>
      <c r="F5506" s="3">
        <v>39762</v>
      </c>
      <c r="G5506" s="2"/>
      <c r="H5506" s="3">
        <v>43053</v>
      </c>
      <c r="I5506" s="2" t="s">
        <v>19506</v>
      </c>
      <c r="J5506" s="2" t="s">
        <v>13904</v>
      </c>
      <c r="K5506" s="2" t="s">
        <v>5657</v>
      </c>
      <c r="L5506" s="82" t="s">
        <v>19512</v>
      </c>
    </row>
    <row r="5507" spans="1:12" ht="84" customHeight="1" x14ac:dyDescent="0.3">
      <c r="A5507" s="2">
        <v>5503</v>
      </c>
      <c r="B5507" s="66" t="s">
        <v>6295</v>
      </c>
      <c r="C5507" s="66" t="s">
        <v>6297</v>
      </c>
      <c r="D5507" s="11">
        <v>6000</v>
      </c>
      <c r="E5507" s="11">
        <v>6000</v>
      </c>
      <c r="F5507" s="3">
        <v>39762</v>
      </c>
      <c r="G5507" s="2"/>
      <c r="H5507" s="3">
        <v>43053</v>
      </c>
      <c r="I5507" s="2" t="s">
        <v>19506</v>
      </c>
      <c r="J5507" s="2" t="s">
        <v>13904</v>
      </c>
      <c r="K5507" s="2" t="s">
        <v>5657</v>
      </c>
      <c r="L5507" s="82" t="s">
        <v>19512</v>
      </c>
    </row>
    <row r="5508" spans="1:12" ht="84" customHeight="1" x14ac:dyDescent="0.3">
      <c r="A5508" s="2">
        <v>5504</v>
      </c>
      <c r="B5508" s="66" t="s">
        <v>6295</v>
      </c>
      <c r="C5508" s="66" t="s">
        <v>6298</v>
      </c>
      <c r="D5508" s="11">
        <v>6000</v>
      </c>
      <c r="E5508" s="11">
        <v>6000</v>
      </c>
      <c r="F5508" s="3">
        <v>39762</v>
      </c>
      <c r="G5508" s="2"/>
      <c r="H5508" s="3">
        <v>43053</v>
      </c>
      <c r="I5508" s="2" t="s">
        <v>19506</v>
      </c>
      <c r="J5508" s="2" t="s">
        <v>13904</v>
      </c>
      <c r="K5508" s="2" t="s">
        <v>5657</v>
      </c>
      <c r="L5508" s="82" t="s">
        <v>19512</v>
      </c>
    </row>
    <row r="5509" spans="1:12" ht="84" customHeight="1" x14ac:dyDescent="0.3">
      <c r="A5509" s="2">
        <v>5505</v>
      </c>
      <c r="B5509" s="66" t="s">
        <v>6295</v>
      </c>
      <c r="C5509" s="66" t="s">
        <v>6299</v>
      </c>
      <c r="D5509" s="11">
        <v>6000</v>
      </c>
      <c r="E5509" s="11">
        <v>6000</v>
      </c>
      <c r="F5509" s="3">
        <v>39762</v>
      </c>
      <c r="G5509" s="2"/>
      <c r="H5509" s="3">
        <v>43053</v>
      </c>
      <c r="I5509" s="2" t="s">
        <v>19506</v>
      </c>
      <c r="J5509" s="2" t="s">
        <v>13904</v>
      </c>
      <c r="K5509" s="2" t="s">
        <v>5657</v>
      </c>
      <c r="L5509" s="82" t="s">
        <v>19512</v>
      </c>
    </row>
    <row r="5510" spans="1:12" ht="84" customHeight="1" x14ac:dyDescent="0.3">
      <c r="A5510" s="2">
        <v>5506</v>
      </c>
      <c r="B5510" s="66" t="s">
        <v>6300</v>
      </c>
      <c r="C5510" s="66" t="s">
        <v>6301</v>
      </c>
      <c r="D5510" s="11">
        <v>6000</v>
      </c>
      <c r="E5510" s="11">
        <v>6000</v>
      </c>
      <c r="F5510" s="3">
        <v>39762</v>
      </c>
      <c r="G5510" s="2"/>
      <c r="H5510" s="3">
        <v>43053</v>
      </c>
      <c r="I5510" s="2" t="s">
        <v>19506</v>
      </c>
      <c r="J5510" s="2" t="s">
        <v>13904</v>
      </c>
      <c r="K5510" s="2" t="s">
        <v>5657</v>
      </c>
      <c r="L5510" s="82" t="s">
        <v>19512</v>
      </c>
    </row>
    <row r="5511" spans="1:12" ht="84" customHeight="1" x14ac:dyDescent="0.3">
      <c r="A5511" s="2">
        <v>5507</v>
      </c>
      <c r="B5511" s="66" t="s">
        <v>6302</v>
      </c>
      <c r="C5511" s="66" t="s">
        <v>5415</v>
      </c>
      <c r="D5511" s="11">
        <v>11061.5</v>
      </c>
      <c r="E5511" s="11">
        <v>11061.5</v>
      </c>
      <c r="F5511" s="3">
        <v>39052</v>
      </c>
      <c r="G5511" s="2"/>
      <c r="H5511" s="3">
        <v>43053</v>
      </c>
      <c r="I5511" s="2" t="s">
        <v>19506</v>
      </c>
      <c r="J5511" s="2" t="s">
        <v>13904</v>
      </c>
      <c r="K5511" s="2" t="s">
        <v>5657</v>
      </c>
      <c r="L5511" s="82" t="s">
        <v>19512</v>
      </c>
    </row>
    <row r="5512" spans="1:12" ht="84" customHeight="1" x14ac:dyDescent="0.3">
      <c r="A5512" s="2">
        <v>5508</v>
      </c>
      <c r="B5512" s="66" t="s">
        <v>6303</v>
      </c>
      <c r="C5512" s="66" t="s">
        <v>6304</v>
      </c>
      <c r="D5512" s="11">
        <v>11061.34</v>
      </c>
      <c r="E5512" s="11">
        <v>11061.34</v>
      </c>
      <c r="F5512" s="3">
        <v>39052</v>
      </c>
      <c r="G5512" s="2"/>
      <c r="H5512" s="3">
        <v>43053</v>
      </c>
      <c r="I5512" s="2" t="s">
        <v>19506</v>
      </c>
      <c r="J5512" s="2" t="s">
        <v>13904</v>
      </c>
      <c r="K5512" s="2" t="s">
        <v>5657</v>
      </c>
      <c r="L5512" s="82" t="s">
        <v>19512</v>
      </c>
    </row>
    <row r="5513" spans="1:12" ht="84" customHeight="1" x14ac:dyDescent="0.3">
      <c r="A5513" s="2">
        <v>5509</v>
      </c>
      <c r="B5513" s="66" t="s">
        <v>6305</v>
      </c>
      <c r="C5513" s="66" t="s">
        <v>6306</v>
      </c>
      <c r="D5513" s="11">
        <v>11061.5</v>
      </c>
      <c r="E5513" s="11">
        <v>11061.5</v>
      </c>
      <c r="F5513" s="3">
        <v>39052</v>
      </c>
      <c r="G5513" s="2"/>
      <c r="H5513" s="3">
        <v>43053</v>
      </c>
      <c r="I5513" s="2" t="s">
        <v>19506</v>
      </c>
      <c r="J5513" s="2" t="s">
        <v>13904</v>
      </c>
      <c r="K5513" s="2" t="s">
        <v>5657</v>
      </c>
      <c r="L5513" s="82" t="s">
        <v>19512</v>
      </c>
    </row>
    <row r="5514" spans="1:12" ht="84" customHeight="1" x14ac:dyDescent="0.3">
      <c r="A5514" s="2">
        <v>5510</v>
      </c>
      <c r="B5514" s="66" t="s">
        <v>6307</v>
      </c>
      <c r="C5514" s="66" t="s">
        <v>6308</v>
      </c>
      <c r="D5514" s="11">
        <v>11061.5</v>
      </c>
      <c r="E5514" s="11">
        <v>11061.5</v>
      </c>
      <c r="F5514" s="3">
        <v>39052</v>
      </c>
      <c r="G5514" s="2"/>
      <c r="H5514" s="3">
        <v>43053</v>
      </c>
      <c r="I5514" s="2" t="s">
        <v>19506</v>
      </c>
      <c r="J5514" s="2" t="s">
        <v>13904</v>
      </c>
      <c r="K5514" s="2" t="s">
        <v>5657</v>
      </c>
      <c r="L5514" s="82" t="s">
        <v>19512</v>
      </c>
    </row>
    <row r="5515" spans="1:12" ht="84" customHeight="1" x14ac:dyDescent="0.3">
      <c r="A5515" s="2">
        <v>5511</v>
      </c>
      <c r="B5515" s="66" t="s">
        <v>6309</v>
      </c>
      <c r="C5515" s="66" t="s">
        <v>6310</v>
      </c>
      <c r="D5515" s="11">
        <v>11061.5</v>
      </c>
      <c r="E5515" s="11">
        <v>11061.5</v>
      </c>
      <c r="F5515" s="3">
        <v>39052</v>
      </c>
      <c r="G5515" s="2"/>
      <c r="H5515" s="3">
        <v>43053</v>
      </c>
      <c r="I5515" s="2" t="s">
        <v>19506</v>
      </c>
      <c r="J5515" s="2" t="s">
        <v>13904</v>
      </c>
      <c r="K5515" s="2" t="s">
        <v>5657</v>
      </c>
      <c r="L5515" s="82" t="s">
        <v>19512</v>
      </c>
    </row>
    <row r="5516" spans="1:12" ht="84" customHeight="1" x14ac:dyDescent="0.3">
      <c r="A5516" s="2">
        <v>5512</v>
      </c>
      <c r="B5516" s="66" t="s">
        <v>6309</v>
      </c>
      <c r="C5516" s="66" t="s">
        <v>6311</v>
      </c>
      <c r="D5516" s="11">
        <v>11061.5</v>
      </c>
      <c r="E5516" s="11">
        <v>11061.5</v>
      </c>
      <c r="F5516" s="3">
        <v>39052</v>
      </c>
      <c r="G5516" s="2"/>
      <c r="H5516" s="3">
        <v>43053</v>
      </c>
      <c r="I5516" s="2" t="s">
        <v>19506</v>
      </c>
      <c r="J5516" s="2" t="s">
        <v>13904</v>
      </c>
      <c r="K5516" s="2" t="s">
        <v>5657</v>
      </c>
      <c r="L5516" s="82" t="s">
        <v>19512</v>
      </c>
    </row>
    <row r="5517" spans="1:12" ht="84" customHeight="1" x14ac:dyDescent="0.3">
      <c r="A5517" s="2">
        <v>5513</v>
      </c>
      <c r="B5517" s="66" t="s">
        <v>6309</v>
      </c>
      <c r="C5517" s="66" t="s">
        <v>6312</v>
      </c>
      <c r="D5517" s="11">
        <v>11061.5</v>
      </c>
      <c r="E5517" s="11">
        <v>11061.5</v>
      </c>
      <c r="F5517" s="3">
        <v>39052</v>
      </c>
      <c r="G5517" s="2"/>
      <c r="H5517" s="3">
        <v>43053</v>
      </c>
      <c r="I5517" s="2" t="s">
        <v>19506</v>
      </c>
      <c r="J5517" s="2" t="s">
        <v>13904</v>
      </c>
      <c r="K5517" s="2" t="s">
        <v>5657</v>
      </c>
      <c r="L5517" s="82" t="s">
        <v>19512</v>
      </c>
    </row>
    <row r="5518" spans="1:12" ht="84" customHeight="1" x14ac:dyDescent="0.3">
      <c r="A5518" s="2">
        <v>5514</v>
      </c>
      <c r="B5518" s="66" t="s">
        <v>6309</v>
      </c>
      <c r="C5518" s="66" t="s">
        <v>6313</v>
      </c>
      <c r="D5518" s="11">
        <v>11061.5</v>
      </c>
      <c r="E5518" s="11">
        <v>11061.5</v>
      </c>
      <c r="F5518" s="3">
        <v>39052</v>
      </c>
      <c r="G5518" s="2"/>
      <c r="H5518" s="3">
        <v>43053</v>
      </c>
      <c r="I5518" s="2" t="s">
        <v>19506</v>
      </c>
      <c r="J5518" s="2" t="s">
        <v>13904</v>
      </c>
      <c r="K5518" s="2" t="s">
        <v>5657</v>
      </c>
      <c r="L5518" s="82" t="s">
        <v>19512</v>
      </c>
    </row>
    <row r="5519" spans="1:12" ht="84" customHeight="1" x14ac:dyDescent="0.3">
      <c r="A5519" s="2">
        <v>5515</v>
      </c>
      <c r="B5519" s="66" t="s">
        <v>6309</v>
      </c>
      <c r="C5519" s="66" t="s">
        <v>6314</v>
      </c>
      <c r="D5519" s="11">
        <v>11061.5</v>
      </c>
      <c r="E5519" s="11">
        <v>11061.5</v>
      </c>
      <c r="F5519" s="3">
        <v>39052</v>
      </c>
      <c r="G5519" s="2"/>
      <c r="H5519" s="3">
        <v>43053</v>
      </c>
      <c r="I5519" s="2" t="s">
        <v>19506</v>
      </c>
      <c r="J5519" s="2" t="s">
        <v>13904</v>
      </c>
      <c r="K5519" s="2" t="s">
        <v>5657</v>
      </c>
      <c r="L5519" s="82" t="s">
        <v>19512</v>
      </c>
    </row>
    <row r="5520" spans="1:12" ht="84" customHeight="1" x14ac:dyDescent="0.3">
      <c r="A5520" s="2">
        <v>5516</v>
      </c>
      <c r="B5520" s="66" t="s">
        <v>6309</v>
      </c>
      <c r="C5520" s="66" t="s">
        <v>6315</v>
      </c>
      <c r="D5520" s="11">
        <v>11061.5</v>
      </c>
      <c r="E5520" s="11">
        <v>11061.5</v>
      </c>
      <c r="F5520" s="3">
        <v>39052</v>
      </c>
      <c r="G5520" s="2"/>
      <c r="H5520" s="3">
        <v>43053</v>
      </c>
      <c r="I5520" s="2" t="s">
        <v>19506</v>
      </c>
      <c r="J5520" s="2" t="s">
        <v>13904</v>
      </c>
      <c r="K5520" s="2" t="s">
        <v>5657</v>
      </c>
      <c r="L5520" s="82" t="s">
        <v>19512</v>
      </c>
    </row>
    <row r="5521" spans="1:12" ht="84" customHeight="1" x14ac:dyDescent="0.3">
      <c r="A5521" s="2">
        <v>5517</v>
      </c>
      <c r="B5521" s="66" t="s">
        <v>6309</v>
      </c>
      <c r="C5521" s="66" t="s">
        <v>6316</v>
      </c>
      <c r="D5521" s="11">
        <v>11061.5</v>
      </c>
      <c r="E5521" s="11">
        <v>11061.5</v>
      </c>
      <c r="F5521" s="3">
        <v>39052</v>
      </c>
      <c r="G5521" s="2"/>
      <c r="H5521" s="3">
        <v>43053</v>
      </c>
      <c r="I5521" s="2" t="s">
        <v>19506</v>
      </c>
      <c r="J5521" s="2" t="s">
        <v>13904</v>
      </c>
      <c r="K5521" s="2" t="s">
        <v>5657</v>
      </c>
      <c r="L5521" s="82" t="s">
        <v>19512</v>
      </c>
    </row>
    <row r="5522" spans="1:12" ht="84" customHeight="1" x14ac:dyDescent="0.3">
      <c r="A5522" s="2">
        <v>5518</v>
      </c>
      <c r="B5522" s="66" t="s">
        <v>6309</v>
      </c>
      <c r="C5522" s="66" t="s">
        <v>6317</v>
      </c>
      <c r="D5522" s="11">
        <v>11061.5</v>
      </c>
      <c r="E5522" s="11">
        <v>11061.5</v>
      </c>
      <c r="F5522" s="3">
        <v>39052</v>
      </c>
      <c r="G5522" s="2"/>
      <c r="H5522" s="3">
        <v>43053</v>
      </c>
      <c r="I5522" s="2" t="s">
        <v>19506</v>
      </c>
      <c r="J5522" s="2" t="s">
        <v>13904</v>
      </c>
      <c r="K5522" s="2" t="s">
        <v>5657</v>
      </c>
      <c r="L5522" s="82" t="s">
        <v>19512</v>
      </c>
    </row>
    <row r="5523" spans="1:12" ht="84" customHeight="1" x14ac:dyDescent="0.3">
      <c r="A5523" s="2">
        <v>5519</v>
      </c>
      <c r="B5523" s="66" t="s">
        <v>6309</v>
      </c>
      <c r="C5523" s="66" t="s">
        <v>6318</v>
      </c>
      <c r="D5523" s="11">
        <v>11061.5</v>
      </c>
      <c r="E5523" s="11">
        <v>11061.5</v>
      </c>
      <c r="F5523" s="3">
        <v>39059</v>
      </c>
      <c r="G5523" s="2"/>
      <c r="H5523" s="3">
        <v>43053</v>
      </c>
      <c r="I5523" s="2" t="s">
        <v>19506</v>
      </c>
      <c r="J5523" s="2" t="s">
        <v>13904</v>
      </c>
      <c r="K5523" s="2" t="s">
        <v>5657</v>
      </c>
      <c r="L5523" s="82" t="s">
        <v>19512</v>
      </c>
    </row>
    <row r="5524" spans="1:12" ht="84" customHeight="1" x14ac:dyDescent="0.3">
      <c r="A5524" s="2">
        <v>5520</v>
      </c>
      <c r="B5524" s="66" t="s">
        <v>6309</v>
      </c>
      <c r="C5524" s="66" t="s">
        <v>6319</v>
      </c>
      <c r="D5524" s="11">
        <v>11061.5</v>
      </c>
      <c r="E5524" s="11">
        <v>11061.5</v>
      </c>
      <c r="F5524" s="3">
        <v>39052</v>
      </c>
      <c r="G5524" s="2"/>
      <c r="H5524" s="3">
        <v>43053</v>
      </c>
      <c r="I5524" s="2" t="s">
        <v>19506</v>
      </c>
      <c r="J5524" s="2" t="s">
        <v>13904</v>
      </c>
      <c r="K5524" s="2" t="s">
        <v>5657</v>
      </c>
      <c r="L5524" s="82" t="s">
        <v>19512</v>
      </c>
    </row>
    <row r="5525" spans="1:12" ht="84" customHeight="1" x14ac:dyDescent="0.3">
      <c r="A5525" s="2">
        <v>5521</v>
      </c>
      <c r="B5525" s="66" t="s">
        <v>6309</v>
      </c>
      <c r="C5525" s="66" t="s">
        <v>6320</v>
      </c>
      <c r="D5525" s="11">
        <v>11061.5</v>
      </c>
      <c r="E5525" s="11">
        <v>11061.5</v>
      </c>
      <c r="F5525" s="3">
        <v>39052</v>
      </c>
      <c r="G5525" s="2"/>
      <c r="H5525" s="3">
        <v>43053</v>
      </c>
      <c r="I5525" s="2" t="s">
        <v>19506</v>
      </c>
      <c r="J5525" s="2" t="s">
        <v>13904</v>
      </c>
      <c r="K5525" s="2" t="s">
        <v>5657</v>
      </c>
      <c r="L5525" s="82" t="s">
        <v>19512</v>
      </c>
    </row>
    <row r="5526" spans="1:12" ht="84" customHeight="1" x14ac:dyDescent="0.3">
      <c r="A5526" s="2">
        <v>5522</v>
      </c>
      <c r="B5526" s="66" t="s">
        <v>6309</v>
      </c>
      <c r="C5526" s="66" t="s">
        <v>6321</v>
      </c>
      <c r="D5526" s="11">
        <v>11061.5</v>
      </c>
      <c r="E5526" s="11">
        <v>11061.5</v>
      </c>
      <c r="F5526" s="3">
        <v>39052</v>
      </c>
      <c r="G5526" s="2"/>
      <c r="H5526" s="3">
        <v>43053</v>
      </c>
      <c r="I5526" s="2" t="s">
        <v>19506</v>
      </c>
      <c r="J5526" s="2" t="s">
        <v>13904</v>
      </c>
      <c r="K5526" s="2" t="s">
        <v>5657</v>
      </c>
      <c r="L5526" s="82" t="s">
        <v>19512</v>
      </c>
    </row>
    <row r="5527" spans="1:12" ht="84" customHeight="1" x14ac:dyDescent="0.3">
      <c r="A5527" s="2">
        <v>5523</v>
      </c>
      <c r="B5527" s="66" t="s">
        <v>6309</v>
      </c>
      <c r="C5527" s="66" t="s">
        <v>5487</v>
      </c>
      <c r="D5527" s="11">
        <v>11061.5</v>
      </c>
      <c r="E5527" s="11">
        <v>11061.5</v>
      </c>
      <c r="F5527" s="3">
        <v>39052</v>
      </c>
      <c r="G5527" s="2"/>
      <c r="H5527" s="3">
        <v>43053</v>
      </c>
      <c r="I5527" s="2" t="s">
        <v>19506</v>
      </c>
      <c r="J5527" s="2" t="s">
        <v>13904</v>
      </c>
      <c r="K5527" s="2" t="s">
        <v>5657</v>
      </c>
      <c r="L5527" s="82" t="s">
        <v>19512</v>
      </c>
    </row>
    <row r="5528" spans="1:12" ht="84" customHeight="1" x14ac:dyDescent="0.3">
      <c r="A5528" s="2">
        <v>5524</v>
      </c>
      <c r="B5528" s="66" t="s">
        <v>6309</v>
      </c>
      <c r="C5528" s="66" t="s">
        <v>4344</v>
      </c>
      <c r="D5528" s="11">
        <v>11061.5</v>
      </c>
      <c r="E5528" s="11">
        <v>11061.5</v>
      </c>
      <c r="F5528" s="3">
        <v>39052</v>
      </c>
      <c r="G5528" s="2"/>
      <c r="H5528" s="3">
        <v>43053</v>
      </c>
      <c r="I5528" s="2" t="s">
        <v>19506</v>
      </c>
      <c r="J5528" s="2" t="s">
        <v>13904</v>
      </c>
      <c r="K5528" s="2" t="s">
        <v>5657</v>
      </c>
      <c r="L5528" s="82" t="s">
        <v>19512</v>
      </c>
    </row>
    <row r="5529" spans="1:12" ht="84" customHeight="1" x14ac:dyDescent="0.3">
      <c r="A5529" s="2">
        <v>5525</v>
      </c>
      <c r="B5529" s="66" t="s">
        <v>6322</v>
      </c>
      <c r="C5529" s="66" t="s">
        <v>6323</v>
      </c>
      <c r="D5529" s="11">
        <v>11061.5</v>
      </c>
      <c r="E5529" s="11">
        <v>11061.5</v>
      </c>
      <c r="F5529" s="3">
        <v>39052</v>
      </c>
      <c r="G5529" s="2"/>
      <c r="H5529" s="3">
        <v>43053</v>
      </c>
      <c r="I5529" s="2" t="s">
        <v>19506</v>
      </c>
      <c r="J5529" s="2" t="s">
        <v>13904</v>
      </c>
      <c r="K5529" s="2" t="s">
        <v>5657</v>
      </c>
      <c r="L5529" s="82" t="s">
        <v>19512</v>
      </c>
    </row>
    <row r="5530" spans="1:12" ht="84" customHeight="1" x14ac:dyDescent="0.3">
      <c r="A5530" s="2">
        <v>5526</v>
      </c>
      <c r="B5530" s="66" t="s">
        <v>6322</v>
      </c>
      <c r="C5530" s="66" t="s">
        <v>6324</v>
      </c>
      <c r="D5530" s="11">
        <v>11061.5</v>
      </c>
      <c r="E5530" s="11">
        <v>11061.5</v>
      </c>
      <c r="F5530" s="3">
        <v>39052</v>
      </c>
      <c r="G5530" s="2"/>
      <c r="H5530" s="3">
        <v>43053</v>
      </c>
      <c r="I5530" s="2" t="s">
        <v>19506</v>
      </c>
      <c r="J5530" s="2" t="s">
        <v>13904</v>
      </c>
      <c r="K5530" s="2" t="s">
        <v>5657</v>
      </c>
      <c r="L5530" s="82" t="s">
        <v>19512</v>
      </c>
    </row>
    <row r="5531" spans="1:12" ht="84" customHeight="1" x14ac:dyDescent="0.3">
      <c r="A5531" s="2">
        <v>5527</v>
      </c>
      <c r="B5531" s="66" t="s">
        <v>6322</v>
      </c>
      <c r="C5531" s="66" t="s">
        <v>6325</v>
      </c>
      <c r="D5531" s="11">
        <v>11061.5</v>
      </c>
      <c r="E5531" s="11">
        <v>11061.5</v>
      </c>
      <c r="F5531" s="3">
        <v>39052</v>
      </c>
      <c r="G5531" s="2"/>
      <c r="H5531" s="3">
        <v>43053</v>
      </c>
      <c r="I5531" s="2" t="s">
        <v>19506</v>
      </c>
      <c r="J5531" s="2" t="s">
        <v>13904</v>
      </c>
      <c r="K5531" s="2" t="s">
        <v>5657</v>
      </c>
      <c r="L5531" s="82" t="s">
        <v>19512</v>
      </c>
    </row>
    <row r="5532" spans="1:12" ht="84" customHeight="1" x14ac:dyDescent="0.3">
      <c r="A5532" s="2">
        <v>5528</v>
      </c>
      <c r="B5532" s="66" t="s">
        <v>6322</v>
      </c>
      <c r="C5532" s="66" t="s">
        <v>6326</v>
      </c>
      <c r="D5532" s="11">
        <v>11061.5</v>
      </c>
      <c r="E5532" s="11">
        <v>11061.5</v>
      </c>
      <c r="F5532" s="3">
        <v>39052</v>
      </c>
      <c r="G5532" s="2"/>
      <c r="H5532" s="3">
        <v>43053</v>
      </c>
      <c r="I5532" s="2" t="s">
        <v>19506</v>
      </c>
      <c r="J5532" s="2" t="s">
        <v>13904</v>
      </c>
      <c r="K5532" s="2" t="s">
        <v>5657</v>
      </c>
      <c r="L5532" s="82" t="s">
        <v>19512</v>
      </c>
    </row>
    <row r="5533" spans="1:12" ht="84" customHeight="1" x14ac:dyDescent="0.3">
      <c r="A5533" s="2">
        <v>5529</v>
      </c>
      <c r="B5533" s="66" t="s">
        <v>6322</v>
      </c>
      <c r="C5533" s="66" t="s">
        <v>6327</v>
      </c>
      <c r="D5533" s="11">
        <v>11061.5</v>
      </c>
      <c r="E5533" s="11">
        <v>11061.5</v>
      </c>
      <c r="F5533" s="3">
        <v>39052</v>
      </c>
      <c r="G5533" s="2"/>
      <c r="H5533" s="3">
        <v>43053</v>
      </c>
      <c r="I5533" s="2" t="s">
        <v>19506</v>
      </c>
      <c r="J5533" s="2" t="s">
        <v>13904</v>
      </c>
      <c r="K5533" s="2" t="s">
        <v>5657</v>
      </c>
      <c r="L5533" s="82" t="s">
        <v>19512</v>
      </c>
    </row>
    <row r="5534" spans="1:12" ht="84" customHeight="1" x14ac:dyDescent="0.3">
      <c r="A5534" s="2">
        <v>5530</v>
      </c>
      <c r="B5534" s="66" t="s">
        <v>6328</v>
      </c>
      <c r="C5534" s="66" t="s">
        <v>6329</v>
      </c>
      <c r="D5534" s="11">
        <v>4394.9399999999996</v>
      </c>
      <c r="E5534" s="11">
        <v>4394.9399999999996</v>
      </c>
      <c r="F5534" s="3">
        <v>40861</v>
      </c>
      <c r="G5534" s="2"/>
      <c r="H5534" s="3">
        <v>43053</v>
      </c>
      <c r="I5534" s="2" t="s">
        <v>19506</v>
      </c>
      <c r="J5534" s="2" t="s">
        <v>13904</v>
      </c>
      <c r="K5534" s="2" t="s">
        <v>5657</v>
      </c>
      <c r="L5534" s="82" t="s">
        <v>19512</v>
      </c>
    </row>
    <row r="5535" spans="1:12" ht="84" customHeight="1" x14ac:dyDescent="0.3">
      <c r="A5535" s="2">
        <v>5531</v>
      </c>
      <c r="B5535" s="66" t="s">
        <v>6330</v>
      </c>
      <c r="C5535" s="66" t="s">
        <v>6331</v>
      </c>
      <c r="D5535" s="11">
        <v>4394.93</v>
      </c>
      <c r="E5535" s="11">
        <v>4394.93</v>
      </c>
      <c r="F5535" s="3">
        <v>40861</v>
      </c>
      <c r="G5535" s="2"/>
      <c r="H5535" s="3">
        <v>43053</v>
      </c>
      <c r="I5535" s="2" t="s">
        <v>19506</v>
      </c>
      <c r="J5535" s="2" t="s">
        <v>13904</v>
      </c>
      <c r="K5535" s="2" t="s">
        <v>5657</v>
      </c>
      <c r="L5535" s="82" t="s">
        <v>19512</v>
      </c>
    </row>
    <row r="5536" spans="1:12" ht="84" customHeight="1" x14ac:dyDescent="0.3">
      <c r="A5536" s="2">
        <v>5532</v>
      </c>
      <c r="B5536" s="66" t="s">
        <v>6332</v>
      </c>
      <c r="C5536" s="66" t="s">
        <v>6333</v>
      </c>
      <c r="D5536" s="11">
        <v>11061.5</v>
      </c>
      <c r="E5536" s="11">
        <v>11061.5</v>
      </c>
      <c r="F5536" s="3">
        <v>39052</v>
      </c>
      <c r="G5536" s="2"/>
      <c r="H5536" s="3">
        <v>43053</v>
      </c>
      <c r="I5536" s="2" t="s">
        <v>19506</v>
      </c>
      <c r="J5536" s="2" t="s">
        <v>13904</v>
      </c>
      <c r="K5536" s="2" t="s">
        <v>5657</v>
      </c>
      <c r="L5536" s="82" t="s">
        <v>19512</v>
      </c>
    </row>
    <row r="5537" spans="1:12" ht="84" customHeight="1" x14ac:dyDescent="0.3">
      <c r="A5537" s="2">
        <v>5533</v>
      </c>
      <c r="B5537" s="66" t="s">
        <v>6334</v>
      </c>
      <c r="C5537" s="66" t="s">
        <v>6335</v>
      </c>
      <c r="D5537" s="11">
        <v>7378</v>
      </c>
      <c r="E5537" s="11">
        <v>7378</v>
      </c>
      <c r="F5537" s="3">
        <v>37210</v>
      </c>
      <c r="G5537" s="2"/>
      <c r="H5537" s="3">
        <v>43053</v>
      </c>
      <c r="I5537" s="2" t="s">
        <v>19506</v>
      </c>
      <c r="J5537" s="2" t="s">
        <v>13904</v>
      </c>
      <c r="K5537" s="2" t="s">
        <v>5657</v>
      </c>
      <c r="L5537" s="82" t="s">
        <v>19512</v>
      </c>
    </row>
    <row r="5538" spans="1:12" ht="84" customHeight="1" x14ac:dyDescent="0.3">
      <c r="A5538" s="2">
        <v>5534</v>
      </c>
      <c r="B5538" s="66" t="s">
        <v>6336</v>
      </c>
      <c r="C5538" s="66" t="s">
        <v>6337</v>
      </c>
      <c r="D5538" s="11">
        <v>6000</v>
      </c>
      <c r="E5538" s="11">
        <v>6000</v>
      </c>
      <c r="F5538" s="3">
        <v>39762</v>
      </c>
      <c r="G5538" s="2"/>
      <c r="H5538" s="3">
        <v>43053</v>
      </c>
      <c r="I5538" s="2" t="s">
        <v>19506</v>
      </c>
      <c r="J5538" s="2" t="s">
        <v>13904</v>
      </c>
      <c r="K5538" s="2" t="s">
        <v>5657</v>
      </c>
      <c r="L5538" s="82" t="s">
        <v>19512</v>
      </c>
    </row>
    <row r="5539" spans="1:12" ht="84" customHeight="1" x14ac:dyDescent="0.3">
      <c r="A5539" s="2">
        <v>5535</v>
      </c>
      <c r="B5539" s="66" t="s">
        <v>6338</v>
      </c>
      <c r="C5539" s="66" t="s">
        <v>5471</v>
      </c>
      <c r="D5539" s="11">
        <v>11061.5</v>
      </c>
      <c r="E5539" s="11">
        <v>11061.5</v>
      </c>
      <c r="F5539" s="3">
        <v>39052</v>
      </c>
      <c r="G5539" s="2"/>
      <c r="H5539" s="3">
        <v>43053</v>
      </c>
      <c r="I5539" s="2" t="s">
        <v>19506</v>
      </c>
      <c r="J5539" s="2" t="s">
        <v>13904</v>
      </c>
      <c r="K5539" s="2" t="s">
        <v>5657</v>
      </c>
      <c r="L5539" s="82" t="s">
        <v>19512</v>
      </c>
    </row>
    <row r="5540" spans="1:12" ht="84" customHeight="1" x14ac:dyDescent="0.3">
      <c r="A5540" s="2">
        <v>5536</v>
      </c>
      <c r="B5540" s="66" t="s">
        <v>6339</v>
      </c>
      <c r="C5540" s="66" t="s">
        <v>6340</v>
      </c>
      <c r="D5540" s="11">
        <v>11061.5</v>
      </c>
      <c r="E5540" s="11">
        <v>11061.5</v>
      </c>
      <c r="F5540" s="3">
        <v>39052</v>
      </c>
      <c r="G5540" s="2"/>
      <c r="H5540" s="3">
        <v>43053</v>
      </c>
      <c r="I5540" s="2" t="s">
        <v>19506</v>
      </c>
      <c r="J5540" s="2" t="s">
        <v>13904</v>
      </c>
      <c r="K5540" s="2" t="s">
        <v>5657</v>
      </c>
      <c r="L5540" s="82" t="s">
        <v>19512</v>
      </c>
    </row>
    <row r="5541" spans="1:12" ht="84" customHeight="1" x14ac:dyDescent="0.3">
      <c r="A5541" s="2">
        <v>5537</v>
      </c>
      <c r="B5541" s="66" t="s">
        <v>6339</v>
      </c>
      <c r="C5541" s="66" t="s">
        <v>6341</v>
      </c>
      <c r="D5541" s="11">
        <v>11061.5</v>
      </c>
      <c r="E5541" s="11">
        <v>11061.5</v>
      </c>
      <c r="F5541" s="3">
        <v>39052</v>
      </c>
      <c r="G5541" s="2"/>
      <c r="H5541" s="3">
        <v>43053</v>
      </c>
      <c r="I5541" s="2" t="s">
        <v>19506</v>
      </c>
      <c r="J5541" s="2" t="s">
        <v>13904</v>
      </c>
      <c r="K5541" s="2" t="s">
        <v>5657</v>
      </c>
      <c r="L5541" s="82" t="s">
        <v>19512</v>
      </c>
    </row>
    <row r="5542" spans="1:12" ht="84" customHeight="1" x14ac:dyDescent="0.3">
      <c r="A5542" s="2">
        <v>5538</v>
      </c>
      <c r="B5542" s="66" t="s">
        <v>6339</v>
      </c>
      <c r="C5542" s="66" t="s">
        <v>6342</v>
      </c>
      <c r="D5542" s="11">
        <v>11061.5</v>
      </c>
      <c r="E5542" s="11">
        <v>11061.5</v>
      </c>
      <c r="F5542" s="3">
        <v>39052</v>
      </c>
      <c r="G5542" s="2"/>
      <c r="H5542" s="3">
        <v>43053</v>
      </c>
      <c r="I5542" s="2" t="s">
        <v>19506</v>
      </c>
      <c r="J5542" s="2" t="s">
        <v>13904</v>
      </c>
      <c r="K5542" s="2" t="s">
        <v>5657</v>
      </c>
      <c r="L5542" s="82" t="s">
        <v>19512</v>
      </c>
    </row>
    <row r="5543" spans="1:12" ht="84" customHeight="1" x14ac:dyDescent="0.3">
      <c r="A5543" s="2">
        <v>5539</v>
      </c>
      <c r="B5543" s="66" t="s">
        <v>6339</v>
      </c>
      <c r="C5543" s="66" t="s">
        <v>6343</v>
      </c>
      <c r="D5543" s="11">
        <v>11061.5</v>
      </c>
      <c r="E5543" s="11">
        <v>11061.5</v>
      </c>
      <c r="F5543" s="3">
        <v>39052</v>
      </c>
      <c r="G5543" s="2"/>
      <c r="H5543" s="3">
        <v>43053</v>
      </c>
      <c r="I5543" s="2" t="s">
        <v>19506</v>
      </c>
      <c r="J5543" s="2" t="s">
        <v>13904</v>
      </c>
      <c r="K5543" s="2" t="s">
        <v>5657</v>
      </c>
      <c r="L5543" s="82" t="s">
        <v>19512</v>
      </c>
    </row>
    <row r="5544" spans="1:12" ht="84" customHeight="1" x14ac:dyDescent="0.3">
      <c r="A5544" s="2">
        <v>5540</v>
      </c>
      <c r="B5544" s="66" t="s">
        <v>6339</v>
      </c>
      <c r="C5544" s="66" t="s">
        <v>6344</v>
      </c>
      <c r="D5544" s="11">
        <v>11061.5</v>
      </c>
      <c r="E5544" s="11">
        <v>11061.5</v>
      </c>
      <c r="F5544" s="3">
        <v>39052</v>
      </c>
      <c r="G5544" s="2"/>
      <c r="H5544" s="3">
        <v>43053</v>
      </c>
      <c r="I5544" s="2" t="s">
        <v>19506</v>
      </c>
      <c r="J5544" s="2" t="s">
        <v>13904</v>
      </c>
      <c r="K5544" s="2" t="s">
        <v>5657</v>
      </c>
      <c r="L5544" s="82" t="s">
        <v>19512</v>
      </c>
    </row>
    <row r="5545" spans="1:12" ht="84" customHeight="1" x14ac:dyDescent="0.3">
      <c r="A5545" s="2">
        <v>5541</v>
      </c>
      <c r="B5545" s="66" t="s">
        <v>227</v>
      </c>
      <c r="C5545" s="66" t="s">
        <v>6345</v>
      </c>
      <c r="D5545" s="11">
        <v>6348</v>
      </c>
      <c r="E5545" s="11">
        <v>6348</v>
      </c>
      <c r="F5545" s="3">
        <v>39171</v>
      </c>
      <c r="G5545" s="2"/>
      <c r="H5545" s="3">
        <v>43053</v>
      </c>
      <c r="I5545" s="2" t="s">
        <v>19506</v>
      </c>
      <c r="J5545" s="2" t="s">
        <v>13904</v>
      </c>
      <c r="K5545" s="2" t="s">
        <v>5657</v>
      </c>
      <c r="L5545" s="82" t="s">
        <v>19512</v>
      </c>
    </row>
    <row r="5546" spans="1:12" ht="84" customHeight="1" x14ac:dyDescent="0.3">
      <c r="A5546" s="2">
        <v>5542</v>
      </c>
      <c r="B5546" s="66" t="s">
        <v>227</v>
      </c>
      <c r="C5546" s="66" t="s">
        <v>6346</v>
      </c>
      <c r="D5546" s="11">
        <v>6348</v>
      </c>
      <c r="E5546" s="11">
        <v>6348</v>
      </c>
      <c r="F5546" s="3">
        <v>39171</v>
      </c>
      <c r="G5546" s="2"/>
      <c r="H5546" s="3">
        <v>43053</v>
      </c>
      <c r="I5546" s="2" t="s">
        <v>19506</v>
      </c>
      <c r="J5546" s="2" t="s">
        <v>13904</v>
      </c>
      <c r="K5546" s="2" t="s">
        <v>5657</v>
      </c>
      <c r="L5546" s="82" t="s">
        <v>19512</v>
      </c>
    </row>
    <row r="5547" spans="1:12" ht="84" customHeight="1" x14ac:dyDescent="0.3">
      <c r="A5547" s="2">
        <v>5543</v>
      </c>
      <c r="B5547" s="66" t="s">
        <v>227</v>
      </c>
      <c r="C5547" s="66" t="s">
        <v>6347</v>
      </c>
      <c r="D5547" s="11">
        <v>6348</v>
      </c>
      <c r="E5547" s="11">
        <v>6348</v>
      </c>
      <c r="F5547" s="3">
        <v>39171</v>
      </c>
      <c r="G5547" s="2"/>
      <c r="H5547" s="3">
        <v>43053</v>
      </c>
      <c r="I5547" s="2" t="s">
        <v>19506</v>
      </c>
      <c r="J5547" s="2" t="s">
        <v>13904</v>
      </c>
      <c r="K5547" s="2" t="s">
        <v>5657</v>
      </c>
      <c r="L5547" s="82" t="s">
        <v>19512</v>
      </c>
    </row>
    <row r="5548" spans="1:12" ht="84" customHeight="1" x14ac:dyDescent="0.3">
      <c r="A5548" s="2">
        <v>5544</v>
      </c>
      <c r="B5548" s="66" t="s">
        <v>6348</v>
      </c>
      <c r="C5548" s="66" t="s">
        <v>6349</v>
      </c>
      <c r="D5548" s="11">
        <v>17748.73</v>
      </c>
      <c r="E5548" s="11">
        <v>17748.73</v>
      </c>
      <c r="F5548" s="3">
        <v>40861</v>
      </c>
      <c r="G5548" s="2"/>
      <c r="H5548" s="3">
        <v>43053</v>
      </c>
      <c r="I5548" s="2" t="s">
        <v>19506</v>
      </c>
      <c r="J5548" s="2" t="s">
        <v>13904</v>
      </c>
      <c r="K5548" s="2" t="s">
        <v>5657</v>
      </c>
      <c r="L5548" s="82" t="s">
        <v>19512</v>
      </c>
    </row>
    <row r="5549" spans="1:12" ht="84" customHeight="1" x14ac:dyDescent="0.3">
      <c r="A5549" s="2">
        <v>5545</v>
      </c>
      <c r="B5549" s="66" t="s">
        <v>6350</v>
      </c>
      <c r="C5549" s="66" t="s">
        <v>6351</v>
      </c>
      <c r="D5549" s="11">
        <v>17748.740000000002</v>
      </c>
      <c r="E5549" s="11">
        <v>17748.740000000002</v>
      </c>
      <c r="F5549" s="3">
        <v>40861</v>
      </c>
      <c r="G5549" s="2"/>
      <c r="H5549" s="3">
        <v>43053</v>
      </c>
      <c r="I5549" s="2" t="s">
        <v>19506</v>
      </c>
      <c r="J5549" s="2" t="s">
        <v>13904</v>
      </c>
      <c r="K5549" s="2" t="s">
        <v>5657</v>
      </c>
      <c r="L5549" s="82" t="s">
        <v>19512</v>
      </c>
    </row>
    <row r="5550" spans="1:12" ht="84" customHeight="1" x14ac:dyDescent="0.3">
      <c r="A5550" s="2">
        <v>5546</v>
      </c>
      <c r="B5550" s="66" t="s">
        <v>6352</v>
      </c>
      <c r="C5550" s="66" t="s">
        <v>6353</v>
      </c>
      <c r="D5550" s="11">
        <v>23800.01</v>
      </c>
      <c r="E5550" s="11">
        <v>23800.01</v>
      </c>
      <c r="F5550" s="3">
        <v>40751</v>
      </c>
      <c r="G5550" s="2"/>
      <c r="H5550" s="3">
        <v>43053</v>
      </c>
      <c r="I5550" s="2" t="s">
        <v>19506</v>
      </c>
      <c r="J5550" s="2" t="s">
        <v>13904</v>
      </c>
      <c r="K5550" s="2" t="s">
        <v>5657</v>
      </c>
      <c r="L5550" s="82" t="s">
        <v>19512</v>
      </c>
    </row>
    <row r="5551" spans="1:12" ht="84" customHeight="1" x14ac:dyDescent="0.3">
      <c r="A5551" s="2">
        <v>5547</v>
      </c>
      <c r="B5551" s="66" t="s">
        <v>6354</v>
      </c>
      <c r="C5551" s="66" t="s">
        <v>6355</v>
      </c>
      <c r="D5551" s="11">
        <v>29150</v>
      </c>
      <c r="E5551" s="11">
        <v>29150</v>
      </c>
      <c r="F5551" s="3">
        <v>39762</v>
      </c>
      <c r="G5551" s="2"/>
      <c r="H5551" s="3">
        <v>43053</v>
      </c>
      <c r="I5551" s="2" t="s">
        <v>19506</v>
      </c>
      <c r="J5551" s="2" t="s">
        <v>13904</v>
      </c>
      <c r="K5551" s="2" t="s">
        <v>5657</v>
      </c>
      <c r="L5551" s="82" t="s">
        <v>19512</v>
      </c>
    </row>
    <row r="5552" spans="1:12" ht="84" customHeight="1" x14ac:dyDescent="0.3">
      <c r="A5552" s="2">
        <v>5548</v>
      </c>
      <c r="B5552" s="66" t="s">
        <v>6356</v>
      </c>
      <c r="C5552" s="66" t="s">
        <v>6357</v>
      </c>
      <c r="D5552" s="11">
        <v>42369.47</v>
      </c>
      <c r="E5552" s="11">
        <v>42369.47</v>
      </c>
      <c r="F5552" s="3">
        <v>39783</v>
      </c>
      <c r="G5552" s="2"/>
      <c r="H5552" s="3">
        <v>43053</v>
      </c>
      <c r="I5552" s="2" t="s">
        <v>19506</v>
      </c>
      <c r="J5552" s="2" t="s">
        <v>13904</v>
      </c>
      <c r="K5552" s="2" t="s">
        <v>5657</v>
      </c>
      <c r="L5552" s="82" t="s">
        <v>19512</v>
      </c>
    </row>
    <row r="5553" spans="1:12" ht="84" customHeight="1" x14ac:dyDescent="0.3">
      <c r="A5553" s="2">
        <v>5549</v>
      </c>
      <c r="B5553" s="66" t="s">
        <v>6358</v>
      </c>
      <c r="C5553" s="66" t="s">
        <v>6359</v>
      </c>
      <c r="D5553" s="11">
        <v>5499</v>
      </c>
      <c r="E5553" s="11">
        <v>5499</v>
      </c>
      <c r="F5553" s="3" t="s">
        <v>11211</v>
      </c>
      <c r="G5553" s="2"/>
      <c r="H5553" s="3">
        <v>43053</v>
      </c>
      <c r="I5553" s="2" t="s">
        <v>19506</v>
      </c>
      <c r="J5553" s="2" t="s">
        <v>13904</v>
      </c>
      <c r="K5553" s="2" t="s">
        <v>5657</v>
      </c>
      <c r="L5553" s="82" t="s">
        <v>19512</v>
      </c>
    </row>
    <row r="5554" spans="1:12" ht="84" customHeight="1" x14ac:dyDescent="0.3">
      <c r="A5554" s="2">
        <v>5550</v>
      </c>
      <c r="B5554" s="66" t="s">
        <v>6360</v>
      </c>
      <c r="C5554" s="66" t="s">
        <v>6361</v>
      </c>
      <c r="D5554" s="11">
        <v>14410</v>
      </c>
      <c r="E5554" s="11">
        <v>14410</v>
      </c>
      <c r="F5554" s="3">
        <v>39142</v>
      </c>
      <c r="G5554" s="2"/>
      <c r="H5554" s="3">
        <v>43053</v>
      </c>
      <c r="I5554" s="2" t="s">
        <v>19506</v>
      </c>
      <c r="J5554" s="2" t="s">
        <v>13904</v>
      </c>
      <c r="K5554" s="2" t="s">
        <v>5657</v>
      </c>
      <c r="L5554" s="82" t="s">
        <v>19512</v>
      </c>
    </row>
    <row r="5555" spans="1:12" ht="84" customHeight="1" x14ac:dyDescent="0.3">
      <c r="A5555" s="2">
        <v>5551</v>
      </c>
      <c r="B5555" s="66" t="s">
        <v>6360</v>
      </c>
      <c r="C5555" s="66" t="s">
        <v>6362</v>
      </c>
      <c r="D5555" s="11">
        <v>14410</v>
      </c>
      <c r="E5555" s="11">
        <v>14410</v>
      </c>
      <c r="F5555" s="3">
        <v>39142</v>
      </c>
      <c r="G5555" s="2"/>
      <c r="H5555" s="3">
        <v>43053</v>
      </c>
      <c r="I5555" s="2" t="s">
        <v>19506</v>
      </c>
      <c r="J5555" s="2" t="s">
        <v>13904</v>
      </c>
      <c r="K5555" s="2" t="s">
        <v>5657</v>
      </c>
      <c r="L5555" s="82" t="s">
        <v>19512</v>
      </c>
    </row>
    <row r="5556" spans="1:12" ht="84" customHeight="1" x14ac:dyDescent="0.3">
      <c r="A5556" s="2">
        <v>5552</v>
      </c>
      <c r="B5556" s="66" t="s">
        <v>6363</v>
      </c>
      <c r="C5556" s="66" t="s">
        <v>6364</v>
      </c>
      <c r="D5556" s="11">
        <v>5460</v>
      </c>
      <c r="E5556" s="11">
        <v>5460</v>
      </c>
      <c r="F5556" s="3">
        <v>39142</v>
      </c>
      <c r="G5556" s="2"/>
      <c r="H5556" s="3">
        <v>43053</v>
      </c>
      <c r="I5556" s="2" t="s">
        <v>19506</v>
      </c>
      <c r="J5556" s="2" t="s">
        <v>13904</v>
      </c>
      <c r="K5556" s="2" t="s">
        <v>5657</v>
      </c>
      <c r="L5556" s="82" t="s">
        <v>19512</v>
      </c>
    </row>
    <row r="5557" spans="1:12" ht="84" customHeight="1" x14ac:dyDescent="0.3">
      <c r="A5557" s="2">
        <v>5553</v>
      </c>
      <c r="B5557" s="66" t="s">
        <v>6365</v>
      </c>
      <c r="C5557" s="66" t="s">
        <v>6366</v>
      </c>
      <c r="D5557" s="11">
        <v>5796</v>
      </c>
      <c r="E5557" s="11">
        <v>5796</v>
      </c>
      <c r="F5557" s="3">
        <v>40862</v>
      </c>
      <c r="G5557" s="2"/>
      <c r="H5557" s="3">
        <v>43053</v>
      </c>
      <c r="I5557" s="2" t="s">
        <v>19506</v>
      </c>
      <c r="J5557" s="2" t="s">
        <v>13904</v>
      </c>
      <c r="K5557" s="2" t="s">
        <v>5657</v>
      </c>
      <c r="L5557" s="82" t="s">
        <v>19512</v>
      </c>
    </row>
    <row r="5558" spans="1:12" ht="84" customHeight="1" x14ac:dyDescent="0.3">
      <c r="A5558" s="2">
        <v>5554</v>
      </c>
      <c r="B5558" s="66" t="s">
        <v>6367</v>
      </c>
      <c r="C5558" s="66" t="s">
        <v>6368</v>
      </c>
      <c r="D5558" s="11">
        <v>5796</v>
      </c>
      <c r="E5558" s="11">
        <v>5796</v>
      </c>
      <c r="F5558" s="3">
        <v>40862</v>
      </c>
      <c r="G5558" s="2"/>
      <c r="H5558" s="3">
        <v>43053</v>
      </c>
      <c r="I5558" s="2" t="s">
        <v>19506</v>
      </c>
      <c r="J5558" s="2" t="s">
        <v>13904</v>
      </c>
      <c r="K5558" s="2" t="s">
        <v>5657</v>
      </c>
      <c r="L5558" s="82" t="s">
        <v>19512</v>
      </c>
    </row>
    <row r="5559" spans="1:12" ht="84" customHeight="1" x14ac:dyDescent="0.3">
      <c r="A5559" s="2">
        <v>5555</v>
      </c>
      <c r="B5559" s="66" t="s">
        <v>6369</v>
      </c>
      <c r="C5559" s="66" t="s">
        <v>6370</v>
      </c>
      <c r="D5559" s="11">
        <v>5796</v>
      </c>
      <c r="E5559" s="11">
        <v>5796</v>
      </c>
      <c r="F5559" s="3">
        <v>40862</v>
      </c>
      <c r="G5559" s="2"/>
      <c r="H5559" s="3">
        <v>43053</v>
      </c>
      <c r="I5559" s="2" t="s">
        <v>19506</v>
      </c>
      <c r="J5559" s="2" t="s">
        <v>13904</v>
      </c>
      <c r="K5559" s="2" t="s">
        <v>5657</v>
      </c>
      <c r="L5559" s="82" t="s">
        <v>19512</v>
      </c>
    </row>
    <row r="5560" spans="1:12" ht="84" customHeight="1" x14ac:dyDescent="0.3">
      <c r="A5560" s="2">
        <v>5556</v>
      </c>
      <c r="B5560" s="66" t="s">
        <v>217</v>
      </c>
      <c r="C5560" s="66" t="s">
        <v>6371</v>
      </c>
      <c r="D5560" s="11">
        <v>10400</v>
      </c>
      <c r="E5560" s="11">
        <v>10400</v>
      </c>
      <c r="F5560" s="3">
        <v>38630</v>
      </c>
      <c r="G5560" s="2"/>
      <c r="H5560" s="3">
        <v>43053</v>
      </c>
      <c r="I5560" s="2" t="s">
        <v>19506</v>
      </c>
      <c r="J5560" s="2" t="s">
        <v>13904</v>
      </c>
      <c r="K5560" s="2" t="s">
        <v>5657</v>
      </c>
      <c r="L5560" s="82" t="s">
        <v>19512</v>
      </c>
    </row>
    <row r="5561" spans="1:12" ht="84" customHeight="1" x14ac:dyDescent="0.3">
      <c r="A5561" s="2">
        <v>5557</v>
      </c>
      <c r="B5561" s="66" t="s">
        <v>217</v>
      </c>
      <c r="C5561" s="66" t="s">
        <v>6372</v>
      </c>
      <c r="D5561" s="11">
        <v>4275.18</v>
      </c>
      <c r="E5561" s="11">
        <v>4275.18</v>
      </c>
      <c r="F5561" s="3">
        <v>37777</v>
      </c>
      <c r="G5561" s="2"/>
      <c r="H5561" s="3">
        <v>43053</v>
      </c>
      <c r="I5561" s="2" t="s">
        <v>19506</v>
      </c>
      <c r="J5561" s="2" t="s">
        <v>13904</v>
      </c>
      <c r="K5561" s="2" t="s">
        <v>5657</v>
      </c>
      <c r="L5561" s="82" t="s">
        <v>19512</v>
      </c>
    </row>
    <row r="5562" spans="1:12" ht="84" customHeight="1" x14ac:dyDescent="0.3">
      <c r="A5562" s="2">
        <v>5558</v>
      </c>
      <c r="B5562" s="66" t="s">
        <v>6373</v>
      </c>
      <c r="C5562" s="66" t="s">
        <v>6374</v>
      </c>
      <c r="D5562" s="11">
        <v>5025</v>
      </c>
      <c r="E5562" s="11">
        <v>5025</v>
      </c>
      <c r="F5562" s="3">
        <v>39762</v>
      </c>
      <c r="G5562" s="2"/>
      <c r="H5562" s="3">
        <v>43053</v>
      </c>
      <c r="I5562" s="2" t="s">
        <v>19506</v>
      </c>
      <c r="J5562" s="2" t="s">
        <v>13904</v>
      </c>
      <c r="K5562" s="2" t="s">
        <v>5657</v>
      </c>
      <c r="L5562" s="82" t="s">
        <v>19512</v>
      </c>
    </row>
    <row r="5563" spans="1:12" ht="84" customHeight="1" x14ac:dyDescent="0.3">
      <c r="A5563" s="2">
        <v>5559</v>
      </c>
      <c r="B5563" s="66" t="s">
        <v>231</v>
      </c>
      <c r="C5563" s="66" t="s">
        <v>6375</v>
      </c>
      <c r="D5563" s="11">
        <v>11872</v>
      </c>
      <c r="E5563" s="11">
        <v>11872</v>
      </c>
      <c r="F5563" s="3">
        <v>39142</v>
      </c>
      <c r="G5563" s="2"/>
      <c r="H5563" s="3">
        <v>43053</v>
      </c>
      <c r="I5563" s="2" t="s">
        <v>19506</v>
      </c>
      <c r="J5563" s="2" t="s">
        <v>13904</v>
      </c>
      <c r="K5563" s="2" t="s">
        <v>5657</v>
      </c>
      <c r="L5563" s="82" t="s">
        <v>19512</v>
      </c>
    </row>
    <row r="5564" spans="1:12" ht="84" customHeight="1" x14ac:dyDescent="0.3">
      <c r="A5564" s="2">
        <v>5560</v>
      </c>
      <c r="B5564" s="66" t="s">
        <v>231</v>
      </c>
      <c r="C5564" s="66" t="s">
        <v>6376</v>
      </c>
      <c r="D5564" s="11">
        <v>11872</v>
      </c>
      <c r="E5564" s="11">
        <v>11872</v>
      </c>
      <c r="F5564" s="3">
        <v>39142</v>
      </c>
      <c r="G5564" s="2"/>
      <c r="H5564" s="3">
        <v>43053</v>
      </c>
      <c r="I5564" s="2" t="s">
        <v>19506</v>
      </c>
      <c r="J5564" s="2" t="s">
        <v>13904</v>
      </c>
      <c r="K5564" s="2" t="s">
        <v>5657</v>
      </c>
      <c r="L5564" s="82" t="s">
        <v>19512</v>
      </c>
    </row>
    <row r="5565" spans="1:12" ht="84" customHeight="1" x14ac:dyDescent="0.3">
      <c r="A5565" s="2">
        <v>5561</v>
      </c>
      <c r="B5565" s="66" t="s">
        <v>231</v>
      </c>
      <c r="C5565" s="66" t="s">
        <v>6377</v>
      </c>
      <c r="D5565" s="11">
        <v>11872</v>
      </c>
      <c r="E5565" s="11">
        <v>11872</v>
      </c>
      <c r="F5565" s="3">
        <v>39149</v>
      </c>
      <c r="G5565" s="2"/>
      <c r="H5565" s="3">
        <v>43053</v>
      </c>
      <c r="I5565" s="2" t="s">
        <v>19506</v>
      </c>
      <c r="J5565" s="2" t="s">
        <v>13904</v>
      </c>
      <c r="K5565" s="2" t="s">
        <v>5657</v>
      </c>
      <c r="L5565" s="82" t="s">
        <v>19512</v>
      </c>
    </row>
    <row r="5566" spans="1:12" ht="84" customHeight="1" x14ac:dyDescent="0.3">
      <c r="A5566" s="2">
        <v>5562</v>
      </c>
      <c r="B5566" s="66" t="s">
        <v>231</v>
      </c>
      <c r="C5566" s="66" t="s">
        <v>6378</v>
      </c>
      <c r="D5566" s="11">
        <v>11872</v>
      </c>
      <c r="E5566" s="11">
        <v>11872</v>
      </c>
      <c r="F5566" s="3">
        <v>39142</v>
      </c>
      <c r="G5566" s="2"/>
      <c r="H5566" s="3">
        <v>43053</v>
      </c>
      <c r="I5566" s="2" t="s">
        <v>19506</v>
      </c>
      <c r="J5566" s="2" t="s">
        <v>13904</v>
      </c>
      <c r="K5566" s="2" t="s">
        <v>5657</v>
      </c>
      <c r="L5566" s="82" t="s">
        <v>19512</v>
      </c>
    </row>
    <row r="5567" spans="1:12" ht="84" customHeight="1" x14ac:dyDescent="0.3">
      <c r="A5567" s="2">
        <v>5563</v>
      </c>
      <c r="B5567" s="66" t="s">
        <v>6379</v>
      </c>
      <c r="C5567" s="66" t="s">
        <v>6380</v>
      </c>
      <c r="D5567" s="11">
        <v>7000</v>
      </c>
      <c r="E5567" s="11">
        <v>7000</v>
      </c>
      <c r="F5567" s="3">
        <v>40148</v>
      </c>
      <c r="G5567" s="2"/>
      <c r="H5567" s="3">
        <v>43053</v>
      </c>
      <c r="I5567" s="2" t="s">
        <v>19506</v>
      </c>
      <c r="J5567" s="2" t="s">
        <v>13904</v>
      </c>
      <c r="K5567" s="2" t="s">
        <v>5657</v>
      </c>
      <c r="L5567" s="82" t="s">
        <v>19512</v>
      </c>
    </row>
    <row r="5568" spans="1:12" ht="84" customHeight="1" x14ac:dyDescent="0.3">
      <c r="A5568" s="2">
        <v>5564</v>
      </c>
      <c r="B5568" s="66" t="s">
        <v>6381</v>
      </c>
      <c r="C5568" s="66" t="s">
        <v>6382</v>
      </c>
      <c r="D5568" s="11">
        <v>8400</v>
      </c>
      <c r="E5568" s="11">
        <v>8400</v>
      </c>
      <c r="F5568" s="3">
        <v>39142</v>
      </c>
      <c r="G5568" s="2"/>
      <c r="H5568" s="3">
        <v>43053</v>
      </c>
      <c r="I5568" s="2" t="s">
        <v>19506</v>
      </c>
      <c r="J5568" s="2" t="s">
        <v>13904</v>
      </c>
      <c r="K5568" s="2" t="s">
        <v>5657</v>
      </c>
      <c r="L5568" s="82" t="s">
        <v>19512</v>
      </c>
    </row>
    <row r="5569" spans="1:12" ht="84" customHeight="1" x14ac:dyDescent="0.3">
      <c r="A5569" s="2">
        <v>5565</v>
      </c>
      <c r="B5569" s="66" t="s">
        <v>6383</v>
      </c>
      <c r="C5569" s="66" t="s">
        <v>6384</v>
      </c>
      <c r="D5569" s="11">
        <v>10500</v>
      </c>
      <c r="E5569" s="11">
        <v>10500</v>
      </c>
      <c r="F5569" s="3">
        <v>39142</v>
      </c>
      <c r="G5569" s="2"/>
      <c r="H5569" s="3">
        <v>43053</v>
      </c>
      <c r="I5569" s="2" t="s">
        <v>19506</v>
      </c>
      <c r="J5569" s="2" t="s">
        <v>13904</v>
      </c>
      <c r="K5569" s="2" t="s">
        <v>5657</v>
      </c>
      <c r="L5569" s="82" t="s">
        <v>19512</v>
      </c>
    </row>
    <row r="5570" spans="1:12" ht="84" customHeight="1" x14ac:dyDescent="0.3">
      <c r="A5570" s="2">
        <v>5566</v>
      </c>
      <c r="B5570" s="66" t="s">
        <v>4568</v>
      </c>
      <c r="C5570" s="66" t="s">
        <v>6385</v>
      </c>
      <c r="D5570" s="11">
        <v>17430</v>
      </c>
      <c r="E5570" s="11">
        <v>17430</v>
      </c>
      <c r="F5570" s="3">
        <v>39142</v>
      </c>
      <c r="G5570" s="2"/>
      <c r="H5570" s="3">
        <v>43053</v>
      </c>
      <c r="I5570" s="2" t="s">
        <v>19506</v>
      </c>
      <c r="J5570" s="2" t="s">
        <v>13904</v>
      </c>
      <c r="K5570" s="2" t="s">
        <v>5657</v>
      </c>
      <c r="L5570" s="82" t="s">
        <v>19512</v>
      </c>
    </row>
    <row r="5571" spans="1:12" ht="84" customHeight="1" x14ac:dyDescent="0.3">
      <c r="A5571" s="2">
        <v>5567</v>
      </c>
      <c r="B5571" s="66" t="s">
        <v>6386</v>
      </c>
      <c r="C5571" s="66" t="s">
        <v>6387</v>
      </c>
      <c r="D5571" s="11">
        <v>21004.3</v>
      </c>
      <c r="E5571" s="11">
        <v>21004.3</v>
      </c>
      <c r="F5571" s="3">
        <v>40861</v>
      </c>
      <c r="G5571" s="2"/>
      <c r="H5571" s="3">
        <v>43053</v>
      </c>
      <c r="I5571" s="2" t="s">
        <v>19506</v>
      </c>
      <c r="J5571" s="2" t="s">
        <v>13904</v>
      </c>
      <c r="K5571" s="2" t="s">
        <v>5657</v>
      </c>
      <c r="L5571" s="82" t="s">
        <v>19512</v>
      </c>
    </row>
    <row r="5572" spans="1:12" ht="84" customHeight="1" x14ac:dyDescent="0.3">
      <c r="A5572" s="2">
        <v>5568</v>
      </c>
      <c r="B5572" s="66" t="s">
        <v>6388</v>
      </c>
      <c r="C5572" s="66" t="s">
        <v>6389</v>
      </c>
      <c r="D5572" s="11">
        <v>21004.29</v>
      </c>
      <c r="E5572" s="11">
        <v>21004.29</v>
      </c>
      <c r="F5572" s="3">
        <v>40861</v>
      </c>
      <c r="G5572" s="2"/>
      <c r="H5572" s="3">
        <v>43053</v>
      </c>
      <c r="I5572" s="2" t="s">
        <v>19506</v>
      </c>
      <c r="J5572" s="2" t="s">
        <v>13904</v>
      </c>
      <c r="K5572" s="2" t="s">
        <v>5657</v>
      </c>
      <c r="L5572" s="82" t="s">
        <v>19512</v>
      </c>
    </row>
    <row r="5573" spans="1:12" ht="84" customHeight="1" x14ac:dyDescent="0.3">
      <c r="A5573" s="2">
        <v>5569</v>
      </c>
      <c r="B5573" s="66" t="s">
        <v>6390</v>
      </c>
      <c r="C5573" s="66" t="s">
        <v>6391</v>
      </c>
      <c r="D5573" s="11">
        <v>8113.98</v>
      </c>
      <c r="E5573" s="11">
        <v>8113.98</v>
      </c>
      <c r="F5573" s="3">
        <v>39052</v>
      </c>
      <c r="G5573" s="2"/>
      <c r="H5573" s="3">
        <v>43053</v>
      </c>
      <c r="I5573" s="2" t="s">
        <v>19506</v>
      </c>
      <c r="J5573" s="2" t="s">
        <v>13904</v>
      </c>
      <c r="K5573" s="2" t="s">
        <v>5657</v>
      </c>
      <c r="L5573" s="82" t="s">
        <v>19512</v>
      </c>
    </row>
    <row r="5574" spans="1:12" ht="84" customHeight="1" x14ac:dyDescent="0.3">
      <c r="A5574" s="2">
        <v>5570</v>
      </c>
      <c r="B5574" s="66" t="s">
        <v>6392</v>
      </c>
      <c r="C5574" s="66" t="s">
        <v>6393</v>
      </c>
      <c r="D5574" s="11">
        <v>21252.9</v>
      </c>
      <c r="E5574" s="11">
        <v>21252.9</v>
      </c>
      <c r="F5574" s="3">
        <v>39052</v>
      </c>
      <c r="G5574" s="2"/>
      <c r="H5574" s="3">
        <v>43053</v>
      </c>
      <c r="I5574" s="2" t="s">
        <v>19506</v>
      </c>
      <c r="J5574" s="2" t="s">
        <v>13904</v>
      </c>
      <c r="K5574" s="2" t="s">
        <v>5657</v>
      </c>
      <c r="L5574" s="82" t="s">
        <v>19512</v>
      </c>
    </row>
    <row r="5575" spans="1:12" ht="84" customHeight="1" x14ac:dyDescent="0.3">
      <c r="A5575" s="2">
        <v>5571</v>
      </c>
      <c r="B5575" s="66" t="s">
        <v>6394</v>
      </c>
      <c r="C5575" s="66" t="s">
        <v>6395</v>
      </c>
      <c r="D5575" s="11">
        <v>13963.32</v>
      </c>
      <c r="E5575" s="11">
        <v>13963.32</v>
      </c>
      <c r="F5575" s="3">
        <v>39052</v>
      </c>
      <c r="G5575" s="2"/>
      <c r="H5575" s="3">
        <v>43053</v>
      </c>
      <c r="I5575" s="2" t="s">
        <v>19506</v>
      </c>
      <c r="J5575" s="2" t="s">
        <v>13904</v>
      </c>
      <c r="K5575" s="2" t="s">
        <v>5657</v>
      </c>
      <c r="L5575" s="82" t="s">
        <v>19512</v>
      </c>
    </row>
    <row r="5576" spans="1:12" ht="84" customHeight="1" x14ac:dyDescent="0.3">
      <c r="A5576" s="2">
        <v>5572</v>
      </c>
      <c r="B5576" s="66" t="s">
        <v>6082</v>
      </c>
      <c r="C5576" s="66" t="s">
        <v>6396</v>
      </c>
      <c r="D5576" s="11">
        <v>13963.32</v>
      </c>
      <c r="E5576" s="11">
        <v>13963.32</v>
      </c>
      <c r="F5576" s="3">
        <v>39052</v>
      </c>
      <c r="G5576" s="2"/>
      <c r="H5576" s="3">
        <v>43053</v>
      </c>
      <c r="I5576" s="2" t="s">
        <v>19506</v>
      </c>
      <c r="J5576" s="2" t="s">
        <v>13904</v>
      </c>
      <c r="K5576" s="2" t="s">
        <v>5657</v>
      </c>
      <c r="L5576" s="82" t="s">
        <v>19512</v>
      </c>
    </row>
    <row r="5577" spans="1:12" ht="84" customHeight="1" x14ac:dyDescent="0.3">
      <c r="A5577" s="2">
        <v>5573</v>
      </c>
      <c r="B5577" s="66" t="s">
        <v>6082</v>
      </c>
      <c r="C5577" s="66" t="s">
        <v>6397</v>
      </c>
      <c r="D5577" s="11">
        <v>13963.05</v>
      </c>
      <c r="E5577" s="11">
        <v>13963.05</v>
      </c>
      <c r="F5577" s="3">
        <v>39052</v>
      </c>
      <c r="G5577" s="2"/>
      <c r="H5577" s="3">
        <v>43053</v>
      </c>
      <c r="I5577" s="2" t="s">
        <v>19506</v>
      </c>
      <c r="J5577" s="2" t="s">
        <v>13904</v>
      </c>
      <c r="K5577" s="2" t="s">
        <v>5657</v>
      </c>
      <c r="L5577" s="82" t="s">
        <v>19512</v>
      </c>
    </row>
    <row r="5578" spans="1:12" ht="84" customHeight="1" x14ac:dyDescent="0.3">
      <c r="A5578" s="2">
        <v>5574</v>
      </c>
      <c r="B5578" s="66" t="s">
        <v>6082</v>
      </c>
      <c r="C5578" s="66" t="s">
        <v>6398</v>
      </c>
      <c r="D5578" s="11">
        <v>13963.32</v>
      </c>
      <c r="E5578" s="11">
        <v>13963.32</v>
      </c>
      <c r="F5578" s="3">
        <v>39052</v>
      </c>
      <c r="G5578" s="2"/>
      <c r="H5578" s="3">
        <v>43053</v>
      </c>
      <c r="I5578" s="2" t="s">
        <v>19506</v>
      </c>
      <c r="J5578" s="2" t="s">
        <v>13904</v>
      </c>
      <c r="K5578" s="2" t="s">
        <v>5657</v>
      </c>
      <c r="L5578" s="82" t="s">
        <v>19512</v>
      </c>
    </row>
    <row r="5579" spans="1:12" ht="84" customHeight="1" x14ac:dyDescent="0.3">
      <c r="A5579" s="2">
        <v>5575</v>
      </c>
      <c r="B5579" s="66" t="s">
        <v>6082</v>
      </c>
      <c r="C5579" s="66" t="s">
        <v>6399</v>
      </c>
      <c r="D5579" s="11">
        <v>13963.32</v>
      </c>
      <c r="E5579" s="11">
        <v>13963.32</v>
      </c>
      <c r="F5579" s="3">
        <v>39052</v>
      </c>
      <c r="G5579" s="2"/>
      <c r="H5579" s="3">
        <v>43053</v>
      </c>
      <c r="I5579" s="2" t="s">
        <v>19506</v>
      </c>
      <c r="J5579" s="2" t="s">
        <v>13904</v>
      </c>
      <c r="K5579" s="2" t="s">
        <v>5657</v>
      </c>
      <c r="L5579" s="82" t="s">
        <v>19512</v>
      </c>
    </row>
    <row r="5580" spans="1:12" ht="84" customHeight="1" x14ac:dyDescent="0.3">
      <c r="A5580" s="2">
        <v>5576</v>
      </c>
      <c r="B5580" s="66" t="s">
        <v>6082</v>
      </c>
      <c r="C5580" s="66" t="s">
        <v>6400</v>
      </c>
      <c r="D5580" s="11">
        <v>13963.32</v>
      </c>
      <c r="E5580" s="11">
        <v>13963.32</v>
      </c>
      <c r="F5580" s="3">
        <v>39052</v>
      </c>
      <c r="G5580" s="2"/>
      <c r="H5580" s="3">
        <v>43053</v>
      </c>
      <c r="I5580" s="2" t="s">
        <v>19506</v>
      </c>
      <c r="J5580" s="2" t="s">
        <v>13904</v>
      </c>
      <c r="K5580" s="2" t="s">
        <v>5657</v>
      </c>
      <c r="L5580" s="82" t="s">
        <v>19512</v>
      </c>
    </row>
    <row r="5581" spans="1:12" ht="84" customHeight="1" x14ac:dyDescent="0.3">
      <c r="A5581" s="2">
        <v>5577</v>
      </c>
      <c r="B5581" s="66" t="s">
        <v>6082</v>
      </c>
      <c r="C5581" s="66" t="s">
        <v>6401</v>
      </c>
      <c r="D5581" s="11">
        <v>13963.32</v>
      </c>
      <c r="E5581" s="11">
        <v>13963.32</v>
      </c>
      <c r="F5581" s="3">
        <v>39052</v>
      </c>
      <c r="G5581" s="2"/>
      <c r="H5581" s="3">
        <v>43053</v>
      </c>
      <c r="I5581" s="2" t="s">
        <v>19506</v>
      </c>
      <c r="J5581" s="2" t="s">
        <v>13904</v>
      </c>
      <c r="K5581" s="2" t="s">
        <v>5657</v>
      </c>
      <c r="L5581" s="82" t="s">
        <v>19512</v>
      </c>
    </row>
    <row r="5582" spans="1:12" ht="84" customHeight="1" x14ac:dyDescent="0.3">
      <c r="A5582" s="2">
        <v>5578</v>
      </c>
      <c r="B5582" s="66" t="s">
        <v>6402</v>
      </c>
      <c r="C5582" s="66" t="s">
        <v>6403</v>
      </c>
      <c r="D5582" s="11">
        <v>13963.32</v>
      </c>
      <c r="E5582" s="11">
        <v>13963.32</v>
      </c>
      <c r="F5582" s="3">
        <v>39052</v>
      </c>
      <c r="G5582" s="2"/>
      <c r="H5582" s="3">
        <v>43053</v>
      </c>
      <c r="I5582" s="2" t="s">
        <v>19506</v>
      </c>
      <c r="J5582" s="2" t="s">
        <v>13904</v>
      </c>
      <c r="K5582" s="2" t="s">
        <v>5657</v>
      </c>
      <c r="L5582" s="82" t="s">
        <v>19512</v>
      </c>
    </row>
    <row r="5583" spans="1:12" ht="84" customHeight="1" x14ac:dyDescent="0.3">
      <c r="A5583" s="2">
        <v>5579</v>
      </c>
      <c r="B5583" s="66" t="s">
        <v>6082</v>
      </c>
      <c r="C5583" s="66" t="s">
        <v>6404</v>
      </c>
      <c r="D5583" s="11">
        <v>13963.32</v>
      </c>
      <c r="E5583" s="11">
        <v>13963.32</v>
      </c>
      <c r="F5583" s="3">
        <v>39052</v>
      </c>
      <c r="G5583" s="2"/>
      <c r="H5583" s="3">
        <v>43053</v>
      </c>
      <c r="I5583" s="2" t="s">
        <v>19506</v>
      </c>
      <c r="J5583" s="2" t="s">
        <v>13904</v>
      </c>
      <c r="K5583" s="2" t="s">
        <v>5657</v>
      </c>
      <c r="L5583" s="82" t="s">
        <v>19512</v>
      </c>
    </row>
    <row r="5584" spans="1:12" ht="84" customHeight="1" x14ac:dyDescent="0.3">
      <c r="A5584" s="2">
        <v>5580</v>
      </c>
      <c r="B5584" s="66" t="s">
        <v>6402</v>
      </c>
      <c r="C5584" s="66" t="s">
        <v>6405</v>
      </c>
      <c r="D5584" s="11">
        <v>13963.32</v>
      </c>
      <c r="E5584" s="11">
        <v>13963.32</v>
      </c>
      <c r="F5584" s="3">
        <v>39052</v>
      </c>
      <c r="G5584" s="2"/>
      <c r="H5584" s="3">
        <v>43053</v>
      </c>
      <c r="I5584" s="2" t="s">
        <v>19506</v>
      </c>
      <c r="J5584" s="2" t="s">
        <v>13904</v>
      </c>
      <c r="K5584" s="2" t="s">
        <v>5657</v>
      </c>
      <c r="L5584" s="82" t="s">
        <v>19512</v>
      </c>
    </row>
    <row r="5585" spans="1:12" ht="84" customHeight="1" x14ac:dyDescent="0.3">
      <c r="A5585" s="2">
        <v>5581</v>
      </c>
      <c r="B5585" s="66" t="s">
        <v>6082</v>
      </c>
      <c r="C5585" s="66" t="s">
        <v>6406</v>
      </c>
      <c r="D5585" s="11">
        <v>13963.32</v>
      </c>
      <c r="E5585" s="11">
        <v>13963.32</v>
      </c>
      <c r="F5585" s="3">
        <v>39052</v>
      </c>
      <c r="G5585" s="2"/>
      <c r="H5585" s="3">
        <v>43053</v>
      </c>
      <c r="I5585" s="2" t="s">
        <v>19506</v>
      </c>
      <c r="J5585" s="2" t="s">
        <v>13904</v>
      </c>
      <c r="K5585" s="2" t="s">
        <v>5657</v>
      </c>
      <c r="L5585" s="82" t="s">
        <v>19512</v>
      </c>
    </row>
    <row r="5586" spans="1:12" ht="84" customHeight="1" x14ac:dyDescent="0.3">
      <c r="A5586" s="2">
        <v>5582</v>
      </c>
      <c r="B5586" s="66" t="s">
        <v>6082</v>
      </c>
      <c r="C5586" s="66" t="s">
        <v>6407</v>
      </c>
      <c r="D5586" s="11">
        <v>13963.32</v>
      </c>
      <c r="E5586" s="11">
        <v>13963.32</v>
      </c>
      <c r="F5586" s="3">
        <v>39053</v>
      </c>
      <c r="G5586" s="2"/>
      <c r="H5586" s="3">
        <v>43053</v>
      </c>
      <c r="I5586" s="2" t="s">
        <v>19506</v>
      </c>
      <c r="J5586" s="2" t="s">
        <v>13904</v>
      </c>
      <c r="K5586" s="2" t="s">
        <v>5657</v>
      </c>
      <c r="L5586" s="82" t="s">
        <v>19512</v>
      </c>
    </row>
    <row r="5587" spans="1:12" ht="84" customHeight="1" x14ac:dyDescent="0.3">
      <c r="A5587" s="2">
        <v>5583</v>
      </c>
      <c r="B5587" s="66" t="s">
        <v>6082</v>
      </c>
      <c r="C5587" s="66" t="s">
        <v>6408</v>
      </c>
      <c r="D5587" s="11">
        <v>13963.32</v>
      </c>
      <c r="E5587" s="11">
        <v>13963.32</v>
      </c>
      <c r="F5587" s="3">
        <v>39052</v>
      </c>
      <c r="G5587" s="2"/>
      <c r="H5587" s="3">
        <v>43053</v>
      </c>
      <c r="I5587" s="2" t="s">
        <v>19506</v>
      </c>
      <c r="J5587" s="2" t="s">
        <v>13904</v>
      </c>
      <c r="K5587" s="2" t="s">
        <v>5657</v>
      </c>
      <c r="L5587" s="82" t="s">
        <v>19512</v>
      </c>
    </row>
    <row r="5588" spans="1:12" ht="84" customHeight="1" x14ac:dyDescent="0.3">
      <c r="A5588" s="2">
        <v>5584</v>
      </c>
      <c r="B5588" s="66" t="s">
        <v>6082</v>
      </c>
      <c r="C5588" s="66" t="s">
        <v>6409</v>
      </c>
      <c r="D5588" s="11">
        <v>13963.32</v>
      </c>
      <c r="E5588" s="11">
        <v>13963.32</v>
      </c>
      <c r="F5588" s="3">
        <v>39052</v>
      </c>
      <c r="G5588" s="2"/>
      <c r="H5588" s="3">
        <v>43053</v>
      </c>
      <c r="I5588" s="2" t="s">
        <v>19506</v>
      </c>
      <c r="J5588" s="2" t="s">
        <v>13904</v>
      </c>
      <c r="K5588" s="2" t="s">
        <v>5657</v>
      </c>
      <c r="L5588" s="82" t="s">
        <v>19512</v>
      </c>
    </row>
    <row r="5589" spans="1:12" ht="84" customHeight="1" x14ac:dyDescent="0.3">
      <c r="A5589" s="2">
        <v>5585</v>
      </c>
      <c r="B5589" s="66" t="s">
        <v>6402</v>
      </c>
      <c r="C5589" s="66" t="s">
        <v>6410</v>
      </c>
      <c r="D5589" s="11">
        <v>13963.32</v>
      </c>
      <c r="E5589" s="11">
        <v>13963.32</v>
      </c>
      <c r="F5589" s="3">
        <v>39052</v>
      </c>
      <c r="G5589" s="2"/>
      <c r="H5589" s="3">
        <v>43053</v>
      </c>
      <c r="I5589" s="2" t="s">
        <v>19506</v>
      </c>
      <c r="J5589" s="2" t="s">
        <v>13904</v>
      </c>
      <c r="K5589" s="2" t="s">
        <v>5657</v>
      </c>
      <c r="L5589" s="82" t="s">
        <v>19512</v>
      </c>
    </row>
    <row r="5590" spans="1:12" ht="84" customHeight="1" x14ac:dyDescent="0.3">
      <c r="A5590" s="2">
        <v>5586</v>
      </c>
      <c r="B5590" s="66" t="s">
        <v>6411</v>
      </c>
      <c r="C5590" s="66" t="s">
        <v>6412</v>
      </c>
      <c r="D5590" s="11">
        <v>13963.32</v>
      </c>
      <c r="E5590" s="11">
        <v>13963.32</v>
      </c>
      <c r="F5590" s="3">
        <v>39052</v>
      </c>
      <c r="G5590" s="2"/>
      <c r="H5590" s="3">
        <v>43053</v>
      </c>
      <c r="I5590" s="2" t="s">
        <v>19506</v>
      </c>
      <c r="J5590" s="2" t="s">
        <v>13904</v>
      </c>
      <c r="K5590" s="2" t="s">
        <v>5657</v>
      </c>
      <c r="L5590" s="82" t="s">
        <v>19512</v>
      </c>
    </row>
    <row r="5591" spans="1:12" ht="84" customHeight="1" x14ac:dyDescent="0.3">
      <c r="A5591" s="2">
        <v>5587</v>
      </c>
      <c r="B5591" s="66" t="s">
        <v>6411</v>
      </c>
      <c r="C5591" s="66" t="s">
        <v>6413</v>
      </c>
      <c r="D5591" s="11">
        <v>13963.32</v>
      </c>
      <c r="E5591" s="11">
        <v>13963.32</v>
      </c>
      <c r="F5591" s="3">
        <v>39052</v>
      </c>
      <c r="G5591" s="2"/>
      <c r="H5591" s="3">
        <v>43053</v>
      </c>
      <c r="I5591" s="2" t="s">
        <v>19506</v>
      </c>
      <c r="J5591" s="2" t="s">
        <v>13904</v>
      </c>
      <c r="K5591" s="2" t="s">
        <v>5657</v>
      </c>
      <c r="L5591" s="82" t="s">
        <v>19512</v>
      </c>
    </row>
    <row r="5592" spans="1:12" ht="84" customHeight="1" x14ac:dyDescent="0.3">
      <c r="A5592" s="2">
        <v>5588</v>
      </c>
      <c r="B5592" s="66" t="s">
        <v>6402</v>
      </c>
      <c r="C5592" s="66" t="s">
        <v>6414</v>
      </c>
      <c r="D5592" s="11">
        <v>13963.32</v>
      </c>
      <c r="E5592" s="11">
        <v>13963.32</v>
      </c>
      <c r="F5592" s="3">
        <v>39052</v>
      </c>
      <c r="G5592" s="2"/>
      <c r="H5592" s="3">
        <v>43053</v>
      </c>
      <c r="I5592" s="2" t="s">
        <v>19506</v>
      </c>
      <c r="J5592" s="2" t="s">
        <v>13904</v>
      </c>
      <c r="K5592" s="2" t="s">
        <v>5657</v>
      </c>
      <c r="L5592" s="82" t="s">
        <v>19512</v>
      </c>
    </row>
    <row r="5593" spans="1:12" ht="84" customHeight="1" x14ac:dyDescent="0.3">
      <c r="A5593" s="2">
        <v>5589</v>
      </c>
      <c r="B5593" s="66" t="s">
        <v>6402</v>
      </c>
      <c r="C5593" s="66" t="s">
        <v>6415</v>
      </c>
      <c r="D5593" s="11">
        <v>13963.32</v>
      </c>
      <c r="E5593" s="11">
        <v>13963.32</v>
      </c>
      <c r="F5593" s="3">
        <v>39052</v>
      </c>
      <c r="G5593" s="2"/>
      <c r="H5593" s="3">
        <v>43053</v>
      </c>
      <c r="I5593" s="2" t="s">
        <v>19506</v>
      </c>
      <c r="J5593" s="2" t="s">
        <v>13904</v>
      </c>
      <c r="K5593" s="2" t="s">
        <v>5657</v>
      </c>
      <c r="L5593" s="82" t="s">
        <v>19512</v>
      </c>
    </row>
    <row r="5594" spans="1:12" ht="84" customHeight="1" x14ac:dyDescent="0.3">
      <c r="A5594" s="2">
        <v>5590</v>
      </c>
      <c r="B5594" s="66" t="s">
        <v>6402</v>
      </c>
      <c r="C5594" s="66" t="s">
        <v>6416</v>
      </c>
      <c r="D5594" s="11">
        <v>13963.32</v>
      </c>
      <c r="E5594" s="11">
        <v>13963.32</v>
      </c>
      <c r="F5594" s="3">
        <v>39052</v>
      </c>
      <c r="G5594" s="2"/>
      <c r="H5594" s="3">
        <v>43053</v>
      </c>
      <c r="I5594" s="2" t="s">
        <v>19506</v>
      </c>
      <c r="J5594" s="2" t="s">
        <v>13904</v>
      </c>
      <c r="K5594" s="2" t="s">
        <v>5657</v>
      </c>
      <c r="L5594" s="82" t="s">
        <v>19512</v>
      </c>
    </row>
    <row r="5595" spans="1:12" ht="84" customHeight="1" x14ac:dyDescent="0.3">
      <c r="A5595" s="2">
        <v>5591</v>
      </c>
      <c r="B5595" s="66" t="s">
        <v>6417</v>
      </c>
      <c r="C5595" s="66" t="s">
        <v>6418</v>
      </c>
      <c r="D5595" s="11">
        <v>13963.32</v>
      </c>
      <c r="E5595" s="11">
        <v>13963.32</v>
      </c>
      <c r="F5595" s="3">
        <v>39052</v>
      </c>
      <c r="G5595" s="2"/>
      <c r="H5595" s="3">
        <v>43053</v>
      </c>
      <c r="I5595" s="2" t="s">
        <v>19506</v>
      </c>
      <c r="J5595" s="2" t="s">
        <v>13904</v>
      </c>
      <c r="K5595" s="2" t="s">
        <v>5657</v>
      </c>
      <c r="L5595" s="82" t="s">
        <v>19512</v>
      </c>
    </row>
    <row r="5596" spans="1:12" ht="84" customHeight="1" x14ac:dyDescent="0.3">
      <c r="A5596" s="2">
        <v>5592</v>
      </c>
      <c r="B5596" s="66" t="s">
        <v>6082</v>
      </c>
      <c r="C5596" s="66" t="s">
        <v>6419</v>
      </c>
      <c r="D5596" s="11">
        <v>11792</v>
      </c>
      <c r="E5596" s="11">
        <v>11792</v>
      </c>
      <c r="F5596" s="3">
        <v>39171</v>
      </c>
      <c r="G5596" s="2"/>
      <c r="H5596" s="3">
        <v>43053</v>
      </c>
      <c r="I5596" s="2" t="s">
        <v>19506</v>
      </c>
      <c r="J5596" s="2" t="s">
        <v>13904</v>
      </c>
      <c r="K5596" s="2" t="s">
        <v>5657</v>
      </c>
      <c r="L5596" s="82" t="s">
        <v>19512</v>
      </c>
    </row>
    <row r="5597" spans="1:12" ht="84" customHeight="1" x14ac:dyDescent="0.3">
      <c r="A5597" s="2">
        <v>5593</v>
      </c>
      <c r="B5597" s="66" t="s">
        <v>6420</v>
      </c>
      <c r="C5597" s="66" t="s">
        <v>6421</v>
      </c>
      <c r="D5597" s="11">
        <v>11792</v>
      </c>
      <c r="E5597" s="11">
        <v>11792</v>
      </c>
      <c r="F5597" s="3">
        <v>39171</v>
      </c>
      <c r="G5597" s="2"/>
      <c r="H5597" s="3">
        <v>43053</v>
      </c>
      <c r="I5597" s="2" t="s">
        <v>19506</v>
      </c>
      <c r="J5597" s="2" t="s">
        <v>13904</v>
      </c>
      <c r="K5597" s="2" t="s">
        <v>5657</v>
      </c>
      <c r="L5597" s="82" t="s">
        <v>19512</v>
      </c>
    </row>
    <row r="5598" spans="1:12" ht="84" customHeight="1" x14ac:dyDescent="0.3">
      <c r="A5598" s="2">
        <v>5594</v>
      </c>
      <c r="B5598" s="66" t="s">
        <v>6082</v>
      </c>
      <c r="C5598" s="66" t="s">
        <v>6422</v>
      </c>
      <c r="D5598" s="11">
        <v>11792</v>
      </c>
      <c r="E5598" s="11">
        <v>11792</v>
      </c>
      <c r="F5598" s="3">
        <v>39171</v>
      </c>
      <c r="G5598" s="2"/>
      <c r="H5598" s="3">
        <v>43053</v>
      </c>
      <c r="I5598" s="2" t="s">
        <v>19506</v>
      </c>
      <c r="J5598" s="2" t="s">
        <v>13904</v>
      </c>
      <c r="K5598" s="2" t="s">
        <v>5657</v>
      </c>
      <c r="L5598" s="82" t="s">
        <v>19512</v>
      </c>
    </row>
    <row r="5599" spans="1:12" ht="84" customHeight="1" x14ac:dyDescent="0.3">
      <c r="A5599" s="2">
        <v>5595</v>
      </c>
      <c r="B5599" s="66" t="s">
        <v>6082</v>
      </c>
      <c r="C5599" s="66" t="s">
        <v>6423</v>
      </c>
      <c r="D5599" s="11">
        <v>11792</v>
      </c>
      <c r="E5599" s="11">
        <v>11792</v>
      </c>
      <c r="F5599" s="3">
        <v>39171</v>
      </c>
      <c r="G5599" s="2"/>
      <c r="H5599" s="3">
        <v>43053</v>
      </c>
      <c r="I5599" s="2" t="s">
        <v>19506</v>
      </c>
      <c r="J5599" s="2" t="s">
        <v>13904</v>
      </c>
      <c r="K5599" s="2" t="s">
        <v>5657</v>
      </c>
      <c r="L5599" s="82" t="s">
        <v>19512</v>
      </c>
    </row>
    <row r="5600" spans="1:12" ht="84" customHeight="1" x14ac:dyDescent="0.3">
      <c r="A5600" s="2">
        <v>5596</v>
      </c>
      <c r="B5600" s="66" t="s">
        <v>6082</v>
      </c>
      <c r="C5600" s="66" t="s">
        <v>6424</v>
      </c>
      <c r="D5600" s="11">
        <v>11792</v>
      </c>
      <c r="E5600" s="11">
        <v>11792</v>
      </c>
      <c r="F5600" s="3">
        <v>39171</v>
      </c>
      <c r="G5600" s="2"/>
      <c r="H5600" s="3">
        <v>43053</v>
      </c>
      <c r="I5600" s="2" t="s">
        <v>19506</v>
      </c>
      <c r="J5600" s="2" t="s">
        <v>13904</v>
      </c>
      <c r="K5600" s="2" t="s">
        <v>5657</v>
      </c>
      <c r="L5600" s="82" t="s">
        <v>19512</v>
      </c>
    </row>
    <row r="5601" spans="1:12" ht="84" customHeight="1" x14ac:dyDescent="0.3">
      <c r="A5601" s="2">
        <v>5597</v>
      </c>
      <c r="B5601" s="66" t="s">
        <v>6082</v>
      </c>
      <c r="C5601" s="66" t="s">
        <v>6425</v>
      </c>
      <c r="D5601" s="11">
        <v>11792</v>
      </c>
      <c r="E5601" s="11">
        <v>11792</v>
      </c>
      <c r="F5601" s="3">
        <v>39171</v>
      </c>
      <c r="G5601" s="2"/>
      <c r="H5601" s="3">
        <v>43053</v>
      </c>
      <c r="I5601" s="2" t="s">
        <v>19506</v>
      </c>
      <c r="J5601" s="2" t="s">
        <v>13904</v>
      </c>
      <c r="K5601" s="2" t="s">
        <v>5657</v>
      </c>
      <c r="L5601" s="82" t="s">
        <v>19512</v>
      </c>
    </row>
    <row r="5602" spans="1:12" ht="84" customHeight="1" x14ac:dyDescent="0.3">
      <c r="A5602" s="2">
        <v>5598</v>
      </c>
      <c r="B5602" s="66" t="s">
        <v>6082</v>
      </c>
      <c r="C5602" s="66" t="s">
        <v>6426</v>
      </c>
      <c r="D5602" s="11">
        <v>11792</v>
      </c>
      <c r="E5602" s="11">
        <v>11792</v>
      </c>
      <c r="F5602" s="3">
        <v>39171</v>
      </c>
      <c r="G5602" s="2"/>
      <c r="H5602" s="3">
        <v>43053</v>
      </c>
      <c r="I5602" s="2" t="s">
        <v>19506</v>
      </c>
      <c r="J5602" s="2" t="s">
        <v>13904</v>
      </c>
      <c r="K5602" s="2" t="s">
        <v>5657</v>
      </c>
      <c r="L5602" s="82" t="s">
        <v>19512</v>
      </c>
    </row>
    <row r="5603" spans="1:12" ht="84" customHeight="1" x14ac:dyDescent="0.3">
      <c r="A5603" s="2">
        <v>5599</v>
      </c>
      <c r="B5603" s="66" t="s">
        <v>6082</v>
      </c>
      <c r="C5603" s="66" t="s">
        <v>6427</v>
      </c>
      <c r="D5603" s="11">
        <v>11792</v>
      </c>
      <c r="E5603" s="11">
        <v>11792</v>
      </c>
      <c r="F5603" s="3">
        <v>39171</v>
      </c>
      <c r="G5603" s="2"/>
      <c r="H5603" s="3">
        <v>43053</v>
      </c>
      <c r="I5603" s="2" t="s">
        <v>19506</v>
      </c>
      <c r="J5603" s="2" t="s">
        <v>13904</v>
      </c>
      <c r="K5603" s="2" t="s">
        <v>5657</v>
      </c>
      <c r="L5603" s="82" t="s">
        <v>19512</v>
      </c>
    </row>
    <row r="5604" spans="1:12" ht="84" customHeight="1" x14ac:dyDescent="0.3">
      <c r="A5604" s="2">
        <v>5600</v>
      </c>
      <c r="B5604" s="66" t="s">
        <v>6082</v>
      </c>
      <c r="C5604" s="66" t="s">
        <v>6428</v>
      </c>
      <c r="D5604" s="11">
        <v>11792</v>
      </c>
      <c r="E5604" s="11">
        <v>11792</v>
      </c>
      <c r="F5604" s="3">
        <v>39171</v>
      </c>
      <c r="G5604" s="2"/>
      <c r="H5604" s="3">
        <v>43053</v>
      </c>
      <c r="I5604" s="2" t="s">
        <v>19506</v>
      </c>
      <c r="J5604" s="2" t="s">
        <v>13904</v>
      </c>
      <c r="K5604" s="2" t="s">
        <v>5657</v>
      </c>
      <c r="L5604" s="82" t="s">
        <v>19512</v>
      </c>
    </row>
    <row r="5605" spans="1:12" ht="84" customHeight="1" x14ac:dyDescent="0.3">
      <c r="A5605" s="2">
        <v>5601</v>
      </c>
      <c r="B5605" s="66" t="s">
        <v>6082</v>
      </c>
      <c r="C5605" s="66" t="s">
        <v>6429</v>
      </c>
      <c r="D5605" s="11">
        <v>11792</v>
      </c>
      <c r="E5605" s="11">
        <v>11792</v>
      </c>
      <c r="F5605" s="3">
        <v>39171</v>
      </c>
      <c r="G5605" s="2"/>
      <c r="H5605" s="3">
        <v>43053</v>
      </c>
      <c r="I5605" s="2" t="s">
        <v>19506</v>
      </c>
      <c r="J5605" s="2" t="s">
        <v>13904</v>
      </c>
      <c r="K5605" s="2" t="s">
        <v>5657</v>
      </c>
      <c r="L5605" s="82" t="s">
        <v>19512</v>
      </c>
    </row>
    <row r="5606" spans="1:12" ht="84" customHeight="1" x14ac:dyDescent="0.3">
      <c r="A5606" s="2">
        <v>5602</v>
      </c>
      <c r="B5606" s="66" t="s">
        <v>6082</v>
      </c>
      <c r="C5606" s="66" t="s">
        <v>6430</v>
      </c>
      <c r="D5606" s="11">
        <v>11792</v>
      </c>
      <c r="E5606" s="11">
        <v>11792</v>
      </c>
      <c r="F5606" s="3">
        <v>39171</v>
      </c>
      <c r="G5606" s="2"/>
      <c r="H5606" s="3">
        <v>43053</v>
      </c>
      <c r="I5606" s="2" t="s">
        <v>19506</v>
      </c>
      <c r="J5606" s="2" t="s">
        <v>13904</v>
      </c>
      <c r="K5606" s="2" t="s">
        <v>5657</v>
      </c>
      <c r="L5606" s="82" t="s">
        <v>19512</v>
      </c>
    </row>
    <row r="5607" spans="1:12" ht="84" customHeight="1" x14ac:dyDescent="0.3">
      <c r="A5607" s="2">
        <v>5603</v>
      </c>
      <c r="B5607" s="66" t="s">
        <v>6082</v>
      </c>
      <c r="C5607" s="66" t="s">
        <v>6431</v>
      </c>
      <c r="D5607" s="11">
        <v>11792</v>
      </c>
      <c r="E5607" s="11">
        <v>11792</v>
      </c>
      <c r="F5607" s="3">
        <v>39171</v>
      </c>
      <c r="G5607" s="2"/>
      <c r="H5607" s="3">
        <v>43053</v>
      </c>
      <c r="I5607" s="2" t="s">
        <v>19506</v>
      </c>
      <c r="J5607" s="2" t="s">
        <v>13904</v>
      </c>
      <c r="K5607" s="2" t="s">
        <v>5657</v>
      </c>
      <c r="L5607" s="82" t="s">
        <v>19512</v>
      </c>
    </row>
    <row r="5608" spans="1:12" ht="84" customHeight="1" x14ac:dyDescent="0.3">
      <c r="A5608" s="2">
        <v>5604</v>
      </c>
      <c r="B5608" s="66" t="s">
        <v>6082</v>
      </c>
      <c r="C5608" s="66" t="s">
        <v>6432</v>
      </c>
      <c r="D5608" s="11">
        <v>11792</v>
      </c>
      <c r="E5608" s="11">
        <v>11792</v>
      </c>
      <c r="F5608" s="3">
        <v>39171</v>
      </c>
      <c r="G5608" s="2"/>
      <c r="H5608" s="3">
        <v>43053</v>
      </c>
      <c r="I5608" s="2" t="s">
        <v>19506</v>
      </c>
      <c r="J5608" s="2" t="s">
        <v>13904</v>
      </c>
      <c r="K5608" s="2" t="s">
        <v>5657</v>
      </c>
      <c r="L5608" s="82" t="s">
        <v>19512</v>
      </c>
    </row>
    <row r="5609" spans="1:12" ht="84" customHeight="1" x14ac:dyDescent="0.3">
      <c r="A5609" s="2">
        <v>5605</v>
      </c>
      <c r="B5609" s="66" t="s">
        <v>6082</v>
      </c>
      <c r="C5609" s="66" t="s">
        <v>6433</v>
      </c>
      <c r="D5609" s="11">
        <v>11792</v>
      </c>
      <c r="E5609" s="11">
        <v>11792</v>
      </c>
      <c r="F5609" s="3">
        <v>39171</v>
      </c>
      <c r="G5609" s="2"/>
      <c r="H5609" s="3">
        <v>43053</v>
      </c>
      <c r="I5609" s="2" t="s">
        <v>19506</v>
      </c>
      <c r="J5609" s="2" t="s">
        <v>13904</v>
      </c>
      <c r="K5609" s="2" t="s">
        <v>5657</v>
      </c>
      <c r="L5609" s="82" t="s">
        <v>19512</v>
      </c>
    </row>
    <row r="5610" spans="1:12" ht="84" customHeight="1" x14ac:dyDescent="0.3">
      <c r="A5610" s="2">
        <v>5606</v>
      </c>
      <c r="B5610" s="66" t="s">
        <v>6082</v>
      </c>
      <c r="C5610" s="66" t="s">
        <v>6434</v>
      </c>
      <c r="D5610" s="11">
        <v>11792</v>
      </c>
      <c r="E5610" s="11">
        <v>11792</v>
      </c>
      <c r="F5610" s="3">
        <v>39171</v>
      </c>
      <c r="G5610" s="2"/>
      <c r="H5610" s="3">
        <v>43053</v>
      </c>
      <c r="I5610" s="2" t="s">
        <v>19506</v>
      </c>
      <c r="J5610" s="2" t="s">
        <v>13904</v>
      </c>
      <c r="K5610" s="2" t="s">
        <v>5657</v>
      </c>
      <c r="L5610" s="82" t="s">
        <v>19512</v>
      </c>
    </row>
    <row r="5611" spans="1:12" ht="84" customHeight="1" x14ac:dyDescent="0.3">
      <c r="A5611" s="2">
        <v>5607</v>
      </c>
      <c r="B5611" s="66" t="s">
        <v>6082</v>
      </c>
      <c r="C5611" s="66" t="s">
        <v>6435</v>
      </c>
      <c r="D5611" s="11">
        <v>11792</v>
      </c>
      <c r="E5611" s="11">
        <v>11792</v>
      </c>
      <c r="F5611" s="3">
        <v>39171</v>
      </c>
      <c r="G5611" s="2"/>
      <c r="H5611" s="3">
        <v>43053</v>
      </c>
      <c r="I5611" s="2" t="s">
        <v>19506</v>
      </c>
      <c r="J5611" s="2" t="s">
        <v>13904</v>
      </c>
      <c r="K5611" s="2" t="s">
        <v>5657</v>
      </c>
      <c r="L5611" s="82" t="s">
        <v>19512</v>
      </c>
    </row>
    <row r="5612" spans="1:12" ht="84" customHeight="1" x14ac:dyDescent="0.3">
      <c r="A5612" s="2">
        <v>5608</v>
      </c>
      <c r="B5612" s="66" t="s">
        <v>6082</v>
      </c>
      <c r="C5612" s="66" t="s">
        <v>6436</v>
      </c>
      <c r="D5612" s="11">
        <v>11792</v>
      </c>
      <c r="E5612" s="11">
        <v>11792</v>
      </c>
      <c r="F5612" s="3">
        <v>39171</v>
      </c>
      <c r="G5612" s="2"/>
      <c r="H5612" s="3">
        <v>43053</v>
      </c>
      <c r="I5612" s="2" t="s">
        <v>19506</v>
      </c>
      <c r="J5612" s="2" t="s">
        <v>13904</v>
      </c>
      <c r="K5612" s="2" t="s">
        <v>5657</v>
      </c>
      <c r="L5612" s="82" t="s">
        <v>19512</v>
      </c>
    </row>
    <row r="5613" spans="1:12" ht="84" customHeight="1" x14ac:dyDescent="0.3">
      <c r="A5613" s="2">
        <v>5609</v>
      </c>
      <c r="B5613" s="66" t="s">
        <v>6082</v>
      </c>
      <c r="C5613" s="66" t="s">
        <v>6437</v>
      </c>
      <c r="D5613" s="11">
        <v>11792</v>
      </c>
      <c r="E5613" s="11">
        <v>11792</v>
      </c>
      <c r="F5613" s="3">
        <v>39171</v>
      </c>
      <c r="G5613" s="2"/>
      <c r="H5613" s="3">
        <v>43053</v>
      </c>
      <c r="I5613" s="2" t="s">
        <v>19506</v>
      </c>
      <c r="J5613" s="2" t="s">
        <v>13904</v>
      </c>
      <c r="K5613" s="2" t="s">
        <v>5657</v>
      </c>
      <c r="L5613" s="82" t="s">
        <v>19512</v>
      </c>
    </row>
    <row r="5614" spans="1:12" ht="84" customHeight="1" x14ac:dyDescent="0.3">
      <c r="A5614" s="2">
        <v>5610</v>
      </c>
      <c r="B5614" s="66" t="s">
        <v>6438</v>
      </c>
      <c r="C5614" s="66" t="s">
        <v>6439</v>
      </c>
      <c r="D5614" s="11">
        <v>11792</v>
      </c>
      <c r="E5614" s="11">
        <v>11792</v>
      </c>
      <c r="F5614" s="3">
        <v>39171</v>
      </c>
      <c r="G5614" s="2"/>
      <c r="H5614" s="3">
        <v>43053</v>
      </c>
      <c r="I5614" s="2" t="s">
        <v>19506</v>
      </c>
      <c r="J5614" s="2" t="s">
        <v>13904</v>
      </c>
      <c r="K5614" s="2" t="s">
        <v>5657</v>
      </c>
      <c r="L5614" s="82" t="s">
        <v>19512</v>
      </c>
    </row>
    <row r="5615" spans="1:12" ht="84" customHeight="1" x14ac:dyDescent="0.3">
      <c r="A5615" s="2">
        <v>5611</v>
      </c>
      <c r="B5615" s="66" t="s">
        <v>6440</v>
      </c>
      <c r="C5615" s="66" t="s">
        <v>6441</v>
      </c>
      <c r="D5615" s="11">
        <v>19353.77</v>
      </c>
      <c r="E5615" s="11">
        <v>19353.77</v>
      </c>
      <c r="F5615" s="3">
        <v>39052</v>
      </c>
      <c r="G5615" s="2"/>
      <c r="H5615" s="3">
        <v>43053</v>
      </c>
      <c r="I5615" s="2" t="s">
        <v>19506</v>
      </c>
      <c r="J5615" s="2" t="s">
        <v>13904</v>
      </c>
      <c r="K5615" s="2" t="s">
        <v>5657</v>
      </c>
      <c r="L5615" s="82" t="s">
        <v>19512</v>
      </c>
    </row>
    <row r="5616" spans="1:12" ht="84" customHeight="1" x14ac:dyDescent="0.3">
      <c r="A5616" s="2">
        <v>5612</v>
      </c>
      <c r="B5616" s="66" t="s">
        <v>6442</v>
      </c>
      <c r="C5616" s="66" t="s">
        <v>6443</v>
      </c>
      <c r="D5616" s="11">
        <v>19353.77</v>
      </c>
      <c r="E5616" s="11">
        <v>19353.77</v>
      </c>
      <c r="F5616" s="3">
        <v>39052</v>
      </c>
      <c r="G5616" s="2"/>
      <c r="H5616" s="3">
        <v>43053</v>
      </c>
      <c r="I5616" s="2" t="s">
        <v>19506</v>
      </c>
      <c r="J5616" s="2" t="s">
        <v>13904</v>
      </c>
      <c r="K5616" s="2" t="s">
        <v>5657</v>
      </c>
      <c r="L5616" s="82" t="s">
        <v>19512</v>
      </c>
    </row>
    <row r="5617" spans="1:12" ht="84" customHeight="1" x14ac:dyDescent="0.3">
      <c r="A5617" s="2">
        <v>5613</v>
      </c>
      <c r="B5617" s="66" t="s">
        <v>6444</v>
      </c>
      <c r="C5617" s="66" t="s">
        <v>6445</v>
      </c>
      <c r="D5617" s="11">
        <v>19353.77</v>
      </c>
      <c r="E5617" s="11">
        <v>19353.77</v>
      </c>
      <c r="F5617" s="3">
        <v>39052</v>
      </c>
      <c r="G5617" s="2"/>
      <c r="H5617" s="3">
        <v>43053</v>
      </c>
      <c r="I5617" s="2" t="s">
        <v>19506</v>
      </c>
      <c r="J5617" s="2" t="s">
        <v>13904</v>
      </c>
      <c r="K5617" s="2" t="s">
        <v>5657</v>
      </c>
      <c r="L5617" s="82" t="s">
        <v>19512</v>
      </c>
    </row>
    <row r="5618" spans="1:12" ht="84" customHeight="1" x14ac:dyDescent="0.3">
      <c r="A5618" s="2">
        <v>5614</v>
      </c>
      <c r="B5618" s="66" t="s">
        <v>6446</v>
      </c>
      <c r="C5618" s="66" t="s">
        <v>6447</v>
      </c>
      <c r="D5618" s="11">
        <v>19353.77</v>
      </c>
      <c r="E5618" s="11">
        <v>19353.77</v>
      </c>
      <c r="F5618" s="3">
        <v>39052</v>
      </c>
      <c r="G5618" s="2"/>
      <c r="H5618" s="3">
        <v>43053</v>
      </c>
      <c r="I5618" s="2" t="s">
        <v>19506</v>
      </c>
      <c r="J5618" s="2" t="s">
        <v>13904</v>
      </c>
      <c r="K5618" s="2" t="s">
        <v>5657</v>
      </c>
      <c r="L5618" s="82" t="s">
        <v>19512</v>
      </c>
    </row>
    <row r="5619" spans="1:12" ht="84" customHeight="1" x14ac:dyDescent="0.3">
      <c r="A5619" s="2">
        <v>5615</v>
      </c>
      <c r="B5619" s="66" t="s">
        <v>6448</v>
      </c>
      <c r="C5619" s="66" t="s">
        <v>6449</v>
      </c>
      <c r="D5619" s="11">
        <v>6546.24</v>
      </c>
      <c r="E5619" s="11">
        <v>6546.24</v>
      </c>
      <c r="F5619" s="3">
        <v>40751</v>
      </c>
      <c r="G5619" s="2"/>
      <c r="H5619" s="3">
        <v>43053</v>
      </c>
      <c r="I5619" s="2" t="s">
        <v>19506</v>
      </c>
      <c r="J5619" s="2" t="s">
        <v>13904</v>
      </c>
      <c r="K5619" s="2" t="s">
        <v>5657</v>
      </c>
      <c r="L5619" s="82" t="s">
        <v>19512</v>
      </c>
    </row>
    <row r="5620" spans="1:12" ht="84" customHeight="1" x14ac:dyDescent="0.3">
      <c r="A5620" s="2">
        <v>5616</v>
      </c>
      <c r="B5620" s="66" t="s">
        <v>6450</v>
      </c>
      <c r="C5620" s="66" t="s">
        <v>6451</v>
      </c>
      <c r="D5620" s="11">
        <v>3552.04</v>
      </c>
      <c r="E5620" s="11">
        <v>3552.04</v>
      </c>
      <c r="F5620" s="3">
        <v>40861</v>
      </c>
      <c r="G5620" s="2"/>
      <c r="H5620" s="3">
        <v>43053</v>
      </c>
      <c r="I5620" s="2" t="s">
        <v>19506</v>
      </c>
      <c r="J5620" s="2" t="s">
        <v>13904</v>
      </c>
      <c r="K5620" s="2" t="s">
        <v>5657</v>
      </c>
      <c r="L5620" s="82" t="s">
        <v>19512</v>
      </c>
    </row>
    <row r="5621" spans="1:12" ht="84" customHeight="1" x14ac:dyDescent="0.3">
      <c r="A5621" s="2">
        <v>5617</v>
      </c>
      <c r="B5621" s="66" t="s">
        <v>6452</v>
      </c>
      <c r="C5621" s="66" t="s">
        <v>6453</v>
      </c>
      <c r="D5621" s="11">
        <v>3552.03</v>
      </c>
      <c r="E5621" s="11">
        <v>3552.03</v>
      </c>
      <c r="F5621" s="3">
        <v>40861</v>
      </c>
      <c r="G5621" s="2"/>
      <c r="H5621" s="3">
        <v>43053</v>
      </c>
      <c r="I5621" s="2" t="s">
        <v>19506</v>
      </c>
      <c r="J5621" s="2" t="s">
        <v>13904</v>
      </c>
      <c r="K5621" s="2" t="s">
        <v>5657</v>
      </c>
      <c r="L5621" s="82" t="s">
        <v>19512</v>
      </c>
    </row>
    <row r="5622" spans="1:12" ht="84" customHeight="1" x14ac:dyDescent="0.3">
      <c r="A5622" s="2">
        <v>5618</v>
      </c>
      <c r="B5622" s="66" t="s">
        <v>6454</v>
      </c>
      <c r="C5622" s="66" t="s">
        <v>6455</v>
      </c>
      <c r="D5622" s="11">
        <v>10000</v>
      </c>
      <c r="E5622" s="11">
        <v>10000</v>
      </c>
      <c r="F5622" s="3">
        <v>39142</v>
      </c>
      <c r="G5622" s="2"/>
      <c r="H5622" s="3">
        <v>43053</v>
      </c>
      <c r="I5622" s="2" t="s">
        <v>19506</v>
      </c>
      <c r="J5622" s="2" t="s">
        <v>13904</v>
      </c>
      <c r="K5622" s="2" t="s">
        <v>5657</v>
      </c>
      <c r="L5622" s="82" t="s">
        <v>19512</v>
      </c>
    </row>
    <row r="5623" spans="1:12" ht="84" customHeight="1" x14ac:dyDescent="0.3">
      <c r="A5623" s="2">
        <v>5619</v>
      </c>
      <c r="B5623" s="66" t="s">
        <v>6456</v>
      </c>
      <c r="C5623" s="66" t="s">
        <v>6457</v>
      </c>
      <c r="D5623" s="11">
        <v>7800.57</v>
      </c>
      <c r="E5623" s="11">
        <v>7800.57</v>
      </c>
      <c r="F5623" s="3">
        <v>39052</v>
      </c>
      <c r="G5623" s="2"/>
      <c r="H5623" s="3">
        <v>43053</v>
      </c>
      <c r="I5623" s="2" t="s">
        <v>19506</v>
      </c>
      <c r="J5623" s="2" t="s">
        <v>13904</v>
      </c>
      <c r="K5623" s="2" t="s">
        <v>5657</v>
      </c>
      <c r="L5623" s="82" t="s">
        <v>19512</v>
      </c>
    </row>
    <row r="5624" spans="1:12" ht="84" customHeight="1" x14ac:dyDescent="0.3">
      <c r="A5624" s="2">
        <v>5620</v>
      </c>
      <c r="B5624" s="66" t="s">
        <v>6458</v>
      </c>
      <c r="C5624" s="66" t="s">
        <v>4906</v>
      </c>
      <c r="D5624" s="11">
        <v>9430.56</v>
      </c>
      <c r="E5624" s="11">
        <v>9430.56</v>
      </c>
      <c r="F5624" s="3">
        <v>41115</v>
      </c>
      <c r="G5624" s="2"/>
      <c r="H5624" s="3">
        <v>43053</v>
      </c>
      <c r="I5624" s="2" t="s">
        <v>19506</v>
      </c>
      <c r="J5624" s="2" t="s">
        <v>13904</v>
      </c>
      <c r="K5624" s="2" t="s">
        <v>5657</v>
      </c>
      <c r="L5624" s="82" t="s">
        <v>19512</v>
      </c>
    </row>
    <row r="5625" spans="1:12" ht="84" customHeight="1" x14ac:dyDescent="0.3">
      <c r="A5625" s="2">
        <v>5621</v>
      </c>
      <c r="B5625" s="66" t="s">
        <v>6459</v>
      </c>
      <c r="C5625" s="66" t="s">
        <v>6460</v>
      </c>
      <c r="D5625" s="11">
        <v>26890</v>
      </c>
      <c r="E5625" s="11">
        <v>26890</v>
      </c>
      <c r="F5625" s="3">
        <v>41836</v>
      </c>
      <c r="G5625" s="2"/>
      <c r="H5625" s="3">
        <v>43053</v>
      </c>
      <c r="I5625" s="2" t="s">
        <v>19506</v>
      </c>
      <c r="J5625" s="2" t="s">
        <v>13904</v>
      </c>
      <c r="K5625" s="2" t="s">
        <v>5657</v>
      </c>
      <c r="L5625" s="82" t="s">
        <v>19512</v>
      </c>
    </row>
    <row r="5626" spans="1:12" ht="84" customHeight="1" x14ac:dyDescent="0.3">
      <c r="A5626" s="2">
        <v>5622</v>
      </c>
      <c r="B5626" s="66" t="s">
        <v>6461</v>
      </c>
      <c r="C5626" s="66" t="s">
        <v>6462</v>
      </c>
      <c r="D5626" s="11">
        <v>25830</v>
      </c>
      <c r="E5626" s="11">
        <v>25830</v>
      </c>
      <c r="F5626" s="3">
        <v>41836</v>
      </c>
      <c r="G5626" s="2"/>
      <c r="H5626" s="3">
        <v>43053</v>
      </c>
      <c r="I5626" s="2" t="s">
        <v>19506</v>
      </c>
      <c r="J5626" s="2" t="s">
        <v>13904</v>
      </c>
      <c r="K5626" s="2" t="s">
        <v>5657</v>
      </c>
      <c r="L5626" s="82" t="s">
        <v>19512</v>
      </c>
    </row>
    <row r="5627" spans="1:12" ht="84" customHeight="1" x14ac:dyDescent="0.3">
      <c r="A5627" s="2">
        <v>5623</v>
      </c>
      <c r="B5627" s="66" t="s">
        <v>6463</v>
      </c>
      <c r="C5627" s="66" t="s">
        <v>6464</v>
      </c>
      <c r="D5627" s="11">
        <v>8142</v>
      </c>
      <c r="E5627" s="11">
        <v>8142</v>
      </c>
      <c r="F5627" s="3">
        <v>41617</v>
      </c>
      <c r="G5627" s="2"/>
      <c r="H5627" s="3">
        <v>43053</v>
      </c>
      <c r="I5627" s="2" t="s">
        <v>19506</v>
      </c>
      <c r="J5627" s="2" t="s">
        <v>13904</v>
      </c>
      <c r="K5627" s="2" t="s">
        <v>5657</v>
      </c>
      <c r="L5627" s="82" t="s">
        <v>19512</v>
      </c>
    </row>
    <row r="5628" spans="1:12" ht="84" customHeight="1" x14ac:dyDescent="0.3">
      <c r="A5628" s="2">
        <v>5624</v>
      </c>
      <c r="B5628" s="66" t="s">
        <v>4493</v>
      </c>
      <c r="C5628" s="66" t="s">
        <v>6465</v>
      </c>
      <c r="D5628" s="11">
        <v>19863</v>
      </c>
      <c r="E5628" s="11">
        <v>19863</v>
      </c>
      <c r="F5628" s="3">
        <v>41617</v>
      </c>
      <c r="G5628" s="2"/>
      <c r="H5628" s="3">
        <v>43053</v>
      </c>
      <c r="I5628" s="2" t="s">
        <v>19506</v>
      </c>
      <c r="J5628" s="2" t="s">
        <v>13904</v>
      </c>
      <c r="K5628" s="2" t="s">
        <v>5657</v>
      </c>
      <c r="L5628" s="82" t="s">
        <v>19512</v>
      </c>
    </row>
    <row r="5629" spans="1:12" ht="84" customHeight="1" x14ac:dyDescent="0.3">
      <c r="A5629" s="2">
        <v>5625</v>
      </c>
      <c r="B5629" s="66" t="s">
        <v>6466</v>
      </c>
      <c r="C5629" s="66" t="s">
        <v>6467</v>
      </c>
      <c r="D5629" s="11">
        <v>8826</v>
      </c>
      <c r="E5629" s="11">
        <v>8826</v>
      </c>
      <c r="F5629" s="3">
        <v>41617</v>
      </c>
      <c r="G5629" s="2"/>
      <c r="H5629" s="3">
        <v>43053</v>
      </c>
      <c r="I5629" s="2" t="s">
        <v>19506</v>
      </c>
      <c r="J5629" s="2" t="s">
        <v>13904</v>
      </c>
      <c r="K5629" s="2" t="s">
        <v>5657</v>
      </c>
      <c r="L5629" s="82" t="s">
        <v>19512</v>
      </c>
    </row>
    <row r="5630" spans="1:12" ht="84" customHeight="1" x14ac:dyDescent="0.3">
      <c r="A5630" s="2">
        <v>5626</v>
      </c>
      <c r="B5630" s="66" t="s">
        <v>6466</v>
      </c>
      <c r="C5630" s="66" t="s">
        <v>6468</v>
      </c>
      <c r="D5630" s="11">
        <v>8826</v>
      </c>
      <c r="E5630" s="11">
        <v>8826</v>
      </c>
      <c r="F5630" s="3">
        <v>41617</v>
      </c>
      <c r="G5630" s="2"/>
      <c r="H5630" s="3">
        <v>43053</v>
      </c>
      <c r="I5630" s="2" t="s">
        <v>19506</v>
      </c>
      <c r="J5630" s="2" t="s">
        <v>13904</v>
      </c>
      <c r="K5630" s="2" t="s">
        <v>5657</v>
      </c>
      <c r="L5630" s="82" t="s">
        <v>19512</v>
      </c>
    </row>
    <row r="5631" spans="1:12" ht="84" customHeight="1" x14ac:dyDescent="0.3">
      <c r="A5631" s="2">
        <v>5627</v>
      </c>
      <c r="B5631" s="66" t="s">
        <v>6469</v>
      </c>
      <c r="C5631" s="66" t="s">
        <v>6470</v>
      </c>
      <c r="D5631" s="11">
        <v>29486</v>
      </c>
      <c r="E5631" s="11">
        <v>29486</v>
      </c>
      <c r="F5631" s="3">
        <v>41617</v>
      </c>
      <c r="G5631" s="2"/>
      <c r="H5631" s="3">
        <v>43053</v>
      </c>
      <c r="I5631" s="2" t="s">
        <v>19506</v>
      </c>
      <c r="J5631" s="2" t="s">
        <v>13904</v>
      </c>
      <c r="K5631" s="2" t="s">
        <v>5657</v>
      </c>
      <c r="L5631" s="82" t="s">
        <v>19512</v>
      </c>
    </row>
    <row r="5632" spans="1:12" ht="84" customHeight="1" x14ac:dyDescent="0.3">
      <c r="A5632" s="2">
        <v>5628</v>
      </c>
      <c r="B5632" s="66" t="s">
        <v>6471</v>
      </c>
      <c r="C5632" s="66" t="s">
        <v>6472</v>
      </c>
      <c r="D5632" s="11">
        <v>25030</v>
      </c>
      <c r="E5632" s="11">
        <v>25030</v>
      </c>
      <c r="F5632" s="3">
        <v>41617</v>
      </c>
      <c r="G5632" s="2"/>
      <c r="H5632" s="3">
        <v>43053</v>
      </c>
      <c r="I5632" s="2" t="s">
        <v>19506</v>
      </c>
      <c r="J5632" s="2" t="s">
        <v>13904</v>
      </c>
      <c r="K5632" s="2" t="s">
        <v>5657</v>
      </c>
      <c r="L5632" s="82" t="s">
        <v>19512</v>
      </c>
    </row>
    <row r="5633" spans="1:12" ht="84" customHeight="1" x14ac:dyDescent="0.3">
      <c r="A5633" s="2">
        <v>5629</v>
      </c>
      <c r="B5633" s="66" t="s">
        <v>6473</v>
      </c>
      <c r="C5633" s="66" t="s">
        <v>6474</v>
      </c>
      <c r="D5633" s="11">
        <v>12531</v>
      </c>
      <c r="E5633" s="11">
        <v>12531</v>
      </c>
      <c r="F5633" s="3">
        <v>41617</v>
      </c>
      <c r="G5633" s="2"/>
      <c r="H5633" s="3">
        <v>43053</v>
      </c>
      <c r="I5633" s="2" t="s">
        <v>19506</v>
      </c>
      <c r="J5633" s="2" t="s">
        <v>13904</v>
      </c>
      <c r="K5633" s="2" t="s">
        <v>5657</v>
      </c>
      <c r="L5633" s="82" t="s">
        <v>19512</v>
      </c>
    </row>
    <row r="5634" spans="1:12" ht="84" customHeight="1" x14ac:dyDescent="0.3">
      <c r="A5634" s="2">
        <v>5630</v>
      </c>
      <c r="B5634" s="66" t="s">
        <v>6475</v>
      </c>
      <c r="C5634" s="66" t="s">
        <v>6476</v>
      </c>
      <c r="D5634" s="11">
        <v>20945</v>
      </c>
      <c r="E5634" s="11">
        <v>20945</v>
      </c>
      <c r="F5634" s="3">
        <v>41617</v>
      </c>
      <c r="G5634" s="2"/>
      <c r="H5634" s="3">
        <v>43053</v>
      </c>
      <c r="I5634" s="2" t="s">
        <v>19506</v>
      </c>
      <c r="J5634" s="2" t="s">
        <v>13904</v>
      </c>
      <c r="K5634" s="2" t="s">
        <v>5657</v>
      </c>
      <c r="L5634" s="82" t="s">
        <v>19512</v>
      </c>
    </row>
    <row r="5635" spans="1:12" ht="84" customHeight="1" x14ac:dyDescent="0.3">
      <c r="A5635" s="2">
        <v>5631</v>
      </c>
      <c r="B5635" s="66" t="s">
        <v>6477</v>
      </c>
      <c r="C5635" s="66" t="s">
        <v>6478</v>
      </c>
      <c r="D5635" s="11">
        <v>20547</v>
      </c>
      <c r="E5635" s="11">
        <v>20547</v>
      </c>
      <c r="F5635" s="3">
        <v>41617</v>
      </c>
      <c r="G5635" s="2"/>
      <c r="H5635" s="3">
        <v>43053</v>
      </c>
      <c r="I5635" s="2" t="s">
        <v>19506</v>
      </c>
      <c r="J5635" s="2" t="s">
        <v>13904</v>
      </c>
      <c r="K5635" s="2" t="s">
        <v>5657</v>
      </c>
      <c r="L5635" s="82" t="s">
        <v>19512</v>
      </c>
    </row>
    <row r="5636" spans="1:12" ht="84" customHeight="1" x14ac:dyDescent="0.3">
      <c r="A5636" s="2">
        <v>5632</v>
      </c>
      <c r="B5636" s="66" t="s">
        <v>6479</v>
      </c>
      <c r="C5636" s="66" t="s">
        <v>6480</v>
      </c>
      <c r="D5636" s="11">
        <v>23920</v>
      </c>
      <c r="E5636" s="11">
        <v>23920</v>
      </c>
      <c r="F5636" s="3">
        <v>41617</v>
      </c>
      <c r="G5636" s="2"/>
      <c r="H5636" s="3">
        <v>43053</v>
      </c>
      <c r="I5636" s="2" t="s">
        <v>19506</v>
      </c>
      <c r="J5636" s="2" t="s">
        <v>13904</v>
      </c>
      <c r="K5636" s="2" t="s">
        <v>5657</v>
      </c>
      <c r="L5636" s="82" t="s">
        <v>19512</v>
      </c>
    </row>
    <row r="5637" spans="1:12" ht="84" customHeight="1" x14ac:dyDescent="0.3">
      <c r="A5637" s="2">
        <v>5633</v>
      </c>
      <c r="B5637" s="66" t="s">
        <v>6481</v>
      </c>
      <c r="C5637" s="66" t="s">
        <v>6482</v>
      </c>
      <c r="D5637" s="11">
        <v>23763</v>
      </c>
      <c r="E5637" s="11">
        <v>23763</v>
      </c>
      <c r="F5637" s="3">
        <v>41617</v>
      </c>
      <c r="G5637" s="2"/>
      <c r="H5637" s="3">
        <v>43053</v>
      </c>
      <c r="I5637" s="2" t="s">
        <v>19506</v>
      </c>
      <c r="J5637" s="2" t="s">
        <v>13904</v>
      </c>
      <c r="K5637" s="2" t="s">
        <v>5657</v>
      </c>
      <c r="L5637" s="82" t="s">
        <v>19512</v>
      </c>
    </row>
    <row r="5638" spans="1:12" ht="84" customHeight="1" x14ac:dyDescent="0.3">
      <c r="A5638" s="2">
        <v>5634</v>
      </c>
      <c r="B5638" s="66" t="s">
        <v>6483</v>
      </c>
      <c r="C5638" s="66" t="s">
        <v>6484</v>
      </c>
      <c r="D5638" s="11">
        <v>4415</v>
      </c>
      <c r="E5638" s="11">
        <v>4415</v>
      </c>
      <c r="F5638" s="3">
        <v>41617</v>
      </c>
      <c r="G5638" s="2"/>
      <c r="H5638" s="3">
        <v>43053</v>
      </c>
      <c r="I5638" s="2" t="s">
        <v>19506</v>
      </c>
      <c r="J5638" s="2" t="s">
        <v>13904</v>
      </c>
      <c r="K5638" s="2" t="s">
        <v>5657</v>
      </c>
      <c r="L5638" s="82" t="s">
        <v>19512</v>
      </c>
    </row>
    <row r="5639" spans="1:12" ht="84" customHeight="1" x14ac:dyDescent="0.3">
      <c r="A5639" s="2">
        <v>5635</v>
      </c>
      <c r="B5639" s="66" t="s">
        <v>6483</v>
      </c>
      <c r="C5639" s="66" t="s">
        <v>6485</v>
      </c>
      <c r="D5639" s="11">
        <v>4415</v>
      </c>
      <c r="E5639" s="11">
        <v>4415</v>
      </c>
      <c r="F5639" s="3">
        <v>41617</v>
      </c>
      <c r="G5639" s="2"/>
      <c r="H5639" s="3">
        <v>43053</v>
      </c>
      <c r="I5639" s="2" t="s">
        <v>19506</v>
      </c>
      <c r="J5639" s="2" t="s">
        <v>13904</v>
      </c>
      <c r="K5639" s="2" t="s">
        <v>5657</v>
      </c>
      <c r="L5639" s="82" t="s">
        <v>19512</v>
      </c>
    </row>
    <row r="5640" spans="1:12" ht="84" customHeight="1" x14ac:dyDescent="0.3">
      <c r="A5640" s="2">
        <v>5636</v>
      </c>
      <c r="B5640" s="66" t="s">
        <v>6483</v>
      </c>
      <c r="C5640" s="66" t="s">
        <v>6486</v>
      </c>
      <c r="D5640" s="11">
        <v>4415</v>
      </c>
      <c r="E5640" s="11">
        <v>4415</v>
      </c>
      <c r="F5640" s="3">
        <v>41617</v>
      </c>
      <c r="G5640" s="2"/>
      <c r="H5640" s="3">
        <v>43053</v>
      </c>
      <c r="I5640" s="2" t="s">
        <v>19506</v>
      </c>
      <c r="J5640" s="2" t="s">
        <v>13904</v>
      </c>
      <c r="K5640" s="2" t="s">
        <v>5657</v>
      </c>
      <c r="L5640" s="82" t="s">
        <v>19512</v>
      </c>
    </row>
    <row r="5641" spans="1:12" ht="84" customHeight="1" x14ac:dyDescent="0.3">
      <c r="A5641" s="2">
        <v>5637</v>
      </c>
      <c r="B5641" s="66" t="s">
        <v>6483</v>
      </c>
      <c r="C5641" s="66" t="s">
        <v>6487</v>
      </c>
      <c r="D5641" s="11">
        <v>4415</v>
      </c>
      <c r="E5641" s="11">
        <v>4415</v>
      </c>
      <c r="F5641" s="3">
        <v>41617</v>
      </c>
      <c r="G5641" s="2"/>
      <c r="H5641" s="3">
        <v>43053</v>
      </c>
      <c r="I5641" s="2" t="s">
        <v>19506</v>
      </c>
      <c r="J5641" s="2" t="s">
        <v>13904</v>
      </c>
      <c r="K5641" s="2" t="s">
        <v>5657</v>
      </c>
      <c r="L5641" s="82" t="s">
        <v>19512</v>
      </c>
    </row>
    <row r="5642" spans="1:12" ht="84" customHeight="1" x14ac:dyDescent="0.3">
      <c r="A5642" s="2">
        <v>5638</v>
      </c>
      <c r="B5642" s="66" t="s">
        <v>6483</v>
      </c>
      <c r="C5642" s="66" t="s">
        <v>6488</v>
      </c>
      <c r="D5642" s="11">
        <v>4415</v>
      </c>
      <c r="E5642" s="11">
        <v>4415</v>
      </c>
      <c r="F5642" s="3">
        <v>41617</v>
      </c>
      <c r="G5642" s="2"/>
      <c r="H5642" s="3">
        <v>43053</v>
      </c>
      <c r="I5642" s="2" t="s">
        <v>19506</v>
      </c>
      <c r="J5642" s="2" t="s">
        <v>13904</v>
      </c>
      <c r="K5642" s="2" t="s">
        <v>5657</v>
      </c>
      <c r="L5642" s="82" t="s">
        <v>19512</v>
      </c>
    </row>
    <row r="5643" spans="1:12" ht="84" customHeight="1" x14ac:dyDescent="0.3">
      <c r="A5643" s="2">
        <v>5639</v>
      </c>
      <c r="B5643" s="66" t="s">
        <v>6483</v>
      </c>
      <c r="C5643" s="66" t="s">
        <v>6489</v>
      </c>
      <c r="D5643" s="11">
        <v>4415</v>
      </c>
      <c r="E5643" s="11">
        <v>4415</v>
      </c>
      <c r="F5643" s="3">
        <v>41617</v>
      </c>
      <c r="G5643" s="2"/>
      <c r="H5643" s="3">
        <v>43053</v>
      </c>
      <c r="I5643" s="2" t="s">
        <v>19506</v>
      </c>
      <c r="J5643" s="2" t="s">
        <v>13904</v>
      </c>
      <c r="K5643" s="2" t="s">
        <v>5657</v>
      </c>
      <c r="L5643" s="82" t="s">
        <v>19512</v>
      </c>
    </row>
    <row r="5644" spans="1:12" ht="84" customHeight="1" x14ac:dyDescent="0.3">
      <c r="A5644" s="2">
        <v>5640</v>
      </c>
      <c r="B5644" s="66" t="s">
        <v>218</v>
      </c>
      <c r="C5644" s="66" t="s">
        <v>6490</v>
      </c>
      <c r="D5644" s="11">
        <v>24800</v>
      </c>
      <c r="E5644" s="11">
        <v>24800</v>
      </c>
      <c r="F5644" s="3">
        <v>39762</v>
      </c>
      <c r="G5644" s="2"/>
      <c r="H5644" s="3">
        <v>43053</v>
      </c>
      <c r="I5644" s="2" t="s">
        <v>19506</v>
      </c>
      <c r="J5644" s="2" t="s">
        <v>13904</v>
      </c>
      <c r="K5644" s="2" t="s">
        <v>5657</v>
      </c>
      <c r="L5644" s="82" t="s">
        <v>19512</v>
      </c>
    </row>
    <row r="5645" spans="1:12" ht="84" customHeight="1" x14ac:dyDescent="0.3">
      <c r="A5645" s="2">
        <v>5641</v>
      </c>
      <c r="B5645" s="66" t="s">
        <v>6491</v>
      </c>
      <c r="C5645" s="66" t="s">
        <v>6492</v>
      </c>
      <c r="D5645" s="11">
        <v>4889.4399999999996</v>
      </c>
      <c r="E5645" s="11">
        <v>4889.4399999999996</v>
      </c>
      <c r="F5645" s="3">
        <v>40751</v>
      </c>
      <c r="G5645" s="2"/>
      <c r="H5645" s="3">
        <v>43053</v>
      </c>
      <c r="I5645" s="2" t="s">
        <v>19506</v>
      </c>
      <c r="J5645" s="2" t="s">
        <v>13904</v>
      </c>
      <c r="K5645" s="2" t="s">
        <v>5657</v>
      </c>
      <c r="L5645" s="82" t="s">
        <v>19512</v>
      </c>
    </row>
    <row r="5646" spans="1:12" ht="84" customHeight="1" x14ac:dyDescent="0.3">
      <c r="A5646" s="2">
        <v>5642</v>
      </c>
      <c r="B5646" s="66" t="s">
        <v>6493</v>
      </c>
      <c r="C5646" s="66" t="s">
        <v>6494</v>
      </c>
      <c r="D5646" s="11">
        <v>4889.4399999999996</v>
      </c>
      <c r="E5646" s="11">
        <v>4889.4399999999996</v>
      </c>
      <c r="F5646" s="3">
        <v>40751</v>
      </c>
      <c r="G5646" s="2"/>
      <c r="H5646" s="3">
        <v>43053</v>
      </c>
      <c r="I5646" s="2" t="s">
        <v>19506</v>
      </c>
      <c r="J5646" s="2" t="s">
        <v>13904</v>
      </c>
      <c r="K5646" s="2" t="s">
        <v>5657</v>
      </c>
      <c r="L5646" s="82" t="s">
        <v>19512</v>
      </c>
    </row>
    <row r="5647" spans="1:12" ht="84" customHeight="1" x14ac:dyDescent="0.3">
      <c r="A5647" s="2">
        <v>5643</v>
      </c>
      <c r="B5647" s="66" t="s">
        <v>6495</v>
      </c>
      <c r="C5647" s="66" t="s">
        <v>3423</v>
      </c>
      <c r="D5647" s="11">
        <v>4410</v>
      </c>
      <c r="E5647" s="11">
        <v>4410</v>
      </c>
      <c r="F5647" s="3">
        <v>39142</v>
      </c>
      <c r="G5647" s="2"/>
      <c r="H5647" s="3">
        <v>43053</v>
      </c>
      <c r="I5647" s="2" t="s">
        <v>19506</v>
      </c>
      <c r="J5647" s="2" t="s">
        <v>13904</v>
      </c>
      <c r="K5647" s="2" t="s">
        <v>5657</v>
      </c>
      <c r="L5647" s="82" t="s">
        <v>19512</v>
      </c>
    </row>
    <row r="5648" spans="1:12" ht="84" customHeight="1" x14ac:dyDescent="0.3">
      <c r="A5648" s="2">
        <v>5644</v>
      </c>
      <c r="B5648" s="66" t="s">
        <v>6496</v>
      </c>
      <c r="C5648" s="66" t="s">
        <v>6497</v>
      </c>
      <c r="D5648" s="11">
        <v>4200</v>
      </c>
      <c r="E5648" s="11">
        <v>4200</v>
      </c>
      <c r="F5648" s="3">
        <v>39142</v>
      </c>
      <c r="G5648" s="2"/>
      <c r="H5648" s="3">
        <v>43053</v>
      </c>
      <c r="I5648" s="2" t="s">
        <v>19506</v>
      </c>
      <c r="J5648" s="2" t="s">
        <v>13904</v>
      </c>
      <c r="K5648" s="2" t="s">
        <v>5657</v>
      </c>
      <c r="L5648" s="82" t="s">
        <v>19512</v>
      </c>
    </row>
    <row r="5649" spans="1:12" ht="84" customHeight="1" x14ac:dyDescent="0.3">
      <c r="A5649" s="2">
        <v>5645</v>
      </c>
      <c r="B5649" s="66" t="s">
        <v>6498</v>
      </c>
      <c r="C5649" s="66" t="s">
        <v>6499</v>
      </c>
      <c r="D5649" s="11">
        <v>21990.01</v>
      </c>
      <c r="E5649" s="11">
        <v>21990.01</v>
      </c>
      <c r="F5649" s="3">
        <v>41620</v>
      </c>
      <c r="G5649" s="2"/>
      <c r="H5649" s="3">
        <v>43053</v>
      </c>
      <c r="I5649" s="2" t="s">
        <v>19506</v>
      </c>
      <c r="J5649" s="2" t="s">
        <v>13904</v>
      </c>
      <c r="K5649" s="2" t="s">
        <v>5657</v>
      </c>
      <c r="L5649" s="82" t="s">
        <v>19512</v>
      </c>
    </row>
    <row r="5650" spans="1:12" ht="84" customHeight="1" x14ac:dyDescent="0.3">
      <c r="A5650" s="2">
        <v>5646</v>
      </c>
      <c r="B5650" s="66" t="s">
        <v>6498</v>
      </c>
      <c r="C5650" s="66" t="s">
        <v>6500</v>
      </c>
      <c r="D5650" s="11">
        <v>21990.01</v>
      </c>
      <c r="E5650" s="11">
        <v>21990.01</v>
      </c>
      <c r="F5650" s="3">
        <v>41620</v>
      </c>
      <c r="G5650" s="2"/>
      <c r="H5650" s="3">
        <v>43053</v>
      </c>
      <c r="I5650" s="2" t="s">
        <v>19506</v>
      </c>
      <c r="J5650" s="2" t="s">
        <v>13904</v>
      </c>
      <c r="K5650" s="2" t="s">
        <v>5657</v>
      </c>
      <c r="L5650" s="82" t="s">
        <v>19512</v>
      </c>
    </row>
    <row r="5651" spans="1:12" ht="84" customHeight="1" x14ac:dyDescent="0.3">
      <c r="A5651" s="2">
        <v>5647</v>
      </c>
      <c r="B5651" s="66" t="s">
        <v>6501</v>
      </c>
      <c r="C5651" s="66" t="s">
        <v>6502</v>
      </c>
      <c r="D5651" s="11">
        <v>20861</v>
      </c>
      <c r="E5651" s="11">
        <v>20861</v>
      </c>
      <c r="F5651" s="3">
        <v>41620</v>
      </c>
      <c r="G5651" s="2"/>
      <c r="H5651" s="3">
        <v>43053</v>
      </c>
      <c r="I5651" s="2" t="s">
        <v>19506</v>
      </c>
      <c r="J5651" s="2" t="s">
        <v>13904</v>
      </c>
      <c r="K5651" s="2" t="s">
        <v>5657</v>
      </c>
      <c r="L5651" s="82" t="s">
        <v>19512</v>
      </c>
    </row>
    <row r="5652" spans="1:12" ht="84" customHeight="1" x14ac:dyDescent="0.3">
      <c r="A5652" s="2">
        <v>5648</v>
      </c>
      <c r="B5652" s="66" t="s">
        <v>6501</v>
      </c>
      <c r="C5652" s="66" t="s">
        <v>6503</v>
      </c>
      <c r="D5652" s="11">
        <v>20861</v>
      </c>
      <c r="E5652" s="11">
        <v>20861</v>
      </c>
      <c r="F5652" s="3">
        <v>41620</v>
      </c>
      <c r="G5652" s="2"/>
      <c r="H5652" s="3">
        <v>43053</v>
      </c>
      <c r="I5652" s="2" t="s">
        <v>19506</v>
      </c>
      <c r="J5652" s="2" t="s">
        <v>13904</v>
      </c>
      <c r="K5652" s="2" t="s">
        <v>5657</v>
      </c>
      <c r="L5652" s="82" t="s">
        <v>19512</v>
      </c>
    </row>
    <row r="5653" spans="1:12" ht="84" customHeight="1" x14ac:dyDescent="0.3">
      <c r="A5653" s="2">
        <v>5649</v>
      </c>
      <c r="B5653" s="66" t="s">
        <v>6504</v>
      </c>
      <c r="C5653" s="66" t="s">
        <v>6505</v>
      </c>
      <c r="D5653" s="11">
        <v>4649</v>
      </c>
      <c r="E5653" s="11">
        <v>4649</v>
      </c>
      <c r="F5653" s="3">
        <v>41620</v>
      </c>
      <c r="G5653" s="2"/>
      <c r="H5653" s="3">
        <v>43053</v>
      </c>
      <c r="I5653" s="2" t="s">
        <v>19506</v>
      </c>
      <c r="J5653" s="2" t="s">
        <v>13904</v>
      </c>
      <c r="K5653" s="2" t="s">
        <v>5657</v>
      </c>
      <c r="L5653" s="82" t="s">
        <v>19512</v>
      </c>
    </row>
    <row r="5654" spans="1:12" ht="84" customHeight="1" x14ac:dyDescent="0.3">
      <c r="A5654" s="2">
        <v>5650</v>
      </c>
      <c r="B5654" s="66" t="s">
        <v>6506</v>
      </c>
      <c r="C5654" s="66" t="s">
        <v>6507</v>
      </c>
      <c r="D5654" s="11">
        <v>6679.98</v>
      </c>
      <c r="E5654" s="11">
        <v>6679.98</v>
      </c>
      <c r="F5654" s="3">
        <v>41620</v>
      </c>
      <c r="G5654" s="2"/>
      <c r="H5654" s="3">
        <v>43053</v>
      </c>
      <c r="I5654" s="2" t="s">
        <v>19506</v>
      </c>
      <c r="J5654" s="2" t="s">
        <v>13904</v>
      </c>
      <c r="K5654" s="2" t="s">
        <v>5657</v>
      </c>
      <c r="L5654" s="82" t="s">
        <v>19512</v>
      </c>
    </row>
    <row r="5655" spans="1:12" ht="84" customHeight="1" x14ac:dyDescent="0.3">
      <c r="A5655" s="2">
        <v>5651</v>
      </c>
      <c r="B5655" s="66" t="s">
        <v>6508</v>
      </c>
      <c r="C5655" s="66" t="s">
        <v>6509</v>
      </c>
      <c r="D5655" s="11">
        <v>24018.57</v>
      </c>
      <c r="E5655" s="11">
        <v>24018.57</v>
      </c>
      <c r="F5655" s="3">
        <v>39063</v>
      </c>
      <c r="G5655" s="2"/>
      <c r="H5655" s="3">
        <v>43053</v>
      </c>
      <c r="I5655" s="2" t="s">
        <v>19506</v>
      </c>
      <c r="J5655" s="2" t="s">
        <v>13904</v>
      </c>
      <c r="K5655" s="2" t="s">
        <v>5657</v>
      </c>
      <c r="L5655" s="82" t="s">
        <v>19512</v>
      </c>
    </row>
    <row r="5656" spans="1:12" ht="84" customHeight="1" x14ac:dyDescent="0.3">
      <c r="A5656" s="2">
        <v>5652</v>
      </c>
      <c r="B5656" s="66" t="s">
        <v>6510</v>
      </c>
      <c r="C5656" s="66" t="s">
        <v>6511</v>
      </c>
      <c r="D5656" s="11">
        <v>24018.57</v>
      </c>
      <c r="E5656" s="11">
        <v>24018.57</v>
      </c>
      <c r="F5656" s="3">
        <v>39063</v>
      </c>
      <c r="G5656" s="2"/>
      <c r="H5656" s="3">
        <v>43053</v>
      </c>
      <c r="I5656" s="2" t="s">
        <v>19506</v>
      </c>
      <c r="J5656" s="2" t="s">
        <v>13904</v>
      </c>
      <c r="K5656" s="2" t="s">
        <v>5657</v>
      </c>
      <c r="L5656" s="82" t="s">
        <v>19512</v>
      </c>
    </row>
    <row r="5657" spans="1:12" ht="84" customHeight="1" x14ac:dyDescent="0.3">
      <c r="A5657" s="2">
        <v>5653</v>
      </c>
      <c r="B5657" s="66" t="s">
        <v>6512</v>
      </c>
      <c r="C5657" s="66" t="s">
        <v>6513</v>
      </c>
      <c r="D5657" s="11">
        <v>4335</v>
      </c>
      <c r="E5657" s="11">
        <v>4335</v>
      </c>
      <c r="F5657" s="3">
        <v>41226</v>
      </c>
      <c r="G5657" s="2"/>
      <c r="H5657" s="3">
        <v>43053</v>
      </c>
      <c r="I5657" s="2" t="s">
        <v>19506</v>
      </c>
      <c r="J5657" s="2" t="s">
        <v>13904</v>
      </c>
      <c r="K5657" s="2" t="s">
        <v>5657</v>
      </c>
      <c r="L5657" s="82" t="s">
        <v>19512</v>
      </c>
    </row>
    <row r="5658" spans="1:12" ht="84" customHeight="1" x14ac:dyDescent="0.3">
      <c r="A5658" s="2">
        <v>5654</v>
      </c>
      <c r="B5658" s="66" t="s">
        <v>6512</v>
      </c>
      <c r="C5658" s="66" t="s">
        <v>6514</v>
      </c>
      <c r="D5658" s="11">
        <v>4335</v>
      </c>
      <c r="E5658" s="11">
        <v>4335</v>
      </c>
      <c r="F5658" s="3">
        <v>41226</v>
      </c>
      <c r="G5658" s="2"/>
      <c r="H5658" s="3">
        <v>43053</v>
      </c>
      <c r="I5658" s="2" t="s">
        <v>19506</v>
      </c>
      <c r="J5658" s="2" t="s">
        <v>13904</v>
      </c>
      <c r="K5658" s="2" t="s">
        <v>5657</v>
      </c>
      <c r="L5658" s="82" t="s">
        <v>19512</v>
      </c>
    </row>
    <row r="5659" spans="1:12" ht="84" customHeight="1" x14ac:dyDescent="0.3">
      <c r="A5659" s="2">
        <v>5655</v>
      </c>
      <c r="B5659" s="66" t="s">
        <v>6512</v>
      </c>
      <c r="C5659" s="66" t="s">
        <v>6515</v>
      </c>
      <c r="D5659" s="11">
        <v>4335</v>
      </c>
      <c r="E5659" s="11">
        <v>4335</v>
      </c>
      <c r="F5659" s="3">
        <v>41226</v>
      </c>
      <c r="G5659" s="2"/>
      <c r="H5659" s="3">
        <v>43053</v>
      </c>
      <c r="I5659" s="2" t="s">
        <v>19506</v>
      </c>
      <c r="J5659" s="2" t="s">
        <v>13904</v>
      </c>
      <c r="K5659" s="2" t="s">
        <v>5657</v>
      </c>
      <c r="L5659" s="82" t="s">
        <v>19512</v>
      </c>
    </row>
    <row r="5660" spans="1:12" ht="84" customHeight="1" x14ac:dyDescent="0.3">
      <c r="A5660" s="2">
        <v>5656</v>
      </c>
      <c r="B5660" s="66" t="s">
        <v>6512</v>
      </c>
      <c r="C5660" s="66" t="s">
        <v>6516</v>
      </c>
      <c r="D5660" s="11">
        <v>4335</v>
      </c>
      <c r="E5660" s="11">
        <v>4335</v>
      </c>
      <c r="F5660" s="3">
        <v>41226</v>
      </c>
      <c r="G5660" s="2"/>
      <c r="H5660" s="3">
        <v>43053</v>
      </c>
      <c r="I5660" s="2" t="s">
        <v>19506</v>
      </c>
      <c r="J5660" s="2" t="s">
        <v>13904</v>
      </c>
      <c r="K5660" s="2" t="s">
        <v>5657</v>
      </c>
      <c r="L5660" s="82" t="s">
        <v>19512</v>
      </c>
    </row>
    <row r="5661" spans="1:12" ht="84" customHeight="1" x14ac:dyDescent="0.3">
      <c r="A5661" s="2">
        <v>5657</v>
      </c>
      <c r="B5661" s="66" t="s">
        <v>6512</v>
      </c>
      <c r="C5661" s="66" t="s">
        <v>6517</v>
      </c>
      <c r="D5661" s="11">
        <v>4335</v>
      </c>
      <c r="E5661" s="11">
        <v>4335</v>
      </c>
      <c r="F5661" s="3">
        <v>41226</v>
      </c>
      <c r="G5661" s="2"/>
      <c r="H5661" s="3">
        <v>43053</v>
      </c>
      <c r="I5661" s="2" t="s">
        <v>19506</v>
      </c>
      <c r="J5661" s="2" t="s">
        <v>13904</v>
      </c>
      <c r="K5661" s="2" t="s">
        <v>5657</v>
      </c>
      <c r="L5661" s="82" t="s">
        <v>19512</v>
      </c>
    </row>
    <row r="5662" spans="1:12" ht="84" customHeight="1" x14ac:dyDescent="0.3">
      <c r="A5662" s="2">
        <v>5658</v>
      </c>
      <c r="B5662" s="66" t="s">
        <v>6512</v>
      </c>
      <c r="C5662" s="66" t="s">
        <v>6518</v>
      </c>
      <c r="D5662" s="11">
        <v>4335</v>
      </c>
      <c r="E5662" s="11">
        <v>4335</v>
      </c>
      <c r="F5662" s="3">
        <v>41226</v>
      </c>
      <c r="G5662" s="2"/>
      <c r="H5662" s="3">
        <v>43053</v>
      </c>
      <c r="I5662" s="2" t="s">
        <v>19506</v>
      </c>
      <c r="J5662" s="2" t="s">
        <v>13904</v>
      </c>
      <c r="K5662" s="2" t="s">
        <v>5657</v>
      </c>
      <c r="L5662" s="82" t="s">
        <v>19512</v>
      </c>
    </row>
    <row r="5663" spans="1:12" ht="84" customHeight="1" x14ac:dyDescent="0.3">
      <c r="A5663" s="2">
        <v>5659</v>
      </c>
      <c r="B5663" s="66" t="s">
        <v>6512</v>
      </c>
      <c r="C5663" s="66" t="s">
        <v>6519</v>
      </c>
      <c r="D5663" s="11">
        <v>4335</v>
      </c>
      <c r="E5663" s="11">
        <v>4335</v>
      </c>
      <c r="F5663" s="3">
        <v>41226</v>
      </c>
      <c r="G5663" s="2"/>
      <c r="H5663" s="3">
        <v>43053</v>
      </c>
      <c r="I5663" s="2" t="s">
        <v>19506</v>
      </c>
      <c r="J5663" s="2" t="s">
        <v>13904</v>
      </c>
      <c r="K5663" s="2" t="s">
        <v>5657</v>
      </c>
      <c r="L5663" s="82" t="s">
        <v>19512</v>
      </c>
    </row>
    <row r="5664" spans="1:12" ht="84" customHeight="1" x14ac:dyDescent="0.3">
      <c r="A5664" s="2">
        <v>5660</v>
      </c>
      <c r="B5664" s="66" t="s">
        <v>6512</v>
      </c>
      <c r="C5664" s="66" t="s">
        <v>6520</v>
      </c>
      <c r="D5664" s="11">
        <v>4335</v>
      </c>
      <c r="E5664" s="11">
        <v>4335</v>
      </c>
      <c r="F5664" s="3">
        <v>41226</v>
      </c>
      <c r="G5664" s="2"/>
      <c r="H5664" s="3">
        <v>43053</v>
      </c>
      <c r="I5664" s="2" t="s">
        <v>19506</v>
      </c>
      <c r="J5664" s="2" t="s">
        <v>13904</v>
      </c>
      <c r="K5664" s="2" t="s">
        <v>5657</v>
      </c>
      <c r="L5664" s="82" t="s">
        <v>19512</v>
      </c>
    </row>
    <row r="5665" spans="1:12" ht="84" customHeight="1" x14ac:dyDescent="0.3">
      <c r="A5665" s="2">
        <v>5661</v>
      </c>
      <c r="B5665" s="66" t="s">
        <v>6512</v>
      </c>
      <c r="C5665" s="66" t="s">
        <v>6521</v>
      </c>
      <c r="D5665" s="11">
        <v>4335</v>
      </c>
      <c r="E5665" s="11">
        <v>4335</v>
      </c>
      <c r="F5665" s="3">
        <v>41226</v>
      </c>
      <c r="G5665" s="2"/>
      <c r="H5665" s="3">
        <v>43053</v>
      </c>
      <c r="I5665" s="2" t="s">
        <v>19506</v>
      </c>
      <c r="J5665" s="2" t="s">
        <v>13904</v>
      </c>
      <c r="K5665" s="2" t="s">
        <v>5657</v>
      </c>
      <c r="L5665" s="82" t="s">
        <v>19512</v>
      </c>
    </row>
    <row r="5666" spans="1:12" ht="84" customHeight="1" x14ac:dyDescent="0.3">
      <c r="A5666" s="2">
        <v>5662</v>
      </c>
      <c r="B5666" s="66" t="s">
        <v>6512</v>
      </c>
      <c r="C5666" s="66" t="s">
        <v>6522</v>
      </c>
      <c r="D5666" s="11">
        <v>4335</v>
      </c>
      <c r="E5666" s="11">
        <v>4335</v>
      </c>
      <c r="F5666" s="3">
        <v>41226</v>
      </c>
      <c r="G5666" s="2"/>
      <c r="H5666" s="3">
        <v>43053</v>
      </c>
      <c r="I5666" s="2" t="s">
        <v>19506</v>
      </c>
      <c r="J5666" s="2" t="s">
        <v>13904</v>
      </c>
      <c r="K5666" s="2" t="s">
        <v>5657</v>
      </c>
      <c r="L5666" s="82" t="s">
        <v>19512</v>
      </c>
    </row>
    <row r="5667" spans="1:12" ht="84" customHeight="1" x14ac:dyDescent="0.3">
      <c r="A5667" s="2">
        <v>5663</v>
      </c>
      <c r="B5667" s="66" t="s">
        <v>6512</v>
      </c>
      <c r="C5667" s="66" t="s">
        <v>6523</v>
      </c>
      <c r="D5667" s="11">
        <v>4335</v>
      </c>
      <c r="E5667" s="11">
        <v>4335</v>
      </c>
      <c r="F5667" s="3">
        <v>41226</v>
      </c>
      <c r="G5667" s="2"/>
      <c r="H5667" s="3">
        <v>43053</v>
      </c>
      <c r="I5667" s="2" t="s">
        <v>19506</v>
      </c>
      <c r="J5667" s="2" t="s">
        <v>13904</v>
      </c>
      <c r="K5667" s="2" t="s">
        <v>5657</v>
      </c>
      <c r="L5667" s="82" t="s">
        <v>19512</v>
      </c>
    </row>
    <row r="5668" spans="1:12" ht="84" customHeight="1" x14ac:dyDescent="0.3">
      <c r="A5668" s="2">
        <v>5664</v>
      </c>
      <c r="B5668" s="66" t="s">
        <v>6512</v>
      </c>
      <c r="C5668" s="66" t="s">
        <v>6524</v>
      </c>
      <c r="D5668" s="11">
        <v>4335</v>
      </c>
      <c r="E5668" s="11">
        <v>4335</v>
      </c>
      <c r="F5668" s="3">
        <v>41226</v>
      </c>
      <c r="G5668" s="2"/>
      <c r="H5668" s="3">
        <v>43053</v>
      </c>
      <c r="I5668" s="2" t="s">
        <v>19506</v>
      </c>
      <c r="J5668" s="2" t="s">
        <v>13904</v>
      </c>
      <c r="K5668" s="2" t="s">
        <v>5657</v>
      </c>
      <c r="L5668" s="82" t="s">
        <v>19512</v>
      </c>
    </row>
    <row r="5669" spans="1:12" ht="84" customHeight="1" x14ac:dyDescent="0.3">
      <c r="A5669" s="2">
        <v>5665</v>
      </c>
      <c r="B5669" s="66" t="s">
        <v>6512</v>
      </c>
      <c r="C5669" s="66" t="s">
        <v>6525</v>
      </c>
      <c r="D5669" s="11">
        <v>4335</v>
      </c>
      <c r="E5669" s="11">
        <v>4335</v>
      </c>
      <c r="F5669" s="3">
        <v>41226</v>
      </c>
      <c r="G5669" s="2"/>
      <c r="H5669" s="3">
        <v>43053</v>
      </c>
      <c r="I5669" s="2" t="s">
        <v>19506</v>
      </c>
      <c r="J5669" s="2" t="s">
        <v>13904</v>
      </c>
      <c r="K5669" s="2" t="s">
        <v>5657</v>
      </c>
      <c r="L5669" s="82" t="s">
        <v>19512</v>
      </c>
    </row>
    <row r="5670" spans="1:12" ht="84" customHeight="1" x14ac:dyDescent="0.3">
      <c r="A5670" s="2">
        <v>5666</v>
      </c>
      <c r="B5670" s="66" t="s">
        <v>6512</v>
      </c>
      <c r="C5670" s="66" t="s">
        <v>6526</v>
      </c>
      <c r="D5670" s="11">
        <v>4335</v>
      </c>
      <c r="E5670" s="11">
        <v>4335</v>
      </c>
      <c r="F5670" s="3">
        <v>41226</v>
      </c>
      <c r="G5670" s="2"/>
      <c r="H5670" s="3">
        <v>43053</v>
      </c>
      <c r="I5670" s="2" t="s">
        <v>19506</v>
      </c>
      <c r="J5670" s="2" t="s">
        <v>13904</v>
      </c>
      <c r="K5670" s="2" t="s">
        <v>5657</v>
      </c>
      <c r="L5670" s="82" t="s">
        <v>19512</v>
      </c>
    </row>
    <row r="5671" spans="1:12" ht="84" customHeight="1" x14ac:dyDescent="0.3">
      <c r="A5671" s="2">
        <v>5667</v>
      </c>
      <c r="B5671" s="66" t="s">
        <v>6512</v>
      </c>
      <c r="C5671" s="66" t="s">
        <v>6527</v>
      </c>
      <c r="D5671" s="11">
        <v>4335</v>
      </c>
      <c r="E5671" s="11">
        <v>4335</v>
      </c>
      <c r="F5671" s="3">
        <v>41226</v>
      </c>
      <c r="G5671" s="2"/>
      <c r="H5671" s="3">
        <v>43053</v>
      </c>
      <c r="I5671" s="2" t="s">
        <v>19506</v>
      </c>
      <c r="J5671" s="2" t="s">
        <v>13904</v>
      </c>
      <c r="K5671" s="2" t="s">
        <v>5657</v>
      </c>
      <c r="L5671" s="82" t="s">
        <v>19512</v>
      </c>
    </row>
    <row r="5672" spans="1:12" ht="84" customHeight="1" x14ac:dyDescent="0.3">
      <c r="A5672" s="2">
        <v>5668</v>
      </c>
      <c r="B5672" s="66" t="s">
        <v>6512</v>
      </c>
      <c r="C5672" s="66" t="s">
        <v>6528</v>
      </c>
      <c r="D5672" s="11">
        <v>4335</v>
      </c>
      <c r="E5672" s="11">
        <v>4335</v>
      </c>
      <c r="F5672" s="3">
        <v>41226</v>
      </c>
      <c r="G5672" s="2"/>
      <c r="H5672" s="3">
        <v>43053</v>
      </c>
      <c r="I5672" s="2" t="s">
        <v>19506</v>
      </c>
      <c r="J5672" s="2" t="s">
        <v>13904</v>
      </c>
      <c r="K5672" s="2" t="s">
        <v>5657</v>
      </c>
      <c r="L5672" s="82" t="s">
        <v>19512</v>
      </c>
    </row>
    <row r="5673" spans="1:12" ht="84" customHeight="1" x14ac:dyDescent="0.3">
      <c r="A5673" s="2">
        <v>5669</v>
      </c>
      <c r="B5673" s="66" t="s">
        <v>6512</v>
      </c>
      <c r="C5673" s="66" t="s">
        <v>6529</v>
      </c>
      <c r="D5673" s="11">
        <v>4335</v>
      </c>
      <c r="E5673" s="11">
        <v>4335</v>
      </c>
      <c r="F5673" s="3">
        <v>41226</v>
      </c>
      <c r="G5673" s="2"/>
      <c r="H5673" s="3">
        <v>43053</v>
      </c>
      <c r="I5673" s="2" t="s">
        <v>19506</v>
      </c>
      <c r="J5673" s="2" t="s">
        <v>13904</v>
      </c>
      <c r="K5673" s="2" t="s">
        <v>5657</v>
      </c>
      <c r="L5673" s="82" t="s">
        <v>19512</v>
      </c>
    </row>
    <row r="5674" spans="1:12" ht="84" customHeight="1" x14ac:dyDescent="0.3">
      <c r="A5674" s="2">
        <v>5670</v>
      </c>
      <c r="B5674" s="66" t="s">
        <v>6512</v>
      </c>
      <c r="C5674" s="66" t="s">
        <v>6530</v>
      </c>
      <c r="D5674" s="11">
        <v>4335</v>
      </c>
      <c r="E5674" s="11">
        <v>4335</v>
      </c>
      <c r="F5674" s="3">
        <v>41226</v>
      </c>
      <c r="G5674" s="2"/>
      <c r="H5674" s="3">
        <v>43053</v>
      </c>
      <c r="I5674" s="2" t="s">
        <v>19506</v>
      </c>
      <c r="J5674" s="2" t="s">
        <v>13904</v>
      </c>
      <c r="K5674" s="2" t="s">
        <v>5657</v>
      </c>
      <c r="L5674" s="82" t="s">
        <v>19512</v>
      </c>
    </row>
    <row r="5675" spans="1:12" ht="84" customHeight="1" x14ac:dyDescent="0.3">
      <c r="A5675" s="2">
        <v>5671</v>
      </c>
      <c r="B5675" s="66" t="s">
        <v>6531</v>
      </c>
      <c r="C5675" s="66" t="s">
        <v>6532</v>
      </c>
      <c r="D5675" s="11">
        <v>16800</v>
      </c>
      <c r="E5675" s="11">
        <v>16800</v>
      </c>
      <c r="F5675" s="3">
        <v>41226</v>
      </c>
      <c r="G5675" s="2"/>
      <c r="H5675" s="3">
        <v>43053</v>
      </c>
      <c r="I5675" s="2" t="s">
        <v>19506</v>
      </c>
      <c r="J5675" s="2" t="s">
        <v>13904</v>
      </c>
      <c r="K5675" s="2" t="s">
        <v>5657</v>
      </c>
      <c r="L5675" s="82" t="s">
        <v>19512</v>
      </c>
    </row>
    <row r="5676" spans="1:12" ht="84" customHeight="1" x14ac:dyDescent="0.3">
      <c r="A5676" s="2">
        <v>5672</v>
      </c>
      <c r="B5676" s="66" t="s">
        <v>6531</v>
      </c>
      <c r="C5676" s="66" t="s">
        <v>6533</v>
      </c>
      <c r="D5676" s="11">
        <v>16800</v>
      </c>
      <c r="E5676" s="11">
        <v>16800</v>
      </c>
      <c r="F5676" s="3">
        <v>41226</v>
      </c>
      <c r="G5676" s="2"/>
      <c r="H5676" s="3">
        <v>43053</v>
      </c>
      <c r="I5676" s="2" t="s">
        <v>19506</v>
      </c>
      <c r="J5676" s="2" t="s">
        <v>13904</v>
      </c>
      <c r="K5676" s="2" t="s">
        <v>5657</v>
      </c>
      <c r="L5676" s="82" t="s">
        <v>19512</v>
      </c>
    </row>
    <row r="5677" spans="1:12" ht="84" customHeight="1" x14ac:dyDescent="0.3">
      <c r="A5677" s="2">
        <v>5673</v>
      </c>
      <c r="B5677" s="66" t="s">
        <v>6531</v>
      </c>
      <c r="C5677" s="66" t="s">
        <v>6534</v>
      </c>
      <c r="D5677" s="11">
        <v>16800</v>
      </c>
      <c r="E5677" s="11">
        <v>16800</v>
      </c>
      <c r="F5677" s="3">
        <v>41226</v>
      </c>
      <c r="G5677" s="2"/>
      <c r="H5677" s="3">
        <v>43053</v>
      </c>
      <c r="I5677" s="2" t="s">
        <v>19506</v>
      </c>
      <c r="J5677" s="2" t="s">
        <v>13904</v>
      </c>
      <c r="K5677" s="2" t="s">
        <v>5657</v>
      </c>
      <c r="L5677" s="82" t="s">
        <v>19512</v>
      </c>
    </row>
    <row r="5678" spans="1:12" ht="84" customHeight="1" x14ac:dyDescent="0.3">
      <c r="A5678" s="2">
        <v>5674</v>
      </c>
      <c r="B5678" s="66" t="s">
        <v>6531</v>
      </c>
      <c r="C5678" s="66" t="s">
        <v>6535</v>
      </c>
      <c r="D5678" s="11">
        <v>16800</v>
      </c>
      <c r="E5678" s="11">
        <v>16800</v>
      </c>
      <c r="F5678" s="3">
        <v>41226</v>
      </c>
      <c r="G5678" s="2"/>
      <c r="H5678" s="3">
        <v>43053</v>
      </c>
      <c r="I5678" s="2" t="s">
        <v>19506</v>
      </c>
      <c r="J5678" s="2" t="s">
        <v>13904</v>
      </c>
      <c r="K5678" s="2" t="s">
        <v>5657</v>
      </c>
      <c r="L5678" s="82" t="s">
        <v>19512</v>
      </c>
    </row>
    <row r="5679" spans="1:12" ht="84" customHeight="1" x14ac:dyDescent="0.3">
      <c r="A5679" s="2">
        <v>5675</v>
      </c>
      <c r="B5679" s="66" t="s">
        <v>6531</v>
      </c>
      <c r="C5679" s="66" t="s">
        <v>6536</v>
      </c>
      <c r="D5679" s="11">
        <v>16800</v>
      </c>
      <c r="E5679" s="11">
        <v>16800</v>
      </c>
      <c r="F5679" s="3">
        <v>41226</v>
      </c>
      <c r="G5679" s="2"/>
      <c r="H5679" s="3">
        <v>43053</v>
      </c>
      <c r="I5679" s="2" t="s">
        <v>19506</v>
      </c>
      <c r="J5679" s="2" t="s">
        <v>13904</v>
      </c>
      <c r="K5679" s="2" t="s">
        <v>5657</v>
      </c>
      <c r="L5679" s="82" t="s">
        <v>19512</v>
      </c>
    </row>
    <row r="5680" spans="1:12" ht="84" customHeight="1" x14ac:dyDescent="0.3">
      <c r="A5680" s="2">
        <v>5676</v>
      </c>
      <c r="B5680" s="66" t="s">
        <v>6531</v>
      </c>
      <c r="C5680" s="66" t="s">
        <v>6537</v>
      </c>
      <c r="D5680" s="11">
        <v>16800</v>
      </c>
      <c r="E5680" s="11">
        <v>16800</v>
      </c>
      <c r="F5680" s="3">
        <v>41226</v>
      </c>
      <c r="G5680" s="2"/>
      <c r="H5680" s="3">
        <v>43053</v>
      </c>
      <c r="I5680" s="2" t="s">
        <v>19506</v>
      </c>
      <c r="J5680" s="2" t="s">
        <v>13904</v>
      </c>
      <c r="K5680" s="2" t="s">
        <v>5657</v>
      </c>
      <c r="L5680" s="82" t="s">
        <v>19512</v>
      </c>
    </row>
    <row r="5681" spans="1:12" ht="84" customHeight="1" x14ac:dyDescent="0.3">
      <c r="A5681" s="2">
        <v>5677</v>
      </c>
      <c r="B5681" s="66" t="s">
        <v>6531</v>
      </c>
      <c r="C5681" s="66" t="s">
        <v>6538</v>
      </c>
      <c r="D5681" s="11">
        <v>16800</v>
      </c>
      <c r="E5681" s="11">
        <v>16800</v>
      </c>
      <c r="F5681" s="3">
        <v>41226</v>
      </c>
      <c r="G5681" s="2"/>
      <c r="H5681" s="3">
        <v>43053</v>
      </c>
      <c r="I5681" s="2" t="s">
        <v>19506</v>
      </c>
      <c r="J5681" s="2" t="s">
        <v>13904</v>
      </c>
      <c r="K5681" s="2" t="s">
        <v>5657</v>
      </c>
      <c r="L5681" s="82" t="s">
        <v>19512</v>
      </c>
    </row>
    <row r="5682" spans="1:12" ht="84" customHeight="1" x14ac:dyDescent="0.3">
      <c r="A5682" s="2">
        <v>5678</v>
      </c>
      <c r="B5682" s="66" t="s">
        <v>6531</v>
      </c>
      <c r="C5682" s="66" t="s">
        <v>6539</v>
      </c>
      <c r="D5682" s="11">
        <v>16800</v>
      </c>
      <c r="E5682" s="11">
        <v>16800</v>
      </c>
      <c r="F5682" s="3">
        <v>41226</v>
      </c>
      <c r="G5682" s="2"/>
      <c r="H5682" s="3">
        <v>43053</v>
      </c>
      <c r="I5682" s="2" t="s">
        <v>19506</v>
      </c>
      <c r="J5682" s="2" t="s">
        <v>13904</v>
      </c>
      <c r="K5682" s="2" t="s">
        <v>5657</v>
      </c>
      <c r="L5682" s="82" t="s">
        <v>19512</v>
      </c>
    </row>
    <row r="5683" spans="1:12" ht="84" customHeight="1" x14ac:dyDescent="0.3">
      <c r="A5683" s="2">
        <v>5679</v>
      </c>
      <c r="B5683" s="66" t="s">
        <v>6531</v>
      </c>
      <c r="C5683" s="66" t="s">
        <v>6540</v>
      </c>
      <c r="D5683" s="11">
        <v>16800</v>
      </c>
      <c r="E5683" s="11">
        <v>16800</v>
      </c>
      <c r="F5683" s="3">
        <v>41226</v>
      </c>
      <c r="G5683" s="2"/>
      <c r="H5683" s="3">
        <v>43053</v>
      </c>
      <c r="I5683" s="2" t="s">
        <v>19506</v>
      </c>
      <c r="J5683" s="2" t="s">
        <v>13904</v>
      </c>
      <c r="K5683" s="2" t="s">
        <v>5657</v>
      </c>
      <c r="L5683" s="82" t="s">
        <v>19512</v>
      </c>
    </row>
    <row r="5684" spans="1:12" ht="84" customHeight="1" x14ac:dyDescent="0.3">
      <c r="A5684" s="2">
        <v>5680</v>
      </c>
      <c r="B5684" s="66" t="s">
        <v>6531</v>
      </c>
      <c r="C5684" s="66" t="s">
        <v>6541</v>
      </c>
      <c r="D5684" s="11">
        <v>16800</v>
      </c>
      <c r="E5684" s="11">
        <v>16800</v>
      </c>
      <c r="F5684" s="3">
        <v>41226</v>
      </c>
      <c r="G5684" s="2"/>
      <c r="H5684" s="3">
        <v>43053</v>
      </c>
      <c r="I5684" s="2" t="s">
        <v>19506</v>
      </c>
      <c r="J5684" s="2" t="s">
        <v>13904</v>
      </c>
      <c r="K5684" s="2" t="s">
        <v>5657</v>
      </c>
      <c r="L5684" s="82" t="s">
        <v>19512</v>
      </c>
    </row>
    <row r="5685" spans="1:12" ht="84" customHeight="1" x14ac:dyDescent="0.3">
      <c r="A5685" s="2">
        <v>5681</v>
      </c>
      <c r="B5685" s="66" t="s">
        <v>6542</v>
      </c>
      <c r="C5685" s="66" t="s">
        <v>6543</v>
      </c>
      <c r="D5685" s="11">
        <v>6700</v>
      </c>
      <c r="E5685" s="11">
        <v>6700</v>
      </c>
      <c r="F5685" s="3">
        <v>41226</v>
      </c>
      <c r="G5685" s="2"/>
      <c r="H5685" s="3">
        <v>43053</v>
      </c>
      <c r="I5685" s="2" t="s">
        <v>19506</v>
      </c>
      <c r="J5685" s="2" t="s">
        <v>13904</v>
      </c>
      <c r="K5685" s="2" t="s">
        <v>5657</v>
      </c>
      <c r="L5685" s="82" t="s">
        <v>19512</v>
      </c>
    </row>
    <row r="5686" spans="1:12" ht="84" customHeight="1" x14ac:dyDescent="0.3">
      <c r="A5686" s="2">
        <v>5682</v>
      </c>
      <c r="B5686" s="66" t="s">
        <v>6542</v>
      </c>
      <c r="C5686" s="66" t="s">
        <v>6544</v>
      </c>
      <c r="D5686" s="11">
        <v>6700</v>
      </c>
      <c r="E5686" s="11">
        <v>6700</v>
      </c>
      <c r="F5686" s="3">
        <v>41226</v>
      </c>
      <c r="G5686" s="2"/>
      <c r="H5686" s="3">
        <v>43053</v>
      </c>
      <c r="I5686" s="2" t="s">
        <v>19506</v>
      </c>
      <c r="J5686" s="2" t="s">
        <v>13904</v>
      </c>
      <c r="K5686" s="2" t="s">
        <v>5657</v>
      </c>
      <c r="L5686" s="82" t="s">
        <v>19512</v>
      </c>
    </row>
    <row r="5687" spans="1:12" ht="84" customHeight="1" x14ac:dyDescent="0.3">
      <c r="A5687" s="2">
        <v>5683</v>
      </c>
      <c r="B5687" s="66" t="s">
        <v>6542</v>
      </c>
      <c r="C5687" s="66" t="s">
        <v>6545</v>
      </c>
      <c r="D5687" s="11">
        <v>6700</v>
      </c>
      <c r="E5687" s="11">
        <v>6700</v>
      </c>
      <c r="F5687" s="3">
        <v>41226</v>
      </c>
      <c r="G5687" s="2"/>
      <c r="H5687" s="3">
        <v>43053</v>
      </c>
      <c r="I5687" s="2" t="s">
        <v>19506</v>
      </c>
      <c r="J5687" s="2" t="s">
        <v>13904</v>
      </c>
      <c r="K5687" s="2" t="s">
        <v>5657</v>
      </c>
      <c r="L5687" s="82" t="s">
        <v>19512</v>
      </c>
    </row>
    <row r="5688" spans="1:12" ht="84" customHeight="1" x14ac:dyDescent="0.3">
      <c r="A5688" s="2">
        <v>5684</v>
      </c>
      <c r="B5688" s="66" t="s">
        <v>6542</v>
      </c>
      <c r="C5688" s="66" t="s">
        <v>6546</v>
      </c>
      <c r="D5688" s="11">
        <v>6700</v>
      </c>
      <c r="E5688" s="11">
        <v>6700</v>
      </c>
      <c r="F5688" s="3">
        <v>41226</v>
      </c>
      <c r="G5688" s="2"/>
      <c r="H5688" s="3">
        <v>43053</v>
      </c>
      <c r="I5688" s="2" t="s">
        <v>19506</v>
      </c>
      <c r="J5688" s="2" t="s">
        <v>13904</v>
      </c>
      <c r="K5688" s="2" t="s">
        <v>5657</v>
      </c>
      <c r="L5688" s="82" t="s">
        <v>19512</v>
      </c>
    </row>
    <row r="5689" spans="1:12" ht="84" customHeight="1" x14ac:dyDescent="0.3">
      <c r="A5689" s="2">
        <v>5685</v>
      </c>
      <c r="B5689" s="66" t="s">
        <v>6542</v>
      </c>
      <c r="C5689" s="66" t="s">
        <v>6547</v>
      </c>
      <c r="D5689" s="11">
        <v>6700</v>
      </c>
      <c r="E5689" s="11">
        <v>6700</v>
      </c>
      <c r="F5689" s="3">
        <v>41226</v>
      </c>
      <c r="G5689" s="2"/>
      <c r="H5689" s="3">
        <v>43053</v>
      </c>
      <c r="I5689" s="2" t="s">
        <v>19506</v>
      </c>
      <c r="J5689" s="2" t="s">
        <v>13904</v>
      </c>
      <c r="K5689" s="2" t="s">
        <v>5657</v>
      </c>
      <c r="L5689" s="82" t="s">
        <v>19512</v>
      </c>
    </row>
    <row r="5690" spans="1:12" ht="84" customHeight="1" x14ac:dyDescent="0.3">
      <c r="A5690" s="2">
        <v>5686</v>
      </c>
      <c r="B5690" s="66" t="s">
        <v>6542</v>
      </c>
      <c r="C5690" s="66" t="s">
        <v>6548</v>
      </c>
      <c r="D5690" s="11">
        <v>6700</v>
      </c>
      <c r="E5690" s="11">
        <v>6700</v>
      </c>
      <c r="F5690" s="3">
        <v>41226</v>
      </c>
      <c r="G5690" s="2"/>
      <c r="H5690" s="3">
        <v>43053</v>
      </c>
      <c r="I5690" s="2" t="s">
        <v>19506</v>
      </c>
      <c r="J5690" s="2" t="s">
        <v>13904</v>
      </c>
      <c r="K5690" s="2" t="s">
        <v>5657</v>
      </c>
      <c r="L5690" s="82" t="s">
        <v>19512</v>
      </c>
    </row>
    <row r="5691" spans="1:12" ht="84" customHeight="1" x14ac:dyDescent="0.3">
      <c r="A5691" s="2">
        <v>5687</v>
      </c>
      <c r="B5691" s="66" t="s">
        <v>6542</v>
      </c>
      <c r="C5691" s="66" t="s">
        <v>6549</v>
      </c>
      <c r="D5691" s="11">
        <v>6700</v>
      </c>
      <c r="E5691" s="11">
        <v>6700</v>
      </c>
      <c r="F5691" s="3">
        <v>41226</v>
      </c>
      <c r="G5691" s="2"/>
      <c r="H5691" s="3">
        <v>43053</v>
      </c>
      <c r="I5691" s="2" t="s">
        <v>19506</v>
      </c>
      <c r="J5691" s="2" t="s">
        <v>13904</v>
      </c>
      <c r="K5691" s="2" t="s">
        <v>5657</v>
      </c>
      <c r="L5691" s="82" t="s">
        <v>19512</v>
      </c>
    </row>
    <row r="5692" spans="1:12" ht="84" customHeight="1" x14ac:dyDescent="0.3">
      <c r="A5692" s="2">
        <v>5688</v>
      </c>
      <c r="B5692" s="66" t="s">
        <v>6542</v>
      </c>
      <c r="C5692" s="66" t="s">
        <v>6550</v>
      </c>
      <c r="D5692" s="11">
        <v>6700</v>
      </c>
      <c r="E5692" s="11">
        <v>6700</v>
      </c>
      <c r="F5692" s="3">
        <v>41226</v>
      </c>
      <c r="G5692" s="2"/>
      <c r="H5692" s="3">
        <v>43053</v>
      </c>
      <c r="I5692" s="2" t="s">
        <v>19506</v>
      </c>
      <c r="J5692" s="2" t="s">
        <v>13904</v>
      </c>
      <c r="K5692" s="2" t="s">
        <v>5657</v>
      </c>
      <c r="L5692" s="82" t="s">
        <v>19512</v>
      </c>
    </row>
    <row r="5693" spans="1:12" ht="84" customHeight="1" x14ac:dyDescent="0.3">
      <c r="A5693" s="2">
        <v>5689</v>
      </c>
      <c r="B5693" s="66" t="s">
        <v>6542</v>
      </c>
      <c r="C5693" s="66" t="s">
        <v>6551</v>
      </c>
      <c r="D5693" s="11">
        <v>6700</v>
      </c>
      <c r="E5693" s="11">
        <v>6700</v>
      </c>
      <c r="F5693" s="3">
        <v>41226</v>
      </c>
      <c r="G5693" s="2"/>
      <c r="H5693" s="3">
        <v>43053</v>
      </c>
      <c r="I5693" s="2" t="s">
        <v>19506</v>
      </c>
      <c r="J5693" s="2" t="s">
        <v>13904</v>
      </c>
      <c r="K5693" s="2" t="s">
        <v>5657</v>
      </c>
      <c r="L5693" s="82" t="s">
        <v>19512</v>
      </c>
    </row>
    <row r="5694" spans="1:12" ht="84" customHeight="1" x14ac:dyDescent="0.3">
      <c r="A5694" s="2">
        <v>5690</v>
      </c>
      <c r="B5694" s="66" t="s">
        <v>6542</v>
      </c>
      <c r="C5694" s="66" t="s">
        <v>6552</v>
      </c>
      <c r="D5694" s="11">
        <v>6700</v>
      </c>
      <c r="E5694" s="11">
        <v>6700</v>
      </c>
      <c r="F5694" s="3">
        <v>41226</v>
      </c>
      <c r="G5694" s="2"/>
      <c r="H5694" s="3">
        <v>43053</v>
      </c>
      <c r="I5694" s="2" t="s">
        <v>19506</v>
      </c>
      <c r="J5694" s="2" t="s">
        <v>13904</v>
      </c>
      <c r="K5694" s="2" t="s">
        <v>5657</v>
      </c>
      <c r="L5694" s="82" t="s">
        <v>19512</v>
      </c>
    </row>
    <row r="5695" spans="1:12" ht="84" customHeight="1" x14ac:dyDescent="0.3">
      <c r="A5695" s="2">
        <v>5691</v>
      </c>
      <c r="B5695" s="66" t="s">
        <v>6542</v>
      </c>
      <c r="C5695" s="66" t="s">
        <v>6553</v>
      </c>
      <c r="D5695" s="11">
        <v>6700</v>
      </c>
      <c r="E5695" s="11">
        <v>6700</v>
      </c>
      <c r="F5695" s="3">
        <v>41226</v>
      </c>
      <c r="G5695" s="2"/>
      <c r="H5695" s="3">
        <v>43053</v>
      </c>
      <c r="I5695" s="2" t="s">
        <v>19506</v>
      </c>
      <c r="J5695" s="2" t="s">
        <v>13904</v>
      </c>
      <c r="K5695" s="2" t="s">
        <v>5657</v>
      </c>
      <c r="L5695" s="82" t="s">
        <v>19512</v>
      </c>
    </row>
    <row r="5696" spans="1:12" ht="84" customHeight="1" x14ac:dyDescent="0.3">
      <c r="A5696" s="2">
        <v>5692</v>
      </c>
      <c r="B5696" s="66" t="s">
        <v>6542</v>
      </c>
      <c r="C5696" s="66" t="s">
        <v>6554</v>
      </c>
      <c r="D5696" s="11">
        <v>6700</v>
      </c>
      <c r="E5696" s="11">
        <v>6700</v>
      </c>
      <c r="F5696" s="3">
        <v>41226</v>
      </c>
      <c r="G5696" s="2"/>
      <c r="H5696" s="3">
        <v>43053</v>
      </c>
      <c r="I5696" s="2" t="s">
        <v>19506</v>
      </c>
      <c r="J5696" s="2" t="s">
        <v>13904</v>
      </c>
      <c r="K5696" s="2" t="s">
        <v>5657</v>
      </c>
      <c r="L5696" s="82" t="s">
        <v>19512</v>
      </c>
    </row>
    <row r="5697" spans="1:12" ht="84" customHeight="1" x14ac:dyDescent="0.3">
      <c r="A5697" s="2">
        <v>5693</v>
      </c>
      <c r="B5697" s="66" t="s">
        <v>6542</v>
      </c>
      <c r="C5697" s="66" t="s">
        <v>6555</v>
      </c>
      <c r="D5697" s="11">
        <v>6700</v>
      </c>
      <c r="E5697" s="11">
        <v>6700</v>
      </c>
      <c r="F5697" s="3">
        <v>41226</v>
      </c>
      <c r="G5697" s="2"/>
      <c r="H5697" s="3">
        <v>43053</v>
      </c>
      <c r="I5697" s="2" t="s">
        <v>19506</v>
      </c>
      <c r="J5697" s="2" t="s">
        <v>13904</v>
      </c>
      <c r="K5697" s="2" t="s">
        <v>5657</v>
      </c>
      <c r="L5697" s="82" t="s">
        <v>19512</v>
      </c>
    </row>
    <row r="5698" spans="1:12" ht="84" customHeight="1" x14ac:dyDescent="0.3">
      <c r="A5698" s="2">
        <v>5694</v>
      </c>
      <c r="B5698" s="66" t="s">
        <v>6542</v>
      </c>
      <c r="C5698" s="66" t="s">
        <v>6556</v>
      </c>
      <c r="D5698" s="11">
        <v>6700</v>
      </c>
      <c r="E5698" s="11">
        <v>6700</v>
      </c>
      <c r="F5698" s="3">
        <v>41226</v>
      </c>
      <c r="G5698" s="2"/>
      <c r="H5698" s="3">
        <v>43053</v>
      </c>
      <c r="I5698" s="2" t="s">
        <v>19506</v>
      </c>
      <c r="J5698" s="2" t="s">
        <v>13904</v>
      </c>
      <c r="K5698" s="2" t="s">
        <v>5657</v>
      </c>
      <c r="L5698" s="82" t="s">
        <v>19512</v>
      </c>
    </row>
    <row r="5699" spans="1:12" ht="84" customHeight="1" x14ac:dyDescent="0.3">
      <c r="A5699" s="2">
        <v>5695</v>
      </c>
      <c r="B5699" s="66" t="s">
        <v>6542</v>
      </c>
      <c r="C5699" s="66" t="s">
        <v>6557</v>
      </c>
      <c r="D5699" s="11">
        <v>6700</v>
      </c>
      <c r="E5699" s="11">
        <v>6700</v>
      </c>
      <c r="F5699" s="3">
        <v>41226</v>
      </c>
      <c r="G5699" s="2"/>
      <c r="H5699" s="3">
        <v>43053</v>
      </c>
      <c r="I5699" s="2" t="s">
        <v>19506</v>
      </c>
      <c r="J5699" s="2" t="s">
        <v>13904</v>
      </c>
      <c r="K5699" s="2" t="s">
        <v>5657</v>
      </c>
      <c r="L5699" s="82" t="s">
        <v>19512</v>
      </c>
    </row>
    <row r="5700" spans="1:12" ht="84" customHeight="1" x14ac:dyDescent="0.3">
      <c r="A5700" s="2">
        <v>5696</v>
      </c>
      <c r="B5700" s="66" t="s">
        <v>6542</v>
      </c>
      <c r="C5700" s="66" t="s">
        <v>6558</v>
      </c>
      <c r="D5700" s="11">
        <v>6700</v>
      </c>
      <c r="E5700" s="11">
        <v>6700</v>
      </c>
      <c r="F5700" s="3">
        <v>41226</v>
      </c>
      <c r="G5700" s="2"/>
      <c r="H5700" s="3">
        <v>43053</v>
      </c>
      <c r="I5700" s="2" t="s">
        <v>19506</v>
      </c>
      <c r="J5700" s="2" t="s">
        <v>13904</v>
      </c>
      <c r="K5700" s="2" t="s">
        <v>5657</v>
      </c>
      <c r="L5700" s="82" t="s">
        <v>19512</v>
      </c>
    </row>
    <row r="5701" spans="1:12" ht="84" customHeight="1" x14ac:dyDescent="0.3">
      <c r="A5701" s="2">
        <v>5697</v>
      </c>
      <c r="B5701" s="66" t="s">
        <v>6542</v>
      </c>
      <c r="C5701" s="66" t="s">
        <v>6559</v>
      </c>
      <c r="D5701" s="11">
        <v>6700</v>
      </c>
      <c r="E5701" s="11">
        <v>6700</v>
      </c>
      <c r="F5701" s="3">
        <v>41226</v>
      </c>
      <c r="G5701" s="2"/>
      <c r="H5701" s="3">
        <v>43053</v>
      </c>
      <c r="I5701" s="2" t="s">
        <v>19506</v>
      </c>
      <c r="J5701" s="2" t="s">
        <v>13904</v>
      </c>
      <c r="K5701" s="2" t="s">
        <v>5657</v>
      </c>
      <c r="L5701" s="82" t="s">
        <v>19512</v>
      </c>
    </row>
    <row r="5702" spans="1:12" ht="84" customHeight="1" x14ac:dyDescent="0.3">
      <c r="A5702" s="2">
        <v>5698</v>
      </c>
      <c r="B5702" s="66" t="s">
        <v>6542</v>
      </c>
      <c r="C5702" s="66" t="s">
        <v>6560</v>
      </c>
      <c r="D5702" s="11">
        <v>6700</v>
      </c>
      <c r="E5702" s="11">
        <v>6700</v>
      </c>
      <c r="F5702" s="3">
        <v>41226</v>
      </c>
      <c r="G5702" s="2"/>
      <c r="H5702" s="3">
        <v>43053</v>
      </c>
      <c r="I5702" s="2" t="s">
        <v>19506</v>
      </c>
      <c r="J5702" s="2" t="s">
        <v>13904</v>
      </c>
      <c r="K5702" s="2" t="s">
        <v>5657</v>
      </c>
      <c r="L5702" s="82" t="s">
        <v>19512</v>
      </c>
    </row>
    <row r="5703" spans="1:12" ht="84" customHeight="1" x14ac:dyDescent="0.3">
      <c r="A5703" s="2">
        <v>5699</v>
      </c>
      <c r="B5703" s="66" t="s">
        <v>6542</v>
      </c>
      <c r="C5703" s="66" t="s">
        <v>6561</v>
      </c>
      <c r="D5703" s="11">
        <v>6700</v>
      </c>
      <c r="E5703" s="11">
        <v>6700</v>
      </c>
      <c r="F5703" s="3">
        <v>41226</v>
      </c>
      <c r="G5703" s="2"/>
      <c r="H5703" s="3">
        <v>43053</v>
      </c>
      <c r="I5703" s="2" t="s">
        <v>19506</v>
      </c>
      <c r="J5703" s="2" t="s">
        <v>13904</v>
      </c>
      <c r="K5703" s="2" t="s">
        <v>5657</v>
      </c>
      <c r="L5703" s="82" t="s">
        <v>19512</v>
      </c>
    </row>
    <row r="5704" spans="1:12" ht="84" customHeight="1" x14ac:dyDescent="0.3">
      <c r="A5704" s="2">
        <v>5700</v>
      </c>
      <c r="B5704" s="66" t="s">
        <v>6542</v>
      </c>
      <c r="C5704" s="66" t="s">
        <v>6562</v>
      </c>
      <c r="D5704" s="11">
        <v>6700</v>
      </c>
      <c r="E5704" s="11">
        <v>6700</v>
      </c>
      <c r="F5704" s="3">
        <v>41226</v>
      </c>
      <c r="G5704" s="2"/>
      <c r="H5704" s="3">
        <v>43053</v>
      </c>
      <c r="I5704" s="2" t="s">
        <v>19506</v>
      </c>
      <c r="J5704" s="2" t="s">
        <v>13904</v>
      </c>
      <c r="K5704" s="2" t="s">
        <v>5657</v>
      </c>
      <c r="L5704" s="82" t="s">
        <v>19512</v>
      </c>
    </row>
    <row r="5705" spans="1:12" ht="84" customHeight="1" x14ac:dyDescent="0.3">
      <c r="A5705" s="2">
        <v>5701</v>
      </c>
      <c r="B5705" s="66" t="s">
        <v>6563</v>
      </c>
      <c r="C5705" s="66" t="s">
        <v>6564</v>
      </c>
      <c r="D5705" s="11">
        <v>6880</v>
      </c>
      <c r="E5705" s="11">
        <v>6880</v>
      </c>
      <c r="F5705" s="3">
        <v>41226</v>
      </c>
      <c r="G5705" s="2"/>
      <c r="H5705" s="3">
        <v>43053</v>
      </c>
      <c r="I5705" s="2" t="s">
        <v>19506</v>
      </c>
      <c r="J5705" s="2" t="s">
        <v>13904</v>
      </c>
      <c r="K5705" s="2" t="s">
        <v>5657</v>
      </c>
      <c r="L5705" s="82" t="s">
        <v>19512</v>
      </c>
    </row>
    <row r="5706" spans="1:12" ht="84" customHeight="1" x14ac:dyDescent="0.3">
      <c r="A5706" s="2">
        <v>5702</v>
      </c>
      <c r="B5706" s="66" t="s">
        <v>6563</v>
      </c>
      <c r="C5706" s="66" t="s">
        <v>6565</v>
      </c>
      <c r="D5706" s="11">
        <v>6880</v>
      </c>
      <c r="E5706" s="11">
        <v>6880</v>
      </c>
      <c r="F5706" s="3">
        <v>41226</v>
      </c>
      <c r="G5706" s="2"/>
      <c r="H5706" s="3">
        <v>43053</v>
      </c>
      <c r="I5706" s="2" t="s">
        <v>19506</v>
      </c>
      <c r="J5706" s="2" t="s">
        <v>13904</v>
      </c>
      <c r="K5706" s="2" t="s">
        <v>5657</v>
      </c>
      <c r="L5706" s="82" t="s">
        <v>19512</v>
      </c>
    </row>
    <row r="5707" spans="1:12" ht="84" customHeight="1" x14ac:dyDescent="0.3">
      <c r="A5707" s="2">
        <v>5703</v>
      </c>
      <c r="B5707" s="66" t="s">
        <v>6563</v>
      </c>
      <c r="C5707" s="66" t="s">
        <v>6566</v>
      </c>
      <c r="D5707" s="11">
        <v>6880</v>
      </c>
      <c r="E5707" s="11">
        <v>6880</v>
      </c>
      <c r="F5707" s="3">
        <v>41226</v>
      </c>
      <c r="G5707" s="2"/>
      <c r="H5707" s="3">
        <v>43053</v>
      </c>
      <c r="I5707" s="2" t="s">
        <v>19506</v>
      </c>
      <c r="J5707" s="2" t="s">
        <v>13904</v>
      </c>
      <c r="K5707" s="2" t="s">
        <v>5657</v>
      </c>
      <c r="L5707" s="82" t="s">
        <v>19512</v>
      </c>
    </row>
    <row r="5708" spans="1:12" ht="84" customHeight="1" x14ac:dyDescent="0.3">
      <c r="A5708" s="2">
        <v>5704</v>
      </c>
      <c r="B5708" s="66" t="s">
        <v>6563</v>
      </c>
      <c r="C5708" s="66" t="s">
        <v>6567</v>
      </c>
      <c r="D5708" s="11">
        <v>6880</v>
      </c>
      <c r="E5708" s="11">
        <v>6880</v>
      </c>
      <c r="F5708" s="3">
        <v>41226</v>
      </c>
      <c r="G5708" s="2"/>
      <c r="H5708" s="3">
        <v>43053</v>
      </c>
      <c r="I5708" s="2" t="s">
        <v>19506</v>
      </c>
      <c r="J5708" s="2" t="s">
        <v>13904</v>
      </c>
      <c r="K5708" s="2" t="s">
        <v>5657</v>
      </c>
      <c r="L5708" s="82" t="s">
        <v>19512</v>
      </c>
    </row>
    <row r="5709" spans="1:12" ht="84" customHeight="1" x14ac:dyDescent="0.3">
      <c r="A5709" s="2">
        <v>5705</v>
      </c>
      <c r="B5709" s="66" t="s">
        <v>6563</v>
      </c>
      <c r="C5709" s="66" t="s">
        <v>6568</v>
      </c>
      <c r="D5709" s="11">
        <v>6880</v>
      </c>
      <c r="E5709" s="11">
        <v>6880</v>
      </c>
      <c r="F5709" s="3">
        <v>41226</v>
      </c>
      <c r="G5709" s="2"/>
      <c r="H5709" s="3">
        <v>43053</v>
      </c>
      <c r="I5709" s="2" t="s">
        <v>19506</v>
      </c>
      <c r="J5709" s="2" t="s">
        <v>13904</v>
      </c>
      <c r="K5709" s="2" t="s">
        <v>5657</v>
      </c>
      <c r="L5709" s="82" t="s">
        <v>19512</v>
      </c>
    </row>
    <row r="5710" spans="1:12" ht="84" customHeight="1" x14ac:dyDescent="0.3">
      <c r="A5710" s="2">
        <v>5706</v>
      </c>
      <c r="B5710" s="66" t="s">
        <v>6569</v>
      </c>
      <c r="C5710" s="66" t="s">
        <v>6570</v>
      </c>
      <c r="D5710" s="11">
        <v>15000</v>
      </c>
      <c r="E5710" s="11">
        <v>15000</v>
      </c>
      <c r="F5710" s="3">
        <v>41226</v>
      </c>
      <c r="G5710" s="2"/>
      <c r="H5710" s="3">
        <v>43053</v>
      </c>
      <c r="I5710" s="2" t="s">
        <v>19506</v>
      </c>
      <c r="J5710" s="2" t="s">
        <v>13904</v>
      </c>
      <c r="K5710" s="2" t="s">
        <v>5657</v>
      </c>
      <c r="L5710" s="82" t="s">
        <v>19512</v>
      </c>
    </row>
    <row r="5711" spans="1:12" ht="84" customHeight="1" x14ac:dyDescent="0.3">
      <c r="A5711" s="2">
        <v>5707</v>
      </c>
      <c r="B5711" s="66" t="s">
        <v>6569</v>
      </c>
      <c r="C5711" s="66" t="s">
        <v>6571</v>
      </c>
      <c r="D5711" s="11">
        <v>15000</v>
      </c>
      <c r="E5711" s="11">
        <v>15000</v>
      </c>
      <c r="F5711" s="3">
        <v>41226</v>
      </c>
      <c r="G5711" s="2"/>
      <c r="H5711" s="3">
        <v>43053</v>
      </c>
      <c r="I5711" s="2" t="s">
        <v>19506</v>
      </c>
      <c r="J5711" s="2" t="s">
        <v>13904</v>
      </c>
      <c r="K5711" s="2" t="s">
        <v>5657</v>
      </c>
      <c r="L5711" s="82" t="s">
        <v>19512</v>
      </c>
    </row>
    <row r="5712" spans="1:12" ht="84" customHeight="1" x14ac:dyDescent="0.3">
      <c r="A5712" s="2">
        <v>5708</v>
      </c>
      <c r="B5712" s="66" t="s">
        <v>6569</v>
      </c>
      <c r="C5712" s="66" t="s">
        <v>6572</v>
      </c>
      <c r="D5712" s="11">
        <v>15000</v>
      </c>
      <c r="E5712" s="11">
        <v>15000</v>
      </c>
      <c r="F5712" s="3">
        <v>41226</v>
      </c>
      <c r="G5712" s="2"/>
      <c r="H5712" s="3">
        <v>43053</v>
      </c>
      <c r="I5712" s="2" t="s">
        <v>19506</v>
      </c>
      <c r="J5712" s="2" t="s">
        <v>13904</v>
      </c>
      <c r="K5712" s="2" t="s">
        <v>5657</v>
      </c>
      <c r="L5712" s="82" t="s">
        <v>19512</v>
      </c>
    </row>
    <row r="5713" spans="1:12" ht="84" customHeight="1" x14ac:dyDescent="0.3">
      <c r="A5713" s="2">
        <v>5709</v>
      </c>
      <c r="B5713" s="66" t="s">
        <v>6569</v>
      </c>
      <c r="C5713" s="66" t="s">
        <v>6573</v>
      </c>
      <c r="D5713" s="11">
        <v>15000</v>
      </c>
      <c r="E5713" s="11">
        <v>15000</v>
      </c>
      <c r="F5713" s="3">
        <v>41226</v>
      </c>
      <c r="G5713" s="2"/>
      <c r="H5713" s="3">
        <v>43053</v>
      </c>
      <c r="I5713" s="2" t="s">
        <v>19506</v>
      </c>
      <c r="J5713" s="2" t="s">
        <v>13904</v>
      </c>
      <c r="K5713" s="2" t="s">
        <v>5657</v>
      </c>
      <c r="L5713" s="82" t="s">
        <v>19512</v>
      </c>
    </row>
    <row r="5714" spans="1:12" ht="84" customHeight="1" x14ac:dyDescent="0.3">
      <c r="A5714" s="2">
        <v>5710</v>
      </c>
      <c r="B5714" s="66" t="s">
        <v>6569</v>
      </c>
      <c r="C5714" s="66" t="s">
        <v>6574</v>
      </c>
      <c r="D5714" s="11">
        <v>15000</v>
      </c>
      <c r="E5714" s="11">
        <v>15000</v>
      </c>
      <c r="F5714" s="3">
        <v>41226</v>
      </c>
      <c r="G5714" s="2"/>
      <c r="H5714" s="3">
        <v>43053</v>
      </c>
      <c r="I5714" s="2" t="s">
        <v>19506</v>
      </c>
      <c r="J5714" s="2" t="s">
        <v>13904</v>
      </c>
      <c r="K5714" s="2" t="s">
        <v>5657</v>
      </c>
      <c r="L5714" s="82" t="s">
        <v>19512</v>
      </c>
    </row>
    <row r="5715" spans="1:12" ht="84" customHeight="1" x14ac:dyDescent="0.3">
      <c r="A5715" s="2">
        <v>5711</v>
      </c>
      <c r="B5715" s="66" t="s">
        <v>6575</v>
      </c>
      <c r="C5715" s="66" t="s">
        <v>6576</v>
      </c>
      <c r="D5715" s="11">
        <v>35000</v>
      </c>
      <c r="E5715" s="11">
        <v>35000</v>
      </c>
      <c r="F5715" s="3">
        <v>41226</v>
      </c>
      <c r="G5715" s="2"/>
      <c r="H5715" s="3">
        <v>43053</v>
      </c>
      <c r="I5715" s="2" t="s">
        <v>19506</v>
      </c>
      <c r="J5715" s="2" t="s">
        <v>13904</v>
      </c>
      <c r="K5715" s="2" t="s">
        <v>5657</v>
      </c>
      <c r="L5715" s="82" t="s">
        <v>19512</v>
      </c>
    </row>
    <row r="5716" spans="1:12" ht="84" customHeight="1" x14ac:dyDescent="0.3">
      <c r="A5716" s="2">
        <v>5712</v>
      </c>
      <c r="B5716" s="66" t="s">
        <v>6575</v>
      </c>
      <c r="C5716" s="66" t="s">
        <v>6577</v>
      </c>
      <c r="D5716" s="11">
        <v>35000</v>
      </c>
      <c r="E5716" s="11">
        <v>35000</v>
      </c>
      <c r="F5716" s="3">
        <v>41226</v>
      </c>
      <c r="G5716" s="2"/>
      <c r="H5716" s="3">
        <v>43053</v>
      </c>
      <c r="I5716" s="2" t="s">
        <v>19506</v>
      </c>
      <c r="J5716" s="2" t="s">
        <v>13904</v>
      </c>
      <c r="K5716" s="2" t="s">
        <v>5657</v>
      </c>
      <c r="L5716" s="82" t="s">
        <v>19512</v>
      </c>
    </row>
    <row r="5717" spans="1:12" ht="84" customHeight="1" x14ac:dyDescent="0.3">
      <c r="A5717" s="2">
        <v>5713</v>
      </c>
      <c r="B5717" s="66" t="s">
        <v>6575</v>
      </c>
      <c r="C5717" s="66" t="s">
        <v>6578</v>
      </c>
      <c r="D5717" s="11">
        <v>35000</v>
      </c>
      <c r="E5717" s="11">
        <v>35000</v>
      </c>
      <c r="F5717" s="3">
        <v>41226</v>
      </c>
      <c r="G5717" s="2"/>
      <c r="H5717" s="3">
        <v>43053</v>
      </c>
      <c r="I5717" s="2" t="s">
        <v>19506</v>
      </c>
      <c r="J5717" s="2" t="s">
        <v>13904</v>
      </c>
      <c r="K5717" s="2" t="s">
        <v>5657</v>
      </c>
      <c r="L5717" s="82" t="s">
        <v>19512</v>
      </c>
    </row>
    <row r="5718" spans="1:12" ht="84" customHeight="1" x14ac:dyDescent="0.3">
      <c r="A5718" s="2">
        <v>5714</v>
      </c>
      <c r="B5718" s="66" t="s">
        <v>6575</v>
      </c>
      <c r="C5718" s="66" t="s">
        <v>6579</v>
      </c>
      <c r="D5718" s="11">
        <v>35000</v>
      </c>
      <c r="E5718" s="11">
        <v>35000</v>
      </c>
      <c r="F5718" s="3">
        <v>41226</v>
      </c>
      <c r="G5718" s="2"/>
      <c r="H5718" s="3">
        <v>43053</v>
      </c>
      <c r="I5718" s="2" t="s">
        <v>19506</v>
      </c>
      <c r="J5718" s="2" t="s">
        <v>13904</v>
      </c>
      <c r="K5718" s="2" t="s">
        <v>5657</v>
      </c>
      <c r="L5718" s="82" t="s">
        <v>19512</v>
      </c>
    </row>
    <row r="5719" spans="1:12" ht="84" customHeight="1" x14ac:dyDescent="0.3">
      <c r="A5719" s="2">
        <v>5715</v>
      </c>
      <c r="B5719" s="66" t="s">
        <v>6575</v>
      </c>
      <c r="C5719" s="66" t="s">
        <v>6580</v>
      </c>
      <c r="D5719" s="11">
        <v>35000</v>
      </c>
      <c r="E5719" s="11">
        <v>35000</v>
      </c>
      <c r="F5719" s="3">
        <v>41226</v>
      </c>
      <c r="G5719" s="2"/>
      <c r="H5719" s="3">
        <v>43053</v>
      </c>
      <c r="I5719" s="2" t="s">
        <v>19506</v>
      </c>
      <c r="J5719" s="2" t="s">
        <v>13904</v>
      </c>
      <c r="K5719" s="2" t="s">
        <v>5657</v>
      </c>
      <c r="L5719" s="82" t="s">
        <v>19512</v>
      </c>
    </row>
    <row r="5720" spans="1:12" ht="84" customHeight="1" x14ac:dyDescent="0.3">
      <c r="A5720" s="2">
        <v>5716</v>
      </c>
      <c r="B5720" s="66" t="s">
        <v>6581</v>
      </c>
      <c r="C5720" s="66" t="s">
        <v>6582</v>
      </c>
      <c r="D5720" s="11">
        <v>4295</v>
      </c>
      <c r="E5720" s="11">
        <v>4295</v>
      </c>
      <c r="F5720" s="3">
        <v>41226</v>
      </c>
      <c r="G5720" s="2"/>
      <c r="H5720" s="3">
        <v>43053</v>
      </c>
      <c r="I5720" s="2" t="s">
        <v>19506</v>
      </c>
      <c r="J5720" s="2" t="s">
        <v>13904</v>
      </c>
      <c r="K5720" s="2" t="s">
        <v>5657</v>
      </c>
      <c r="L5720" s="82" t="s">
        <v>19512</v>
      </c>
    </row>
    <row r="5721" spans="1:12" ht="84" customHeight="1" x14ac:dyDescent="0.3">
      <c r="A5721" s="2">
        <v>5717</v>
      </c>
      <c r="B5721" s="66" t="s">
        <v>6581</v>
      </c>
      <c r="C5721" s="66" t="s">
        <v>6583</v>
      </c>
      <c r="D5721" s="11">
        <v>4295</v>
      </c>
      <c r="E5721" s="11">
        <v>4295</v>
      </c>
      <c r="F5721" s="3">
        <v>41226</v>
      </c>
      <c r="G5721" s="2"/>
      <c r="H5721" s="3">
        <v>43053</v>
      </c>
      <c r="I5721" s="2" t="s">
        <v>19506</v>
      </c>
      <c r="J5721" s="2" t="s">
        <v>13904</v>
      </c>
      <c r="K5721" s="2" t="s">
        <v>5657</v>
      </c>
      <c r="L5721" s="82" t="s">
        <v>19512</v>
      </c>
    </row>
    <row r="5722" spans="1:12" ht="84" customHeight="1" x14ac:dyDescent="0.3">
      <c r="A5722" s="2">
        <v>5718</v>
      </c>
      <c r="B5722" s="66" t="s">
        <v>6581</v>
      </c>
      <c r="C5722" s="66" t="s">
        <v>6584</v>
      </c>
      <c r="D5722" s="11">
        <v>4295</v>
      </c>
      <c r="E5722" s="11">
        <v>4295</v>
      </c>
      <c r="F5722" s="3">
        <v>41226</v>
      </c>
      <c r="G5722" s="2"/>
      <c r="H5722" s="3">
        <v>43053</v>
      </c>
      <c r="I5722" s="2" t="s">
        <v>19506</v>
      </c>
      <c r="J5722" s="2" t="s">
        <v>13904</v>
      </c>
      <c r="K5722" s="2" t="s">
        <v>5657</v>
      </c>
      <c r="L5722" s="82" t="s">
        <v>19512</v>
      </c>
    </row>
    <row r="5723" spans="1:12" ht="84" customHeight="1" x14ac:dyDescent="0.3">
      <c r="A5723" s="2">
        <v>5719</v>
      </c>
      <c r="B5723" s="66" t="s">
        <v>6581</v>
      </c>
      <c r="C5723" s="66" t="s">
        <v>6585</v>
      </c>
      <c r="D5723" s="11">
        <v>4295</v>
      </c>
      <c r="E5723" s="11">
        <v>4295</v>
      </c>
      <c r="F5723" s="3">
        <v>41226</v>
      </c>
      <c r="G5723" s="2"/>
      <c r="H5723" s="3">
        <v>43053</v>
      </c>
      <c r="I5723" s="2" t="s">
        <v>19506</v>
      </c>
      <c r="J5723" s="2" t="s">
        <v>13904</v>
      </c>
      <c r="K5723" s="2" t="s">
        <v>5657</v>
      </c>
      <c r="L5723" s="82" t="s">
        <v>19512</v>
      </c>
    </row>
    <row r="5724" spans="1:12" ht="84" customHeight="1" x14ac:dyDescent="0.3">
      <c r="A5724" s="2">
        <v>5720</v>
      </c>
      <c r="B5724" s="66" t="s">
        <v>6581</v>
      </c>
      <c r="C5724" s="66" t="s">
        <v>6586</v>
      </c>
      <c r="D5724" s="11">
        <v>4295</v>
      </c>
      <c r="E5724" s="11">
        <v>4295</v>
      </c>
      <c r="F5724" s="3">
        <v>41226</v>
      </c>
      <c r="G5724" s="2"/>
      <c r="H5724" s="3">
        <v>43053</v>
      </c>
      <c r="I5724" s="2" t="s">
        <v>19506</v>
      </c>
      <c r="J5724" s="2" t="s">
        <v>13904</v>
      </c>
      <c r="K5724" s="2" t="s">
        <v>5657</v>
      </c>
      <c r="L5724" s="82" t="s">
        <v>19512</v>
      </c>
    </row>
    <row r="5725" spans="1:12" ht="84" customHeight="1" x14ac:dyDescent="0.3">
      <c r="A5725" s="2">
        <v>5721</v>
      </c>
      <c r="B5725" s="66" t="s">
        <v>6587</v>
      </c>
      <c r="C5725" s="66" t="s">
        <v>6588</v>
      </c>
      <c r="D5725" s="11">
        <v>27662</v>
      </c>
      <c r="E5725" s="11">
        <v>27662</v>
      </c>
      <c r="F5725" s="3">
        <v>41893</v>
      </c>
      <c r="G5725" s="2"/>
      <c r="H5725" s="3">
        <v>43053</v>
      </c>
      <c r="I5725" s="2" t="s">
        <v>19506</v>
      </c>
      <c r="J5725" s="2" t="s">
        <v>13904</v>
      </c>
      <c r="K5725" s="2" t="s">
        <v>5657</v>
      </c>
      <c r="L5725" s="82" t="s">
        <v>19512</v>
      </c>
    </row>
    <row r="5726" spans="1:12" ht="84" customHeight="1" x14ac:dyDescent="0.3">
      <c r="A5726" s="2">
        <v>5722</v>
      </c>
      <c r="B5726" s="66" t="s">
        <v>6587</v>
      </c>
      <c r="C5726" s="66" t="s">
        <v>6589</v>
      </c>
      <c r="D5726" s="11">
        <v>27662</v>
      </c>
      <c r="E5726" s="11">
        <v>27662</v>
      </c>
      <c r="F5726" s="3">
        <v>41893</v>
      </c>
      <c r="G5726" s="2"/>
      <c r="H5726" s="3">
        <v>43053</v>
      </c>
      <c r="I5726" s="2" t="s">
        <v>19506</v>
      </c>
      <c r="J5726" s="2" t="s">
        <v>13904</v>
      </c>
      <c r="K5726" s="2" t="s">
        <v>5657</v>
      </c>
      <c r="L5726" s="82" t="s">
        <v>19512</v>
      </c>
    </row>
    <row r="5727" spans="1:12" ht="84" customHeight="1" x14ac:dyDescent="0.3">
      <c r="A5727" s="2">
        <v>5723</v>
      </c>
      <c r="B5727" s="66" t="s">
        <v>6590</v>
      </c>
      <c r="C5727" s="66" t="s">
        <v>6591</v>
      </c>
      <c r="D5727" s="11">
        <v>24430</v>
      </c>
      <c r="E5727" s="11">
        <v>24430</v>
      </c>
      <c r="F5727" s="3">
        <v>41893</v>
      </c>
      <c r="G5727" s="2"/>
      <c r="H5727" s="3">
        <v>43053</v>
      </c>
      <c r="I5727" s="2" t="s">
        <v>19506</v>
      </c>
      <c r="J5727" s="2" t="s">
        <v>13904</v>
      </c>
      <c r="K5727" s="2" t="s">
        <v>5657</v>
      </c>
      <c r="L5727" s="82" t="s">
        <v>19512</v>
      </c>
    </row>
    <row r="5728" spans="1:12" ht="84" customHeight="1" x14ac:dyDescent="0.3">
      <c r="A5728" s="2">
        <v>5724</v>
      </c>
      <c r="B5728" s="66" t="s">
        <v>6590</v>
      </c>
      <c r="C5728" s="66" t="s">
        <v>6592</v>
      </c>
      <c r="D5728" s="11">
        <v>24430</v>
      </c>
      <c r="E5728" s="11">
        <v>24430</v>
      </c>
      <c r="F5728" s="3">
        <v>41893</v>
      </c>
      <c r="G5728" s="2"/>
      <c r="H5728" s="3">
        <v>43053</v>
      </c>
      <c r="I5728" s="2" t="s">
        <v>19506</v>
      </c>
      <c r="J5728" s="2" t="s">
        <v>13904</v>
      </c>
      <c r="K5728" s="2" t="s">
        <v>5657</v>
      </c>
      <c r="L5728" s="82" t="s">
        <v>19512</v>
      </c>
    </row>
    <row r="5729" spans="1:12" ht="84" customHeight="1" x14ac:dyDescent="0.3">
      <c r="A5729" s="2">
        <v>5725</v>
      </c>
      <c r="B5729" s="66" t="s">
        <v>6593</v>
      </c>
      <c r="C5729" s="66" t="s">
        <v>6594</v>
      </c>
      <c r="D5729" s="11">
        <v>3608</v>
      </c>
      <c r="E5729" s="11">
        <v>3608</v>
      </c>
      <c r="F5729" s="3">
        <v>41893</v>
      </c>
      <c r="G5729" s="2"/>
      <c r="H5729" s="3">
        <v>43053</v>
      </c>
      <c r="I5729" s="2" t="s">
        <v>19506</v>
      </c>
      <c r="J5729" s="2" t="s">
        <v>13904</v>
      </c>
      <c r="K5729" s="2" t="s">
        <v>5657</v>
      </c>
      <c r="L5729" s="82" t="s">
        <v>19512</v>
      </c>
    </row>
    <row r="5730" spans="1:12" ht="84" customHeight="1" x14ac:dyDescent="0.3">
      <c r="A5730" s="2">
        <v>5726</v>
      </c>
      <c r="B5730" s="66" t="s">
        <v>6595</v>
      </c>
      <c r="C5730" s="66" t="s">
        <v>6596</v>
      </c>
      <c r="D5730" s="11">
        <v>18100</v>
      </c>
      <c r="E5730" s="11">
        <v>18100</v>
      </c>
      <c r="F5730" s="3">
        <v>41422</v>
      </c>
      <c r="G5730" s="2"/>
      <c r="H5730" s="3">
        <v>43053</v>
      </c>
      <c r="I5730" s="2" t="s">
        <v>19506</v>
      </c>
      <c r="J5730" s="2" t="s">
        <v>13904</v>
      </c>
      <c r="K5730" s="2" t="s">
        <v>5657</v>
      </c>
      <c r="L5730" s="82" t="s">
        <v>19512</v>
      </c>
    </row>
    <row r="5731" spans="1:12" ht="84" customHeight="1" x14ac:dyDescent="0.3">
      <c r="A5731" s="2">
        <v>5727</v>
      </c>
      <c r="B5731" s="66" t="s">
        <v>6597</v>
      </c>
      <c r="C5731" s="66" t="s">
        <v>6598</v>
      </c>
      <c r="D5731" s="11">
        <v>5000</v>
      </c>
      <c r="E5731" s="11">
        <v>5000</v>
      </c>
      <c r="F5731" s="3">
        <v>41992</v>
      </c>
      <c r="G5731" s="2"/>
      <c r="H5731" s="3">
        <v>43053</v>
      </c>
      <c r="I5731" s="2" t="s">
        <v>19506</v>
      </c>
      <c r="J5731" s="2" t="s">
        <v>13904</v>
      </c>
      <c r="K5731" s="2" t="s">
        <v>5657</v>
      </c>
      <c r="L5731" s="82" t="s">
        <v>19512</v>
      </c>
    </row>
    <row r="5732" spans="1:12" ht="84" customHeight="1" x14ac:dyDescent="0.3">
      <c r="A5732" s="2">
        <v>5728</v>
      </c>
      <c r="B5732" s="66" t="s">
        <v>6599</v>
      </c>
      <c r="C5732" s="66" t="s">
        <v>6600</v>
      </c>
      <c r="D5732" s="11">
        <v>5779.07</v>
      </c>
      <c r="E5732" s="11">
        <v>5779.07</v>
      </c>
      <c r="F5732" s="3">
        <v>41992</v>
      </c>
      <c r="G5732" s="2"/>
      <c r="H5732" s="3">
        <v>43053</v>
      </c>
      <c r="I5732" s="2" t="s">
        <v>19506</v>
      </c>
      <c r="J5732" s="2" t="s">
        <v>13904</v>
      </c>
      <c r="K5732" s="2" t="s">
        <v>5657</v>
      </c>
      <c r="L5732" s="82" t="s">
        <v>19512</v>
      </c>
    </row>
    <row r="5733" spans="1:12" ht="84" customHeight="1" x14ac:dyDescent="0.3">
      <c r="A5733" s="2">
        <v>5729</v>
      </c>
      <c r="B5733" s="66" t="s">
        <v>6601</v>
      </c>
      <c r="C5733" s="66" t="s">
        <v>6602</v>
      </c>
      <c r="D5733" s="11">
        <v>21000</v>
      </c>
      <c r="E5733" s="11">
        <v>21000</v>
      </c>
      <c r="F5733" s="3">
        <v>41992</v>
      </c>
      <c r="G5733" s="2"/>
      <c r="H5733" s="3">
        <v>43053</v>
      </c>
      <c r="I5733" s="2" t="s">
        <v>19506</v>
      </c>
      <c r="J5733" s="2" t="s">
        <v>13904</v>
      </c>
      <c r="K5733" s="2" t="s">
        <v>5657</v>
      </c>
      <c r="L5733" s="82" t="s">
        <v>19512</v>
      </c>
    </row>
    <row r="5734" spans="1:12" ht="84" customHeight="1" x14ac:dyDescent="0.3">
      <c r="A5734" s="2">
        <v>5730</v>
      </c>
      <c r="B5734" s="66" t="s">
        <v>6603</v>
      </c>
      <c r="C5734" s="66" t="s">
        <v>6604</v>
      </c>
      <c r="D5734" s="11">
        <v>30884.959999999999</v>
      </c>
      <c r="E5734" s="11">
        <v>30884.959999999999</v>
      </c>
      <c r="F5734" s="3">
        <v>41992</v>
      </c>
      <c r="G5734" s="2"/>
      <c r="H5734" s="3">
        <v>43053</v>
      </c>
      <c r="I5734" s="2" t="s">
        <v>19506</v>
      </c>
      <c r="J5734" s="2" t="s">
        <v>13904</v>
      </c>
      <c r="K5734" s="2" t="s">
        <v>5657</v>
      </c>
      <c r="L5734" s="82" t="s">
        <v>19512</v>
      </c>
    </row>
    <row r="5735" spans="1:12" ht="84" customHeight="1" x14ac:dyDescent="0.3">
      <c r="A5735" s="2">
        <v>5731</v>
      </c>
      <c r="B5735" s="66" t="s">
        <v>6605</v>
      </c>
      <c r="C5735" s="66" t="s">
        <v>6606</v>
      </c>
      <c r="D5735" s="11">
        <v>3960.04</v>
      </c>
      <c r="E5735" s="11">
        <v>3960.04</v>
      </c>
      <c r="F5735" s="3">
        <v>41992</v>
      </c>
      <c r="G5735" s="2"/>
      <c r="H5735" s="3">
        <v>43053</v>
      </c>
      <c r="I5735" s="2" t="s">
        <v>19506</v>
      </c>
      <c r="J5735" s="2" t="s">
        <v>13904</v>
      </c>
      <c r="K5735" s="2" t="s">
        <v>5657</v>
      </c>
      <c r="L5735" s="82" t="s">
        <v>19512</v>
      </c>
    </row>
    <row r="5736" spans="1:12" ht="84" customHeight="1" x14ac:dyDescent="0.3">
      <c r="A5736" s="2">
        <v>5732</v>
      </c>
      <c r="B5736" s="66" t="s">
        <v>6607</v>
      </c>
      <c r="C5736" s="66" t="s">
        <v>5074</v>
      </c>
      <c r="D5736" s="11">
        <v>25010</v>
      </c>
      <c r="E5736" s="11">
        <v>25010</v>
      </c>
      <c r="F5736" s="3">
        <v>41226</v>
      </c>
      <c r="G5736" s="2"/>
      <c r="H5736" s="3">
        <v>43053</v>
      </c>
      <c r="I5736" s="2" t="s">
        <v>19506</v>
      </c>
      <c r="J5736" s="2" t="s">
        <v>13904</v>
      </c>
      <c r="K5736" s="2" t="s">
        <v>5657</v>
      </c>
      <c r="L5736" s="82" t="s">
        <v>19512</v>
      </c>
    </row>
    <row r="5737" spans="1:12" ht="84" customHeight="1" x14ac:dyDescent="0.3">
      <c r="A5737" s="2">
        <v>5733</v>
      </c>
      <c r="B5737" s="66" t="s">
        <v>6607</v>
      </c>
      <c r="C5737" s="66" t="s">
        <v>5077</v>
      </c>
      <c r="D5737" s="11">
        <v>25010</v>
      </c>
      <c r="E5737" s="11">
        <v>25010</v>
      </c>
      <c r="F5737" s="3">
        <v>41226</v>
      </c>
      <c r="G5737" s="2"/>
      <c r="H5737" s="3">
        <v>43053</v>
      </c>
      <c r="I5737" s="2" t="s">
        <v>19506</v>
      </c>
      <c r="J5737" s="2" t="s">
        <v>13904</v>
      </c>
      <c r="K5737" s="2" t="s">
        <v>5657</v>
      </c>
      <c r="L5737" s="82" t="s">
        <v>19512</v>
      </c>
    </row>
    <row r="5738" spans="1:12" ht="84" customHeight="1" x14ac:dyDescent="0.3">
      <c r="A5738" s="2">
        <v>5734</v>
      </c>
      <c r="B5738" s="66" t="s">
        <v>6607</v>
      </c>
      <c r="C5738" s="66" t="s">
        <v>6608</v>
      </c>
      <c r="D5738" s="11">
        <v>25010</v>
      </c>
      <c r="E5738" s="11">
        <v>25010</v>
      </c>
      <c r="F5738" s="3">
        <v>41226</v>
      </c>
      <c r="G5738" s="2"/>
      <c r="H5738" s="3">
        <v>43053</v>
      </c>
      <c r="I5738" s="2" t="s">
        <v>19506</v>
      </c>
      <c r="J5738" s="2" t="s">
        <v>13904</v>
      </c>
      <c r="K5738" s="2" t="s">
        <v>5657</v>
      </c>
      <c r="L5738" s="82" t="s">
        <v>19512</v>
      </c>
    </row>
    <row r="5739" spans="1:12" ht="84" customHeight="1" x14ac:dyDescent="0.3">
      <c r="A5739" s="2">
        <v>5735</v>
      </c>
      <c r="B5739" s="66" t="s">
        <v>6607</v>
      </c>
      <c r="C5739" s="66" t="s">
        <v>6609</v>
      </c>
      <c r="D5739" s="11">
        <v>25010</v>
      </c>
      <c r="E5739" s="11">
        <v>25010</v>
      </c>
      <c r="F5739" s="3">
        <v>41226</v>
      </c>
      <c r="G5739" s="2"/>
      <c r="H5739" s="3">
        <v>43053</v>
      </c>
      <c r="I5739" s="2" t="s">
        <v>19506</v>
      </c>
      <c r="J5739" s="2" t="s">
        <v>13904</v>
      </c>
      <c r="K5739" s="2" t="s">
        <v>5657</v>
      </c>
      <c r="L5739" s="82" t="s">
        <v>19512</v>
      </c>
    </row>
    <row r="5740" spans="1:12" ht="84" customHeight="1" x14ac:dyDescent="0.3">
      <c r="A5740" s="2">
        <v>5736</v>
      </c>
      <c r="B5740" s="66" t="s">
        <v>6607</v>
      </c>
      <c r="C5740" s="66" t="s">
        <v>6610</v>
      </c>
      <c r="D5740" s="11">
        <v>25010</v>
      </c>
      <c r="E5740" s="11">
        <v>25010</v>
      </c>
      <c r="F5740" s="3">
        <v>41226</v>
      </c>
      <c r="G5740" s="2"/>
      <c r="H5740" s="3">
        <v>43053</v>
      </c>
      <c r="I5740" s="2" t="s">
        <v>19506</v>
      </c>
      <c r="J5740" s="2" t="s">
        <v>13904</v>
      </c>
      <c r="K5740" s="2" t="s">
        <v>5657</v>
      </c>
      <c r="L5740" s="82" t="s">
        <v>19512</v>
      </c>
    </row>
    <row r="5741" spans="1:12" ht="84" customHeight="1" x14ac:dyDescent="0.3">
      <c r="A5741" s="2">
        <v>5737</v>
      </c>
      <c r="B5741" s="66" t="s">
        <v>6611</v>
      </c>
      <c r="C5741" s="66" t="s">
        <v>6612</v>
      </c>
      <c r="D5741" s="11">
        <v>22000</v>
      </c>
      <c r="E5741" s="11">
        <v>22000</v>
      </c>
      <c r="F5741" s="3">
        <v>41226</v>
      </c>
      <c r="G5741" s="2"/>
      <c r="H5741" s="3">
        <v>43053</v>
      </c>
      <c r="I5741" s="2" t="s">
        <v>19506</v>
      </c>
      <c r="J5741" s="2" t="s">
        <v>13904</v>
      </c>
      <c r="K5741" s="2" t="s">
        <v>5657</v>
      </c>
      <c r="L5741" s="82" t="s">
        <v>19512</v>
      </c>
    </row>
    <row r="5742" spans="1:12" ht="84" customHeight="1" x14ac:dyDescent="0.3">
      <c r="A5742" s="2">
        <v>5738</v>
      </c>
      <c r="B5742" s="66" t="s">
        <v>6611</v>
      </c>
      <c r="C5742" s="66" t="s">
        <v>6613</v>
      </c>
      <c r="D5742" s="11">
        <v>22000</v>
      </c>
      <c r="E5742" s="11">
        <v>22000</v>
      </c>
      <c r="F5742" s="3">
        <v>41226</v>
      </c>
      <c r="G5742" s="2"/>
      <c r="H5742" s="3">
        <v>43053</v>
      </c>
      <c r="I5742" s="2" t="s">
        <v>19506</v>
      </c>
      <c r="J5742" s="2" t="s">
        <v>13904</v>
      </c>
      <c r="K5742" s="2" t="s">
        <v>5657</v>
      </c>
      <c r="L5742" s="82" t="s">
        <v>19512</v>
      </c>
    </row>
    <row r="5743" spans="1:12" ht="84" customHeight="1" x14ac:dyDescent="0.3">
      <c r="A5743" s="2">
        <v>5739</v>
      </c>
      <c r="B5743" s="66" t="s">
        <v>6611</v>
      </c>
      <c r="C5743" s="66" t="s">
        <v>4315</v>
      </c>
      <c r="D5743" s="11">
        <v>22000</v>
      </c>
      <c r="E5743" s="11">
        <v>22000</v>
      </c>
      <c r="F5743" s="3">
        <v>41226</v>
      </c>
      <c r="G5743" s="2"/>
      <c r="H5743" s="3">
        <v>43053</v>
      </c>
      <c r="I5743" s="2" t="s">
        <v>19506</v>
      </c>
      <c r="J5743" s="2" t="s">
        <v>13904</v>
      </c>
      <c r="K5743" s="2" t="s">
        <v>5657</v>
      </c>
      <c r="L5743" s="82" t="s">
        <v>19512</v>
      </c>
    </row>
    <row r="5744" spans="1:12" ht="84" customHeight="1" x14ac:dyDescent="0.3">
      <c r="A5744" s="2">
        <v>5740</v>
      </c>
      <c r="B5744" s="66" t="s">
        <v>6611</v>
      </c>
      <c r="C5744" s="66" t="s">
        <v>6614</v>
      </c>
      <c r="D5744" s="11">
        <v>22000</v>
      </c>
      <c r="E5744" s="11">
        <v>22000</v>
      </c>
      <c r="F5744" s="3">
        <v>41226</v>
      </c>
      <c r="G5744" s="2"/>
      <c r="H5744" s="3">
        <v>43053</v>
      </c>
      <c r="I5744" s="2" t="s">
        <v>19506</v>
      </c>
      <c r="J5744" s="2" t="s">
        <v>13904</v>
      </c>
      <c r="K5744" s="2" t="s">
        <v>5657</v>
      </c>
      <c r="L5744" s="82" t="s">
        <v>19512</v>
      </c>
    </row>
    <row r="5745" spans="1:12" ht="84" customHeight="1" x14ac:dyDescent="0.3">
      <c r="A5745" s="2">
        <v>5741</v>
      </c>
      <c r="B5745" s="66" t="s">
        <v>6611</v>
      </c>
      <c r="C5745" s="66" t="s">
        <v>6615</v>
      </c>
      <c r="D5745" s="11">
        <v>22000</v>
      </c>
      <c r="E5745" s="11">
        <v>22000</v>
      </c>
      <c r="F5745" s="3">
        <v>41226</v>
      </c>
      <c r="G5745" s="2"/>
      <c r="H5745" s="3">
        <v>43053</v>
      </c>
      <c r="I5745" s="2" t="s">
        <v>19506</v>
      </c>
      <c r="J5745" s="2" t="s">
        <v>13904</v>
      </c>
      <c r="K5745" s="2" t="s">
        <v>5657</v>
      </c>
      <c r="L5745" s="82" t="s">
        <v>19512</v>
      </c>
    </row>
    <row r="5746" spans="1:12" ht="84" customHeight="1" x14ac:dyDescent="0.3">
      <c r="A5746" s="2">
        <v>5742</v>
      </c>
      <c r="B5746" s="66" t="s">
        <v>6616</v>
      </c>
      <c r="C5746" s="66" t="s">
        <v>6617</v>
      </c>
      <c r="D5746" s="11">
        <v>21700</v>
      </c>
      <c r="E5746" s="11">
        <v>21700</v>
      </c>
      <c r="F5746" s="3">
        <v>41226</v>
      </c>
      <c r="G5746" s="2"/>
      <c r="H5746" s="3">
        <v>43053</v>
      </c>
      <c r="I5746" s="2" t="s">
        <v>19506</v>
      </c>
      <c r="J5746" s="2" t="s">
        <v>13904</v>
      </c>
      <c r="K5746" s="2" t="s">
        <v>5657</v>
      </c>
      <c r="L5746" s="82" t="s">
        <v>19512</v>
      </c>
    </row>
    <row r="5747" spans="1:12" ht="84" customHeight="1" x14ac:dyDescent="0.3">
      <c r="A5747" s="2">
        <v>5743</v>
      </c>
      <c r="B5747" s="66" t="s">
        <v>6616</v>
      </c>
      <c r="C5747" s="66" t="s">
        <v>6618</v>
      </c>
      <c r="D5747" s="11">
        <v>21700</v>
      </c>
      <c r="E5747" s="11">
        <v>21700</v>
      </c>
      <c r="F5747" s="3">
        <v>41226</v>
      </c>
      <c r="G5747" s="2"/>
      <c r="H5747" s="3">
        <v>43053</v>
      </c>
      <c r="I5747" s="2" t="s">
        <v>19506</v>
      </c>
      <c r="J5747" s="2" t="s">
        <v>13904</v>
      </c>
      <c r="K5747" s="2" t="s">
        <v>5657</v>
      </c>
      <c r="L5747" s="82" t="s">
        <v>19512</v>
      </c>
    </row>
    <row r="5748" spans="1:12" ht="84" customHeight="1" x14ac:dyDescent="0.3">
      <c r="A5748" s="2">
        <v>5744</v>
      </c>
      <c r="B5748" s="66" t="s">
        <v>6616</v>
      </c>
      <c r="C5748" s="66" t="s">
        <v>6619</v>
      </c>
      <c r="D5748" s="11">
        <v>21700</v>
      </c>
      <c r="E5748" s="11">
        <v>21700</v>
      </c>
      <c r="F5748" s="3">
        <v>41226</v>
      </c>
      <c r="G5748" s="2"/>
      <c r="H5748" s="3">
        <v>43053</v>
      </c>
      <c r="I5748" s="2" t="s">
        <v>19506</v>
      </c>
      <c r="J5748" s="2" t="s">
        <v>13904</v>
      </c>
      <c r="K5748" s="2" t="s">
        <v>5657</v>
      </c>
      <c r="L5748" s="82" t="s">
        <v>19512</v>
      </c>
    </row>
    <row r="5749" spans="1:12" ht="84" customHeight="1" x14ac:dyDescent="0.3">
      <c r="A5749" s="2">
        <v>5745</v>
      </c>
      <c r="B5749" s="66" t="s">
        <v>6616</v>
      </c>
      <c r="C5749" s="66" t="s">
        <v>6620</v>
      </c>
      <c r="D5749" s="11">
        <v>21700</v>
      </c>
      <c r="E5749" s="11">
        <v>21700</v>
      </c>
      <c r="F5749" s="3">
        <v>41226</v>
      </c>
      <c r="G5749" s="2"/>
      <c r="H5749" s="3">
        <v>43053</v>
      </c>
      <c r="I5749" s="2" t="s">
        <v>19506</v>
      </c>
      <c r="J5749" s="2" t="s">
        <v>13904</v>
      </c>
      <c r="K5749" s="2" t="s">
        <v>5657</v>
      </c>
      <c r="L5749" s="82" t="s">
        <v>19512</v>
      </c>
    </row>
    <row r="5750" spans="1:12" ht="84" customHeight="1" x14ac:dyDescent="0.3">
      <c r="A5750" s="2">
        <v>5746</v>
      </c>
      <c r="B5750" s="66" t="s">
        <v>6616</v>
      </c>
      <c r="C5750" s="66" t="s">
        <v>6621</v>
      </c>
      <c r="D5750" s="11">
        <v>21700</v>
      </c>
      <c r="E5750" s="11">
        <v>21700</v>
      </c>
      <c r="F5750" s="3">
        <v>41226</v>
      </c>
      <c r="G5750" s="2"/>
      <c r="H5750" s="3">
        <v>43053</v>
      </c>
      <c r="I5750" s="2" t="s">
        <v>19506</v>
      </c>
      <c r="J5750" s="2" t="s">
        <v>13904</v>
      </c>
      <c r="K5750" s="2" t="s">
        <v>5657</v>
      </c>
      <c r="L5750" s="82" t="s">
        <v>19512</v>
      </c>
    </row>
    <row r="5751" spans="1:12" ht="84" customHeight="1" x14ac:dyDescent="0.3">
      <c r="A5751" s="2">
        <v>5747</v>
      </c>
      <c r="B5751" s="66" t="s">
        <v>6616</v>
      </c>
      <c r="C5751" s="66" t="s">
        <v>6622</v>
      </c>
      <c r="D5751" s="11">
        <v>21700</v>
      </c>
      <c r="E5751" s="11">
        <v>21700</v>
      </c>
      <c r="F5751" s="3">
        <v>41226</v>
      </c>
      <c r="G5751" s="2"/>
      <c r="H5751" s="3">
        <v>43053</v>
      </c>
      <c r="I5751" s="2" t="s">
        <v>19506</v>
      </c>
      <c r="J5751" s="2" t="s">
        <v>13904</v>
      </c>
      <c r="K5751" s="2" t="s">
        <v>5657</v>
      </c>
      <c r="L5751" s="82" t="s">
        <v>19512</v>
      </c>
    </row>
    <row r="5752" spans="1:12" ht="84" customHeight="1" x14ac:dyDescent="0.3">
      <c r="A5752" s="2">
        <v>5748</v>
      </c>
      <c r="B5752" s="66" t="s">
        <v>6616</v>
      </c>
      <c r="C5752" s="66" t="s">
        <v>6623</v>
      </c>
      <c r="D5752" s="11">
        <v>21700</v>
      </c>
      <c r="E5752" s="11">
        <v>21700</v>
      </c>
      <c r="F5752" s="3">
        <v>41226</v>
      </c>
      <c r="G5752" s="2"/>
      <c r="H5752" s="3">
        <v>43053</v>
      </c>
      <c r="I5752" s="2" t="s">
        <v>19506</v>
      </c>
      <c r="J5752" s="2" t="s">
        <v>13904</v>
      </c>
      <c r="K5752" s="2" t="s">
        <v>5657</v>
      </c>
      <c r="L5752" s="82" t="s">
        <v>19512</v>
      </c>
    </row>
    <row r="5753" spans="1:12" ht="84" customHeight="1" x14ac:dyDescent="0.3">
      <c r="A5753" s="2">
        <v>5749</v>
      </c>
      <c r="B5753" s="66" t="s">
        <v>6616</v>
      </c>
      <c r="C5753" s="66" t="s">
        <v>6624</v>
      </c>
      <c r="D5753" s="11">
        <v>21700</v>
      </c>
      <c r="E5753" s="11">
        <v>21700</v>
      </c>
      <c r="F5753" s="3">
        <v>41226</v>
      </c>
      <c r="G5753" s="2"/>
      <c r="H5753" s="3">
        <v>43053</v>
      </c>
      <c r="I5753" s="2" t="s">
        <v>19506</v>
      </c>
      <c r="J5753" s="2" t="s">
        <v>13904</v>
      </c>
      <c r="K5753" s="2" t="s">
        <v>5657</v>
      </c>
      <c r="L5753" s="82" t="s">
        <v>19512</v>
      </c>
    </row>
    <row r="5754" spans="1:12" ht="84" customHeight="1" x14ac:dyDescent="0.3">
      <c r="A5754" s="2">
        <v>5750</v>
      </c>
      <c r="B5754" s="66" t="s">
        <v>6616</v>
      </c>
      <c r="C5754" s="66" t="s">
        <v>6625</v>
      </c>
      <c r="D5754" s="11">
        <v>21700</v>
      </c>
      <c r="E5754" s="11">
        <v>21700</v>
      </c>
      <c r="F5754" s="3">
        <v>41226</v>
      </c>
      <c r="G5754" s="2"/>
      <c r="H5754" s="3">
        <v>43053</v>
      </c>
      <c r="I5754" s="2" t="s">
        <v>19506</v>
      </c>
      <c r="J5754" s="2" t="s">
        <v>13904</v>
      </c>
      <c r="K5754" s="2" t="s">
        <v>5657</v>
      </c>
      <c r="L5754" s="82" t="s">
        <v>19512</v>
      </c>
    </row>
    <row r="5755" spans="1:12" ht="84" customHeight="1" x14ac:dyDescent="0.3">
      <c r="A5755" s="2">
        <v>5751</v>
      </c>
      <c r="B5755" s="66" t="s">
        <v>6616</v>
      </c>
      <c r="C5755" s="66" t="s">
        <v>6626</v>
      </c>
      <c r="D5755" s="11">
        <v>21700</v>
      </c>
      <c r="E5755" s="11">
        <v>21700</v>
      </c>
      <c r="F5755" s="3">
        <v>41226</v>
      </c>
      <c r="G5755" s="2"/>
      <c r="H5755" s="3">
        <v>43053</v>
      </c>
      <c r="I5755" s="2" t="s">
        <v>19506</v>
      </c>
      <c r="J5755" s="2" t="s">
        <v>13904</v>
      </c>
      <c r="K5755" s="2" t="s">
        <v>5657</v>
      </c>
      <c r="L5755" s="82" t="s">
        <v>19512</v>
      </c>
    </row>
    <row r="5756" spans="1:12" ht="84" customHeight="1" x14ac:dyDescent="0.3">
      <c r="A5756" s="2">
        <v>5752</v>
      </c>
      <c r="B5756" s="66" t="s">
        <v>6616</v>
      </c>
      <c r="C5756" s="66" t="s">
        <v>6627</v>
      </c>
      <c r="D5756" s="11">
        <v>21700</v>
      </c>
      <c r="E5756" s="11">
        <v>21700</v>
      </c>
      <c r="F5756" s="3">
        <v>41226</v>
      </c>
      <c r="G5756" s="2"/>
      <c r="H5756" s="3">
        <v>43053</v>
      </c>
      <c r="I5756" s="2" t="s">
        <v>19506</v>
      </c>
      <c r="J5756" s="2" t="s">
        <v>13904</v>
      </c>
      <c r="K5756" s="2" t="s">
        <v>5657</v>
      </c>
      <c r="L5756" s="82" t="s">
        <v>19512</v>
      </c>
    </row>
    <row r="5757" spans="1:12" ht="84" customHeight="1" x14ac:dyDescent="0.3">
      <c r="A5757" s="2">
        <v>5753</v>
      </c>
      <c r="B5757" s="66" t="s">
        <v>6616</v>
      </c>
      <c r="C5757" s="66" t="s">
        <v>6628</v>
      </c>
      <c r="D5757" s="11">
        <v>21700</v>
      </c>
      <c r="E5757" s="11">
        <v>21700</v>
      </c>
      <c r="F5757" s="3">
        <v>41226</v>
      </c>
      <c r="G5757" s="2"/>
      <c r="H5757" s="3">
        <v>43053</v>
      </c>
      <c r="I5757" s="2" t="s">
        <v>19506</v>
      </c>
      <c r="J5757" s="2" t="s">
        <v>13904</v>
      </c>
      <c r="K5757" s="2" t="s">
        <v>5657</v>
      </c>
      <c r="L5757" s="82" t="s">
        <v>19512</v>
      </c>
    </row>
    <row r="5758" spans="1:12" ht="84" customHeight="1" x14ac:dyDescent="0.3">
      <c r="A5758" s="2">
        <v>5754</v>
      </c>
      <c r="B5758" s="66" t="s">
        <v>6616</v>
      </c>
      <c r="C5758" s="66" t="s">
        <v>6629</v>
      </c>
      <c r="D5758" s="11">
        <v>21700</v>
      </c>
      <c r="E5758" s="11">
        <v>21700</v>
      </c>
      <c r="F5758" s="3">
        <v>41226</v>
      </c>
      <c r="G5758" s="2"/>
      <c r="H5758" s="3">
        <v>43053</v>
      </c>
      <c r="I5758" s="2" t="s">
        <v>19506</v>
      </c>
      <c r="J5758" s="2" t="s">
        <v>13904</v>
      </c>
      <c r="K5758" s="2" t="s">
        <v>5657</v>
      </c>
      <c r="L5758" s="82" t="s">
        <v>19512</v>
      </c>
    </row>
    <row r="5759" spans="1:12" ht="84" customHeight="1" x14ac:dyDescent="0.3">
      <c r="A5759" s="2">
        <v>5755</v>
      </c>
      <c r="B5759" s="66" t="s">
        <v>6616</v>
      </c>
      <c r="C5759" s="66" t="s">
        <v>6630</v>
      </c>
      <c r="D5759" s="11">
        <v>21700</v>
      </c>
      <c r="E5759" s="11">
        <v>21700</v>
      </c>
      <c r="F5759" s="3">
        <v>41226</v>
      </c>
      <c r="G5759" s="2"/>
      <c r="H5759" s="3">
        <v>43053</v>
      </c>
      <c r="I5759" s="2" t="s">
        <v>19506</v>
      </c>
      <c r="J5759" s="2" t="s">
        <v>13904</v>
      </c>
      <c r="K5759" s="2" t="s">
        <v>5657</v>
      </c>
      <c r="L5759" s="82" t="s">
        <v>19512</v>
      </c>
    </row>
    <row r="5760" spans="1:12" ht="84" customHeight="1" x14ac:dyDescent="0.3">
      <c r="A5760" s="2">
        <v>5756</v>
      </c>
      <c r="B5760" s="66" t="s">
        <v>6616</v>
      </c>
      <c r="C5760" s="66" t="s">
        <v>6631</v>
      </c>
      <c r="D5760" s="11">
        <v>21700</v>
      </c>
      <c r="E5760" s="11">
        <v>21700</v>
      </c>
      <c r="F5760" s="3">
        <v>41226</v>
      </c>
      <c r="G5760" s="2"/>
      <c r="H5760" s="3">
        <v>43053</v>
      </c>
      <c r="I5760" s="2" t="s">
        <v>19506</v>
      </c>
      <c r="J5760" s="2" t="s">
        <v>13904</v>
      </c>
      <c r="K5760" s="2" t="s">
        <v>5657</v>
      </c>
      <c r="L5760" s="82" t="s">
        <v>19512</v>
      </c>
    </row>
    <row r="5761" spans="1:12" ht="84" customHeight="1" x14ac:dyDescent="0.3">
      <c r="A5761" s="2">
        <v>5757</v>
      </c>
      <c r="B5761" s="66" t="s">
        <v>6616</v>
      </c>
      <c r="C5761" s="66" t="s">
        <v>6632</v>
      </c>
      <c r="D5761" s="11">
        <v>21700</v>
      </c>
      <c r="E5761" s="11">
        <v>21700</v>
      </c>
      <c r="F5761" s="3">
        <v>41226</v>
      </c>
      <c r="G5761" s="2"/>
      <c r="H5761" s="3">
        <v>43053</v>
      </c>
      <c r="I5761" s="2" t="s">
        <v>19506</v>
      </c>
      <c r="J5761" s="2" t="s">
        <v>13904</v>
      </c>
      <c r="K5761" s="2" t="s">
        <v>5657</v>
      </c>
      <c r="L5761" s="82" t="s">
        <v>19512</v>
      </c>
    </row>
    <row r="5762" spans="1:12" ht="84" customHeight="1" x14ac:dyDescent="0.3">
      <c r="A5762" s="2">
        <v>5758</v>
      </c>
      <c r="B5762" s="66" t="s">
        <v>6616</v>
      </c>
      <c r="C5762" s="66" t="s">
        <v>6633</v>
      </c>
      <c r="D5762" s="11">
        <v>21700</v>
      </c>
      <c r="E5762" s="11">
        <v>21700</v>
      </c>
      <c r="F5762" s="3">
        <v>41226</v>
      </c>
      <c r="G5762" s="2"/>
      <c r="H5762" s="3">
        <v>43053</v>
      </c>
      <c r="I5762" s="2" t="s">
        <v>19506</v>
      </c>
      <c r="J5762" s="2" t="s">
        <v>13904</v>
      </c>
      <c r="K5762" s="2" t="s">
        <v>5657</v>
      </c>
      <c r="L5762" s="82" t="s">
        <v>19512</v>
      </c>
    </row>
    <row r="5763" spans="1:12" ht="84" customHeight="1" x14ac:dyDescent="0.3">
      <c r="A5763" s="2">
        <v>5759</v>
      </c>
      <c r="B5763" s="66" t="s">
        <v>6616</v>
      </c>
      <c r="C5763" s="66" t="s">
        <v>6634</v>
      </c>
      <c r="D5763" s="11">
        <v>21700</v>
      </c>
      <c r="E5763" s="11">
        <v>21700</v>
      </c>
      <c r="F5763" s="3">
        <v>41226</v>
      </c>
      <c r="G5763" s="2"/>
      <c r="H5763" s="3">
        <v>43053</v>
      </c>
      <c r="I5763" s="2" t="s">
        <v>19506</v>
      </c>
      <c r="J5763" s="2" t="s">
        <v>13904</v>
      </c>
      <c r="K5763" s="2" t="s">
        <v>5657</v>
      </c>
      <c r="L5763" s="82" t="s">
        <v>19512</v>
      </c>
    </row>
    <row r="5764" spans="1:12" ht="84" customHeight="1" x14ac:dyDescent="0.3">
      <c r="A5764" s="2">
        <v>5760</v>
      </c>
      <c r="B5764" s="66" t="s">
        <v>6616</v>
      </c>
      <c r="C5764" s="66" t="s">
        <v>6635</v>
      </c>
      <c r="D5764" s="11">
        <v>21700</v>
      </c>
      <c r="E5764" s="11">
        <v>21700</v>
      </c>
      <c r="F5764" s="3">
        <v>41226</v>
      </c>
      <c r="G5764" s="2"/>
      <c r="H5764" s="3">
        <v>43053</v>
      </c>
      <c r="I5764" s="2" t="s">
        <v>19506</v>
      </c>
      <c r="J5764" s="2" t="s">
        <v>13904</v>
      </c>
      <c r="K5764" s="2" t="s">
        <v>5657</v>
      </c>
      <c r="L5764" s="82" t="s">
        <v>19512</v>
      </c>
    </row>
    <row r="5765" spans="1:12" ht="84" customHeight="1" x14ac:dyDescent="0.3">
      <c r="A5765" s="2">
        <v>5761</v>
      </c>
      <c r="B5765" s="66" t="s">
        <v>6616</v>
      </c>
      <c r="C5765" s="66" t="s">
        <v>6636</v>
      </c>
      <c r="D5765" s="11">
        <v>21700</v>
      </c>
      <c r="E5765" s="11">
        <v>21700</v>
      </c>
      <c r="F5765" s="3"/>
      <c r="G5765" s="2"/>
      <c r="H5765" s="3">
        <v>43053</v>
      </c>
      <c r="I5765" s="2" t="s">
        <v>19506</v>
      </c>
      <c r="J5765" s="2" t="s">
        <v>13904</v>
      </c>
      <c r="K5765" s="2" t="s">
        <v>5657</v>
      </c>
      <c r="L5765" s="82" t="s">
        <v>19512</v>
      </c>
    </row>
    <row r="5766" spans="1:12" ht="84" customHeight="1" x14ac:dyDescent="0.3">
      <c r="A5766" s="2">
        <v>5762</v>
      </c>
      <c r="B5766" s="66" t="s">
        <v>6637</v>
      </c>
      <c r="C5766" s="66" t="s">
        <v>6638</v>
      </c>
      <c r="D5766" s="11">
        <v>26112</v>
      </c>
      <c r="E5766" s="11">
        <v>26112</v>
      </c>
      <c r="F5766" s="3">
        <v>41226</v>
      </c>
      <c r="G5766" s="2"/>
      <c r="H5766" s="3">
        <v>43053</v>
      </c>
      <c r="I5766" s="2" t="s">
        <v>19506</v>
      </c>
      <c r="J5766" s="2" t="s">
        <v>13904</v>
      </c>
      <c r="K5766" s="2" t="s">
        <v>5657</v>
      </c>
      <c r="L5766" s="82" t="s">
        <v>19512</v>
      </c>
    </row>
    <row r="5767" spans="1:12" ht="84" customHeight="1" x14ac:dyDescent="0.3">
      <c r="A5767" s="2">
        <v>5763</v>
      </c>
      <c r="B5767" s="66" t="s">
        <v>6637</v>
      </c>
      <c r="C5767" s="66" t="s">
        <v>6639</v>
      </c>
      <c r="D5767" s="11">
        <v>26112</v>
      </c>
      <c r="E5767" s="11">
        <v>26112</v>
      </c>
      <c r="F5767" s="3">
        <v>41226</v>
      </c>
      <c r="G5767" s="2"/>
      <c r="H5767" s="3">
        <v>43053</v>
      </c>
      <c r="I5767" s="2" t="s">
        <v>19506</v>
      </c>
      <c r="J5767" s="2" t="s">
        <v>13904</v>
      </c>
      <c r="K5767" s="2" t="s">
        <v>5657</v>
      </c>
      <c r="L5767" s="82" t="s">
        <v>19512</v>
      </c>
    </row>
    <row r="5768" spans="1:12" ht="84" customHeight="1" x14ac:dyDescent="0.3">
      <c r="A5768" s="2">
        <v>5764</v>
      </c>
      <c r="B5768" s="66" t="s">
        <v>6637</v>
      </c>
      <c r="C5768" s="66" t="s">
        <v>6640</v>
      </c>
      <c r="D5768" s="11">
        <v>26112</v>
      </c>
      <c r="E5768" s="11">
        <v>26112</v>
      </c>
      <c r="F5768" s="3">
        <v>41226</v>
      </c>
      <c r="G5768" s="2"/>
      <c r="H5768" s="3">
        <v>43053</v>
      </c>
      <c r="I5768" s="2" t="s">
        <v>19506</v>
      </c>
      <c r="J5768" s="2" t="s">
        <v>13904</v>
      </c>
      <c r="K5768" s="2" t="s">
        <v>5657</v>
      </c>
      <c r="L5768" s="82" t="s">
        <v>19512</v>
      </c>
    </row>
    <row r="5769" spans="1:12" ht="84" customHeight="1" x14ac:dyDescent="0.3">
      <c r="A5769" s="2">
        <v>5765</v>
      </c>
      <c r="B5769" s="66" t="s">
        <v>6637</v>
      </c>
      <c r="C5769" s="66" t="s">
        <v>6641</v>
      </c>
      <c r="D5769" s="11">
        <v>26112</v>
      </c>
      <c r="E5769" s="11">
        <v>26112</v>
      </c>
      <c r="F5769" s="3">
        <v>41226</v>
      </c>
      <c r="G5769" s="2"/>
      <c r="H5769" s="3">
        <v>43053</v>
      </c>
      <c r="I5769" s="2" t="s">
        <v>19506</v>
      </c>
      <c r="J5769" s="2" t="s">
        <v>13904</v>
      </c>
      <c r="K5769" s="2" t="s">
        <v>5657</v>
      </c>
      <c r="L5769" s="82" t="s">
        <v>19512</v>
      </c>
    </row>
    <row r="5770" spans="1:12" ht="84" customHeight="1" x14ac:dyDescent="0.3">
      <c r="A5770" s="2">
        <v>5766</v>
      </c>
      <c r="B5770" s="66" t="s">
        <v>6637</v>
      </c>
      <c r="C5770" s="66" t="s">
        <v>6642</v>
      </c>
      <c r="D5770" s="11">
        <v>26112</v>
      </c>
      <c r="E5770" s="11">
        <v>26112</v>
      </c>
      <c r="F5770" s="3">
        <v>41226</v>
      </c>
      <c r="G5770" s="2"/>
      <c r="H5770" s="3">
        <v>43053</v>
      </c>
      <c r="I5770" s="2" t="s">
        <v>19506</v>
      </c>
      <c r="J5770" s="2" t="s">
        <v>13904</v>
      </c>
      <c r="K5770" s="2" t="s">
        <v>5657</v>
      </c>
      <c r="L5770" s="82" t="s">
        <v>19512</v>
      </c>
    </row>
    <row r="5771" spans="1:12" ht="84" customHeight="1" x14ac:dyDescent="0.3">
      <c r="A5771" s="2">
        <v>5767</v>
      </c>
      <c r="B5771" s="66" t="s">
        <v>6637</v>
      </c>
      <c r="C5771" s="66" t="s">
        <v>6643</v>
      </c>
      <c r="D5771" s="11">
        <v>26112</v>
      </c>
      <c r="E5771" s="11">
        <v>26112</v>
      </c>
      <c r="F5771" s="3">
        <v>41226</v>
      </c>
      <c r="G5771" s="2"/>
      <c r="H5771" s="3">
        <v>43053</v>
      </c>
      <c r="I5771" s="2" t="s">
        <v>19506</v>
      </c>
      <c r="J5771" s="2" t="s">
        <v>13904</v>
      </c>
      <c r="K5771" s="2" t="s">
        <v>5657</v>
      </c>
      <c r="L5771" s="82" t="s">
        <v>19512</v>
      </c>
    </row>
    <row r="5772" spans="1:12" ht="84" customHeight="1" x14ac:dyDescent="0.3">
      <c r="A5772" s="2">
        <v>5768</v>
      </c>
      <c r="B5772" s="66" t="s">
        <v>6637</v>
      </c>
      <c r="C5772" s="66" t="s">
        <v>6644</v>
      </c>
      <c r="D5772" s="11">
        <v>26112</v>
      </c>
      <c r="E5772" s="11">
        <v>26112</v>
      </c>
      <c r="F5772" s="3">
        <v>41226</v>
      </c>
      <c r="G5772" s="2"/>
      <c r="H5772" s="3">
        <v>43053</v>
      </c>
      <c r="I5772" s="2" t="s">
        <v>19506</v>
      </c>
      <c r="J5772" s="2" t="s">
        <v>13904</v>
      </c>
      <c r="K5772" s="2" t="s">
        <v>5657</v>
      </c>
      <c r="L5772" s="82" t="s">
        <v>19512</v>
      </c>
    </row>
    <row r="5773" spans="1:12" ht="84" customHeight="1" x14ac:dyDescent="0.3">
      <c r="A5773" s="2">
        <v>5769</v>
      </c>
      <c r="B5773" s="66" t="s">
        <v>6637</v>
      </c>
      <c r="C5773" s="66" t="s">
        <v>6645</v>
      </c>
      <c r="D5773" s="11">
        <v>26112</v>
      </c>
      <c r="E5773" s="11">
        <v>26112</v>
      </c>
      <c r="F5773" s="3">
        <v>41226</v>
      </c>
      <c r="G5773" s="2"/>
      <c r="H5773" s="3">
        <v>43053</v>
      </c>
      <c r="I5773" s="2" t="s">
        <v>19506</v>
      </c>
      <c r="J5773" s="2" t="s">
        <v>13904</v>
      </c>
      <c r="K5773" s="2" t="s">
        <v>5657</v>
      </c>
      <c r="L5773" s="82" t="s">
        <v>19512</v>
      </c>
    </row>
    <row r="5774" spans="1:12" ht="84" customHeight="1" x14ac:dyDescent="0.3">
      <c r="A5774" s="2">
        <v>5770</v>
      </c>
      <c r="B5774" s="66" t="s">
        <v>6637</v>
      </c>
      <c r="C5774" s="66" t="s">
        <v>6646</v>
      </c>
      <c r="D5774" s="11">
        <v>26112</v>
      </c>
      <c r="E5774" s="11">
        <v>26112</v>
      </c>
      <c r="F5774" s="3">
        <v>41226</v>
      </c>
      <c r="G5774" s="2"/>
      <c r="H5774" s="3">
        <v>43053</v>
      </c>
      <c r="I5774" s="2" t="s">
        <v>19506</v>
      </c>
      <c r="J5774" s="2" t="s">
        <v>13904</v>
      </c>
      <c r="K5774" s="2" t="s">
        <v>5657</v>
      </c>
      <c r="L5774" s="82" t="s">
        <v>19512</v>
      </c>
    </row>
    <row r="5775" spans="1:12" ht="84" customHeight="1" x14ac:dyDescent="0.3">
      <c r="A5775" s="2">
        <v>5771</v>
      </c>
      <c r="B5775" s="66" t="s">
        <v>6637</v>
      </c>
      <c r="C5775" s="66" t="s">
        <v>6647</v>
      </c>
      <c r="D5775" s="11">
        <v>26112</v>
      </c>
      <c r="E5775" s="11">
        <v>26112</v>
      </c>
      <c r="F5775" s="3">
        <v>41226</v>
      </c>
      <c r="G5775" s="2"/>
      <c r="H5775" s="3">
        <v>43053</v>
      </c>
      <c r="I5775" s="2" t="s">
        <v>19506</v>
      </c>
      <c r="J5775" s="2" t="s">
        <v>13904</v>
      </c>
      <c r="K5775" s="2" t="s">
        <v>5657</v>
      </c>
      <c r="L5775" s="82" t="s">
        <v>19512</v>
      </c>
    </row>
    <row r="5776" spans="1:12" ht="84" customHeight="1" x14ac:dyDescent="0.3">
      <c r="A5776" s="2">
        <v>5772</v>
      </c>
      <c r="B5776" s="66" t="s">
        <v>6637</v>
      </c>
      <c r="C5776" s="66" t="s">
        <v>6648</v>
      </c>
      <c r="D5776" s="11">
        <v>26112</v>
      </c>
      <c r="E5776" s="11">
        <v>26112</v>
      </c>
      <c r="F5776" s="3">
        <v>41226</v>
      </c>
      <c r="G5776" s="2"/>
      <c r="H5776" s="3">
        <v>43053</v>
      </c>
      <c r="I5776" s="2" t="s">
        <v>19506</v>
      </c>
      <c r="J5776" s="2" t="s">
        <v>13904</v>
      </c>
      <c r="K5776" s="2" t="s">
        <v>5657</v>
      </c>
      <c r="L5776" s="82" t="s">
        <v>19512</v>
      </c>
    </row>
    <row r="5777" spans="1:12" ht="84" customHeight="1" x14ac:dyDescent="0.3">
      <c r="A5777" s="2">
        <v>5773</v>
      </c>
      <c r="B5777" s="66" t="s">
        <v>6637</v>
      </c>
      <c r="C5777" s="66" t="s">
        <v>6649</v>
      </c>
      <c r="D5777" s="11">
        <v>26112</v>
      </c>
      <c r="E5777" s="11">
        <v>26112</v>
      </c>
      <c r="F5777" s="3">
        <v>41226</v>
      </c>
      <c r="G5777" s="2"/>
      <c r="H5777" s="3">
        <v>43053</v>
      </c>
      <c r="I5777" s="2" t="s">
        <v>19506</v>
      </c>
      <c r="J5777" s="2" t="s">
        <v>13904</v>
      </c>
      <c r="K5777" s="2" t="s">
        <v>5657</v>
      </c>
      <c r="L5777" s="82" t="s">
        <v>19512</v>
      </c>
    </row>
    <row r="5778" spans="1:12" ht="84" customHeight="1" x14ac:dyDescent="0.3">
      <c r="A5778" s="2">
        <v>5774</v>
      </c>
      <c r="B5778" s="66" t="s">
        <v>6637</v>
      </c>
      <c r="C5778" s="66" t="s">
        <v>6650</v>
      </c>
      <c r="D5778" s="11">
        <v>26112</v>
      </c>
      <c r="E5778" s="11">
        <v>26112</v>
      </c>
      <c r="F5778" s="3">
        <v>41226</v>
      </c>
      <c r="G5778" s="2"/>
      <c r="H5778" s="3">
        <v>43053</v>
      </c>
      <c r="I5778" s="2" t="s">
        <v>19506</v>
      </c>
      <c r="J5778" s="2" t="s">
        <v>13904</v>
      </c>
      <c r="K5778" s="2" t="s">
        <v>5657</v>
      </c>
      <c r="L5778" s="82" t="s">
        <v>19512</v>
      </c>
    </row>
    <row r="5779" spans="1:12" ht="84" customHeight="1" x14ac:dyDescent="0.3">
      <c r="A5779" s="2">
        <v>5775</v>
      </c>
      <c r="B5779" s="66" t="s">
        <v>6637</v>
      </c>
      <c r="C5779" s="66" t="s">
        <v>6651</v>
      </c>
      <c r="D5779" s="11">
        <v>26112</v>
      </c>
      <c r="E5779" s="11">
        <v>26112</v>
      </c>
      <c r="F5779" s="3">
        <v>41226</v>
      </c>
      <c r="G5779" s="2"/>
      <c r="H5779" s="3">
        <v>43053</v>
      </c>
      <c r="I5779" s="2" t="s">
        <v>19506</v>
      </c>
      <c r="J5779" s="2" t="s">
        <v>13904</v>
      </c>
      <c r="K5779" s="2" t="s">
        <v>5657</v>
      </c>
      <c r="L5779" s="82" t="s">
        <v>19512</v>
      </c>
    </row>
    <row r="5780" spans="1:12" ht="84" customHeight="1" x14ac:dyDescent="0.3">
      <c r="A5780" s="2">
        <v>5776</v>
      </c>
      <c r="B5780" s="66" t="s">
        <v>6637</v>
      </c>
      <c r="C5780" s="66" t="s">
        <v>6652</v>
      </c>
      <c r="D5780" s="11">
        <v>26112</v>
      </c>
      <c r="E5780" s="11">
        <v>26112</v>
      </c>
      <c r="F5780" s="3">
        <v>41226</v>
      </c>
      <c r="G5780" s="2"/>
      <c r="H5780" s="3">
        <v>43053</v>
      </c>
      <c r="I5780" s="2" t="s">
        <v>19506</v>
      </c>
      <c r="J5780" s="2" t="s">
        <v>13904</v>
      </c>
      <c r="K5780" s="2" t="s">
        <v>5657</v>
      </c>
      <c r="L5780" s="82" t="s">
        <v>19512</v>
      </c>
    </row>
    <row r="5781" spans="1:12" ht="84" customHeight="1" x14ac:dyDescent="0.3">
      <c r="A5781" s="2">
        <v>5777</v>
      </c>
      <c r="B5781" s="66" t="s">
        <v>6637</v>
      </c>
      <c r="C5781" s="66" t="s">
        <v>6653</v>
      </c>
      <c r="D5781" s="11">
        <v>26112</v>
      </c>
      <c r="E5781" s="11">
        <v>26112</v>
      </c>
      <c r="F5781" s="3">
        <v>41226</v>
      </c>
      <c r="G5781" s="2"/>
      <c r="H5781" s="3">
        <v>43053</v>
      </c>
      <c r="I5781" s="2" t="s">
        <v>19506</v>
      </c>
      <c r="J5781" s="2" t="s">
        <v>13904</v>
      </c>
      <c r="K5781" s="2" t="s">
        <v>5657</v>
      </c>
      <c r="L5781" s="82" t="s">
        <v>19512</v>
      </c>
    </row>
    <row r="5782" spans="1:12" ht="84" customHeight="1" x14ac:dyDescent="0.3">
      <c r="A5782" s="2">
        <v>5778</v>
      </c>
      <c r="B5782" s="66" t="s">
        <v>6637</v>
      </c>
      <c r="C5782" s="66" t="s">
        <v>6654</v>
      </c>
      <c r="D5782" s="11">
        <v>26112</v>
      </c>
      <c r="E5782" s="11">
        <v>26112</v>
      </c>
      <c r="F5782" s="3">
        <v>41226</v>
      </c>
      <c r="G5782" s="2"/>
      <c r="H5782" s="3">
        <v>43053</v>
      </c>
      <c r="I5782" s="2" t="s">
        <v>19506</v>
      </c>
      <c r="J5782" s="2" t="s">
        <v>13904</v>
      </c>
      <c r="K5782" s="2" t="s">
        <v>5657</v>
      </c>
      <c r="L5782" s="82" t="s">
        <v>19512</v>
      </c>
    </row>
    <row r="5783" spans="1:12" ht="84" customHeight="1" x14ac:dyDescent="0.3">
      <c r="A5783" s="2">
        <v>5779</v>
      </c>
      <c r="B5783" s="66" t="s">
        <v>6637</v>
      </c>
      <c r="C5783" s="66" t="s">
        <v>6655</v>
      </c>
      <c r="D5783" s="11">
        <v>26112</v>
      </c>
      <c r="E5783" s="11">
        <v>26112</v>
      </c>
      <c r="F5783" s="3">
        <v>41226</v>
      </c>
      <c r="G5783" s="2"/>
      <c r="H5783" s="3">
        <v>43053</v>
      </c>
      <c r="I5783" s="2" t="s">
        <v>19506</v>
      </c>
      <c r="J5783" s="2" t="s">
        <v>13904</v>
      </c>
      <c r="K5783" s="2" t="s">
        <v>5657</v>
      </c>
      <c r="L5783" s="82" t="s">
        <v>19512</v>
      </c>
    </row>
    <row r="5784" spans="1:12" ht="84" customHeight="1" x14ac:dyDescent="0.3">
      <c r="A5784" s="2">
        <v>5780</v>
      </c>
      <c r="B5784" s="66" t="s">
        <v>6637</v>
      </c>
      <c r="C5784" s="66" t="s">
        <v>6656</v>
      </c>
      <c r="D5784" s="11">
        <v>26112</v>
      </c>
      <c r="E5784" s="11">
        <v>26112</v>
      </c>
      <c r="F5784" s="3">
        <v>41226</v>
      </c>
      <c r="G5784" s="2"/>
      <c r="H5784" s="3">
        <v>43053</v>
      </c>
      <c r="I5784" s="2" t="s">
        <v>19506</v>
      </c>
      <c r="J5784" s="2" t="s">
        <v>13904</v>
      </c>
      <c r="K5784" s="2" t="s">
        <v>5657</v>
      </c>
      <c r="L5784" s="82" t="s">
        <v>19512</v>
      </c>
    </row>
    <row r="5785" spans="1:12" ht="84" customHeight="1" x14ac:dyDescent="0.3">
      <c r="A5785" s="2">
        <v>5781</v>
      </c>
      <c r="B5785" s="66" t="s">
        <v>6637</v>
      </c>
      <c r="C5785" s="66" t="s">
        <v>6657</v>
      </c>
      <c r="D5785" s="11">
        <v>26112</v>
      </c>
      <c r="E5785" s="11">
        <v>26112</v>
      </c>
      <c r="F5785" s="3">
        <v>41226</v>
      </c>
      <c r="G5785" s="2"/>
      <c r="H5785" s="3">
        <v>43053</v>
      </c>
      <c r="I5785" s="2" t="s">
        <v>19506</v>
      </c>
      <c r="J5785" s="2" t="s">
        <v>13904</v>
      </c>
      <c r="K5785" s="2" t="s">
        <v>5657</v>
      </c>
      <c r="L5785" s="82" t="s">
        <v>19512</v>
      </c>
    </row>
    <row r="5786" spans="1:12" ht="84" customHeight="1" x14ac:dyDescent="0.3">
      <c r="A5786" s="2">
        <v>5782</v>
      </c>
      <c r="B5786" s="66" t="s">
        <v>6637</v>
      </c>
      <c r="C5786" s="66" t="s">
        <v>6658</v>
      </c>
      <c r="D5786" s="11">
        <v>26112</v>
      </c>
      <c r="E5786" s="11">
        <v>26112</v>
      </c>
      <c r="F5786" s="3">
        <v>41226</v>
      </c>
      <c r="G5786" s="2"/>
      <c r="H5786" s="3">
        <v>43053</v>
      </c>
      <c r="I5786" s="2" t="s">
        <v>19506</v>
      </c>
      <c r="J5786" s="2" t="s">
        <v>13904</v>
      </c>
      <c r="K5786" s="2" t="s">
        <v>5657</v>
      </c>
      <c r="L5786" s="82" t="s">
        <v>19512</v>
      </c>
    </row>
    <row r="5787" spans="1:12" ht="84" customHeight="1" x14ac:dyDescent="0.3">
      <c r="A5787" s="2">
        <v>5783</v>
      </c>
      <c r="B5787" s="66" t="s">
        <v>6637</v>
      </c>
      <c r="C5787" s="66" t="s">
        <v>6659</v>
      </c>
      <c r="D5787" s="11">
        <v>26112</v>
      </c>
      <c r="E5787" s="11">
        <v>26112</v>
      </c>
      <c r="F5787" s="3">
        <v>41226</v>
      </c>
      <c r="G5787" s="2"/>
      <c r="H5787" s="3">
        <v>43053</v>
      </c>
      <c r="I5787" s="2" t="s">
        <v>19506</v>
      </c>
      <c r="J5787" s="2" t="s">
        <v>13904</v>
      </c>
      <c r="K5787" s="2" t="s">
        <v>5657</v>
      </c>
      <c r="L5787" s="82" t="s">
        <v>19512</v>
      </c>
    </row>
    <row r="5788" spans="1:12" ht="84" customHeight="1" x14ac:dyDescent="0.3">
      <c r="A5788" s="2">
        <v>5784</v>
      </c>
      <c r="B5788" s="66" t="s">
        <v>6637</v>
      </c>
      <c r="C5788" s="66" t="s">
        <v>6660</v>
      </c>
      <c r="D5788" s="11">
        <v>26112</v>
      </c>
      <c r="E5788" s="11">
        <v>26112</v>
      </c>
      <c r="F5788" s="3">
        <v>41226</v>
      </c>
      <c r="G5788" s="2"/>
      <c r="H5788" s="3">
        <v>43053</v>
      </c>
      <c r="I5788" s="2" t="s">
        <v>19506</v>
      </c>
      <c r="J5788" s="2" t="s">
        <v>13904</v>
      </c>
      <c r="K5788" s="2" t="s">
        <v>5657</v>
      </c>
      <c r="L5788" s="82" t="s">
        <v>19512</v>
      </c>
    </row>
    <row r="5789" spans="1:12" ht="84" customHeight="1" x14ac:dyDescent="0.3">
      <c r="A5789" s="2">
        <v>5785</v>
      </c>
      <c r="B5789" s="66" t="s">
        <v>6637</v>
      </c>
      <c r="C5789" s="66" t="s">
        <v>6661</v>
      </c>
      <c r="D5789" s="11">
        <v>26112</v>
      </c>
      <c r="E5789" s="11">
        <v>26112</v>
      </c>
      <c r="F5789" s="3">
        <v>41226</v>
      </c>
      <c r="G5789" s="2"/>
      <c r="H5789" s="3">
        <v>43053</v>
      </c>
      <c r="I5789" s="2" t="s">
        <v>19506</v>
      </c>
      <c r="J5789" s="2" t="s">
        <v>13904</v>
      </c>
      <c r="K5789" s="2" t="s">
        <v>5657</v>
      </c>
      <c r="L5789" s="82" t="s">
        <v>19512</v>
      </c>
    </row>
    <row r="5790" spans="1:12" ht="84" customHeight="1" x14ac:dyDescent="0.3">
      <c r="A5790" s="2">
        <v>5786</v>
      </c>
      <c r="B5790" s="66" t="s">
        <v>6637</v>
      </c>
      <c r="C5790" s="66" t="s">
        <v>6662</v>
      </c>
      <c r="D5790" s="11">
        <v>26112</v>
      </c>
      <c r="E5790" s="11">
        <v>26112</v>
      </c>
      <c r="F5790" s="3">
        <v>41226</v>
      </c>
      <c r="G5790" s="2"/>
      <c r="H5790" s="3">
        <v>43053</v>
      </c>
      <c r="I5790" s="2" t="s">
        <v>19506</v>
      </c>
      <c r="J5790" s="2" t="s">
        <v>13904</v>
      </c>
      <c r="K5790" s="2" t="s">
        <v>5657</v>
      </c>
      <c r="L5790" s="82" t="s">
        <v>19512</v>
      </c>
    </row>
    <row r="5791" spans="1:12" ht="84" customHeight="1" x14ac:dyDescent="0.3">
      <c r="A5791" s="2">
        <v>5787</v>
      </c>
      <c r="B5791" s="66" t="s">
        <v>6637</v>
      </c>
      <c r="C5791" s="66" t="s">
        <v>6663</v>
      </c>
      <c r="D5791" s="11">
        <v>26112</v>
      </c>
      <c r="E5791" s="11">
        <v>26112</v>
      </c>
      <c r="F5791" s="3">
        <v>41226</v>
      </c>
      <c r="G5791" s="2"/>
      <c r="H5791" s="3">
        <v>43053</v>
      </c>
      <c r="I5791" s="2" t="s">
        <v>19506</v>
      </c>
      <c r="J5791" s="2" t="s">
        <v>13904</v>
      </c>
      <c r="K5791" s="2" t="s">
        <v>5657</v>
      </c>
      <c r="L5791" s="82" t="s">
        <v>19512</v>
      </c>
    </row>
    <row r="5792" spans="1:12" ht="84" customHeight="1" x14ac:dyDescent="0.3">
      <c r="A5792" s="2">
        <v>5788</v>
      </c>
      <c r="B5792" s="66" t="s">
        <v>6637</v>
      </c>
      <c r="C5792" s="66" t="s">
        <v>6664</v>
      </c>
      <c r="D5792" s="11">
        <v>26112</v>
      </c>
      <c r="E5792" s="11">
        <v>26112</v>
      </c>
      <c r="F5792" s="3">
        <v>41226</v>
      </c>
      <c r="G5792" s="2"/>
      <c r="H5792" s="3">
        <v>43053</v>
      </c>
      <c r="I5792" s="2" t="s">
        <v>19506</v>
      </c>
      <c r="J5792" s="2" t="s">
        <v>13904</v>
      </c>
      <c r="K5792" s="2" t="s">
        <v>5657</v>
      </c>
      <c r="L5792" s="82" t="s">
        <v>19512</v>
      </c>
    </row>
    <row r="5793" spans="1:12" ht="84" customHeight="1" x14ac:dyDescent="0.3">
      <c r="A5793" s="2">
        <v>5789</v>
      </c>
      <c r="B5793" s="66" t="s">
        <v>6637</v>
      </c>
      <c r="C5793" s="66" t="s">
        <v>6665</v>
      </c>
      <c r="D5793" s="11">
        <v>26112</v>
      </c>
      <c r="E5793" s="11">
        <v>26112</v>
      </c>
      <c r="F5793" s="3">
        <v>41226</v>
      </c>
      <c r="G5793" s="2"/>
      <c r="H5793" s="3">
        <v>43053</v>
      </c>
      <c r="I5793" s="2" t="s">
        <v>19506</v>
      </c>
      <c r="J5793" s="2" t="s">
        <v>13904</v>
      </c>
      <c r="K5793" s="2" t="s">
        <v>5657</v>
      </c>
      <c r="L5793" s="82" t="s">
        <v>19512</v>
      </c>
    </row>
    <row r="5794" spans="1:12" ht="84" customHeight="1" x14ac:dyDescent="0.3">
      <c r="A5794" s="2">
        <v>5790</v>
      </c>
      <c r="B5794" s="66" t="s">
        <v>6637</v>
      </c>
      <c r="C5794" s="66" t="s">
        <v>6666</v>
      </c>
      <c r="D5794" s="11">
        <v>26112</v>
      </c>
      <c r="E5794" s="11">
        <v>26112</v>
      </c>
      <c r="F5794" s="3">
        <v>41226</v>
      </c>
      <c r="G5794" s="2"/>
      <c r="H5794" s="3">
        <v>43053</v>
      </c>
      <c r="I5794" s="2" t="s">
        <v>19506</v>
      </c>
      <c r="J5794" s="2" t="s">
        <v>13904</v>
      </c>
      <c r="K5794" s="2" t="s">
        <v>5657</v>
      </c>
      <c r="L5794" s="82" t="s">
        <v>19512</v>
      </c>
    </row>
    <row r="5795" spans="1:12" ht="84" customHeight="1" x14ac:dyDescent="0.3">
      <c r="A5795" s="2">
        <v>5791</v>
      </c>
      <c r="B5795" s="66" t="s">
        <v>6637</v>
      </c>
      <c r="C5795" s="66" t="s">
        <v>6667</v>
      </c>
      <c r="D5795" s="11">
        <v>26112</v>
      </c>
      <c r="E5795" s="11">
        <v>26112</v>
      </c>
      <c r="F5795" s="3">
        <v>41226</v>
      </c>
      <c r="G5795" s="2"/>
      <c r="H5795" s="3">
        <v>43053</v>
      </c>
      <c r="I5795" s="2" t="s">
        <v>19506</v>
      </c>
      <c r="J5795" s="2" t="s">
        <v>13904</v>
      </c>
      <c r="K5795" s="2" t="s">
        <v>5657</v>
      </c>
      <c r="L5795" s="82" t="s">
        <v>19512</v>
      </c>
    </row>
    <row r="5796" spans="1:12" ht="84" customHeight="1" x14ac:dyDescent="0.3">
      <c r="A5796" s="2">
        <v>5792</v>
      </c>
      <c r="B5796" s="66" t="s">
        <v>6637</v>
      </c>
      <c r="C5796" s="66" t="s">
        <v>6668</v>
      </c>
      <c r="D5796" s="11">
        <v>26112</v>
      </c>
      <c r="E5796" s="11">
        <v>26112</v>
      </c>
      <c r="F5796" s="3">
        <v>41226</v>
      </c>
      <c r="G5796" s="2"/>
      <c r="H5796" s="3">
        <v>43053</v>
      </c>
      <c r="I5796" s="2" t="s">
        <v>19506</v>
      </c>
      <c r="J5796" s="2" t="s">
        <v>13904</v>
      </c>
      <c r="K5796" s="2" t="s">
        <v>5657</v>
      </c>
      <c r="L5796" s="82" t="s">
        <v>19512</v>
      </c>
    </row>
    <row r="5797" spans="1:12" ht="84" customHeight="1" x14ac:dyDescent="0.3">
      <c r="A5797" s="2">
        <v>5793</v>
      </c>
      <c r="B5797" s="66" t="s">
        <v>6637</v>
      </c>
      <c r="C5797" s="66" t="s">
        <v>6669</v>
      </c>
      <c r="D5797" s="11">
        <v>26112</v>
      </c>
      <c r="E5797" s="11">
        <v>26112</v>
      </c>
      <c r="F5797" s="3">
        <v>41226</v>
      </c>
      <c r="G5797" s="2"/>
      <c r="H5797" s="3">
        <v>43053</v>
      </c>
      <c r="I5797" s="2" t="s">
        <v>19506</v>
      </c>
      <c r="J5797" s="2" t="s">
        <v>13904</v>
      </c>
      <c r="K5797" s="2" t="s">
        <v>5657</v>
      </c>
      <c r="L5797" s="82" t="s">
        <v>19512</v>
      </c>
    </row>
    <row r="5798" spans="1:12" ht="84" customHeight="1" x14ac:dyDescent="0.3">
      <c r="A5798" s="2">
        <v>5794</v>
      </c>
      <c r="B5798" s="66" t="s">
        <v>6637</v>
      </c>
      <c r="C5798" s="66" t="s">
        <v>6670</v>
      </c>
      <c r="D5798" s="11">
        <v>26112</v>
      </c>
      <c r="E5798" s="11">
        <v>26112</v>
      </c>
      <c r="F5798" s="3">
        <v>41226</v>
      </c>
      <c r="G5798" s="2"/>
      <c r="H5798" s="3">
        <v>43053</v>
      </c>
      <c r="I5798" s="2" t="s">
        <v>19506</v>
      </c>
      <c r="J5798" s="2" t="s">
        <v>13904</v>
      </c>
      <c r="K5798" s="2" t="s">
        <v>5657</v>
      </c>
      <c r="L5798" s="82" t="s">
        <v>19512</v>
      </c>
    </row>
    <row r="5799" spans="1:12" ht="84" customHeight="1" x14ac:dyDescent="0.3">
      <c r="A5799" s="2">
        <v>5795</v>
      </c>
      <c r="B5799" s="66" t="s">
        <v>6637</v>
      </c>
      <c r="C5799" s="66" t="s">
        <v>6671</v>
      </c>
      <c r="D5799" s="11">
        <v>26112</v>
      </c>
      <c r="E5799" s="11">
        <v>26112</v>
      </c>
      <c r="F5799" s="3">
        <v>41226</v>
      </c>
      <c r="G5799" s="2"/>
      <c r="H5799" s="3">
        <v>43053</v>
      </c>
      <c r="I5799" s="2" t="s">
        <v>19506</v>
      </c>
      <c r="J5799" s="2" t="s">
        <v>13904</v>
      </c>
      <c r="K5799" s="2" t="s">
        <v>5657</v>
      </c>
      <c r="L5799" s="82" t="s">
        <v>19512</v>
      </c>
    </row>
    <row r="5800" spans="1:12" ht="84" customHeight="1" x14ac:dyDescent="0.3">
      <c r="A5800" s="2">
        <v>5796</v>
      </c>
      <c r="B5800" s="66" t="s">
        <v>6637</v>
      </c>
      <c r="C5800" s="66" t="s">
        <v>6672</v>
      </c>
      <c r="D5800" s="11">
        <v>26112</v>
      </c>
      <c r="E5800" s="11">
        <v>26112</v>
      </c>
      <c r="F5800" s="3">
        <v>41226</v>
      </c>
      <c r="G5800" s="2"/>
      <c r="H5800" s="3">
        <v>43053</v>
      </c>
      <c r="I5800" s="2" t="s">
        <v>19506</v>
      </c>
      <c r="J5800" s="2" t="s">
        <v>13904</v>
      </c>
      <c r="K5800" s="2" t="s">
        <v>5657</v>
      </c>
      <c r="L5800" s="82" t="s">
        <v>19512</v>
      </c>
    </row>
    <row r="5801" spans="1:12" ht="84" customHeight="1" x14ac:dyDescent="0.3">
      <c r="A5801" s="2">
        <v>5797</v>
      </c>
      <c r="B5801" s="66" t="s">
        <v>6637</v>
      </c>
      <c r="C5801" s="66" t="s">
        <v>6673</v>
      </c>
      <c r="D5801" s="11">
        <v>26112</v>
      </c>
      <c r="E5801" s="11">
        <v>26112</v>
      </c>
      <c r="F5801" s="3">
        <v>41226</v>
      </c>
      <c r="G5801" s="2"/>
      <c r="H5801" s="3">
        <v>43053</v>
      </c>
      <c r="I5801" s="2" t="s">
        <v>19506</v>
      </c>
      <c r="J5801" s="2" t="s">
        <v>13904</v>
      </c>
      <c r="K5801" s="2" t="s">
        <v>5657</v>
      </c>
      <c r="L5801" s="82" t="s">
        <v>19512</v>
      </c>
    </row>
    <row r="5802" spans="1:12" ht="84" customHeight="1" x14ac:dyDescent="0.3">
      <c r="A5802" s="2">
        <v>5798</v>
      </c>
      <c r="B5802" s="66" t="s">
        <v>6637</v>
      </c>
      <c r="C5802" s="66" t="s">
        <v>6674</v>
      </c>
      <c r="D5802" s="11">
        <v>26112</v>
      </c>
      <c r="E5802" s="11">
        <v>26112</v>
      </c>
      <c r="F5802" s="3">
        <v>41226</v>
      </c>
      <c r="G5802" s="2"/>
      <c r="H5802" s="3">
        <v>43053</v>
      </c>
      <c r="I5802" s="2" t="s">
        <v>19506</v>
      </c>
      <c r="J5802" s="2" t="s">
        <v>13904</v>
      </c>
      <c r="K5802" s="2" t="s">
        <v>5657</v>
      </c>
      <c r="L5802" s="82" t="s">
        <v>19512</v>
      </c>
    </row>
    <row r="5803" spans="1:12" ht="84" customHeight="1" x14ac:dyDescent="0.3">
      <c r="A5803" s="2">
        <v>5799</v>
      </c>
      <c r="B5803" s="66" t="s">
        <v>6637</v>
      </c>
      <c r="C5803" s="66" t="s">
        <v>6675</v>
      </c>
      <c r="D5803" s="11">
        <v>26112</v>
      </c>
      <c r="E5803" s="11">
        <v>26112</v>
      </c>
      <c r="F5803" s="3">
        <v>41226</v>
      </c>
      <c r="G5803" s="2"/>
      <c r="H5803" s="3">
        <v>43053</v>
      </c>
      <c r="I5803" s="2" t="s">
        <v>19506</v>
      </c>
      <c r="J5803" s="2" t="s">
        <v>13904</v>
      </c>
      <c r="K5803" s="2" t="s">
        <v>5657</v>
      </c>
      <c r="L5803" s="82" t="s">
        <v>19512</v>
      </c>
    </row>
    <row r="5804" spans="1:12" ht="84" customHeight="1" x14ac:dyDescent="0.3">
      <c r="A5804" s="2">
        <v>5800</v>
      </c>
      <c r="B5804" s="66" t="s">
        <v>6637</v>
      </c>
      <c r="C5804" s="66" t="s">
        <v>6676</v>
      </c>
      <c r="D5804" s="11">
        <v>26112</v>
      </c>
      <c r="E5804" s="11">
        <v>26112</v>
      </c>
      <c r="F5804" s="3">
        <v>41226</v>
      </c>
      <c r="G5804" s="2"/>
      <c r="H5804" s="3">
        <v>43053</v>
      </c>
      <c r="I5804" s="2" t="s">
        <v>19506</v>
      </c>
      <c r="J5804" s="2" t="s">
        <v>13904</v>
      </c>
      <c r="K5804" s="2" t="s">
        <v>5657</v>
      </c>
      <c r="L5804" s="82" t="s">
        <v>19512</v>
      </c>
    </row>
    <row r="5805" spans="1:12" ht="84" customHeight="1" x14ac:dyDescent="0.3">
      <c r="A5805" s="2">
        <v>5801</v>
      </c>
      <c r="B5805" s="66" t="s">
        <v>6637</v>
      </c>
      <c r="C5805" s="66" t="s">
        <v>6677</v>
      </c>
      <c r="D5805" s="11">
        <v>26112</v>
      </c>
      <c r="E5805" s="11">
        <v>26112</v>
      </c>
      <c r="F5805" s="3">
        <v>41226</v>
      </c>
      <c r="G5805" s="2"/>
      <c r="H5805" s="3">
        <v>43053</v>
      </c>
      <c r="I5805" s="2" t="s">
        <v>19506</v>
      </c>
      <c r="J5805" s="2" t="s">
        <v>13904</v>
      </c>
      <c r="K5805" s="2" t="s">
        <v>5657</v>
      </c>
      <c r="L5805" s="82" t="s">
        <v>19512</v>
      </c>
    </row>
    <row r="5806" spans="1:12" ht="84" customHeight="1" x14ac:dyDescent="0.3">
      <c r="A5806" s="2">
        <v>5802</v>
      </c>
      <c r="B5806" s="66" t="s">
        <v>6637</v>
      </c>
      <c r="C5806" s="66" t="s">
        <v>6678</v>
      </c>
      <c r="D5806" s="11">
        <v>26112</v>
      </c>
      <c r="E5806" s="11">
        <v>26112</v>
      </c>
      <c r="F5806" s="3">
        <v>41226</v>
      </c>
      <c r="G5806" s="2"/>
      <c r="H5806" s="3">
        <v>43053</v>
      </c>
      <c r="I5806" s="2" t="s">
        <v>19506</v>
      </c>
      <c r="J5806" s="2" t="s">
        <v>13904</v>
      </c>
      <c r="K5806" s="2" t="s">
        <v>5657</v>
      </c>
      <c r="L5806" s="82" t="s">
        <v>19512</v>
      </c>
    </row>
    <row r="5807" spans="1:12" ht="84" customHeight="1" x14ac:dyDescent="0.3">
      <c r="A5807" s="2">
        <v>5803</v>
      </c>
      <c r="B5807" s="66" t="s">
        <v>6637</v>
      </c>
      <c r="C5807" s="66" t="s">
        <v>6679</v>
      </c>
      <c r="D5807" s="11">
        <v>26112</v>
      </c>
      <c r="E5807" s="11">
        <v>26112</v>
      </c>
      <c r="F5807" s="3">
        <v>41226</v>
      </c>
      <c r="G5807" s="2"/>
      <c r="H5807" s="3">
        <v>43053</v>
      </c>
      <c r="I5807" s="2" t="s">
        <v>19506</v>
      </c>
      <c r="J5807" s="2" t="s">
        <v>13904</v>
      </c>
      <c r="K5807" s="2" t="s">
        <v>5657</v>
      </c>
      <c r="L5807" s="82" t="s">
        <v>19512</v>
      </c>
    </row>
    <row r="5808" spans="1:12" ht="84" customHeight="1" x14ac:dyDescent="0.3">
      <c r="A5808" s="2">
        <v>5804</v>
      </c>
      <c r="B5808" s="66" t="s">
        <v>6637</v>
      </c>
      <c r="C5808" s="66" t="s">
        <v>6680</v>
      </c>
      <c r="D5808" s="11">
        <v>26112</v>
      </c>
      <c r="E5808" s="11">
        <v>26112</v>
      </c>
      <c r="F5808" s="3">
        <v>41226</v>
      </c>
      <c r="G5808" s="2"/>
      <c r="H5808" s="3">
        <v>43053</v>
      </c>
      <c r="I5808" s="2" t="s">
        <v>19506</v>
      </c>
      <c r="J5808" s="2" t="s">
        <v>13904</v>
      </c>
      <c r="K5808" s="2" t="s">
        <v>5657</v>
      </c>
      <c r="L5808" s="82" t="s">
        <v>19512</v>
      </c>
    </row>
    <row r="5809" spans="1:12" ht="84" customHeight="1" x14ac:dyDescent="0.3">
      <c r="A5809" s="2">
        <v>5805</v>
      </c>
      <c r="B5809" s="66" t="s">
        <v>6637</v>
      </c>
      <c r="C5809" s="66" t="s">
        <v>6681</v>
      </c>
      <c r="D5809" s="11">
        <v>26112</v>
      </c>
      <c r="E5809" s="11">
        <v>26112</v>
      </c>
      <c r="F5809" s="3">
        <v>41226</v>
      </c>
      <c r="G5809" s="2"/>
      <c r="H5809" s="3">
        <v>43053</v>
      </c>
      <c r="I5809" s="2" t="s">
        <v>19506</v>
      </c>
      <c r="J5809" s="2" t="s">
        <v>13904</v>
      </c>
      <c r="K5809" s="2" t="s">
        <v>5657</v>
      </c>
      <c r="L5809" s="82" t="s">
        <v>19512</v>
      </c>
    </row>
    <row r="5810" spans="1:12" ht="84" customHeight="1" x14ac:dyDescent="0.3">
      <c r="A5810" s="2">
        <v>5806</v>
      </c>
      <c r="B5810" s="66" t="s">
        <v>6637</v>
      </c>
      <c r="C5810" s="66" t="s">
        <v>6682</v>
      </c>
      <c r="D5810" s="11">
        <v>26112</v>
      </c>
      <c r="E5810" s="11">
        <v>26112</v>
      </c>
      <c r="F5810" s="3">
        <v>41226</v>
      </c>
      <c r="G5810" s="2"/>
      <c r="H5810" s="3">
        <v>43053</v>
      </c>
      <c r="I5810" s="2" t="s">
        <v>19506</v>
      </c>
      <c r="J5810" s="2" t="s">
        <v>13904</v>
      </c>
      <c r="K5810" s="2" t="s">
        <v>5657</v>
      </c>
      <c r="L5810" s="82" t="s">
        <v>19512</v>
      </c>
    </row>
    <row r="5811" spans="1:12" ht="84" customHeight="1" x14ac:dyDescent="0.3">
      <c r="A5811" s="2">
        <v>5807</v>
      </c>
      <c r="B5811" s="66" t="s">
        <v>6637</v>
      </c>
      <c r="C5811" s="66" t="s">
        <v>6683</v>
      </c>
      <c r="D5811" s="11">
        <v>26112</v>
      </c>
      <c r="E5811" s="11">
        <v>26112</v>
      </c>
      <c r="F5811" s="3">
        <v>41226</v>
      </c>
      <c r="G5811" s="2"/>
      <c r="H5811" s="3">
        <v>43053</v>
      </c>
      <c r="I5811" s="2" t="s">
        <v>19506</v>
      </c>
      <c r="J5811" s="2" t="s">
        <v>13904</v>
      </c>
      <c r="K5811" s="2" t="s">
        <v>5657</v>
      </c>
      <c r="L5811" s="82" t="s">
        <v>19512</v>
      </c>
    </row>
    <row r="5812" spans="1:12" ht="84" customHeight="1" x14ac:dyDescent="0.3">
      <c r="A5812" s="2">
        <v>5808</v>
      </c>
      <c r="B5812" s="66" t="s">
        <v>6637</v>
      </c>
      <c r="C5812" s="66" t="s">
        <v>6684</v>
      </c>
      <c r="D5812" s="11">
        <v>26112</v>
      </c>
      <c r="E5812" s="11">
        <v>26112</v>
      </c>
      <c r="F5812" s="3">
        <v>41226</v>
      </c>
      <c r="G5812" s="2"/>
      <c r="H5812" s="3">
        <v>43053</v>
      </c>
      <c r="I5812" s="2" t="s">
        <v>19506</v>
      </c>
      <c r="J5812" s="2" t="s">
        <v>13904</v>
      </c>
      <c r="K5812" s="2" t="s">
        <v>5657</v>
      </c>
      <c r="L5812" s="82" t="s">
        <v>19512</v>
      </c>
    </row>
    <row r="5813" spans="1:12" ht="84" customHeight="1" x14ac:dyDescent="0.3">
      <c r="A5813" s="2">
        <v>5809</v>
      </c>
      <c r="B5813" s="66" t="s">
        <v>6637</v>
      </c>
      <c r="C5813" s="66" t="s">
        <v>6685</v>
      </c>
      <c r="D5813" s="11">
        <v>26112</v>
      </c>
      <c r="E5813" s="11">
        <v>26112</v>
      </c>
      <c r="F5813" s="3">
        <v>41226</v>
      </c>
      <c r="G5813" s="2"/>
      <c r="H5813" s="3">
        <v>43053</v>
      </c>
      <c r="I5813" s="2" t="s">
        <v>19506</v>
      </c>
      <c r="J5813" s="2" t="s">
        <v>13904</v>
      </c>
      <c r="K5813" s="2" t="s">
        <v>5657</v>
      </c>
      <c r="L5813" s="82" t="s">
        <v>19512</v>
      </c>
    </row>
    <row r="5814" spans="1:12" ht="84" customHeight="1" x14ac:dyDescent="0.3">
      <c r="A5814" s="2">
        <v>5810</v>
      </c>
      <c r="B5814" s="66" t="s">
        <v>6637</v>
      </c>
      <c r="C5814" s="66" t="s">
        <v>6686</v>
      </c>
      <c r="D5814" s="11">
        <v>26112</v>
      </c>
      <c r="E5814" s="11">
        <v>26112</v>
      </c>
      <c r="F5814" s="3">
        <v>41226</v>
      </c>
      <c r="G5814" s="2"/>
      <c r="H5814" s="3">
        <v>43053</v>
      </c>
      <c r="I5814" s="2" t="s">
        <v>19506</v>
      </c>
      <c r="J5814" s="2" t="s">
        <v>13904</v>
      </c>
      <c r="K5814" s="2" t="s">
        <v>5657</v>
      </c>
      <c r="L5814" s="82" t="s">
        <v>19512</v>
      </c>
    </row>
    <row r="5815" spans="1:12" ht="84" customHeight="1" x14ac:dyDescent="0.3">
      <c r="A5815" s="2">
        <v>5811</v>
      </c>
      <c r="B5815" s="66" t="s">
        <v>6637</v>
      </c>
      <c r="C5815" s="66" t="s">
        <v>6687</v>
      </c>
      <c r="D5815" s="11">
        <v>26112</v>
      </c>
      <c r="E5815" s="11">
        <v>26112</v>
      </c>
      <c r="F5815" s="3">
        <v>41226</v>
      </c>
      <c r="G5815" s="2"/>
      <c r="H5815" s="3">
        <v>43053</v>
      </c>
      <c r="I5815" s="2" t="s">
        <v>19506</v>
      </c>
      <c r="J5815" s="2" t="s">
        <v>13904</v>
      </c>
      <c r="K5815" s="2" t="s">
        <v>5657</v>
      </c>
      <c r="L5815" s="82" t="s">
        <v>19512</v>
      </c>
    </row>
    <row r="5816" spans="1:12" ht="84" customHeight="1" x14ac:dyDescent="0.3">
      <c r="A5816" s="2">
        <v>5812</v>
      </c>
      <c r="B5816" s="66" t="s">
        <v>6637</v>
      </c>
      <c r="C5816" s="66" t="s">
        <v>6688</v>
      </c>
      <c r="D5816" s="11">
        <v>26112</v>
      </c>
      <c r="E5816" s="11">
        <v>26112</v>
      </c>
      <c r="F5816" s="3">
        <v>41226</v>
      </c>
      <c r="G5816" s="2"/>
      <c r="H5816" s="3">
        <v>43053</v>
      </c>
      <c r="I5816" s="2" t="s">
        <v>19506</v>
      </c>
      <c r="J5816" s="2" t="s">
        <v>13904</v>
      </c>
      <c r="K5816" s="2" t="s">
        <v>5657</v>
      </c>
      <c r="L5816" s="82" t="s">
        <v>19512</v>
      </c>
    </row>
    <row r="5817" spans="1:12" ht="84" customHeight="1" x14ac:dyDescent="0.3">
      <c r="A5817" s="2">
        <v>5813</v>
      </c>
      <c r="B5817" s="66" t="s">
        <v>6637</v>
      </c>
      <c r="C5817" s="66" t="s">
        <v>6689</v>
      </c>
      <c r="D5817" s="11">
        <v>26112</v>
      </c>
      <c r="E5817" s="11">
        <v>26112</v>
      </c>
      <c r="F5817" s="3">
        <v>41226</v>
      </c>
      <c r="G5817" s="2"/>
      <c r="H5817" s="3">
        <v>43053</v>
      </c>
      <c r="I5817" s="2" t="s">
        <v>19506</v>
      </c>
      <c r="J5817" s="2" t="s">
        <v>13904</v>
      </c>
      <c r="K5817" s="2" t="s">
        <v>5657</v>
      </c>
      <c r="L5817" s="82" t="s">
        <v>19512</v>
      </c>
    </row>
    <row r="5818" spans="1:12" ht="84" customHeight="1" x14ac:dyDescent="0.3">
      <c r="A5818" s="2">
        <v>5814</v>
      </c>
      <c r="B5818" s="66" t="s">
        <v>6637</v>
      </c>
      <c r="C5818" s="66" t="s">
        <v>6690</v>
      </c>
      <c r="D5818" s="11">
        <v>26112</v>
      </c>
      <c r="E5818" s="11">
        <v>26112</v>
      </c>
      <c r="F5818" s="3">
        <v>41226</v>
      </c>
      <c r="G5818" s="2"/>
      <c r="H5818" s="3">
        <v>43053</v>
      </c>
      <c r="I5818" s="2" t="s">
        <v>19506</v>
      </c>
      <c r="J5818" s="2" t="s">
        <v>13904</v>
      </c>
      <c r="K5818" s="2" t="s">
        <v>5657</v>
      </c>
      <c r="L5818" s="82" t="s">
        <v>19512</v>
      </c>
    </row>
    <row r="5819" spans="1:12" ht="84" customHeight="1" x14ac:dyDescent="0.3">
      <c r="A5819" s="2">
        <v>5815</v>
      </c>
      <c r="B5819" s="66" t="s">
        <v>6637</v>
      </c>
      <c r="C5819" s="66" t="s">
        <v>6691</v>
      </c>
      <c r="D5819" s="11">
        <v>26112</v>
      </c>
      <c r="E5819" s="11">
        <v>26112</v>
      </c>
      <c r="F5819" s="3">
        <v>41226</v>
      </c>
      <c r="G5819" s="2"/>
      <c r="H5819" s="3">
        <v>43053</v>
      </c>
      <c r="I5819" s="2" t="s">
        <v>19506</v>
      </c>
      <c r="J5819" s="2" t="s">
        <v>13904</v>
      </c>
      <c r="K5819" s="2" t="s">
        <v>5657</v>
      </c>
      <c r="L5819" s="82" t="s">
        <v>19512</v>
      </c>
    </row>
    <row r="5820" spans="1:12" ht="84" customHeight="1" x14ac:dyDescent="0.3">
      <c r="A5820" s="2">
        <v>5816</v>
      </c>
      <c r="B5820" s="66" t="s">
        <v>6637</v>
      </c>
      <c r="C5820" s="66" t="s">
        <v>6692</v>
      </c>
      <c r="D5820" s="11">
        <v>26112</v>
      </c>
      <c r="E5820" s="11">
        <v>26112</v>
      </c>
      <c r="F5820" s="3">
        <v>41226</v>
      </c>
      <c r="G5820" s="2"/>
      <c r="H5820" s="3">
        <v>43053</v>
      </c>
      <c r="I5820" s="2" t="s">
        <v>19506</v>
      </c>
      <c r="J5820" s="2" t="s">
        <v>13904</v>
      </c>
      <c r="K5820" s="2" t="s">
        <v>5657</v>
      </c>
      <c r="L5820" s="82" t="s">
        <v>19512</v>
      </c>
    </row>
    <row r="5821" spans="1:12" ht="84" customHeight="1" x14ac:dyDescent="0.3">
      <c r="A5821" s="2">
        <v>5817</v>
      </c>
      <c r="B5821" s="66" t="s">
        <v>6637</v>
      </c>
      <c r="C5821" s="66" t="s">
        <v>6693</v>
      </c>
      <c r="D5821" s="11">
        <v>26112</v>
      </c>
      <c r="E5821" s="11">
        <v>26112</v>
      </c>
      <c r="F5821" s="3">
        <v>41226</v>
      </c>
      <c r="G5821" s="2"/>
      <c r="H5821" s="3">
        <v>43053</v>
      </c>
      <c r="I5821" s="2" t="s">
        <v>19506</v>
      </c>
      <c r="J5821" s="2" t="s">
        <v>13904</v>
      </c>
      <c r="K5821" s="2" t="s">
        <v>5657</v>
      </c>
      <c r="L5821" s="82" t="s">
        <v>19512</v>
      </c>
    </row>
    <row r="5822" spans="1:12" ht="84" customHeight="1" x14ac:dyDescent="0.3">
      <c r="A5822" s="2">
        <v>5818</v>
      </c>
      <c r="B5822" s="66" t="s">
        <v>6637</v>
      </c>
      <c r="C5822" s="66" t="s">
        <v>6694</v>
      </c>
      <c r="D5822" s="11">
        <v>26112</v>
      </c>
      <c r="E5822" s="11">
        <v>26112</v>
      </c>
      <c r="F5822" s="3">
        <v>41226</v>
      </c>
      <c r="G5822" s="2"/>
      <c r="H5822" s="3">
        <v>43053</v>
      </c>
      <c r="I5822" s="2" t="s">
        <v>19506</v>
      </c>
      <c r="J5822" s="2" t="s">
        <v>13904</v>
      </c>
      <c r="K5822" s="2" t="s">
        <v>5657</v>
      </c>
      <c r="L5822" s="82" t="s">
        <v>19512</v>
      </c>
    </row>
    <row r="5823" spans="1:12" ht="84" customHeight="1" x14ac:dyDescent="0.3">
      <c r="A5823" s="2">
        <v>5819</v>
      </c>
      <c r="B5823" s="66" t="s">
        <v>6637</v>
      </c>
      <c r="C5823" s="66" t="s">
        <v>6695</v>
      </c>
      <c r="D5823" s="11">
        <v>26112</v>
      </c>
      <c r="E5823" s="11">
        <v>26112</v>
      </c>
      <c r="F5823" s="3">
        <v>41226</v>
      </c>
      <c r="G5823" s="2"/>
      <c r="H5823" s="3">
        <v>43053</v>
      </c>
      <c r="I5823" s="2" t="s">
        <v>19506</v>
      </c>
      <c r="J5823" s="2" t="s">
        <v>13904</v>
      </c>
      <c r="K5823" s="2" t="s">
        <v>5657</v>
      </c>
      <c r="L5823" s="82" t="s">
        <v>19512</v>
      </c>
    </row>
    <row r="5824" spans="1:12" ht="84" customHeight="1" x14ac:dyDescent="0.3">
      <c r="A5824" s="2">
        <v>5820</v>
      </c>
      <c r="B5824" s="66" t="s">
        <v>6637</v>
      </c>
      <c r="C5824" s="66" t="s">
        <v>6696</v>
      </c>
      <c r="D5824" s="11">
        <v>26112</v>
      </c>
      <c r="E5824" s="11">
        <v>26112</v>
      </c>
      <c r="F5824" s="3">
        <v>41226</v>
      </c>
      <c r="G5824" s="2"/>
      <c r="H5824" s="3">
        <v>43053</v>
      </c>
      <c r="I5824" s="2" t="s">
        <v>19506</v>
      </c>
      <c r="J5824" s="2" t="s">
        <v>13904</v>
      </c>
      <c r="K5824" s="2" t="s">
        <v>5657</v>
      </c>
      <c r="L5824" s="82" t="s">
        <v>19512</v>
      </c>
    </row>
    <row r="5825" spans="1:12" ht="84" customHeight="1" x14ac:dyDescent="0.3">
      <c r="A5825" s="2">
        <v>5821</v>
      </c>
      <c r="B5825" s="66" t="s">
        <v>6637</v>
      </c>
      <c r="C5825" s="66" t="s">
        <v>6697</v>
      </c>
      <c r="D5825" s="11">
        <v>26112</v>
      </c>
      <c r="E5825" s="11">
        <v>26112</v>
      </c>
      <c r="F5825" s="3">
        <v>41226</v>
      </c>
      <c r="G5825" s="2"/>
      <c r="H5825" s="3">
        <v>43053</v>
      </c>
      <c r="I5825" s="2" t="s">
        <v>19506</v>
      </c>
      <c r="J5825" s="2" t="s">
        <v>13904</v>
      </c>
      <c r="K5825" s="2" t="s">
        <v>5657</v>
      </c>
      <c r="L5825" s="82" t="s">
        <v>19512</v>
      </c>
    </row>
    <row r="5826" spans="1:12" ht="84" customHeight="1" x14ac:dyDescent="0.3">
      <c r="A5826" s="2">
        <v>5822</v>
      </c>
      <c r="B5826" s="66" t="s">
        <v>6637</v>
      </c>
      <c r="C5826" s="66" t="s">
        <v>6698</v>
      </c>
      <c r="D5826" s="11">
        <v>26112</v>
      </c>
      <c r="E5826" s="11">
        <v>26112</v>
      </c>
      <c r="F5826" s="3">
        <v>41226</v>
      </c>
      <c r="G5826" s="2"/>
      <c r="H5826" s="3">
        <v>43053</v>
      </c>
      <c r="I5826" s="2" t="s">
        <v>19506</v>
      </c>
      <c r="J5826" s="2" t="s">
        <v>13904</v>
      </c>
      <c r="K5826" s="2" t="s">
        <v>5657</v>
      </c>
      <c r="L5826" s="82" t="s">
        <v>19512</v>
      </c>
    </row>
    <row r="5827" spans="1:12" ht="84" customHeight="1" x14ac:dyDescent="0.3">
      <c r="A5827" s="2">
        <v>5823</v>
      </c>
      <c r="B5827" s="66" t="s">
        <v>6637</v>
      </c>
      <c r="C5827" s="66" t="s">
        <v>6699</v>
      </c>
      <c r="D5827" s="11">
        <v>26112</v>
      </c>
      <c r="E5827" s="11">
        <v>26112</v>
      </c>
      <c r="F5827" s="3">
        <v>41226</v>
      </c>
      <c r="G5827" s="2"/>
      <c r="H5827" s="3">
        <v>43053</v>
      </c>
      <c r="I5827" s="2" t="s">
        <v>19506</v>
      </c>
      <c r="J5827" s="2" t="s">
        <v>13904</v>
      </c>
      <c r="K5827" s="2" t="s">
        <v>5657</v>
      </c>
      <c r="L5827" s="82" t="s">
        <v>19512</v>
      </c>
    </row>
    <row r="5828" spans="1:12" ht="84" customHeight="1" x14ac:dyDescent="0.3">
      <c r="A5828" s="2">
        <v>5824</v>
      </c>
      <c r="B5828" s="66" t="s">
        <v>6637</v>
      </c>
      <c r="C5828" s="66" t="s">
        <v>6700</v>
      </c>
      <c r="D5828" s="11">
        <v>26112</v>
      </c>
      <c r="E5828" s="11">
        <v>26112</v>
      </c>
      <c r="F5828" s="3">
        <v>41226</v>
      </c>
      <c r="G5828" s="2"/>
      <c r="H5828" s="3">
        <v>43053</v>
      </c>
      <c r="I5828" s="2" t="s">
        <v>19506</v>
      </c>
      <c r="J5828" s="2" t="s">
        <v>13904</v>
      </c>
      <c r="K5828" s="2" t="s">
        <v>5657</v>
      </c>
      <c r="L5828" s="82" t="s">
        <v>19512</v>
      </c>
    </row>
    <row r="5829" spans="1:12" ht="84" customHeight="1" x14ac:dyDescent="0.3">
      <c r="A5829" s="2">
        <v>5825</v>
      </c>
      <c r="B5829" s="66" t="s">
        <v>6637</v>
      </c>
      <c r="C5829" s="66" t="s">
        <v>6701</v>
      </c>
      <c r="D5829" s="11">
        <v>26112</v>
      </c>
      <c r="E5829" s="11">
        <v>26112</v>
      </c>
      <c r="F5829" s="3">
        <v>41226</v>
      </c>
      <c r="G5829" s="2"/>
      <c r="H5829" s="3">
        <v>43053</v>
      </c>
      <c r="I5829" s="2" t="s">
        <v>19506</v>
      </c>
      <c r="J5829" s="2" t="s">
        <v>13904</v>
      </c>
      <c r="K5829" s="2" t="s">
        <v>5657</v>
      </c>
      <c r="L5829" s="82" t="s">
        <v>19512</v>
      </c>
    </row>
    <row r="5830" spans="1:12" ht="84" customHeight="1" x14ac:dyDescent="0.3">
      <c r="A5830" s="2">
        <v>5826</v>
      </c>
      <c r="B5830" s="66" t="s">
        <v>6637</v>
      </c>
      <c r="C5830" s="66" t="s">
        <v>6702</v>
      </c>
      <c r="D5830" s="11">
        <v>26112</v>
      </c>
      <c r="E5830" s="11">
        <v>26112</v>
      </c>
      <c r="F5830" s="3">
        <v>41226</v>
      </c>
      <c r="G5830" s="2"/>
      <c r="H5830" s="3">
        <v>43053</v>
      </c>
      <c r="I5830" s="2" t="s">
        <v>19506</v>
      </c>
      <c r="J5830" s="2" t="s">
        <v>13904</v>
      </c>
      <c r="K5830" s="2" t="s">
        <v>5657</v>
      </c>
      <c r="L5830" s="82" t="s">
        <v>19512</v>
      </c>
    </row>
    <row r="5831" spans="1:12" ht="84" customHeight="1" x14ac:dyDescent="0.3">
      <c r="A5831" s="2">
        <v>5827</v>
      </c>
      <c r="B5831" s="66" t="s">
        <v>6703</v>
      </c>
      <c r="C5831" s="66" t="s">
        <v>6704</v>
      </c>
      <c r="D5831" s="11">
        <v>28332</v>
      </c>
      <c r="E5831" s="11">
        <v>28332</v>
      </c>
      <c r="F5831" s="3">
        <v>41226</v>
      </c>
      <c r="G5831" s="2"/>
      <c r="H5831" s="3">
        <v>43053</v>
      </c>
      <c r="I5831" s="2" t="s">
        <v>19506</v>
      </c>
      <c r="J5831" s="2" t="s">
        <v>13904</v>
      </c>
      <c r="K5831" s="2" t="s">
        <v>5657</v>
      </c>
      <c r="L5831" s="82" t="s">
        <v>19512</v>
      </c>
    </row>
    <row r="5832" spans="1:12" ht="84" customHeight="1" x14ac:dyDescent="0.3">
      <c r="A5832" s="2">
        <v>5828</v>
      </c>
      <c r="B5832" s="66" t="s">
        <v>6703</v>
      </c>
      <c r="C5832" s="66" t="s">
        <v>6705</v>
      </c>
      <c r="D5832" s="11">
        <v>28332</v>
      </c>
      <c r="E5832" s="11">
        <v>28332</v>
      </c>
      <c r="F5832" s="3">
        <v>41226</v>
      </c>
      <c r="G5832" s="2"/>
      <c r="H5832" s="3">
        <v>43053</v>
      </c>
      <c r="I5832" s="2" t="s">
        <v>19506</v>
      </c>
      <c r="J5832" s="2" t="s">
        <v>13904</v>
      </c>
      <c r="K5832" s="2" t="s">
        <v>5657</v>
      </c>
      <c r="L5832" s="82" t="s">
        <v>19512</v>
      </c>
    </row>
    <row r="5833" spans="1:12" ht="84" customHeight="1" x14ac:dyDescent="0.3">
      <c r="A5833" s="2">
        <v>5829</v>
      </c>
      <c r="B5833" s="66" t="s">
        <v>6703</v>
      </c>
      <c r="C5833" s="66" t="s">
        <v>6706</v>
      </c>
      <c r="D5833" s="11">
        <v>28332</v>
      </c>
      <c r="E5833" s="11">
        <v>28332</v>
      </c>
      <c r="F5833" s="3">
        <v>41226</v>
      </c>
      <c r="G5833" s="2"/>
      <c r="H5833" s="3">
        <v>43053</v>
      </c>
      <c r="I5833" s="2" t="s">
        <v>19506</v>
      </c>
      <c r="J5833" s="2" t="s">
        <v>13904</v>
      </c>
      <c r="K5833" s="2" t="s">
        <v>5657</v>
      </c>
      <c r="L5833" s="82" t="s">
        <v>19512</v>
      </c>
    </row>
    <row r="5834" spans="1:12" ht="84" customHeight="1" x14ac:dyDescent="0.3">
      <c r="A5834" s="2">
        <v>5830</v>
      </c>
      <c r="B5834" s="66" t="s">
        <v>6703</v>
      </c>
      <c r="C5834" s="66" t="s">
        <v>6707</v>
      </c>
      <c r="D5834" s="11">
        <v>28332</v>
      </c>
      <c r="E5834" s="11">
        <v>28332</v>
      </c>
      <c r="F5834" s="3">
        <v>41226</v>
      </c>
      <c r="G5834" s="2"/>
      <c r="H5834" s="3">
        <v>43053</v>
      </c>
      <c r="I5834" s="2" t="s">
        <v>19506</v>
      </c>
      <c r="J5834" s="2" t="s">
        <v>13904</v>
      </c>
      <c r="K5834" s="2" t="s">
        <v>5657</v>
      </c>
      <c r="L5834" s="82" t="s">
        <v>19512</v>
      </c>
    </row>
    <row r="5835" spans="1:12" ht="84" customHeight="1" x14ac:dyDescent="0.3">
      <c r="A5835" s="2">
        <v>5831</v>
      </c>
      <c r="B5835" s="66" t="s">
        <v>6703</v>
      </c>
      <c r="C5835" s="66" t="s">
        <v>6708</v>
      </c>
      <c r="D5835" s="11">
        <v>28332</v>
      </c>
      <c r="E5835" s="11">
        <v>28332</v>
      </c>
      <c r="F5835" s="3">
        <v>41226</v>
      </c>
      <c r="G5835" s="2"/>
      <c r="H5835" s="3">
        <v>43053</v>
      </c>
      <c r="I5835" s="2" t="s">
        <v>19506</v>
      </c>
      <c r="J5835" s="2" t="s">
        <v>13904</v>
      </c>
      <c r="K5835" s="2" t="s">
        <v>5657</v>
      </c>
      <c r="L5835" s="82" t="s">
        <v>19512</v>
      </c>
    </row>
    <row r="5836" spans="1:12" ht="84" customHeight="1" x14ac:dyDescent="0.3">
      <c r="A5836" s="2">
        <v>5832</v>
      </c>
      <c r="B5836" s="66" t="s">
        <v>6512</v>
      </c>
      <c r="C5836" s="66" t="s">
        <v>6709</v>
      </c>
      <c r="D5836" s="11">
        <v>4335</v>
      </c>
      <c r="E5836" s="11">
        <v>4335</v>
      </c>
      <c r="F5836" s="3">
        <v>41226</v>
      </c>
      <c r="G5836" s="2"/>
      <c r="H5836" s="3">
        <v>43053</v>
      </c>
      <c r="I5836" s="2" t="s">
        <v>19506</v>
      </c>
      <c r="J5836" s="2" t="s">
        <v>13904</v>
      </c>
      <c r="K5836" s="2" t="s">
        <v>5657</v>
      </c>
      <c r="L5836" s="82" t="s">
        <v>19512</v>
      </c>
    </row>
    <row r="5837" spans="1:12" ht="84" customHeight="1" x14ac:dyDescent="0.3">
      <c r="A5837" s="2">
        <v>5833</v>
      </c>
      <c r="B5837" s="66" t="s">
        <v>6512</v>
      </c>
      <c r="C5837" s="66" t="s">
        <v>6710</v>
      </c>
      <c r="D5837" s="11">
        <v>4335</v>
      </c>
      <c r="E5837" s="11">
        <v>4335</v>
      </c>
      <c r="F5837" s="3">
        <v>41226</v>
      </c>
      <c r="G5837" s="2"/>
      <c r="H5837" s="3">
        <v>43053</v>
      </c>
      <c r="I5837" s="2" t="s">
        <v>19506</v>
      </c>
      <c r="J5837" s="2" t="s">
        <v>13904</v>
      </c>
      <c r="K5837" s="2" t="s">
        <v>5657</v>
      </c>
      <c r="L5837" s="82" t="s">
        <v>19512</v>
      </c>
    </row>
    <row r="5838" spans="1:12" ht="84" customHeight="1" x14ac:dyDescent="0.3">
      <c r="A5838" s="2">
        <v>5834</v>
      </c>
      <c r="B5838" s="66" t="s">
        <v>6711</v>
      </c>
      <c r="C5838" s="66" t="s">
        <v>6712</v>
      </c>
      <c r="D5838" s="11">
        <v>6300</v>
      </c>
      <c r="E5838" s="11">
        <v>6300</v>
      </c>
      <c r="F5838" s="3">
        <v>41547</v>
      </c>
      <c r="G5838" s="2"/>
      <c r="H5838" s="3">
        <v>43053</v>
      </c>
      <c r="I5838" s="2" t="s">
        <v>19506</v>
      </c>
      <c r="J5838" s="2" t="s">
        <v>13904</v>
      </c>
      <c r="K5838" s="2" t="s">
        <v>5657</v>
      </c>
      <c r="L5838" s="82" t="s">
        <v>19512</v>
      </c>
    </row>
    <row r="5839" spans="1:12" ht="84" customHeight="1" x14ac:dyDescent="0.3">
      <c r="A5839" s="2">
        <v>5835</v>
      </c>
      <c r="B5839" s="66" t="s">
        <v>6711</v>
      </c>
      <c r="C5839" s="66" t="s">
        <v>6713</v>
      </c>
      <c r="D5839" s="11">
        <v>6300</v>
      </c>
      <c r="E5839" s="11">
        <v>6300</v>
      </c>
      <c r="F5839" s="3">
        <v>41547</v>
      </c>
      <c r="G5839" s="2"/>
      <c r="H5839" s="3">
        <v>43053</v>
      </c>
      <c r="I5839" s="2" t="s">
        <v>19506</v>
      </c>
      <c r="J5839" s="2" t="s">
        <v>13904</v>
      </c>
      <c r="K5839" s="2" t="s">
        <v>5657</v>
      </c>
      <c r="L5839" s="82" t="s">
        <v>19512</v>
      </c>
    </row>
    <row r="5840" spans="1:12" ht="84" customHeight="1" x14ac:dyDescent="0.3">
      <c r="A5840" s="2">
        <v>5836</v>
      </c>
      <c r="B5840" s="66" t="s">
        <v>6711</v>
      </c>
      <c r="C5840" s="66" t="s">
        <v>6714</v>
      </c>
      <c r="D5840" s="11">
        <v>6300</v>
      </c>
      <c r="E5840" s="11">
        <v>6300</v>
      </c>
      <c r="F5840" s="3">
        <v>41547</v>
      </c>
      <c r="G5840" s="2"/>
      <c r="H5840" s="3">
        <v>43053</v>
      </c>
      <c r="I5840" s="2" t="s">
        <v>19506</v>
      </c>
      <c r="J5840" s="2" t="s">
        <v>13904</v>
      </c>
      <c r="K5840" s="2" t="s">
        <v>5657</v>
      </c>
      <c r="L5840" s="82" t="s">
        <v>19512</v>
      </c>
    </row>
    <row r="5841" spans="1:12" ht="84" customHeight="1" x14ac:dyDescent="0.3">
      <c r="A5841" s="2">
        <v>5837</v>
      </c>
      <c r="B5841" s="66" t="s">
        <v>6715</v>
      </c>
      <c r="C5841" s="66" t="s">
        <v>6716</v>
      </c>
      <c r="D5841" s="11">
        <v>13000</v>
      </c>
      <c r="E5841" s="11">
        <v>13000</v>
      </c>
      <c r="F5841" s="3">
        <v>41547</v>
      </c>
      <c r="G5841" s="2"/>
      <c r="H5841" s="3">
        <v>43053</v>
      </c>
      <c r="I5841" s="2" t="s">
        <v>19506</v>
      </c>
      <c r="J5841" s="2" t="s">
        <v>13904</v>
      </c>
      <c r="K5841" s="2" t="s">
        <v>5657</v>
      </c>
      <c r="L5841" s="82" t="s">
        <v>19512</v>
      </c>
    </row>
    <row r="5842" spans="1:12" ht="84" customHeight="1" x14ac:dyDescent="0.3">
      <c r="A5842" s="2">
        <v>5838</v>
      </c>
      <c r="B5842" s="66" t="s">
        <v>6717</v>
      </c>
      <c r="C5842" s="66" t="s">
        <v>6718</v>
      </c>
      <c r="D5842" s="11">
        <v>17150</v>
      </c>
      <c r="E5842" s="11">
        <v>17150</v>
      </c>
      <c r="F5842" s="3">
        <v>41547</v>
      </c>
      <c r="G5842" s="2"/>
      <c r="H5842" s="3">
        <v>43053</v>
      </c>
      <c r="I5842" s="2" t="s">
        <v>19506</v>
      </c>
      <c r="J5842" s="2" t="s">
        <v>13904</v>
      </c>
      <c r="K5842" s="2" t="s">
        <v>5657</v>
      </c>
      <c r="L5842" s="82" t="s">
        <v>19512</v>
      </c>
    </row>
    <row r="5843" spans="1:12" ht="84" customHeight="1" x14ac:dyDescent="0.3">
      <c r="A5843" s="2">
        <v>5839</v>
      </c>
      <c r="B5843" s="66" t="s">
        <v>6719</v>
      </c>
      <c r="C5843" s="66" t="s">
        <v>6720</v>
      </c>
      <c r="D5843" s="11">
        <v>11150</v>
      </c>
      <c r="E5843" s="11">
        <v>11150</v>
      </c>
      <c r="F5843" s="3">
        <v>41547</v>
      </c>
      <c r="G5843" s="2"/>
      <c r="H5843" s="3">
        <v>43053</v>
      </c>
      <c r="I5843" s="2" t="s">
        <v>19506</v>
      </c>
      <c r="J5843" s="2" t="s">
        <v>13904</v>
      </c>
      <c r="K5843" s="2" t="s">
        <v>5657</v>
      </c>
      <c r="L5843" s="82" t="s">
        <v>19512</v>
      </c>
    </row>
    <row r="5844" spans="1:12" ht="84" customHeight="1" x14ac:dyDescent="0.3">
      <c r="A5844" s="2">
        <v>5840</v>
      </c>
      <c r="B5844" s="66" t="s">
        <v>6721</v>
      </c>
      <c r="C5844" s="66" t="s">
        <v>6722</v>
      </c>
      <c r="D5844" s="11">
        <v>15100</v>
      </c>
      <c r="E5844" s="11">
        <v>15100</v>
      </c>
      <c r="F5844" s="3">
        <v>41547</v>
      </c>
      <c r="G5844" s="2"/>
      <c r="H5844" s="3">
        <v>43053</v>
      </c>
      <c r="I5844" s="2" t="s">
        <v>19506</v>
      </c>
      <c r="J5844" s="2" t="s">
        <v>13904</v>
      </c>
      <c r="K5844" s="2" t="s">
        <v>5657</v>
      </c>
      <c r="L5844" s="82" t="s">
        <v>19512</v>
      </c>
    </row>
    <row r="5845" spans="1:12" ht="84" customHeight="1" x14ac:dyDescent="0.3">
      <c r="A5845" s="2">
        <v>5841</v>
      </c>
      <c r="B5845" s="66" t="s">
        <v>6711</v>
      </c>
      <c r="C5845" s="66" t="s">
        <v>6723</v>
      </c>
      <c r="D5845" s="11">
        <v>6300</v>
      </c>
      <c r="E5845" s="11">
        <v>6300</v>
      </c>
      <c r="F5845" s="3">
        <v>41547</v>
      </c>
      <c r="G5845" s="2"/>
      <c r="H5845" s="3">
        <v>43053</v>
      </c>
      <c r="I5845" s="2" t="s">
        <v>19506</v>
      </c>
      <c r="J5845" s="2" t="s">
        <v>13904</v>
      </c>
      <c r="K5845" s="2" t="s">
        <v>5657</v>
      </c>
      <c r="L5845" s="82" t="s">
        <v>19512</v>
      </c>
    </row>
    <row r="5846" spans="1:12" ht="84" customHeight="1" x14ac:dyDescent="0.3">
      <c r="A5846" s="2">
        <v>5842</v>
      </c>
      <c r="B5846" s="66" t="s">
        <v>6724</v>
      </c>
      <c r="C5846" s="66" t="s">
        <v>3206</v>
      </c>
      <c r="D5846" s="11">
        <v>56729</v>
      </c>
      <c r="E5846" s="11">
        <v>56729</v>
      </c>
      <c r="F5846" s="3">
        <v>41139</v>
      </c>
      <c r="G5846" s="2"/>
      <c r="H5846" s="2"/>
      <c r="I5846" s="2"/>
      <c r="J5846" s="2" t="s">
        <v>13904</v>
      </c>
      <c r="K5846" s="2" t="s">
        <v>5657</v>
      </c>
      <c r="L5846" s="82" t="s">
        <v>18774</v>
      </c>
    </row>
    <row r="5847" spans="1:12" ht="84" customHeight="1" x14ac:dyDescent="0.3">
      <c r="A5847" s="2">
        <v>5843</v>
      </c>
      <c r="B5847" s="66" t="s">
        <v>6725</v>
      </c>
      <c r="C5847" s="66" t="s">
        <v>3459</v>
      </c>
      <c r="D5847" s="11">
        <v>26529.15</v>
      </c>
      <c r="E5847" s="11">
        <v>26529.15</v>
      </c>
      <c r="F5847" s="3">
        <v>41139</v>
      </c>
      <c r="G5847" s="2"/>
      <c r="H5847" s="3">
        <v>43053</v>
      </c>
      <c r="I5847" s="2" t="s">
        <v>19506</v>
      </c>
      <c r="J5847" s="2" t="s">
        <v>13904</v>
      </c>
      <c r="K5847" s="2" t="s">
        <v>5657</v>
      </c>
      <c r="L5847" s="82" t="s">
        <v>19512</v>
      </c>
    </row>
    <row r="5848" spans="1:12" ht="84" customHeight="1" x14ac:dyDescent="0.3">
      <c r="A5848" s="2">
        <v>5844</v>
      </c>
      <c r="B5848" s="66" t="s">
        <v>6726</v>
      </c>
      <c r="C5848" s="66" t="s">
        <v>3790</v>
      </c>
      <c r="D5848" s="11">
        <v>10211.219999999999</v>
      </c>
      <c r="E5848" s="11">
        <v>10211.219999999999</v>
      </c>
      <c r="F5848" s="3">
        <v>41139</v>
      </c>
      <c r="G5848" s="2"/>
      <c r="H5848" s="3">
        <v>43053</v>
      </c>
      <c r="I5848" s="2" t="s">
        <v>19506</v>
      </c>
      <c r="J5848" s="2" t="s">
        <v>13904</v>
      </c>
      <c r="K5848" s="2" t="s">
        <v>5657</v>
      </c>
      <c r="L5848" s="82" t="s">
        <v>19512</v>
      </c>
    </row>
    <row r="5849" spans="1:12" ht="84" customHeight="1" x14ac:dyDescent="0.3">
      <c r="A5849" s="2">
        <v>5845</v>
      </c>
      <c r="B5849" s="66" t="s">
        <v>6727</v>
      </c>
      <c r="C5849" s="66" t="s">
        <v>3469</v>
      </c>
      <c r="D5849" s="11">
        <v>3870.92</v>
      </c>
      <c r="E5849" s="11">
        <v>3870.92</v>
      </c>
      <c r="F5849" s="3">
        <v>41139</v>
      </c>
      <c r="G5849" s="2"/>
      <c r="H5849" s="3">
        <v>43053</v>
      </c>
      <c r="I5849" s="2" t="s">
        <v>19506</v>
      </c>
      <c r="J5849" s="2" t="s">
        <v>13904</v>
      </c>
      <c r="K5849" s="2" t="s">
        <v>5657</v>
      </c>
      <c r="L5849" s="82" t="s">
        <v>19512</v>
      </c>
    </row>
    <row r="5850" spans="1:12" ht="84" customHeight="1" x14ac:dyDescent="0.3">
      <c r="A5850" s="2">
        <v>5846</v>
      </c>
      <c r="B5850" s="66" t="s">
        <v>6728</v>
      </c>
      <c r="C5850" s="66" t="s">
        <v>6729</v>
      </c>
      <c r="D5850" s="11">
        <v>28542.9</v>
      </c>
      <c r="E5850" s="11">
        <v>28542.9</v>
      </c>
      <c r="F5850" s="3">
        <v>41975</v>
      </c>
      <c r="G5850" s="2"/>
      <c r="H5850" s="3">
        <v>43053</v>
      </c>
      <c r="I5850" s="2" t="s">
        <v>19506</v>
      </c>
      <c r="J5850" s="2" t="s">
        <v>13904</v>
      </c>
      <c r="K5850" s="2" t="s">
        <v>5657</v>
      </c>
      <c r="L5850" s="82" t="s">
        <v>19512</v>
      </c>
    </row>
    <row r="5851" spans="1:12" ht="84" customHeight="1" x14ac:dyDescent="0.3">
      <c r="A5851" s="2">
        <v>5847</v>
      </c>
      <c r="B5851" s="66" t="s">
        <v>6730</v>
      </c>
      <c r="C5851" s="66" t="s">
        <v>6731</v>
      </c>
      <c r="D5851" s="11">
        <v>7960</v>
      </c>
      <c r="E5851" s="11">
        <v>7960</v>
      </c>
      <c r="F5851" s="3">
        <v>41975</v>
      </c>
      <c r="G5851" s="2"/>
      <c r="H5851" s="3">
        <v>43053</v>
      </c>
      <c r="I5851" s="2" t="s">
        <v>19506</v>
      </c>
      <c r="J5851" s="2" t="s">
        <v>13904</v>
      </c>
      <c r="K5851" s="2" t="s">
        <v>5657</v>
      </c>
      <c r="L5851" s="82" t="s">
        <v>19512</v>
      </c>
    </row>
    <row r="5852" spans="1:12" ht="84" customHeight="1" x14ac:dyDescent="0.3">
      <c r="A5852" s="2">
        <v>5848</v>
      </c>
      <c r="B5852" s="66" t="s">
        <v>6732</v>
      </c>
      <c r="C5852" s="66" t="s">
        <v>6733</v>
      </c>
      <c r="D5852" s="11">
        <v>20350</v>
      </c>
      <c r="E5852" s="11">
        <v>20350</v>
      </c>
      <c r="F5852" s="3">
        <v>41975</v>
      </c>
      <c r="G5852" s="2"/>
      <c r="H5852" s="3">
        <v>43053</v>
      </c>
      <c r="I5852" s="2" t="s">
        <v>19506</v>
      </c>
      <c r="J5852" s="2" t="s">
        <v>13904</v>
      </c>
      <c r="K5852" s="2" t="s">
        <v>5657</v>
      </c>
      <c r="L5852" s="82" t="s">
        <v>19512</v>
      </c>
    </row>
    <row r="5853" spans="1:12" ht="84" customHeight="1" x14ac:dyDescent="0.3">
      <c r="A5853" s="2">
        <v>5849</v>
      </c>
      <c r="B5853" s="66" t="s">
        <v>6734</v>
      </c>
      <c r="C5853" s="66" t="s">
        <v>6735</v>
      </c>
      <c r="D5853" s="11">
        <v>14415</v>
      </c>
      <c r="E5853" s="11">
        <v>14415</v>
      </c>
      <c r="F5853" s="3">
        <v>40862</v>
      </c>
      <c r="G5853" s="2"/>
      <c r="H5853" s="3">
        <v>43053</v>
      </c>
      <c r="I5853" s="2" t="s">
        <v>19506</v>
      </c>
      <c r="J5853" s="2" t="s">
        <v>13904</v>
      </c>
      <c r="K5853" s="2" t="s">
        <v>5657</v>
      </c>
      <c r="L5853" s="82" t="s">
        <v>19512</v>
      </c>
    </row>
    <row r="5854" spans="1:12" ht="84" customHeight="1" x14ac:dyDescent="0.3">
      <c r="A5854" s="2">
        <v>5850</v>
      </c>
      <c r="B5854" s="66" t="s">
        <v>6736</v>
      </c>
      <c r="C5854" s="66" t="s">
        <v>6737</v>
      </c>
      <c r="D5854" s="11">
        <v>14415</v>
      </c>
      <c r="E5854" s="11">
        <v>14415</v>
      </c>
      <c r="F5854" s="3">
        <v>40862</v>
      </c>
      <c r="G5854" s="2"/>
      <c r="H5854" s="3">
        <v>43053</v>
      </c>
      <c r="I5854" s="2" t="s">
        <v>19506</v>
      </c>
      <c r="J5854" s="2" t="s">
        <v>13904</v>
      </c>
      <c r="K5854" s="2" t="s">
        <v>5657</v>
      </c>
      <c r="L5854" s="82" t="s">
        <v>19512</v>
      </c>
    </row>
    <row r="5855" spans="1:12" ht="84" customHeight="1" x14ac:dyDescent="0.3">
      <c r="A5855" s="2">
        <v>5851</v>
      </c>
      <c r="B5855" s="66" t="s">
        <v>6738</v>
      </c>
      <c r="C5855" s="66" t="s">
        <v>6739</v>
      </c>
      <c r="D5855" s="11">
        <v>14415</v>
      </c>
      <c r="E5855" s="11">
        <v>14415</v>
      </c>
      <c r="F5855" s="3">
        <v>40862</v>
      </c>
      <c r="G5855" s="2"/>
      <c r="H5855" s="3">
        <v>43053</v>
      </c>
      <c r="I5855" s="2" t="s">
        <v>19506</v>
      </c>
      <c r="J5855" s="2" t="s">
        <v>13904</v>
      </c>
      <c r="K5855" s="2" t="s">
        <v>5657</v>
      </c>
      <c r="L5855" s="82" t="s">
        <v>19512</v>
      </c>
    </row>
    <row r="5856" spans="1:12" ht="84" customHeight="1" x14ac:dyDescent="0.3">
      <c r="A5856" s="2">
        <v>5852</v>
      </c>
      <c r="B5856" s="66" t="s">
        <v>6740</v>
      </c>
      <c r="C5856" s="66" t="s">
        <v>6741</v>
      </c>
      <c r="D5856" s="11">
        <v>24483</v>
      </c>
      <c r="E5856" s="11">
        <v>24483</v>
      </c>
      <c r="F5856" s="3">
        <v>40862</v>
      </c>
      <c r="G5856" s="2"/>
      <c r="H5856" s="3">
        <v>43053</v>
      </c>
      <c r="I5856" s="2" t="s">
        <v>19506</v>
      </c>
      <c r="J5856" s="2" t="s">
        <v>13904</v>
      </c>
      <c r="K5856" s="2" t="s">
        <v>5657</v>
      </c>
      <c r="L5856" s="82" t="s">
        <v>19512</v>
      </c>
    </row>
    <row r="5857" spans="1:12" ht="84" customHeight="1" x14ac:dyDescent="0.3">
      <c r="A5857" s="2">
        <v>5853</v>
      </c>
      <c r="B5857" s="66" t="s">
        <v>6742</v>
      </c>
      <c r="C5857" s="66" t="s">
        <v>6743</v>
      </c>
      <c r="D5857" s="11">
        <v>27864</v>
      </c>
      <c r="E5857" s="11">
        <v>27864</v>
      </c>
      <c r="F5857" s="3">
        <v>40862</v>
      </c>
      <c r="G5857" s="2"/>
      <c r="H5857" s="3">
        <v>43053</v>
      </c>
      <c r="I5857" s="2" t="s">
        <v>19506</v>
      </c>
      <c r="J5857" s="2" t="s">
        <v>13904</v>
      </c>
      <c r="K5857" s="2" t="s">
        <v>5657</v>
      </c>
      <c r="L5857" s="82" t="s">
        <v>19512</v>
      </c>
    </row>
    <row r="5858" spans="1:12" ht="84" customHeight="1" x14ac:dyDescent="0.3">
      <c r="A5858" s="2">
        <v>5854</v>
      </c>
      <c r="B5858" s="66" t="s">
        <v>6744</v>
      </c>
      <c r="C5858" s="66" t="s">
        <v>6745</v>
      </c>
      <c r="D5858" s="11">
        <v>19185</v>
      </c>
      <c r="E5858" s="11">
        <v>19185</v>
      </c>
      <c r="F5858" s="3">
        <v>40862</v>
      </c>
      <c r="G5858" s="2"/>
      <c r="H5858" s="3">
        <v>43053</v>
      </c>
      <c r="I5858" s="2" t="s">
        <v>19506</v>
      </c>
      <c r="J5858" s="2" t="s">
        <v>13904</v>
      </c>
      <c r="K5858" s="2" t="s">
        <v>5657</v>
      </c>
      <c r="L5858" s="82" t="s">
        <v>19512</v>
      </c>
    </row>
    <row r="5859" spans="1:12" ht="84" customHeight="1" x14ac:dyDescent="0.3">
      <c r="A5859" s="2">
        <v>5855</v>
      </c>
      <c r="B5859" s="66" t="s">
        <v>6746</v>
      </c>
      <c r="C5859" s="66" t="s">
        <v>6747</v>
      </c>
      <c r="D5859" s="11">
        <v>28207</v>
      </c>
      <c r="E5859" s="11">
        <v>28207</v>
      </c>
      <c r="F5859" s="3">
        <v>40862</v>
      </c>
      <c r="G5859" s="2"/>
      <c r="H5859" s="3">
        <v>43053</v>
      </c>
      <c r="I5859" s="2" t="s">
        <v>19506</v>
      </c>
      <c r="J5859" s="2" t="s">
        <v>13904</v>
      </c>
      <c r="K5859" s="2" t="s">
        <v>5657</v>
      </c>
      <c r="L5859" s="82" t="s">
        <v>19512</v>
      </c>
    </row>
    <row r="5860" spans="1:12" ht="84" customHeight="1" x14ac:dyDescent="0.3">
      <c r="A5860" s="2">
        <v>5856</v>
      </c>
      <c r="B5860" s="66" t="s">
        <v>6748</v>
      </c>
      <c r="C5860" s="66" t="s">
        <v>6749</v>
      </c>
      <c r="D5860" s="11">
        <v>17014.39</v>
      </c>
      <c r="E5860" s="11">
        <v>17014.39</v>
      </c>
      <c r="F5860" s="3">
        <v>39052</v>
      </c>
      <c r="G5860" s="2"/>
      <c r="H5860" s="3">
        <v>43053</v>
      </c>
      <c r="I5860" s="2" t="s">
        <v>19506</v>
      </c>
      <c r="J5860" s="2" t="s">
        <v>13904</v>
      </c>
      <c r="K5860" s="2" t="s">
        <v>5657</v>
      </c>
      <c r="L5860" s="82" t="s">
        <v>19512</v>
      </c>
    </row>
    <row r="5861" spans="1:12" ht="84" customHeight="1" x14ac:dyDescent="0.3">
      <c r="A5861" s="2">
        <v>5857</v>
      </c>
      <c r="B5861" s="66" t="s">
        <v>6750</v>
      </c>
      <c r="C5861" s="66" t="s">
        <v>6751</v>
      </c>
      <c r="D5861" s="11">
        <v>10341</v>
      </c>
      <c r="E5861" s="11">
        <v>10341</v>
      </c>
      <c r="F5861" s="3">
        <v>40862</v>
      </c>
      <c r="G5861" s="2"/>
      <c r="H5861" s="3">
        <v>43053</v>
      </c>
      <c r="I5861" s="2" t="s">
        <v>19506</v>
      </c>
      <c r="J5861" s="2" t="s">
        <v>13904</v>
      </c>
      <c r="K5861" s="2" t="s">
        <v>5657</v>
      </c>
      <c r="L5861" s="82" t="s">
        <v>19512</v>
      </c>
    </row>
    <row r="5862" spans="1:12" ht="84" customHeight="1" x14ac:dyDescent="0.3">
      <c r="A5862" s="2">
        <v>5858</v>
      </c>
      <c r="B5862" s="66" t="s">
        <v>6752</v>
      </c>
      <c r="C5862" s="66" t="s">
        <v>6753</v>
      </c>
      <c r="D5862" s="11">
        <v>43681.55</v>
      </c>
      <c r="E5862" s="11">
        <v>43681.55</v>
      </c>
      <c r="F5862" s="3">
        <v>39073</v>
      </c>
      <c r="G5862" s="2"/>
      <c r="H5862" s="3">
        <v>43053</v>
      </c>
      <c r="I5862" s="2" t="s">
        <v>19506</v>
      </c>
      <c r="J5862" s="2" t="s">
        <v>13904</v>
      </c>
      <c r="K5862" s="2" t="s">
        <v>5657</v>
      </c>
      <c r="L5862" s="82" t="s">
        <v>19512</v>
      </c>
    </row>
    <row r="5863" spans="1:12" ht="84" customHeight="1" x14ac:dyDescent="0.3">
      <c r="A5863" s="2">
        <v>5859</v>
      </c>
      <c r="B5863" s="66" t="s">
        <v>6754</v>
      </c>
      <c r="C5863" s="66" t="s">
        <v>6755</v>
      </c>
      <c r="D5863" s="11">
        <v>10646</v>
      </c>
      <c r="E5863" s="11">
        <v>10646</v>
      </c>
      <c r="F5863" s="3">
        <v>40891</v>
      </c>
      <c r="G5863" s="2"/>
      <c r="H5863" s="3">
        <v>43053</v>
      </c>
      <c r="I5863" s="2" t="s">
        <v>19506</v>
      </c>
      <c r="J5863" s="2" t="s">
        <v>13904</v>
      </c>
      <c r="K5863" s="2" t="s">
        <v>5657</v>
      </c>
      <c r="L5863" s="82" t="s">
        <v>19512</v>
      </c>
    </row>
    <row r="5864" spans="1:12" ht="84" customHeight="1" x14ac:dyDescent="0.3">
      <c r="A5864" s="2">
        <v>5860</v>
      </c>
      <c r="B5864" s="66" t="s">
        <v>6756</v>
      </c>
      <c r="C5864" s="66" t="s">
        <v>6757</v>
      </c>
      <c r="D5864" s="11">
        <v>10646</v>
      </c>
      <c r="E5864" s="11">
        <v>10646</v>
      </c>
      <c r="F5864" s="3">
        <v>40891</v>
      </c>
      <c r="G5864" s="2"/>
      <c r="H5864" s="3">
        <v>43053</v>
      </c>
      <c r="I5864" s="2" t="s">
        <v>19506</v>
      </c>
      <c r="J5864" s="2" t="s">
        <v>13904</v>
      </c>
      <c r="K5864" s="2" t="s">
        <v>5657</v>
      </c>
      <c r="L5864" s="82" t="s">
        <v>19512</v>
      </c>
    </row>
    <row r="5865" spans="1:12" ht="84" customHeight="1" x14ac:dyDescent="0.3">
      <c r="A5865" s="2">
        <v>5861</v>
      </c>
      <c r="B5865" s="66" t="s">
        <v>6758</v>
      </c>
      <c r="C5865" s="66" t="s">
        <v>6759</v>
      </c>
      <c r="D5865" s="11">
        <v>10646</v>
      </c>
      <c r="E5865" s="11">
        <v>10646</v>
      </c>
      <c r="F5865" s="3">
        <v>40891</v>
      </c>
      <c r="G5865" s="2"/>
      <c r="H5865" s="3">
        <v>43053</v>
      </c>
      <c r="I5865" s="2" t="s">
        <v>19506</v>
      </c>
      <c r="J5865" s="2" t="s">
        <v>13904</v>
      </c>
      <c r="K5865" s="2" t="s">
        <v>5657</v>
      </c>
      <c r="L5865" s="82" t="s">
        <v>19512</v>
      </c>
    </row>
    <row r="5866" spans="1:12" ht="84" customHeight="1" x14ac:dyDescent="0.3">
      <c r="A5866" s="2">
        <v>5862</v>
      </c>
      <c r="B5866" s="66" t="s">
        <v>6760</v>
      </c>
      <c r="C5866" s="66" t="s">
        <v>6761</v>
      </c>
      <c r="D5866" s="11">
        <v>10646</v>
      </c>
      <c r="E5866" s="11">
        <v>10646</v>
      </c>
      <c r="F5866" s="3">
        <v>40891</v>
      </c>
      <c r="G5866" s="2"/>
      <c r="H5866" s="3">
        <v>43053</v>
      </c>
      <c r="I5866" s="2" t="s">
        <v>19506</v>
      </c>
      <c r="J5866" s="2" t="s">
        <v>13904</v>
      </c>
      <c r="K5866" s="2" t="s">
        <v>5657</v>
      </c>
      <c r="L5866" s="82" t="s">
        <v>19512</v>
      </c>
    </row>
    <row r="5867" spans="1:12" ht="84" customHeight="1" x14ac:dyDescent="0.3">
      <c r="A5867" s="2">
        <v>5863</v>
      </c>
      <c r="B5867" s="66" t="s">
        <v>6762</v>
      </c>
      <c r="C5867" s="66" t="s">
        <v>6763</v>
      </c>
      <c r="D5867" s="11">
        <v>10646</v>
      </c>
      <c r="E5867" s="11">
        <v>10646</v>
      </c>
      <c r="F5867" s="3">
        <v>40891</v>
      </c>
      <c r="G5867" s="2"/>
      <c r="H5867" s="3">
        <v>43053</v>
      </c>
      <c r="I5867" s="2" t="s">
        <v>19506</v>
      </c>
      <c r="J5867" s="2" t="s">
        <v>13904</v>
      </c>
      <c r="K5867" s="2" t="s">
        <v>5657</v>
      </c>
      <c r="L5867" s="82" t="s">
        <v>19512</v>
      </c>
    </row>
    <row r="5868" spans="1:12" ht="84" customHeight="1" x14ac:dyDescent="0.3">
      <c r="A5868" s="2">
        <v>5864</v>
      </c>
      <c r="B5868" s="66" t="s">
        <v>6760</v>
      </c>
      <c r="C5868" s="66" t="s">
        <v>6764</v>
      </c>
      <c r="D5868" s="11">
        <v>10646</v>
      </c>
      <c r="E5868" s="11">
        <v>10646</v>
      </c>
      <c r="F5868" s="3">
        <v>40891</v>
      </c>
      <c r="G5868" s="2"/>
      <c r="H5868" s="3">
        <v>43053</v>
      </c>
      <c r="I5868" s="2" t="s">
        <v>19506</v>
      </c>
      <c r="J5868" s="2" t="s">
        <v>13904</v>
      </c>
      <c r="K5868" s="2" t="s">
        <v>5657</v>
      </c>
      <c r="L5868" s="82" t="s">
        <v>19512</v>
      </c>
    </row>
    <row r="5869" spans="1:12" ht="84" customHeight="1" x14ac:dyDescent="0.3">
      <c r="A5869" s="2">
        <v>5865</v>
      </c>
      <c r="B5869" s="66" t="s">
        <v>6765</v>
      </c>
      <c r="C5869" s="66" t="s">
        <v>6766</v>
      </c>
      <c r="D5869" s="11">
        <v>10646</v>
      </c>
      <c r="E5869" s="11">
        <v>10646</v>
      </c>
      <c r="F5869" s="3">
        <v>40891</v>
      </c>
      <c r="G5869" s="2"/>
      <c r="H5869" s="3">
        <v>43053</v>
      </c>
      <c r="I5869" s="2" t="s">
        <v>19506</v>
      </c>
      <c r="J5869" s="2" t="s">
        <v>13904</v>
      </c>
      <c r="K5869" s="2" t="s">
        <v>5657</v>
      </c>
      <c r="L5869" s="82" t="s">
        <v>19512</v>
      </c>
    </row>
    <row r="5870" spans="1:12" ht="84" customHeight="1" x14ac:dyDescent="0.3">
      <c r="A5870" s="2">
        <v>5866</v>
      </c>
      <c r="B5870" s="66" t="s">
        <v>6765</v>
      </c>
      <c r="C5870" s="66" t="s">
        <v>6767</v>
      </c>
      <c r="D5870" s="11">
        <v>10646</v>
      </c>
      <c r="E5870" s="11">
        <v>10646</v>
      </c>
      <c r="F5870" s="3">
        <v>40891</v>
      </c>
      <c r="G5870" s="2"/>
      <c r="H5870" s="3">
        <v>43053</v>
      </c>
      <c r="I5870" s="2" t="s">
        <v>19506</v>
      </c>
      <c r="J5870" s="2" t="s">
        <v>13904</v>
      </c>
      <c r="K5870" s="2" t="s">
        <v>5657</v>
      </c>
      <c r="L5870" s="82" t="s">
        <v>19512</v>
      </c>
    </row>
    <row r="5871" spans="1:12" ht="84" customHeight="1" x14ac:dyDescent="0.3">
      <c r="A5871" s="2">
        <v>5867</v>
      </c>
      <c r="B5871" s="66" t="s">
        <v>6765</v>
      </c>
      <c r="C5871" s="66" t="s">
        <v>6768</v>
      </c>
      <c r="D5871" s="11">
        <v>10646</v>
      </c>
      <c r="E5871" s="11">
        <v>10646</v>
      </c>
      <c r="F5871" s="3">
        <v>40891</v>
      </c>
      <c r="G5871" s="2"/>
      <c r="H5871" s="3">
        <v>43053</v>
      </c>
      <c r="I5871" s="2" t="s">
        <v>19506</v>
      </c>
      <c r="J5871" s="2" t="s">
        <v>13904</v>
      </c>
      <c r="K5871" s="2" t="s">
        <v>5657</v>
      </c>
      <c r="L5871" s="82" t="s">
        <v>19512</v>
      </c>
    </row>
    <row r="5872" spans="1:12" ht="84" customHeight="1" x14ac:dyDescent="0.3">
      <c r="A5872" s="2">
        <v>5868</v>
      </c>
      <c r="B5872" s="66" t="s">
        <v>6765</v>
      </c>
      <c r="C5872" s="66" t="s">
        <v>6769</v>
      </c>
      <c r="D5872" s="11">
        <v>10646</v>
      </c>
      <c r="E5872" s="11">
        <v>10646</v>
      </c>
      <c r="F5872" s="3">
        <v>40891</v>
      </c>
      <c r="G5872" s="2"/>
      <c r="H5872" s="3">
        <v>43053</v>
      </c>
      <c r="I5872" s="2" t="s">
        <v>19506</v>
      </c>
      <c r="J5872" s="2" t="s">
        <v>13904</v>
      </c>
      <c r="K5872" s="2" t="s">
        <v>5657</v>
      </c>
      <c r="L5872" s="82" t="s">
        <v>19512</v>
      </c>
    </row>
    <row r="5873" spans="1:12" ht="84" customHeight="1" x14ac:dyDescent="0.3">
      <c r="A5873" s="2">
        <v>5869</v>
      </c>
      <c r="B5873" s="66" t="s">
        <v>6765</v>
      </c>
      <c r="C5873" s="66" t="s">
        <v>6770</v>
      </c>
      <c r="D5873" s="11">
        <v>10646</v>
      </c>
      <c r="E5873" s="11">
        <v>10646</v>
      </c>
      <c r="F5873" s="3">
        <v>40891</v>
      </c>
      <c r="G5873" s="2"/>
      <c r="H5873" s="3">
        <v>43053</v>
      </c>
      <c r="I5873" s="2" t="s">
        <v>19506</v>
      </c>
      <c r="J5873" s="2" t="s">
        <v>13904</v>
      </c>
      <c r="K5873" s="2" t="s">
        <v>5657</v>
      </c>
      <c r="L5873" s="82" t="s">
        <v>19512</v>
      </c>
    </row>
    <row r="5874" spans="1:12" ht="84" customHeight="1" x14ac:dyDescent="0.3">
      <c r="A5874" s="2">
        <v>5870</v>
      </c>
      <c r="B5874" s="66" t="s">
        <v>6771</v>
      </c>
      <c r="C5874" s="66" t="s">
        <v>6772</v>
      </c>
      <c r="D5874" s="11">
        <v>10646</v>
      </c>
      <c r="E5874" s="11">
        <v>10646</v>
      </c>
      <c r="F5874" s="3">
        <v>40891</v>
      </c>
      <c r="G5874" s="2"/>
      <c r="H5874" s="3">
        <v>43053</v>
      </c>
      <c r="I5874" s="2" t="s">
        <v>19506</v>
      </c>
      <c r="J5874" s="2" t="s">
        <v>13904</v>
      </c>
      <c r="K5874" s="2" t="s">
        <v>5657</v>
      </c>
      <c r="L5874" s="82" t="s">
        <v>19512</v>
      </c>
    </row>
    <row r="5875" spans="1:12" ht="84" customHeight="1" x14ac:dyDescent="0.3">
      <c r="A5875" s="2">
        <v>5871</v>
      </c>
      <c r="B5875" s="66" t="s">
        <v>6773</v>
      </c>
      <c r="C5875" s="66" t="s">
        <v>6774</v>
      </c>
      <c r="D5875" s="11">
        <v>10646</v>
      </c>
      <c r="E5875" s="11">
        <v>10646</v>
      </c>
      <c r="F5875" s="3">
        <v>40891</v>
      </c>
      <c r="G5875" s="2"/>
      <c r="H5875" s="3">
        <v>43053</v>
      </c>
      <c r="I5875" s="2" t="s">
        <v>19506</v>
      </c>
      <c r="J5875" s="2" t="s">
        <v>13904</v>
      </c>
      <c r="K5875" s="2" t="s">
        <v>5657</v>
      </c>
      <c r="L5875" s="82" t="s">
        <v>19512</v>
      </c>
    </row>
    <row r="5876" spans="1:12" ht="84" customHeight="1" x14ac:dyDescent="0.3">
      <c r="A5876" s="2">
        <v>5872</v>
      </c>
      <c r="B5876" s="66" t="s">
        <v>6775</v>
      </c>
      <c r="C5876" s="66" t="s">
        <v>5475</v>
      </c>
      <c r="D5876" s="11">
        <v>11245.5</v>
      </c>
      <c r="E5876" s="11">
        <v>11245.5</v>
      </c>
      <c r="F5876" s="3">
        <v>39052</v>
      </c>
      <c r="G5876" s="2"/>
      <c r="H5876" s="3">
        <v>43053</v>
      </c>
      <c r="I5876" s="2" t="s">
        <v>19506</v>
      </c>
      <c r="J5876" s="2" t="s">
        <v>13904</v>
      </c>
      <c r="K5876" s="2" t="s">
        <v>5657</v>
      </c>
      <c r="L5876" s="82" t="s">
        <v>19512</v>
      </c>
    </row>
    <row r="5877" spans="1:12" ht="84" customHeight="1" x14ac:dyDescent="0.3">
      <c r="A5877" s="2">
        <v>5873</v>
      </c>
      <c r="B5877" s="66" t="s">
        <v>6776</v>
      </c>
      <c r="C5877" s="66" t="s">
        <v>6777</v>
      </c>
      <c r="D5877" s="11">
        <v>35953.980000000003</v>
      </c>
      <c r="E5877" s="11">
        <v>35953.980000000003</v>
      </c>
      <c r="F5877" s="3">
        <v>39052</v>
      </c>
      <c r="G5877" s="2"/>
      <c r="H5877" s="3">
        <v>43053</v>
      </c>
      <c r="I5877" s="2" t="s">
        <v>19506</v>
      </c>
      <c r="J5877" s="2" t="s">
        <v>13904</v>
      </c>
      <c r="K5877" s="2" t="s">
        <v>5657</v>
      </c>
      <c r="L5877" s="82" t="s">
        <v>19512</v>
      </c>
    </row>
    <row r="5878" spans="1:12" ht="84" customHeight="1" x14ac:dyDescent="0.3">
      <c r="A5878" s="2">
        <v>5874</v>
      </c>
      <c r="B5878" s="66" t="s">
        <v>6778</v>
      </c>
      <c r="C5878" s="66">
        <v>4101260015</v>
      </c>
      <c r="D5878" s="11">
        <v>55900</v>
      </c>
      <c r="E5878" s="11">
        <v>55900</v>
      </c>
      <c r="F5878" s="3" t="s">
        <v>23501</v>
      </c>
      <c r="G5878" s="2" t="s">
        <v>23502</v>
      </c>
      <c r="H5878" s="3"/>
      <c r="I5878" s="2"/>
      <c r="J5878" s="2" t="s">
        <v>13904</v>
      </c>
      <c r="K5878" s="2" t="s">
        <v>23503</v>
      </c>
      <c r="L5878" s="82" t="s">
        <v>23504</v>
      </c>
    </row>
    <row r="5879" spans="1:12" ht="84" customHeight="1" x14ac:dyDescent="0.3">
      <c r="A5879" s="2">
        <v>5875</v>
      </c>
      <c r="B5879" s="66" t="s">
        <v>6779</v>
      </c>
      <c r="C5879" s="66" t="s">
        <v>6780</v>
      </c>
      <c r="D5879" s="11">
        <v>35099.21</v>
      </c>
      <c r="E5879" s="11">
        <v>35099.21</v>
      </c>
      <c r="F5879" s="3">
        <v>39052</v>
      </c>
      <c r="G5879" s="2"/>
      <c r="H5879" s="3">
        <v>43053</v>
      </c>
      <c r="I5879" s="2" t="s">
        <v>19506</v>
      </c>
      <c r="J5879" s="2" t="s">
        <v>13904</v>
      </c>
      <c r="K5879" s="2" t="s">
        <v>5657</v>
      </c>
      <c r="L5879" s="82" t="s">
        <v>19512</v>
      </c>
    </row>
    <row r="5880" spans="1:12" ht="84" customHeight="1" x14ac:dyDescent="0.3">
      <c r="A5880" s="2">
        <v>5876</v>
      </c>
      <c r="B5880" s="66" t="s">
        <v>6781</v>
      </c>
      <c r="C5880" s="66" t="s">
        <v>6782</v>
      </c>
      <c r="D5880" s="11">
        <v>49384.32</v>
      </c>
      <c r="E5880" s="11">
        <v>49384.32</v>
      </c>
      <c r="F5880" s="3">
        <v>39052</v>
      </c>
      <c r="G5880" s="2"/>
      <c r="H5880" s="3">
        <v>43053</v>
      </c>
      <c r="I5880" s="2" t="s">
        <v>19506</v>
      </c>
      <c r="J5880" s="2" t="s">
        <v>13904</v>
      </c>
      <c r="K5880" s="2" t="s">
        <v>5657</v>
      </c>
      <c r="L5880" s="82" t="s">
        <v>19512</v>
      </c>
    </row>
    <row r="5881" spans="1:12" ht="84" customHeight="1" x14ac:dyDescent="0.3">
      <c r="A5881" s="2">
        <v>5877</v>
      </c>
      <c r="B5881" s="66" t="s">
        <v>6775</v>
      </c>
      <c r="C5881" s="66" t="s">
        <v>4209</v>
      </c>
      <c r="D5881" s="11">
        <v>11245.5</v>
      </c>
      <c r="E5881" s="11">
        <v>11245.5</v>
      </c>
      <c r="F5881" s="3">
        <v>39052</v>
      </c>
      <c r="G5881" s="2"/>
      <c r="H5881" s="3">
        <v>43053</v>
      </c>
      <c r="I5881" s="2" t="s">
        <v>19506</v>
      </c>
      <c r="J5881" s="2" t="s">
        <v>13904</v>
      </c>
      <c r="K5881" s="2" t="s">
        <v>5657</v>
      </c>
      <c r="L5881" s="82" t="s">
        <v>19512</v>
      </c>
    </row>
    <row r="5882" spans="1:12" ht="84" customHeight="1" x14ac:dyDescent="0.3">
      <c r="A5882" s="2">
        <v>5878</v>
      </c>
      <c r="B5882" s="66" t="s">
        <v>6783</v>
      </c>
      <c r="C5882" s="66" t="s">
        <v>6784</v>
      </c>
      <c r="D5882" s="11">
        <v>22491</v>
      </c>
      <c r="E5882" s="11">
        <v>22491</v>
      </c>
      <c r="F5882" s="3">
        <v>39063</v>
      </c>
      <c r="G5882" s="2"/>
      <c r="H5882" s="3">
        <v>43053</v>
      </c>
      <c r="I5882" s="2" t="s">
        <v>19506</v>
      </c>
      <c r="J5882" s="2" t="s">
        <v>13904</v>
      </c>
      <c r="K5882" s="2" t="s">
        <v>5657</v>
      </c>
      <c r="L5882" s="82" t="s">
        <v>19512</v>
      </c>
    </row>
    <row r="5883" spans="1:12" ht="84" customHeight="1" x14ac:dyDescent="0.3">
      <c r="A5883" s="2">
        <v>5879</v>
      </c>
      <c r="B5883" s="66" t="s">
        <v>6510</v>
      </c>
      <c r="C5883" s="66" t="s">
        <v>6785</v>
      </c>
      <c r="D5883" s="11">
        <v>22491</v>
      </c>
      <c r="E5883" s="11">
        <v>22491</v>
      </c>
      <c r="F5883" s="3">
        <v>39063</v>
      </c>
      <c r="G5883" s="2"/>
      <c r="H5883" s="3">
        <v>43053</v>
      </c>
      <c r="I5883" s="2" t="s">
        <v>19506</v>
      </c>
      <c r="J5883" s="2" t="s">
        <v>13904</v>
      </c>
      <c r="K5883" s="2" t="s">
        <v>5657</v>
      </c>
      <c r="L5883" s="82" t="s">
        <v>19512</v>
      </c>
    </row>
    <row r="5884" spans="1:12" ht="84" customHeight="1" x14ac:dyDescent="0.3">
      <c r="A5884" s="2">
        <v>5880</v>
      </c>
      <c r="B5884" s="66" t="s">
        <v>6786</v>
      </c>
      <c r="C5884" s="66" t="s">
        <v>6787</v>
      </c>
      <c r="D5884" s="11">
        <v>15422.4</v>
      </c>
      <c r="E5884" s="11">
        <v>15422.4</v>
      </c>
      <c r="F5884" s="3">
        <v>39052</v>
      </c>
      <c r="G5884" s="2"/>
      <c r="H5884" s="3">
        <v>43053</v>
      </c>
      <c r="I5884" s="2" t="s">
        <v>19506</v>
      </c>
      <c r="J5884" s="2" t="s">
        <v>13904</v>
      </c>
      <c r="K5884" s="2" t="s">
        <v>5657</v>
      </c>
      <c r="L5884" s="82" t="s">
        <v>19512</v>
      </c>
    </row>
    <row r="5885" spans="1:12" ht="84" customHeight="1" x14ac:dyDescent="0.3">
      <c r="A5885" s="2">
        <v>5881</v>
      </c>
      <c r="B5885" s="66" t="s">
        <v>6788</v>
      </c>
      <c r="C5885" s="66" t="s">
        <v>6789</v>
      </c>
      <c r="D5885" s="11">
        <v>7865.22</v>
      </c>
      <c r="E5885" s="11">
        <v>7865.22</v>
      </c>
      <c r="F5885" s="3">
        <v>39051</v>
      </c>
      <c r="G5885" s="2"/>
      <c r="H5885" s="3">
        <v>43053</v>
      </c>
      <c r="I5885" s="2" t="s">
        <v>19506</v>
      </c>
      <c r="J5885" s="2" t="s">
        <v>13904</v>
      </c>
      <c r="K5885" s="2" t="s">
        <v>5657</v>
      </c>
      <c r="L5885" s="82" t="s">
        <v>19512</v>
      </c>
    </row>
    <row r="5886" spans="1:12" ht="84" customHeight="1" x14ac:dyDescent="0.3">
      <c r="A5886" s="2">
        <v>5882</v>
      </c>
      <c r="B5886" s="66" t="s">
        <v>6295</v>
      </c>
      <c r="C5886" s="66" t="s">
        <v>6790</v>
      </c>
      <c r="D5886" s="11">
        <v>6000</v>
      </c>
      <c r="E5886" s="11">
        <v>6000</v>
      </c>
      <c r="F5886" s="3">
        <v>39762</v>
      </c>
      <c r="G5886" s="2"/>
      <c r="H5886" s="3">
        <v>43053</v>
      </c>
      <c r="I5886" s="2" t="s">
        <v>19506</v>
      </c>
      <c r="J5886" s="2" t="s">
        <v>13904</v>
      </c>
      <c r="K5886" s="2" t="s">
        <v>5657</v>
      </c>
      <c r="L5886" s="82" t="s">
        <v>19512</v>
      </c>
    </row>
    <row r="5887" spans="1:12" ht="84" customHeight="1" x14ac:dyDescent="0.3">
      <c r="A5887" s="2">
        <v>5883</v>
      </c>
      <c r="B5887" s="66" t="s">
        <v>5667</v>
      </c>
      <c r="C5887" s="66" t="s">
        <v>6791</v>
      </c>
      <c r="D5887" s="11">
        <v>24800</v>
      </c>
      <c r="E5887" s="11">
        <v>24800</v>
      </c>
      <c r="F5887" s="3">
        <v>39762</v>
      </c>
      <c r="G5887" s="2"/>
      <c r="H5887" s="3">
        <v>43053</v>
      </c>
      <c r="I5887" s="2" t="s">
        <v>19506</v>
      </c>
      <c r="J5887" s="2" t="s">
        <v>13904</v>
      </c>
      <c r="K5887" s="2" t="s">
        <v>5657</v>
      </c>
      <c r="L5887" s="82" t="s">
        <v>19512</v>
      </c>
    </row>
    <row r="5888" spans="1:12" ht="84" customHeight="1" x14ac:dyDescent="0.3">
      <c r="A5888" s="2">
        <v>5884</v>
      </c>
      <c r="B5888" s="66" t="s">
        <v>912</v>
      </c>
      <c r="C5888" s="66" t="s">
        <v>5726</v>
      </c>
      <c r="D5888" s="11">
        <v>32960</v>
      </c>
      <c r="E5888" s="11">
        <v>32960</v>
      </c>
      <c r="F5888" s="3">
        <v>39052</v>
      </c>
      <c r="G5888" s="2"/>
      <c r="H5888" s="3">
        <v>43053</v>
      </c>
      <c r="I5888" s="2" t="s">
        <v>19506</v>
      </c>
      <c r="J5888" s="2" t="s">
        <v>13904</v>
      </c>
      <c r="K5888" s="2" t="s">
        <v>5657</v>
      </c>
      <c r="L5888" s="82" t="s">
        <v>19512</v>
      </c>
    </row>
    <row r="5889" spans="1:12" ht="84" customHeight="1" x14ac:dyDescent="0.3">
      <c r="A5889" s="2">
        <v>5885</v>
      </c>
      <c r="B5889" s="66" t="s">
        <v>4802</v>
      </c>
      <c r="C5889" s="66" t="s">
        <v>6792</v>
      </c>
      <c r="D5889" s="11">
        <v>3162.44</v>
      </c>
      <c r="E5889" s="11">
        <v>3162.44</v>
      </c>
      <c r="F5889" s="3">
        <v>35964</v>
      </c>
      <c r="G5889" s="2"/>
      <c r="H5889" s="3">
        <v>43053</v>
      </c>
      <c r="I5889" s="2" t="s">
        <v>19506</v>
      </c>
      <c r="J5889" s="2" t="s">
        <v>13904</v>
      </c>
      <c r="K5889" s="2" t="s">
        <v>5657</v>
      </c>
      <c r="L5889" s="82" t="s">
        <v>19512</v>
      </c>
    </row>
    <row r="5890" spans="1:12" ht="84" customHeight="1" x14ac:dyDescent="0.3">
      <c r="A5890" s="2">
        <v>5886</v>
      </c>
      <c r="B5890" s="66" t="s">
        <v>6793</v>
      </c>
      <c r="C5890" s="66" t="s">
        <v>6794</v>
      </c>
      <c r="D5890" s="11">
        <v>3244.41</v>
      </c>
      <c r="E5890" s="11">
        <v>3244.41</v>
      </c>
      <c r="F5890" s="3">
        <v>36321</v>
      </c>
      <c r="G5890" s="2"/>
      <c r="H5890" s="3">
        <v>43053</v>
      </c>
      <c r="I5890" s="2" t="s">
        <v>19506</v>
      </c>
      <c r="J5890" s="2" t="s">
        <v>13904</v>
      </c>
      <c r="K5890" s="2" t="s">
        <v>5657</v>
      </c>
      <c r="L5890" s="82" t="s">
        <v>19512</v>
      </c>
    </row>
    <row r="5891" spans="1:12" ht="84" customHeight="1" x14ac:dyDescent="0.3">
      <c r="A5891" s="2">
        <v>5887</v>
      </c>
      <c r="B5891" s="66" t="s">
        <v>6795</v>
      </c>
      <c r="C5891" s="66" t="s">
        <v>6796</v>
      </c>
      <c r="D5891" s="11">
        <v>23257.52</v>
      </c>
      <c r="E5891" s="11">
        <v>23257.52</v>
      </c>
      <c r="F5891" s="3">
        <v>38635</v>
      </c>
      <c r="G5891" s="2"/>
      <c r="H5891" s="3">
        <v>43053</v>
      </c>
      <c r="I5891" s="2" t="s">
        <v>19506</v>
      </c>
      <c r="J5891" s="2" t="s">
        <v>13904</v>
      </c>
      <c r="K5891" s="2" t="s">
        <v>5657</v>
      </c>
      <c r="L5891" s="82" t="s">
        <v>19512</v>
      </c>
    </row>
    <row r="5892" spans="1:12" ht="84" customHeight="1" x14ac:dyDescent="0.3">
      <c r="A5892" s="2">
        <v>5888</v>
      </c>
      <c r="B5892" s="66" t="s">
        <v>227</v>
      </c>
      <c r="C5892" s="66" t="s">
        <v>6797</v>
      </c>
      <c r="D5892" s="11">
        <v>5474</v>
      </c>
      <c r="E5892" s="11">
        <v>5474</v>
      </c>
      <c r="F5892" s="3">
        <v>36294</v>
      </c>
      <c r="G5892" s="2"/>
      <c r="H5892" s="3">
        <v>43053</v>
      </c>
      <c r="I5892" s="2" t="s">
        <v>19506</v>
      </c>
      <c r="J5892" s="2" t="s">
        <v>13904</v>
      </c>
      <c r="K5892" s="2" t="s">
        <v>5657</v>
      </c>
      <c r="L5892" s="82" t="s">
        <v>19512</v>
      </c>
    </row>
    <row r="5893" spans="1:12" ht="84" customHeight="1" x14ac:dyDescent="0.3">
      <c r="A5893" s="2">
        <v>5889</v>
      </c>
      <c r="B5893" s="66" t="s">
        <v>6798</v>
      </c>
      <c r="C5893" s="66" t="s">
        <v>6799</v>
      </c>
      <c r="D5893" s="11">
        <v>5010.72</v>
      </c>
      <c r="E5893" s="11">
        <v>5010.72</v>
      </c>
      <c r="F5893" s="3">
        <v>39051</v>
      </c>
      <c r="G5893" s="2"/>
      <c r="H5893" s="3">
        <v>43053</v>
      </c>
      <c r="I5893" s="2" t="s">
        <v>19506</v>
      </c>
      <c r="J5893" s="2" t="s">
        <v>13904</v>
      </c>
      <c r="K5893" s="2" t="s">
        <v>5657</v>
      </c>
      <c r="L5893" s="82" t="s">
        <v>19512</v>
      </c>
    </row>
    <row r="5894" spans="1:12" ht="84" customHeight="1" x14ac:dyDescent="0.3">
      <c r="A5894" s="2">
        <v>5890</v>
      </c>
      <c r="B5894" s="66" t="s">
        <v>4216</v>
      </c>
      <c r="C5894" s="66" t="s">
        <v>6800</v>
      </c>
      <c r="D5894" s="11">
        <v>5249.92</v>
      </c>
      <c r="E5894" s="11">
        <v>5249.92</v>
      </c>
      <c r="F5894" s="3">
        <v>39051</v>
      </c>
      <c r="G5894" s="2"/>
      <c r="H5894" s="3">
        <v>43053</v>
      </c>
      <c r="I5894" s="2" t="s">
        <v>19506</v>
      </c>
      <c r="J5894" s="2" t="s">
        <v>13904</v>
      </c>
      <c r="K5894" s="2" t="s">
        <v>5657</v>
      </c>
      <c r="L5894" s="82" t="s">
        <v>19512</v>
      </c>
    </row>
    <row r="5895" spans="1:12" ht="84" customHeight="1" x14ac:dyDescent="0.3">
      <c r="A5895" s="2">
        <v>5891</v>
      </c>
      <c r="B5895" s="66" t="s">
        <v>18779</v>
      </c>
      <c r="C5895" s="66">
        <v>4101240033</v>
      </c>
      <c r="D5895" s="11">
        <v>360460</v>
      </c>
      <c r="E5895" s="11">
        <v>15019.15</v>
      </c>
      <c r="F5895" s="3">
        <v>42541</v>
      </c>
      <c r="G5895" s="2"/>
      <c r="H5895" s="2"/>
      <c r="I5895" s="2"/>
      <c r="J5895" s="2" t="s">
        <v>13904</v>
      </c>
      <c r="K5895" s="2" t="s">
        <v>5657</v>
      </c>
      <c r="L5895" s="82" t="s">
        <v>18774</v>
      </c>
    </row>
    <row r="5896" spans="1:12" ht="84" customHeight="1" x14ac:dyDescent="0.3">
      <c r="A5896" s="2">
        <v>5892</v>
      </c>
      <c r="B5896" s="66" t="s">
        <v>6801</v>
      </c>
      <c r="C5896" s="66" t="s">
        <v>6802</v>
      </c>
      <c r="D5896" s="11">
        <v>18887</v>
      </c>
      <c r="E5896" s="11">
        <v>18887</v>
      </c>
      <c r="F5896" s="3">
        <v>39052</v>
      </c>
      <c r="G5896" s="2"/>
      <c r="H5896" s="3">
        <v>43053</v>
      </c>
      <c r="I5896" s="2" t="s">
        <v>19506</v>
      </c>
      <c r="J5896" s="2" t="s">
        <v>13904</v>
      </c>
      <c r="K5896" s="2" t="s">
        <v>5657</v>
      </c>
      <c r="L5896" s="82" t="s">
        <v>19512</v>
      </c>
    </row>
    <row r="5897" spans="1:12" ht="84" customHeight="1" x14ac:dyDescent="0.3">
      <c r="A5897" s="2">
        <v>5893</v>
      </c>
      <c r="B5897" s="66" t="s">
        <v>6256</v>
      </c>
      <c r="C5897" s="66" t="s">
        <v>6803</v>
      </c>
      <c r="D5897" s="11">
        <v>16304</v>
      </c>
      <c r="E5897" s="11">
        <v>16304</v>
      </c>
      <c r="F5897" s="3">
        <v>39052</v>
      </c>
      <c r="G5897" s="2"/>
      <c r="H5897" s="3">
        <v>43053</v>
      </c>
      <c r="I5897" s="2" t="s">
        <v>19506</v>
      </c>
      <c r="J5897" s="2" t="s">
        <v>13904</v>
      </c>
      <c r="K5897" s="2" t="s">
        <v>5657</v>
      </c>
      <c r="L5897" s="82" t="s">
        <v>19512</v>
      </c>
    </row>
    <row r="5898" spans="1:12" ht="84" customHeight="1" x14ac:dyDescent="0.3">
      <c r="A5898" s="2">
        <v>5894</v>
      </c>
      <c r="B5898" s="66" t="s">
        <v>6322</v>
      </c>
      <c r="C5898" s="66" t="s">
        <v>6804</v>
      </c>
      <c r="D5898" s="11">
        <v>11062</v>
      </c>
      <c r="E5898" s="11">
        <v>11062</v>
      </c>
      <c r="F5898" s="3">
        <v>39052</v>
      </c>
      <c r="G5898" s="2"/>
      <c r="H5898" s="3">
        <v>43053</v>
      </c>
      <c r="I5898" s="2" t="s">
        <v>19506</v>
      </c>
      <c r="J5898" s="2" t="s">
        <v>13904</v>
      </c>
      <c r="K5898" s="2" t="s">
        <v>5657</v>
      </c>
      <c r="L5898" s="82" t="s">
        <v>19512</v>
      </c>
    </row>
    <row r="5899" spans="1:12" ht="84" customHeight="1" x14ac:dyDescent="0.3">
      <c r="A5899" s="2">
        <v>5895</v>
      </c>
      <c r="B5899" s="66" t="s">
        <v>6805</v>
      </c>
      <c r="C5899" s="66" t="s">
        <v>6806</v>
      </c>
      <c r="D5899" s="11">
        <v>14543</v>
      </c>
      <c r="E5899" s="11">
        <v>14543</v>
      </c>
      <c r="F5899" s="3">
        <v>39052</v>
      </c>
      <c r="G5899" s="2"/>
      <c r="H5899" s="3">
        <v>43053</v>
      </c>
      <c r="I5899" s="2" t="s">
        <v>19506</v>
      </c>
      <c r="J5899" s="2" t="s">
        <v>13904</v>
      </c>
      <c r="K5899" s="2" t="s">
        <v>5657</v>
      </c>
      <c r="L5899" s="82" t="s">
        <v>19512</v>
      </c>
    </row>
    <row r="5900" spans="1:12" ht="84" customHeight="1" x14ac:dyDescent="0.3">
      <c r="A5900" s="2">
        <v>5896</v>
      </c>
      <c r="B5900" s="66" t="s">
        <v>6807</v>
      </c>
      <c r="C5900" s="66" t="s">
        <v>6808</v>
      </c>
      <c r="D5900" s="11">
        <v>43681.55</v>
      </c>
      <c r="E5900" s="11">
        <v>43681.55</v>
      </c>
      <c r="F5900" s="3">
        <v>39072</v>
      </c>
      <c r="G5900" s="2"/>
      <c r="H5900" s="3">
        <v>43053</v>
      </c>
      <c r="I5900" s="2" t="s">
        <v>19506</v>
      </c>
      <c r="J5900" s="2" t="s">
        <v>13904</v>
      </c>
      <c r="K5900" s="2" t="s">
        <v>5657</v>
      </c>
      <c r="L5900" s="82" t="s">
        <v>19512</v>
      </c>
    </row>
    <row r="5901" spans="1:12" ht="84" customHeight="1" x14ac:dyDescent="0.3">
      <c r="A5901" s="2">
        <v>5897</v>
      </c>
      <c r="B5901" s="66" t="s">
        <v>6809</v>
      </c>
      <c r="C5901" s="66" t="s">
        <v>4231</v>
      </c>
      <c r="D5901" s="11">
        <v>13654.96</v>
      </c>
      <c r="E5901" s="11">
        <v>13654.96</v>
      </c>
      <c r="F5901" s="3">
        <v>41124</v>
      </c>
      <c r="G5901" s="2"/>
      <c r="H5901" s="3">
        <v>43053</v>
      </c>
      <c r="I5901" s="2" t="s">
        <v>19506</v>
      </c>
      <c r="J5901" s="2" t="s">
        <v>13904</v>
      </c>
      <c r="K5901" s="2" t="s">
        <v>5657</v>
      </c>
      <c r="L5901" s="82" t="s">
        <v>19512</v>
      </c>
    </row>
    <row r="5902" spans="1:12" ht="84" customHeight="1" x14ac:dyDescent="0.3">
      <c r="A5902" s="2">
        <v>5898</v>
      </c>
      <c r="B5902" s="66" t="s">
        <v>6810</v>
      </c>
      <c r="C5902" s="66" t="s">
        <v>4235</v>
      </c>
      <c r="D5902" s="11">
        <v>4355.38</v>
      </c>
      <c r="E5902" s="11">
        <v>4355.38</v>
      </c>
      <c r="F5902" s="3">
        <v>41124</v>
      </c>
      <c r="G5902" s="2"/>
      <c r="H5902" s="3">
        <v>43053</v>
      </c>
      <c r="I5902" s="2" t="s">
        <v>19506</v>
      </c>
      <c r="J5902" s="2" t="s">
        <v>13904</v>
      </c>
      <c r="K5902" s="2" t="s">
        <v>5657</v>
      </c>
      <c r="L5902" s="82" t="s">
        <v>19512</v>
      </c>
    </row>
    <row r="5903" spans="1:12" ht="84" customHeight="1" x14ac:dyDescent="0.3">
      <c r="A5903" s="2">
        <v>5899</v>
      </c>
      <c r="B5903" s="66" t="s">
        <v>6810</v>
      </c>
      <c r="C5903" s="66" t="s">
        <v>6811</v>
      </c>
      <c r="D5903" s="11">
        <v>4355.38</v>
      </c>
      <c r="E5903" s="11">
        <v>4355.38</v>
      </c>
      <c r="F5903" s="3">
        <v>41124</v>
      </c>
      <c r="G5903" s="2"/>
      <c r="H5903" s="3">
        <v>43053</v>
      </c>
      <c r="I5903" s="2" t="s">
        <v>19506</v>
      </c>
      <c r="J5903" s="2" t="s">
        <v>13904</v>
      </c>
      <c r="K5903" s="2" t="s">
        <v>5657</v>
      </c>
      <c r="L5903" s="82" t="s">
        <v>19512</v>
      </c>
    </row>
    <row r="5904" spans="1:12" ht="84" customHeight="1" x14ac:dyDescent="0.3">
      <c r="A5904" s="2">
        <v>5900</v>
      </c>
      <c r="B5904" s="66" t="s">
        <v>6812</v>
      </c>
      <c r="C5904" s="66" t="s">
        <v>6813</v>
      </c>
      <c r="D5904" s="11">
        <v>4074.54</v>
      </c>
      <c r="E5904" s="11">
        <v>4074.54</v>
      </c>
      <c r="F5904" s="3">
        <v>41124</v>
      </c>
      <c r="G5904" s="2"/>
      <c r="H5904" s="3">
        <v>43053</v>
      </c>
      <c r="I5904" s="2" t="s">
        <v>19506</v>
      </c>
      <c r="J5904" s="2" t="s">
        <v>13904</v>
      </c>
      <c r="K5904" s="2" t="s">
        <v>5657</v>
      </c>
      <c r="L5904" s="82" t="s">
        <v>19512</v>
      </c>
    </row>
    <row r="5905" spans="1:12" ht="84" customHeight="1" x14ac:dyDescent="0.3">
      <c r="A5905" s="2">
        <v>5901</v>
      </c>
      <c r="B5905" s="66" t="s">
        <v>6814</v>
      </c>
      <c r="C5905" s="66" t="s">
        <v>6815</v>
      </c>
      <c r="D5905" s="11">
        <v>13500</v>
      </c>
      <c r="E5905" s="11">
        <v>13500</v>
      </c>
      <c r="F5905" s="3">
        <v>40177</v>
      </c>
      <c r="G5905" s="2"/>
      <c r="H5905" s="3">
        <v>43053</v>
      </c>
      <c r="I5905" s="2" t="s">
        <v>19506</v>
      </c>
      <c r="J5905" s="2" t="s">
        <v>13904</v>
      </c>
      <c r="K5905" s="2" t="s">
        <v>5657</v>
      </c>
      <c r="L5905" s="82" t="s">
        <v>19512</v>
      </c>
    </row>
    <row r="5906" spans="1:12" ht="84" customHeight="1" x14ac:dyDescent="0.3">
      <c r="A5906" s="2">
        <v>5902</v>
      </c>
      <c r="B5906" s="66" t="s">
        <v>6814</v>
      </c>
      <c r="C5906" s="66" t="s">
        <v>6816</v>
      </c>
      <c r="D5906" s="11">
        <v>13500</v>
      </c>
      <c r="E5906" s="11">
        <v>13500</v>
      </c>
      <c r="F5906" s="3">
        <v>40177</v>
      </c>
      <c r="G5906" s="2"/>
      <c r="H5906" s="3">
        <v>43053</v>
      </c>
      <c r="I5906" s="2" t="s">
        <v>19506</v>
      </c>
      <c r="J5906" s="2" t="s">
        <v>13904</v>
      </c>
      <c r="K5906" s="2" t="s">
        <v>5657</v>
      </c>
      <c r="L5906" s="82" t="s">
        <v>19512</v>
      </c>
    </row>
    <row r="5907" spans="1:12" ht="84" customHeight="1" x14ac:dyDescent="0.3">
      <c r="A5907" s="2">
        <v>5903</v>
      </c>
      <c r="B5907" s="66" t="s">
        <v>6817</v>
      </c>
      <c r="C5907" s="66" t="s">
        <v>6818</v>
      </c>
      <c r="D5907" s="11">
        <v>25600</v>
      </c>
      <c r="E5907" s="11">
        <v>25600</v>
      </c>
      <c r="F5907" s="3">
        <v>25600</v>
      </c>
      <c r="G5907" s="2"/>
      <c r="H5907" s="3">
        <v>43053</v>
      </c>
      <c r="I5907" s="2" t="s">
        <v>19506</v>
      </c>
      <c r="J5907" s="2" t="s">
        <v>13904</v>
      </c>
      <c r="K5907" s="2" t="s">
        <v>5657</v>
      </c>
      <c r="L5907" s="82" t="s">
        <v>19512</v>
      </c>
    </row>
    <row r="5908" spans="1:12" ht="84" customHeight="1" x14ac:dyDescent="0.3">
      <c r="A5908" s="2">
        <v>5904</v>
      </c>
      <c r="B5908" s="66" t="s">
        <v>6819</v>
      </c>
      <c r="C5908" s="66" t="s">
        <v>6820</v>
      </c>
      <c r="D5908" s="11">
        <v>14000</v>
      </c>
      <c r="E5908" s="11">
        <v>14000</v>
      </c>
      <c r="F5908" s="3">
        <v>40177</v>
      </c>
      <c r="G5908" s="2"/>
      <c r="H5908" s="3">
        <v>43053</v>
      </c>
      <c r="I5908" s="2" t="s">
        <v>19506</v>
      </c>
      <c r="J5908" s="2" t="s">
        <v>13904</v>
      </c>
      <c r="K5908" s="2" t="s">
        <v>5657</v>
      </c>
      <c r="L5908" s="82" t="s">
        <v>19512</v>
      </c>
    </row>
    <row r="5909" spans="1:12" ht="84" customHeight="1" x14ac:dyDescent="0.3">
      <c r="A5909" s="2">
        <v>5905</v>
      </c>
      <c r="B5909" s="66" t="s">
        <v>6821</v>
      </c>
      <c r="C5909" s="66" t="s">
        <v>6822</v>
      </c>
      <c r="D5909" s="11">
        <v>18500</v>
      </c>
      <c r="E5909" s="11">
        <v>18500</v>
      </c>
      <c r="F5909" s="3">
        <v>40177</v>
      </c>
      <c r="G5909" s="2"/>
      <c r="H5909" s="3">
        <v>43053</v>
      </c>
      <c r="I5909" s="2" t="s">
        <v>19506</v>
      </c>
      <c r="J5909" s="2" t="s">
        <v>13904</v>
      </c>
      <c r="K5909" s="2" t="s">
        <v>5657</v>
      </c>
      <c r="L5909" s="82" t="s">
        <v>19512</v>
      </c>
    </row>
    <row r="5910" spans="1:12" ht="84" customHeight="1" x14ac:dyDescent="0.3">
      <c r="A5910" s="2">
        <v>5906</v>
      </c>
      <c r="B5910" s="66" t="s">
        <v>6823</v>
      </c>
      <c r="C5910" s="66" t="s">
        <v>6824</v>
      </c>
      <c r="D5910" s="11">
        <v>5100</v>
      </c>
      <c r="E5910" s="11">
        <v>5100</v>
      </c>
      <c r="F5910" s="3">
        <v>40177</v>
      </c>
      <c r="G5910" s="2"/>
      <c r="H5910" s="3">
        <v>43053</v>
      </c>
      <c r="I5910" s="2" t="s">
        <v>19506</v>
      </c>
      <c r="J5910" s="2" t="s">
        <v>13904</v>
      </c>
      <c r="K5910" s="2" t="s">
        <v>5657</v>
      </c>
      <c r="L5910" s="82" t="s">
        <v>19512</v>
      </c>
    </row>
    <row r="5911" spans="1:12" ht="84" customHeight="1" x14ac:dyDescent="0.3">
      <c r="A5911" s="2">
        <v>5907</v>
      </c>
      <c r="B5911" s="66" t="s">
        <v>6825</v>
      </c>
      <c r="C5911" s="66" t="s">
        <v>4227</v>
      </c>
      <c r="D5911" s="11">
        <v>8970</v>
      </c>
      <c r="E5911" s="11">
        <v>8970</v>
      </c>
      <c r="F5911" s="3">
        <v>41010</v>
      </c>
      <c r="G5911" s="2"/>
      <c r="H5911" s="3">
        <v>43053</v>
      </c>
      <c r="I5911" s="2" t="s">
        <v>19506</v>
      </c>
      <c r="J5911" s="2" t="s">
        <v>13904</v>
      </c>
      <c r="K5911" s="2" t="s">
        <v>5657</v>
      </c>
      <c r="L5911" s="82" t="s">
        <v>19512</v>
      </c>
    </row>
    <row r="5912" spans="1:12" ht="84" customHeight="1" x14ac:dyDescent="0.3">
      <c r="A5912" s="2">
        <v>5908</v>
      </c>
      <c r="B5912" s="66" t="s">
        <v>6826</v>
      </c>
      <c r="C5912" s="66" t="s">
        <v>4229</v>
      </c>
      <c r="D5912" s="11">
        <v>19080</v>
      </c>
      <c r="E5912" s="11">
        <v>19080</v>
      </c>
      <c r="F5912" s="3">
        <v>41010</v>
      </c>
      <c r="G5912" s="2"/>
      <c r="H5912" s="3">
        <v>43053</v>
      </c>
      <c r="I5912" s="2" t="s">
        <v>19506</v>
      </c>
      <c r="J5912" s="2" t="s">
        <v>13904</v>
      </c>
      <c r="K5912" s="2" t="s">
        <v>5657</v>
      </c>
      <c r="L5912" s="82" t="s">
        <v>19512</v>
      </c>
    </row>
    <row r="5913" spans="1:12" ht="144" customHeight="1" x14ac:dyDescent="0.3">
      <c r="A5913" s="2">
        <v>5909</v>
      </c>
      <c r="B5913" s="66" t="s">
        <v>6827</v>
      </c>
      <c r="C5913" s="66" t="s">
        <v>4230</v>
      </c>
      <c r="D5913" s="11">
        <v>61750</v>
      </c>
      <c r="E5913" s="11">
        <v>40431.599999999999</v>
      </c>
      <c r="F5913" s="3">
        <v>41010</v>
      </c>
      <c r="G5913" s="2"/>
      <c r="H5913" s="3">
        <v>43053</v>
      </c>
      <c r="I5913" s="2" t="s">
        <v>19506</v>
      </c>
      <c r="J5913" s="2" t="s">
        <v>13904</v>
      </c>
      <c r="K5913" s="2" t="s">
        <v>5657</v>
      </c>
      <c r="L5913" s="82" t="s">
        <v>19513</v>
      </c>
    </row>
    <row r="5914" spans="1:12" ht="84" customHeight="1" x14ac:dyDescent="0.3">
      <c r="A5914" s="2">
        <v>5910</v>
      </c>
      <c r="B5914" s="66" t="s">
        <v>6828</v>
      </c>
      <c r="C5914" s="66" t="s">
        <v>6829</v>
      </c>
      <c r="D5914" s="11">
        <v>5700</v>
      </c>
      <c r="E5914" s="11">
        <v>5700</v>
      </c>
      <c r="F5914" s="3">
        <v>40421</v>
      </c>
      <c r="G5914" s="2"/>
      <c r="H5914" s="3">
        <v>43053</v>
      </c>
      <c r="I5914" s="2" t="s">
        <v>19506</v>
      </c>
      <c r="J5914" s="2" t="s">
        <v>13904</v>
      </c>
      <c r="K5914" s="2" t="s">
        <v>5657</v>
      </c>
      <c r="L5914" s="82" t="s">
        <v>19512</v>
      </c>
    </row>
    <row r="5915" spans="1:12" ht="84" customHeight="1" x14ac:dyDescent="0.3">
      <c r="A5915" s="2">
        <v>5911</v>
      </c>
      <c r="B5915" s="66" t="s">
        <v>6830</v>
      </c>
      <c r="C5915" s="66" t="s">
        <v>6831</v>
      </c>
      <c r="D5915" s="11">
        <v>18000</v>
      </c>
      <c r="E5915" s="11">
        <v>18000</v>
      </c>
      <c r="F5915" s="3"/>
      <c r="G5915" s="2"/>
      <c r="H5915" s="3">
        <v>43053</v>
      </c>
      <c r="I5915" s="2" t="s">
        <v>19506</v>
      </c>
      <c r="J5915" s="2" t="s">
        <v>13904</v>
      </c>
      <c r="K5915" s="2" t="s">
        <v>5657</v>
      </c>
      <c r="L5915" s="82" t="s">
        <v>19512</v>
      </c>
    </row>
    <row r="5916" spans="1:12" ht="84" customHeight="1" x14ac:dyDescent="0.3">
      <c r="A5916" s="2">
        <v>5912</v>
      </c>
      <c r="B5916" s="66" t="s">
        <v>6832</v>
      </c>
      <c r="C5916" s="66" t="s">
        <v>6833</v>
      </c>
      <c r="D5916" s="11">
        <v>3690</v>
      </c>
      <c r="E5916" s="11">
        <v>3690</v>
      </c>
      <c r="F5916" s="3">
        <v>40101</v>
      </c>
      <c r="G5916" s="2"/>
      <c r="H5916" s="3">
        <v>43053</v>
      </c>
      <c r="I5916" s="2" t="s">
        <v>19506</v>
      </c>
      <c r="J5916" s="2" t="s">
        <v>13904</v>
      </c>
      <c r="K5916" s="2" t="s">
        <v>5657</v>
      </c>
      <c r="L5916" s="82" t="s">
        <v>19512</v>
      </c>
    </row>
    <row r="5917" spans="1:12" ht="84" customHeight="1" x14ac:dyDescent="0.3">
      <c r="A5917" s="2">
        <v>5913</v>
      </c>
      <c r="B5917" s="66" t="s">
        <v>6834</v>
      </c>
      <c r="C5917" s="66" t="s">
        <v>6835</v>
      </c>
      <c r="D5917" s="11">
        <v>5700</v>
      </c>
      <c r="E5917" s="11">
        <v>5700</v>
      </c>
      <c r="F5917" s="3"/>
      <c r="G5917" s="2"/>
      <c r="H5917" s="3">
        <v>43053</v>
      </c>
      <c r="I5917" s="2" t="s">
        <v>19506</v>
      </c>
      <c r="J5917" s="2" t="s">
        <v>13904</v>
      </c>
      <c r="K5917" s="2" t="s">
        <v>5657</v>
      </c>
      <c r="L5917" s="82" t="s">
        <v>19512</v>
      </c>
    </row>
    <row r="5918" spans="1:12" ht="84" customHeight="1" x14ac:dyDescent="0.3">
      <c r="A5918" s="2">
        <v>5914</v>
      </c>
      <c r="B5918" s="66" t="s">
        <v>2885</v>
      </c>
      <c r="C5918" s="66" t="s">
        <v>6836</v>
      </c>
      <c r="D5918" s="11">
        <v>5900</v>
      </c>
      <c r="E5918" s="11">
        <v>5900</v>
      </c>
      <c r="F5918" s="3">
        <v>41408</v>
      </c>
      <c r="G5918" s="2"/>
      <c r="H5918" s="3">
        <v>43053</v>
      </c>
      <c r="I5918" s="2" t="s">
        <v>19506</v>
      </c>
      <c r="J5918" s="2" t="s">
        <v>13904</v>
      </c>
      <c r="K5918" s="2" t="s">
        <v>5657</v>
      </c>
      <c r="L5918" s="82" t="s">
        <v>19512</v>
      </c>
    </row>
    <row r="5919" spans="1:12" ht="84" customHeight="1" x14ac:dyDescent="0.3">
      <c r="A5919" s="2">
        <v>5915</v>
      </c>
      <c r="B5919" s="66" t="s">
        <v>2885</v>
      </c>
      <c r="C5919" s="66" t="s">
        <v>6837</v>
      </c>
      <c r="D5919" s="11">
        <v>5900</v>
      </c>
      <c r="E5919" s="11">
        <v>5900</v>
      </c>
      <c r="F5919" s="3">
        <v>41408</v>
      </c>
      <c r="G5919" s="2"/>
      <c r="H5919" s="3">
        <v>43053</v>
      </c>
      <c r="I5919" s="2" t="s">
        <v>19506</v>
      </c>
      <c r="J5919" s="2" t="s">
        <v>13904</v>
      </c>
      <c r="K5919" s="2" t="s">
        <v>5657</v>
      </c>
      <c r="L5919" s="82" t="s">
        <v>19512</v>
      </c>
    </row>
    <row r="5920" spans="1:12" ht="84" customHeight="1" x14ac:dyDescent="0.3">
      <c r="A5920" s="2">
        <v>5916</v>
      </c>
      <c r="B5920" s="66" t="s">
        <v>6838</v>
      </c>
      <c r="C5920" s="66" t="s">
        <v>3923</v>
      </c>
      <c r="D5920" s="11">
        <v>3840.48</v>
      </c>
      <c r="E5920" s="11">
        <v>3840.48</v>
      </c>
      <c r="F5920" s="3">
        <v>37033</v>
      </c>
      <c r="G5920" s="2"/>
      <c r="H5920" s="3">
        <v>43053</v>
      </c>
      <c r="I5920" s="2" t="s">
        <v>19506</v>
      </c>
      <c r="J5920" s="2" t="s">
        <v>13904</v>
      </c>
      <c r="K5920" s="2" t="s">
        <v>5657</v>
      </c>
      <c r="L5920" s="82" t="s">
        <v>19512</v>
      </c>
    </row>
    <row r="5921" spans="1:12" ht="84" customHeight="1" x14ac:dyDescent="0.3">
      <c r="A5921" s="2">
        <v>5917</v>
      </c>
      <c r="B5921" s="66" t="s">
        <v>6839</v>
      </c>
      <c r="C5921" s="66" t="s">
        <v>6840</v>
      </c>
      <c r="D5921" s="11">
        <v>4551.68</v>
      </c>
      <c r="E5921" s="11">
        <v>4551.68</v>
      </c>
      <c r="F5921" s="3">
        <v>36293</v>
      </c>
      <c r="G5921" s="2"/>
      <c r="H5921" s="3">
        <v>43053</v>
      </c>
      <c r="I5921" s="2" t="s">
        <v>19506</v>
      </c>
      <c r="J5921" s="2" t="s">
        <v>13904</v>
      </c>
      <c r="K5921" s="2" t="s">
        <v>5657</v>
      </c>
      <c r="L5921" s="82" t="s">
        <v>19512</v>
      </c>
    </row>
    <row r="5922" spans="1:12" ht="84" customHeight="1" x14ac:dyDescent="0.3">
      <c r="A5922" s="2">
        <v>5918</v>
      </c>
      <c r="B5922" s="66" t="s">
        <v>3410</v>
      </c>
      <c r="C5922" s="66" t="s">
        <v>6841</v>
      </c>
      <c r="D5922" s="11">
        <v>30967.200000000001</v>
      </c>
      <c r="E5922" s="11">
        <v>30967.200000000001</v>
      </c>
      <c r="F5922" s="3">
        <v>38785</v>
      </c>
      <c r="G5922" s="2"/>
      <c r="H5922" s="3">
        <v>43053</v>
      </c>
      <c r="I5922" s="2" t="s">
        <v>19506</v>
      </c>
      <c r="J5922" s="2" t="s">
        <v>13904</v>
      </c>
      <c r="K5922" s="2" t="s">
        <v>5657</v>
      </c>
      <c r="L5922" s="82" t="s">
        <v>19512</v>
      </c>
    </row>
    <row r="5923" spans="1:12" ht="84" customHeight="1" x14ac:dyDescent="0.3">
      <c r="A5923" s="2">
        <v>5919</v>
      </c>
      <c r="B5923" s="66" t="s">
        <v>3410</v>
      </c>
      <c r="C5923" s="66" t="s">
        <v>6842</v>
      </c>
      <c r="D5923" s="11">
        <v>30967.200000000001</v>
      </c>
      <c r="E5923" s="11">
        <v>30967.200000000001</v>
      </c>
      <c r="F5923" s="3">
        <v>38785</v>
      </c>
      <c r="G5923" s="2"/>
      <c r="H5923" s="3">
        <v>43053</v>
      </c>
      <c r="I5923" s="2" t="s">
        <v>19506</v>
      </c>
      <c r="J5923" s="2" t="s">
        <v>13904</v>
      </c>
      <c r="K5923" s="2" t="s">
        <v>5657</v>
      </c>
      <c r="L5923" s="82" t="s">
        <v>19512</v>
      </c>
    </row>
    <row r="5924" spans="1:12" ht="84" customHeight="1" x14ac:dyDescent="0.3">
      <c r="A5924" s="2">
        <v>5920</v>
      </c>
      <c r="B5924" s="66" t="s">
        <v>3510</v>
      </c>
      <c r="C5924" s="66" t="s">
        <v>3140</v>
      </c>
      <c r="D5924" s="11">
        <v>4867.3</v>
      </c>
      <c r="E5924" s="11">
        <v>4867.3</v>
      </c>
      <c r="F5924" s="3">
        <v>37405</v>
      </c>
      <c r="G5924" s="2"/>
      <c r="H5924" s="3">
        <v>43053</v>
      </c>
      <c r="I5924" s="2" t="s">
        <v>19506</v>
      </c>
      <c r="J5924" s="2" t="s">
        <v>13904</v>
      </c>
      <c r="K5924" s="2" t="s">
        <v>5657</v>
      </c>
      <c r="L5924" s="82" t="s">
        <v>19512</v>
      </c>
    </row>
    <row r="5925" spans="1:12" ht="84" customHeight="1" x14ac:dyDescent="0.3">
      <c r="A5925" s="2">
        <v>5921</v>
      </c>
      <c r="B5925" s="66" t="s">
        <v>3287</v>
      </c>
      <c r="C5925" s="66" t="s">
        <v>6843</v>
      </c>
      <c r="D5925" s="11">
        <v>7818.34</v>
      </c>
      <c r="E5925" s="11">
        <v>7818.34</v>
      </c>
      <c r="F5925" s="3">
        <v>39052</v>
      </c>
      <c r="G5925" s="2"/>
      <c r="H5925" s="3">
        <v>43053</v>
      </c>
      <c r="I5925" s="2" t="s">
        <v>19506</v>
      </c>
      <c r="J5925" s="2" t="s">
        <v>13904</v>
      </c>
      <c r="K5925" s="2" t="s">
        <v>5657</v>
      </c>
      <c r="L5925" s="82" t="s">
        <v>19512</v>
      </c>
    </row>
    <row r="5926" spans="1:12" ht="84" customHeight="1" x14ac:dyDescent="0.3">
      <c r="A5926" s="2">
        <v>5922</v>
      </c>
      <c r="B5926" s="66" t="s">
        <v>6844</v>
      </c>
      <c r="C5926" s="66" t="s">
        <v>6845</v>
      </c>
      <c r="D5926" s="11">
        <v>11797.2</v>
      </c>
      <c r="E5926" s="11">
        <v>11797.2</v>
      </c>
      <c r="F5926" s="3">
        <v>39142</v>
      </c>
      <c r="G5926" s="2"/>
      <c r="H5926" s="3">
        <v>43053</v>
      </c>
      <c r="I5926" s="2" t="s">
        <v>19506</v>
      </c>
      <c r="J5926" s="2" t="s">
        <v>13904</v>
      </c>
      <c r="K5926" s="2" t="s">
        <v>5657</v>
      </c>
      <c r="L5926" s="82" t="s">
        <v>19512</v>
      </c>
    </row>
    <row r="5927" spans="1:12" ht="84" customHeight="1" x14ac:dyDescent="0.3">
      <c r="A5927" s="2">
        <v>5923</v>
      </c>
      <c r="B5927" s="66" t="s">
        <v>6846</v>
      </c>
      <c r="C5927" s="66" t="s">
        <v>6847</v>
      </c>
      <c r="D5927" s="11">
        <v>11797.2</v>
      </c>
      <c r="E5927" s="11">
        <v>11797.2</v>
      </c>
      <c r="F5927" s="3">
        <v>39447</v>
      </c>
      <c r="G5927" s="2"/>
      <c r="H5927" s="3">
        <v>43053</v>
      </c>
      <c r="I5927" s="2" t="s">
        <v>19506</v>
      </c>
      <c r="J5927" s="2" t="s">
        <v>13904</v>
      </c>
      <c r="K5927" s="2" t="s">
        <v>5657</v>
      </c>
      <c r="L5927" s="82" t="s">
        <v>19512</v>
      </c>
    </row>
    <row r="5928" spans="1:12" ht="84" customHeight="1" x14ac:dyDescent="0.3">
      <c r="A5928" s="2">
        <v>5924</v>
      </c>
      <c r="B5928" s="66" t="s">
        <v>6848</v>
      </c>
      <c r="C5928" s="66" t="s">
        <v>6849</v>
      </c>
      <c r="D5928" s="11">
        <v>11797.2</v>
      </c>
      <c r="E5928" s="11">
        <v>11797.2</v>
      </c>
      <c r="F5928" s="3">
        <v>39142</v>
      </c>
      <c r="G5928" s="2"/>
      <c r="H5928" s="3">
        <v>43053</v>
      </c>
      <c r="I5928" s="2" t="s">
        <v>19506</v>
      </c>
      <c r="J5928" s="2" t="s">
        <v>13904</v>
      </c>
      <c r="K5928" s="2" t="s">
        <v>5657</v>
      </c>
      <c r="L5928" s="82" t="s">
        <v>19512</v>
      </c>
    </row>
    <row r="5929" spans="1:12" ht="84" customHeight="1" x14ac:dyDescent="0.3">
      <c r="A5929" s="2">
        <v>5925</v>
      </c>
      <c r="B5929" s="66" t="s">
        <v>6848</v>
      </c>
      <c r="C5929" s="66" t="s">
        <v>6850</v>
      </c>
      <c r="D5929" s="11">
        <v>11797.2</v>
      </c>
      <c r="E5929" s="11">
        <v>11797.2</v>
      </c>
      <c r="F5929" s="3">
        <v>39142</v>
      </c>
      <c r="G5929" s="2"/>
      <c r="H5929" s="3">
        <v>43053</v>
      </c>
      <c r="I5929" s="2" t="s">
        <v>19506</v>
      </c>
      <c r="J5929" s="2" t="s">
        <v>13904</v>
      </c>
      <c r="K5929" s="2" t="s">
        <v>5657</v>
      </c>
      <c r="L5929" s="82" t="s">
        <v>19512</v>
      </c>
    </row>
    <row r="5930" spans="1:12" ht="84" customHeight="1" x14ac:dyDescent="0.3">
      <c r="A5930" s="2">
        <v>5926</v>
      </c>
      <c r="B5930" s="66" t="s">
        <v>3510</v>
      </c>
      <c r="C5930" s="66" t="s">
        <v>6851</v>
      </c>
      <c r="D5930" s="11">
        <v>4867.3</v>
      </c>
      <c r="E5930" s="11">
        <v>4867.3</v>
      </c>
      <c r="F5930" s="3">
        <v>37405</v>
      </c>
      <c r="G5930" s="2"/>
      <c r="H5930" s="3">
        <v>43053</v>
      </c>
      <c r="I5930" s="2" t="s">
        <v>19506</v>
      </c>
      <c r="J5930" s="2" t="s">
        <v>13904</v>
      </c>
      <c r="K5930" s="2" t="s">
        <v>5657</v>
      </c>
      <c r="L5930" s="82" t="s">
        <v>19512</v>
      </c>
    </row>
    <row r="5931" spans="1:12" ht="84" customHeight="1" x14ac:dyDescent="0.3">
      <c r="A5931" s="2">
        <v>5927</v>
      </c>
      <c r="B5931" s="66" t="s">
        <v>6852</v>
      </c>
      <c r="C5931" s="66" t="s">
        <v>6853</v>
      </c>
      <c r="D5931" s="11">
        <v>11475</v>
      </c>
      <c r="E5931" s="11">
        <v>11475</v>
      </c>
      <c r="F5931" s="3">
        <v>41983</v>
      </c>
      <c r="G5931" s="2"/>
      <c r="H5931" s="3">
        <v>43053</v>
      </c>
      <c r="I5931" s="2" t="s">
        <v>19506</v>
      </c>
      <c r="J5931" s="2" t="s">
        <v>13904</v>
      </c>
      <c r="K5931" s="2" t="s">
        <v>5657</v>
      </c>
      <c r="L5931" s="82" t="s">
        <v>19512</v>
      </c>
    </row>
    <row r="5932" spans="1:12" ht="84" customHeight="1" x14ac:dyDescent="0.3">
      <c r="A5932" s="2">
        <v>5928</v>
      </c>
      <c r="B5932" s="66" t="s">
        <v>6852</v>
      </c>
      <c r="C5932" s="66" t="s">
        <v>6854</v>
      </c>
      <c r="D5932" s="11">
        <v>11475</v>
      </c>
      <c r="E5932" s="11">
        <v>11475</v>
      </c>
      <c r="F5932" s="3">
        <v>41983</v>
      </c>
      <c r="G5932" s="2"/>
      <c r="H5932" s="3">
        <v>43053</v>
      </c>
      <c r="I5932" s="2" t="s">
        <v>19506</v>
      </c>
      <c r="J5932" s="2" t="s">
        <v>13904</v>
      </c>
      <c r="K5932" s="2" t="s">
        <v>5657</v>
      </c>
      <c r="L5932" s="82" t="s">
        <v>19512</v>
      </c>
    </row>
    <row r="5933" spans="1:12" ht="84" customHeight="1" x14ac:dyDescent="0.3">
      <c r="A5933" s="2">
        <v>5929</v>
      </c>
      <c r="B5933" s="66" t="s">
        <v>6852</v>
      </c>
      <c r="C5933" s="66" t="s">
        <v>6855</v>
      </c>
      <c r="D5933" s="11">
        <v>11475</v>
      </c>
      <c r="E5933" s="11">
        <v>11475</v>
      </c>
      <c r="F5933" s="3">
        <v>41983</v>
      </c>
      <c r="G5933" s="2"/>
      <c r="H5933" s="3">
        <v>43053</v>
      </c>
      <c r="I5933" s="2" t="s">
        <v>19506</v>
      </c>
      <c r="J5933" s="2" t="s">
        <v>13904</v>
      </c>
      <c r="K5933" s="2" t="s">
        <v>5657</v>
      </c>
      <c r="L5933" s="82" t="s">
        <v>19512</v>
      </c>
    </row>
    <row r="5934" spans="1:12" ht="84" customHeight="1" x14ac:dyDescent="0.3">
      <c r="A5934" s="2">
        <v>5930</v>
      </c>
      <c r="B5934" s="66" t="s">
        <v>6852</v>
      </c>
      <c r="C5934" s="66" t="s">
        <v>6856</v>
      </c>
      <c r="D5934" s="11">
        <v>11475</v>
      </c>
      <c r="E5934" s="11">
        <v>11475</v>
      </c>
      <c r="F5934" s="3">
        <v>41983</v>
      </c>
      <c r="G5934" s="2"/>
      <c r="H5934" s="3">
        <v>43053</v>
      </c>
      <c r="I5934" s="2" t="s">
        <v>19506</v>
      </c>
      <c r="J5934" s="2" t="s">
        <v>13904</v>
      </c>
      <c r="K5934" s="2" t="s">
        <v>5657</v>
      </c>
      <c r="L5934" s="82" t="s">
        <v>19512</v>
      </c>
    </row>
    <row r="5935" spans="1:12" ht="84" customHeight="1" x14ac:dyDescent="0.3">
      <c r="A5935" s="2">
        <v>5931</v>
      </c>
      <c r="B5935" s="66" t="s">
        <v>6852</v>
      </c>
      <c r="C5935" s="66" t="s">
        <v>6857</v>
      </c>
      <c r="D5935" s="11">
        <v>11475</v>
      </c>
      <c r="E5935" s="11">
        <v>11475</v>
      </c>
      <c r="F5935" s="3">
        <v>41983</v>
      </c>
      <c r="G5935" s="2"/>
      <c r="H5935" s="3">
        <v>43053</v>
      </c>
      <c r="I5935" s="2" t="s">
        <v>19506</v>
      </c>
      <c r="J5935" s="2" t="s">
        <v>13904</v>
      </c>
      <c r="K5935" s="2" t="s">
        <v>5657</v>
      </c>
      <c r="L5935" s="82" t="s">
        <v>19512</v>
      </c>
    </row>
    <row r="5936" spans="1:12" ht="84" customHeight="1" x14ac:dyDescent="0.3">
      <c r="A5936" s="2">
        <v>5932</v>
      </c>
      <c r="B5936" s="66" t="s">
        <v>6852</v>
      </c>
      <c r="C5936" s="66" t="s">
        <v>6858</v>
      </c>
      <c r="D5936" s="11">
        <v>11475</v>
      </c>
      <c r="E5936" s="11">
        <v>11475</v>
      </c>
      <c r="F5936" s="3">
        <v>41983</v>
      </c>
      <c r="G5936" s="2"/>
      <c r="H5936" s="3">
        <v>43053</v>
      </c>
      <c r="I5936" s="2" t="s">
        <v>19506</v>
      </c>
      <c r="J5936" s="2" t="s">
        <v>13904</v>
      </c>
      <c r="K5936" s="2" t="s">
        <v>5657</v>
      </c>
      <c r="L5936" s="82" t="s">
        <v>19512</v>
      </c>
    </row>
    <row r="5937" spans="1:12" ht="84" customHeight="1" x14ac:dyDescent="0.3">
      <c r="A5937" s="2">
        <v>5933</v>
      </c>
      <c r="B5937" s="66" t="s">
        <v>6852</v>
      </c>
      <c r="C5937" s="66" t="s">
        <v>6859</v>
      </c>
      <c r="D5937" s="11">
        <v>11475</v>
      </c>
      <c r="E5937" s="11">
        <v>11475</v>
      </c>
      <c r="F5937" s="3">
        <v>41983</v>
      </c>
      <c r="G5937" s="2"/>
      <c r="H5937" s="3">
        <v>43053</v>
      </c>
      <c r="I5937" s="2" t="s">
        <v>19506</v>
      </c>
      <c r="J5937" s="2" t="s">
        <v>13904</v>
      </c>
      <c r="K5937" s="2" t="s">
        <v>5657</v>
      </c>
      <c r="L5937" s="82" t="s">
        <v>19512</v>
      </c>
    </row>
    <row r="5938" spans="1:12" ht="84" customHeight="1" x14ac:dyDescent="0.3">
      <c r="A5938" s="2">
        <v>5934</v>
      </c>
      <c r="B5938" s="66" t="s">
        <v>6852</v>
      </c>
      <c r="C5938" s="66" t="s">
        <v>6860</v>
      </c>
      <c r="D5938" s="11">
        <v>11475</v>
      </c>
      <c r="E5938" s="11">
        <v>11475</v>
      </c>
      <c r="F5938" s="3">
        <v>41983</v>
      </c>
      <c r="G5938" s="2"/>
      <c r="H5938" s="3">
        <v>43053</v>
      </c>
      <c r="I5938" s="2" t="s">
        <v>19506</v>
      </c>
      <c r="J5938" s="2" t="s">
        <v>13904</v>
      </c>
      <c r="K5938" s="2" t="s">
        <v>5657</v>
      </c>
      <c r="L5938" s="82" t="s">
        <v>19512</v>
      </c>
    </row>
    <row r="5939" spans="1:12" ht="84" customHeight="1" x14ac:dyDescent="0.3">
      <c r="A5939" s="2">
        <v>5935</v>
      </c>
      <c r="B5939" s="66" t="s">
        <v>6852</v>
      </c>
      <c r="C5939" s="66" t="s">
        <v>6861</v>
      </c>
      <c r="D5939" s="11">
        <v>11475</v>
      </c>
      <c r="E5939" s="11">
        <v>11475</v>
      </c>
      <c r="F5939" s="3">
        <v>41983</v>
      </c>
      <c r="G5939" s="2"/>
      <c r="H5939" s="3">
        <v>43053</v>
      </c>
      <c r="I5939" s="2" t="s">
        <v>19506</v>
      </c>
      <c r="J5939" s="2" t="s">
        <v>13904</v>
      </c>
      <c r="K5939" s="2" t="s">
        <v>5657</v>
      </c>
      <c r="L5939" s="82" t="s">
        <v>19512</v>
      </c>
    </row>
    <row r="5940" spans="1:12" ht="84" customHeight="1" x14ac:dyDescent="0.3">
      <c r="A5940" s="2">
        <v>5936</v>
      </c>
      <c r="B5940" s="66" t="s">
        <v>6852</v>
      </c>
      <c r="C5940" s="66" t="s">
        <v>6862</v>
      </c>
      <c r="D5940" s="11">
        <v>11475</v>
      </c>
      <c r="E5940" s="11">
        <v>11475</v>
      </c>
      <c r="F5940" s="3">
        <v>41983</v>
      </c>
      <c r="G5940" s="2"/>
      <c r="H5940" s="3">
        <v>43053</v>
      </c>
      <c r="I5940" s="2" t="s">
        <v>19506</v>
      </c>
      <c r="J5940" s="2" t="s">
        <v>13904</v>
      </c>
      <c r="K5940" s="2" t="s">
        <v>5657</v>
      </c>
      <c r="L5940" s="82" t="s">
        <v>19512</v>
      </c>
    </row>
    <row r="5941" spans="1:12" ht="84" customHeight="1" x14ac:dyDescent="0.3">
      <c r="A5941" s="2">
        <v>5937</v>
      </c>
      <c r="B5941" s="66" t="s">
        <v>6852</v>
      </c>
      <c r="C5941" s="66" t="s">
        <v>6863</v>
      </c>
      <c r="D5941" s="11">
        <v>11475</v>
      </c>
      <c r="E5941" s="11">
        <v>11475</v>
      </c>
      <c r="F5941" s="3">
        <v>41983</v>
      </c>
      <c r="G5941" s="2"/>
      <c r="H5941" s="3">
        <v>43053</v>
      </c>
      <c r="I5941" s="2" t="s">
        <v>19506</v>
      </c>
      <c r="J5941" s="2" t="s">
        <v>13904</v>
      </c>
      <c r="K5941" s="2" t="s">
        <v>5657</v>
      </c>
      <c r="L5941" s="82" t="s">
        <v>19512</v>
      </c>
    </row>
    <row r="5942" spans="1:12" ht="84" customHeight="1" x14ac:dyDescent="0.3">
      <c r="A5942" s="2">
        <v>5938</v>
      </c>
      <c r="B5942" s="66" t="s">
        <v>6852</v>
      </c>
      <c r="C5942" s="66" t="s">
        <v>6864</v>
      </c>
      <c r="D5942" s="11">
        <v>11475</v>
      </c>
      <c r="E5942" s="11">
        <v>11475</v>
      </c>
      <c r="F5942" s="3">
        <v>41983</v>
      </c>
      <c r="G5942" s="2"/>
      <c r="H5942" s="3">
        <v>43053</v>
      </c>
      <c r="I5942" s="2" t="s">
        <v>19506</v>
      </c>
      <c r="J5942" s="2" t="s">
        <v>13904</v>
      </c>
      <c r="K5942" s="2" t="s">
        <v>5657</v>
      </c>
      <c r="L5942" s="82" t="s">
        <v>19512</v>
      </c>
    </row>
    <row r="5943" spans="1:12" ht="84" customHeight="1" x14ac:dyDescent="0.3">
      <c r="A5943" s="2">
        <v>5939</v>
      </c>
      <c r="B5943" s="66" t="s">
        <v>6852</v>
      </c>
      <c r="C5943" s="66" t="s">
        <v>6865</v>
      </c>
      <c r="D5943" s="11">
        <v>11475</v>
      </c>
      <c r="E5943" s="11">
        <v>11475</v>
      </c>
      <c r="F5943" s="3">
        <v>41983</v>
      </c>
      <c r="G5943" s="2"/>
      <c r="H5943" s="3">
        <v>43053</v>
      </c>
      <c r="I5943" s="2" t="s">
        <v>19506</v>
      </c>
      <c r="J5943" s="2" t="s">
        <v>13904</v>
      </c>
      <c r="K5943" s="2" t="s">
        <v>5657</v>
      </c>
      <c r="L5943" s="82" t="s">
        <v>19512</v>
      </c>
    </row>
    <row r="5944" spans="1:12" ht="84" customHeight="1" x14ac:dyDescent="0.3">
      <c r="A5944" s="2">
        <v>5940</v>
      </c>
      <c r="B5944" s="66" t="s">
        <v>6852</v>
      </c>
      <c r="C5944" s="66" t="s">
        <v>6866</v>
      </c>
      <c r="D5944" s="11">
        <v>11475</v>
      </c>
      <c r="E5944" s="11">
        <v>11475</v>
      </c>
      <c r="F5944" s="3">
        <v>41983</v>
      </c>
      <c r="G5944" s="2"/>
      <c r="H5944" s="3">
        <v>43053</v>
      </c>
      <c r="I5944" s="2" t="s">
        <v>19506</v>
      </c>
      <c r="J5944" s="2" t="s">
        <v>13904</v>
      </c>
      <c r="K5944" s="2" t="s">
        <v>5657</v>
      </c>
      <c r="L5944" s="82" t="s">
        <v>19512</v>
      </c>
    </row>
    <row r="5945" spans="1:12" ht="84" customHeight="1" x14ac:dyDescent="0.3">
      <c r="A5945" s="2">
        <v>5941</v>
      </c>
      <c r="B5945" s="66" t="s">
        <v>6852</v>
      </c>
      <c r="C5945" s="66" t="s">
        <v>6867</v>
      </c>
      <c r="D5945" s="11">
        <v>11475</v>
      </c>
      <c r="E5945" s="11">
        <v>11475</v>
      </c>
      <c r="F5945" s="3">
        <v>41983</v>
      </c>
      <c r="G5945" s="2"/>
      <c r="H5945" s="3">
        <v>43053</v>
      </c>
      <c r="I5945" s="2" t="s">
        <v>19506</v>
      </c>
      <c r="J5945" s="2" t="s">
        <v>13904</v>
      </c>
      <c r="K5945" s="2" t="s">
        <v>5657</v>
      </c>
      <c r="L5945" s="82" t="s">
        <v>19512</v>
      </c>
    </row>
    <row r="5946" spans="1:12" ht="84" customHeight="1" x14ac:dyDescent="0.3">
      <c r="A5946" s="2">
        <v>5942</v>
      </c>
      <c r="B5946" s="66" t="s">
        <v>6852</v>
      </c>
      <c r="C5946" s="66" t="s">
        <v>6868</v>
      </c>
      <c r="D5946" s="11">
        <v>11475</v>
      </c>
      <c r="E5946" s="11">
        <v>11475</v>
      </c>
      <c r="F5946" s="3">
        <v>41983</v>
      </c>
      <c r="G5946" s="2"/>
      <c r="H5946" s="3">
        <v>43053</v>
      </c>
      <c r="I5946" s="2" t="s">
        <v>19506</v>
      </c>
      <c r="J5946" s="2" t="s">
        <v>13904</v>
      </c>
      <c r="K5946" s="2" t="s">
        <v>5657</v>
      </c>
      <c r="L5946" s="82" t="s">
        <v>19512</v>
      </c>
    </row>
    <row r="5947" spans="1:12" ht="84" customHeight="1" x14ac:dyDescent="0.3">
      <c r="A5947" s="2">
        <v>5943</v>
      </c>
      <c r="B5947" s="66" t="s">
        <v>6852</v>
      </c>
      <c r="C5947" s="66" t="s">
        <v>6869</v>
      </c>
      <c r="D5947" s="11">
        <v>11475</v>
      </c>
      <c r="E5947" s="11">
        <v>11475</v>
      </c>
      <c r="F5947" s="3">
        <v>41983</v>
      </c>
      <c r="G5947" s="2"/>
      <c r="H5947" s="3">
        <v>43053</v>
      </c>
      <c r="I5947" s="2" t="s">
        <v>19506</v>
      </c>
      <c r="J5947" s="2" t="s">
        <v>13904</v>
      </c>
      <c r="K5947" s="2" t="s">
        <v>5657</v>
      </c>
      <c r="L5947" s="82" t="s">
        <v>19512</v>
      </c>
    </row>
    <row r="5948" spans="1:12" ht="84" customHeight="1" x14ac:dyDescent="0.3">
      <c r="A5948" s="2">
        <v>5944</v>
      </c>
      <c r="B5948" s="66" t="s">
        <v>6852</v>
      </c>
      <c r="C5948" s="66" t="s">
        <v>6870</v>
      </c>
      <c r="D5948" s="11">
        <v>11475</v>
      </c>
      <c r="E5948" s="11">
        <v>11475</v>
      </c>
      <c r="F5948" s="3">
        <v>41983</v>
      </c>
      <c r="G5948" s="2"/>
      <c r="H5948" s="3">
        <v>43053</v>
      </c>
      <c r="I5948" s="2" t="s">
        <v>19506</v>
      </c>
      <c r="J5948" s="2" t="s">
        <v>13904</v>
      </c>
      <c r="K5948" s="2" t="s">
        <v>5657</v>
      </c>
      <c r="L5948" s="82" t="s">
        <v>19512</v>
      </c>
    </row>
    <row r="5949" spans="1:12" ht="84" customHeight="1" x14ac:dyDescent="0.3">
      <c r="A5949" s="2">
        <v>5945</v>
      </c>
      <c r="B5949" s="66" t="s">
        <v>6852</v>
      </c>
      <c r="C5949" s="66" t="s">
        <v>6871</v>
      </c>
      <c r="D5949" s="11">
        <v>11475</v>
      </c>
      <c r="E5949" s="11">
        <v>11475</v>
      </c>
      <c r="F5949" s="3">
        <v>41983</v>
      </c>
      <c r="G5949" s="2"/>
      <c r="H5949" s="3">
        <v>43053</v>
      </c>
      <c r="I5949" s="2" t="s">
        <v>19506</v>
      </c>
      <c r="J5949" s="2" t="s">
        <v>13904</v>
      </c>
      <c r="K5949" s="2" t="s">
        <v>5657</v>
      </c>
      <c r="L5949" s="82" t="s">
        <v>19512</v>
      </c>
    </row>
    <row r="5950" spans="1:12" ht="84" customHeight="1" x14ac:dyDescent="0.3">
      <c r="A5950" s="2">
        <v>5946</v>
      </c>
      <c r="B5950" s="66" t="s">
        <v>6852</v>
      </c>
      <c r="C5950" s="66" t="s">
        <v>6872</v>
      </c>
      <c r="D5950" s="11">
        <v>11475</v>
      </c>
      <c r="E5950" s="11">
        <v>11475</v>
      </c>
      <c r="F5950" s="3">
        <v>41983</v>
      </c>
      <c r="G5950" s="2"/>
      <c r="H5950" s="3">
        <v>43053</v>
      </c>
      <c r="I5950" s="2" t="s">
        <v>19506</v>
      </c>
      <c r="J5950" s="2" t="s">
        <v>13904</v>
      </c>
      <c r="K5950" s="2" t="s">
        <v>5657</v>
      </c>
      <c r="L5950" s="82" t="s">
        <v>19512</v>
      </c>
    </row>
    <row r="5951" spans="1:12" ht="84" customHeight="1" x14ac:dyDescent="0.3">
      <c r="A5951" s="2">
        <v>5947</v>
      </c>
      <c r="B5951" s="66" t="s">
        <v>6852</v>
      </c>
      <c r="C5951" s="66" t="s">
        <v>6873</v>
      </c>
      <c r="D5951" s="11">
        <v>11475</v>
      </c>
      <c r="E5951" s="11">
        <v>11475</v>
      </c>
      <c r="F5951" s="3">
        <v>41983</v>
      </c>
      <c r="G5951" s="2"/>
      <c r="H5951" s="3">
        <v>43053</v>
      </c>
      <c r="I5951" s="2" t="s">
        <v>19506</v>
      </c>
      <c r="J5951" s="2" t="s">
        <v>13904</v>
      </c>
      <c r="K5951" s="2" t="s">
        <v>5657</v>
      </c>
      <c r="L5951" s="82" t="s">
        <v>19512</v>
      </c>
    </row>
    <row r="5952" spans="1:12" ht="84" customHeight="1" x14ac:dyDescent="0.3">
      <c r="A5952" s="2">
        <v>5948</v>
      </c>
      <c r="B5952" s="66" t="s">
        <v>6852</v>
      </c>
      <c r="C5952" s="66" t="s">
        <v>4286</v>
      </c>
      <c r="D5952" s="11">
        <v>11475</v>
      </c>
      <c r="E5952" s="11">
        <v>11475</v>
      </c>
      <c r="F5952" s="3">
        <v>41983</v>
      </c>
      <c r="G5952" s="2"/>
      <c r="H5952" s="3">
        <v>43053</v>
      </c>
      <c r="I5952" s="2" t="s">
        <v>19506</v>
      </c>
      <c r="J5952" s="2" t="s">
        <v>13904</v>
      </c>
      <c r="K5952" s="2" t="s">
        <v>5657</v>
      </c>
      <c r="L5952" s="82" t="s">
        <v>19512</v>
      </c>
    </row>
    <row r="5953" spans="1:12" ht="84" customHeight="1" x14ac:dyDescent="0.3">
      <c r="A5953" s="2">
        <v>5949</v>
      </c>
      <c r="B5953" s="66" t="s">
        <v>6852</v>
      </c>
      <c r="C5953" s="66" t="s">
        <v>4285</v>
      </c>
      <c r="D5953" s="11">
        <v>11475</v>
      </c>
      <c r="E5953" s="11">
        <v>11475</v>
      </c>
      <c r="F5953" s="3">
        <v>41983</v>
      </c>
      <c r="G5953" s="2"/>
      <c r="H5953" s="3">
        <v>43053</v>
      </c>
      <c r="I5953" s="2" t="s">
        <v>19506</v>
      </c>
      <c r="J5953" s="2" t="s">
        <v>13904</v>
      </c>
      <c r="K5953" s="2" t="s">
        <v>5657</v>
      </c>
      <c r="L5953" s="82" t="s">
        <v>19512</v>
      </c>
    </row>
    <row r="5954" spans="1:12" ht="84" customHeight="1" x14ac:dyDescent="0.3">
      <c r="A5954" s="2">
        <v>5950</v>
      </c>
      <c r="B5954" s="66" t="s">
        <v>6852</v>
      </c>
      <c r="C5954" s="66" t="s">
        <v>4284</v>
      </c>
      <c r="D5954" s="11">
        <v>11475</v>
      </c>
      <c r="E5954" s="11">
        <v>11475</v>
      </c>
      <c r="F5954" s="3">
        <v>41983</v>
      </c>
      <c r="G5954" s="2"/>
      <c r="H5954" s="3">
        <v>43053</v>
      </c>
      <c r="I5954" s="2" t="s">
        <v>19506</v>
      </c>
      <c r="J5954" s="2" t="s">
        <v>13904</v>
      </c>
      <c r="K5954" s="2" t="s">
        <v>5657</v>
      </c>
      <c r="L5954" s="82" t="s">
        <v>19512</v>
      </c>
    </row>
    <row r="5955" spans="1:12" ht="84" customHeight="1" x14ac:dyDescent="0.3">
      <c r="A5955" s="2">
        <v>5951</v>
      </c>
      <c r="B5955" s="66" t="s">
        <v>6852</v>
      </c>
      <c r="C5955" s="66" t="s">
        <v>4283</v>
      </c>
      <c r="D5955" s="11">
        <v>11475</v>
      </c>
      <c r="E5955" s="11">
        <v>11475</v>
      </c>
      <c r="F5955" s="3">
        <v>41983</v>
      </c>
      <c r="G5955" s="2"/>
      <c r="H5955" s="3">
        <v>43053</v>
      </c>
      <c r="I5955" s="2" t="s">
        <v>19506</v>
      </c>
      <c r="J5955" s="2" t="s">
        <v>13904</v>
      </c>
      <c r="K5955" s="2" t="s">
        <v>5657</v>
      </c>
      <c r="L5955" s="82" t="s">
        <v>19512</v>
      </c>
    </row>
    <row r="5956" spans="1:12" ht="84" customHeight="1" x14ac:dyDescent="0.3">
      <c r="A5956" s="2">
        <v>5952</v>
      </c>
      <c r="B5956" s="66" t="s">
        <v>6852</v>
      </c>
      <c r="C5956" s="66" t="s">
        <v>4282</v>
      </c>
      <c r="D5956" s="11">
        <v>11475</v>
      </c>
      <c r="E5956" s="11">
        <v>11475</v>
      </c>
      <c r="F5956" s="3">
        <v>41983</v>
      </c>
      <c r="G5956" s="2"/>
      <c r="H5956" s="3">
        <v>43053</v>
      </c>
      <c r="I5956" s="2" t="s">
        <v>19506</v>
      </c>
      <c r="J5956" s="2" t="s">
        <v>13904</v>
      </c>
      <c r="K5956" s="2" t="s">
        <v>5657</v>
      </c>
      <c r="L5956" s="82" t="s">
        <v>19512</v>
      </c>
    </row>
    <row r="5957" spans="1:12" ht="84" customHeight="1" x14ac:dyDescent="0.3">
      <c r="A5957" s="2">
        <v>5953</v>
      </c>
      <c r="B5957" s="66" t="s">
        <v>6852</v>
      </c>
      <c r="C5957" s="66" t="s">
        <v>4281</v>
      </c>
      <c r="D5957" s="11">
        <v>11475</v>
      </c>
      <c r="E5957" s="11">
        <v>11475</v>
      </c>
      <c r="F5957" s="3">
        <v>41983</v>
      </c>
      <c r="G5957" s="2"/>
      <c r="H5957" s="3">
        <v>43053</v>
      </c>
      <c r="I5957" s="2" t="s">
        <v>19506</v>
      </c>
      <c r="J5957" s="2" t="s">
        <v>13904</v>
      </c>
      <c r="K5957" s="2" t="s">
        <v>5657</v>
      </c>
      <c r="L5957" s="82" t="s">
        <v>19512</v>
      </c>
    </row>
    <row r="5958" spans="1:12" ht="84" customHeight="1" x14ac:dyDescent="0.3">
      <c r="A5958" s="2">
        <v>5954</v>
      </c>
      <c r="B5958" s="66" t="s">
        <v>6852</v>
      </c>
      <c r="C5958" s="66" t="s">
        <v>4280</v>
      </c>
      <c r="D5958" s="11">
        <v>11475</v>
      </c>
      <c r="E5958" s="11">
        <v>11475</v>
      </c>
      <c r="F5958" s="3">
        <v>41983</v>
      </c>
      <c r="G5958" s="2"/>
      <c r="H5958" s="3">
        <v>43053</v>
      </c>
      <c r="I5958" s="2" t="s">
        <v>19506</v>
      </c>
      <c r="J5958" s="2" t="s">
        <v>13904</v>
      </c>
      <c r="K5958" s="2" t="s">
        <v>5657</v>
      </c>
      <c r="L5958" s="82" t="s">
        <v>19512</v>
      </c>
    </row>
    <row r="5959" spans="1:12" ht="84" customHeight="1" x14ac:dyDescent="0.3">
      <c r="A5959" s="2">
        <v>5955</v>
      </c>
      <c r="B5959" s="66" t="s">
        <v>6852</v>
      </c>
      <c r="C5959" s="66" t="s">
        <v>4279</v>
      </c>
      <c r="D5959" s="11">
        <v>11475</v>
      </c>
      <c r="E5959" s="11">
        <v>11475</v>
      </c>
      <c r="F5959" s="3">
        <v>41983</v>
      </c>
      <c r="G5959" s="2"/>
      <c r="H5959" s="3">
        <v>43053</v>
      </c>
      <c r="I5959" s="2" t="s">
        <v>19506</v>
      </c>
      <c r="J5959" s="2" t="s">
        <v>13904</v>
      </c>
      <c r="K5959" s="2" t="s">
        <v>5657</v>
      </c>
      <c r="L5959" s="82" t="s">
        <v>19512</v>
      </c>
    </row>
    <row r="5960" spans="1:12" ht="84" customHeight="1" x14ac:dyDescent="0.3">
      <c r="A5960" s="2">
        <v>5956</v>
      </c>
      <c r="B5960" s="66" t="s">
        <v>6852</v>
      </c>
      <c r="C5960" s="66" t="s">
        <v>4278</v>
      </c>
      <c r="D5960" s="11">
        <v>11475</v>
      </c>
      <c r="E5960" s="11">
        <v>11475</v>
      </c>
      <c r="F5960" s="3">
        <v>41983</v>
      </c>
      <c r="G5960" s="2"/>
      <c r="H5960" s="3">
        <v>43053</v>
      </c>
      <c r="I5960" s="2" t="s">
        <v>19506</v>
      </c>
      <c r="J5960" s="2" t="s">
        <v>13904</v>
      </c>
      <c r="K5960" s="2" t="s">
        <v>5657</v>
      </c>
      <c r="L5960" s="82" t="s">
        <v>19512</v>
      </c>
    </row>
    <row r="5961" spans="1:12" ht="84" customHeight="1" x14ac:dyDescent="0.3">
      <c r="A5961" s="2">
        <v>5957</v>
      </c>
      <c r="B5961" s="66" t="s">
        <v>6852</v>
      </c>
      <c r="C5961" s="66" t="s">
        <v>6874</v>
      </c>
      <c r="D5961" s="11">
        <v>11475</v>
      </c>
      <c r="E5961" s="11">
        <v>11475</v>
      </c>
      <c r="F5961" s="3">
        <v>41983</v>
      </c>
      <c r="G5961" s="2"/>
      <c r="H5961" s="3">
        <v>43053</v>
      </c>
      <c r="I5961" s="2" t="s">
        <v>19506</v>
      </c>
      <c r="J5961" s="2" t="s">
        <v>13904</v>
      </c>
      <c r="K5961" s="2" t="s">
        <v>5657</v>
      </c>
      <c r="L5961" s="82" t="s">
        <v>19512</v>
      </c>
    </row>
    <row r="5962" spans="1:12" ht="84" customHeight="1" x14ac:dyDescent="0.3">
      <c r="A5962" s="2">
        <v>5958</v>
      </c>
      <c r="B5962" s="66" t="s">
        <v>6852</v>
      </c>
      <c r="C5962" s="66" t="s">
        <v>6875</v>
      </c>
      <c r="D5962" s="11">
        <v>11475</v>
      </c>
      <c r="E5962" s="11">
        <v>11475</v>
      </c>
      <c r="F5962" s="3">
        <v>41983</v>
      </c>
      <c r="G5962" s="2"/>
      <c r="H5962" s="3">
        <v>43053</v>
      </c>
      <c r="I5962" s="2" t="s">
        <v>19506</v>
      </c>
      <c r="J5962" s="2" t="s">
        <v>13904</v>
      </c>
      <c r="K5962" s="2" t="s">
        <v>5657</v>
      </c>
      <c r="L5962" s="82" t="s">
        <v>19512</v>
      </c>
    </row>
    <row r="5963" spans="1:12" ht="84" customHeight="1" x14ac:dyDescent="0.3">
      <c r="A5963" s="2">
        <v>5959</v>
      </c>
      <c r="B5963" s="66" t="s">
        <v>6852</v>
      </c>
      <c r="C5963" s="66" t="s">
        <v>6876</v>
      </c>
      <c r="D5963" s="11">
        <v>11475</v>
      </c>
      <c r="E5963" s="11">
        <v>11475</v>
      </c>
      <c r="F5963" s="3">
        <v>41983</v>
      </c>
      <c r="G5963" s="2"/>
      <c r="H5963" s="3">
        <v>43053</v>
      </c>
      <c r="I5963" s="2" t="s">
        <v>19506</v>
      </c>
      <c r="J5963" s="2" t="s">
        <v>13904</v>
      </c>
      <c r="K5963" s="2" t="s">
        <v>5657</v>
      </c>
      <c r="L5963" s="82" t="s">
        <v>19512</v>
      </c>
    </row>
    <row r="5964" spans="1:12" ht="84" customHeight="1" x14ac:dyDescent="0.3">
      <c r="A5964" s="2">
        <v>5960</v>
      </c>
      <c r="B5964" s="66" t="s">
        <v>6852</v>
      </c>
      <c r="C5964" s="66" t="s">
        <v>6877</v>
      </c>
      <c r="D5964" s="11">
        <v>11475</v>
      </c>
      <c r="E5964" s="11">
        <v>11475</v>
      </c>
      <c r="F5964" s="3">
        <v>41983</v>
      </c>
      <c r="G5964" s="2"/>
      <c r="H5964" s="3">
        <v>43053</v>
      </c>
      <c r="I5964" s="2" t="s">
        <v>19506</v>
      </c>
      <c r="J5964" s="2" t="s">
        <v>13904</v>
      </c>
      <c r="K5964" s="2" t="s">
        <v>5657</v>
      </c>
      <c r="L5964" s="82" t="s">
        <v>19512</v>
      </c>
    </row>
    <row r="5965" spans="1:12" ht="84" customHeight="1" x14ac:dyDescent="0.3">
      <c r="A5965" s="2">
        <v>5961</v>
      </c>
      <c r="B5965" s="66" t="s">
        <v>6852</v>
      </c>
      <c r="C5965" s="66" t="s">
        <v>6878</v>
      </c>
      <c r="D5965" s="11">
        <v>11475</v>
      </c>
      <c r="E5965" s="11">
        <v>11475</v>
      </c>
      <c r="F5965" s="3">
        <v>41983</v>
      </c>
      <c r="G5965" s="2"/>
      <c r="H5965" s="3">
        <v>43053</v>
      </c>
      <c r="I5965" s="2" t="s">
        <v>19506</v>
      </c>
      <c r="J5965" s="2" t="s">
        <v>13904</v>
      </c>
      <c r="K5965" s="2" t="s">
        <v>5657</v>
      </c>
      <c r="L5965" s="82" t="s">
        <v>19512</v>
      </c>
    </row>
    <row r="5966" spans="1:12" ht="84" customHeight="1" x14ac:dyDescent="0.3">
      <c r="A5966" s="2">
        <v>5962</v>
      </c>
      <c r="B5966" s="66" t="s">
        <v>6852</v>
      </c>
      <c r="C5966" s="66" t="s">
        <v>6879</v>
      </c>
      <c r="D5966" s="11">
        <v>11475</v>
      </c>
      <c r="E5966" s="11">
        <v>11475</v>
      </c>
      <c r="F5966" s="3">
        <v>41983</v>
      </c>
      <c r="G5966" s="2"/>
      <c r="H5966" s="3">
        <v>43053</v>
      </c>
      <c r="I5966" s="2" t="s">
        <v>19506</v>
      </c>
      <c r="J5966" s="2" t="s">
        <v>13904</v>
      </c>
      <c r="K5966" s="2" t="s">
        <v>5657</v>
      </c>
      <c r="L5966" s="82" t="s">
        <v>19512</v>
      </c>
    </row>
    <row r="5967" spans="1:12" ht="84" customHeight="1" x14ac:dyDescent="0.3">
      <c r="A5967" s="2">
        <v>5963</v>
      </c>
      <c r="B5967" s="66" t="s">
        <v>6852</v>
      </c>
      <c r="C5967" s="66" t="s">
        <v>6880</v>
      </c>
      <c r="D5967" s="11">
        <v>11475</v>
      </c>
      <c r="E5967" s="11">
        <v>11475</v>
      </c>
      <c r="F5967" s="3">
        <v>41983</v>
      </c>
      <c r="G5967" s="2"/>
      <c r="H5967" s="3">
        <v>43053</v>
      </c>
      <c r="I5967" s="2" t="s">
        <v>19506</v>
      </c>
      <c r="J5967" s="2" t="s">
        <v>13904</v>
      </c>
      <c r="K5967" s="2" t="s">
        <v>5657</v>
      </c>
      <c r="L5967" s="82" t="s">
        <v>19512</v>
      </c>
    </row>
    <row r="5968" spans="1:12" ht="84" customHeight="1" x14ac:dyDescent="0.3">
      <c r="A5968" s="2">
        <v>5964</v>
      </c>
      <c r="B5968" s="66" t="s">
        <v>6852</v>
      </c>
      <c r="C5968" s="66" t="s">
        <v>6881</v>
      </c>
      <c r="D5968" s="11">
        <v>11475</v>
      </c>
      <c r="E5968" s="11">
        <v>11475</v>
      </c>
      <c r="F5968" s="3">
        <v>41983</v>
      </c>
      <c r="G5968" s="2"/>
      <c r="H5968" s="3">
        <v>43053</v>
      </c>
      <c r="I5968" s="2" t="s">
        <v>19506</v>
      </c>
      <c r="J5968" s="2" t="s">
        <v>13904</v>
      </c>
      <c r="K5968" s="2" t="s">
        <v>5657</v>
      </c>
      <c r="L5968" s="82" t="s">
        <v>19512</v>
      </c>
    </row>
    <row r="5969" spans="1:12" ht="84" customHeight="1" x14ac:dyDescent="0.3">
      <c r="A5969" s="2">
        <v>5965</v>
      </c>
      <c r="B5969" s="66" t="s">
        <v>6852</v>
      </c>
      <c r="C5969" s="66" t="s">
        <v>6882</v>
      </c>
      <c r="D5969" s="11">
        <v>11475</v>
      </c>
      <c r="E5969" s="11">
        <v>11475</v>
      </c>
      <c r="F5969" s="3">
        <v>41983</v>
      </c>
      <c r="G5969" s="2"/>
      <c r="H5969" s="3">
        <v>43053</v>
      </c>
      <c r="I5969" s="2" t="s">
        <v>19506</v>
      </c>
      <c r="J5969" s="2" t="s">
        <v>13904</v>
      </c>
      <c r="K5969" s="2" t="s">
        <v>5657</v>
      </c>
      <c r="L5969" s="82" t="s">
        <v>19512</v>
      </c>
    </row>
    <row r="5970" spans="1:12" ht="84" customHeight="1" x14ac:dyDescent="0.3">
      <c r="A5970" s="2">
        <v>5966</v>
      </c>
      <c r="B5970" s="66" t="s">
        <v>6852</v>
      </c>
      <c r="C5970" s="66" t="s">
        <v>6883</v>
      </c>
      <c r="D5970" s="11">
        <v>11475</v>
      </c>
      <c r="E5970" s="11">
        <v>11475</v>
      </c>
      <c r="F5970" s="3">
        <v>41983</v>
      </c>
      <c r="G5970" s="2"/>
      <c r="H5970" s="3">
        <v>43053</v>
      </c>
      <c r="I5970" s="2" t="s">
        <v>19506</v>
      </c>
      <c r="J5970" s="2" t="s">
        <v>13904</v>
      </c>
      <c r="K5970" s="2" t="s">
        <v>5657</v>
      </c>
      <c r="L5970" s="82" t="s">
        <v>19512</v>
      </c>
    </row>
    <row r="5971" spans="1:12" ht="84" customHeight="1" x14ac:dyDescent="0.3">
      <c r="A5971" s="2">
        <v>5967</v>
      </c>
      <c r="B5971" s="66" t="s">
        <v>6852</v>
      </c>
      <c r="C5971" s="66" t="s">
        <v>6884</v>
      </c>
      <c r="D5971" s="11">
        <v>11475</v>
      </c>
      <c r="E5971" s="11">
        <v>11475</v>
      </c>
      <c r="F5971" s="3">
        <v>41983</v>
      </c>
      <c r="G5971" s="2"/>
      <c r="H5971" s="3">
        <v>43053</v>
      </c>
      <c r="I5971" s="2" t="s">
        <v>19506</v>
      </c>
      <c r="J5971" s="2" t="s">
        <v>13904</v>
      </c>
      <c r="K5971" s="2" t="s">
        <v>5657</v>
      </c>
      <c r="L5971" s="82" t="s">
        <v>19512</v>
      </c>
    </row>
    <row r="5972" spans="1:12" ht="84" customHeight="1" x14ac:dyDescent="0.3">
      <c r="A5972" s="2">
        <v>5968</v>
      </c>
      <c r="B5972" s="66" t="s">
        <v>6852</v>
      </c>
      <c r="C5972" s="66" t="s">
        <v>6885</v>
      </c>
      <c r="D5972" s="11">
        <v>11475</v>
      </c>
      <c r="E5972" s="11">
        <v>11475</v>
      </c>
      <c r="F5972" s="3">
        <v>41983</v>
      </c>
      <c r="G5972" s="2"/>
      <c r="H5972" s="3">
        <v>43053</v>
      </c>
      <c r="I5972" s="2" t="s">
        <v>19506</v>
      </c>
      <c r="J5972" s="2" t="s">
        <v>13904</v>
      </c>
      <c r="K5972" s="2" t="s">
        <v>5657</v>
      </c>
      <c r="L5972" s="82" t="s">
        <v>19512</v>
      </c>
    </row>
    <row r="5973" spans="1:12" ht="84" customHeight="1" x14ac:dyDescent="0.3">
      <c r="A5973" s="2">
        <v>5969</v>
      </c>
      <c r="B5973" s="66" t="s">
        <v>6886</v>
      </c>
      <c r="C5973" s="66" t="s">
        <v>6887</v>
      </c>
      <c r="D5973" s="11">
        <v>7366</v>
      </c>
      <c r="E5973" s="11">
        <v>7366</v>
      </c>
      <c r="F5973" s="3">
        <v>41983</v>
      </c>
      <c r="G5973" s="2"/>
      <c r="H5973" s="3">
        <v>43053</v>
      </c>
      <c r="I5973" s="2" t="s">
        <v>19506</v>
      </c>
      <c r="J5973" s="2" t="s">
        <v>13904</v>
      </c>
      <c r="K5973" s="2" t="s">
        <v>5657</v>
      </c>
      <c r="L5973" s="82" t="s">
        <v>19512</v>
      </c>
    </row>
    <row r="5974" spans="1:12" ht="84" customHeight="1" x14ac:dyDescent="0.3">
      <c r="A5974" s="2">
        <v>5970</v>
      </c>
      <c r="B5974" s="66" t="s">
        <v>6886</v>
      </c>
      <c r="C5974" s="66" t="s">
        <v>6888</v>
      </c>
      <c r="D5974" s="11">
        <v>7366</v>
      </c>
      <c r="E5974" s="11">
        <v>7366</v>
      </c>
      <c r="F5974" s="3">
        <v>41983</v>
      </c>
      <c r="G5974" s="2"/>
      <c r="H5974" s="3">
        <v>43053</v>
      </c>
      <c r="I5974" s="2" t="s">
        <v>19506</v>
      </c>
      <c r="J5974" s="2" t="s">
        <v>13904</v>
      </c>
      <c r="K5974" s="2" t="s">
        <v>5657</v>
      </c>
      <c r="L5974" s="82" t="s">
        <v>19512</v>
      </c>
    </row>
    <row r="5975" spans="1:12" ht="84" customHeight="1" x14ac:dyDescent="0.3">
      <c r="A5975" s="2">
        <v>5971</v>
      </c>
      <c r="B5975" s="66" t="s">
        <v>6889</v>
      </c>
      <c r="C5975" s="66" t="s">
        <v>6890</v>
      </c>
      <c r="D5975" s="11">
        <v>5875</v>
      </c>
      <c r="E5975" s="11">
        <v>5875</v>
      </c>
      <c r="F5975" s="3">
        <v>41983</v>
      </c>
      <c r="G5975" s="2"/>
      <c r="H5975" s="3">
        <v>43053</v>
      </c>
      <c r="I5975" s="2" t="s">
        <v>19506</v>
      </c>
      <c r="J5975" s="2" t="s">
        <v>13904</v>
      </c>
      <c r="K5975" s="2" t="s">
        <v>5657</v>
      </c>
      <c r="L5975" s="82" t="s">
        <v>19512</v>
      </c>
    </row>
    <row r="5976" spans="1:12" ht="84" customHeight="1" x14ac:dyDescent="0.3">
      <c r="A5976" s="2">
        <v>5972</v>
      </c>
      <c r="B5976" s="66" t="s">
        <v>6891</v>
      </c>
      <c r="C5976" s="66" t="s">
        <v>6892</v>
      </c>
      <c r="D5976" s="11">
        <v>20397</v>
      </c>
      <c r="E5976" s="11">
        <v>20397</v>
      </c>
      <c r="F5976" s="3">
        <v>41983</v>
      </c>
      <c r="G5976" s="2"/>
      <c r="H5976" s="3">
        <v>43053</v>
      </c>
      <c r="I5976" s="2" t="s">
        <v>19506</v>
      </c>
      <c r="J5976" s="2" t="s">
        <v>13904</v>
      </c>
      <c r="K5976" s="2" t="s">
        <v>5657</v>
      </c>
      <c r="L5976" s="82" t="s">
        <v>19512</v>
      </c>
    </row>
    <row r="5977" spans="1:12" ht="84" customHeight="1" x14ac:dyDescent="0.3">
      <c r="A5977" s="2">
        <v>5973</v>
      </c>
      <c r="B5977" s="66" t="s">
        <v>6893</v>
      </c>
      <c r="C5977" s="66" t="s">
        <v>6894</v>
      </c>
      <c r="D5977" s="11">
        <v>28960</v>
      </c>
      <c r="E5977" s="11">
        <v>28960</v>
      </c>
      <c r="F5977" s="3">
        <v>41983</v>
      </c>
      <c r="G5977" s="2"/>
      <c r="H5977" s="3">
        <v>43053</v>
      </c>
      <c r="I5977" s="2" t="s">
        <v>19506</v>
      </c>
      <c r="J5977" s="2" t="s">
        <v>13904</v>
      </c>
      <c r="K5977" s="2" t="s">
        <v>5657</v>
      </c>
      <c r="L5977" s="82" t="s">
        <v>19512</v>
      </c>
    </row>
    <row r="5978" spans="1:12" ht="84" customHeight="1" x14ac:dyDescent="0.3">
      <c r="A5978" s="2">
        <v>5974</v>
      </c>
      <c r="B5978" s="66" t="s">
        <v>6895</v>
      </c>
      <c r="C5978" s="66" t="s">
        <v>6896</v>
      </c>
      <c r="D5978" s="11">
        <v>18110</v>
      </c>
      <c r="E5978" s="11">
        <v>18110</v>
      </c>
      <c r="F5978" s="3">
        <v>41983</v>
      </c>
      <c r="G5978" s="2"/>
      <c r="H5978" s="3">
        <v>43053</v>
      </c>
      <c r="I5978" s="2" t="s">
        <v>19506</v>
      </c>
      <c r="J5978" s="2" t="s">
        <v>13904</v>
      </c>
      <c r="K5978" s="2" t="s">
        <v>5657</v>
      </c>
      <c r="L5978" s="82" t="s">
        <v>19512</v>
      </c>
    </row>
    <row r="5979" spans="1:12" ht="84" customHeight="1" x14ac:dyDescent="0.3">
      <c r="A5979" s="2">
        <v>5975</v>
      </c>
      <c r="B5979" s="66" t="s">
        <v>6897</v>
      </c>
      <c r="C5979" s="66" t="s">
        <v>4277</v>
      </c>
      <c r="D5979" s="11">
        <v>11866.7</v>
      </c>
      <c r="E5979" s="11">
        <v>11866.7</v>
      </c>
      <c r="F5979" s="3">
        <v>41983</v>
      </c>
      <c r="G5979" s="2"/>
      <c r="H5979" s="3">
        <v>43053</v>
      </c>
      <c r="I5979" s="2" t="s">
        <v>19506</v>
      </c>
      <c r="J5979" s="2" t="s">
        <v>13904</v>
      </c>
      <c r="K5979" s="2" t="s">
        <v>5657</v>
      </c>
      <c r="L5979" s="82" t="s">
        <v>19512</v>
      </c>
    </row>
    <row r="5980" spans="1:12" ht="84" customHeight="1" x14ac:dyDescent="0.3">
      <c r="A5980" s="2">
        <v>5976</v>
      </c>
      <c r="B5980" s="66" t="s">
        <v>6898</v>
      </c>
      <c r="C5980" s="66" t="s">
        <v>4276</v>
      </c>
      <c r="D5980" s="11">
        <v>33081</v>
      </c>
      <c r="E5980" s="11">
        <v>33081</v>
      </c>
      <c r="F5980" s="3">
        <v>41985</v>
      </c>
      <c r="G5980" s="2"/>
      <c r="H5980" s="3">
        <v>43053</v>
      </c>
      <c r="I5980" s="2" t="s">
        <v>19506</v>
      </c>
      <c r="J5980" s="2" t="s">
        <v>13904</v>
      </c>
      <c r="K5980" s="2" t="s">
        <v>5657</v>
      </c>
      <c r="L5980" s="82" t="s">
        <v>19512</v>
      </c>
    </row>
    <row r="5981" spans="1:12" ht="84" customHeight="1" x14ac:dyDescent="0.3">
      <c r="A5981" s="2">
        <v>5977</v>
      </c>
      <c r="B5981" s="66" t="s">
        <v>6899</v>
      </c>
      <c r="C5981" s="66" t="s">
        <v>6900</v>
      </c>
      <c r="D5981" s="11">
        <v>10055.25</v>
      </c>
      <c r="E5981" s="11">
        <v>10055.25</v>
      </c>
      <c r="F5981" s="3">
        <v>39052</v>
      </c>
      <c r="G5981" s="2"/>
      <c r="H5981" s="3">
        <v>43053</v>
      </c>
      <c r="I5981" s="2" t="s">
        <v>19506</v>
      </c>
      <c r="J5981" s="2" t="s">
        <v>13904</v>
      </c>
      <c r="K5981" s="2" t="s">
        <v>5657</v>
      </c>
      <c r="L5981" s="82" t="s">
        <v>19512</v>
      </c>
    </row>
    <row r="5982" spans="1:12" ht="84" customHeight="1" x14ac:dyDescent="0.3">
      <c r="A5982" s="2">
        <v>5978</v>
      </c>
      <c r="B5982" s="66" t="s">
        <v>6901</v>
      </c>
      <c r="C5982" s="66" t="s">
        <v>6902</v>
      </c>
      <c r="D5982" s="11">
        <v>3168.8</v>
      </c>
      <c r="E5982" s="11">
        <v>3168.8</v>
      </c>
      <c r="F5982" s="3">
        <v>39052</v>
      </c>
      <c r="G5982" s="2"/>
      <c r="H5982" s="3">
        <v>43053</v>
      </c>
      <c r="I5982" s="2" t="s">
        <v>19506</v>
      </c>
      <c r="J5982" s="2" t="s">
        <v>13904</v>
      </c>
      <c r="K5982" s="2" t="s">
        <v>5657</v>
      </c>
      <c r="L5982" s="82" t="s">
        <v>19512</v>
      </c>
    </row>
    <row r="5983" spans="1:12" ht="84" customHeight="1" x14ac:dyDescent="0.3">
      <c r="A5983" s="2">
        <v>5979</v>
      </c>
      <c r="B5983" s="66" t="s">
        <v>6903</v>
      </c>
      <c r="C5983" s="66" t="s">
        <v>6904</v>
      </c>
      <c r="D5983" s="11">
        <v>3894</v>
      </c>
      <c r="E5983" s="11">
        <v>3894</v>
      </c>
      <c r="F5983" s="3">
        <v>39142</v>
      </c>
      <c r="G5983" s="2"/>
      <c r="H5983" s="3">
        <v>43053</v>
      </c>
      <c r="I5983" s="2" t="s">
        <v>19506</v>
      </c>
      <c r="J5983" s="2" t="s">
        <v>13904</v>
      </c>
      <c r="K5983" s="2" t="s">
        <v>5657</v>
      </c>
      <c r="L5983" s="82" t="s">
        <v>19512</v>
      </c>
    </row>
    <row r="5984" spans="1:12" ht="84" customHeight="1" x14ac:dyDescent="0.3">
      <c r="A5984" s="2">
        <v>5980</v>
      </c>
      <c r="B5984" s="66" t="s">
        <v>6905</v>
      </c>
      <c r="C5984" s="66" t="s">
        <v>6906</v>
      </c>
      <c r="D5984" s="11">
        <v>3894</v>
      </c>
      <c r="E5984" s="11">
        <v>3894</v>
      </c>
      <c r="F5984" s="3">
        <v>39142</v>
      </c>
      <c r="G5984" s="2"/>
      <c r="H5984" s="3">
        <v>43053</v>
      </c>
      <c r="I5984" s="2" t="s">
        <v>19506</v>
      </c>
      <c r="J5984" s="2" t="s">
        <v>13904</v>
      </c>
      <c r="K5984" s="2" t="s">
        <v>5657</v>
      </c>
      <c r="L5984" s="82" t="s">
        <v>19512</v>
      </c>
    </row>
    <row r="5985" spans="1:12" ht="84" customHeight="1" x14ac:dyDescent="0.3">
      <c r="A5985" s="2">
        <v>5981</v>
      </c>
      <c r="B5985" s="66" t="s">
        <v>6907</v>
      </c>
      <c r="C5985" s="66" t="s">
        <v>6908</v>
      </c>
      <c r="D5985" s="11">
        <v>4793.03</v>
      </c>
      <c r="E5985" s="11">
        <v>4793.03</v>
      </c>
      <c r="F5985" s="3">
        <v>39052</v>
      </c>
      <c r="G5985" s="2"/>
      <c r="H5985" s="3">
        <v>43053</v>
      </c>
      <c r="I5985" s="2" t="s">
        <v>19506</v>
      </c>
      <c r="J5985" s="2" t="s">
        <v>13904</v>
      </c>
      <c r="K5985" s="2" t="s">
        <v>5657</v>
      </c>
      <c r="L5985" s="82" t="s">
        <v>19512</v>
      </c>
    </row>
    <row r="5986" spans="1:12" ht="84" customHeight="1" x14ac:dyDescent="0.3">
      <c r="A5986" s="2">
        <v>5982</v>
      </c>
      <c r="B5986" s="66" t="s">
        <v>6909</v>
      </c>
      <c r="C5986" s="66" t="s">
        <v>6910</v>
      </c>
      <c r="D5986" s="11">
        <v>6257.35</v>
      </c>
      <c r="E5986" s="11">
        <v>6257.35</v>
      </c>
      <c r="F5986" s="3">
        <v>39052</v>
      </c>
      <c r="G5986" s="2"/>
      <c r="H5986" s="3">
        <v>43053</v>
      </c>
      <c r="I5986" s="2" t="s">
        <v>19506</v>
      </c>
      <c r="J5986" s="2" t="s">
        <v>13904</v>
      </c>
      <c r="K5986" s="2" t="s">
        <v>5657</v>
      </c>
      <c r="L5986" s="82" t="s">
        <v>19512</v>
      </c>
    </row>
    <row r="5987" spans="1:12" ht="84" customHeight="1" x14ac:dyDescent="0.3">
      <c r="A5987" s="2">
        <v>5983</v>
      </c>
      <c r="B5987" s="66" t="s">
        <v>6909</v>
      </c>
      <c r="C5987" s="66" t="s">
        <v>6911</v>
      </c>
      <c r="D5987" s="11">
        <v>6257.35</v>
      </c>
      <c r="E5987" s="11">
        <v>6257.35</v>
      </c>
      <c r="F5987" s="3">
        <v>39052</v>
      </c>
      <c r="G5987" s="2"/>
      <c r="H5987" s="3">
        <v>43053</v>
      </c>
      <c r="I5987" s="2" t="s">
        <v>19506</v>
      </c>
      <c r="J5987" s="2" t="s">
        <v>13904</v>
      </c>
      <c r="K5987" s="2" t="s">
        <v>5657</v>
      </c>
      <c r="L5987" s="82" t="s">
        <v>19512</v>
      </c>
    </row>
    <row r="5988" spans="1:12" ht="84" customHeight="1" x14ac:dyDescent="0.3">
      <c r="A5988" s="2">
        <v>5984</v>
      </c>
      <c r="B5988" s="66" t="s">
        <v>6909</v>
      </c>
      <c r="C5988" s="66" t="s">
        <v>6912</v>
      </c>
      <c r="D5988" s="11">
        <v>6257.35</v>
      </c>
      <c r="E5988" s="11">
        <v>6257.35</v>
      </c>
      <c r="F5988" s="3">
        <v>39052</v>
      </c>
      <c r="G5988" s="2"/>
      <c r="H5988" s="3">
        <v>43053</v>
      </c>
      <c r="I5988" s="2" t="s">
        <v>19506</v>
      </c>
      <c r="J5988" s="2" t="s">
        <v>13904</v>
      </c>
      <c r="K5988" s="2" t="s">
        <v>5657</v>
      </c>
      <c r="L5988" s="82" t="s">
        <v>19512</v>
      </c>
    </row>
    <row r="5989" spans="1:12" ht="84" customHeight="1" x14ac:dyDescent="0.3">
      <c r="A5989" s="2">
        <v>5985</v>
      </c>
      <c r="B5989" s="66" t="s">
        <v>6909</v>
      </c>
      <c r="C5989" s="66" t="s">
        <v>6913</v>
      </c>
      <c r="D5989" s="11">
        <v>6257.35</v>
      </c>
      <c r="E5989" s="11">
        <v>6257.35</v>
      </c>
      <c r="F5989" s="3">
        <v>39052</v>
      </c>
      <c r="G5989" s="2"/>
      <c r="H5989" s="3">
        <v>43053</v>
      </c>
      <c r="I5989" s="2" t="s">
        <v>19506</v>
      </c>
      <c r="J5989" s="2" t="s">
        <v>13904</v>
      </c>
      <c r="K5989" s="2" t="s">
        <v>5657</v>
      </c>
      <c r="L5989" s="82" t="s">
        <v>19512</v>
      </c>
    </row>
    <row r="5990" spans="1:12" ht="84" customHeight="1" x14ac:dyDescent="0.3">
      <c r="A5990" s="2">
        <v>5986</v>
      </c>
      <c r="B5990" s="66" t="s">
        <v>6909</v>
      </c>
      <c r="C5990" s="66" t="s">
        <v>6914</v>
      </c>
      <c r="D5990" s="11">
        <v>6257.35</v>
      </c>
      <c r="E5990" s="11">
        <v>6257.35</v>
      </c>
      <c r="F5990" s="3">
        <v>39052</v>
      </c>
      <c r="G5990" s="2"/>
      <c r="H5990" s="3">
        <v>43053</v>
      </c>
      <c r="I5990" s="2" t="s">
        <v>19506</v>
      </c>
      <c r="J5990" s="2" t="s">
        <v>13904</v>
      </c>
      <c r="K5990" s="2" t="s">
        <v>5657</v>
      </c>
      <c r="L5990" s="82" t="s">
        <v>19512</v>
      </c>
    </row>
    <row r="5991" spans="1:12" ht="84" customHeight="1" x14ac:dyDescent="0.3">
      <c r="A5991" s="2">
        <v>5987</v>
      </c>
      <c r="B5991" s="66" t="s">
        <v>6909</v>
      </c>
      <c r="C5991" s="66" t="s">
        <v>6915</v>
      </c>
      <c r="D5991" s="11">
        <v>6257.35</v>
      </c>
      <c r="E5991" s="11">
        <v>6257.35</v>
      </c>
      <c r="F5991" s="3">
        <v>39052</v>
      </c>
      <c r="G5991" s="2"/>
      <c r="H5991" s="3">
        <v>43053</v>
      </c>
      <c r="I5991" s="2" t="s">
        <v>19506</v>
      </c>
      <c r="J5991" s="2" t="s">
        <v>13904</v>
      </c>
      <c r="K5991" s="2" t="s">
        <v>5657</v>
      </c>
      <c r="L5991" s="82" t="s">
        <v>19512</v>
      </c>
    </row>
    <row r="5992" spans="1:12" ht="84" customHeight="1" x14ac:dyDescent="0.3">
      <c r="A5992" s="2">
        <v>5988</v>
      </c>
      <c r="B5992" s="66" t="s">
        <v>6909</v>
      </c>
      <c r="C5992" s="66" t="s">
        <v>6916</v>
      </c>
      <c r="D5992" s="11">
        <v>6257.35</v>
      </c>
      <c r="E5992" s="11">
        <v>6257.35</v>
      </c>
      <c r="F5992" s="3">
        <v>39052</v>
      </c>
      <c r="G5992" s="2"/>
      <c r="H5992" s="3">
        <v>43053</v>
      </c>
      <c r="I5992" s="2" t="s">
        <v>19506</v>
      </c>
      <c r="J5992" s="2" t="s">
        <v>13904</v>
      </c>
      <c r="K5992" s="2" t="s">
        <v>5657</v>
      </c>
      <c r="L5992" s="82" t="s">
        <v>19512</v>
      </c>
    </row>
    <row r="5993" spans="1:12" ht="84" customHeight="1" x14ac:dyDescent="0.3">
      <c r="A5993" s="2">
        <v>5989</v>
      </c>
      <c r="B5993" s="66" t="s">
        <v>6909</v>
      </c>
      <c r="C5993" s="66" t="s">
        <v>6917</v>
      </c>
      <c r="D5993" s="11">
        <v>6257.35</v>
      </c>
      <c r="E5993" s="11">
        <v>6257.35</v>
      </c>
      <c r="F5993" s="3">
        <v>39052</v>
      </c>
      <c r="G5993" s="2"/>
      <c r="H5993" s="3">
        <v>43053</v>
      </c>
      <c r="I5993" s="2" t="s">
        <v>19506</v>
      </c>
      <c r="J5993" s="2" t="s">
        <v>13904</v>
      </c>
      <c r="K5993" s="2" t="s">
        <v>5657</v>
      </c>
      <c r="L5993" s="82" t="s">
        <v>19512</v>
      </c>
    </row>
    <row r="5994" spans="1:12" ht="84" customHeight="1" x14ac:dyDescent="0.3">
      <c r="A5994" s="2">
        <v>5990</v>
      </c>
      <c r="B5994" s="66" t="s">
        <v>6909</v>
      </c>
      <c r="C5994" s="66" t="s">
        <v>6918</v>
      </c>
      <c r="D5994" s="11">
        <v>6257.35</v>
      </c>
      <c r="E5994" s="11">
        <v>6257.35</v>
      </c>
      <c r="F5994" s="3">
        <v>39052</v>
      </c>
      <c r="G5994" s="2"/>
      <c r="H5994" s="3">
        <v>43053</v>
      </c>
      <c r="I5994" s="2" t="s">
        <v>19506</v>
      </c>
      <c r="J5994" s="2" t="s">
        <v>13904</v>
      </c>
      <c r="K5994" s="2" t="s">
        <v>5657</v>
      </c>
      <c r="L5994" s="82" t="s">
        <v>19512</v>
      </c>
    </row>
    <row r="5995" spans="1:12" ht="84" customHeight="1" x14ac:dyDescent="0.3">
      <c r="A5995" s="2">
        <v>5991</v>
      </c>
      <c r="B5995" s="66" t="s">
        <v>6909</v>
      </c>
      <c r="C5995" s="66" t="s">
        <v>6919</v>
      </c>
      <c r="D5995" s="11">
        <v>6257.35</v>
      </c>
      <c r="E5995" s="11">
        <v>6257.35</v>
      </c>
      <c r="F5995" s="3">
        <v>39052</v>
      </c>
      <c r="G5995" s="2"/>
      <c r="H5995" s="3">
        <v>43053</v>
      </c>
      <c r="I5995" s="2" t="s">
        <v>19506</v>
      </c>
      <c r="J5995" s="2" t="s">
        <v>13904</v>
      </c>
      <c r="K5995" s="2" t="s">
        <v>5657</v>
      </c>
      <c r="L5995" s="82" t="s">
        <v>19512</v>
      </c>
    </row>
    <row r="5996" spans="1:12" ht="84" customHeight="1" x14ac:dyDescent="0.3">
      <c r="A5996" s="2">
        <v>5992</v>
      </c>
      <c r="B5996" s="66" t="s">
        <v>6909</v>
      </c>
      <c r="C5996" s="66" t="s">
        <v>6920</v>
      </c>
      <c r="D5996" s="11">
        <v>6257.35</v>
      </c>
      <c r="E5996" s="11">
        <v>6257.35</v>
      </c>
      <c r="F5996" s="3">
        <v>39052</v>
      </c>
      <c r="G5996" s="2"/>
      <c r="H5996" s="3">
        <v>43053</v>
      </c>
      <c r="I5996" s="2" t="s">
        <v>19506</v>
      </c>
      <c r="J5996" s="2" t="s">
        <v>13904</v>
      </c>
      <c r="K5996" s="2" t="s">
        <v>5657</v>
      </c>
      <c r="L5996" s="82" t="s">
        <v>19512</v>
      </c>
    </row>
    <row r="5997" spans="1:12" ht="84" customHeight="1" x14ac:dyDescent="0.3">
      <c r="A5997" s="2">
        <v>5993</v>
      </c>
      <c r="B5997" s="66" t="s">
        <v>6909</v>
      </c>
      <c r="C5997" s="66" t="s">
        <v>6921</v>
      </c>
      <c r="D5997" s="11">
        <v>6257.35</v>
      </c>
      <c r="E5997" s="11">
        <v>6257.35</v>
      </c>
      <c r="F5997" s="3">
        <v>39052</v>
      </c>
      <c r="G5997" s="2"/>
      <c r="H5997" s="3">
        <v>43053</v>
      </c>
      <c r="I5997" s="2" t="s">
        <v>19506</v>
      </c>
      <c r="J5997" s="2" t="s">
        <v>13904</v>
      </c>
      <c r="K5997" s="2" t="s">
        <v>5657</v>
      </c>
      <c r="L5997" s="82" t="s">
        <v>19512</v>
      </c>
    </row>
    <row r="5998" spans="1:12" ht="84" customHeight="1" x14ac:dyDescent="0.3">
      <c r="A5998" s="2">
        <v>5994</v>
      </c>
      <c r="B5998" s="66" t="s">
        <v>6909</v>
      </c>
      <c r="C5998" s="66" t="s">
        <v>6922</v>
      </c>
      <c r="D5998" s="11">
        <v>6257.35</v>
      </c>
      <c r="E5998" s="11">
        <v>6257.35</v>
      </c>
      <c r="F5998" s="3">
        <v>39052</v>
      </c>
      <c r="G5998" s="2"/>
      <c r="H5998" s="3">
        <v>43053</v>
      </c>
      <c r="I5998" s="2" t="s">
        <v>19506</v>
      </c>
      <c r="J5998" s="2" t="s">
        <v>13904</v>
      </c>
      <c r="K5998" s="2" t="s">
        <v>5657</v>
      </c>
      <c r="L5998" s="82" t="s">
        <v>19512</v>
      </c>
    </row>
    <row r="5999" spans="1:12" ht="84" customHeight="1" x14ac:dyDescent="0.3">
      <c r="A5999" s="2">
        <v>5995</v>
      </c>
      <c r="B5999" s="66" t="s">
        <v>6909</v>
      </c>
      <c r="C5999" s="66" t="s">
        <v>6923</v>
      </c>
      <c r="D5999" s="11">
        <v>6257.35</v>
      </c>
      <c r="E5999" s="11">
        <v>6257.35</v>
      </c>
      <c r="F5999" s="3">
        <v>39052</v>
      </c>
      <c r="G5999" s="2"/>
      <c r="H5999" s="3">
        <v>43053</v>
      </c>
      <c r="I5999" s="2" t="s">
        <v>19506</v>
      </c>
      <c r="J5999" s="2" t="s">
        <v>13904</v>
      </c>
      <c r="K5999" s="2" t="s">
        <v>5657</v>
      </c>
      <c r="L5999" s="82" t="s">
        <v>19512</v>
      </c>
    </row>
    <row r="6000" spans="1:12" ht="84" customHeight="1" x14ac:dyDescent="0.3">
      <c r="A6000" s="2">
        <v>5996</v>
      </c>
      <c r="B6000" s="66" t="s">
        <v>6909</v>
      </c>
      <c r="C6000" s="66" t="s">
        <v>6924</v>
      </c>
      <c r="D6000" s="11">
        <v>6257.35</v>
      </c>
      <c r="E6000" s="11">
        <v>6257.35</v>
      </c>
      <c r="F6000" s="3">
        <v>39052</v>
      </c>
      <c r="G6000" s="2"/>
      <c r="H6000" s="3">
        <v>43053</v>
      </c>
      <c r="I6000" s="2" t="s">
        <v>19506</v>
      </c>
      <c r="J6000" s="2" t="s">
        <v>13904</v>
      </c>
      <c r="K6000" s="2" t="s">
        <v>5657</v>
      </c>
      <c r="L6000" s="82" t="s">
        <v>19512</v>
      </c>
    </row>
    <row r="6001" spans="1:12" ht="84" customHeight="1" x14ac:dyDescent="0.3">
      <c r="A6001" s="2">
        <v>5997</v>
      </c>
      <c r="B6001" s="66" t="s">
        <v>6909</v>
      </c>
      <c r="C6001" s="66" t="s">
        <v>6925</v>
      </c>
      <c r="D6001" s="11">
        <v>6257.35</v>
      </c>
      <c r="E6001" s="11">
        <v>6257.35</v>
      </c>
      <c r="F6001" s="3">
        <v>39052</v>
      </c>
      <c r="G6001" s="2"/>
      <c r="H6001" s="3">
        <v>43053</v>
      </c>
      <c r="I6001" s="2" t="s">
        <v>19506</v>
      </c>
      <c r="J6001" s="2" t="s">
        <v>13904</v>
      </c>
      <c r="K6001" s="2" t="s">
        <v>5657</v>
      </c>
      <c r="L6001" s="82" t="s">
        <v>19512</v>
      </c>
    </row>
    <row r="6002" spans="1:12" ht="84" customHeight="1" x14ac:dyDescent="0.3">
      <c r="A6002" s="2">
        <v>5998</v>
      </c>
      <c r="B6002" s="66" t="s">
        <v>6909</v>
      </c>
      <c r="C6002" s="66" t="s">
        <v>6926</v>
      </c>
      <c r="D6002" s="11">
        <v>6257.35</v>
      </c>
      <c r="E6002" s="11">
        <v>6257.35</v>
      </c>
      <c r="F6002" s="3">
        <v>39052</v>
      </c>
      <c r="G6002" s="2"/>
      <c r="H6002" s="3">
        <v>43053</v>
      </c>
      <c r="I6002" s="2" t="s">
        <v>19506</v>
      </c>
      <c r="J6002" s="2" t="s">
        <v>13904</v>
      </c>
      <c r="K6002" s="2" t="s">
        <v>5657</v>
      </c>
      <c r="L6002" s="82" t="s">
        <v>19512</v>
      </c>
    </row>
    <row r="6003" spans="1:12" ht="84" customHeight="1" x14ac:dyDescent="0.3">
      <c r="A6003" s="2">
        <v>5999</v>
      </c>
      <c r="B6003" s="66" t="s">
        <v>6909</v>
      </c>
      <c r="C6003" s="66" t="s">
        <v>6927</v>
      </c>
      <c r="D6003" s="11">
        <v>6257.35</v>
      </c>
      <c r="E6003" s="11">
        <v>6257.35</v>
      </c>
      <c r="F6003" s="3">
        <v>39052</v>
      </c>
      <c r="G6003" s="2"/>
      <c r="H6003" s="3">
        <v>43053</v>
      </c>
      <c r="I6003" s="2" t="s">
        <v>19506</v>
      </c>
      <c r="J6003" s="2" t="s">
        <v>13904</v>
      </c>
      <c r="K6003" s="2" t="s">
        <v>5657</v>
      </c>
      <c r="L6003" s="82" t="s">
        <v>19512</v>
      </c>
    </row>
    <row r="6004" spans="1:12" ht="84" customHeight="1" x14ac:dyDescent="0.3">
      <c r="A6004" s="2">
        <v>6000</v>
      </c>
      <c r="B6004" s="66" t="s">
        <v>6909</v>
      </c>
      <c r="C6004" s="66" t="s">
        <v>6928</v>
      </c>
      <c r="D6004" s="11">
        <v>6257.35</v>
      </c>
      <c r="E6004" s="11">
        <v>6257.35</v>
      </c>
      <c r="F6004" s="3">
        <v>39052</v>
      </c>
      <c r="G6004" s="2"/>
      <c r="H6004" s="3">
        <v>43053</v>
      </c>
      <c r="I6004" s="2" t="s">
        <v>19506</v>
      </c>
      <c r="J6004" s="2" t="s">
        <v>13904</v>
      </c>
      <c r="K6004" s="2" t="s">
        <v>5657</v>
      </c>
      <c r="L6004" s="82" t="s">
        <v>19512</v>
      </c>
    </row>
    <row r="6005" spans="1:12" ht="84" customHeight="1" x14ac:dyDescent="0.3">
      <c r="A6005" s="2">
        <v>6001</v>
      </c>
      <c r="B6005" s="66" t="s">
        <v>6929</v>
      </c>
      <c r="C6005" s="66" t="s">
        <v>6930</v>
      </c>
      <c r="D6005" s="11">
        <v>5228.2299999999996</v>
      </c>
      <c r="E6005" s="11">
        <v>5228.2299999999996</v>
      </c>
      <c r="F6005" s="3">
        <v>39052</v>
      </c>
      <c r="G6005" s="2"/>
      <c r="H6005" s="3">
        <v>43053</v>
      </c>
      <c r="I6005" s="2" t="s">
        <v>19506</v>
      </c>
      <c r="J6005" s="2" t="s">
        <v>13904</v>
      </c>
      <c r="K6005" s="2" t="s">
        <v>5657</v>
      </c>
      <c r="L6005" s="82" t="s">
        <v>19512</v>
      </c>
    </row>
    <row r="6006" spans="1:12" ht="84" customHeight="1" x14ac:dyDescent="0.3">
      <c r="A6006" s="2">
        <v>6002</v>
      </c>
      <c r="B6006" s="66" t="s">
        <v>6931</v>
      </c>
      <c r="C6006" s="66" t="s">
        <v>6932</v>
      </c>
      <c r="D6006" s="11">
        <v>5228.2299999999996</v>
      </c>
      <c r="E6006" s="11">
        <v>5228.2299999999996</v>
      </c>
      <c r="F6006" s="3">
        <v>39052</v>
      </c>
      <c r="G6006" s="2"/>
      <c r="H6006" s="3">
        <v>43053</v>
      </c>
      <c r="I6006" s="2" t="s">
        <v>19506</v>
      </c>
      <c r="J6006" s="2" t="s">
        <v>13904</v>
      </c>
      <c r="K6006" s="2" t="s">
        <v>5657</v>
      </c>
      <c r="L6006" s="82" t="s">
        <v>19512</v>
      </c>
    </row>
    <row r="6007" spans="1:12" ht="84" customHeight="1" x14ac:dyDescent="0.3">
      <c r="A6007" s="2">
        <v>6003</v>
      </c>
      <c r="B6007" s="66" t="s">
        <v>6933</v>
      </c>
      <c r="C6007" s="66" t="s">
        <v>6934</v>
      </c>
      <c r="D6007" s="11">
        <v>5228.2299999999996</v>
      </c>
      <c r="E6007" s="11">
        <v>5228.2299999999996</v>
      </c>
      <c r="F6007" s="3">
        <v>39052</v>
      </c>
      <c r="G6007" s="2"/>
      <c r="H6007" s="3">
        <v>43053</v>
      </c>
      <c r="I6007" s="2" t="s">
        <v>19506</v>
      </c>
      <c r="J6007" s="2" t="s">
        <v>13904</v>
      </c>
      <c r="K6007" s="2" t="s">
        <v>5657</v>
      </c>
      <c r="L6007" s="82" t="s">
        <v>19512</v>
      </c>
    </row>
    <row r="6008" spans="1:12" ht="84" customHeight="1" x14ac:dyDescent="0.3">
      <c r="A6008" s="2">
        <v>6004</v>
      </c>
      <c r="B6008" s="66" t="s">
        <v>6935</v>
      </c>
      <c r="C6008" s="66" t="s">
        <v>6936</v>
      </c>
      <c r="D6008" s="11">
        <v>5228.2299999999996</v>
      </c>
      <c r="E6008" s="11">
        <v>5228.2299999999996</v>
      </c>
      <c r="F6008" s="3">
        <v>39052</v>
      </c>
      <c r="G6008" s="2"/>
      <c r="H6008" s="3">
        <v>43053</v>
      </c>
      <c r="I6008" s="2" t="s">
        <v>19506</v>
      </c>
      <c r="J6008" s="2" t="s">
        <v>13904</v>
      </c>
      <c r="K6008" s="2" t="s">
        <v>5657</v>
      </c>
      <c r="L6008" s="82" t="s">
        <v>19512</v>
      </c>
    </row>
    <row r="6009" spans="1:12" ht="84" customHeight="1" x14ac:dyDescent="0.3">
      <c r="A6009" s="2">
        <v>6005</v>
      </c>
      <c r="B6009" s="66" t="s">
        <v>6937</v>
      </c>
      <c r="C6009" s="66" t="s">
        <v>6938</v>
      </c>
      <c r="D6009" s="11">
        <v>4793.03</v>
      </c>
      <c r="E6009" s="11">
        <v>4793.03</v>
      </c>
      <c r="F6009" s="3">
        <v>39052</v>
      </c>
      <c r="G6009" s="2"/>
      <c r="H6009" s="3">
        <v>43053</v>
      </c>
      <c r="I6009" s="2" t="s">
        <v>19506</v>
      </c>
      <c r="J6009" s="2" t="s">
        <v>13904</v>
      </c>
      <c r="K6009" s="2" t="s">
        <v>5657</v>
      </c>
      <c r="L6009" s="82" t="s">
        <v>19512</v>
      </c>
    </row>
    <row r="6010" spans="1:12" ht="84" customHeight="1" x14ac:dyDescent="0.3">
      <c r="A6010" s="2">
        <v>6006</v>
      </c>
      <c r="B6010" s="66" t="s">
        <v>6939</v>
      </c>
      <c r="C6010" s="66" t="s">
        <v>6940</v>
      </c>
      <c r="D6010" s="11">
        <v>4793.03</v>
      </c>
      <c r="E6010" s="11">
        <v>4793.03</v>
      </c>
      <c r="F6010" s="3">
        <v>39052</v>
      </c>
      <c r="G6010" s="2"/>
      <c r="H6010" s="3">
        <v>43053</v>
      </c>
      <c r="I6010" s="2" t="s">
        <v>19506</v>
      </c>
      <c r="J6010" s="2" t="s">
        <v>13904</v>
      </c>
      <c r="K6010" s="2" t="s">
        <v>5657</v>
      </c>
      <c r="L6010" s="82" t="s">
        <v>19512</v>
      </c>
    </row>
    <row r="6011" spans="1:12" ht="84" customHeight="1" x14ac:dyDescent="0.3">
      <c r="A6011" s="2">
        <v>6007</v>
      </c>
      <c r="B6011" s="66" t="s">
        <v>6939</v>
      </c>
      <c r="C6011" s="66" t="s">
        <v>6941</v>
      </c>
      <c r="D6011" s="11">
        <v>4763.03</v>
      </c>
      <c r="E6011" s="11">
        <v>4763.03</v>
      </c>
      <c r="F6011" s="3">
        <v>39052</v>
      </c>
      <c r="G6011" s="2"/>
      <c r="H6011" s="3">
        <v>43053</v>
      </c>
      <c r="I6011" s="2" t="s">
        <v>19506</v>
      </c>
      <c r="J6011" s="2" t="s">
        <v>13904</v>
      </c>
      <c r="K6011" s="2" t="s">
        <v>5657</v>
      </c>
      <c r="L6011" s="82" t="s">
        <v>19512</v>
      </c>
    </row>
    <row r="6012" spans="1:12" ht="84" customHeight="1" x14ac:dyDescent="0.3">
      <c r="A6012" s="2">
        <v>6008</v>
      </c>
      <c r="B6012" s="66" t="s">
        <v>6939</v>
      </c>
      <c r="C6012" s="66" t="s">
        <v>6942</v>
      </c>
      <c r="D6012" s="11">
        <v>4793.03</v>
      </c>
      <c r="E6012" s="11">
        <v>4793.03</v>
      </c>
      <c r="F6012" s="3">
        <v>39052</v>
      </c>
      <c r="G6012" s="2"/>
      <c r="H6012" s="3">
        <v>43053</v>
      </c>
      <c r="I6012" s="2" t="s">
        <v>19506</v>
      </c>
      <c r="J6012" s="2" t="s">
        <v>13904</v>
      </c>
      <c r="K6012" s="2" t="s">
        <v>5657</v>
      </c>
      <c r="L6012" s="82" t="s">
        <v>19512</v>
      </c>
    </row>
    <row r="6013" spans="1:12" ht="84" customHeight="1" x14ac:dyDescent="0.3">
      <c r="A6013" s="2">
        <v>6009</v>
      </c>
      <c r="B6013" s="66" t="s">
        <v>6943</v>
      </c>
      <c r="C6013" s="66" t="s">
        <v>6944</v>
      </c>
      <c r="D6013" s="11">
        <v>6257.35</v>
      </c>
      <c r="E6013" s="11">
        <v>6257.35</v>
      </c>
      <c r="F6013" s="3">
        <v>39052</v>
      </c>
      <c r="G6013" s="2"/>
      <c r="H6013" s="3">
        <v>43053</v>
      </c>
      <c r="I6013" s="2" t="s">
        <v>19506</v>
      </c>
      <c r="J6013" s="2" t="s">
        <v>13904</v>
      </c>
      <c r="K6013" s="2" t="s">
        <v>5657</v>
      </c>
      <c r="L6013" s="82" t="s">
        <v>19512</v>
      </c>
    </row>
    <row r="6014" spans="1:12" ht="84" customHeight="1" x14ac:dyDescent="0.3">
      <c r="A6014" s="2">
        <v>6010</v>
      </c>
      <c r="B6014" s="66" t="s">
        <v>6945</v>
      </c>
      <c r="C6014" s="66" t="s">
        <v>6946</v>
      </c>
      <c r="D6014" s="11">
        <v>3946.92</v>
      </c>
      <c r="E6014" s="11">
        <v>3946.92</v>
      </c>
      <c r="F6014" s="3">
        <v>39052</v>
      </c>
      <c r="G6014" s="2"/>
      <c r="H6014" s="3">
        <v>43053</v>
      </c>
      <c r="I6014" s="2" t="s">
        <v>19506</v>
      </c>
      <c r="J6014" s="2" t="s">
        <v>13904</v>
      </c>
      <c r="K6014" s="2" t="s">
        <v>5657</v>
      </c>
      <c r="L6014" s="82" t="s">
        <v>19512</v>
      </c>
    </row>
    <row r="6015" spans="1:12" ht="84" customHeight="1" x14ac:dyDescent="0.3">
      <c r="A6015" s="2">
        <v>6011</v>
      </c>
      <c r="B6015" s="66" t="s">
        <v>6947</v>
      </c>
      <c r="C6015" s="66" t="s">
        <v>6948</v>
      </c>
      <c r="D6015" s="11">
        <v>5022.29</v>
      </c>
      <c r="E6015" s="11">
        <v>5022.29</v>
      </c>
      <c r="F6015" s="3">
        <v>39052</v>
      </c>
      <c r="G6015" s="2"/>
      <c r="H6015" s="3">
        <v>43053</v>
      </c>
      <c r="I6015" s="2" t="s">
        <v>19506</v>
      </c>
      <c r="J6015" s="2" t="s">
        <v>13904</v>
      </c>
      <c r="K6015" s="2" t="s">
        <v>5657</v>
      </c>
      <c r="L6015" s="82" t="s">
        <v>19512</v>
      </c>
    </row>
    <row r="6016" spans="1:12" ht="84" customHeight="1" x14ac:dyDescent="0.3">
      <c r="A6016" s="2">
        <v>6012</v>
      </c>
      <c r="B6016" s="66" t="s">
        <v>6949</v>
      </c>
      <c r="C6016" s="66" t="s">
        <v>6950</v>
      </c>
      <c r="D6016" s="11">
        <v>6369.45</v>
      </c>
      <c r="E6016" s="11">
        <v>6369.45</v>
      </c>
      <c r="F6016" s="3">
        <v>39052</v>
      </c>
      <c r="G6016" s="2"/>
      <c r="H6016" s="3">
        <v>43053</v>
      </c>
      <c r="I6016" s="2" t="s">
        <v>19506</v>
      </c>
      <c r="J6016" s="2" t="s">
        <v>13904</v>
      </c>
      <c r="K6016" s="2" t="s">
        <v>5657</v>
      </c>
      <c r="L6016" s="82" t="s">
        <v>19512</v>
      </c>
    </row>
    <row r="6017" spans="1:12" ht="84" customHeight="1" x14ac:dyDescent="0.3">
      <c r="A6017" s="2">
        <v>6013</v>
      </c>
      <c r="B6017" s="66" t="s">
        <v>6949</v>
      </c>
      <c r="C6017" s="66" t="s">
        <v>6951</v>
      </c>
      <c r="D6017" s="11">
        <v>3912.15</v>
      </c>
      <c r="E6017" s="11">
        <v>3912.15</v>
      </c>
      <c r="F6017" s="3">
        <v>39052</v>
      </c>
      <c r="G6017" s="2"/>
      <c r="H6017" s="3">
        <v>43053</v>
      </c>
      <c r="I6017" s="2" t="s">
        <v>19506</v>
      </c>
      <c r="J6017" s="2" t="s">
        <v>13904</v>
      </c>
      <c r="K6017" s="2" t="s">
        <v>5657</v>
      </c>
      <c r="L6017" s="82" t="s">
        <v>19512</v>
      </c>
    </row>
    <row r="6018" spans="1:12" ht="84" customHeight="1" x14ac:dyDescent="0.3">
      <c r="A6018" s="2">
        <v>6014</v>
      </c>
      <c r="B6018" s="66" t="s">
        <v>6952</v>
      </c>
      <c r="C6018" s="66" t="s">
        <v>6953</v>
      </c>
      <c r="D6018" s="11">
        <v>7298.34</v>
      </c>
      <c r="E6018" s="11">
        <v>7298.34</v>
      </c>
      <c r="F6018" s="3">
        <v>39052</v>
      </c>
      <c r="G6018" s="2"/>
      <c r="H6018" s="3">
        <v>43053</v>
      </c>
      <c r="I6018" s="2" t="s">
        <v>19506</v>
      </c>
      <c r="J6018" s="2" t="s">
        <v>13904</v>
      </c>
      <c r="K6018" s="2" t="s">
        <v>5657</v>
      </c>
      <c r="L6018" s="82" t="s">
        <v>19512</v>
      </c>
    </row>
    <row r="6019" spans="1:12" ht="84" customHeight="1" x14ac:dyDescent="0.3">
      <c r="A6019" s="2">
        <v>6015</v>
      </c>
      <c r="B6019" s="66" t="s">
        <v>6901</v>
      </c>
      <c r="C6019" s="66" t="s">
        <v>6954</v>
      </c>
      <c r="D6019" s="11">
        <v>3168.8</v>
      </c>
      <c r="E6019" s="11">
        <v>3168.8</v>
      </c>
      <c r="F6019" s="3">
        <v>39052</v>
      </c>
      <c r="G6019" s="2"/>
      <c r="H6019" s="3">
        <v>43053</v>
      </c>
      <c r="I6019" s="2" t="s">
        <v>19506</v>
      </c>
      <c r="J6019" s="2" t="s">
        <v>13904</v>
      </c>
      <c r="K6019" s="2" t="s">
        <v>5657</v>
      </c>
      <c r="L6019" s="82" t="s">
        <v>19512</v>
      </c>
    </row>
    <row r="6020" spans="1:12" ht="84" customHeight="1" x14ac:dyDescent="0.3">
      <c r="A6020" s="2">
        <v>6016</v>
      </c>
      <c r="B6020" s="66" t="s">
        <v>6939</v>
      </c>
      <c r="C6020" s="66" t="s">
        <v>6955</v>
      </c>
      <c r="D6020" s="11">
        <v>4793.03</v>
      </c>
      <c r="E6020" s="11">
        <v>4793.03</v>
      </c>
      <c r="F6020" s="3">
        <v>39052</v>
      </c>
      <c r="G6020" s="2"/>
      <c r="H6020" s="3">
        <v>43053</v>
      </c>
      <c r="I6020" s="2" t="s">
        <v>19506</v>
      </c>
      <c r="J6020" s="2" t="s">
        <v>13904</v>
      </c>
      <c r="K6020" s="2" t="s">
        <v>5657</v>
      </c>
      <c r="L6020" s="82" t="s">
        <v>19512</v>
      </c>
    </row>
    <row r="6021" spans="1:12" ht="84" customHeight="1" x14ac:dyDescent="0.3">
      <c r="A6021" s="2">
        <v>6017</v>
      </c>
      <c r="B6021" s="66" t="s">
        <v>6907</v>
      </c>
      <c r="C6021" s="66" t="s">
        <v>6956</v>
      </c>
      <c r="D6021" s="11">
        <v>4793.03</v>
      </c>
      <c r="E6021" s="11">
        <v>4793.03</v>
      </c>
      <c r="F6021" s="3">
        <v>39052</v>
      </c>
      <c r="G6021" s="2"/>
      <c r="H6021" s="3">
        <v>43053</v>
      </c>
      <c r="I6021" s="2" t="s">
        <v>19506</v>
      </c>
      <c r="J6021" s="2" t="s">
        <v>13904</v>
      </c>
      <c r="K6021" s="2" t="s">
        <v>5657</v>
      </c>
      <c r="L6021" s="82" t="s">
        <v>19512</v>
      </c>
    </row>
    <row r="6022" spans="1:12" ht="84" customHeight="1" x14ac:dyDescent="0.3">
      <c r="A6022" s="2">
        <v>6018</v>
      </c>
      <c r="B6022" s="66" t="s">
        <v>6939</v>
      </c>
      <c r="C6022" s="66" t="s">
        <v>6957</v>
      </c>
      <c r="D6022" s="11">
        <v>4823.03</v>
      </c>
      <c r="E6022" s="11">
        <v>4823.03</v>
      </c>
      <c r="F6022" s="3">
        <v>39052</v>
      </c>
      <c r="G6022" s="2"/>
      <c r="H6022" s="3">
        <v>43053</v>
      </c>
      <c r="I6022" s="2" t="s">
        <v>19506</v>
      </c>
      <c r="J6022" s="2" t="s">
        <v>13904</v>
      </c>
      <c r="K6022" s="2" t="s">
        <v>5657</v>
      </c>
      <c r="L6022" s="82" t="s">
        <v>19512</v>
      </c>
    </row>
    <row r="6023" spans="1:12" ht="84" customHeight="1" x14ac:dyDescent="0.3">
      <c r="A6023" s="2">
        <v>6019</v>
      </c>
      <c r="B6023" s="66" t="s">
        <v>6939</v>
      </c>
      <c r="C6023" s="66" t="s">
        <v>6958</v>
      </c>
      <c r="D6023" s="11">
        <v>4793.03</v>
      </c>
      <c r="E6023" s="11">
        <v>4793.03</v>
      </c>
      <c r="F6023" s="3">
        <v>39052</v>
      </c>
      <c r="G6023" s="2"/>
      <c r="H6023" s="3">
        <v>43053</v>
      </c>
      <c r="I6023" s="2" t="s">
        <v>19506</v>
      </c>
      <c r="J6023" s="2" t="s">
        <v>13904</v>
      </c>
      <c r="K6023" s="2" t="s">
        <v>5657</v>
      </c>
      <c r="L6023" s="82" t="s">
        <v>19512</v>
      </c>
    </row>
    <row r="6024" spans="1:12" ht="84" customHeight="1" x14ac:dyDescent="0.3">
      <c r="A6024" s="2">
        <v>6020</v>
      </c>
      <c r="B6024" s="66" t="s">
        <v>6905</v>
      </c>
      <c r="C6024" s="66" t="s">
        <v>6959</v>
      </c>
      <c r="D6024" s="11">
        <v>3894</v>
      </c>
      <c r="E6024" s="11">
        <v>3894</v>
      </c>
      <c r="F6024" s="3">
        <v>39142</v>
      </c>
      <c r="G6024" s="2"/>
      <c r="H6024" s="3">
        <v>43053</v>
      </c>
      <c r="I6024" s="2" t="s">
        <v>19506</v>
      </c>
      <c r="J6024" s="2" t="s">
        <v>13904</v>
      </c>
      <c r="K6024" s="2" t="s">
        <v>5657</v>
      </c>
      <c r="L6024" s="82" t="s">
        <v>19512</v>
      </c>
    </row>
    <row r="6025" spans="1:12" ht="84" customHeight="1" x14ac:dyDescent="0.3">
      <c r="A6025" s="2">
        <v>6021</v>
      </c>
      <c r="B6025" s="66" t="s">
        <v>6960</v>
      </c>
      <c r="C6025" s="66" t="s">
        <v>3380</v>
      </c>
      <c r="D6025" s="11">
        <v>6000</v>
      </c>
      <c r="E6025" s="11">
        <v>6000</v>
      </c>
      <c r="F6025" s="3">
        <v>41612</v>
      </c>
      <c r="G6025" s="2"/>
      <c r="H6025" s="3">
        <v>43053</v>
      </c>
      <c r="I6025" s="2" t="s">
        <v>19506</v>
      </c>
      <c r="J6025" s="2" t="s">
        <v>13904</v>
      </c>
      <c r="K6025" s="2" t="s">
        <v>5657</v>
      </c>
      <c r="L6025" s="82" t="s">
        <v>19512</v>
      </c>
    </row>
    <row r="6026" spans="1:12" ht="84" customHeight="1" x14ac:dyDescent="0.3">
      <c r="A6026" s="2">
        <v>6022</v>
      </c>
      <c r="B6026" s="66" t="s">
        <v>3486</v>
      </c>
      <c r="C6026" s="66" t="s">
        <v>6961</v>
      </c>
      <c r="D6026" s="11">
        <v>25000</v>
      </c>
      <c r="E6026" s="11">
        <v>25000</v>
      </c>
      <c r="F6026" s="3">
        <v>39680</v>
      </c>
      <c r="G6026" s="2"/>
      <c r="H6026" s="3">
        <v>43053</v>
      </c>
      <c r="I6026" s="2" t="s">
        <v>19506</v>
      </c>
      <c r="J6026" s="2" t="s">
        <v>13904</v>
      </c>
      <c r="K6026" s="2" t="s">
        <v>5657</v>
      </c>
      <c r="L6026" s="82" t="s">
        <v>19512</v>
      </c>
    </row>
    <row r="6027" spans="1:12" ht="84" customHeight="1" x14ac:dyDescent="0.3">
      <c r="A6027" s="2">
        <v>6023</v>
      </c>
      <c r="B6027" s="66" t="s">
        <v>3486</v>
      </c>
      <c r="C6027" s="66" t="s">
        <v>6962</v>
      </c>
      <c r="D6027" s="11">
        <v>25000</v>
      </c>
      <c r="E6027" s="11">
        <v>25000</v>
      </c>
      <c r="F6027" s="3">
        <v>39680</v>
      </c>
      <c r="G6027" s="2"/>
      <c r="H6027" s="3">
        <v>43053</v>
      </c>
      <c r="I6027" s="2" t="s">
        <v>19506</v>
      </c>
      <c r="J6027" s="2" t="s">
        <v>13904</v>
      </c>
      <c r="K6027" s="2" t="s">
        <v>5657</v>
      </c>
      <c r="L6027" s="82" t="s">
        <v>19512</v>
      </c>
    </row>
    <row r="6028" spans="1:12" ht="84" customHeight="1" x14ac:dyDescent="0.3">
      <c r="A6028" s="2">
        <v>6024</v>
      </c>
      <c r="B6028" s="66" t="s">
        <v>6963</v>
      </c>
      <c r="C6028" s="66" t="s">
        <v>6964</v>
      </c>
      <c r="D6028" s="11">
        <v>27526.400000000001</v>
      </c>
      <c r="E6028" s="11">
        <v>27526.400000000001</v>
      </c>
      <c r="F6028" s="3">
        <v>39052</v>
      </c>
      <c r="G6028" s="2"/>
      <c r="H6028" s="3">
        <v>43053</v>
      </c>
      <c r="I6028" s="2" t="s">
        <v>19506</v>
      </c>
      <c r="J6028" s="2" t="s">
        <v>13904</v>
      </c>
      <c r="K6028" s="2" t="s">
        <v>5657</v>
      </c>
      <c r="L6028" s="82" t="s">
        <v>19512</v>
      </c>
    </row>
    <row r="6029" spans="1:12" ht="84" customHeight="1" x14ac:dyDescent="0.3">
      <c r="A6029" s="2">
        <v>6025</v>
      </c>
      <c r="B6029" s="66" t="s">
        <v>6965</v>
      </c>
      <c r="C6029" s="66" t="s">
        <v>6966</v>
      </c>
      <c r="D6029" s="11">
        <v>27526.400000000001</v>
      </c>
      <c r="E6029" s="11">
        <v>27526.400000000001</v>
      </c>
      <c r="F6029" s="3">
        <v>39052</v>
      </c>
      <c r="G6029" s="2"/>
      <c r="H6029" s="3">
        <v>43053</v>
      </c>
      <c r="I6029" s="2" t="s">
        <v>19506</v>
      </c>
      <c r="J6029" s="2" t="s">
        <v>13904</v>
      </c>
      <c r="K6029" s="2" t="s">
        <v>5657</v>
      </c>
      <c r="L6029" s="82" t="s">
        <v>19512</v>
      </c>
    </row>
    <row r="6030" spans="1:12" ht="84" customHeight="1" x14ac:dyDescent="0.3">
      <c r="A6030" s="2">
        <v>6026</v>
      </c>
      <c r="B6030" s="66" t="s">
        <v>6967</v>
      </c>
      <c r="C6030" s="66" t="s">
        <v>6968</v>
      </c>
      <c r="D6030" s="11">
        <v>9157.5</v>
      </c>
      <c r="E6030" s="11">
        <v>9157.5</v>
      </c>
      <c r="F6030" s="3">
        <v>39052</v>
      </c>
      <c r="G6030" s="2"/>
      <c r="H6030" s="3">
        <v>43053</v>
      </c>
      <c r="I6030" s="2" t="s">
        <v>19506</v>
      </c>
      <c r="J6030" s="2" t="s">
        <v>13904</v>
      </c>
      <c r="K6030" s="2" t="s">
        <v>5657</v>
      </c>
      <c r="L6030" s="82" t="s">
        <v>19512</v>
      </c>
    </row>
    <row r="6031" spans="1:12" ht="84" customHeight="1" x14ac:dyDescent="0.3">
      <c r="A6031" s="2">
        <v>6027</v>
      </c>
      <c r="B6031" s="66" t="s">
        <v>6967</v>
      </c>
      <c r="C6031" s="66" t="s">
        <v>6969</v>
      </c>
      <c r="D6031" s="11">
        <v>9157.5</v>
      </c>
      <c r="E6031" s="11">
        <v>9157.5</v>
      </c>
      <c r="F6031" s="3">
        <v>39052</v>
      </c>
      <c r="G6031" s="2"/>
      <c r="H6031" s="3">
        <v>43053</v>
      </c>
      <c r="I6031" s="2" t="s">
        <v>19506</v>
      </c>
      <c r="J6031" s="2" t="s">
        <v>13904</v>
      </c>
      <c r="K6031" s="2" t="s">
        <v>5657</v>
      </c>
      <c r="L6031" s="82" t="s">
        <v>19512</v>
      </c>
    </row>
    <row r="6032" spans="1:12" ht="84" customHeight="1" x14ac:dyDescent="0.3">
      <c r="A6032" s="2">
        <v>6028</v>
      </c>
      <c r="B6032" s="66" t="s">
        <v>6817</v>
      </c>
      <c r="C6032" s="66" t="s">
        <v>6970</v>
      </c>
      <c r="D6032" s="11">
        <v>23602.799999999999</v>
      </c>
      <c r="E6032" s="11">
        <v>23602.799999999999</v>
      </c>
      <c r="F6032" s="3">
        <v>39052</v>
      </c>
      <c r="G6032" s="2"/>
      <c r="H6032" s="3">
        <v>43053</v>
      </c>
      <c r="I6032" s="2" t="s">
        <v>19506</v>
      </c>
      <c r="J6032" s="2" t="s">
        <v>13904</v>
      </c>
      <c r="K6032" s="2" t="s">
        <v>5657</v>
      </c>
      <c r="L6032" s="82" t="s">
        <v>19512</v>
      </c>
    </row>
    <row r="6033" spans="1:12" ht="84" customHeight="1" x14ac:dyDescent="0.3">
      <c r="A6033" s="2">
        <v>6029</v>
      </c>
      <c r="B6033" s="66" t="s">
        <v>6971</v>
      </c>
      <c r="C6033" s="66" t="s">
        <v>6972</v>
      </c>
      <c r="D6033" s="11">
        <v>27526.400000000001</v>
      </c>
      <c r="E6033" s="11">
        <v>27526.400000000001</v>
      </c>
      <c r="F6033" s="3">
        <v>39052</v>
      </c>
      <c r="G6033" s="2"/>
      <c r="H6033" s="3">
        <v>43053</v>
      </c>
      <c r="I6033" s="2" t="s">
        <v>19506</v>
      </c>
      <c r="J6033" s="2" t="s">
        <v>13904</v>
      </c>
      <c r="K6033" s="2" t="s">
        <v>5657</v>
      </c>
      <c r="L6033" s="82" t="s">
        <v>19512</v>
      </c>
    </row>
    <row r="6034" spans="1:12" ht="84" customHeight="1" x14ac:dyDescent="0.3">
      <c r="A6034" s="2">
        <v>6030</v>
      </c>
      <c r="B6034" s="66" t="s">
        <v>6973</v>
      </c>
      <c r="C6034" s="66" t="s">
        <v>6974</v>
      </c>
      <c r="D6034" s="11">
        <v>27526.400000000001</v>
      </c>
      <c r="E6034" s="11">
        <v>27526.400000000001</v>
      </c>
      <c r="F6034" s="3">
        <v>39052</v>
      </c>
      <c r="G6034" s="2"/>
      <c r="H6034" s="3">
        <v>43053</v>
      </c>
      <c r="I6034" s="2" t="s">
        <v>19506</v>
      </c>
      <c r="J6034" s="2" t="s">
        <v>13904</v>
      </c>
      <c r="K6034" s="2" t="s">
        <v>5657</v>
      </c>
      <c r="L6034" s="82" t="s">
        <v>19512</v>
      </c>
    </row>
    <row r="6035" spans="1:12" ht="84" customHeight="1" x14ac:dyDescent="0.3">
      <c r="A6035" s="2">
        <v>6031</v>
      </c>
      <c r="B6035" s="66" t="s">
        <v>6975</v>
      </c>
      <c r="C6035" s="66" t="s">
        <v>6976</v>
      </c>
      <c r="D6035" s="11">
        <v>44268</v>
      </c>
      <c r="E6035" s="11">
        <v>44268</v>
      </c>
      <c r="F6035" s="3">
        <v>39052</v>
      </c>
      <c r="G6035" s="2"/>
      <c r="H6035" s="3">
        <v>43053</v>
      </c>
      <c r="I6035" s="2" t="s">
        <v>19506</v>
      </c>
      <c r="J6035" s="2" t="s">
        <v>13904</v>
      </c>
      <c r="K6035" s="2" t="s">
        <v>5657</v>
      </c>
      <c r="L6035" s="82" t="s">
        <v>19512</v>
      </c>
    </row>
    <row r="6036" spans="1:12" ht="84" customHeight="1" x14ac:dyDescent="0.3">
      <c r="A6036" s="2">
        <v>6032</v>
      </c>
      <c r="B6036" s="66" t="s">
        <v>6975</v>
      </c>
      <c r="C6036" s="66" t="s">
        <v>6977</v>
      </c>
      <c r="D6036" s="11">
        <v>44268</v>
      </c>
      <c r="E6036" s="11">
        <v>44268</v>
      </c>
      <c r="F6036" s="3">
        <v>39052</v>
      </c>
      <c r="G6036" s="2"/>
      <c r="H6036" s="3">
        <v>43053</v>
      </c>
      <c r="I6036" s="2" t="s">
        <v>19506</v>
      </c>
      <c r="J6036" s="2" t="s">
        <v>13904</v>
      </c>
      <c r="K6036" s="2" t="s">
        <v>5657</v>
      </c>
      <c r="L6036" s="82" t="s">
        <v>19512</v>
      </c>
    </row>
    <row r="6037" spans="1:12" ht="84" customHeight="1" x14ac:dyDescent="0.3">
      <c r="A6037" s="2">
        <v>6033</v>
      </c>
      <c r="B6037" s="66" t="s">
        <v>1364</v>
      </c>
      <c r="C6037" s="66" t="s">
        <v>6978</v>
      </c>
      <c r="D6037" s="11">
        <v>18829.25</v>
      </c>
      <c r="E6037" s="11">
        <v>18829.25</v>
      </c>
      <c r="F6037" s="3">
        <v>39052</v>
      </c>
      <c r="G6037" s="2"/>
      <c r="H6037" s="3">
        <v>43053</v>
      </c>
      <c r="I6037" s="2" t="s">
        <v>19506</v>
      </c>
      <c r="J6037" s="2" t="s">
        <v>13904</v>
      </c>
      <c r="K6037" s="2" t="s">
        <v>5657</v>
      </c>
      <c r="L6037" s="82" t="s">
        <v>19512</v>
      </c>
    </row>
    <row r="6038" spans="1:12" ht="84" customHeight="1" x14ac:dyDescent="0.3">
      <c r="A6038" s="2">
        <v>6034</v>
      </c>
      <c r="B6038" s="66" t="s">
        <v>1364</v>
      </c>
      <c r="C6038" s="66" t="s">
        <v>6979</v>
      </c>
      <c r="D6038" s="11">
        <v>18829.25</v>
      </c>
      <c r="E6038" s="11">
        <v>18829.25</v>
      </c>
      <c r="F6038" s="3">
        <v>39052</v>
      </c>
      <c r="G6038" s="2"/>
      <c r="H6038" s="3">
        <v>43053</v>
      </c>
      <c r="I6038" s="2" t="s">
        <v>19506</v>
      </c>
      <c r="J6038" s="2" t="s">
        <v>13904</v>
      </c>
      <c r="K6038" s="2" t="s">
        <v>5657</v>
      </c>
      <c r="L6038" s="82" t="s">
        <v>19512</v>
      </c>
    </row>
    <row r="6039" spans="1:12" ht="84" customHeight="1" x14ac:dyDescent="0.3">
      <c r="A6039" s="2">
        <v>6035</v>
      </c>
      <c r="B6039" s="66" t="s">
        <v>6980</v>
      </c>
      <c r="C6039" s="66" t="s">
        <v>6981</v>
      </c>
      <c r="D6039" s="11">
        <v>46675</v>
      </c>
      <c r="E6039" s="11">
        <v>46675</v>
      </c>
      <c r="F6039" s="3">
        <v>39052</v>
      </c>
      <c r="G6039" s="2"/>
      <c r="H6039" s="3">
        <v>43053</v>
      </c>
      <c r="I6039" s="2" t="s">
        <v>19506</v>
      </c>
      <c r="J6039" s="2" t="s">
        <v>13904</v>
      </c>
      <c r="K6039" s="2" t="s">
        <v>5657</v>
      </c>
      <c r="L6039" s="82" t="s">
        <v>19512</v>
      </c>
    </row>
    <row r="6040" spans="1:12" ht="84" customHeight="1" x14ac:dyDescent="0.3">
      <c r="A6040" s="2">
        <v>6036</v>
      </c>
      <c r="B6040" s="66" t="s">
        <v>6982</v>
      </c>
      <c r="C6040" s="66" t="s">
        <v>6983</v>
      </c>
      <c r="D6040" s="11">
        <v>46675</v>
      </c>
      <c r="E6040" s="11">
        <v>46675</v>
      </c>
      <c r="F6040" s="3">
        <v>39052</v>
      </c>
      <c r="G6040" s="2"/>
      <c r="H6040" s="3">
        <v>43053</v>
      </c>
      <c r="I6040" s="2" t="s">
        <v>19506</v>
      </c>
      <c r="J6040" s="2" t="s">
        <v>13904</v>
      </c>
      <c r="K6040" s="2" t="s">
        <v>5657</v>
      </c>
      <c r="L6040" s="82" t="s">
        <v>19512</v>
      </c>
    </row>
    <row r="6041" spans="1:12" ht="84" customHeight="1" x14ac:dyDescent="0.3">
      <c r="A6041" s="2">
        <v>6037</v>
      </c>
      <c r="B6041" s="66" t="s">
        <v>6984</v>
      </c>
      <c r="C6041" s="66" t="s">
        <v>6985</v>
      </c>
      <c r="D6041" s="11">
        <v>34360.400000000001</v>
      </c>
      <c r="E6041" s="11">
        <v>34360.400000000001</v>
      </c>
      <c r="F6041" s="3">
        <v>39052</v>
      </c>
      <c r="G6041" s="2"/>
      <c r="H6041" s="3">
        <v>43053</v>
      </c>
      <c r="I6041" s="2" t="s">
        <v>19506</v>
      </c>
      <c r="J6041" s="2" t="s">
        <v>13904</v>
      </c>
      <c r="K6041" s="2" t="s">
        <v>5657</v>
      </c>
      <c r="L6041" s="82" t="s">
        <v>19512</v>
      </c>
    </row>
    <row r="6042" spans="1:12" ht="84" customHeight="1" x14ac:dyDescent="0.3">
      <c r="A6042" s="2">
        <v>6038</v>
      </c>
      <c r="B6042" s="66" t="s">
        <v>6984</v>
      </c>
      <c r="C6042" s="66" t="s">
        <v>6986</v>
      </c>
      <c r="D6042" s="11">
        <v>34360.400000000001</v>
      </c>
      <c r="E6042" s="11">
        <v>34360.400000000001</v>
      </c>
      <c r="F6042" s="3">
        <v>39052</v>
      </c>
      <c r="G6042" s="2"/>
      <c r="H6042" s="3">
        <v>43053</v>
      </c>
      <c r="I6042" s="2" t="s">
        <v>19506</v>
      </c>
      <c r="J6042" s="2" t="s">
        <v>13904</v>
      </c>
      <c r="K6042" s="2" t="s">
        <v>5657</v>
      </c>
      <c r="L6042" s="82" t="s">
        <v>19512</v>
      </c>
    </row>
    <row r="6043" spans="1:12" ht="84" customHeight="1" x14ac:dyDescent="0.3">
      <c r="A6043" s="2">
        <v>6039</v>
      </c>
      <c r="B6043" s="66" t="s">
        <v>6987</v>
      </c>
      <c r="C6043" s="66" t="s">
        <v>6988</v>
      </c>
      <c r="D6043" s="11">
        <v>3712.8</v>
      </c>
      <c r="E6043" s="11">
        <v>3712.8</v>
      </c>
      <c r="F6043" s="3">
        <v>39052</v>
      </c>
      <c r="G6043" s="2"/>
      <c r="H6043" s="3">
        <v>43053</v>
      </c>
      <c r="I6043" s="2" t="s">
        <v>19506</v>
      </c>
      <c r="J6043" s="2" t="s">
        <v>13904</v>
      </c>
      <c r="K6043" s="2" t="s">
        <v>5657</v>
      </c>
      <c r="L6043" s="82" t="s">
        <v>19512</v>
      </c>
    </row>
    <row r="6044" spans="1:12" ht="84" customHeight="1" x14ac:dyDescent="0.3">
      <c r="A6044" s="2">
        <v>6040</v>
      </c>
      <c r="B6044" s="66" t="s">
        <v>6987</v>
      </c>
      <c r="C6044" s="66" t="s">
        <v>6989</v>
      </c>
      <c r="D6044" s="11">
        <v>3712.8</v>
      </c>
      <c r="E6044" s="11">
        <v>3712.8</v>
      </c>
      <c r="F6044" s="3">
        <v>39052</v>
      </c>
      <c r="G6044" s="2"/>
      <c r="H6044" s="3">
        <v>43053</v>
      </c>
      <c r="I6044" s="2" t="s">
        <v>19506</v>
      </c>
      <c r="J6044" s="2" t="s">
        <v>13904</v>
      </c>
      <c r="K6044" s="2" t="s">
        <v>5657</v>
      </c>
      <c r="L6044" s="82" t="s">
        <v>19512</v>
      </c>
    </row>
    <row r="6045" spans="1:12" ht="84" customHeight="1" x14ac:dyDescent="0.3">
      <c r="A6045" s="2">
        <v>6041</v>
      </c>
      <c r="B6045" s="66" t="s">
        <v>6987</v>
      </c>
      <c r="C6045" s="66" t="s">
        <v>6990</v>
      </c>
      <c r="D6045" s="11">
        <v>3712.8</v>
      </c>
      <c r="E6045" s="11">
        <v>3712.8</v>
      </c>
      <c r="F6045" s="3">
        <v>39052</v>
      </c>
      <c r="G6045" s="2"/>
      <c r="H6045" s="3">
        <v>43053</v>
      </c>
      <c r="I6045" s="2" t="s">
        <v>19506</v>
      </c>
      <c r="J6045" s="2" t="s">
        <v>13904</v>
      </c>
      <c r="K6045" s="2" t="s">
        <v>5657</v>
      </c>
      <c r="L6045" s="82" t="s">
        <v>19512</v>
      </c>
    </row>
    <row r="6046" spans="1:12" ht="84" customHeight="1" x14ac:dyDescent="0.3">
      <c r="A6046" s="2">
        <v>6042</v>
      </c>
      <c r="B6046" s="66" t="s">
        <v>6987</v>
      </c>
      <c r="C6046" s="66" t="s">
        <v>6991</v>
      </c>
      <c r="D6046" s="11">
        <v>3712.8</v>
      </c>
      <c r="E6046" s="11">
        <v>3712.8</v>
      </c>
      <c r="F6046" s="3">
        <v>39052</v>
      </c>
      <c r="G6046" s="2"/>
      <c r="H6046" s="3">
        <v>43053</v>
      </c>
      <c r="I6046" s="2" t="s">
        <v>19506</v>
      </c>
      <c r="J6046" s="2" t="s">
        <v>13904</v>
      </c>
      <c r="K6046" s="2" t="s">
        <v>5657</v>
      </c>
      <c r="L6046" s="82" t="s">
        <v>19512</v>
      </c>
    </row>
    <row r="6047" spans="1:12" ht="84" customHeight="1" x14ac:dyDescent="0.3">
      <c r="A6047" s="2">
        <v>6043</v>
      </c>
      <c r="B6047" s="66" t="s">
        <v>6987</v>
      </c>
      <c r="C6047" s="66" t="s">
        <v>6992</v>
      </c>
      <c r="D6047" s="11">
        <v>3712.8</v>
      </c>
      <c r="E6047" s="11">
        <v>3712.8</v>
      </c>
      <c r="F6047" s="3">
        <v>39052</v>
      </c>
      <c r="G6047" s="2"/>
      <c r="H6047" s="3">
        <v>43053</v>
      </c>
      <c r="I6047" s="2" t="s">
        <v>19506</v>
      </c>
      <c r="J6047" s="2" t="s">
        <v>13904</v>
      </c>
      <c r="K6047" s="2" t="s">
        <v>5657</v>
      </c>
      <c r="L6047" s="82" t="s">
        <v>19512</v>
      </c>
    </row>
    <row r="6048" spans="1:12" ht="84" customHeight="1" x14ac:dyDescent="0.3">
      <c r="A6048" s="2">
        <v>6044</v>
      </c>
      <c r="B6048" s="66" t="s">
        <v>6993</v>
      </c>
      <c r="C6048" s="66" t="s">
        <v>6994</v>
      </c>
      <c r="D6048" s="11">
        <v>7190.6</v>
      </c>
      <c r="E6048" s="11">
        <v>7190.6</v>
      </c>
      <c r="F6048" s="3">
        <v>39065</v>
      </c>
      <c r="G6048" s="2"/>
      <c r="H6048" s="3">
        <v>43053</v>
      </c>
      <c r="I6048" s="2" t="s">
        <v>19506</v>
      </c>
      <c r="J6048" s="2" t="s">
        <v>13904</v>
      </c>
      <c r="K6048" s="2" t="s">
        <v>5657</v>
      </c>
      <c r="L6048" s="82" t="s">
        <v>19512</v>
      </c>
    </row>
    <row r="6049" spans="1:12" ht="84" customHeight="1" x14ac:dyDescent="0.3">
      <c r="A6049" s="2">
        <v>6045</v>
      </c>
      <c r="B6049" s="66" t="s">
        <v>6993</v>
      </c>
      <c r="C6049" s="66" t="s">
        <v>6995</v>
      </c>
      <c r="D6049" s="11">
        <v>7190.6</v>
      </c>
      <c r="E6049" s="11">
        <v>7190.6</v>
      </c>
      <c r="F6049" s="3">
        <v>39065</v>
      </c>
      <c r="G6049" s="2"/>
      <c r="H6049" s="3">
        <v>43053</v>
      </c>
      <c r="I6049" s="2" t="s">
        <v>19506</v>
      </c>
      <c r="J6049" s="2" t="s">
        <v>13904</v>
      </c>
      <c r="K6049" s="2" t="s">
        <v>5657</v>
      </c>
      <c r="L6049" s="82" t="s">
        <v>19512</v>
      </c>
    </row>
    <row r="6050" spans="1:12" ht="84" customHeight="1" x14ac:dyDescent="0.3">
      <c r="A6050" s="2">
        <v>6046</v>
      </c>
      <c r="B6050" s="66" t="s">
        <v>6996</v>
      </c>
      <c r="C6050" s="66" t="s">
        <v>6997</v>
      </c>
      <c r="D6050" s="11">
        <v>43799.78</v>
      </c>
      <c r="E6050" s="11">
        <v>43799.78</v>
      </c>
      <c r="F6050" s="3">
        <v>39052</v>
      </c>
      <c r="G6050" s="2"/>
      <c r="H6050" s="3">
        <v>43053</v>
      </c>
      <c r="I6050" s="2" t="s">
        <v>19506</v>
      </c>
      <c r="J6050" s="2" t="s">
        <v>13904</v>
      </c>
      <c r="K6050" s="2" t="s">
        <v>5657</v>
      </c>
      <c r="L6050" s="82" t="s">
        <v>19512</v>
      </c>
    </row>
    <row r="6051" spans="1:12" ht="84" customHeight="1" x14ac:dyDescent="0.3">
      <c r="A6051" s="2">
        <v>6047</v>
      </c>
      <c r="B6051" s="66" t="s">
        <v>6998</v>
      </c>
      <c r="C6051" s="66" t="s">
        <v>6999</v>
      </c>
      <c r="D6051" s="11">
        <v>8567.7000000000007</v>
      </c>
      <c r="E6051" s="11">
        <v>8567.7000000000007</v>
      </c>
      <c r="F6051" s="3">
        <v>39052</v>
      </c>
      <c r="G6051" s="2"/>
      <c r="H6051" s="3">
        <v>43053</v>
      </c>
      <c r="I6051" s="2" t="s">
        <v>19506</v>
      </c>
      <c r="J6051" s="2" t="s">
        <v>13904</v>
      </c>
      <c r="K6051" s="2" t="s">
        <v>5657</v>
      </c>
      <c r="L6051" s="82" t="s">
        <v>19512</v>
      </c>
    </row>
    <row r="6052" spans="1:12" ht="84" customHeight="1" x14ac:dyDescent="0.3">
      <c r="A6052" s="2">
        <v>6048</v>
      </c>
      <c r="B6052" s="66" t="s">
        <v>7000</v>
      </c>
      <c r="C6052" s="66" t="s">
        <v>7001</v>
      </c>
      <c r="D6052" s="11">
        <v>8567.7000000000007</v>
      </c>
      <c r="E6052" s="11">
        <v>8567.7000000000007</v>
      </c>
      <c r="F6052" s="3">
        <v>39052</v>
      </c>
      <c r="G6052" s="2"/>
      <c r="H6052" s="3">
        <v>43053</v>
      </c>
      <c r="I6052" s="2" t="s">
        <v>19506</v>
      </c>
      <c r="J6052" s="2" t="s">
        <v>13904</v>
      </c>
      <c r="K6052" s="2" t="s">
        <v>5657</v>
      </c>
      <c r="L6052" s="82" t="s">
        <v>19512</v>
      </c>
    </row>
    <row r="6053" spans="1:12" ht="84" customHeight="1" x14ac:dyDescent="0.3">
      <c r="A6053" s="2">
        <v>6049</v>
      </c>
      <c r="B6053" s="66" t="s">
        <v>2235</v>
      </c>
      <c r="C6053" s="66" t="s">
        <v>7002</v>
      </c>
      <c r="D6053" s="11">
        <v>8576.75</v>
      </c>
      <c r="E6053" s="11">
        <v>8576.75</v>
      </c>
      <c r="F6053" s="3">
        <v>39052</v>
      </c>
      <c r="G6053" s="2"/>
      <c r="H6053" s="3">
        <v>43053</v>
      </c>
      <c r="I6053" s="2" t="s">
        <v>19506</v>
      </c>
      <c r="J6053" s="2" t="s">
        <v>13904</v>
      </c>
      <c r="K6053" s="2" t="s">
        <v>5657</v>
      </c>
      <c r="L6053" s="82" t="s">
        <v>19512</v>
      </c>
    </row>
    <row r="6054" spans="1:12" ht="84" customHeight="1" x14ac:dyDescent="0.3">
      <c r="A6054" s="2">
        <v>6050</v>
      </c>
      <c r="B6054" s="66" t="s">
        <v>7003</v>
      </c>
      <c r="C6054" s="66" t="s">
        <v>7004</v>
      </c>
      <c r="D6054" s="11">
        <v>18923.439999999999</v>
      </c>
      <c r="E6054" s="11">
        <v>18923.439999999999</v>
      </c>
      <c r="F6054" s="3">
        <v>39052</v>
      </c>
      <c r="G6054" s="2"/>
      <c r="H6054" s="3">
        <v>43053</v>
      </c>
      <c r="I6054" s="2" t="s">
        <v>19506</v>
      </c>
      <c r="J6054" s="2" t="s">
        <v>13904</v>
      </c>
      <c r="K6054" s="2" t="s">
        <v>5657</v>
      </c>
      <c r="L6054" s="82" t="s">
        <v>19512</v>
      </c>
    </row>
    <row r="6055" spans="1:12" ht="84" customHeight="1" x14ac:dyDescent="0.3">
      <c r="A6055" s="2">
        <v>6051</v>
      </c>
      <c r="B6055" s="66" t="s">
        <v>7003</v>
      </c>
      <c r="C6055" s="66" t="s">
        <v>7005</v>
      </c>
      <c r="D6055" s="11">
        <v>18923.439999999999</v>
      </c>
      <c r="E6055" s="11">
        <v>18923.439999999999</v>
      </c>
      <c r="F6055" s="3">
        <v>39052</v>
      </c>
      <c r="G6055" s="2"/>
      <c r="H6055" s="3">
        <v>43053</v>
      </c>
      <c r="I6055" s="2" t="s">
        <v>19506</v>
      </c>
      <c r="J6055" s="2" t="s">
        <v>13904</v>
      </c>
      <c r="K6055" s="2" t="s">
        <v>5657</v>
      </c>
      <c r="L6055" s="82" t="s">
        <v>19512</v>
      </c>
    </row>
    <row r="6056" spans="1:12" ht="84" customHeight="1" x14ac:dyDescent="0.3">
      <c r="A6056" s="2">
        <v>6052</v>
      </c>
      <c r="B6056" s="66" t="s">
        <v>7006</v>
      </c>
      <c r="C6056" s="66" t="s">
        <v>7007</v>
      </c>
      <c r="D6056" s="11">
        <v>19543.2</v>
      </c>
      <c r="E6056" s="11">
        <v>19543.2</v>
      </c>
      <c r="F6056" s="3">
        <v>39052</v>
      </c>
      <c r="G6056" s="2"/>
      <c r="H6056" s="3">
        <v>43053</v>
      </c>
      <c r="I6056" s="2" t="s">
        <v>19506</v>
      </c>
      <c r="J6056" s="2" t="s">
        <v>13904</v>
      </c>
      <c r="K6056" s="2" t="s">
        <v>5657</v>
      </c>
      <c r="L6056" s="82" t="s">
        <v>19512</v>
      </c>
    </row>
    <row r="6057" spans="1:12" ht="84" customHeight="1" x14ac:dyDescent="0.3">
      <c r="A6057" s="2">
        <v>6053</v>
      </c>
      <c r="B6057" s="66" t="s">
        <v>7006</v>
      </c>
      <c r="C6057" s="66" t="s">
        <v>7008</v>
      </c>
      <c r="D6057" s="11">
        <v>19543.2</v>
      </c>
      <c r="E6057" s="11">
        <v>19543.2</v>
      </c>
      <c r="F6057" s="3">
        <v>39052</v>
      </c>
      <c r="G6057" s="2"/>
      <c r="H6057" s="3">
        <v>43053</v>
      </c>
      <c r="I6057" s="2" t="s">
        <v>19506</v>
      </c>
      <c r="J6057" s="2" t="s">
        <v>13904</v>
      </c>
      <c r="K6057" s="2" t="s">
        <v>5657</v>
      </c>
      <c r="L6057" s="82" t="s">
        <v>19512</v>
      </c>
    </row>
    <row r="6058" spans="1:12" ht="84" customHeight="1" x14ac:dyDescent="0.3">
      <c r="A6058" s="2">
        <v>6054</v>
      </c>
      <c r="B6058" s="66" t="s">
        <v>7006</v>
      </c>
      <c r="C6058" s="66" t="s">
        <v>7009</v>
      </c>
      <c r="D6058" s="11">
        <v>19543.2</v>
      </c>
      <c r="E6058" s="11">
        <v>19543.2</v>
      </c>
      <c r="F6058" s="3">
        <v>39052</v>
      </c>
      <c r="G6058" s="2"/>
      <c r="H6058" s="3">
        <v>43053</v>
      </c>
      <c r="I6058" s="2" t="s">
        <v>19506</v>
      </c>
      <c r="J6058" s="2" t="s">
        <v>13904</v>
      </c>
      <c r="K6058" s="2" t="s">
        <v>5657</v>
      </c>
      <c r="L6058" s="82" t="s">
        <v>19512</v>
      </c>
    </row>
    <row r="6059" spans="1:12" ht="84" customHeight="1" x14ac:dyDescent="0.3">
      <c r="A6059" s="2">
        <v>6055</v>
      </c>
      <c r="B6059" s="66" t="s">
        <v>7006</v>
      </c>
      <c r="C6059" s="66" t="s">
        <v>7010</v>
      </c>
      <c r="D6059" s="11">
        <v>19543.2</v>
      </c>
      <c r="E6059" s="11">
        <v>19543.2</v>
      </c>
      <c r="F6059" s="3">
        <v>39052</v>
      </c>
      <c r="G6059" s="2"/>
      <c r="H6059" s="3">
        <v>43053</v>
      </c>
      <c r="I6059" s="2" t="s">
        <v>19506</v>
      </c>
      <c r="J6059" s="2" t="s">
        <v>13904</v>
      </c>
      <c r="K6059" s="2" t="s">
        <v>5657</v>
      </c>
      <c r="L6059" s="82" t="s">
        <v>19512</v>
      </c>
    </row>
    <row r="6060" spans="1:12" ht="84" customHeight="1" x14ac:dyDescent="0.3">
      <c r="A6060" s="2">
        <v>6056</v>
      </c>
      <c r="B6060" s="66" t="s">
        <v>7006</v>
      </c>
      <c r="C6060" s="66" t="s">
        <v>7011</v>
      </c>
      <c r="D6060" s="11">
        <v>19543.2</v>
      </c>
      <c r="E6060" s="11">
        <v>19543.2</v>
      </c>
      <c r="F6060" s="3">
        <v>39052</v>
      </c>
      <c r="G6060" s="2"/>
      <c r="H6060" s="3">
        <v>43053</v>
      </c>
      <c r="I6060" s="2" t="s">
        <v>19506</v>
      </c>
      <c r="J6060" s="2" t="s">
        <v>13904</v>
      </c>
      <c r="K6060" s="2" t="s">
        <v>5657</v>
      </c>
      <c r="L6060" s="82" t="s">
        <v>19512</v>
      </c>
    </row>
    <row r="6061" spans="1:12" ht="84" customHeight="1" x14ac:dyDescent="0.3">
      <c r="A6061" s="2">
        <v>6057</v>
      </c>
      <c r="B6061" s="66" t="s">
        <v>7012</v>
      </c>
      <c r="C6061" s="66" t="s">
        <v>7013</v>
      </c>
      <c r="D6061" s="11">
        <v>23264.75</v>
      </c>
      <c r="E6061" s="11">
        <v>23264.75</v>
      </c>
      <c r="F6061" s="3">
        <v>39052</v>
      </c>
      <c r="G6061" s="2"/>
      <c r="H6061" s="3">
        <v>43053</v>
      </c>
      <c r="I6061" s="2" t="s">
        <v>19506</v>
      </c>
      <c r="J6061" s="2" t="s">
        <v>13904</v>
      </c>
      <c r="K6061" s="2" t="s">
        <v>5657</v>
      </c>
      <c r="L6061" s="82" t="s">
        <v>19512</v>
      </c>
    </row>
    <row r="6062" spans="1:12" ht="84" customHeight="1" x14ac:dyDescent="0.3">
      <c r="A6062" s="2">
        <v>6058</v>
      </c>
      <c r="B6062" s="66" t="s">
        <v>7014</v>
      </c>
      <c r="C6062" s="66" t="s">
        <v>7015</v>
      </c>
      <c r="D6062" s="11">
        <v>17564.400000000001</v>
      </c>
      <c r="E6062" s="11">
        <v>17564.400000000001</v>
      </c>
      <c r="F6062" s="3">
        <v>39052</v>
      </c>
      <c r="G6062" s="2"/>
      <c r="H6062" s="3">
        <v>43053</v>
      </c>
      <c r="I6062" s="2" t="s">
        <v>19506</v>
      </c>
      <c r="J6062" s="2" t="s">
        <v>13904</v>
      </c>
      <c r="K6062" s="2" t="s">
        <v>5657</v>
      </c>
      <c r="L6062" s="82" t="s">
        <v>19512</v>
      </c>
    </row>
    <row r="6063" spans="1:12" ht="84" customHeight="1" x14ac:dyDescent="0.3">
      <c r="A6063" s="2">
        <v>6059</v>
      </c>
      <c r="B6063" s="66" t="s">
        <v>7014</v>
      </c>
      <c r="C6063" s="66" t="s">
        <v>7016</v>
      </c>
      <c r="D6063" s="11">
        <v>17564.400000000001</v>
      </c>
      <c r="E6063" s="11">
        <v>17564.400000000001</v>
      </c>
      <c r="F6063" s="3">
        <v>39052</v>
      </c>
      <c r="G6063" s="2"/>
      <c r="H6063" s="3">
        <v>43053</v>
      </c>
      <c r="I6063" s="2" t="s">
        <v>19506</v>
      </c>
      <c r="J6063" s="2" t="s">
        <v>13904</v>
      </c>
      <c r="K6063" s="2" t="s">
        <v>5657</v>
      </c>
      <c r="L6063" s="82" t="s">
        <v>19512</v>
      </c>
    </row>
    <row r="6064" spans="1:12" ht="84" customHeight="1" x14ac:dyDescent="0.3">
      <c r="A6064" s="2">
        <v>6060</v>
      </c>
      <c r="B6064" s="66" t="s">
        <v>7017</v>
      </c>
      <c r="C6064" s="66" t="s">
        <v>7018</v>
      </c>
      <c r="D6064" s="11">
        <v>23264.75</v>
      </c>
      <c r="E6064" s="11">
        <v>23264.75</v>
      </c>
      <c r="F6064" s="3">
        <v>39052</v>
      </c>
      <c r="G6064" s="2"/>
      <c r="H6064" s="3">
        <v>43053</v>
      </c>
      <c r="I6064" s="2" t="s">
        <v>19506</v>
      </c>
      <c r="J6064" s="2" t="s">
        <v>13904</v>
      </c>
      <c r="K6064" s="2" t="s">
        <v>5657</v>
      </c>
      <c r="L6064" s="82" t="s">
        <v>19512</v>
      </c>
    </row>
    <row r="6065" spans="1:12" ht="84" customHeight="1" x14ac:dyDescent="0.3">
      <c r="A6065" s="2">
        <v>6061</v>
      </c>
      <c r="B6065" s="66" t="s">
        <v>7019</v>
      </c>
      <c r="C6065" s="66" t="s">
        <v>7020</v>
      </c>
      <c r="D6065" s="11">
        <v>20522.400000000001</v>
      </c>
      <c r="E6065" s="11">
        <v>20522.400000000001</v>
      </c>
      <c r="F6065" s="3">
        <v>39052</v>
      </c>
      <c r="G6065" s="2"/>
      <c r="H6065" s="3">
        <v>43053</v>
      </c>
      <c r="I6065" s="2" t="s">
        <v>19506</v>
      </c>
      <c r="J6065" s="2" t="s">
        <v>13904</v>
      </c>
      <c r="K6065" s="2" t="s">
        <v>5657</v>
      </c>
      <c r="L6065" s="82" t="s">
        <v>19512</v>
      </c>
    </row>
    <row r="6066" spans="1:12" ht="84" customHeight="1" x14ac:dyDescent="0.3">
      <c r="A6066" s="2">
        <v>6062</v>
      </c>
      <c r="B6066" s="66" t="s">
        <v>7021</v>
      </c>
      <c r="C6066" s="66" t="s">
        <v>7022</v>
      </c>
      <c r="D6066" s="11">
        <v>5712</v>
      </c>
      <c r="E6066" s="11">
        <v>5712</v>
      </c>
      <c r="F6066" s="3">
        <v>39052</v>
      </c>
      <c r="G6066" s="2"/>
      <c r="H6066" s="3">
        <v>43053</v>
      </c>
      <c r="I6066" s="2" t="s">
        <v>19506</v>
      </c>
      <c r="J6066" s="2" t="s">
        <v>13904</v>
      </c>
      <c r="K6066" s="2" t="s">
        <v>5657</v>
      </c>
      <c r="L6066" s="82" t="s">
        <v>19512</v>
      </c>
    </row>
    <row r="6067" spans="1:12" ht="84" customHeight="1" x14ac:dyDescent="0.3">
      <c r="A6067" s="2">
        <v>6063</v>
      </c>
      <c r="B6067" s="66" t="s">
        <v>7021</v>
      </c>
      <c r="C6067" s="66" t="s">
        <v>7023</v>
      </c>
      <c r="D6067" s="11">
        <v>5712</v>
      </c>
      <c r="E6067" s="11">
        <v>5712</v>
      </c>
      <c r="F6067" s="3">
        <v>39052</v>
      </c>
      <c r="G6067" s="2"/>
      <c r="H6067" s="3">
        <v>43053</v>
      </c>
      <c r="I6067" s="2" t="s">
        <v>19506</v>
      </c>
      <c r="J6067" s="2" t="s">
        <v>13904</v>
      </c>
      <c r="K6067" s="2" t="s">
        <v>5657</v>
      </c>
      <c r="L6067" s="82" t="s">
        <v>19512</v>
      </c>
    </row>
    <row r="6068" spans="1:12" ht="84" customHeight="1" x14ac:dyDescent="0.3">
      <c r="A6068" s="2">
        <v>6064</v>
      </c>
      <c r="B6068" s="66" t="s">
        <v>7021</v>
      </c>
      <c r="C6068" s="66" t="s">
        <v>7024</v>
      </c>
      <c r="D6068" s="11">
        <v>5712</v>
      </c>
      <c r="E6068" s="11">
        <v>5712</v>
      </c>
      <c r="F6068" s="3">
        <v>39052</v>
      </c>
      <c r="G6068" s="2"/>
      <c r="H6068" s="3">
        <v>43053</v>
      </c>
      <c r="I6068" s="2" t="s">
        <v>19506</v>
      </c>
      <c r="J6068" s="2" t="s">
        <v>13904</v>
      </c>
      <c r="K6068" s="2" t="s">
        <v>5657</v>
      </c>
      <c r="L6068" s="82" t="s">
        <v>19512</v>
      </c>
    </row>
    <row r="6069" spans="1:12" ht="84" customHeight="1" x14ac:dyDescent="0.3">
      <c r="A6069" s="2">
        <v>6065</v>
      </c>
      <c r="B6069" s="66" t="s">
        <v>7021</v>
      </c>
      <c r="C6069" s="66" t="s">
        <v>7025</v>
      </c>
      <c r="D6069" s="11">
        <v>5712</v>
      </c>
      <c r="E6069" s="11">
        <v>5712</v>
      </c>
      <c r="F6069" s="3">
        <v>39052</v>
      </c>
      <c r="G6069" s="2"/>
      <c r="H6069" s="3">
        <v>43053</v>
      </c>
      <c r="I6069" s="2" t="s">
        <v>19506</v>
      </c>
      <c r="J6069" s="2" t="s">
        <v>13904</v>
      </c>
      <c r="K6069" s="2" t="s">
        <v>5657</v>
      </c>
      <c r="L6069" s="82" t="s">
        <v>19512</v>
      </c>
    </row>
    <row r="6070" spans="1:12" ht="84" customHeight="1" x14ac:dyDescent="0.3">
      <c r="A6070" s="2">
        <v>6066</v>
      </c>
      <c r="B6070" s="66" t="s">
        <v>7026</v>
      </c>
      <c r="C6070" s="66" t="s">
        <v>7027</v>
      </c>
      <c r="D6070" s="11">
        <v>23067.200000000001</v>
      </c>
      <c r="E6070" s="11">
        <v>23067.200000000001</v>
      </c>
      <c r="F6070" s="3">
        <v>39052</v>
      </c>
      <c r="G6070" s="2"/>
      <c r="H6070" s="3">
        <v>43053</v>
      </c>
      <c r="I6070" s="2" t="s">
        <v>19506</v>
      </c>
      <c r="J6070" s="2" t="s">
        <v>13904</v>
      </c>
      <c r="K6070" s="2" t="s">
        <v>5657</v>
      </c>
      <c r="L6070" s="82" t="s">
        <v>19512</v>
      </c>
    </row>
    <row r="6071" spans="1:12" ht="84" customHeight="1" x14ac:dyDescent="0.3">
      <c r="A6071" s="2">
        <v>6067</v>
      </c>
      <c r="B6071" s="66" t="s">
        <v>7028</v>
      </c>
      <c r="C6071" s="66" t="s">
        <v>7029</v>
      </c>
      <c r="D6071" s="11">
        <v>22345.15</v>
      </c>
      <c r="E6071" s="11">
        <v>22345.15</v>
      </c>
      <c r="F6071" s="3">
        <v>39052</v>
      </c>
      <c r="G6071" s="2"/>
      <c r="H6071" s="3">
        <v>43053</v>
      </c>
      <c r="I6071" s="2" t="s">
        <v>19506</v>
      </c>
      <c r="J6071" s="2" t="s">
        <v>13904</v>
      </c>
      <c r="K6071" s="2" t="s">
        <v>5657</v>
      </c>
      <c r="L6071" s="82" t="s">
        <v>19512</v>
      </c>
    </row>
    <row r="6072" spans="1:12" ht="84" customHeight="1" x14ac:dyDescent="0.3">
      <c r="A6072" s="2">
        <v>6068</v>
      </c>
      <c r="B6072" s="66" t="s">
        <v>7030</v>
      </c>
      <c r="C6072" s="66" t="s">
        <v>7031</v>
      </c>
      <c r="D6072" s="11">
        <v>4801.8</v>
      </c>
      <c r="E6072" s="11">
        <v>4801.8</v>
      </c>
      <c r="F6072" s="3">
        <v>39052</v>
      </c>
      <c r="G6072" s="2"/>
      <c r="H6072" s="3">
        <v>43053</v>
      </c>
      <c r="I6072" s="2" t="s">
        <v>19506</v>
      </c>
      <c r="J6072" s="2" t="s">
        <v>13904</v>
      </c>
      <c r="K6072" s="2" t="s">
        <v>5657</v>
      </c>
      <c r="L6072" s="82" t="s">
        <v>19512</v>
      </c>
    </row>
    <row r="6073" spans="1:12" ht="84" customHeight="1" x14ac:dyDescent="0.3">
      <c r="A6073" s="2">
        <v>6069</v>
      </c>
      <c r="B6073" s="66" t="s">
        <v>7030</v>
      </c>
      <c r="C6073" s="66" t="s">
        <v>7032</v>
      </c>
      <c r="D6073" s="11">
        <v>4801.8</v>
      </c>
      <c r="E6073" s="11">
        <v>4801.8</v>
      </c>
      <c r="F6073" s="3">
        <v>39052</v>
      </c>
      <c r="G6073" s="2"/>
      <c r="H6073" s="3">
        <v>43053</v>
      </c>
      <c r="I6073" s="2" t="s">
        <v>19506</v>
      </c>
      <c r="J6073" s="2" t="s">
        <v>13904</v>
      </c>
      <c r="K6073" s="2" t="s">
        <v>5657</v>
      </c>
      <c r="L6073" s="82" t="s">
        <v>19512</v>
      </c>
    </row>
    <row r="6074" spans="1:12" ht="84" customHeight="1" x14ac:dyDescent="0.3">
      <c r="A6074" s="2">
        <v>6070</v>
      </c>
      <c r="B6074" s="66" t="s">
        <v>7030</v>
      </c>
      <c r="C6074" s="66" t="s">
        <v>7033</v>
      </c>
      <c r="D6074" s="11">
        <v>4801.8</v>
      </c>
      <c r="E6074" s="11">
        <v>4801.8</v>
      </c>
      <c r="F6074" s="3">
        <v>39053</v>
      </c>
      <c r="G6074" s="2"/>
      <c r="H6074" s="3">
        <v>43053</v>
      </c>
      <c r="I6074" s="2" t="s">
        <v>19506</v>
      </c>
      <c r="J6074" s="2" t="s">
        <v>13904</v>
      </c>
      <c r="K6074" s="2" t="s">
        <v>5657</v>
      </c>
      <c r="L6074" s="82" t="s">
        <v>19512</v>
      </c>
    </row>
    <row r="6075" spans="1:12" ht="84" customHeight="1" x14ac:dyDescent="0.3">
      <c r="A6075" s="2">
        <v>6071</v>
      </c>
      <c r="B6075" s="66" t="s">
        <v>7030</v>
      </c>
      <c r="C6075" s="66" t="s">
        <v>7034</v>
      </c>
      <c r="D6075" s="11">
        <v>4801.8</v>
      </c>
      <c r="E6075" s="11">
        <v>4801.8</v>
      </c>
      <c r="F6075" s="3">
        <v>39052</v>
      </c>
      <c r="G6075" s="2"/>
      <c r="H6075" s="3">
        <v>43053</v>
      </c>
      <c r="I6075" s="2" t="s">
        <v>19506</v>
      </c>
      <c r="J6075" s="2" t="s">
        <v>13904</v>
      </c>
      <c r="K6075" s="2" t="s">
        <v>5657</v>
      </c>
      <c r="L6075" s="82" t="s">
        <v>19512</v>
      </c>
    </row>
    <row r="6076" spans="1:12" ht="84" customHeight="1" x14ac:dyDescent="0.3">
      <c r="A6076" s="2">
        <v>6072</v>
      </c>
      <c r="B6076" s="66" t="s">
        <v>7030</v>
      </c>
      <c r="C6076" s="66" t="s">
        <v>7035</v>
      </c>
      <c r="D6076" s="11">
        <v>4801.8</v>
      </c>
      <c r="E6076" s="11">
        <v>4801.8</v>
      </c>
      <c r="F6076" s="3">
        <v>39052</v>
      </c>
      <c r="G6076" s="2"/>
      <c r="H6076" s="3">
        <v>43053</v>
      </c>
      <c r="I6076" s="2" t="s">
        <v>19506</v>
      </c>
      <c r="J6076" s="2" t="s">
        <v>13904</v>
      </c>
      <c r="K6076" s="2" t="s">
        <v>5657</v>
      </c>
      <c r="L6076" s="82" t="s">
        <v>19512</v>
      </c>
    </row>
    <row r="6077" spans="1:12" ht="84" customHeight="1" x14ac:dyDescent="0.3">
      <c r="A6077" s="2">
        <v>6073</v>
      </c>
      <c r="B6077" s="66" t="s">
        <v>7030</v>
      </c>
      <c r="C6077" s="66" t="s">
        <v>7036</v>
      </c>
      <c r="D6077" s="11">
        <v>4801.8</v>
      </c>
      <c r="E6077" s="11">
        <v>4801.8</v>
      </c>
      <c r="F6077" s="3">
        <v>39052</v>
      </c>
      <c r="G6077" s="2"/>
      <c r="H6077" s="3">
        <v>43053</v>
      </c>
      <c r="I6077" s="2" t="s">
        <v>19506</v>
      </c>
      <c r="J6077" s="2" t="s">
        <v>13904</v>
      </c>
      <c r="K6077" s="2" t="s">
        <v>5657</v>
      </c>
      <c r="L6077" s="82" t="s">
        <v>19512</v>
      </c>
    </row>
    <row r="6078" spans="1:12" ht="84" customHeight="1" x14ac:dyDescent="0.3">
      <c r="A6078" s="2">
        <v>6074</v>
      </c>
      <c r="B6078" s="66" t="s">
        <v>7030</v>
      </c>
      <c r="C6078" s="66" t="s">
        <v>7037</v>
      </c>
      <c r="D6078" s="11">
        <v>4801.8</v>
      </c>
      <c r="E6078" s="11">
        <v>4801.8</v>
      </c>
      <c r="F6078" s="3">
        <v>39052</v>
      </c>
      <c r="G6078" s="2"/>
      <c r="H6078" s="3">
        <v>43053</v>
      </c>
      <c r="I6078" s="2" t="s">
        <v>19506</v>
      </c>
      <c r="J6078" s="2" t="s">
        <v>13904</v>
      </c>
      <c r="K6078" s="2" t="s">
        <v>5657</v>
      </c>
      <c r="L6078" s="82" t="s">
        <v>19512</v>
      </c>
    </row>
    <row r="6079" spans="1:12" ht="84" customHeight="1" x14ac:dyDescent="0.3">
      <c r="A6079" s="2">
        <v>6075</v>
      </c>
      <c r="B6079" s="66" t="s">
        <v>7030</v>
      </c>
      <c r="C6079" s="66" t="s">
        <v>7038</v>
      </c>
      <c r="D6079" s="11">
        <v>4801.8</v>
      </c>
      <c r="E6079" s="11">
        <v>4801.8</v>
      </c>
      <c r="F6079" s="3">
        <v>39052</v>
      </c>
      <c r="G6079" s="2"/>
      <c r="H6079" s="3">
        <v>43053</v>
      </c>
      <c r="I6079" s="2" t="s">
        <v>19506</v>
      </c>
      <c r="J6079" s="2" t="s">
        <v>13904</v>
      </c>
      <c r="K6079" s="2" t="s">
        <v>5657</v>
      </c>
      <c r="L6079" s="82" t="s">
        <v>19512</v>
      </c>
    </row>
    <row r="6080" spans="1:12" ht="84" customHeight="1" x14ac:dyDescent="0.3">
      <c r="A6080" s="2">
        <v>6076</v>
      </c>
      <c r="B6080" s="66" t="s">
        <v>7030</v>
      </c>
      <c r="C6080" s="66" t="s">
        <v>7039</v>
      </c>
      <c r="D6080" s="11">
        <v>4801.8</v>
      </c>
      <c r="E6080" s="11">
        <v>4801.8</v>
      </c>
      <c r="F6080" s="3">
        <v>39052</v>
      </c>
      <c r="G6080" s="2"/>
      <c r="H6080" s="3">
        <v>43053</v>
      </c>
      <c r="I6080" s="2" t="s">
        <v>19506</v>
      </c>
      <c r="J6080" s="2" t="s">
        <v>13904</v>
      </c>
      <c r="K6080" s="2" t="s">
        <v>5657</v>
      </c>
      <c r="L6080" s="82" t="s">
        <v>19512</v>
      </c>
    </row>
    <row r="6081" spans="1:12" ht="84" customHeight="1" x14ac:dyDescent="0.3">
      <c r="A6081" s="2">
        <v>6077</v>
      </c>
      <c r="B6081" s="66" t="s">
        <v>7030</v>
      </c>
      <c r="C6081" s="66" t="s">
        <v>7040</v>
      </c>
      <c r="D6081" s="11">
        <v>4801.8</v>
      </c>
      <c r="E6081" s="11">
        <v>4801.8</v>
      </c>
      <c r="F6081" s="3">
        <v>39052</v>
      </c>
      <c r="G6081" s="2"/>
      <c r="H6081" s="3">
        <v>43053</v>
      </c>
      <c r="I6081" s="2" t="s">
        <v>19506</v>
      </c>
      <c r="J6081" s="2" t="s">
        <v>13904</v>
      </c>
      <c r="K6081" s="2" t="s">
        <v>5657</v>
      </c>
      <c r="L6081" s="82" t="s">
        <v>19512</v>
      </c>
    </row>
    <row r="6082" spans="1:12" ht="84" customHeight="1" x14ac:dyDescent="0.3">
      <c r="A6082" s="2">
        <v>6078</v>
      </c>
      <c r="B6082" s="66" t="s">
        <v>7030</v>
      </c>
      <c r="C6082" s="66" t="s">
        <v>7041</v>
      </c>
      <c r="D6082" s="11">
        <v>4801.8</v>
      </c>
      <c r="E6082" s="11">
        <v>4801.8</v>
      </c>
      <c r="F6082" s="3">
        <v>39052</v>
      </c>
      <c r="G6082" s="2"/>
      <c r="H6082" s="3">
        <v>43053</v>
      </c>
      <c r="I6082" s="2" t="s">
        <v>19506</v>
      </c>
      <c r="J6082" s="2" t="s">
        <v>13904</v>
      </c>
      <c r="K6082" s="2" t="s">
        <v>5657</v>
      </c>
      <c r="L6082" s="82" t="s">
        <v>19512</v>
      </c>
    </row>
    <row r="6083" spans="1:12" ht="84" customHeight="1" x14ac:dyDescent="0.3">
      <c r="A6083" s="2">
        <v>6079</v>
      </c>
      <c r="B6083" s="66" t="s">
        <v>7030</v>
      </c>
      <c r="C6083" s="66" t="s">
        <v>7042</v>
      </c>
      <c r="D6083" s="11">
        <v>4801.8</v>
      </c>
      <c r="E6083" s="11">
        <v>4801.8</v>
      </c>
      <c r="F6083" s="3">
        <v>39052</v>
      </c>
      <c r="G6083" s="2"/>
      <c r="H6083" s="3">
        <v>43053</v>
      </c>
      <c r="I6083" s="2" t="s">
        <v>19506</v>
      </c>
      <c r="J6083" s="2" t="s">
        <v>13904</v>
      </c>
      <c r="K6083" s="2" t="s">
        <v>5657</v>
      </c>
      <c r="L6083" s="82" t="s">
        <v>19512</v>
      </c>
    </row>
    <row r="6084" spans="1:12" ht="84" customHeight="1" x14ac:dyDescent="0.3">
      <c r="A6084" s="2">
        <v>6080</v>
      </c>
      <c r="B6084" s="66" t="s">
        <v>7030</v>
      </c>
      <c r="C6084" s="66" t="s">
        <v>7043</v>
      </c>
      <c r="D6084" s="11">
        <v>4801.8</v>
      </c>
      <c r="E6084" s="11">
        <v>4801.8</v>
      </c>
      <c r="F6084" s="3">
        <v>39052</v>
      </c>
      <c r="G6084" s="2"/>
      <c r="H6084" s="3">
        <v>43053</v>
      </c>
      <c r="I6084" s="2" t="s">
        <v>19506</v>
      </c>
      <c r="J6084" s="2" t="s">
        <v>13904</v>
      </c>
      <c r="K6084" s="2" t="s">
        <v>5657</v>
      </c>
      <c r="L6084" s="82" t="s">
        <v>19512</v>
      </c>
    </row>
    <row r="6085" spans="1:12" ht="84" customHeight="1" x14ac:dyDescent="0.3">
      <c r="A6085" s="2">
        <v>6081</v>
      </c>
      <c r="B6085" s="66" t="s">
        <v>7030</v>
      </c>
      <c r="C6085" s="66" t="s">
        <v>7044</v>
      </c>
      <c r="D6085" s="11">
        <v>4801.8</v>
      </c>
      <c r="E6085" s="11">
        <v>4801.8</v>
      </c>
      <c r="F6085" s="3">
        <v>39052</v>
      </c>
      <c r="G6085" s="2"/>
      <c r="H6085" s="3">
        <v>43053</v>
      </c>
      <c r="I6085" s="2" t="s">
        <v>19506</v>
      </c>
      <c r="J6085" s="2" t="s">
        <v>13904</v>
      </c>
      <c r="K6085" s="2" t="s">
        <v>5657</v>
      </c>
      <c r="L6085" s="82" t="s">
        <v>19512</v>
      </c>
    </row>
    <row r="6086" spans="1:12" ht="84" customHeight="1" x14ac:dyDescent="0.3">
      <c r="A6086" s="2">
        <v>6082</v>
      </c>
      <c r="B6086" s="66" t="s">
        <v>7030</v>
      </c>
      <c r="C6086" s="66" t="s">
        <v>7045</v>
      </c>
      <c r="D6086" s="11">
        <v>4801.8</v>
      </c>
      <c r="E6086" s="11">
        <v>4801.8</v>
      </c>
      <c r="F6086" s="3">
        <v>39052</v>
      </c>
      <c r="G6086" s="2"/>
      <c r="H6086" s="3">
        <v>43053</v>
      </c>
      <c r="I6086" s="2" t="s">
        <v>19506</v>
      </c>
      <c r="J6086" s="2" t="s">
        <v>13904</v>
      </c>
      <c r="K6086" s="2" t="s">
        <v>5657</v>
      </c>
      <c r="L6086" s="82" t="s">
        <v>19512</v>
      </c>
    </row>
    <row r="6087" spans="1:12" ht="84" customHeight="1" x14ac:dyDescent="0.3">
      <c r="A6087" s="2">
        <v>6083</v>
      </c>
      <c r="B6087" s="66" t="s">
        <v>7030</v>
      </c>
      <c r="C6087" s="66" t="s">
        <v>7046</v>
      </c>
      <c r="D6087" s="11">
        <v>4801.8</v>
      </c>
      <c r="E6087" s="11">
        <v>4801.8</v>
      </c>
      <c r="F6087" s="3">
        <v>39052</v>
      </c>
      <c r="G6087" s="2"/>
      <c r="H6087" s="3">
        <v>43053</v>
      </c>
      <c r="I6087" s="2" t="s">
        <v>19506</v>
      </c>
      <c r="J6087" s="2" t="s">
        <v>13904</v>
      </c>
      <c r="K6087" s="2" t="s">
        <v>5657</v>
      </c>
      <c r="L6087" s="82" t="s">
        <v>19512</v>
      </c>
    </row>
    <row r="6088" spans="1:12" ht="84" customHeight="1" x14ac:dyDescent="0.3">
      <c r="A6088" s="2">
        <v>6084</v>
      </c>
      <c r="B6088" s="66" t="s">
        <v>7030</v>
      </c>
      <c r="C6088" s="66" t="s">
        <v>7047</v>
      </c>
      <c r="D6088" s="11">
        <v>4801.8</v>
      </c>
      <c r="E6088" s="11">
        <v>4801.8</v>
      </c>
      <c r="F6088" s="3">
        <v>39052</v>
      </c>
      <c r="G6088" s="2"/>
      <c r="H6088" s="3">
        <v>43053</v>
      </c>
      <c r="I6088" s="2" t="s">
        <v>19506</v>
      </c>
      <c r="J6088" s="2" t="s">
        <v>13904</v>
      </c>
      <c r="K6088" s="2" t="s">
        <v>5657</v>
      </c>
      <c r="L6088" s="82" t="s">
        <v>19512</v>
      </c>
    </row>
    <row r="6089" spans="1:12" ht="84" customHeight="1" x14ac:dyDescent="0.3">
      <c r="A6089" s="2">
        <v>6085</v>
      </c>
      <c r="B6089" s="66" t="s">
        <v>7030</v>
      </c>
      <c r="C6089" s="66" t="s">
        <v>7048</v>
      </c>
      <c r="D6089" s="11">
        <v>4801.8</v>
      </c>
      <c r="E6089" s="11">
        <v>4801.8</v>
      </c>
      <c r="F6089" s="3">
        <v>39052</v>
      </c>
      <c r="G6089" s="2"/>
      <c r="H6089" s="3">
        <v>43053</v>
      </c>
      <c r="I6089" s="2" t="s">
        <v>19506</v>
      </c>
      <c r="J6089" s="2" t="s">
        <v>13904</v>
      </c>
      <c r="K6089" s="2" t="s">
        <v>5657</v>
      </c>
      <c r="L6089" s="82" t="s">
        <v>19512</v>
      </c>
    </row>
    <row r="6090" spans="1:12" ht="84" customHeight="1" x14ac:dyDescent="0.3">
      <c r="A6090" s="2">
        <v>6086</v>
      </c>
      <c r="B6090" s="66" t="s">
        <v>7030</v>
      </c>
      <c r="C6090" s="66" t="s">
        <v>7049</v>
      </c>
      <c r="D6090" s="11">
        <v>4801.8</v>
      </c>
      <c r="E6090" s="11">
        <v>4801.8</v>
      </c>
      <c r="F6090" s="3">
        <v>39052</v>
      </c>
      <c r="G6090" s="2"/>
      <c r="H6090" s="3">
        <v>43053</v>
      </c>
      <c r="I6090" s="2" t="s">
        <v>19506</v>
      </c>
      <c r="J6090" s="2" t="s">
        <v>13904</v>
      </c>
      <c r="K6090" s="2" t="s">
        <v>5657</v>
      </c>
      <c r="L6090" s="82" t="s">
        <v>19512</v>
      </c>
    </row>
    <row r="6091" spans="1:12" ht="84" customHeight="1" x14ac:dyDescent="0.3">
      <c r="A6091" s="2">
        <v>6087</v>
      </c>
      <c r="B6091" s="66" t="s">
        <v>7050</v>
      </c>
      <c r="C6091" s="66" t="s">
        <v>7051</v>
      </c>
      <c r="D6091" s="11">
        <v>4801.8</v>
      </c>
      <c r="E6091" s="11">
        <v>4801.8</v>
      </c>
      <c r="F6091" s="3">
        <v>39052</v>
      </c>
      <c r="G6091" s="2"/>
      <c r="H6091" s="3">
        <v>43053</v>
      </c>
      <c r="I6091" s="2" t="s">
        <v>19506</v>
      </c>
      <c r="J6091" s="2" t="s">
        <v>13904</v>
      </c>
      <c r="K6091" s="2" t="s">
        <v>5657</v>
      </c>
      <c r="L6091" s="82" t="s">
        <v>19512</v>
      </c>
    </row>
    <row r="6092" spans="1:12" ht="84" customHeight="1" x14ac:dyDescent="0.3">
      <c r="A6092" s="2">
        <v>6088</v>
      </c>
      <c r="B6092" s="66" t="s">
        <v>7050</v>
      </c>
      <c r="C6092" s="66" t="s">
        <v>7052</v>
      </c>
      <c r="D6092" s="11">
        <v>4801.8</v>
      </c>
      <c r="E6092" s="11">
        <v>4801.8</v>
      </c>
      <c r="F6092" s="3">
        <v>39052</v>
      </c>
      <c r="G6092" s="2"/>
      <c r="H6092" s="3">
        <v>43053</v>
      </c>
      <c r="I6092" s="2" t="s">
        <v>19506</v>
      </c>
      <c r="J6092" s="2" t="s">
        <v>13904</v>
      </c>
      <c r="K6092" s="2" t="s">
        <v>5657</v>
      </c>
      <c r="L6092" s="82" t="s">
        <v>19512</v>
      </c>
    </row>
    <row r="6093" spans="1:12" ht="84" customHeight="1" x14ac:dyDescent="0.3">
      <c r="A6093" s="2">
        <v>6089</v>
      </c>
      <c r="B6093" s="66" t="s">
        <v>7053</v>
      </c>
      <c r="C6093" s="66" t="s">
        <v>7054</v>
      </c>
      <c r="D6093" s="11">
        <v>4801.8</v>
      </c>
      <c r="E6093" s="11">
        <v>4801.8</v>
      </c>
      <c r="F6093" s="3">
        <v>39052</v>
      </c>
      <c r="G6093" s="2"/>
      <c r="H6093" s="3">
        <v>43053</v>
      </c>
      <c r="I6093" s="2" t="s">
        <v>19506</v>
      </c>
      <c r="J6093" s="2" t="s">
        <v>13904</v>
      </c>
      <c r="K6093" s="2" t="s">
        <v>5657</v>
      </c>
      <c r="L6093" s="82" t="s">
        <v>19512</v>
      </c>
    </row>
    <row r="6094" spans="1:12" ht="84" customHeight="1" x14ac:dyDescent="0.3">
      <c r="A6094" s="2">
        <v>6090</v>
      </c>
      <c r="B6094" s="66" t="s">
        <v>7053</v>
      </c>
      <c r="C6094" s="66" t="s">
        <v>7055</v>
      </c>
      <c r="D6094" s="11">
        <v>4801.8</v>
      </c>
      <c r="E6094" s="11">
        <v>4801.8</v>
      </c>
      <c r="F6094" s="3">
        <v>39052</v>
      </c>
      <c r="G6094" s="2"/>
      <c r="H6094" s="3">
        <v>43053</v>
      </c>
      <c r="I6094" s="2" t="s">
        <v>19506</v>
      </c>
      <c r="J6094" s="2" t="s">
        <v>13904</v>
      </c>
      <c r="K6094" s="2" t="s">
        <v>5657</v>
      </c>
      <c r="L6094" s="82" t="s">
        <v>19512</v>
      </c>
    </row>
    <row r="6095" spans="1:12" ht="84" customHeight="1" x14ac:dyDescent="0.3">
      <c r="A6095" s="2">
        <v>6091</v>
      </c>
      <c r="B6095" s="66" t="s">
        <v>7053</v>
      </c>
      <c r="C6095" s="66" t="s">
        <v>7056</v>
      </c>
      <c r="D6095" s="11">
        <v>4801.8</v>
      </c>
      <c r="E6095" s="11">
        <v>4801.8</v>
      </c>
      <c r="F6095" s="3">
        <v>39052</v>
      </c>
      <c r="G6095" s="2"/>
      <c r="H6095" s="3">
        <v>43053</v>
      </c>
      <c r="I6095" s="2" t="s">
        <v>19506</v>
      </c>
      <c r="J6095" s="2" t="s">
        <v>13904</v>
      </c>
      <c r="K6095" s="2" t="s">
        <v>5657</v>
      </c>
      <c r="L6095" s="82" t="s">
        <v>19512</v>
      </c>
    </row>
    <row r="6096" spans="1:12" ht="84" customHeight="1" x14ac:dyDescent="0.3">
      <c r="A6096" s="2">
        <v>6092</v>
      </c>
      <c r="B6096" s="66" t="s">
        <v>7053</v>
      </c>
      <c r="C6096" s="66" t="s">
        <v>7057</v>
      </c>
      <c r="D6096" s="11">
        <v>4801.8</v>
      </c>
      <c r="E6096" s="11">
        <v>4801.8</v>
      </c>
      <c r="F6096" s="3">
        <v>39052</v>
      </c>
      <c r="G6096" s="2"/>
      <c r="H6096" s="3">
        <v>43053</v>
      </c>
      <c r="I6096" s="2" t="s">
        <v>19506</v>
      </c>
      <c r="J6096" s="2" t="s">
        <v>13904</v>
      </c>
      <c r="K6096" s="2" t="s">
        <v>5657</v>
      </c>
      <c r="L6096" s="82" t="s">
        <v>19512</v>
      </c>
    </row>
    <row r="6097" spans="1:12" ht="84" customHeight="1" x14ac:dyDescent="0.3">
      <c r="A6097" s="2">
        <v>6093</v>
      </c>
      <c r="B6097" s="66" t="s">
        <v>7058</v>
      </c>
      <c r="C6097" s="66" t="s">
        <v>7059</v>
      </c>
      <c r="D6097" s="11">
        <v>5712</v>
      </c>
      <c r="E6097" s="11">
        <v>5712</v>
      </c>
      <c r="F6097" s="3">
        <v>39052</v>
      </c>
      <c r="G6097" s="2"/>
      <c r="H6097" s="3">
        <v>43053</v>
      </c>
      <c r="I6097" s="2" t="s">
        <v>19506</v>
      </c>
      <c r="J6097" s="2" t="s">
        <v>13904</v>
      </c>
      <c r="K6097" s="2" t="s">
        <v>5657</v>
      </c>
      <c r="L6097" s="82" t="s">
        <v>19512</v>
      </c>
    </row>
    <row r="6098" spans="1:12" ht="84" customHeight="1" x14ac:dyDescent="0.3">
      <c r="A6098" s="2">
        <v>6094</v>
      </c>
      <c r="B6098" s="66" t="s">
        <v>7058</v>
      </c>
      <c r="C6098" s="66" t="s">
        <v>7060</v>
      </c>
      <c r="D6098" s="11">
        <v>5712</v>
      </c>
      <c r="E6098" s="11">
        <v>5712</v>
      </c>
      <c r="F6098" s="3">
        <v>39052</v>
      </c>
      <c r="G6098" s="2"/>
      <c r="H6098" s="3">
        <v>43053</v>
      </c>
      <c r="I6098" s="2" t="s">
        <v>19506</v>
      </c>
      <c r="J6098" s="2" t="s">
        <v>13904</v>
      </c>
      <c r="K6098" s="2" t="s">
        <v>5657</v>
      </c>
      <c r="L6098" s="82" t="s">
        <v>19512</v>
      </c>
    </row>
    <row r="6099" spans="1:12" ht="84" customHeight="1" x14ac:dyDescent="0.3">
      <c r="A6099" s="2">
        <v>6095</v>
      </c>
      <c r="B6099" s="66" t="s">
        <v>7058</v>
      </c>
      <c r="C6099" s="66" t="s">
        <v>7061</v>
      </c>
      <c r="D6099" s="11">
        <v>5712</v>
      </c>
      <c r="E6099" s="11">
        <v>5712</v>
      </c>
      <c r="F6099" s="3">
        <v>39052</v>
      </c>
      <c r="G6099" s="2"/>
      <c r="H6099" s="3">
        <v>43053</v>
      </c>
      <c r="I6099" s="2" t="s">
        <v>19506</v>
      </c>
      <c r="J6099" s="2" t="s">
        <v>13904</v>
      </c>
      <c r="K6099" s="2" t="s">
        <v>5657</v>
      </c>
      <c r="L6099" s="82" t="s">
        <v>19512</v>
      </c>
    </row>
    <row r="6100" spans="1:12" ht="84" customHeight="1" x14ac:dyDescent="0.3">
      <c r="A6100" s="2">
        <v>6096</v>
      </c>
      <c r="B6100" s="66" t="s">
        <v>7062</v>
      </c>
      <c r="C6100" s="66" t="s">
        <v>7063</v>
      </c>
      <c r="D6100" s="11">
        <v>5854.8</v>
      </c>
      <c r="E6100" s="11">
        <v>5854.8</v>
      </c>
      <c r="F6100" s="3">
        <v>39052</v>
      </c>
      <c r="G6100" s="2"/>
      <c r="H6100" s="3">
        <v>43053</v>
      </c>
      <c r="I6100" s="2" t="s">
        <v>19506</v>
      </c>
      <c r="J6100" s="2" t="s">
        <v>13904</v>
      </c>
      <c r="K6100" s="2" t="s">
        <v>5657</v>
      </c>
      <c r="L6100" s="82" t="s">
        <v>19512</v>
      </c>
    </row>
    <row r="6101" spans="1:12" ht="84" customHeight="1" x14ac:dyDescent="0.3">
      <c r="A6101" s="2">
        <v>6097</v>
      </c>
      <c r="B6101" s="66" t="s">
        <v>7064</v>
      </c>
      <c r="C6101" s="66" t="s">
        <v>7065</v>
      </c>
      <c r="D6101" s="11">
        <v>22848</v>
      </c>
      <c r="E6101" s="11">
        <v>22848</v>
      </c>
      <c r="F6101" s="3">
        <v>39052</v>
      </c>
      <c r="G6101" s="2"/>
      <c r="H6101" s="3">
        <v>43053</v>
      </c>
      <c r="I6101" s="2" t="s">
        <v>19506</v>
      </c>
      <c r="J6101" s="2" t="s">
        <v>13904</v>
      </c>
      <c r="K6101" s="2" t="s">
        <v>5657</v>
      </c>
      <c r="L6101" s="82" t="s">
        <v>19512</v>
      </c>
    </row>
    <row r="6102" spans="1:12" ht="84" customHeight="1" x14ac:dyDescent="0.3">
      <c r="A6102" s="2">
        <v>6098</v>
      </c>
      <c r="B6102" s="66" t="s">
        <v>7066</v>
      </c>
      <c r="C6102" s="66" t="s">
        <v>7067</v>
      </c>
      <c r="D6102" s="11">
        <v>28572.639999999999</v>
      </c>
      <c r="E6102" s="11">
        <v>28572.639999999999</v>
      </c>
      <c r="F6102" s="3">
        <v>39052</v>
      </c>
      <c r="G6102" s="2"/>
      <c r="H6102" s="3">
        <v>43053</v>
      </c>
      <c r="I6102" s="2" t="s">
        <v>19506</v>
      </c>
      <c r="J6102" s="2" t="s">
        <v>13904</v>
      </c>
      <c r="K6102" s="2" t="s">
        <v>5657</v>
      </c>
      <c r="L6102" s="82" t="s">
        <v>19512</v>
      </c>
    </row>
    <row r="6103" spans="1:12" ht="84" customHeight="1" x14ac:dyDescent="0.3">
      <c r="A6103" s="2">
        <v>6099</v>
      </c>
      <c r="B6103" s="66" t="s">
        <v>7068</v>
      </c>
      <c r="C6103" s="66" t="s">
        <v>7069</v>
      </c>
      <c r="D6103" s="11">
        <v>3168.8</v>
      </c>
      <c r="E6103" s="11">
        <v>3168.8</v>
      </c>
      <c r="F6103" s="3">
        <v>39052</v>
      </c>
      <c r="G6103" s="2"/>
      <c r="H6103" s="3">
        <v>43053</v>
      </c>
      <c r="I6103" s="2" t="s">
        <v>19506</v>
      </c>
      <c r="J6103" s="2" t="s">
        <v>13904</v>
      </c>
      <c r="K6103" s="2" t="s">
        <v>5657</v>
      </c>
      <c r="L6103" s="82" t="s">
        <v>19512</v>
      </c>
    </row>
    <row r="6104" spans="1:12" ht="84" customHeight="1" x14ac:dyDescent="0.3">
      <c r="A6104" s="2">
        <v>6100</v>
      </c>
      <c r="B6104" s="66" t="s">
        <v>7070</v>
      </c>
      <c r="C6104" s="66" t="s">
        <v>7071</v>
      </c>
      <c r="D6104" s="11">
        <v>28566.799999999999</v>
      </c>
      <c r="E6104" s="11">
        <v>28566.799999999999</v>
      </c>
      <c r="F6104" s="3">
        <v>39052</v>
      </c>
      <c r="G6104" s="2"/>
      <c r="H6104" s="3">
        <v>43053</v>
      </c>
      <c r="I6104" s="2" t="s">
        <v>19506</v>
      </c>
      <c r="J6104" s="2" t="s">
        <v>13904</v>
      </c>
      <c r="K6104" s="2" t="s">
        <v>5657</v>
      </c>
      <c r="L6104" s="82" t="s">
        <v>19512</v>
      </c>
    </row>
    <row r="6105" spans="1:12" ht="84" customHeight="1" x14ac:dyDescent="0.3">
      <c r="A6105" s="2">
        <v>6101</v>
      </c>
      <c r="B6105" s="66" t="s">
        <v>7070</v>
      </c>
      <c r="C6105" s="66" t="s">
        <v>7072</v>
      </c>
      <c r="D6105" s="11">
        <v>28566.799999999999</v>
      </c>
      <c r="E6105" s="11">
        <v>28566.799999999999</v>
      </c>
      <c r="F6105" s="3">
        <v>39052</v>
      </c>
      <c r="G6105" s="2"/>
      <c r="H6105" s="3">
        <v>43053</v>
      </c>
      <c r="I6105" s="2" t="s">
        <v>19506</v>
      </c>
      <c r="J6105" s="2" t="s">
        <v>13904</v>
      </c>
      <c r="K6105" s="2" t="s">
        <v>5657</v>
      </c>
      <c r="L6105" s="82" t="s">
        <v>19512</v>
      </c>
    </row>
    <row r="6106" spans="1:12" ht="84" customHeight="1" x14ac:dyDescent="0.3">
      <c r="A6106" s="2">
        <v>6102</v>
      </c>
      <c r="B6106" s="66" t="s">
        <v>7073</v>
      </c>
      <c r="C6106" s="66" t="s">
        <v>7074</v>
      </c>
      <c r="D6106" s="11">
        <v>3988.7</v>
      </c>
      <c r="E6106" s="11">
        <v>3988.7</v>
      </c>
      <c r="F6106" s="3">
        <v>39052</v>
      </c>
      <c r="G6106" s="2"/>
      <c r="H6106" s="3">
        <v>43053</v>
      </c>
      <c r="I6106" s="2" t="s">
        <v>19506</v>
      </c>
      <c r="J6106" s="2" t="s">
        <v>13904</v>
      </c>
      <c r="K6106" s="2" t="s">
        <v>5657</v>
      </c>
      <c r="L6106" s="82" t="s">
        <v>19512</v>
      </c>
    </row>
    <row r="6107" spans="1:12" ht="84" customHeight="1" x14ac:dyDescent="0.3">
      <c r="A6107" s="2">
        <v>6103</v>
      </c>
      <c r="B6107" s="66" t="s">
        <v>7073</v>
      </c>
      <c r="C6107" s="66" t="s">
        <v>7075</v>
      </c>
      <c r="D6107" s="11">
        <v>3988.68</v>
      </c>
      <c r="E6107" s="11">
        <v>3988.68</v>
      </c>
      <c r="F6107" s="3">
        <v>39052</v>
      </c>
      <c r="G6107" s="2"/>
      <c r="H6107" s="3">
        <v>43053</v>
      </c>
      <c r="I6107" s="2" t="s">
        <v>19506</v>
      </c>
      <c r="J6107" s="2" t="s">
        <v>13904</v>
      </c>
      <c r="K6107" s="2" t="s">
        <v>5657</v>
      </c>
      <c r="L6107" s="82" t="s">
        <v>19512</v>
      </c>
    </row>
    <row r="6108" spans="1:12" ht="84" customHeight="1" x14ac:dyDescent="0.3">
      <c r="A6108" s="2">
        <v>6104</v>
      </c>
      <c r="B6108" s="66" t="s">
        <v>7073</v>
      </c>
      <c r="C6108" s="66" t="s">
        <v>7076</v>
      </c>
      <c r="D6108" s="11">
        <v>3988.68</v>
      </c>
      <c r="E6108" s="11">
        <v>3988.68</v>
      </c>
      <c r="F6108" s="3">
        <v>39052</v>
      </c>
      <c r="G6108" s="2"/>
      <c r="H6108" s="3">
        <v>43053</v>
      </c>
      <c r="I6108" s="2" t="s">
        <v>19506</v>
      </c>
      <c r="J6108" s="2" t="s">
        <v>13904</v>
      </c>
      <c r="K6108" s="2" t="s">
        <v>5657</v>
      </c>
      <c r="L6108" s="82" t="s">
        <v>19512</v>
      </c>
    </row>
    <row r="6109" spans="1:12" ht="84" customHeight="1" x14ac:dyDescent="0.3">
      <c r="A6109" s="2">
        <v>6105</v>
      </c>
      <c r="B6109" s="66" t="s">
        <v>7077</v>
      </c>
      <c r="C6109" s="66" t="s">
        <v>7078</v>
      </c>
      <c r="D6109" s="11">
        <v>11287.98</v>
      </c>
      <c r="E6109" s="11">
        <v>11287.98</v>
      </c>
      <c r="F6109" s="3">
        <v>39052</v>
      </c>
      <c r="G6109" s="2"/>
      <c r="H6109" s="3">
        <v>43053</v>
      </c>
      <c r="I6109" s="2" t="s">
        <v>19506</v>
      </c>
      <c r="J6109" s="2" t="s">
        <v>13904</v>
      </c>
      <c r="K6109" s="2" t="s">
        <v>5657</v>
      </c>
      <c r="L6109" s="82" t="s">
        <v>19512</v>
      </c>
    </row>
    <row r="6110" spans="1:12" ht="84" customHeight="1" x14ac:dyDescent="0.3">
      <c r="A6110" s="2">
        <v>6106</v>
      </c>
      <c r="B6110" s="66" t="s">
        <v>7079</v>
      </c>
      <c r="C6110" s="66" t="s">
        <v>7080</v>
      </c>
      <c r="D6110" s="11">
        <v>3500</v>
      </c>
      <c r="E6110" s="11">
        <v>3500</v>
      </c>
      <c r="F6110" s="3">
        <v>39694</v>
      </c>
      <c r="G6110" s="2"/>
      <c r="H6110" s="3">
        <v>43053</v>
      </c>
      <c r="I6110" s="2" t="s">
        <v>19506</v>
      </c>
      <c r="J6110" s="2" t="s">
        <v>13904</v>
      </c>
      <c r="K6110" s="2" t="s">
        <v>5657</v>
      </c>
      <c r="L6110" s="82" t="s">
        <v>19512</v>
      </c>
    </row>
    <row r="6111" spans="1:12" ht="84" customHeight="1" x14ac:dyDescent="0.3">
      <c r="A6111" s="2">
        <v>6107</v>
      </c>
      <c r="B6111" s="66" t="s">
        <v>7081</v>
      </c>
      <c r="C6111" s="66" t="s">
        <v>7082</v>
      </c>
      <c r="D6111" s="11">
        <v>4527.8</v>
      </c>
      <c r="E6111" s="11">
        <v>4527.8</v>
      </c>
      <c r="F6111" s="3">
        <v>39052</v>
      </c>
      <c r="G6111" s="2"/>
      <c r="H6111" s="3">
        <v>43053</v>
      </c>
      <c r="I6111" s="2" t="s">
        <v>19506</v>
      </c>
      <c r="J6111" s="2" t="s">
        <v>13904</v>
      </c>
      <c r="K6111" s="2" t="s">
        <v>5657</v>
      </c>
      <c r="L6111" s="82" t="s">
        <v>19512</v>
      </c>
    </row>
    <row r="6112" spans="1:12" ht="84" customHeight="1" x14ac:dyDescent="0.3">
      <c r="A6112" s="2">
        <v>6108</v>
      </c>
      <c r="B6112" s="66" t="s">
        <v>7083</v>
      </c>
      <c r="C6112" s="66" t="s">
        <v>7084</v>
      </c>
      <c r="D6112" s="11">
        <v>4527.8</v>
      </c>
      <c r="E6112" s="11">
        <v>4527.8</v>
      </c>
      <c r="F6112" s="3">
        <v>39052</v>
      </c>
      <c r="G6112" s="2"/>
      <c r="H6112" s="3">
        <v>43053</v>
      </c>
      <c r="I6112" s="2" t="s">
        <v>19506</v>
      </c>
      <c r="J6112" s="2" t="s">
        <v>13904</v>
      </c>
      <c r="K6112" s="2" t="s">
        <v>5657</v>
      </c>
      <c r="L6112" s="82" t="s">
        <v>19512</v>
      </c>
    </row>
    <row r="6113" spans="1:12" ht="84" customHeight="1" x14ac:dyDescent="0.3">
      <c r="A6113" s="2">
        <v>6109</v>
      </c>
      <c r="B6113" s="66" t="s">
        <v>7083</v>
      </c>
      <c r="C6113" s="66" t="s">
        <v>7085</v>
      </c>
      <c r="D6113" s="11">
        <v>4527.8</v>
      </c>
      <c r="E6113" s="11">
        <v>4527.8</v>
      </c>
      <c r="F6113" s="3">
        <v>39052</v>
      </c>
      <c r="G6113" s="2"/>
      <c r="H6113" s="3">
        <v>43053</v>
      </c>
      <c r="I6113" s="2" t="s">
        <v>19506</v>
      </c>
      <c r="J6113" s="2" t="s">
        <v>13904</v>
      </c>
      <c r="K6113" s="2" t="s">
        <v>5657</v>
      </c>
      <c r="L6113" s="82" t="s">
        <v>19512</v>
      </c>
    </row>
    <row r="6114" spans="1:12" ht="84" customHeight="1" x14ac:dyDescent="0.3">
      <c r="A6114" s="2">
        <v>6110</v>
      </c>
      <c r="B6114" s="66" t="s">
        <v>7083</v>
      </c>
      <c r="C6114" s="66" t="s">
        <v>7086</v>
      </c>
      <c r="D6114" s="11">
        <v>4527.8</v>
      </c>
      <c r="E6114" s="11">
        <v>4527.8</v>
      </c>
      <c r="F6114" s="3">
        <v>39052</v>
      </c>
      <c r="G6114" s="2"/>
      <c r="H6114" s="3">
        <v>43053</v>
      </c>
      <c r="I6114" s="2" t="s">
        <v>19506</v>
      </c>
      <c r="J6114" s="2" t="s">
        <v>13904</v>
      </c>
      <c r="K6114" s="2" t="s">
        <v>5657</v>
      </c>
      <c r="L6114" s="82" t="s">
        <v>19512</v>
      </c>
    </row>
    <row r="6115" spans="1:12" ht="84" customHeight="1" x14ac:dyDescent="0.3">
      <c r="A6115" s="2">
        <v>6111</v>
      </c>
      <c r="B6115" s="66" t="s">
        <v>7083</v>
      </c>
      <c r="C6115" s="66" t="s">
        <v>7087</v>
      </c>
      <c r="D6115" s="11">
        <v>4527.8</v>
      </c>
      <c r="E6115" s="11">
        <v>4527.8</v>
      </c>
      <c r="F6115" s="3">
        <v>39052</v>
      </c>
      <c r="G6115" s="2"/>
      <c r="H6115" s="3">
        <v>43053</v>
      </c>
      <c r="I6115" s="2" t="s">
        <v>19506</v>
      </c>
      <c r="J6115" s="2" t="s">
        <v>13904</v>
      </c>
      <c r="K6115" s="2" t="s">
        <v>5657</v>
      </c>
      <c r="L6115" s="82" t="s">
        <v>19512</v>
      </c>
    </row>
    <row r="6116" spans="1:12" ht="84" customHeight="1" x14ac:dyDescent="0.3">
      <c r="A6116" s="2">
        <v>6112</v>
      </c>
      <c r="B6116" s="66" t="s">
        <v>7083</v>
      </c>
      <c r="C6116" s="66" t="s">
        <v>7088</v>
      </c>
      <c r="D6116" s="11">
        <v>4527.8</v>
      </c>
      <c r="E6116" s="11">
        <v>4527.8</v>
      </c>
      <c r="F6116" s="3">
        <v>39052</v>
      </c>
      <c r="G6116" s="2"/>
      <c r="H6116" s="3">
        <v>43053</v>
      </c>
      <c r="I6116" s="2" t="s">
        <v>19506</v>
      </c>
      <c r="J6116" s="2" t="s">
        <v>13904</v>
      </c>
      <c r="K6116" s="2" t="s">
        <v>5657</v>
      </c>
      <c r="L6116" s="82" t="s">
        <v>19512</v>
      </c>
    </row>
    <row r="6117" spans="1:12" ht="84" customHeight="1" x14ac:dyDescent="0.3">
      <c r="A6117" s="2">
        <v>6113</v>
      </c>
      <c r="B6117" s="66" t="s">
        <v>7083</v>
      </c>
      <c r="C6117" s="66" t="s">
        <v>7089</v>
      </c>
      <c r="D6117" s="11">
        <v>4527.8</v>
      </c>
      <c r="E6117" s="11">
        <v>4527.8</v>
      </c>
      <c r="F6117" s="3">
        <v>39052</v>
      </c>
      <c r="G6117" s="2"/>
      <c r="H6117" s="3">
        <v>43053</v>
      </c>
      <c r="I6117" s="2" t="s">
        <v>19506</v>
      </c>
      <c r="J6117" s="2" t="s">
        <v>13904</v>
      </c>
      <c r="K6117" s="2" t="s">
        <v>5657</v>
      </c>
      <c r="L6117" s="82" t="s">
        <v>19512</v>
      </c>
    </row>
    <row r="6118" spans="1:12" ht="84" customHeight="1" x14ac:dyDescent="0.3">
      <c r="A6118" s="2">
        <v>6114</v>
      </c>
      <c r="B6118" s="66" t="s">
        <v>7083</v>
      </c>
      <c r="C6118" s="66" t="s">
        <v>7090</v>
      </c>
      <c r="D6118" s="11">
        <v>4527.8</v>
      </c>
      <c r="E6118" s="11">
        <v>4527.8</v>
      </c>
      <c r="F6118" s="3">
        <v>39052</v>
      </c>
      <c r="G6118" s="2"/>
      <c r="H6118" s="3">
        <v>43053</v>
      </c>
      <c r="I6118" s="2" t="s">
        <v>19506</v>
      </c>
      <c r="J6118" s="2" t="s">
        <v>13904</v>
      </c>
      <c r="K6118" s="2" t="s">
        <v>5657</v>
      </c>
      <c r="L6118" s="82" t="s">
        <v>19512</v>
      </c>
    </row>
    <row r="6119" spans="1:12" ht="84" customHeight="1" x14ac:dyDescent="0.3">
      <c r="A6119" s="2">
        <v>6115</v>
      </c>
      <c r="B6119" s="66" t="s">
        <v>7083</v>
      </c>
      <c r="C6119" s="66" t="s">
        <v>7091</v>
      </c>
      <c r="D6119" s="11">
        <v>4527.8</v>
      </c>
      <c r="E6119" s="11">
        <v>4527.8</v>
      </c>
      <c r="F6119" s="3">
        <v>39052</v>
      </c>
      <c r="G6119" s="2"/>
      <c r="H6119" s="3">
        <v>43053</v>
      </c>
      <c r="I6119" s="2" t="s">
        <v>19506</v>
      </c>
      <c r="J6119" s="2" t="s">
        <v>13904</v>
      </c>
      <c r="K6119" s="2" t="s">
        <v>5657</v>
      </c>
      <c r="L6119" s="82" t="s">
        <v>19512</v>
      </c>
    </row>
    <row r="6120" spans="1:12" ht="84" customHeight="1" x14ac:dyDescent="0.3">
      <c r="A6120" s="2">
        <v>6116</v>
      </c>
      <c r="B6120" s="66" t="s">
        <v>7092</v>
      </c>
      <c r="C6120" s="66" t="s">
        <v>7093</v>
      </c>
      <c r="D6120" s="11">
        <v>4527.8</v>
      </c>
      <c r="E6120" s="11">
        <v>4527.8</v>
      </c>
      <c r="F6120" s="3">
        <v>39052</v>
      </c>
      <c r="G6120" s="2"/>
      <c r="H6120" s="3">
        <v>43053</v>
      </c>
      <c r="I6120" s="2" t="s">
        <v>19506</v>
      </c>
      <c r="J6120" s="2" t="s">
        <v>13904</v>
      </c>
      <c r="K6120" s="2" t="s">
        <v>5657</v>
      </c>
      <c r="L6120" s="82" t="s">
        <v>19512</v>
      </c>
    </row>
    <row r="6121" spans="1:12" ht="84" customHeight="1" x14ac:dyDescent="0.3">
      <c r="A6121" s="2">
        <v>6117</v>
      </c>
      <c r="B6121" s="66" t="s">
        <v>7094</v>
      </c>
      <c r="C6121" s="66" t="s">
        <v>7095</v>
      </c>
      <c r="D6121" s="11">
        <v>11135.49</v>
      </c>
      <c r="E6121" s="11">
        <v>11135.49</v>
      </c>
      <c r="F6121" s="3">
        <v>39052</v>
      </c>
      <c r="G6121" s="2"/>
      <c r="H6121" s="3">
        <v>43053</v>
      </c>
      <c r="I6121" s="2" t="s">
        <v>19506</v>
      </c>
      <c r="J6121" s="2" t="s">
        <v>13904</v>
      </c>
      <c r="K6121" s="2" t="s">
        <v>5657</v>
      </c>
      <c r="L6121" s="82" t="s">
        <v>19512</v>
      </c>
    </row>
    <row r="6122" spans="1:12" ht="84" customHeight="1" x14ac:dyDescent="0.3">
      <c r="A6122" s="2">
        <v>6118</v>
      </c>
      <c r="B6122" s="66" t="s">
        <v>7096</v>
      </c>
      <c r="C6122" s="66" t="s">
        <v>7097</v>
      </c>
      <c r="D6122" s="11">
        <v>3854.4</v>
      </c>
      <c r="E6122" s="11">
        <v>3854.4</v>
      </c>
      <c r="F6122" s="3">
        <v>39052</v>
      </c>
      <c r="G6122" s="2"/>
      <c r="H6122" s="3">
        <v>43053</v>
      </c>
      <c r="I6122" s="2" t="s">
        <v>19506</v>
      </c>
      <c r="J6122" s="2" t="s">
        <v>13904</v>
      </c>
      <c r="K6122" s="2" t="s">
        <v>5657</v>
      </c>
      <c r="L6122" s="82" t="s">
        <v>19512</v>
      </c>
    </row>
    <row r="6123" spans="1:12" ht="84" customHeight="1" x14ac:dyDescent="0.3">
      <c r="A6123" s="2">
        <v>6119</v>
      </c>
      <c r="B6123" s="66" t="s">
        <v>7098</v>
      </c>
      <c r="C6123" s="66" t="s">
        <v>7099</v>
      </c>
      <c r="D6123" s="11">
        <v>7996.8</v>
      </c>
      <c r="E6123" s="11">
        <v>7996.8</v>
      </c>
      <c r="F6123" s="3">
        <v>39052</v>
      </c>
      <c r="G6123" s="2"/>
      <c r="H6123" s="3">
        <v>43053</v>
      </c>
      <c r="I6123" s="2" t="s">
        <v>19506</v>
      </c>
      <c r="J6123" s="2" t="s">
        <v>13904</v>
      </c>
      <c r="K6123" s="2" t="s">
        <v>5657</v>
      </c>
      <c r="L6123" s="82" t="s">
        <v>19512</v>
      </c>
    </row>
    <row r="6124" spans="1:12" ht="84" customHeight="1" x14ac:dyDescent="0.3">
      <c r="A6124" s="2">
        <v>6120</v>
      </c>
      <c r="B6124" s="66" t="s">
        <v>7098</v>
      </c>
      <c r="C6124" s="66" t="s">
        <v>7100</v>
      </c>
      <c r="D6124" s="11">
        <v>7996.8</v>
      </c>
      <c r="E6124" s="11">
        <v>7996.8</v>
      </c>
      <c r="F6124" s="3">
        <v>39052</v>
      </c>
      <c r="G6124" s="2"/>
      <c r="H6124" s="3">
        <v>43053</v>
      </c>
      <c r="I6124" s="2" t="s">
        <v>19506</v>
      </c>
      <c r="J6124" s="2" t="s">
        <v>13904</v>
      </c>
      <c r="K6124" s="2" t="s">
        <v>5657</v>
      </c>
      <c r="L6124" s="82" t="s">
        <v>19512</v>
      </c>
    </row>
    <row r="6125" spans="1:12" ht="84" customHeight="1" x14ac:dyDescent="0.3">
      <c r="A6125" s="2">
        <v>6121</v>
      </c>
      <c r="B6125" s="66" t="s">
        <v>7098</v>
      </c>
      <c r="C6125" s="66" t="s">
        <v>7101</v>
      </c>
      <c r="D6125" s="11">
        <v>7996.8</v>
      </c>
      <c r="E6125" s="11">
        <v>7996.8</v>
      </c>
      <c r="F6125" s="3">
        <v>39052</v>
      </c>
      <c r="G6125" s="2"/>
      <c r="H6125" s="3">
        <v>43053</v>
      </c>
      <c r="I6125" s="2" t="s">
        <v>19506</v>
      </c>
      <c r="J6125" s="2" t="s">
        <v>13904</v>
      </c>
      <c r="K6125" s="2" t="s">
        <v>5657</v>
      </c>
      <c r="L6125" s="82" t="s">
        <v>19512</v>
      </c>
    </row>
    <row r="6126" spans="1:12" ht="84" customHeight="1" x14ac:dyDescent="0.3">
      <c r="A6126" s="2">
        <v>6122</v>
      </c>
      <c r="B6126" s="66" t="s">
        <v>7098</v>
      </c>
      <c r="C6126" s="66" t="s">
        <v>7102</v>
      </c>
      <c r="D6126" s="11">
        <v>7996.8</v>
      </c>
      <c r="E6126" s="11">
        <v>7996.8</v>
      </c>
      <c r="F6126" s="3">
        <v>39052</v>
      </c>
      <c r="G6126" s="2"/>
      <c r="H6126" s="3">
        <v>43053</v>
      </c>
      <c r="I6126" s="2" t="s">
        <v>19506</v>
      </c>
      <c r="J6126" s="2" t="s">
        <v>13904</v>
      </c>
      <c r="K6126" s="2" t="s">
        <v>5657</v>
      </c>
      <c r="L6126" s="82" t="s">
        <v>19512</v>
      </c>
    </row>
    <row r="6127" spans="1:12" ht="84" customHeight="1" x14ac:dyDescent="0.3">
      <c r="A6127" s="2">
        <v>6123</v>
      </c>
      <c r="B6127" s="66" t="s">
        <v>7103</v>
      </c>
      <c r="C6127" s="66" t="s">
        <v>7104</v>
      </c>
      <c r="D6127" s="11">
        <v>6167.6</v>
      </c>
      <c r="E6127" s="11">
        <v>6167.6</v>
      </c>
      <c r="F6127" s="3">
        <v>39052</v>
      </c>
      <c r="G6127" s="2"/>
      <c r="H6127" s="3">
        <v>43053</v>
      </c>
      <c r="I6127" s="2" t="s">
        <v>19506</v>
      </c>
      <c r="J6127" s="2" t="s">
        <v>13904</v>
      </c>
      <c r="K6127" s="2" t="s">
        <v>5657</v>
      </c>
      <c r="L6127" s="82" t="s">
        <v>19512</v>
      </c>
    </row>
    <row r="6128" spans="1:12" ht="84" customHeight="1" x14ac:dyDescent="0.3">
      <c r="A6128" s="2">
        <v>6124</v>
      </c>
      <c r="B6128" s="66" t="s">
        <v>7105</v>
      </c>
      <c r="C6128" s="66" t="s">
        <v>7106</v>
      </c>
      <c r="D6128" s="11">
        <v>4488</v>
      </c>
      <c r="E6128" s="11">
        <v>4488</v>
      </c>
      <c r="F6128" s="3">
        <v>39052</v>
      </c>
      <c r="G6128" s="2"/>
      <c r="H6128" s="3">
        <v>43053</v>
      </c>
      <c r="I6128" s="2" t="s">
        <v>19506</v>
      </c>
      <c r="J6128" s="2" t="s">
        <v>13904</v>
      </c>
      <c r="K6128" s="2" t="s">
        <v>5657</v>
      </c>
      <c r="L6128" s="82" t="s">
        <v>19512</v>
      </c>
    </row>
    <row r="6129" spans="1:12" ht="84" customHeight="1" x14ac:dyDescent="0.3">
      <c r="A6129" s="2">
        <v>6125</v>
      </c>
      <c r="B6129" s="66" t="s">
        <v>7107</v>
      </c>
      <c r="C6129" s="66" t="s">
        <v>7108</v>
      </c>
      <c r="D6129" s="11">
        <v>4488</v>
      </c>
      <c r="E6129" s="11">
        <v>4488</v>
      </c>
      <c r="F6129" s="3">
        <v>39052</v>
      </c>
      <c r="G6129" s="2"/>
      <c r="H6129" s="3">
        <v>43053</v>
      </c>
      <c r="I6129" s="2" t="s">
        <v>19506</v>
      </c>
      <c r="J6129" s="2" t="s">
        <v>13904</v>
      </c>
      <c r="K6129" s="2" t="s">
        <v>5657</v>
      </c>
      <c r="L6129" s="82" t="s">
        <v>19512</v>
      </c>
    </row>
    <row r="6130" spans="1:12" ht="84" customHeight="1" x14ac:dyDescent="0.3">
      <c r="A6130" s="2">
        <v>6126</v>
      </c>
      <c r="B6130" s="66" t="s">
        <v>7109</v>
      </c>
      <c r="C6130" s="66" t="s">
        <v>7110</v>
      </c>
      <c r="D6130" s="11">
        <v>4488</v>
      </c>
      <c r="E6130" s="11">
        <v>4488</v>
      </c>
      <c r="F6130" s="3">
        <v>39052</v>
      </c>
      <c r="G6130" s="2"/>
      <c r="H6130" s="3">
        <v>43053</v>
      </c>
      <c r="I6130" s="2" t="s">
        <v>19506</v>
      </c>
      <c r="J6130" s="2" t="s">
        <v>13904</v>
      </c>
      <c r="K6130" s="2" t="s">
        <v>5657</v>
      </c>
      <c r="L6130" s="82" t="s">
        <v>19512</v>
      </c>
    </row>
    <row r="6131" spans="1:12" ht="84" customHeight="1" x14ac:dyDescent="0.3">
      <c r="A6131" s="2">
        <v>6127</v>
      </c>
      <c r="B6131" s="66" t="s">
        <v>7109</v>
      </c>
      <c r="C6131" s="66" t="s">
        <v>7111</v>
      </c>
      <c r="D6131" s="11">
        <v>4488</v>
      </c>
      <c r="E6131" s="11">
        <v>4488</v>
      </c>
      <c r="F6131" s="3">
        <v>39052</v>
      </c>
      <c r="G6131" s="2"/>
      <c r="H6131" s="3">
        <v>43053</v>
      </c>
      <c r="I6131" s="2" t="s">
        <v>19506</v>
      </c>
      <c r="J6131" s="2" t="s">
        <v>13904</v>
      </c>
      <c r="K6131" s="2" t="s">
        <v>5657</v>
      </c>
      <c r="L6131" s="82" t="s">
        <v>19512</v>
      </c>
    </row>
    <row r="6132" spans="1:12" ht="84" customHeight="1" x14ac:dyDescent="0.3">
      <c r="A6132" s="2">
        <v>6128</v>
      </c>
      <c r="B6132" s="66" t="s">
        <v>7107</v>
      </c>
      <c r="C6132" s="66" t="s">
        <v>7112</v>
      </c>
      <c r="D6132" s="11">
        <v>4488</v>
      </c>
      <c r="E6132" s="11">
        <v>4488</v>
      </c>
      <c r="F6132" s="3">
        <v>39052</v>
      </c>
      <c r="G6132" s="2"/>
      <c r="H6132" s="3">
        <v>43053</v>
      </c>
      <c r="I6132" s="2" t="s">
        <v>19506</v>
      </c>
      <c r="J6132" s="2" t="s">
        <v>13904</v>
      </c>
      <c r="K6132" s="2" t="s">
        <v>5657</v>
      </c>
      <c r="L6132" s="82" t="s">
        <v>19512</v>
      </c>
    </row>
    <row r="6133" spans="1:12" ht="84" customHeight="1" x14ac:dyDescent="0.3">
      <c r="A6133" s="2">
        <v>6129</v>
      </c>
      <c r="B6133" s="66" t="s">
        <v>7107</v>
      </c>
      <c r="C6133" s="66" t="s">
        <v>7113</v>
      </c>
      <c r="D6133" s="11">
        <v>4488</v>
      </c>
      <c r="E6133" s="11">
        <v>4488</v>
      </c>
      <c r="F6133" s="3">
        <v>39052</v>
      </c>
      <c r="G6133" s="2"/>
      <c r="H6133" s="3">
        <v>43053</v>
      </c>
      <c r="I6133" s="2" t="s">
        <v>19506</v>
      </c>
      <c r="J6133" s="2" t="s">
        <v>13904</v>
      </c>
      <c r="K6133" s="2" t="s">
        <v>5657</v>
      </c>
      <c r="L6133" s="82" t="s">
        <v>19512</v>
      </c>
    </row>
    <row r="6134" spans="1:12" ht="84" customHeight="1" x14ac:dyDescent="0.3">
      <c r="A6134" s="2">
        <v>6130</v>
      </c>
      <c r="B6134" s="66" t="s">
        <v>7107</v>
      </c>
      <c r="C6134" s="66" t="s">
        <v>7114</v>
      </c>
      <c r="D6134" s="11">
        <v>4488</v>
      </c>
      <c r="E6134" s="11">
        <v>4488</v>
      </c>
      <c r="F6134" s="3">
        <v>39052</v>
      </c>
      <c r="G6134" s="2"/>
      <c r="H6134" s="3">
        <v>43053</v>
      </c>
      <c r="I6134" s="2" t="s">
        <v>19506</v>
      </c>
      <c r="J6134" s="2" t="s">
        <v>13904</v>
      </c>
      <c r="K6134" s="2" t="s">
        <v>5657</v>
      </c>
      <c r="L6134" s="82" t="s">
        <v>19512</v>
      </c>
    </row>
    <row r="6135" spans="1:12" ht="84" customHeight="1" x14ac:dyDescent="0.3">
      <c r="A6135" s="2">
        <v>6131</v>
      </c>
      <c r="B6135" s="66" t="s">
        <v>7115</v>
      </c>
      <c r="C6135" s="66" t="s">
        <v>7116</v>
      </c>
      <c r="D6135" s="11">
        <v>4488</v>
      </c>
      <c r="E6135" s="11">
        <v>4488</v>
      </c>
      <c r="F6135" s="3">
        <v>39052</v>
      </c>
      <c r="G6135" s="2"/>
      <c r="H6135" s="3">
        <v>43053</v>
      </c>
      <c r="I6135" s="2" t="s">
        <v>19506</v>
      </c>
      <c r="J6135" s="2" t="s">
        <v>13904</v>
      </c>
      <c r="K6135" s="2" t="s">
        <v>5657</v>
      </c>
      <c r="L6135" s="82" t="s">
        <v>19512</v>
      </c>
    </row>
    <row r="6136" spans="1:12" ht="84" customHeight="1" x14ac:dyDescent="0.3">
      <c r="A6136" s="2">
        <v>6132</v>
      </c>
      <c r="B6136" s="66" t="s">
        <v>7109</v>
      </c>
      <c r="C6136" s="66" t="s">
        <v>7117</v>
      </c>
      <c r="D6136" s="11">
        <v>4488</v>
      </c>
      <c r="E6136" s="11">
        <v>4488</v>
      </c>
      <c r="F6136" s="3">
        <v>39052</v>
      </c>
      <c r="G6136" s="2"/>
      <c r="H6136" s="3">
        <v>43053</v>
      </c>
      <c r="I6136" s="2" t="s">
        <v>19506</v>
      </c>
      <c r="J6136" s="2" t="s">
        <v>13904</v>
      </c>
      <c r="K6136" s="2" t="s">
        <v>5657</v>
      </c>
      <c r="L6136" s="82" t="s">
        <v>19512</v>
      </c>
    </row>
    <row r="6137" spans="1:12" ht="84" customHeight="1" x14ac:dyDescent="0.3">
      <c r="A6137" s="2">
        <v>6133</v>
      </c>
      <c r="B6137" s="66" t="s">
        <v>7109</v>
      </c>
      <c r="C6137" s="66" t="s">
        <v>7118</v>
      </c>
      <c r="D6137" s="11">
        <v>4488</v>
      </c>
      <c r="E6137" s="11">
        <v>4488</v>
      </c>
      <c r="F6137" s="3">
        <v>39052</v>
      </c>
      <c r="G6137" s="2"/>
      <c r="H6137" s="3">
        <v>43053</v>
      </c>
      <c r="I6137" s="2" t="s">
        <v>19506</v>
      </c>
      <c r="J6137" s="2" t="s">
        <v>13904</v>
      </c>
      <c r="K6137" s="2" t="s">
        <v>5657</v>
      </c>
      <c r="L6137" s="82" t="s">
        <v>19512</v>
      </c>
    </row>
    <row r="6138" spans="1:12" ht="84" customHeight="1" x14ac:dyDescent="0.3">
      <c r="A6138" s="2">
        <v>6134</v>
      </c>
      <c r="B6138" s="66" t="s">
        <v>7119</v>
      </c>
      <c r="C6138" s="66" t="s">
        <v>7120</v>
      </c>
      <c r="D6138" s="11">
        <v>6167.6</v>
      </c>
      <c r="E6138" s="11">
        <v>6167.6</v>
      </c>
      <c r="F6138" s="3">
        <v>39052</v>
      </c>
      <c r="G6138" s="2"/>
      <c r="H6138" s="3">
        <v>43053</v>
      </c>
      <c r="I6138" s="2" t="s">
        <v>19506</v>
      </c>
      <c r="J6138" s="2" t="s">
        <v>13904</v>
      </c>
      <c r="K6138" s="2" t="s">
        <v>5657</v>
      </c>
      <c r="L6138" s="82" t="s">
        <v>19512</v>
      </c>
    </row>
    <row r="6139" spans="1:12" ht="84" customHeight="1" x14ac:dyDescent="0.3">
      <c r="A6139" s="2">
        <v>6135</v>
      </c>
      <c r="B6139" s="66" t="s">
        <v>7119</v>
      </c>
      <c r="C6139" s="66" t="s">
        <v>7121</v>
      </c>
      <c r="D6139" s="11">
        <v>6167.6</v>
      </c>
      <c r="E6139" s="11">
        <v>6167.6</v>
      </c>
      <c r="F6139" s="3">
        <v>39053</v>
      </c>
      <c r="G6139" s="2"/>
      <c r="H6139" s="3">
        <v>43053</v>
      </c>
      <c r="I6139" s="2" t="s">
        <v>19506</v>
      </c>
      <c r="J6139" s="2" t="s">
        <v>13904</v>
      </c>
      <c r="K6139" s="2" t="s">
        <v>5657</v>
      </c>
      <c r="L6139" s="82" t="s">
        <v>19512</v>
      </c>
    </row>
    <row r="6140" spans="1:12" ht="84" customHeight="1" x14ac:dyDescent="0.3">
      <c r="A6140" s="2">
        <v>6136</v>
      </c>
      <c r="B6140" s="66" t="s">
        <v>7119</v>
      </c>
      <c r="C6140" s="66" t="s">
        <v>7122</v>
      </c>
      <c r="D6140" s="11">
        <v>6167.6</v>
      </c>
      <c r="E6140" s="11">
        <v>6167.6</v>
      </c>
      <c r="F6140" s="3">
        <v>39052</v>
      </c>
      <c r="G6140" s="2"/>
      <c r="H6140" s="3">
        <v>43053</v>
      </c>
      <c r="I6140" s="2" t="s">
        <v>19506</v>
      </c>
      <c r="J6140" s="2" t="s">
        <v>13904</v>
      </c>
      <c r="K6140" s="2" t="s">
        <v>5657</v>
      </c>
      <c r="L6140" s="82" t="s">
        <v>19512</v>
      </c>
    </row>
    <row r="6141" spans="1:12" ht="84" customHeight="1" x14ac:dyDescent="0.3">
      <c r="A6141" s="2">
        <v>6137</v>
      </c>
      <c r="B6141" s="66" t="s">
        <v>7119</v>
      </c>
      <c r="C6141" s="66" t="s">
        <v>7123</v>
      </c>
      <c r="D6141" s="11">
        <v>6167.6</v>
      </c>
      <c r="E6141" s="11">
        <v>6167.6</v>
      </c>
      <c r="F6141" s="3">
        <v>39052</v>
      </c>
      <c r="G6141" s="2"/>
      <c r="H6141" s="3">
        <v>43053</v>
      </c>
      <c r="I6141" s="2" t="s">
        <v>19506</v>
      </c>
      <c r="J6141" s="2" t="s">
        <v>13904</v>
      </c>
      <c r="K6141" s="2" t="s">
        <v>5657</v>
      </c>
      <c r="L6141" s="82" t="s">
        <v>19512</v>
      </c>
    </row>
    <row r="6142" spans="1:12" ht="84" customHeight="1" x14ac:dyDescent="0.3">
      <c r="A6142" s="2">
        <v>6138</v>
      </c>
      <c r="B6142" s="66" t="s">
        <v>7119</v>
      </c>
      <c r="C6142" s="66" t="s">
        <v>7124</v>
      </c>
      <c r="D6142" s="11">
        <v>6167.6</v>
      </c>
      <c r="E6142" s="11">
        <v>6167.6</v>
      </c>
      <c r="F6142" s="3">
        <v>39052</v>
      </c>
      <c r="G6142" s="2"/>
      <c r="H6142" s="3">
        <v>43053</v>
      </c>
      <c r="I6142" s="2" t="s">
        <v>19506</v>
      </c>
      <c r="J6142" s="2" t="s">
        <v>13904</v>
      </c>
      <c r="K6142" s="2" t="s">
        <v>5657</v>
      </c>
      <c r="L6142" s="82" t="s">
        <v>19512</v>
      </c>
    </row>
    <row r="6143" spans="1:12" ht="84" customHeight="1" x14ac:dyDescent="0.3">
      <c r="A6143" s="2">
        <v>6139</v>
      </c>
      <c r="B6143" s="66" t="s">
        <v>7119</v>
      </c>
      <c r="C6143" s="66" t="s">
        <v>7125</v>
      </c>
      <c r="D6143" s="11">
        <v>6167.6</v>
      </c>
      <c r="E6143" s="11">
        <v>6167.6</v>
      </c>
      <c r="F6143" s="3">
        <v>39052</v>
      </c>
      <c r="G6143" s="2"/>
      <c r="H6143" s="3">
        <v>43053</v>
      </c>
      <c r="I6143" s="2" t="s">
        <v>19506</v>
      </c>
      <c r="J6143" s="2" t="s">
        <v>13904</v>
      </c>
      <c r="K6143" s="2" t="s">
        <v>5657</v>
      </c>
      <c r="L6143" s="82" t="s">
        <v>19512</v>
      </c>
    </row>
    <row r="6144" spans="1:12" ht="84" customHeight="1" x14ac:dyDescent="0.3">
      <c r="A6144" s="2">
        <v>6140</v>
      </c>
      <c r="B6144" s="66" t="s">
        <v>7119</v>
      </c>
      <c r="C6144" s="66" t="s">
        <v>7126</v>
      </c>
      <c r="D6144" s="11">
        <v>6167.6</v>
      </c>
      <c r="E6144" s="11">
        <v>6167.6</v>
      </c>
      <c r="F6144" s="3">
        <v>39052</v>
      </c>
      <c r="G6144" s="2"/>
      <c r="H6144" s="3">
        <v>43053</v>
      </c>
      <c r="I6144" s="2" t="s">
        <v>19506</v>
      </c>
      <c r="J6144" s="2" t="s">
        <v>13904</v>
      </c>
      <c r="K6144" s="2" t="s">
        <v>5657</v>
      </c>
      <c r="L6144" s="82" t="s">
        <v>19512</v>
      </c>
    </row>
    <row r="6145" spans="1:12" ht="84" customHeight="1" x14ac:dyDescent="0.3">
      <c r="A6145" s="2">
        <v>6141</v>
      </c>
      <c r="B6145" s="66" t="s">
        <v>7119</v>
      </c>
      <c r="C6145" s="66" t="s">
        <v>7127</v>
      </c>
      <c r="D6145" s="11">
        <v>6167.6</v>
      </c>
      <c r="E6145" s="11">
        <v>6167.6</v>
      </c>
      <c r="F6145" s="3">
        <v>39052</v>
      </c>
      <c r="G6145" s="2"/>
      <c r="H6145" s="3">
        <v>43053</v>
      </c>
      <c r="I6145" s="2" t="s">
        <v>19506</v>
      </c>
      <c r="J6145" s="2" t="s">
        <v>13904</v>
      </c>
      <c r="K6145" s="2" t="s">
        <v>5657</v>
      </c>
      <c r="L6145" s="82" t="s">
        <v>19512</v>
      </c>
    </row>
    <row r="6146" spans="1:12" ht="84" customHeight="1" x14ac:dyDescent="0.3">
      <c r="A6146" s="2">
        <v>6142</v>
      </c>
      <c r="B6146" s="66" t="s">
        <v>7119</v>
      </c>
      <c r="C6146" s="66" t="s">
        <v>7128</v>
      </c>
      <c r="D6146" s="11">
        <v>6167.6</v>
      </c>
      <c r="E6146" s="11">
        <v>6167.6</v>
      </c>
      <c r="F6146" s="3">
        <v>39052</v>
      </c>
      <c r="G6146" s="2"/>
      <c r="H6146" s="3">
        <v>43053</v>
      </c>
      <c r="I6146" s="2" t="s">
        <v>19506</v>
      </c>
      <c r="J6146" s="2" t="s">
        <v>13904</v>
      </c>
      <c r="K6146" s="2" t="s">
        <v>5657</v>
      </c>
      <c r="L6146" s="82" t="s">
        <v>19512</v>
      </c>
    </row>
    <row r="6147" spans="1:12" ht="84" customHeight="1" x14ac:dyDescent="0.3">
      <c r="A6147" s="2">
        <v>6143</v>
      </c>
      <c r="B6147" s="66" t="s">
        <v>7119</v>
      </c>
      <c r="C6147" s="66" t="s">
        <v>7129</v>
      </c>
      <c r="D6147" s="11">
        <v>6167.6</v>
      </c>
      <c r="E6147" s="11">
        <v>6167.6</v>
      </c>
      <c r="F6147" s="3">
        <v>39052</v>
      </c>
      <c r="G6147" s="2"/>
      <c r="H6147" s="3">
        <v>43053</v>
      </c>
      <c r="I6147" s="2" t="s">
        <v>19506</v>
      </c>
      <c r="J6147" s="2" t="s">
        <v>13904</v>
      </c>
      <c r="K6147" s="2" t="s">
        <v>5657</v>
      </c>
      <c r="L6147" s="82" t="s">
        <v>19512</v>
      </c>
    </row>
    <row r="6148" spans="1:12" ht="84" customHeight="1" x14ac:dyDescent="0.3">
      <c r="A6148" s="2">
        <v>6144</v>
      </c>
      <c r="B6148" s="66" t="s">
        <v>7119</v>
      </c>
      <c r="C6148" s="66" t="s">
        <v>7130</v>
      </c>
      <c r="D6148" s="11">
        <v>6167.6</v>
      </c>
      <c r="E6148" s="11">
        <v>6167.6</v>
      </c>
      <c r="F6148" s="3">
        <v>39052</v>
      </c>
      <c r="G6148" s="2"/>
      <c r="H6148" s="3">
        <v>43053</v>
      </c>
      <c r="I6148" s="2" t="s">
        <v>19506</v>
      </c>
      <c r="J6148" s="2" t="s">
        <v>13904</v>
      </c>
      <c r="K6148" s="2" t="s">
        <v>5657</v>
      </c>
      <c r="L6148" s="82" t="s">
        <v>19512</v>
      </c>
    </row>
    <row r="6149" spans="1:12" ht="84" customHeight="1" x14ac:dyDescent="0.3">
      <c r="A6149" s="2">
        <v>6145</v>
      </c>
      <c r="B6149" s="66" t="s">
        <v>7119</v>
      </c>
      <c r="C6149" s="66" t="s">
        <v>7131</v>
      </c>
      <c r="D6149" s="11">
        <v>6167.6</v>
      </c>
      <c r="E6149" s="11">
        <v>6167.6</v>
      </c>
      <c r="F6149" s="3">
        <v>39052</v>
      </c>
      <c r="G6149" s="2"/>
      <c r="H6149" s="3">
        <v>43053</v>
      </c>
      <c r="I6149" s="2" t="s">
        <v>19506</v>
      </c>
      <c r="J6149" s="2" t="s">
        <v>13904</v>
      </c>
      <c r="K6149" s="2" t="s">
        <v>5657</v>
      </c>
      <c r="L6149" s="82" t="s">
        <v>19512</v>
      </c>
    </row>
    <row r="6150" spans="1:12" ht="84" customHeight="1" x14ac:dyDescent="0.3">
      <c r="A6150" s="2">
        <v>6146</v>
      </c>
      <c r="B6150" s="66" t="s">
        <v>7119</v>
      </c>
      <c r="C6150" s="66" t="s">
        <v>7132</v>
      </c>
      <c r="D6150" s="11">
        <v>6167.6</v>
      </c>
      <c r="E6150" s="11">
        <v>6167.6</v>
      </c>
      <c r="F6150" s="3">
        <v>39052</v>
      </c>
      <c r="G6150" s="2"/>
      <c r="H6150" s="3">
        <v>43053</v>
      </c>
      <c r="I6150" s="2" t="s">
        <v>19506</v>
      </c>
      <c r="J6150" s="2" t="s">
        <v>13904</v>
      </c>
      <c r="K6150" s="2" t="s">
        <v>5657</v>
      </c>
      <c r="L6150" s="82" t="s">
        <v>19512</v>
      </c>
    </row>
    <row r="6151" spans="1:12" ht="84" customHeight="1" x14ac:dyDescent="0.3">
      <c r="A6151" s="2">
        <v>6147</v>
      </c>
      <c r="B6151" s="66" t="s">
        <v>7119</v>
      </c>
      <c r="C6151" s="66" t="s">
        <v>7133</v>
      </c>
      <c r="D6151" s="11">
        <v>6167.6</v>
      </c>
      <c r="E6151" s="11">
        <v>6167.6</v>
      </c>
      <c r="F6151" s="3">
        <v>39052</v>
      </c>
      <c r="G6151" s="2"/>
      <c r="H6151" s="3">
        <v>43053</v>
      </c>
      <c r="I6151" s="2" t="s">
        <v>19506</v>
      </c>
      <c r="J6151" s="2" t="s">
        <v>13904</v>
      </c>
      <c r="K6151" s="2" t="s">
        <v>5657</v>
      </c>
      <c r="L6151" s="82" t="s">
        <v>19512</v>
      </c>
    </row>
    <row r="6152" spans="1:12" ht="84" customHeight="1" x14ac:dyDescent="0.3">
      <c r="A6152" s="2">
        <v>6148</v>
      </c>
      <c r="B6152" s="66" t="s">
        <v>7119</v>
      </c>
      <c r="C6152" s="66" t="s">
        <v>7134</v>
      </c>
      <c r="D6152" s="11">
        <v>6167.6</v>
      </c>
      <c r="E6152" s="11">
        <v>6167.6</v>
      </c>
      <c r="F6152" s="3">
        <v>39052</v>
      </c>
      <c r="G6152" s="2"/>
      <c r="H6152" s="3">
        <v>43053</v>
      </c>
      <c r="I6152" s="2" t="s">
        <v>19506</v>
      </c>
      <c r="J6152" s="2" t="s">
        <v>13904</v>
      </c>
      <c r="K6152" s="2" t="s">
        <v>5657</v>
      </c>
      <c r="L6152" s="82" t="s">
        <v>19512</v>
      </c>
    </row>
    <row r="6153" spans="1:12" ht="84" customHeight="1" x14ac:dyDescent="0.3">
      <c r="A6153" s="2">
        <v>6149</v>
      </c>
      <c r="B6153" s="66" t="s">
        <v>7119</v>
      </c>
      <c r="C6153" s="66" t="s">
        <v>7135</v>
      </c>
      <c r="D6153" s="11">
        <v>6167.7</v>
      </c>
      <c r="E6153" s="11">
        <v>6167.7</v>
      </c>
      <c r="F6153" s="3">
        <v>39052</v>
      </c>
      <c r="G6153" s="2"/>
      <c r="H6153" s="3">
        <v>43053</v>
      </c>
      <c r="I6153" s="2" t="s">
        <v>19506</v>
      </c>
      <c r="J6153" s="2" t="s">
        <v>13904</v>
      </c>
      <c r="K6153" s="2" t="s">
        <v>5657</v>
      </c>
      <c r="L6153" s="82" t="s">
        <v>19512</v>
      </c>
    </row>
    <row r="6154" spans="1:12" ht="84" customHeight="1" x14ac:dyDescent="0.3">
      <c r="A6154" s="2">
        <v>6150</v>
      </c>
      <c r="B6154" s="66" t="s">
        <v>7119</v>
      </c>
      <c r="C6154" s="66" t="s">
        <v>7136</v>
      </c>
      <c r="D6154" s="11">
        <v>6167.7</v>
      </c>
      <c r="E6154" s="11">
        <v>6167.7</v>
      </c>
      <c r="F6154" s="3">
        <v>39052</v>
      </c>
      <c r="G6154" s="2"/>
      <c r="H6154" s="3">
        <v>43053</v>
      </c>
      <c r="I6154" s="2" t="s">
        <v>19506</v>
      </c>
      <c r="J6154" s="2" t="s">
        <v>13904</v>
      </c>
      <c r="K6154" s="2" t="s">
        <v>5657</v>
      </c>
      <c r="L6154" s="82" t="s">
        <v>19512</v>
      </c>
    </row>
    <row r="6155" spans="1:12" ht="84" customHeight="1" x14ac:dyDescent="0.3">
      <c r="A6155" s="2">
        <v>6151</v>
      </c>
      <c r="B6155" s="66" t="s">
        <v>7119</v>
      </c>
      <c r="C6155" s="66" t="s">
        <v>7137</v>
      </c>
      <c r="D6155" s="11">
        <v>6167.7</v>
      </c>
      <c r="E6155" s="11">
        <v>6167.7</v>
      </c>
      <c r="F6155" s="3">
        <v>39052</v>
      </c>
      <c r="G6155" s="2"/>
      <c r="H6155" s="3">
        <v>43053</v>
      </c>
      <c r="I6155" s="2" t="s">
        <v>19506</v>
      </c>
      <c r="J6155" s="2" t="s">
        <v>13904</v>
      </c>
      <c r="K6155" s="2" t="s">
        <v>5657</v>
      </c>
      <c r="L6155" s="82" t="s">
        <v>19512</v>
      </c>
    </row>
    <row r="6156" spans="1:12" ht="84" customHeight="1" x14ac:dyDescent="0.3">
      <c r="A6156" s="2">
        <v>6152</v>
      </c>
      <c r="B6156" s="66" t="s">
        <v>7138</v>
      </c>
      <c r="C6156" s="66" t="s">
        <v>7139</v>
      </c>
      <c r="D6156" s="11">
        <v>6167.6</v>
      </c>
      <c r="E6156" s="11">
        <v>6167.6</v>
      </c>
      <c r="F6156" s="3">
        <v>39052</v>
      </c>
      <c r="G6156" s="2"/>
      <c r="H6156" s="3">
        <v>43053</v>
      </c>
      <c r="I6156" s="2" t="s">
        <v>19506</v>
      </c>
      <c r="J6156" s="2" t="s">
        <v>13904</v>
      </c>
      <c r="K6156" s="2" t="s">
        <v>5657</v>
      </c>
      <c r="L6156" s="82" t="s">
        <v>19512</v>
      </c>
    </row>
    <row r="6157" spans="1:12" ht="84" customHeight="1" x14ac:dyDescent="0.3">
      <c r="A6157" s="2">
        <v>6153</v>
      </c>
      <c r="B6157" s="66" t="s">
        <v>7140</v>
      </c>
      <c r="C6157" s="66" t="s">
        <v>7141</v>
      </c>
      <c r="D6157" s="11">
        <v>19420.8</v>
      </c>
      <c r="E6157" s="11">
        <v>19420.8</v>
      </c>
      <c r="F6157" s="3">
        <v>39052</v>
      </c>
      <c r="G6157" s="2"/>
      <c r="H6157" s="3">
        <v>43053</v>
      </c>
      <c r="I6157" s="2" t="s">
        <v>19506</v>
      </c>
      <c r="J6157" s="2" t="s">
        <v>13904</v>
      </c>
      <c r="K6157" s="2" t="s">
        <v>5657</v>
      </c>
      <c r="L6157" s="82" t="s">
        <v>19512</v>
      </c>
    </row>
    <row r="6158" spans="1:12" ht="84" customHeight="1" x14ac:dyDescent="0.3">
      <c r="A6158" s="2">
        <v>6154</v>
      </c>
      <c r="B6158" s="66" t="s">
        <v>7140</v>
      </c>
      <c r="C6158" s="66" t="s">
        <v>7142</v>
      </c>
      <c r="D6158" s="11">
        <v>19420.8</v>
      </c>
      <c r="E6158" s="11">
        <v>19420.8</v>
      </c>
      <c r="F6158" s="3">
        <v>39052</v>
      </c>
      <c r="G6158" s="2"/>
      <c r="H6158" s="3">
        <v>43053</v>
      </c>
      <c r="I6158" s="2" t="s">
        <v>19506</v>
      </c>
      <c r="J6158" s="2" t="s">
        <v>13904</v>
      </c>
      <c r="K6158" s="2" t="s">
        <v>5657</v>
      </c>
      <c r="L6158" s="82" t="s">
        <v>19512</v>
      </c>
    </row>
    <row r="6159" spans="1:12" ht="84" customHeight="1" x14ac:dyDescent="0.3">
      <c r="A6159" s="2">
        <v>6155</v>
      </c>
      <c r="B6159" s="66" t="s">
        <v>7140</v>
      </c>
      <c r="C6159" s="66" t="s">
        <v>7143</v>
      </c>
      <c r="D6159" s="11">
        <v>19420.8</v>
      </c>
      <c r="E6159" s="11">
        <v>19420.8</v>
      </c>
      <c r="F6159" s="3">
        <v>39052</v>
      </c>
      <c r="G6159" s="2"/>
      <c r="H6159" s="3">
        <v>43053</v>
      </c>
      <c r="I6159" s="2" t="s">
        <v>19506</v>
      </c>
      <c r="J6159" s="2" t="s">
        <v>13904</v>
      </c>
      <c r="K6159" s="2" t="s">
        <v>5657</v>
      </c>
      <c r="L6159" s="82" t="s">
        <v>19512</v>
      </c>
    </row>
    <row r="6160" spans="1:12" ht="84" customHeight="1" x14ac:dyDescent="0.3">
      <c r="A6160" s="2">
        <v>6156</v>
      </c>
      <c r="B6160" s="66" t="s">
        <v>7140</v>
      </c>
      <c r="C6160" s="66" t="s">
        <v>7144</v>
      </c>
      <c r="D6160" s="11">
        <v>19420.8</v>
      </c>
      <c r="E6160" s="11">
        <v>19420.8</v>
      </c>
      <c r="F6160" s="3">
        <v>39052</v>
      </c>
      <c r="G6160" s="2"/>
      <c r="H6160" s="3">
        <v>43053</v>
      </c>
      <c r="I6160" s="2" t="s">
        <v>19506</v>
      </c>
      <c r="J6160" s="2" t="s">
        <v>13904</v>
      </c>
      <c r="K6160" s="2" t="s">
        <v>5657</v>
      </c>
      <c r="L6160" s="82" t="s">
        <v>19512</v>
      </c>
    </row>
    <row r="6161" spans="1:12" ht="84" customHeight="1" x14ac:dyDescent="0.3">
      <c r="A6161" s="2">
        <v>6157</v>
      </c>
      <c r="B6161" s="66" t="s">
        <v>7145</v>
      </c>
      <c r="C6161" s="66" t="s">
        <v>7146</v>
      </c>
      <c r="D6161" s="11">
        <v>4879.49</v>
      </c>
      <c r="E6161" s="11">
        <v>4879.49</v>
      </c>
      <c r="F6161" s="3">
        <v>39065</v>
      </c>
      <c r="G6161" s="2"/>
      <c r="H6161" s="3">
        <v>43053</v>
      </c>
      <c r="I6161" s="2" t="s">
        <v>19506</v>
      </c>
      <c r="J6161" s="2" t="s">
        <v>13904</v>
      </c>
      <c r="K6161" s="2" t="s">
        <v>5657</v>
      </c>
      <c r="L6161" s="82" t="s">
        <v>19512</v>
      </c>
    </row>
    <row r="6162" spans="1:12" ht="84" customHeight="1" x14ac:dyDescent="0.3">
      <c r="A6162" s="2">
        <v>6158</v>
      </c>
      <c r="B6162" s="66" t="s">
        <v>7147</v>
      </c>
      <c r="C6162" s="66" t="s">
        <v>7148</v>
      </c>
      <c r="D6162" s="11">
        <v>9881.3799999999992</v>
      </c>
      <c r="E6162" s="11">
        <v>9881.3799999999992</v>
      </c>
      <c r="F6162" s="3">
        <v>39052</v>
      </c>
      <c r="G6162" s="2"/>
      <c r="H6162" s="3">
        <v>43053</v>
      </c>
      <c r="I6162" s="2" t="s">
        <v>19506</v>
      </c>
      <c r="J6162" s="2" t="s">
        <v>13904</v>
      </c>
      <c r="K6162" s="2" t="s">
        <v>5657</v>
      </c>
      <c r="L6162" s="82" t="s">
        <v>19512</v>
      </c>
    </row>
    <row r="6163" spans="1:12" ht="84" customHeight="1" x14ac:dyDescent="0.3">
      <c r="A6163" s="2">
        <v>6159</v>
      </c>
      <c r="B6163" s="66" t="s">
        <v>7149</v>
      </c>
      <c r="C6163" s="66" t="s">
        <v>7150</v>
      </c>
      <c r="D6163" s="11">
        <v>9881.3799999999992</v>
      </c>
      <c r="E6163" s="11">
        <v>9881.3799999999992</v>
      </c>
      <c r="F6163" s="3">
        <v>39052</v>
      </c>
      <c r="G6163" s="2"/>
      <c r="H6163" s="3">
        <v>43053</v>
      </c>
      <c r="I6163" s="2" t="s">
        <v>19506</v>
      </c>
      <c r="J6163" s="2" t="s">
        <v>13904</v>
      </c>
      <c r="K6163" s="2" t="s">
        <v>5657</v>
      </c>
      <c r="L6163" s="82" t="s">
        <v>19512</v>
      </c>
    </row>
    <row r="6164" spans="1:12" ht="84" customHeight="1" x14ac:dyDescent="0.3">
      <c r="A6164" s="2">
        <v>6160</v>
      </c>
      <c r="B6164" s="66" t="s">
        <v>253</v>
      </c>
      <c r="C6164" s="66" t="s">
        <v>7151</v>
      </c>
      <c r="D6164" s="11">
        <v>7882.17</v>
      </c>
      <c r="E6164" s="11">
        <v>7882.17</v>
      </c>
      <c r="F6164" s="3">
        <v>39065</v>
      </c>
      <c r="G6164" s="2"/>
      <c r="H6164" s="3">
        <v>43053</v>
      </c>
      <c r="I6164" s="2" t="s">
        <v>19506</v>
      </c>
      <c r="J6164" s="2" t="s">
        <v>13904</v>
      </c>
      <c r="K6164" s="2" t="s">
        <v>5657</v>
      </c>
      <c r="L6164" s="82" t="s">
        <v>19512</v>
      </c>
    </row>
    <row r="6165" spans="1:12" ht="84" customHeight="1" x14ac:dyDescent="0.3">
      <c r="A6165" s="2">
        <v>6161</v>
      </c>
      <c r="B6165" s="66" t="s">
        <v>7152</v>
      </c>
      <c r="C6165" s="66" t="s">
        <v>7153</v>
      </c>
      <c r="D6165" s="11">
        <v>8833.2000000000007</v>
      </c>
      <c r="E6165" s="11">
        <v>8833.2000000000007</v>
      </c>
      <c r="F6165" s="3">
        <v>39065</v>
      </c>
      <c r="G6165" s="2"/>
      <c r="H6165" s="3">
        <v>43053</v>
      </c>
      <c r="I6165" s="2" t="s">
        <v>19506</v>
      </c>
      <c r="J6165" s="2" t="s">
        <v>13904</v>
      </c>
      <c r="K6165" s="2" t="s">
        <v>5657</v>
      </c>
      <c r="L6165" s="82" t="s">
        <v>19512</v>
      </c>
    </row>
    <row r="6166" spans="1:12" ht="84" customHeight="1" x14ac:dyDescent="0.3">
      <c r="A6166" s="2">
        <v>6162</v>
      </c>
      <c r="B6166" s="66" t="s">
        <v>7154</v>
      </c>
      <c r="C6166" s="66" t="s">
        <v>7155</v>
      </c>
      <c r="D6166" s="11">
        <v>9207.5</v>
      </c>
      <c r="E6166" s="11">
        <v>9207.5</v>
      </c>
      <c r="F6166" s="3">
        <v>39052</v>
      </c>
      <c r="G6166" s="2"/>
      <c r="H6166" s="3">
        <v>43053</v>
      </c>
      <c r="I6166" s="2" t="s">
        <v>19506</v>
      </c>
      <c r="J6166" s="2" t="s">
        <v>13904</v>
      </c>
      <c r="K6166" s="2" t="s">
        <v>5657</v>
      </c>
      <c r="L6166" s="82" t="s">
        <v>19512</v>
      </c>
    </row>
    <row r="6167" spans="1:12" ht="84" customHeight="1" x14ac:dyDescent="0.3">
      <c r="A6167" s="2">
        <v>6163</v>
      </c>
      <c r="B6167" s="66" t="s">
        <v>7156</v>
      </c>
      <c r="C6167" s="66" t="s">
        <v>7157</v>
      </c>
      <c r="D6167" s="11">
        <v>5922.5</v>
      </c>
      <c r="E6167" s="11">
        <v>5922.5</v>
      </c>
      <c r="F6167" s="3">
        <v>39052</v>
      </c>
      <c r="G6167" s="2"/>
      <c r="H6167" s="3">
        <v>43053</v>
      </c>
      <c r="I6167" s="2" t="s">
        <v>19506</v>
      </c>
      <c r="J6167" s="2" t="s">
        <v>13904</v>
      </c>
      <c r="K6167" s="2" t="s">
        <v>5657</v>
      </c>
      <c r="L6167" s="82" t="s">
        <v>19512</v>
      </c>
    </row>
    <row r="6168" spans="1:12" ht="84" customHeight="1" x14ac:dyDescent="0.3">
      <c r="A6168" s="2">
        <v>6164</v>
      </c>
      <c r="B6168" s="66" t="s">
        <v>7156</v>
      </c>
      <c r="C6168" s="66" t="s">
        <v>7158</v>
      </c>
      <c r="D6168" s="11">
        <v>5922.5</v>
      </c>
      <c r="E6168" s="11">
        <v>5922.5</v>
      </c>
      <c r="F6168" s="3">
        <v>39052</v>
      </c>
      <c r="G6168" s="2"/>
      <c r="H6168" s="3">
        <v>43053</v>
      </c>
      <c r="I6168" s="2" t="s">
        <v>19506</v>
      </c>
      <c r="J6168" s="2" t="s">
        <v>13904</v>
      </c>
      <c r="K6168" s="2" t="s">
        <v>5657</v>
      </c>
      <c r="L6168" s="82" t="s">
        <v>19512</v>
      </c>
    </row>
    <row r="6169" spans="1:12" ht="84" customHeight="1" x14ac:dyDescent="0.3">
      <c r="A6169" s="2">
        <v>6165</v>
      </c>
      <c r="B6169" s="66" t="s">
        <v>7159</v>
      </c>
      <c r="C6169" s="66" t="s">
        <v>7160</v>
      </c>
      <c r="D6169" s="11">
        <v>5922.5</v>
      </c>
      <c r="E6169" s="11">
        <v>5922.5</v>
      </c>
      <c r="F6169" s="3">
        <v>39052</v>
      </c>
      <c r="G6169" s="2"/>
      <c r="H6169" s="3">
        <v>43053</v>
      </c>
      <c r="I6169" s="2" t="s">
        <v>19506</v>
      </c>
      <c r="J6169" s="2" t="s">
        <v>13904</v>
      </c>
      <c r="K6169" s="2" t="s">
        <v>5657</v>
      </c>
      <c r="L6169" s="82" t="s">
        <v>19512</v>
      </c>
    </row>
    <row r="6170" spans="1:12" ht="84" customHeight="1" x14ac:dyDescent="0.3">
      <c r="A6170" s="2">
        <v>6166</v>
      </c>
      <c r="B6170" s="66" t="s">
        <v>7159</v>
      </c>
      <c r="C6170" s="66" t="s">
        <v>7161</v>
      </c>
      <c r="D6170" s="11">
        <v>5922.5</v>
      </c>
      <c r="E6170" s="11">
        <v>5922.5</v>
      </c>
      <c r="F6170" s="3">
        <v>39052</v>
      </c>
      <c r="G6170" s="2"/>
      <c r="H6170" s="3">
        <v>43053</v>
      </c>
      <c r="I6170" s="2" t="s">
        <v>19506</v>
      </c>
      <c r="J6170" s="2" t="s">
        <v>13904</v>
      </c>
      <c r="K6170" s="2" t="s">
        <v>5657</v>
      </c>
      <c r="L6170" s="82" t="s">
        <v>19512</v>
      </c>
    </row>
    <row r="6171" spans="1:12" ht="84" customHeight="1" x14ac:dyDescent="0.3">
      <c r="A6171" s="2">
        <v>6167</v>
      </c>
      <c r="B6171" s="66" t="s">
        <v>7162</v>
      </c>
      <c r="C6171" s="66" t="s">
        <v>7163</v>
      </c>
      <c r="D6171" s="11">
        <v>9207.5</v>
      </c>
      <c r="E6171" s="11">
        <v>9207.5</v>
      </c>
      <c r="F6171" s="3">
        <v>39052</v>
      </c>
      <c r="G6171" s="2"/>
      <c r="H6171" s="3">
        <v>43053</v>
      </c>
      <c r="I6171" s="2" t="s">
        <v>19506</v>
      </c>
      <c r="J6171" s="2" t="s">
        <v>13904</v>
      </c>
      <c r="K6171" s="2" t="s">
        <v>5657</v>
      </c>
      <c r="L6171" s="82" t="s">
        <v>19512</v>
      </c>
    </row>
    <row r="6172" spans="1:12" ht="84" customHeight="1" x14ac:dyDescent="0.3">
      <c r="A6172" s="2">
        <v>6168</v>
      </c>
      <c r="B6172" s="66" t="s">
        <v>7164</v>
      </c>
      <c r="C6172" s="66" t="s">
        <v>7165</v>
      </c>
      <c r="D6172" s="11">
        <v>16650.2</v>
      </c>
      <c r="E6172" s="11">
        <v>16650.2</v>
      </c>
      <c r="F6172" s="3">
        <v>39052</v>
      </c>
      <c r="G6172" s="2"/>
      <c r="H6172" s="3">
        <v>43053</v>
      </c>
      <c r="I6172" s="2" t="s">
        <v>19506</v>
      </c>
      <c r="J6172" s="2" t="s">
        <v>13904</v>
      </c>
      <c r="K6172" s="2" t="s">
        <v>5657</v>
      </c>
      <c r="L6172" s="82" t="s">
        <v>19512</v>
      </c>
    </row>
    <row r="6173" spans="1:12" ht="84" customHeight="1" x14ac:dyDescent="0.3">
      <c r="A6173" s="2">
        <v>6169</v>
      </c>
      <c r="B6173" s="66" t="s">
        <v>7166</v>
      </c>
      <c r="C6173" s="66" t="s">
        <v>7167</v>
      </c>
      <c r="D6173" s="11">
        <v>41529.599999999999</v>
      </c>
      <c r="E6173" s="11">
        <v>41529.599999999999</v>
      </c>
      <c r="F6173" s="3">
        <v>39052</v>
      </c>
      <c r="G6173" s="2"/>
      <c r="H6173" s="3">
        <v>43053</v>
      </c>
      <c r="I6173" s="2" t="s">
        <v>19506</v>
      </c>
      <c r="J6173" s="2" t="s">
        <v>13904</v>
      </c>
      <c r="K6173" s="2" t="s">
        <v>5657</v>
      </c>
      <c r="L6173" s="82" t="s">
        <v>19512</v>
      </c>
    </row>
    <row r="6174" spans="1:12" ht="84" customHeight="1" x14ac:dyDescent="0.3">
      <c r="A6174" s="2">
        <v>6170</v>
      </c>
      <c r="B6174" s="66" t="s">
        <v>7107</v>
      </c>
      <c r="C6174" s="66" t="s">
        <v>7168</v>
      </c>
      <c r="D6174" s="11">
        <v>4488</v>
      </c>
      <c r="E6174" s="11">
        <v>4488</v>
      </c>
      <c r="F6174" s="3">
        <v>39052</v>
      </c>
      <c r="G6174" s="2"/>
      <c r="H6174" s="3">
        <v>43053</v>
      </c>
      <c r="I6174" s="2" t="s">
        <v>19506</v>
      </c>
      <c r="J6174" s="2" t="s">
        <v>13904</v>
      </c>
      <c r="K6174" s="2" t="s">
        <v>5657</v>
      </c>
      <c r="L6174" s="82" t="s">
        <v>19512</v>
      </c>
    </row>
    <row r="6175" spans="1:12" ht="84" customHeight="1" x14ac:dyDescent="0.3">
      <c r="A6175" s="2">
        <v>6171</v>
      </c>
      <c r="B6175" s="66" t="s">
        <v>7115</v>
      </c>
      <c r="C6175" s="66" t="s">
        <v>7169</v>
      </c>
      <c r="D6175" s="11">
        <v>4488</v>
      </c>
      <c r="E6175" s="11">
        <v>4488</v>
      </c>
      <c r="F6175" s="3">
        <v>39052</v>
      </c>
      <c r="G6175" s="2"/>
      <c r="H6175" s="3">
        <v>43053</v>
      </c>
      <c r="I6175" s="2" t="s">
        <v>19506</v>
      </c>
      <c r="J6175" s="2" t="s">
        <v>13904</v>
      </c>
      <c r="K6175" s="2" t="s">
        <v>5657</v>
      </c>
      <c r="L6175" s="82" t="s">
        <v>19512</v>
      </c>
    </row>
    <row r="6176" spans="1:12" ht="84" customHeight="1" x14ac:dyDescent="0.3">
      <c r="A6176" s="2">
        <v>6172</v>
      </c>
      <c r="B6176" s="66" t="s">
        <v>7109</v>
      </c>
      <c r="C6176" s="66" t="s">
        <v>7170</v>
      </c>
      <c r="D6176" s="11">
        <v>4488</v>
      </c>
      <c r="E6176" s="11">
        <v>4488</v>
      </c>
      <c r="F6176" s="3">
        <v>39052</v>
      </c>
      <c r="G6176" s="2"/>
      <c r="H6176" s="3">
        <v>43053</v>
      </c>
      <c r="I6176" s="2" t="s">
        <v>19506</v>
      </c>
      <c r="J6176" s="2" t="s">
        <v>13904</v>
      </c>
      <c r="K6176" s="2" t="s">
        <v>5657</v>
      </c>
      <c r="L6176" s="82" t="s">
        <v>19512</v>
      </c>
    </row>
    <row r="6177" spans="1:12" ht="84" customHeight="1" x14ac:dyDescent="0.3">
      <c r="A6177" s="2">
        <v>6173</v>
      </c>
      <c r="B6177" s="66" t="s">
        <v>7109</v>
      </c>
      <c r="C6177" s="66" t="s">
        <v>7171</v>
      </c>
      <c r="D6177" s="11">
        <v>4488</v>
      </c>
      <c r="E6177" s="11">
        <v>4488</v>
      </c>
      <c r="F6177" s="3">
        <v>39052</v>
      </c>
      <c r="G6177" s="2"/>
      <c r="H6177" s="3">
        <v>43053</v>
      </c>
      <c r="I6177" s="2" t="s">
        <v>19506</v>
      </c>
      <c r="J6177" s="2" t="s">
        <v>13904</v>
      </c>
      <c r="K6177" s="2" t="s">
        <v>5657</v>
      </c>
      <c r="L6177" s="82" t="s">
        <v>19512</v>
      </c>
    </row>
    <row r="6178" spans="1:12" ht="84" customHeight="1" x14ac:dyDescent="0.3">
      <c r="A6178" s="2">
        <v>6174</v>
      </c>
      <c r="B6178" s="66" t="s">
        <v>7109</v>
      </c>
      <c r="C6178" s="66" t="s">
        <v>7172</v>
      </c>
      <c r="D6178" s="11">
        <v>4488</v>
      </c>
      <c r="E6178" s="11">
        <v>4488</v>
      </c>
      <c r="F6178" s="3">
        <v>39052</v>
      </c>
      <c r="G6178" s="2"/>
      <c r="H6178" s="3">
        <v>43053</v>
      </c>
      <c r="I6178" s="2" t="s">
        <v>19506</v>
      </c>
      <c r="J6178" s="2" t="s">
        <v>13904</v>
      </c>
      <c r="K6178" s="2" t="s">
        <v>5657</v>
      </c>
      <c r="L6178" s="82" t="s">
        <v>19512</v>
      </c>
    </row>
    <row r="6179" spans="1:12" ht="84" customHeight="1" x14ac:dyDescent="0.3">
      <c r="A6179" s="2">
        <v>6175</v>
      </c>
      <c r="B6179" s="66" t="s">
        <v>7107</v>
      </c>
      <c r="C6179" s="66" t="s">
        <v>7173</v>
      </c>
      <c r="D6179" s="11">
        <v>4488</v>
      </c>
      <c r="E6179" s="11">
        <v>4488</v>
      </c>
      <c r="F6179" s="3">
        <v>39052</v>
      </c>
      <c r="G6179" s="2"/>
      <c r="H6179" s="3">
        <v>43053</v>
      </c>
      <c r="I6179" s="2" t="s">
        <v>19506</v>
      </c>
      <c r="J6179" s="2" t="s">
        <v>13904</v>
      </c>
      <c r="K6179" s="2" t="s">
        <v>5657</v>
      </c>
      <c r="L6179" s="82" t="s">
        <v>19512</v>
      </c>
    </row>
    <row r="6180" spans="1:12" ht="84" customHeight="1" x14ac:dyDescent="0.3">
      <c r="A6180" s="2">
        <v>6176</v>
      </c>
      <c r="B6180" s="66" t="s">
        <v>7107</v>
      </c>
      <c r="C6180" s="66" t="s">
        <v>7174</v>
      </c>
      <c r="D6180" s="11">
        <v>4488</v>
      </c>
      <c r="E6180" s="11">
        <v>4488</v>
      </c>
      <c r="F6180" s="3">
        <v>39052</v>
      </c>
      <c r="G6180" s="2"/>
      <c r="H6180" s="3">
        <v>43053</v>
      </c>
      <c r="I6180" s="2" t="s">
        <v>19506</v>
      </c>
      <c r="J6180" s="2" t="s">
        <v>13904</v>
      </c>
      <c r="K6180" s="2" t="s">
        <v>5657</v>
      </c>
      <c r="L6180" s="82" t="s">
        <v>19512</v>
      </c>
    </row>
    <row r="6181" spans="1:12" ht="84" customHeight="1" x14ac:dyDescent="0.3">
      <c r="A6181" s="2">
        <v>6177</v>
      </c>
      <c r="B6181" s="66" t="s">
        <v>7107</v>
      </c>
      <c r="C6181" s="66" t="s">
        <v>7175</v>
      </c>
      <c r="D6181" s="11">
        <v>4488</v>
      </c>
      <c r="E6181" s="11">
        <v>4488</v>
      </c>
      <c r="F6181" s="3">
        <v>39052</v>
      </c>
      <c r="G6181" s="2"/>
      <c r="H6181" s="3">
        <v>43053</v>
      </c>
      <c r="I6181" s="2" t="s">
        <v>19506</v>
      </c>
      <c r="J6181" s="2" t="s">
        <v>13904</v>
      </c>
      <c r="K6181" s="2" t="s">
        <v>5657</v>
      </c>
      <c r="L6181" s="82" t="s">
        <v>19512</v>
      </c>
    </row>
    <row r="6182" spans="1:12" ht="84" customHeight="1" x14ac:dyDescent="0.3">
      <c r="A6182" s="2">
        <v>6178</v>
      </c>
      <c r="B6182" s="66" t="s">
        <v>7105</v>
      </c>
      <c r="C6182" s="66" t="s">
        <v>7176</v>
      </c>
      <c r="D6182" s="11">
        <v>4488</v>
      </c>
      <c r="E6182" s="11">
        <v>4488</v>
      </c>
      <c r="F6182" s="3">
        <v>39052</v>
      </c>
      <c r="G6182" s="2"/>
      <c r="H6182" s="3">
        <v>43053</v>
      </c>
      <c r="I6182" s="2" t="s">
        <v>19506</v>
      </c>
      <c r="J6182" s="2" t="s">
        <v>13904</v>
      </c>
      <c r="K6182" s="2" t="s">
        <v>5657</v>
      </c>
      <c r="L6182" s="82" t="s">
        <v>19512</v>
      </c>
    </row>
    <row r="6183" spans="1:12" ht="84" customHeight="1" x14ac:dyDescent="0.3">
      <c r="A6183" s="2">
        <v>6179</v>
      </c>
      <c r="B6183" s="66" t="s">
        <v>7109</v>
      </c>
      <c r="C6183" s="66" t="s">
        <v>7177</v>
      </c>
      <c r="D6183" s="11">
        <v>4488</v>
      </c>
      <c r="E6183" s="11">
        <v>4488</v>
      </c>
      <c r="F6183" s="3">
        <v>39052</v>
      </c>
      <c r="G6183" s="2"/>
      <c r="H6183" s="3">
        <v>43053</v>
      </c>
      <c r="I6183" s="2" t="s">
        <v>19506</v>
      </c>
      <c r="J6183" s="2" t="s">
        <v>13904</v>
      </c>
      <c r="K6183" s="2" t="s">
        <v>5657</v>
      </c>
      <c r="L6183" s="82" t="s">
        <v>19512</v>
      </c>
    </row>
    <row r="6184" spans="1:12" ht="84" customHeight="1" x14ac:dyDescent="0.3">
      <c r="A6184" s="2">
        <v>6180</v>
      </c>
      <c r="B6184" s="66" t="s">
        <v>7178</v>
      </c>
      <c r="C6184" s="66" t="s">
        <v>7179</v>
      </c>
      <c r="D6184" s="11">
        <v>3495.75</v>
      </c>
      <c r="E6184" s="11">
        <v>3495.75</v>
      </c>
      <c r="F6184" s="3">
        <v>39052</v>
      </c>
      <c r="G6184" s="2"/>
      <c r="H6184" s="3">
        <v>43053</v>
      </c>
      <c r="I6184" s="2" t="s">
        <v>19506</v>
      </c>
      <c r="J6184" s="2" t="s">
        <v>13904</v>
      </c>
      <c r="K6184" s="2" t="s">
        <v>5657</v>
      </c>
      <c r="L6184" s="82" t="s">
        <v>19512</v>
      </c>
    </row>
    <row r="6185" spans="1:12" ht="84" customHeight="1" x14ac:dyDescent="0.3">
      <c r="A6185" s="2">
        <v>6181</v>
      </c>
      <c r="B6185" s="66" t="s">
        <v>7178</v>
      </c>
      <c r="C6185" s="66" t="s">
        <v>7180</v>
      </c>
      <c r="D6185" s="11">
        <v>3495.75</v>
      </c>
      <c r="E6185" s="11">
        <v>3495.75</v>
      </c>
      <c r="F6185" s="3">
        <v>39052</v>
      </c>
      <c r="G6185" s="2"/>
      <c r="H6185" s="3">
        <v>43053</v>
      </c>
      <c r="I6185" s="2" t="s">
        <v>19506</v>
      </c>
      <c r="J6185" s="2" t="s">
        <v>13904</v>
      </c>
      <c r="K6185" s="2" t="s">
        <v>5657</v>
      </c>
      <c r="L6185" s="82" t="s">
        <v>19512</v>
      </c>
    </row>
    <row r="6186" spans="1:12" ht="84" customHeight="1" x14ac:dyDescent="0.3">
      <c r="A6186" s="2">
        <v>6182</v>
      </c>
      <c r="B6186" s="66" t="s">
        <v>7178</v>
      </c>
      <c r="C6186" s="66" t="s">
        <v>7181</v>
      </c>
      <c r="D6186" s="11">
        <v>3495.75</v>
      </c>
      <c r="E6186" s="11">
        <v>3495.75</v>
      </c>
      <c r="F6186" s="3">
        <v>39052</v>
      </c>
      <c r="G6186" s="2"/>
      <c r="H6186" s="3">
        <v>43053</v>
      </c>
      <c r="I6186" s="2" t="s">
        <v>19506</v>
      </c>
      <c r="J6186" s="2" t="s">
        <v>13904</v>
      </c>
      <c r="K6186" s="2" t="s">
        <v>5657</v>
      </c>
      <c r="L6186" s="82" t="s">
        <v>19512</v>
      </c>
    </row>
    <row r="6187" spans="1:12" ht="84" customHeight="1" x14ac:dyDescent="0.3">
      <c r="A6187" s="2">
        <v>6183</v>
      </c>
      <c r="B6187" s="66" t="s">
        <v>7178</v>
      </c>
      <c r="C6187" s="66" t="s">
        <v>7182</v>
      </c>
      <c r="D6187" s="11">
        <v>3495.75</v>
      </c>
      <c r="E6187" s="11">
        <v>3495.75</v>
      </c>
      <c r="F6187" s="3">
        <v>39052</v>
      </c>
      <c r="G6187" s="2"/>
      <c r="H6187" s="3">
        <v>43053</v>
      </c>
      <c r="I6187" s="2" t="s">
        <v>19506</v>
      </c>
      <c r="J6187" s="2" t="s">
        <v>13904</v>
      </c>
      <c r="K6187" s="2" t="s">
        <v>5657</v>
      </c>
      <c r="L6187" s="82" t="s">
        <v>19512</v>
      </c>
    </row>
    <row r="6188" spans="1:12" ht="84" customHeight="1" x14ac:dyDescent="0.3">
      <c r="A6188" s="2">
        <v>6184</v>
      </c>
      <c r="B6188" s="66" t="s">
        <v>7178</v>
      </c>
      <c r="C6188" s="66" t="s">
        <v>7183</v>
      </c>
      <c r="D6188" s="11">
        <v>3495.75</v>
      </c>
      <c r="E6188" s="11">
        <v>3495.75</v>
      </c>
      <c r="F6188" s="3">
        <v>39052</v>
      </c>
      <c r="G6188" s="2"/>
      <c r="H6188" s="3">
        <v>43053</v>
      </c>
      <c r="I6188" s="2" t="s">
        <v>19506</v>
      </c>
      <c r="J6188" s="2" t="s">
        <v>13904</v>
      </c>
      <c r="K6188" s="2" t="s">
        <v>5657</v>
      </c>
      <c r="L6188" s="82" t="s">
        <v>19512</v>
      </c>
    </row>
    <row r="6189" spans="1:12" ht="84" customHeight="1" x14ac:dyDescent="0.3">
      <c r="A6189" s="2">
        <v>6185</v>
      </c>
      <c r="B6189" s="66" t="s">
        <v>7178</v>
      </c>
      <c r="C6189" s="66" t="s">
        <v>7184</v>
      </c>
      <c r="D6189" s="11">
        <v>3495.75</v>
      </c>
      <c r="E6189" s="11">
        <v>3495.75</v>
      </c>
      <c r="F6189" s="3">
        <v>39052</v>
      </c>
      <c r="G6189" s="2"/>
      <c r="H6189" s="3">
        <v>43053</v>
      </c>
      <c r="I6189" s="2" t="s">
        <v>19506</v>
      </c>
      <c r="J6189" s="2" t="s">
        <v>13904</v>
      </c>
      <c r="K6189" s="2" t="s">
        <v>5657</v>
      </c>
      <c r="L6189" s="82" t="s">
        <v>19512</v>
      </c>
    </row>
    <row r="6190" spans="1:12" ht="84" customHeight="1" x14ac:dyDescent="0.3">
      <c r="A6190" s="2">
        <v>6186</v>
      </c>
      <c r="B6190" s="66" t="s">
        <v>7178</v>
      </c>
      <c r="C6190" s="66" t="s">
        <v>7185</v>
      </c>
      <c r="D6190" s="11">
        <v>3495.75</v>
      </c>
      <c r="E6190" s="11">
        <v>3495.75</v>
      </c>
      <c r="F6190" s="3">
        <v>39052</v>
      </c>
      <c r="G6190" s="2"/>
      <c r="H6190" s="3">
        <v>43053</v>
      </c>
      <c r="I6190" s="2" t="s">
        <v>19506</v>
      </c>
      <c r="J6190" s="2" t="s">
        <v>13904</v>
      </c>
      <c r="K6190" s="2" t="s">
        <v>5657</v>
      </c>
      <c r="L6190" s="82" t="s">
        <v>19512</v>
      </c>
    </row>
    <row r="6191" spans="1:12" ht="84" customHeight="1" x14ac:dyDescent="0.3">
      <c r="A6191" s="2">
        <v>6187</v>
      </c>
      <c r="B6191" s="66" t="s">
        <v>7178</v>
      </c>
      <c r="C6191" s="66" t="s">
        <v>7186</v>
      </c>
      <c r="D6191" s="11">
        <v>3495.75</v>
      </c>
      <c r="E6191" s="11">
        <v>3495.75</v>
      </c>
      <c r="F6191" s="3">
        <v>39052</v>
      </c>
      <c r="G6191" s="2"/>
      <c r="H6191" s="3">
        <v>43053</v>
      </c>
      <c r="I6191" s="2" t="s">
        <v>19506</v>
      </c>
      <c r="J6191" s="2" t="s">
        <v>13904</v>
      </c>
      <c r="K6191" s="2" t="s">
        <v>5657</v>
      </c>
      <c r="L6191" s="82" t="s">
        <v>19512</v>
      </c>
    </row>
    <row r="6192" spans="1:12" ht="84" customHeight="1" x14ac:dyDescent="0.3">
      <c r="A6192" s="2">
        <v>6188</v>
      </c>
      <c r="B6192" s="66" t="s">
        <v>7178</v>
      </c>
      <c r="C6192" s="66" t="s">
        <v>7187</v>
      </c>
      <c r="D6192" s="11">
        <v>3495.75</v>
      </c>
      <c r="E6192" s="11">
        <v>3495.75</v>
      </c>
      <c r="F6192" s="3">
        <v>39052</v>
      </c>
      <c r="G6192" s="2"/>
      <c r="H6192" s="3">
        <v>43053</v>
      </c>
      <c r="I6192" s="2" t="s">
        <v>19506</v>
      </c>
      <c r="J6192" s="2" t="s">
        <v>13904</v>
      </c>
      <c r="K6192" s="2" t="s">
        <v>5657</v>
      </c>
      <c r="L6192" s="82" t="s">
        <v>19512</v>
      </c>
    </row>
    <row r="6193" spans="1:12" ht="84" customHeight="1" x14ac:dyDescent="0.3">
      <c r="A6193" s="2">
        <v>6189</v>
      </c>
      <c r="B6193" s="66" t="s">
        <v>7178</v>
      </c>
      <c r="C6193" s="66" t="s">
        <v>7188</v>
      </c>
      <c r="D6193" s="11">
        <v>3495.75</v>
      </c>
      <c r="E6193" s="11">
        <v>3495.75</v>
      </c>
      <c r="F6193" s="3">
        <v>39052</v>
      </c>
      <c r="G6193" s="2"/>
      <c r="H6193" s="3">
        <v>43053</v>
      </c>
      <c r="I6193" s="2" t="s">
        <v>19506</v>
      </c>
      <c r="J6193" s="2" t="s">
        <v>13904</v>
      </c>
      <c r="K6193" s="2" t="s">
        <v>5657</v>
      </c>
      <c r="L6193" s="82" t="s">
        <v>19512</v>
      </c>
    </row>
    <row r="6194" spans="1:12" ht="84" customHeight="1" x14ac:dyDescent="0.3">
      <c r="A6194" s="2">
        <v>6190</v>
      </c>
      <c r="B6194" s="66" t="s">
        <v>7178</v>
      </c>
      <c r="C6194" s="66" t="s">
        <v>7189</v>
      </c>
      <c r="D6194" s="11">
        <v>3495.75</v>
      </c>
      <c r="E6194" s="11">
        <v>3495.75</v>
      </c>
      <c r="F6194" s="3">
        <v>39052</v>
      </c>
      <c r="G6194" s="2"/>
      <c r="H6194" s="3">
        <v>43053</v>
      </c>
      <c r="I6194" s="2" t="s">
        <v>19506</v>
      </c>
      <c r="J6194" s="2" t="s">
        <v>13904</v>
      </c>
      <c r="K6194" s="2" t="s">
        <v>5657</v>
      </c>
      <c r="L6194" s="82" t="s">
        <v>19512</v>
      </c>
    </row>
    <row r="6195" spans="1:12" ht="84" customHeight="1" x14ac:dyDescent="0.3">
      <c r="A6195" s="2">
        <v>6191</v>
      </c>
      <c r="B6195" s="66" t="s">
        <v>7178</v>
      </c>
      <c r="C6195" s="66" t="s">
        <v>7190</v>
      </c>
      <c r="D6195" s="11">
        <v>3495.75</v>
      </c>
      <c r="E6195" s="11">
        <v>3495.75</v>
      </c>
      <c r="F6195" s="3">
        <v>39052</v>
      </c>
      <c r="G6195" s="2"/>
      <c r="H6195" s="3">
        <v>43053</v>
      </c>
      <c r="I6195" s="2" t="s">
        <v>19506</v>
      </c>
      <c r="J6195" s="2" t="s">
        <v>13904</v>
      </c>
      <c r="K6195" s="2" t="s">
        <v>5657</v>
      </c>
      <c r="L6195" s="82" t="s">
        <v>19512</v>
      </c>
    </row>
    <row r="6196" spans="1:12" ht="84" customHeight="1" x14ac:dyDescent="0.3">
      <c r="A6196" s="2">
        <v>6192</v>
      </c>
      <c r="B6196" s="66" t="s">
        <v>7178</v>
      </c>
      <c r="C6196" s="66" t="s">
        <v>7191</v>
      </c>
      <c r="D6196" s="11">
        <v>3495.75</v>
      </c>
      <c r="E6196" s="11">
        <v>3495.75</v>
      </c>
      <c r="F6196" s="3">
        <v>39052</v>
      </c>
      <c r="G6196" s="2"/>
      <c r="H6196" s="3">
        <v>43053</v>
      </c>
      <c r="I6196" s="2" t="s">
        <v>19506</v>
      </c>
      <c r="J6196" s="2" t="s">
        <v>13904</v>
      </c>
      <c r="K6196" s="2" t="s">
        <v>5657</v>
      </c>
      <c r="L6196" s="82" t="s">
        <v>19512</v>
      </c>
    </row>
    <row r="6197" spans="1:12" ht="84" customHeight="1" x14ac:dyDescent="0.3">
      <c r="A6197" s="2">
        <v>6193</v>
      </c>
      <c r="B6197" s="66" t="s">
        <v>7178</v>
      </c>
      <c r="C6197" s="66" t="s">
        <v>7192</v>
      </c>
      <c r="D6197" s="11">
        <v>3495.75</v>
      </c>
      <c r="E6197" s="11">
        <v>3495.75</v>
      </c>
      <c r="F6197" s="3">
        <v>39052</v>
      </c>
      <c r="G6197" s="2"/>
      <c r="H6197" s="3">
        <v>43053</v>
      </c>
      <c r="I6197" s="2" t="s">
        <v>19506</v>
      </c>
      <c r="J6197" s="2" t="s">
        <v>13904</v>
      </c>
      <c r="K6197" s="2" t="s">
        <v>5657</v>
      </c>
      <c r="L6197" s="82" t="s">
        <v>19512</v>
      </c>
    </row>
    <row r="6198" spans="1:12" ht="84" customHeight="1" x14ac:dyDescent="0.3">
      <c r="A6198" s="2">
        <v>6194</v>
      </c>
      <c r="B6198" s="66" t="s">
        <v>7178</v>
      </c>
      <c r="C6198" s="66" t="s">
        <v>7193</v>
      </c>
      <c r="D6198" s="11">
        <v>3495.75</v>
      </c>
      <c r="E6198" s="11">
        <v>3495.75</v>
      </c>
      <c r="F6198" s="3">
        <v>39052</v>
      </c>
      <c r="G6198" s="2"/>
      <c r="H6198" s="3">
        <v>43053</v>
      </c>
      <c r="I6198" s="2" t="s">
        <v>19506</v>
      </c>
      <c r="J6198" s="2" t="s">
        <v>13904</v>
      </c>
      <c r="K6198" s="2" t="s">
        <v>5657</v>
      </c>
      <c r="L6198" s="82" t="s">
        <v>19512</v>
      </c>
    </row>
    <row r="6199" spans="1:12" ht="84" customHeight="1" x14ac:dyDescent="0.3">
      <c r="A6199" s="2">
        <v>6195</v>
      </c>
      <c r="B6199" s="66" t="s">
        <v>7178</v>
      </c>
      <c r="C6199" s="66" t="s">
        <v>7194</v>
      </c>
      <c r="D6199" s="11">
        <v>3495.75</v>
      </c>
      <c r="E6199" s="11">
        <v>3495.75</v>
      </c>
      <c r="F6199" s="3">
        <v>39052</v>
      </c>
      <c r="G6199" s="2"/>
      <c r="H6199" s="3">
        <v>43053</v>
      </c>
      <c r="I6199" s="2" t="s">
        <v>19506</v>
      </c>
      <c r="J6199" s="2" t="s">
        <v>13904</v>
      </c>
      <c r="K6199" s="2" t="s">
        <v>5657</v>
      </c>
      <c r="L6199" s="82" t="s">
        <v>19512</v>
      </c>
    </row>
    <row r="6200" spans="1:12" ht="84" customHeight="1" x14ac:dyDescent="0.3">
      <c r="A6200" s="2">
        <v>6196</v>
      </c>
      <c r="B6200" s="66" t="s">
        <v>7178</v>
      </c>
      <c r="C6200" s="66" t="s">
        <v>7195</v>
      </c>
      <c r="D6200" s="11">
        <v>3495.75</v>
      </c>
      <c r="E6200" s="11">
        <v>3495.75</v>
      </c>
      <c r="F6200" s="3">
        <v>39052</v>
      </c>
      <c r="G6200" s="2"/>
      <c r="H6200" s="3">
        <v>43053</v>
      </c>
      <c r="I6200" s="2" t="s">
        <v>19506</v>
      </c>
      <c r="J6200" s="2" t="s">
        <v>13904</v>
      </c>
      <c r="K6200" s="2" t="s">
        <v>5657</v>
      </c>
      <c r="L6200" s="82" t="s">
        <v>19512</v>
      </c>
    </row>
    <row r="6201" spans="1:12" ht="84" customHeight="1" x14ac:dyDescent="0.3">
      <c r="A6201" s="2">
        <v>6197</v>
      </c>
      <c r="B6201" s="66" t="s">
        <v>7178</v>
      </c>
      <c r="C6201" s="66" t="s">
        <v>7196</v>
      </c>
      <c r="D6201" s="11">
        <v>3495.75</v>
      </c>
      <c r="E6201" s="11">
        <v>3495.75</v>
      </c>
      <c r="F6201" s="3">
        <v>39052</v>
      </c>
      <c r="G6201" s="2"/>
      <c r="H6201" s="3">
        <v>43053</v>
      </c>
      <c r="I6201" s="2" t="s">
        <v>19506</v>
      </c>
      <c r="J6201" s="2" t="s">
        <v>13904</v>
      </c>
      <c r="K6201" s="2" t="s">
        <v>5657</v>
      </c>
      <c r="L6201" s="82" t="s">
        <v>19512</v>
      </c>
    </row>
    <row r="6202" spans="1:12" ht="84" customHeight="1" x14ac:dyDescent="0.3">
      <c r="A6202" s="2">
        <v>6198</v>
      </c>
      <c r="B6202" s="66" t="s">
        <v>7178</v>
      </c>
      <c r="C6202" s="66" t="s">
        <v>7197</v>
      </c>
      <c r="D6202" s="11">
        <v>3495.75</v>
      </c>
      <c r="E6202" s="11">
        <v>3495.75</v>
      </c>
      <c r="F6202" s="3">
        <v>39052</v>
      </c>
      <c r="G6202" s="2"/>
      <c r="H6202" s="3">
        <v>43053</v>
      </c>
      <c r="I6202" s="2" t="s">
        <v>19506</v>
      </c>
      <c r="J6202" s="2" t="s">
        <v>13904</v>
      </c>
      <c r="K6202" s="2" t="s">
        <v>5657</v>
      </c>
      <c r="L6202" s="82" t="s">
        <v>19512</v>
      </c>
    </row>
    <row r="6203" spans="1:12" ht="84" customHeight="1" x14ac:dyDescent="0.3">
      <c r="A6203" s="2">
        <v>6199</v>
      </c>
      <c r="B6203" s="66" t="s">
        <v>7178</v>
      </c>
      <c r="C6203" s="66" t="s">
        <v>7198</v>
      </c>
      <c r="D6203" s="11">
        <v>3495.75</v>
      </c>
      <c r="E6203" s="11">
        <v>3495.75</v>
      </c>
      <c r="F6203" s="3">
        <v>39052</v>
      </c>
      <c r="G6203" s="2"/>
      <c r="H6203" s="3">
        <v>43053</v>
      </c>
      <c r="I6203" s="2" t="s">
        <v>19506</v>
      </c>
      <c r="J6203" s="2" t="s">
        <v>13904</v>
      </c>
      <c r="K6203" s="2" t="s">
        <v>5657</v>
      </c>
      <c r="L6203" s="82" t="s">
        <v>19512</v>
      </c>
    </row>
    <row r="6204" spans="1:12" ht="84" customHeight="1" x14ac:dyDescent="0.3">
      <c r="A6204" s="2">
        <v>6200</v>
      </c>
      <c r="B6204" s="66" t="s">
        <v>7178</v>
      </c>
      <c r="C6204" s="66" t="s">
        <v>7199</v>
      </c>
      <c r="D6204" s="11">
        <v>3495.75</v>
      </c>
      <c r="E6204" s="11">
        <v>3495.75</v>
      </c>
      <c r="F6204" s="3">
        <v>39052</v>
      </c>
      <c r="G6204" s="2"/>
      <c r="H6204" s="3">
        <v>43053</v>
      </c>
      <c r="I6204" s="2" t="s">
        <v>19506</v>
      </c>
      <c r="J6204" s="2" t="s">
        <v>13904</v>
      </c>
      <c r="K6204" s="2" t="s">
        <v>5657</v>
      </c>
      <c r="L6204" s="82" t="s">
        <v>19512</v>
      </c>
    </row>
    <row r="6205" spans="1:12" ht="84" customHeight="1" x14ac:dyDescent="0.3">
      <c r="A6205" s="2">
        <v>6201</v>
      </c>
      <c r="B6205" s="66" t="s">
        <v>7178</v>
      </c>
      <c r="C6205" s="66" t="s">
        <v>7200</v>
      </c>
      <c r="D6205" s="11">
        <v>3495.75</v>
      </c>
      <c r="E6205" s="11">
        <v>3495.75</v>
      </c>
      <c r="F6205" s="3">
        <v>39052</v>
      </c>
      <c r="G6205" s="2"/>
      <c r="H6205" s="3">
        <v>43053</v>
      </c>
      <c r="I6205" s="2" t="s">
        <v>19506</v>
      </c>
      <c r="J6205" s="2" t="s">
        <v>13904</v>
      </c>
      <c r="K6205" s="2" t="s">
        <v>5657</v>
      </c>
      <c r="L6205" s="82" t="s">
        <v>19512</v>
      </c>
    </row>
    <row r="6206" spans="1:12" ht="84" customHeight="1" x14ac:dyDescent="0.3">
      <c r="A6206" s="2">
        <v>6202</v>
      </c>
      <c r="B6206" s="66" t="s">
        <v>7178</v>
      </c>
      <c r="C6206" s="66" t="s">
        <v>7201</v>
      </c>
      <c r="D6206" s="11">
        <v>3495.75</v>
      </c>
      <c r="E6206" s="11">
        <v>3495.75</v>
      </c>
      <c r="F6206" s="3">
        <v>39052</v>
      </c>
      <c r="G6206" s="2"/>
      <c r="H6206" s="3">
        <v>43053</v>
      </c>
      <c r="I6206" s="2" t="s">
        <v>19506</v>
      </c>
      <c r="J6206" s="2" t="s">
        <v>13904</v>
      </c>
      <c r="K6206" s="2" t="s">
        <v>5657</v>
      </c>
      <c r="L6206" s="82" t="s">
        <v>19512</v>
      </c>
    </row>
    <row r="6207" spans="1:12" ht="84" customHeight="1" x14ac:dyDescent="0.3">
      <c r="A6207" s="2">
        <v>6203</v>
      </c>
      <c r="B6207" s="66" t="s">
        <v>7178</v>
      </c>
      <c r="C6207" s="66" t="s">
        <v>7202</v>
      </c>
      <c r="D6207" s="11">
        <v>3495.75</v>
      </c>
      <c r="E6207" s="11">
        <v>3495.75</v>
      </c>
      <c r="F6207" s="3">
        <v>39052</v>
      </c>
      <c r="G6207" s="2"/>
      <c r="H6207" s="3">
        <v>43053</v>
      </c>
      <c r="I6207" s="2" t="s">
        <v>19506</v>
      </c>
      <c r="J6207" s="2" t="s">
        <v>13904</v>
      </c>
      <c r="K6207" s="2" t="s">
        <v>5657</v>
      </c>
      <c r="L6207" s="82" t="s">
        <v>19512</v>
      </c>
    </row>
    <row r="6208" spans="1:12" ht="84" customHeight="1" x14ac:dyDescent="0.3">
      <c r="A6208" s="2">
        <v>6204</v>
      </c>
      <c r="B6208" s="66" t="s">
        <v>7178</v>
      </c>
      <c r="C6208" s="66" t="s">
        <v>7203</v>
      </c>
      <c r="D6208" s="11">
        <v>3495.75</v>
      </c>
      <c r="E6208" s="11">
        <v>3495.75</v>
      </c>
      <c r="F6208" s="3">
        <v>39052</v>
      </c>
      <c r="G6208" s="2"/>
      <c r="H6208" s="3">
        <v>43053</v>
      </c>
      <c r="I6208" s="2" t="s">
        <v>19506</v>
      </c>
      <c r="J6208" s="2" t="s">
        <v>13904</v>
      </c>
      <c r="K6208" s="2" t="s">
        <v>5657</v>
      </c>
      <c r="L6208" s="82" t="s">
        <v>19512</v>
      </c>
    </row>
    <row r="6209" spans="1:12" ht="84" customHeight="1" x14ac:dyDescent="0.3">
      <c r="A6209" s="2">
        <v>6205</v>
      </c>
      <c r="B6209" s="66" t="s">
        <v>7178</v>
      </c>
      <c r="C6209" s="66" t="s">
        <v>7204</v>
      </c>
      <c r="D6209" s="11">
        <v>3495.75</v>
      </c>
      <c r="E6209" s="11">
        <v>3495.75</v>
      </c>
      <c r="F6209" s="3">
        <v>39052</v>
      </c>
      <c r="G6209" s="2"/>
      <c r="H6209" s="3">
        <v>43053</v>
      </c>
      <c r="I6209" s="2" t="s">
        <v>19506</v>
      </c>
      <c r="J6209" s="2" t="s">
        <v>13904</v>
      </c>
      <c r="K6209" s="2" t="s">
        <v>5657</v>
      </c>
      <c r="L6209" s="82" t="s">
        <v>19512</v>
      </c>
    </row>
    <row r="6210" spans="1:12" ht="84" customHeight="1" x14ac:dyDescent="0.3">
      <c r="A6210" s="2">
        <v>6206</v>
      </c>
      <c r="B6210" s="66" t="s">
        <v>7178</v>
      </c>
      <c r="C6210" s="66" t="s">
        <v>7205</v>
      </c>
      <c r="D6210" s="11">
        <v>3495.75</v>
      </c>
      <c r="E6210" s="11">
        <v>3495.75</v>
      </c>
      <c r="F6210" s="3">
        <v>39052</v>
      </c>
      <c r="G6210" s="2"/>
      <c r="H6210" s="3">
        <v>43053</v>
      </c>
      <c r="I6210" s="2" t="s">
        <v>19506</v>
      </c>
      <c r="J6210" s="2" t="s">
        <v>13904</v>
      </c>
      <c r="K6210" s="2" t="s">
        <v>5657</v>
      </c>
      <c r="L6210" s="82" t="s">
        <v>19512</v>
      </c>
    </row>
    <row r="6211" spans="1:12" ht="84" customHeight="1" x14ac:dyDescent="0.3">
      <c r="A6211" s="2">
        <v>6207</v>
      </c>
      <c r="B6211" s="66" t="s">
        <v>7178</v>
      </c>
      <c r="C6211" s="66" t="s">
        <v>7206</v>
      </c>
      <c r="D6211" s="11">
        <v>3495.75</v>
      </c>
      <c r="E6211" s="11">
        <v>3495.75</v>
      </c>
      <c r="F6211" s="3">
        <v>39052</v>
      </c>
      <c r="G6211" s="2"/>
      <c r="H6211" s="3">
        <v>43053</v>
      </c>
      <c r="I6211" s="2" t="s">
        <v>19506</v>
      </c>
      <c r="J6211" s="2" t="s">
        <v>13904</v>
      </c>
      <c r="K6211" s="2" t="s">
        <v>5657</v>
      </c>
      <c r="L6211" s="82" t="s">
        <v>19512</v>
      </c>
    </row>
    <row r="6212" spans="1:12" ht="84" customHeight="1" x14ac:dyDescent="0.3">
      <c r="A6212" s="2">
        <v>6208</v>
      </c>
      <c r="B6212" s="66" t="s">
        <v>7178</v>
      </c>
      <c r="C6212" s="66" t="s">
        <v>7207</v>
      </c>
      <c r="D6212" s="11">
        <v>3495.75</v>
      </c>
      <c r="E6212" s="11">
        <v>3495.75</v>
      </c>
      <c r="F6212" s="3">
        <v>39052</v>
      </c>
      <c r="G6212" s="2"/>
      <c r="H6212" s="3">
        <v>43053</v>
      </c>
      <c r="I6212" s="2" t="s">
        <v>19506</v>
      </c>
      <c r="J6212" s="2" t="s">
        <v>13904</v>
      </c>
      <c r="K6212" s="2" t="s">
        <v>5657</v>
      </c>
      <c r="L6212" s="82" t="s">
        <v>19512</v>
      </c>
    </row>
    <row r="6213" spans="1:12" ht="84" customHeight="1" x14ac:dyDescent="0.3">
      <c r="A6213" s="2">
        <v>6209</v>
      </c>
      <c r="B6213" s="66" t="s">
        <v>7178</v>
      </c>
      <c r="C6213" s="66" t="s">
        <v>7208</v>
      </c>
      <c r="D6213" s="11">
        <v>3495.75</v>
      </c>
      <c r="E6213" s="11">
        <v>3495.75</v>
      </c>
      <c r="F6213" s="3">
        <v>39052</v>
      </c>
      <c r="G6213" s="2"/>
      <c r="H6213" s="3">
        <v>43053</v>
      </c>
      <c r="I6213" s="2" t="s">
        <v>19506</v>
      </c>
      <c r="J6213" s="2" t="s">
        <v>13904</v>
      </c>
      <c r="K6213" s="2" t="s">
        <v>5657</v>
      </c>
      <c r="L6213" s="82" t="s">
        <v>19512</v>
      </c>
    </row>
    <row r="6214" spans="1:12" ht="84" customHeight="1" x14ac:dyDescent="0.3">
      <c r="A6214" s="2">
        <v>6210</v>
      </c>
      <c r="B6214" s="66" t="s">
        <v>7178</v>
      </c>
      <c r="C6214" s="66" t="s">
        <v>7209</v>
      </c>
      <c r="D6214" s="11">
        <v>3495.75</v>
      </c>
      <c r="E6214" s="11">
        <v>3495.75</v>
      </c>
      <c r="F6214" s="3">
        <v>39052</v>
      </c>
      <c r="G6214" s="2"/>
      <c r="H6214" s="3">
        <v>43053</v>
      </c>
      <c r="I6214" s="2" t="s">
        <v>19506</v>
      </c>
      <c r="J6214" s="2" t="s">
        <v>13904</v>
      </c>
      <c r="K6214" s="2" t="s">
        <v>5657</v>
      </c>
      <c r="L6214" s="82" t="s">
        <v>19512</v>
      </c>
    </row>
    <row r="6215" spans="1:12" ht="84" customHeight="1" x14ac:dyDescent="0.3">
      <c r="A6215" s="2">
        <v>6211</v>
      </c>
      <c r="B6215" s="66" t="s">
        <v>7178</v>
      </c>
      <c r="C6215" s="66" t="s">
        <v>7210</v>
      </c>
      <c r="D6215" s="11">
        <v>3495.75</v>
      </c>
      <c r="E6215" s="11">
        <v>3495.75</v>
      </c>
      <c r="F6215" s="3">
        <v>39052</v>
      </c>
      <c r="G6215" s="2"/>
      <c r="H6215" s="3">
        <v>43053</v>
      </c>
      <c r="I6215" s="2" t="s">
        <v>19506</v>
      </c>
      <c r="J6215" s="2" t="s">
        <v>13904</v>
      </c>
      <c r="K6215" s="2" t="s">
        <v>5657</v>
      </c>
      <c r="L6215" s="82" t="s">
        <v>19512</v>
      </c>
    </row>
    <row r="6216" spans="1:12" ht="84" customHeight="1" x14ac:dyDescent="0.3">
      <c r="A6216" s="2">
        <v>6212</v>
      </c>
      <c r="B6216" s="66" t="s">
        <v>7178</v>
      </c>
      <c r="C6216" s="66" t="s">
        <v>7211</v>
      </c>
      <c r="D6216" s="11">
        <v>3495.75</v>
      </c>
      <c r="E6216" s="11">
        <v>3495.75</v>
      </c>
      <c r="F6216" s="3">
        <v>39052</v>
      </c>
      <c r="G6216" s="2"/>
      <c r="H6216" s="3">
        <v>43053</v>
      </c>
      <c r="I6216" s="2" t="s">
        <v>19506</v>
      </c>
      <c r="J6216" s="2" t="s">
        <v>13904</v>
      </c>
      <c r="K6216" s="2" t="s">
        <v>5657</v>
      </c>
      <c r="L6216" s="82" t="s">
        <v>19512</v>
      </c>
    </row>
    <row r="6217" spans="1:12" ht="84" customHeight="1" x14ac:dyDescent="0.3">
      <c r="A6217" s="2">
        <v>6213</v>
      </c>
      <c r="B6217" s="66" t="s">
        <v>7178</v>
      </c>
      <c r="C6217" s="66" t="s">
        <v>7212</v>
      </c>
      <c r="D6217" s="11">
        <v>3495.75</v>
      </c>
      <c r="E6217" s="11">
        <v>3495.75</v>
      </c>
      <c r="F6217" s="3">
        <v>39052</v>
      </c>
      <c r="G6217" s="2"/>
      <c r="H6217" s="3">
        <v>43053</v>
      </c>
      <c r="I6217" s="2" t="s">
        <v>19506</v>
      </c>
      <c r="J6217" s="2" t="s">
        <v>13904</v>
      </c>
      <c r="K6217" s="2" t="s">
        <v>5657</v>
      </c>
      <c r="L6217" s="82" t="s">
        <v>19512</v>
      </c>
    </row>
    <row r="6218" spans="1:12" ht="84" customHeight="1" x14ac:dyDescent="0.3">
      <c r="A6218" s="2">
        <v>6214</v>
      </c>
      <c r="B6218" s="66" t="s">
        <v>7178</v>
      </c>
      <c r="C6218" s="66" t="s">
        <v>7213</v>
      </c>
      <c r="D6218" s="11">
        <v>3495.75</v>
      </c>
      <c r="E6218" s="11">
        <v>3495.75</v>
      </c>
      <c r="F6218" s="3">
        <v>39052</v>
      </c>
      <c r="G6218" s="2"/>
      <c r="H6218" s="3">
        <v>43053</v>
      </c>
      <c r="I6218" s="2" t="s">
        <v>19506</v>
      </c>
      <c r="J6218" s="2" t="s">
        <v>13904</v>
      </c>
      <c r="K6218" s="2" t="s">
        <v>5657</v>
      </c>
      <c r="L6218" s="82" t="s">
        <v>19512</v>
      </c>
    </row>
    <row r="6219" spans="1:12" ht="84" customHeight="1" x14ac:dyDescent="0.3">
      <c r="A6219" s="2">
        <v>6215</v>
      </c>
      <c r="B6219" s="66" t="s">
        <v>7178</v>
      </c>
      <c r="C6219" s="66" t="s">
        <v>7214</v>
      </c>
      <c r="D6219" s="11">
        <v>3495.75</v>
      </c>
      <c r="E6219" s="11">
        <v>3495.75</v>
      </c>
      <c r="F6219" s="3">
        <v>39052</v>
      </c>
      <c r="G6219" s="2"/>
      <c r="H6219" s="3">
        <v>43053</v>
      </c>
      <c r="I6219" s="2" t="s">
        <v>19506</v>
      </c>
      <c r="J6219" s="2" t="s">
        <v>13904</v>
      </c>
      <c r="K6219" s="2" t="s">
        <v>5657</v>
      </c>
      <c r="L6219" s="82" t="s">
        <v>19512</v>
      </c>
    </row>
    <row r="6220" spans="1:12" ht="84" customHeight="1" x14ac:dyDescent="0.3">
      <c r="A6220" s="2">
        <v>6216</v>
      </c>
      <c r="B6220" s="66" t="s">
        <v>7073</v>
      </c>
      <c r="C6220" s="66" t="s">
        <v>7215</v>
      </c>
      <c r="D6220" s="11">
        <v>3988.68</v>
      </c>
      <c r="E6220" s="11">
        <v>3988.68</v>
      </c>
      <c r="F6220" s="3">
        <v>39052</v>
      </c>
      <c r="G6220" s="2"/>
      <c r="H6220" s="3">
        <v>43053</v>
      </c>
      <c r="I6220" s="2" t="s">
        <v>19506</v>
      </c>
      <c r="J6220" s="2" t="s">
        <v>13904</v>
      </c>
      <c r="K6220" s="2" t="s">
        <v>5657</v>
      </c>
      <c r="L6220" s="82" t="s">
        <v>19512</v>
      </c>
    </row>
    <row r="6221" spans="1:12" ht="84" customHeight="1" x14ac:dyDescent="0.3">
      <c r="A6221" s="2">
        <v>6217</v>
      </c>
      <c r="B6221" s="66" t="s">
        <v>4688</v>
      </c>
      <c r="C6221" s="66" t="s">
        <v>7216</v>
      </c>
      <c r="D6221" s="11">
        <v>11284.86</v>
      </c>
      <c r="E6221" s="11">
        <v>11284.86</v>
      </c>
      <c r="F6221" s="3">
        <v>39042</v>
      </c>
      <c r="G6221" s="2"/>
      <c r="H6221" s="3">
        <v>43053</v>
      </c>
      <c r="I6221" s="2" t="s">
        <v>19506</v>
      </c>
      <c r="J6221" s="2" t="s">
        <v>13904</v>
      </c>
      <c r="K6221" s="2" t="s">
        <v>5657</v>
      </c>
      <c r="L6221" s="82" t="s">
        <v>19512</v>
      </c>
    </row>
    <row r="6222" spans="1:12" ht="84" customHeight="1" x14ac:dyDescent="0.3">
      <c r="A6222" s="2">
        <v>6218</v>
      </c>
      <c r="B6222" s="66" t="s">
        <v>7217</v>
      </c>
      <c r="C6222" s="66" t="s">
        <v>7218</v>
      </c>
      <c r="D6222" s="11">
        <v>6180</v>
      </c>
      <c r="E6222" s="11">
        <v>6180</v>
      </c>
      <c r="F6222" s="3">
        <v>39052</v>
      </c>
      <c r="G6222" s="2"/>
      <c r="H6222" s="3">
        <v>43053</v>
      </c>
      <c r="I6222" s="2" t="s">
        <v>19506</v>
      </c>
      <c r="J6222" s="2" t="s">
        <v>13904</v>
      </c>
      <c r="K6222" s="2" t="s">
        <v>5657</v>
      </c>
      <c r="L6222" s="82" t="s">
        <v>19512</v>
      </c>
    </row>
    <row r="6223" spans="1:12" ht="84" customHeight="1" x14ac:dyDescent="0.3">
      <c r="A6223" s="2">
        <v>6219</v>
      </c>
      <c r="B6223" s="66" t="s">
        <v>7219</v>
      </c>
      <c r="C6223" s="66" t="s">
        <v>7220</v>
      </c>
      <c r="D6223" s="11">
        <v>5562</v>
      </c>
      <c r="E6223" s="11">
        <v>5562</v>
      </c>
      <c r="F6223" s="3">
        <v>39052</v>
      </c>
      <c r="G6223" s="2"/>
      <c r="H6223" s="3">
        <v>43053</v>
      </c>
      <c r="I6223" s="2" t="s">
        <v>19506</v>
      </c>
      <c r="J6223" s="2" t="s">
        <v>13904</v>
      </c>
      <c r="K6223" s="2" t="s">
        <v>5657</v>
      </c>
      <c r="L6223" s="82" t="s">
        <v>19512</v>
      </c>
    </row>
    <row r="6224" spans="1:12" ht="84" customHeight="1" x14ac:dyDescent="0.3">
      <c r="A6224" s="2">
        <v>6220</v>
      </c>
      <c r="B6224" s="66" t="s">
        <v>7219</v>
      </c>
      <c r="C6224" s="66" t="s">
        <v>7221</v>
      </c>
      <c r="D6224" s="11">
        <v>5562</v>
      </c>
      <c r="E6224" s="11">
        <v>5562</v>
      </c>
      <c r="F6224" s="3">
        <v>39052</v>
      </c>
      <c r="G6224" s="2"/>
      <c r="H6224" s="3">
        <v>43053</v>
      </c>
      <c r="I6224" s="2" t="s">
        <v>19506</v>
      </c>
      <c r="J6224" s="2" t="s">
        <v>13904</v>
      </c>
      <c r="K6224" s="2" t="s">
        <v>5657</v>
      </c>
      <c r="L6224" s="82" t="s">
        <v>19512</v>
      </c>
    </row>
    <row r="6225" spans="1:12" ht="84" customHeight="1" x14ac:dyDescent="0.3">
      <c r="A6225" s="2">
        <v>6221</v>
      </c>
      <c r="B6225" s="66" t="s">
        <v>7219</v>
      </c>
      <c r="C6225" s="66" t="s">
        <v>7222</v>
      </c>
      <c r="D6225" s="11">
        <v>5562</v>
      </c>
      <c r="E6225" s="11">
        <v>5562</v>
      </c>
      <c r="F6225" s="3">
        <v>39052</v>
      </c>
      <c r="G6225" s="2"/>
      <c r="H6225" s="3">
        <v>43053</v>
      </c>
      <c r="I6225" s="2" t="s">
        <v>19506</v>
      </c>
      <c r="J6225" s="2" t="s">
        <v>13904</v>
      </c>
      <c r="K6225" s="2" t="s">
        <v>5657</v>
      </c>
      <c r="L6225" s="82" t="s">
        <v>19512</v>
      </c>
    </row>
    <row r="6226" spans="1:12" ht="84" customHeight="1" x14ac:dyDescent="0.3">
      <c r="A6226" s="2">
        <v>6222</v>
      </c>
      <c r="B6226" s="66" t="s">
        <v>7219</v>
      </c>
      <c r="C6226" s="66" t="s">
        <v>7223</v>
      </c>
      <c r="D6226" s="11">
        <v>5562</v>
      </c>
      <c r="E6226" s="11">
        <v>5562</v>
      </c>
      <c r="F6226" s="3">
        <v>39052</v>
      </c>
      <c r="G6226" s="2"/>
      <c r="H6226" s="3">
        <v>43053</v>
      </c>
      <c r="I6226" s="2" t="s">
        <v>19506</v>
      </c>
      <c r="J6226" s="2" t="s">
        <v>13904</v>
      </c>
      <c r="K6226" s="2" t="s">
        <v>5657</v>
      </c>
      <c r="L6226" s="82" t="s">
        <v>19512</v>
      </c>
    </row>
    <row r="6227" spans="1:12" ht="84" customHeight="1" x14ac:dyDescent="0.3">
      <c r="A6227" s="2">
        <v>6223</v>
      </c>
      <c r="B6227" s="66" t="s">
        <v>7224</v>
      </c>
      <c r="C6227" s="66" t="s">
        <v>7225</v>
      </c>
      <c r="D6227" s="11">
        <v>12437.51</v>
      </c>
      <c r="E6227" s="11">
        <v>12437.51</v>
      </c>
      <c r="F6227" s="3">
        <v>39052</v>
      </c>
      <c r="G6227" s="2"/>
      <c r="H6227" s="3">
        <v>43053</v>
      </c>
      <c r="I6227" s="2" t="s">
        <v>19506</v>
      </c>
      <c r="J6227" s="2" t="s">
        <v>13904</v>
      </c>
      <c r="K6227" s="2" t="s">
        <v>5657</v>
      </c>
      <c r="L6227" s="82" t="s">
        <v>19512</v>
      </c>
    </row>
    <row r="6228" spans="1:12" ht="84" customHeight="1" x14ac:dyDescent="0.3">
      <c r="A6228" s="2">
        <v>6224</v>
      </c>
      <c r="B6228" s="66" t="s">
        <v>7226</v>
      </c>
      <c r="C6228" s="66" t="s">
        <v>4265</v>
      </c>
      <c r="D6228" s="11">
        <v>5300</v>
      </c>
      <c r="E6228" s="11">
        <v>5300</v>
      </c>
      <c r="F6228" s="3">
        <v>41771</v>
      </c>
      <c r="G6228" s="2"/>
      <c r="H6228" s="3">
        <v>43053</v>
      </c>
      <c r="I6228" s="2" t="s">
        <v>19506</v>
      </c>
      <c r="J6228" s="2" t="s">
        <v>13904</v>
      </c>
      <c r="K6228" s="2" t="s">
        <v>5657</v>
      </c>
      <c r="L6228" s="82" t="s">
        <v>19512</v>
      </c>
    </row>
    <row r="6229" spans="1:12" ht="84" customHeight="1" x14ac:dyDescent="0.3">
      <c r="A6229" s="2">
        <v>6225</v>
      </c>
      <c r="B6229" s="66" t="s">
        <v>7227</v>
      </c>
      <c r="C6229" s="66" t="s">
        <v>4289</v>
      </c>
      <c r="D6229" s="11">
        <v>3860</v>
      </c>
      <c r="E6229" s="11">
        <v>3860</v>
      </c>
      <c r="F6229" s="3">
        <v>41614</v>
      </c>
      <c r="G6229" s="2"/>
      <c r="H6229" s="3">
        <v>43053</v>
      </c>
      <c r="I6229" s="2" t="s">
        <v>19506</v>
      </c>
      <c r="J6229" s="2" t="s">
        <v>13904</v>
      </c>
      <c r="K6229" s="2" t="s">
        <v>5657</v>
      </c>
      <c r="L6229" s="82" t="s">
        <v>19512</v>
      </c>
    </row>
    <row r="6230" spans="1:12" ht="84" customHeight="1" x14ac:dyDescent="0.3">
      <c r="A6230" s="2">
        <v>6226</v>
      </c>
      <c r="B6230" s="66" t="s">
        <v>7228</v>
      </c>
      <c r="C6230" s="66" t="s">
        <v>4269</v>
      </c>
      <c r="D6230" s="11">
        <v>6719</v>
      </c>
      <c r="E6230" s="11">
        <v>6719</v>
      </c>
      <c r="F6230" s="3">
        <v>41873</v>
      </c>
      <c r="G6230" s="2"/>
      <c r="H6230" s="3">
        <v>43053</v>
      </c>
      <c r="I6230" s="2" t="s">
        <v>19506</v>
      </c>
      <c r="J6230" s="2" t="s">
        <v>13904</v>
      </c>
      <c r="K6230" s="2" t="s">
        <v>5657</v>
      </c>
      <c r="L6230" s="82" t="s">
        <v>19512</v>
      </c>
    </row>
    <row r="6231" spans="1:12" ht="84" customHeight="1" x14ac:dyDescent="0.3">
      <c r="A6231" s="2">
        <v>6227</v>
      </c>
      <c r="B6231" s="66" t="s">
        <v>7229</v>
      </c>
      <c r="C6231" s="66" t="s">
        <v>4275</v>
      </c>
      <c r="D6231" s="11">
        <v>3729</v>
      </c>
      <c r="E6231" s="11">
        <v>3729</v>
      </c>
      <c r="F6231" s="3">
        <v>41873</v>
      </c>
      <c r="G6231" s="2"/>
      <c r="H6231" s="3">
        <v>43053</v>
      </c>
      <c r="I6231" s="2" t="s">
        <v>19506</v>
      </c>
      <c r="J6231" s="2" t="s">
        <v>13904</v>
      </c>
      <c r="K6231" s="2" t="s">
        <v>5657</v>
      </c>
      <c r="L6231" s="82" t="s">
        <v>19512</v>
      </c>
    </row>
    <row r="6232" spans="1:12" ht="84" customHeight="1" x14ac:dyDescent="0.3">
      <c r="A6232" s="2">
        <v>6228</v>
      </c>
      <c r="B6232" s="66" t="s">
        <v>7230</v>
      </c>
      <c r="C6232" s="66" t="s">
        <v>4270</v>
      </c>
      <c r="D6232" s="11">
        <v>14809.39</v>
      </c>
      <c r="E6232" s="11">
        <v>14809.39</v>
      </c>
      <c r="F6232" s="3">
        <v>41873</v>
      </c>
      <c r="G6232" s="2"/>
      <c r="H6232" s="3">
        <v>43053</v>
      </c>
      <c r="I6232" s="2" t="s">
        <v>19506</v>
      </c>
      <c r="J6232" s="2" t="s">
        <v>13904</v>
      </c>
      <c r="K6232" s="2" t="s">
        <v>5657</v>
      </c>
      <c r="L6232" s="82" t="s">
        <v>19512</v>
      </c>
    </row>
    <row r="6233" spans="1:12" ht="84" customHeight="1" x14ac:dyDescent="0.3">
      <c r="A6233" s="2">
        <v>6229</v>
      </c>
      <c r="B6233" s="66" t="s">
        <v>7231</v>
      </c>
      <c r="C6233" s="66" t="s">
        <v>7232</v>
      </c>
      <c r="D6233" s="11">
        <v>25000</v>
      </c>
      <c r="E6233" s="11">
        <v>25000</v>
      </c>
      <c r="F6233" s="3">
        <v>41240</v>
      </c>
      <c r="G6233" s="2"/>
      <c r="H6233" s="3">
        <v>43053</v>
      </c>
      <c r="I6233" s="2" t="s">
        <v>19506</v>
      </c>
      <c r="J6233" s="2" t="s">
        <v>13904</v>
      </c>
      <c r="K6233" s="2" t="s">
        <v>5657</v>
      </c>
      <c r="L6233" s="82" t="s">
        <v>19512</v>
      </c>
    </row>
    <row r="6234" spans="1:12" ht="84" customHeight="1" x14ac:dyDescent="0.3">
      <c r="A6234" s="2">
        <v>6230</v>
      </c>
      <c r="B6234" s="66" t="s">
        <v>7233</v>
      </c>
      <c r="C6234" s="66" t="s">
        <v>7234</v>
      </c>
      <c r="D6234" s="11">
        <v>28000</v>
      </c>
      <c r="E6234" s="11">
        <v>28000</v>
      </c>
      <c r="F6234" s="3">
        <v>41240</v>
      </c>
      <c r="G6234" s="2"/>
      <c r="H6234" s="3">
        <v>43053</v>
      </c>
      <c r="I6234" s="2" t="s">
        <v>19506</v>
      </c>
      <c r="J6234" s="2" t="s">
        <v>13904</v>
      </c>
      <c r="K6234" s="2" t="s">
        <v>5657</v>
      </c>
      <c r="L6234" s="82" t="s">
        <v>19512</v>
      </c>
    </row>
    <row r="6235" spans="1:12" ht="84" customHeight="1" x14ac:dyDescent="0.3">
      <c r="A6235" s="2">
        <v>6231</v>
      </c>
      <c r="B6235" s="66" t="s">
        <v>7235</v>
      </c>
      <c r="C6235" s="66" t="s">
        <v>7236</v>
      </c>
      <c r="D6235" s="11">
        <v>6800</v>
      </c>
      <c r="E6235" s="11">
        <v>6800</v>
      </c>
      <c r="F6235" s="3">
        <v>41240</v>
      </c>
      <c r="G6235" s="2"/>
      <c r="H6235" s="3">
        <v>43053</v>
      </c>
      <c r="I6235" s="2" t="s">
        <v>19506</v>
      </c>
      <c r="J6235" s="2" t="s">
        <v>13904</v>
      </c>
      <c r="K6235" s="2" t="s">
        <v>5657</v>
      </c>
      <c r="L6235" s="82" t="s">
        <v>19512</v>
      </c>
    </row>
    <row r="6236" spans="1:12" ht="84" customHeight="1" x14ac:dyDescent="0.3">
      <c r="A6236" s="2">
        <v>6232</v>
      </c>
      <c r="B6236" s="66" t="s">
        <v>7237</v>
      </c>
      <c r="C6236" s="66" t="s">
        <v>7238</v>
      </c>
      <c r="D6236" s="11">
        <v>5000</v>
      </c>
      <c r="E6236" s="11">
        <v>5000</v>
      </c>
      <c r="F6236" s="3">
        <v>41240</v>
      </c>
      <c r="G6236" s="2"/>
      <c r="H6236" s="3">
        <v>43053</v>
      </c>
      <c r="I6236" s="2" t="s">
        <v>19506</v>
      </c>
      <c r="J6236" s="2" t="s">
        <v>13904</v>
      </c>
      <c r="K6236" s="2" t="s">
        <v>5657</v>
      </c>
      <c r="L6236" s="82" t="s">
        <v>19512</v>
      </c>
    </row>
    <row r="6237" spans="1:12" ht="84" customHeight="1" x14ac:dyDescent="0.3">
      <c r="A6237" s="2">
        <v>6233</v>
      </c>
      <c r="B6237" s="66" t="s">
        <v>7239</v>
      </c>
      <c r="C6237" s="66" t="s">
        <v>7240</v>
      </c>
      <c r="D6237" s="11">
        <v>22300</v>
      </c>
      <c r="E6237" s="11">
        <v>22300</v>
      </c>
      <c r="F6237" s="3">
        <v>41240</v>
      </c>
      <c r="G6237" s="2"/>
      <c r="H6237" s="3">
        <v>43053</v>
      </c>
      <c r="I6237" s="2" t="s">
        <v>19506</v>
      </c>
      <c r="J6237" s="2" t="s">
        <v>13904</v>
      </c>
      <c r="K6237" s="2" t="s">
        <v>5657</v>
      </c>
      <c r="L6237" s="82" t="s">
        <v>19512</v>
      </c>
    </row>
    <row r="6238" spans="1:12" ht="84" customHeight="1" x14ac:dyDescent="0.3">
      <c r="A6238" s="2">
        <v>6234</v>
      </c>
      <c r="B6238" s="66" t="s">
        <v>7241</v>
      </c>
      <c r="C6238" s="66" t="s">
        <v>7242</v>
      </c>
      <c r="D6238" s="11">
        <v>5995.1</v>
      </c>
      <c r="E6238" s="11">
        <v>5995.1</v>
      </c>
      <c r="F6238" s="3">
        <v>39052</v>
      </c>
      <c r="G6238" s="2"/>
      <c r="H6238" s="3">
        <v>43053</v>
      </c>
      <c r="I6238" s="2" t="s">
        <v>19506</v>
      </c>
      <c r="J6238" s="2" t="s">
        <v>13904</v>
      </c>
      <c r="K6238" s="2" t="s">
        <v>5657</v>
      </c>
      <c r="L6238" s="82" t="s">
        <v>19512</v>
      </c>
    </row>
    <row r="6239" spans="1:12" ht="84" customHeight="1" x14ac:dyDescent="0.3">
      <c r="A6239" s="2">
        <v>6235</v>
      </c>
      <c r="B6239" s="66" t="s">
        <v>264</v>
      </c>
      <c r="C6239" s="66" t="s">
        <v>7243</v>
      </c>
      <c r="D6239" s="11">
        <v>3804.06</v>
      </c>
      <c r="E6239" s="11">
        <v>3804.06</v>
      </c>
      <c r="F6239" s="3">
        <v>39052</v>
      </c>
      <c r="G6239" s="2"/>
      <c r="H6239" s="3">
        <v>43053</v>
      </c>
      <c r="I6239" s="2" t="s">
        <v>19506</v>
      </c>
      <c r="J6239" s="2" t="s">
        <v>13904</v>
      </c>
      <c r="K6239" s="2" t="s">
        <v>5657</v>
      </c>
      <c r="L6239" s="82" t="s">
        <v>19512</v>
      </c>
    </row>
    <row r="6240" spans="1:12" ht="84" customHeight="1" x14ac:dyDescent="0.3">
      <c r="A6240" s="2">
        <v>6236</v>
      </c>
      <c r="B6240" s="66" t="s">
        <v>7244</v>
      </c>
      <c r="C6240" s="66" t="s">
        <v>7245</v>
      </c>
      <c r="D6240" s="11">
        <v>11566.8</v>
      </c>
      <c r="E6240" s="11">
        <v>11566.8</v>
      </c>
      <c r="F6240" s="3">
        <v>39052</v>
      </c>
      <c r="G6240" s="2"/>
      <c r="H6240" s="3">
        <v>43053</v>
      </c>
      <c r="I6240" s="2" t="s">
        <v>19506</v>
      </c>
      <c r="J6240" s="2" t="s">
        <v>13904</v>
      </c>
      <c r="K6240" s="2" t="s">
        <v>5657</v>
      </c>
      <c r="L6240" s="82" t="s">
        <v>19512</v>
      </c>
    </row>
    <row r="6241" spans="1:12" ht="84" customHeight="1" x14ac:dyDescent="0.3">
      <c r="A6241" s="2">
        <v>6237</v>
      </c>
      <c r="B6241" s="66" t="s">
        <v>7145</v>
      </c>
      <c r="C6241" s="66" t="s">
        <v>7246</v>
      </c>
      <c r="D6241" s="11">
        <v>6005.37</v>
      </c>
      <c r="E6241" s="11">
        <v>6005.37</v>
      </c>
      <c r="F6241" s="3">
        <v>39052</v>
      </c>
      <c r="G6241" s="2"/>
      <c r="H6241" s="3">
        <v>43053</v>
      </c>
      <c r="I6241" s="2" t="s">
        <v>19506</v>
      </c>
      <c r="J6241" s="2" t="s">
        <v>13904</v>
      </c>
      <c r="K6241" s="2" t="s">
        <v>5657</v>
      </c>
      <c r="L6241" s="82" t="s">
        <v>19512</v>
      </c>
    </row>
    <row r="6242" spans="1:12" ht="84" customHeight="1" x14ac:dyDescent="0.3">
      <c r="A6242" s="2">
        <v>6238</v>
      </c>
      <c r="B6242" s="66" t="s">
        <v>7247</v>
      </c>
      <c r="C6242" s="66" t="s">
        <v>7248</v>
      </c>
      <c r="D6242" s="11">
        <v>7190.6</v>
      </c>
      <c r="E6242" s="11">
        <v>7190.6</v>
      </c>
      <c r="F6242" s="3">
        <v>39065</v>
      </c>
      <c r="G6242" s="2"/>
      <c r="H6242" s="3">
        <v>43053</v>
      </c>
      <c r="I6242" s="2" t="s">
        <v>19506</v>
      </c>
      <c r="J6242" s="2" t="s">
        <v>13904</v>
      </c>
      <c r="K6242" s="2" t="s">
        <v>5657</v>
      </c>
      <c r="L6242" s="82" t="s">
        <v>19512</v>
      </c>
    </row>
    <row r="6243" spans="1:12" ht="84" customHeight="1" x14ac:dyDescent="0.3">
      <c r="A6243" s="2">
        <v>6239</v>
      </c>
      <c r="B6243" s="66" t="s">
        <v>6993</v>
      </c>
      <c r="C6243" s="66" t="s">
        <v>7249</v>
      </c>
      <c r="D6243" s="11">
        <v>3551.54</v>
      </c>
      <c r="E6243" s="11">
        <v>3551.54</v>
      </c>
      <c r="F6243" s="3">
        <v>39052</v>
      </c>
      <c r="G6243" s="2"/>
      <c r="H6243" s="3">
        <v>43053</v>
      </c>
      <c r="I6243" s="2" t="s">
        <v>19506</v>
      </c>
      <c r="J6243" s="2" t="s">
        <v>13904</v>
      </c>
      <c r="K6243" s="2" t="s">
        <v>5657</v>
      </c>
      <c r="L6243" s="82" t="s">
        <v>19512</v>
      </c>
    </row>
    <row r="6244" spans="1:12" ht="84" customHeight="1" x14ac:dyDescent="0.3">
      <c r="A6244" s="2">
        <v>6240</v>
      </c>
      <c r="B6244" s="66" t="s">
        <v>7250</v>
      </c>
      <c r="C6244" s="66" t="s">
        <v>7251</v>
      </c>
      <c r="D6244" s="11">
        <v>19945.21</v>
      </c>
      <c r="E6244" s="11">
        <v>19945.21</v>
      </c>
      <c r="F6244" s="3">
        <v>39052</v>
      </c>
      <c r="G6244" s="2"/>
      <c r="H6244" s="3">
        <v>43053</v>
      </c>
      <c r="I6244" s="2" t="s">
        <v>19506</v>
      </c>
      <c r="J6244" s="2" t="s">
        <v>13904</v>
      </c>
      <c r="K6244" s="2" t="s">
        <v>5657</v>
      </c>
      <c r="L6244" s="82" t="s">
        <v>19512</v>
      </c>
    </row>
    <row r="6245" spans="1:12" ht="84" customHeight="1" x14ac:dyDescent="0.3">
      <c r="A6245" s="2">
        <v>6241</v>
      </c>
      <c r="B6245" s="66" t="s">
        <v>7252</v>
      </c>
      <c r="C6245" s="66" t="s">
        <v>7253</v>
      </c>
      <c r="D6245" s="11">
        <v>17764.900000000001</v>
      </c>
      <c r="E6245" s="11">
        <v>17764.900000000001</v>
      </c>
      <c r="F6245" s="3">
        <v>39142</v>
      </c>
      <c r="G6245" s="2"/>
      <c r="H6245" s="3">
        <v>43053</v>
      </c>
      <c r="I6245" s="2" t="s">
        <v>19506</v>
      </c>
      <c r="J6245" s="2" t="s">
        <v>13904</v>
      </c>
      <c r="K6245" s="2" t="s">
        <v>5657</v>
      </c>
      <c r="L6245" s="82" t="s">
        <v>19512</v>
      </c>
    </row>
    <row r="6246" spans="1:12" ht="84" customHeight="1" x14ac:dyDescent="0.3">
      <c r="A6246" s="2">
        <v>6242</v>
      </c>
      <c r="B6246" s="66" t="s">
        <v>7252</v>
      </c>
      <c r="C6246" s="66" t="s">
        <v>7254</v>
      </c>
      <c r="D6246" s="11">
        <v>17764.900000000001</v>
      </c>
      <c r="E6246" s="11">
        <v>17764.900000000001</v>
      </c>
      <c r="F6246" s="3">
        <v>39142</v>
      </c>
      <c r="G6246" s="2"/>
      <c r="H6246" s="3">
        <v>43053</v>
      </c>
      <c r="I6246" s="2" t="s">
        <v>19506</v>
      </c>
      <c r="J6246" s="2" t="s">
        <v>13904</v>
      </c>
      <c r="K6246" s="2" t="s">
        <v>5657</v>
      </c>
      <c r="L6246" s="82" t="s">
        <v>19512</v>
      </c>
    </row>
    <row r="6247" spans="1:12" ht="84" customHeight="1" x14ac:dyDescent="0.3">
      <c r="A6247" s="2">
        <v>6243</v>
      </c>
      <c r="B6247" s="66" t="s">
        <v>7255</v>
      </c>
      <c r="C6247" s="66" t="s">
        <v>7256</v>
      </c>
      <c r="D6247" s="11">
        <v>17764.900000000001</v>
      </c>
      <c r="E6247" s="11">
        <v>17764.900000000001</v>
      </c>
      <c r="F6247" s="3">
        <v>39142</v>
      </c>
      <c r="G6247" s="2"/>
      <c r="H6247" s="3">
        <v>43053</v>
      </c>
      <c r="I6247" s="2" t="s">
        <v>19506</v>
      </c>
      <c r="J6247" s="2" t="s">
        <v>13904</v>
      </c>
      <c r="K6247" s="2" t="s">
        <v>5657</v>
      </c>
      <c r="L6247" s="82" t="s">
        <v>19512</v>
      </c>
    </row>
    <row r="6248" spans="1:12" ht="84" customHeight="1" x14ac:dyDescent="0.3">
      <c r="A6248" s="2">
        <v>6244</v>
      </c>
      <c r="B6248" s="66" t="s">
        <v>7257</v>
      </c>
      <c r="C6248" s="66" t="s">
        <v>7258</v>
      </c>
      <c r="D6248" s="11">
        <v>16454.5</v>
      </c>
      <c r="E6248" s="11">
        <v>16454.5</v>
      </c>
      <c r="F6248" s="3">
        <v>39052</v>
      </c>
      <c r="G6248" s="2"/>
      <c r="H6248" s="3">
        <v>43053</v>
      </c>
      <c r="I6248" s="2" t="s">
        <v>19506</v>
      </c>
      <c r="J6248" s="2" t="s">
        <v>13904</v>
      </c>
      <c r="K6248" s="2" t="s">
        <v>5657</v>
      </c>
      <c r="L6248" s="82" t="s">
        <v>19512</v>
      </c>
    </row>
    <row r="6249" spans="1:12" ht="84" customHeight="1" x14ac:dyDescent="0.3">
      <c r="A6249" s="2">
        <v>6245</v>
      </c>
      <c r="B6249" s="66" t="s">
        <v>7259</v>
      </c>
      <c r="C6249" s="66" t="s">
        <v>7260</v>
      </c>
      <c r="D6249" s="11">
        <v>16454.5</v>
      </c>
      <c r="E6249" s="11">
        <v>16454.5</v>
      </c>
      <c r="F6249" s="3">
        <v>39052</v>
      </c>
      <c r="G6249" s="2"/>
      <c r="H6249" s="3">
        <v>43053</v>
      </c>
      <c r="I6249" s="2" t="s">
        <v>19506</v>
      </c>
      <c r="J6249" s="2" t="s">
        <v>13904</v>
      </c>
      <c r="K6249" s="2" t="s">
        <v>5657</v>
      </c>
      <c r="L6249" s="82" t="s">
        <v>19512</v>
      </c>
    </row>
    <row r="6250" spans="1:12" ht="84" customHeight="1" x14ac:dyDescent="0.3">
      <c r="A6250" s="2">
        <v>6246</v>
      </c>
      <c r="B6250" s="66" t="s">
        <v>7261</v>
      </c>
      <c r="C6250" s="66" t="s">
        <v>7262</v>
      </c>
      <c r="D6250" s="11">
        <v>16454.5</v>
      </c>
      <c r="E6250" s="11">
        <v>16454.5</v>
      </c>
      <c r="F6250" s="3">
        <v>39052</v>
      </c>
      <c r="G6250" s="2"/>
      <c r="H6250" s="3">
        <v>43053</v>
      </c>
      <c r="I6250" s="2" t="s">
        <v>19506</v>
      </c>
      <c r="J6250" s="2" t="s">
        <v>13904</v>
      </c>
      <c r="K6250" s="2" t="s">
        <v>5657</v>
      </c>
      <c r="L6250" s="82" t="s">
        <v>19512</v>
      </c>
    </row>
    <row r="6251" spans="1:12" ht="84" customHeight="1" x14ac:dyDescent="0.3">
      <c r="A6251" s="2">
        <v>6247</v>
      </c>
      <c r="B6251" s="66" t="s">
        <v>7263</v>
      </c>
      <c r="C6251" s="66" t="s">
        <v>7264</v>
      </c>
      <c r="D6251" s="11">
        <v>16454.5</v>
      </c>
      <c r="E6251" s="11">
        <v>16454.5</v>
      </c>
      <c r="F6251" s="3">
        <v>39052</v>
      </c>
      <c r="G6251" s="2"/>
      <c r="H6251" s="3">
        <v>43053</v>
      </c>
      <c r="I6251" s="2" t="s">
        <v>19506</v>
      </c>
      <c r="J6251" s="2" t="s">
        <v>13904</v>
      </c>
      <c r="K6251" s="2" t="s">
        <v>5657</v>
      </c>
      <c r="L6251" s="82" t="s">
        <v>19512</v>
      </c>
    </row>
    <row r="6252" spans="1:12" ht="84" customHeight="1" x14ac:dyDescent="0.3">
      <c r="A6252" s="2">
        <v>6248</v>
      </c>
      <c r="B6252" s="66" t="s">
        <v>7261</v>
      </c>
      <c r="C6252" s="66" t="s">
        <v>7265</v>
      </c>
      <c r="D6252" s="11">
        <v>16454.5</v>
      </c>
      <c r="E6252" s="11">
        <v>16454.5</v>
      </c>
      <c r="F6252" s="3">
        <v>39052</v>
      </c>
      <c r="G6252" s="2"/>
      <c r="H6252" s="3">
        <v>43053</v>
      </c>
      <c r="I6252" s="2" t="s">
        <v>19506</v>
      </c>
      <c r="J6252" s="2" t="s">
        <v>13904</v>
      </c>
      <c r="K6252" s="2" t="s">
        <v>5657</v>
      </c>
      <c r="L6252" s="82" t="s">
        <v>19512</v>
      </c>
    </row>
    <row r="6253" spans="1:12" ht="84" customHeight="1" x14ac:dyDescent="0.3">
      <c r="A6253" s="2">
        <v>6249</v>
      </c>
      <c r="B6253" s="66" t="s">
        <v>7263</v>
      </c>
      <c r="C6253" s="66" t="s">
        <v>7266</v>
      </c>
      <c r="D6253" s="11">
        <v>16454.900000000001</v>
      </c>
      <c r="E6253" s="11">
        <v>16454.900000000001</v>
      </c>
      <c r="F6253" s="3">
        <v>39052</v>
      </c>
      <c r="G6253" s="2"/>
      <c r="H6253" s="3">
        <v>43053</v>
      </c>
      <c r="I6253" s="2" t="s">
        <v>19506</v>
      </c>
      <c r="J6253" s="2" t="s">
        <v>13904</v>
      </c>
      <c r="K6253" s="2" t="s">
        <v>5657</v>
      </c>
      <c r="L6253" s="82" t="s">
        <v>19512</v>
      </c>
    </row>
    <row r="6254" spans="1:12" ht="84" customHeight="1" x14ac:dyDescent="0.3">
      <c r="A6254" s="2">
        <v>6250</v>
      </c>
      <c r="B6254" s="66" t="s">
        <v>7261</v>
      </c>
      <c r="C6254" s="66" t="s">
        <v>7267</v>
      </c>
      <c r="D6254" s="11">
        <v>16454.5</v>
      </c>
      <c r="E6254" s="11">
        <v>16454.5</v>
      </c>
      <c r="F6254" s="3">
        <v>39052</v>
      </c>
      <c r="G6254" s="2"/>
      <c r="H6254" s="3">
        <v>43053</v>
      </c>
      <c r="I6254" s="2" t="s">
        <v>19506</v>
      </c>
      <c r="J6254" s="2" t="s">
        <v>13904</v>
      </c>
      <c r="K6254" s="2" t="s">
        <v>5657</v>
      </c>
      <c r="L6254" s="82" t="s">
        <v>19512</v>
      </c>
    </row>
    <row r="6255" spans="1:12" ht="84" customHeight="1" x14ac:dyDescent="0.3">
      <c r="A6255" s="2">
        <v>6251</v>
      </c>
      <c r="B6255" s="66" t="s">
        <v>7261</v>
      </c>
      <c r="C6255" s="66" t="s">
        <v>7268</v>
      </c>
      <c r="D6255" s="11">
        <v>16454.5</v>
      </c>
      <c r="E6255" s="11">
        <v>16454.5</v>
      </c>
      <c r="F6255" s="3">
        <v>39052</v>
      </c>
      <c r="G6255" s="2"/>
      <c r="H6255" s="3">
        <v>43053</v>
      </c>
      <c r="I6255" s="2" t="s">
        <v>19506</v>
      </c>
      <c r="J6255" s="2" t="s">
        <v>13904</v>
      </c>
      <c r="K6255" s="2" t="s">
        <v>5657</v>
      </c>
      <c r="L6255" s="82" t="s">
        <v>19512</v>
      </c>
    </row>
    <row r="6256" spans="1:12" ht="84" customHeight="1" x14ac:dyDescent="0.3">
      <c r="A6256" s="2">
        <v>6252</v>
      </c>
      <c r="B6256" s="66" t="s">
        <v>7263</v>
      </c>
      <c r="C6256" s="66" t="s">
        <v>7269</v>
      </c>
      <c r="D6256" s="11">
        <v>16454.5</v>
      </c>
      <c r="E6256" s="11">
        <v>16454.5</v>
      </c>
      <c r="F6256" s="3">
        <v>39052</v>
      </c>
      <c r="G6256" s="2"/>
      <c r="H6256" s="3">
        <v>43053</v>
      </c>
      <c r="I6256" s="2" t="s">
        <v>19506</v>
      </c>
      <c r="J6256" s="2" t="s">
        <v>13904</v>
      </c>
      <c r="K6256" s="2" t="s">
        <v>5657</v>
      </c>
      <c r="L6256" s="82" t="s">
        <v>19512</v>
      </c>
    </row>
    <row r="6257" spans="1:12" ht="84" customHeight="1" x14ac:dyDescent="0.3">
      <c r="A6257" s="2">
        <v>6253</v>
      </c>
      <c r="B6257" s="66" t="s">
        <v>7261</v>
      </c>
      <c r="C6257" s="66" t="s">
        <v>7270</v>
      </c>
      <c r="D6257" s="11">
        <v>16454.5</v>
      </c>
      <c r="E6257" s="11">
        <v>16454.5</v>
      </c>
      <c r="F6257" s="3">
        <v>39052</v>
      </c>
      <c r="G6257" s="2"/>
      <c r="H6257" s="3">
        <v>43053</v>
      </c>
      <c r="I6257" s="2" t="s">
        <v>19506</v>
      </c>
      <c r="J6257" s="2" t="s">
        <v>13904</v>
      </c>
      <c r="K6257" s="2" t="s">
        <v>5657</v>
      </c>
      <c r="L6257" s="82" t="s">
        <v>19512</v>
      </c>
    </row>
    <row r="6258" spans="1:12" ht="84" customHeight="1" x14ac:dyDescent="0.3">
      <c r="A6258" s="2">
        <v>6254</v>
      </c>
      <c r="B6258" s="66" t="s">
        <v>7263</v>
      </c>
      <c r="C6258" s="66" t="s">
        <v>7271</v>
      </c>
      <c r="D6258" s="11">
        <v>16454.5</v>
      </c>
      <c r="E6258" s="11">
        <v>16454.5</v>
      </c>
      <c r="F6258" s="3">
        <v>39052</v>
      </c>
      <c r="G6258" s="2"/>
      <c r="H6258" s="3">
        <v>43053</v>
      </c>
      <c r="I6258" s="2" t="s">
        <v>19506</v>
      </c>
      <c r="J6258" s="2" t="s">
        <v>13904</v>
      </c>
      <c r="K6258" s="2" t="s">
        <v>5657</v>
      </c>
      <c r="L6258" s="82" t="s">
        <v>19512</v>
      </c>
    </row>
    <row r="6259" spans="1:12" ht="84" customHeight="1" x14ac:dyDescent="0.3">
      <c r="A6259" s="2">
        <v>6255</v>
      </c>
      <c r="B6259" s="66" t="s">
        <v>7272</v>
      </c>
      <c r="C6259" s="66" t="s">
        <v>7273</v>
      </c>
      <c r="D6259" s="11">
        <v>43260</v>
      </c>
      <c r="E6259" s="11">
        <v>43260</v>
      </c>
      <c r="F6259" s="3">
        <v>39052</v>
      </c>
      <c r="G6259" s="2"/>
      <c r="H6259" s="3">
        <v>43053</v>
      </c>
      <c r="I6259" s="2" t="s">
        <v>19506</v>
      </c>
      <c r="J6259" s="2" t="s">
        <v>13904</v>
      </c>
      <c r="K6259" s="2" t="s">
        <v>5657</v>
      </c>
      <c r="L6259" s="82" t="s">
        <v>19512</v>
      </c>
    </row>
    <row r="6260" spans="1:12" ht="84" customHeight="1" x14ac:dyDescent="0.3">
      <c r="A6260" s="2">
        <v>6256</v>
      </c>
      <c r="B6260" s="66" t="s">
        <v>7274</v>
      </c>
      <c r="C6260" s="66" t="s">
        <v>7275</v>
      </c>
      <c r="D6260" s="11">
        <v>8191.1</v>
      </c>
      <c r="E6260" s="11">
        <v>8191.1</v>
      </c>
      <c r="F6260" s="3">
        <v>39052</v>
      </c>
      <c r="G6260" s="2"/>
      <c r="H6260" s="3">
        <v>43053</v>
      </c>
      <c r="I6260" s="2" t="s">
        <v>19506</v>
      </c>
      <c r="J6260" s="2" t="s">
        <v>13904</v>
      </c>
      <c r="K6260" s="2" t="s">
        <v>5657</v>
      </c>
      <c r="L6260" s="82" t="s">
        <v>19512</v>
      </c>
    </row>
    <row r="6261" spans="1:12" ht="84" customHeight="1" x14ac:dyDescent="0.3">
      <c r="A6261" s="2">
        <v>6257</v>
      </c>
      <c r="B6261" s="66" t="s">
        <v>7276</v>
      </c>
      <c r="C6261" s="66" t="s">
        <v>7277</v>
      </c>
      <c r="D6261" s="11">
        <v>8191.1</v>
      </c>
      <c r="E6261" s="11">
        <v>8191.1</v>
      </c>
      <c r="F6261" s="3">
        <v>39052</v>
      </c>
      <c r="G6261" s="2"/>
      <c r="H6261" s="3">
        <v>43053</v>
      </c>
      <c r="I6261" s="2" t="s">
        <v>19506</v>
      </c>
      <c r="J6261" s="2" t="s">
        <v>13904</v>
      </c>
      <c r="K6261" s="2" t="s">
        <v>5657</v>
      </c>
      <c r="L6261" s="82" t="s">
        <v>19512</v>
      </c>
    </row>
    <row r="6262" spans="1:12" ht="84" customHeight="1" x14ac:dyDescent="0.3">
      <c r="A6262" s="2">
        <v>6258</v>
      </c>
      <c r="B6262" s="66" t="s">
        <v>7278</v>
      </c>
      <c r="C6262" s="66" t="s">
        <v>7279</v>
      </c>
      <c r="D6262" s="11">
        <v>8191.1</v>
      </c>
      <c r="E6262" s="11">
        <v>8191.1</v>
      </c>
      <c r="F6262" s="3">
        <v>39059</v>
      </c>
      <c r="G6262" s="2"/>
      <c r="H6262" s="3">
        <v>43053</v>
      </c>
      <c r="I6262" s="2" t="s">
        <v>19506</v>
      </c>
      <c r="J6262" s="2" t="s">
        <v>13904</v>
      </c>
      <c r="K6262" s="2" t="s">
        <v>5657</v>
      </c>
      <c r="L6262" s="82" t="s">
        <v>19512</v>
      </c>
    </row>
    <row r="6263" spans="1:12" ht="84" customHeight="1" x14ac:dyDescent="0.3">
      <c r="A6263" s="2">
        <v>6259</v>
      </c>
      <c r="B6263" s="66" t="s">
        <v>7280</v>
      </c>
      <c r="C6263" s="66" t="s">
        <v>7281</v>
      </c>
      <c r="D6263" s="11">
        <v>8191.1</v>
      </c>
      <c r="E6263" s="11">
        <v>8191.1</v>
      </c>
      <c r="F6263" s="3">
        <v>39052</v>
      </c>
      <c r="G6263" s="2"/>
      <c r="H6263" s="3">
        <v>43053</v>
      </c>
      <c r="I6263" s="2" t="s">
        <v>19506</v>
      </c>
      <c r="J6263" s="2" t="s">
        <v>13904</v>
      </c>
      <c r="K6263" s="2" t="s">
        <v>5657</v>
      </c>
      <c r="L6263" s="82" t="s">
        <v>19512</v>
      </c>
    </row>
    <row r="6264" spans="1:12" ht="84" customHeight="1" x14ac:dyDescent="0.3">
      <c r="A6264" s="2">
        <v>6260</v>
      </c>
      <c r="B6264" s="66" t="s">
        <v>7282</v>
      </c>
      <c r="C6264" s="66" t="s">
        <v>7283</v>
      </c>
      <c r="D6264" s="11">
        <v>8191.1</v>
      </c>
      <c r="E6264" s="11">
        <v>8191.1</v>
      </c>
      <c r="F6264" s="3">
        <v>39052</v>
      </c>
      <c r="G6264" s="2"/>
      <c r="H6264" s="3">
        <v>43053</v>
      </c>
      <c r="I6264" s="2" t="s">
        <v>19506</v>
      </c>
      <c r="J6264" s="2" t="s">
        <v>13904</v>
      </c>
      <c r="K6264" s="2" t="s">
        <v>5657</v>
      </c>
      <c r="L6264" s="82" t="s">
        <v>19512</v>
      </c>
    </row>
    <row r="6265" spans="1:12" ht="84" customHeight="1" x14ac:dyDescent="0.3">
      <c r="A6265" s="2">
        <v>6261</v>
      </c>
      <c r="B6265" s="66" t="s">
        <v>7282</v>
      </c>
      <c r="C6265" s="66" t="s">
        <v>7284</v>
      </c>
      <c r="D6265" s="11">
        <v>8191.1</v>
      </c>
      <c r="E6265" s="11">
        <v>8191.1</v>
      </c>
      <c r="F6265" s="3">
        <v>39052</v>
      </c>
      <c r="G6265" s="2"/>
      <c r="H6265" s="3">
        <v>43053</v>
      </c>
      <c r="I6265" s="2" t="s">
        <v>19506</v>
      </c>
      <c r="J6265" s="2" t="s">
        <v>13904</v>
      </c>
      <c r="K6265" s="2" t="s">
        <v>5657</v>
      </c>
      <c r="L6265" s="82" t="s">
        <v>19512</v>
      </c>
    </row>
    <row r="6266" spans="1:12" ht="84" customHeight="1" x14ac:dyDescent="0.3">
      <c r="A6266" s="2">
        <v>6262</v>
      </c>
      <c r="B6266" s="66" t="s">
        <v>7282</v>
      </c>
      <c r="C6266" s="66" t="s">
        <v>7285</v>
      </c>
      <c r="D6266" s="11">
        <v>8191.1</v>
      </c>
      <c r="E6266" s="11">
        <v>8191.1</v>
      </c>
      <c r="F6266" s="3">
        <v>39052</v>
      </c>
      <c r="G6266" s="2"/>
      <c r="H6266" s="3">
        <v>43053</v>
      </c>
      <c r="I6266" s="2" t="s">
        <v>19506</v>
      </c>
      <c r="J6266" s="2" t="s">
        <v>13904</v>
      </c>
      <c r="K6266" s="2" t="s">
        <v>5657</v>
      </c>
      <c r="L6266" s="82" t="s">
        <v>19512</v>
      </c>
    </row>
    <row r="6267" spans="1:12" ht="84" customHeight="1" x14ac:dyDescent="0.3">
      <c r="A6267" s="2">
        <v>6263</v>
      </c>
      <c r="B6267" s="66" t="s">
        <v>7282</v>
      </c>
      <c r="C6267" s="66" t="s">
        <v>7286</v>
      </c>
      <c r="D6267" s="11">
        <v>8191.1</v>
      </c>
      <c r="E6267" s="11">
        <v>8191.1</v>
      </c>
      <c r="F6267" s="3">
        <v>39052</v>
      </c>
      <c r="G6267" s="2"/>
      <c r="H6267" s="3">
        <v>43053</v>
      </c>
      <c r="I6267" s="2" t="s">
        <v>19506</v>
      </c>
      <c r="J6267" s="2" t="s">
        <v>13904</v>
      </c>
      <c r="K6267" s="2" t="s">
        <v>5657</v>
      </c>
      <c r="L6267" s="82" t="s">
        <v>19512</v>
      </c>
    </row>
    <row r="6268" spans="1:12" ht="84" customHeight="1" x14ac:dyDescent="0.3">
      <c r="A6268" s="2">
        <v>6264</v>
      </c>
      <c r="B6268" s="66" t="s">
        <v>7287</v>
      </c>
      <c r="C6268" s="66" t="s">
        <v>7288</v>
      </c>
      <c r="D6268" s="11">
        <v>8191.1</v>
      </c>
      <c r="E6268" s="11">
        <v>8191.1</v>
      </c>
      <c r="F6268" s="3">
        <v>39052</v>
      </c>
      <c r="G6268" s="2"/>
      <c r="H6268" s="3">
        <v>43053</v>
      </c>
      <c r="I6268" s="2" t="s">
        <v>19506</v>
      </c>
      <c r="J6268" s="2" t="s">
        <v>13904</v>
      </c>
      <c r="K6268" s="2" t="s">
        <v>5657</v>
      </c>
      <c r="L6268" s="82" t="s">
        <v>19512</v>
      </c>
    </row>
    <row r="6269" spans="1:12" ht="84" customHeight="1" x14ac:dyDescent="0.3">
      <c r="A6269" s="2">
        <v>6265</v>
      </c>
      <c r="B6269" s="66" t="s">
        <v>7282</v>
      </c>
      <c r="C6269" s="66" t="s">
        <v>7289</v>
      </c>
      <c r="D6269" s="11">
        <v>8191.1</v>
      </c>
      <c r="E6269" s="11">
        <v>8191.1</v>
      </c>
      <c r="F6269" s="3">
        <v>39052</v>
      </c>
      <c r="G6269" s="2"/>
      <c r="H6269" s="3">
        <v>43053</v>
      </c>
      <c r="I6269" s="2" t="s">
        <v>19506</v>
      </c>
      <c r="J6269" s="2" t="s">
        <v>13904</v>
      </c>
      <c r="K6269" s="2" t="s">
        <v>5657</v>
      </c>
      <c r="L6269" s="82" t="s">
        <v>19512</v>
      </c>
    </row>
    <row r="6270" spans="1:12" ht="84" customHeight="1" x14ac:dyDescent="0.3">
      <c r="A6270" s="2">
        <v>6266</v>
      </c>
      <c r="B6270" s="66" t="s">
        <v>7282</v>
      </c>
      <c r="C6270" s="66" t="s">
        <v>7290</v>
      </c>
      <c r="D6270" s="11">
        <v>8191.1</v>
      </c>
      <c r="E6270" s="11">
        <v>8191.1</v>
      </c>
      <c r="F6270" s="3">
        <v>39052</v>
      </c>
      <c r="G6270" s="2"/>
      <c r="H6270" s="3">
        <v>43053</v>
      </c>
      <c r="I6270" s="2" t="s">
        <v>19506</v>
      </c>
      <c r="J6270" s="2" t="s">
        <v>13904</v>
      </c>
      <c r="K6270" s="2" t="s">
        <v>5657</v>
      </c>
      <c r="L6270" s="82" t="s">
        <v>19512</v>
      </c>
    </row>
    <row r="6271" spans="1:12" ht="84" customHeight="1" x14ac:dyDescent="0.3">
      <c r="A6271" s="2">
        <v>6267</v>
      </c>
      <c r="B6271" s="66" t="s">
        <v>7282</v>
      </c>
      <c r="C6271" s="66" t="s">
        <v>7291</v>
      </c>
      <c r="D6271" s="11">
        <v>8191.1</v>
      </c>
      <c r="E6271" s="11">
        <v>8191.1</v>
      </c>
      <c r="F6271" s="3">
        <v>39052</v>
      </c>
      <c r="G6271" s="2"/>
      <c r="H6271" s="3">
        <v>43053</v>
      </c>
      <c r="I6271" s="2" t="s">
        <v>19506</v>
      </c>
      <c r="J6271" s="2" t="s">
        <v>13904</v>
      </c>
      <c r="K6271" s="2" t="s">
        <v>5657</v>
      </c>
      <c r="L6271" s="82" t="s">
        <v>19512</v>
      </c>
    </row>
    <row r="6272" spans="1:12" ht="84" customHeight="1" x14ac:dyDescent="0.3">
      <c r="A6272" s="2">
        <v>6268</v>
      </c>
      <c r="B6272" s="66" t="s">
        <v>7282</v>
      </c>
      <c r="C6272" s="66" t="s">
        <v>7292</v>
      </c>
      <c r="D6272" s="11">
        <v>8191.1</v>
      </c>
      <c r="E6272" s="11">
        <v>8191.1</v>
      </c>
      <c r="F6272" s="3">
        <v>39052</v>
      </c>
      <c r="G6272" s="2"/>
      <c r="H6272" s="3">
        <v>43053</v>
      </c>
      <c r="I6272" s="2" t="s">
        <v>19506</v>
      </c>
      <c r="J6272" s="2" t="s">
        <v>13904</v>
      </c>
      <c r="K6272" s="2" t="s">
        <v>5657</v>
      </c>
      <c r="L6272" s="82" t="s">
        <v>19512</v>
      </c>
    </row>
    <row r="6273" spans="1:12" ht="84" customHeight="1" x14ac:dyDescent="0.3">
      <c r="A6273" s="2">
        <v>6269</v>
      </c>
      <c r="B6273" s="66" t="s">
        <v>7282</v>
      </c>
      <c r="C6273" s="66" t="s">
        <v>7293</v>
      </c>
      <c r="D6273" s="11">
        <v>8191.1</v>
      </c>
      <c r="E6273" s="11">
        <v>8191.1</v>
      </c>
      <c r="F6273" s="3">
        <v>39052</v>
      </c>
      <c r="G6273" s="2"/>
      <c r="H6273" s="3">
        <v>43053</v>
      </c>
      <c r="I6273" s="2" t="s">
        <v>19506</v>
      </c>
      <c r="J6273" s="2" t="s">
        <v>13904</v>
      </c>
      <c r="K6273" s="2" t="s">
        <v>5657</v>
      </c>
      <c r="L6273" s="82" t="s">
        <v>19512</v>
      </c>
    </row>
    <row r="6274" spans="1:12" ht="84" customHeight="1" x14ac:dyDescent="0.3">
      <c r="A6274" s="2">
        <v>6270</v>
      </c>
      <c r="B6274" s="66" t="s">
        <v>7282</v>
      </c>
      <c r="C6274" s="66" t="s">
        <v>7294</v>
      </c>
      <c r="D6274" s="11">
        <v>8191.1</v>
      </c>
      <c r="E6274" s="11">
        <v>8191.1</v>
      </c>
      <c r="F6274" s="3">
        <v>39052</v>
      </c>
      <c r="G6274" s="2"/>
      <c r="H6274" s="3">
        <v>43053</v>
      </c>
      <c r="I6274" s="2" t="s">
        <v>19506</v>
      </c>
      <c r="J6274" s="2" t="s">
        <v>13904</v>
      </c>
      <c r="K6274" s="2" t="s">
        <v>5657</v>
      </c>
      <c r="L6274" s="82" t="s">
        <v>19512</v>
      </c>
    </row>
    <row r="6275" spans="1:12" ht="84" customHeight="1" x14ac:dyDescent="0.3">
      <c r="A6275" s="2">
        <v>6271</v>
      </c>
      <c r="B6275" s="66" t="s">
        <v>7282</v>
      </c>
      <c r="C6275" s="66" t="s">
        <v>7295</v>
      </c>
      <c r="D6275" s="11">
        <v>8191.1</v>
      </c>
      <c r="E6275" s="11">
        <v>8191.1</v>
      </c>
      <c r="F6275" s="3">
        <v>39052</v>
      </c>
      <c r="G6275" s="2"/>
      <c r="H6275" s="3">
        <v>43053</v>
      </c>
      <c r="I6275" s="2" t="s">
        <v>19506</v>
      </c>
      <c r="J6275" s="2" t="s">
        <v>13904</v>
      </c>
      <c r="K6275" s="2" t="s">
        <v>5657</v>
      </c>
      <c r="L6275" s="82" t="s">
        <v>19512</v>
      </c>
    </row>
    <row r="6276" spans="1:12" ht="84" customHeight="1" x14ac:dyDescent="0.3">
      <c r="A6276" s="2">
        <v>6272</v>
      </c>
      <c r="B6276" s="66" t="s">
        <v>7287</v>
      </c>
      <c r="C6276" s="66" t="s">
        <v>7296</v>
      </c>
      <c r="D6276" s="11">
        <v>8191.1</v>
      </c>
      <c r="E6276" s="11">
        <v>8191.1</v>
      </c>
      <c r="F6276" s="3">
        <v>39052</v>
      </c>
      <c r="G6276" s="2"/>
      <c r="H6276" s="3">
        <v>43053</v>
      </c>
      <c r="I6276" s="2" t="s">
        <v>19506</v>
      </c>
      <c r="J6276" s="2" t="s">
        <v>13904</v>
      </c>
      <c r="K6276" s="2" t="s">
        <v>5657</v>
      </c>
      <c r="L6276" s="82" t="s">
        <v>19512</v>
      </c>
    </row>
    <row r="6277" spans="1:12" ht="84" customHeight="1" x14ac:dyDescent="0.3">
      <c r="A6277" s="2">
        <v>6273</v>
      </c>
      <c r="B6277" s="66" t="s">
        <v>7282</v>
      </c>
      <c r="C6277" s="66" t="s">
        <v>7297</v>
      </c>
      <c r="D6277" s="11">
        <v>8191.1</v>
      </c>
      <c r="E6277" s="11">
        <v>8191.1</v>
      </c>
      <c r="F6277" s="3">
        <v>39052</v>
      </c>
      <c r="G6277" s="2"/>
      <c r="H6277" s="3">
        <v>43053</v>
      </c>
      <c r="I6277" s="2" t="s">
        <v>19506</v>
      </c>
      <c r="J6277" s="2" t="s">
        <v>13904</v>
      </c>
      <c r="K6277" s="2" t="s">
        <v>5657</v>
      </c>
      <c r="L6277" s="82" t="s">
        <v>19512</v>
      </c>
    </row>
    <row r="6278" spans="1:12" ht="84" customHeight="1" x14ac:dyDescent="0.3">
      <c r="A6278" s="2">
        <v>6274</v>
      </c>
      <c r="B6278" s="66" t="s">
        <v>7282</v>
      </c>
      <c r="C6278" s="66" t="s">
        <v>7298</v>
      </c>
      <c r="D6278" s="11">
        <v>8191.1</v>
      </c>
      <c r="E6278" s="11">
        <v>8191.1</v>
      </c>
      <c r="F6278" s="3">
        <v>39052</v>
      </c>
      <c r="G6278" s="2"/>
      <c r="H6278" s="3">
        <v>43053</v>
      </c>
      <c r="I6278" s="2" t="s">
        <v>19506</v>
      </c>
      <c r="J6278" s="2" t="s">
        <v>13904</v>
      </c>
      <c r="K6278" s="2" t="s">
        <v>5657</v>
      </c>
      <c r="L6278" s="82" t="s">
        <v>19512</v>
      </c>
    </row>
    <row r="6279" spans="1:12" ht="84" customHeight="1" x14ac:dyDescent="0.3">
      <c r="A6279" s="2">
        <v>6275</v>
      </c>
      <c r="B6279" s="66" t="s">
        <v>7282</v>
      </c>
      <c r="C6279" s="66" t="s">
        <v>7299</v>
      </c>
      <c r="D6279" s="11">
        <v>8191.1</v>
      </c>
      <c r="E6279" s="11">
        <v>8191.1</v>
      </c>
      <c r="F6279" s="3">
        <v>39052</v>
      </c>
      <c r="G6279" s="2"/>
      <c r="H6279" s="3">
        <v>43053</v>
      </c>
      <c r="I6279" s="2" t="s">
        <v>19506</v>
      </c>
      <c r="J6279" s="2" t="s">
        <v>13904</v>
      </c>
      <c r="K6279" s="2" t="s">
        <v>5657</v>
      </c>
      <c r="L6279" s="82" t="s">
        <v>19512</v>
      </c>
    </row>
    <row r="6280" spans="1:12" ht="84" customHeight="1" x14ac:dyDescent="0.3">
      <c r="A6280" s="2">
        <v>6276</v>
      </c>
      <c r="B6280" s="66" t="s">
        <v>7287</v>
      </c>
      <c r="C6280" s="66" t="s">
        <v>7300</v>
      </c>
      <c r="D6280" s="11">
        <v>8191.1</v>
      </c>
      <c r="E6280" s="11">
        <v>8191.1</v>
      </c>
      <c r="F6280" s="3">
        <v>39052</v>
      </c>
      <c r="G6280" s="2"/>
      <c r="H6280" s="3">
        <v>43053</v>
      </c>
      <c r="I6280" s="2" t="s">
        <v>19506</v>
      </c>
      <c r="J6280" s="2" t="s">
        <v>13904</v>
      </c>
      <c r="K6280" s="2" t="s">
        <v>5657</v>
      </c>
      <c r="L6280" s="82" t="s">
        <v>19512</v>
      </c>
    </row>
    <row r="6281" spans="1:12" ht="84" customHeight="1" x14ac:dyDescent="0.3">
      <c r="A6281" s="2">
        <v>6277</v>
      </c>
      <c r="B6281" s="66" t="s">
        <v>7282</v>
      </c>
      <c r="C6281" s="66" t="s">
        <v>7301</v>
      </c>
      <c r="D6281" s="11">
        <v>8191.1</v>
      </c>
      <c r="E6281" s="11">
        <v>8191.1</v>
      </c>
      <c r="F6281" s="3">
        <v>39052</v>
      </c>
      <c r="G6281" s="2"/>
      <c r="H6281" s="3">
        <v>43053</v>
      </c>
      <c r="I6281" s="2" t="s">
        <v>19506</v>
      </c>
      <c r="J6281" s="2" t="s">
        <v>13904</v>
      </c>
      <c r="K6281" s="2" t="s">
        <v>5657</v>
      </c>
      <c r="L6281" s="82" t="s">
        <v>19512</v>
      </c>
    </row>
    <row r="6282" spans="1:12" ht="84" customHeight="1" x14ac:dyDescent="0.3">
      <c r="A6282" s="2">
        <v>6278</v>
      </c>
      <c r="B6282" s="66" t="s">
        <v>7302</v>
      </c>
      <c r="C6282" s="66" t="s">
        <v>7303</v>
      </c>
      <c r="D6282" s="11">
        <v>8191.1</v>
      </c>
      <c r="E6282" s="11">
        <v>8191.1</v>
      </c>
      <c r="F6282" s="3">
        <v>39052</v>
      </c>
      <c r="G6282" s="2"/>
      <c r="H6282" s="3">
        <v>43053</v>
      </c>
      <c r="I6282" s="2" t="s">
        <v>19506</v>
      </c>
      <c r="J6282" s="2" t="s">
        <v>13904</v>
      </c>
      <c r="K6282" s="2" t="s">
        <v>5657</v>
      </c>
      <c r="L6282" s="82" t="s">
        <v>19512</v>
      </c>
    </row>
    <row r="6283" spans="1:12" ht="84" customHeight="1" x14ac:dyDescent="0.3">
      <c r="A6283" s="2">
        <v>6279</v>
      </c>
      <c r="B6283" s="66" t="s">
        <v>7304</v>
      </c>
      <c r="C6283" s="66" t="s">
        <v>7305</v>
      </c>
      <c r="D6283" s="11">
        <v>8191.1</v>
      </c>
      <c r="E6283" s="11">
        <v>8191.1</v>
      </c>
      <c r="F6283" s="3">
        <v>39052</v>
      </c>
      <c r="G6283" s="2"/>
      <c r="H6283" s="3">
        <v>43053</v>
      </c>
      <c r="I6283" s="2" t="s">
        <v>19506</v>
      </c>
      <c r="J6283" s="2" t="s">
        <v>13904</v>
      </c>
      <c r="K6283" s="2" t="s">
        <v>5657</v>
      </c>
      <c r="L6283" s="82" t="s">
        <v>19512</v>
      </c>
    </row>
    <row r="6284" spans="1:12" ht="84" customHeight="1" x14ac:dyDescent="0.3">
      <c r="A6284" s="2">
        <v>6280</v>
      </c>
      <c r="B6284" s="66" t="s">
        <v>7306</v>
      </c>
      <c r="C6284" s="66" t="s">
        <v>7307</v>
      </c>
      <c r="D6284" s="11">
        <v>4003.84</v>
      </c>
      <c r="E6284" s="11">
        <v>4003.84</v>
      </c>
      <c r="F6284" s="3">
        <v>39057</v>
      </c>
      <c r="G6284" s="2"/>
      <c r="H6284" s="3">
        <v>43053</v>
      </c>
      <c r="I6284" s="2" t="s">
        <v>19506</v>
      </c>
      <c r="J6284" s="2" t="s">
        <v>13904</v>
      </c>
      <c r="K6284" s="2" t="s">
        <v>5657</v>
      </c>
      <c r="L6284" s="82" t="s">
        <v>19512</v>
      </c>
    </row>
    <row r="6285" spans="1:12" ht="84" customHeight="1" x14ac:dyDescent="0.3">
      <c r="A6285" s="2">
        <v>6281</v>
      </c>
      <c r="B6285" s="66" t="s">
        <v>7308</v>
      </c>
      <c r="C6285" s="66" t="s">
        <v>7309</v>
      </c>
      <c r="D6285" s="11">
        <v>11485.24</v>
      </c>
      <c r="E6285" s="11">
        <v>11485.24</v>
      </c>
      <c r="F6285" s="3">
        <v>39052</v>
      </c>
      <c r="G6285" s="2"/>
      <c r="H6285" s="3">
        <v>43053</v>
      </c>
      <c r="I6285" s="2" t="s">
        <v>19506</v>
      </c>
      <c r="J6285" s="2" t="s">
        <v>13904</v>
      </c>
      <c r="K6285" s="2" t="s">
        <v>5657</v>
      </c>
      <c r="L6285" s="82" t="s">
        <v>19512</v>
      </c>
    </row>
    <row r="6286" spans="1:12" ht="84" customHeight="1" x14ac:dyDescent="0.3">
      <c r="A6286" s="2">
        <v>6282</v>
      </c>
      <c r="B6286" s="66" t="s">
        <v>7310</v>
      </c>
      <c r="C6286" s="66" t="s">
        <v>7311</v>
      </c>
      <c r="D6286" s="11">
        <v>11485.24</v>
      </c>
      <c r="E6286" s="11">
        <v>11485.24</v>
      </c>
      <c r="F6286" s="3">
        <v>39052</v>
      </c>
      <c r="G6286" s="2"/>
      <c r="H6286" s="3">
        <v>43053</v>
      </c>
      <c r="I6286" s="2" t="s">
        <v>19506</v>
      </c>
      <c r="J6286" s="2" t="s">
        <v>13904</v>
      </c>
      <c r="K6286" s="2" t="s">
        <v>5657</v>
      </c>
      <c r="L6286" s="82" t="s">
        <v>19512</v>
      </c>
    </row>
    <row r="6287" spans="1:12" ht="84" customHeight="1" x14ac:dyDescent="0.3">
      <c r="A6287" s="2">
        <v>6283</v>
      </c>
      <c r="B6287" s="66" t="s">
        <v>7310</v>
      </c>
      <c r="C6287" s="66" t="s">
        <v>7312</v>
      </c>
      <c r="D6287" s="11">
        <v>11485.24</v>
      </c>
      <c r="E6287" s="11">
        <v>11485.24</v>
      </c>
      <c r="F6287" s="3">
        <v>39052</v>
      </c>
      <c r="G6287" s="2"/>
      <c r="H6287" s="3">
        <v>43053</v>
      </c>
      <c r="I6287" s="2" t="s">
        <v>19506</v>
      </c>
      <c r="J6287" s="2" t="s">
        <v>13904</v>
      </c>
      <c r="K6287" s="2" t="s">
        <v>5657</v>
      </c>
      <c r="L6287" s="82" t="s">
        <v>19512</v>
      </c>
    </row>
    <row r="6288" spans="1:12" ht="84" customHeight="1" x14ac:dyDescent="0.3">
      <c r="A6288" s="2">
        <v>6284</v>
      </c>
      <c r="B6288" s="66" t="s">
        <v>7310</v>
      </c>
      <c r="C6288" s="66" t="s">
        <v>7313</v>
      </c>
      <c r="D6288" s="11">
        <v>11485.24</v>
      </c>
      <c r="E6288" s="11">
        <v>11485.24</v>
      </c>
      <c r="F6288" s="3">
        <v>39052</v>
      </c>
      <c r="G6288" s="2"/>
      <c r="H6288" s="3">
        <v>43053</v>
      </c>
      <c r="I6288" s="2" t="s">
        <v>19506</v>
      </c>
      <c r="J6288" s="2" t="s">
        <v>13904</v>
      </c>
      <c r="K6288" s="2" t="s">
        <v>5657</v>
      </c>
      <c r="L6288" s="82" t="s">
        <v>19512</v>
      </c>
    </row>
    <row r="6289" spans="1:12" ht="84" customHeight="1" x14ac:dyDescent="0.3">
      <c r="A6289" s="2">
        <v>6285</v>
      </c>
      <c r="B6289" s="66" t="s">
        <v>7310</v>
      </c>
      <c r="C6289" s="66" t="s">
        <v>7314</v>
      </c>
      <c r="D6289" s="11">
        <v>11485.24</v>
      </c>
      <c r="E6289" s="11">
        <v>11485.24</v>
      </c>
      <c r="F6289" s="3">
        <v>39052</v>
      </c>
      <c r="G6289" s="2"/>
      <c r="H6289" s="3">
        <v>43053</v>
      </c>
      <c r="I6289" s="2" t="s">
        <v>19506</v>
      </c>
      <c r="J6289" s="2" t="s">
        <v>13904</v>
      </c>
      <c r="K6289" s="2" t="s">
        <v>5657</v>
      </c>
      <c r="L6289" s="82" t="s">
        <v>19512</v>
      </c>
    </row>
    <row r="6290" spans="1:12" ht="84" customHeight="1" x14ac:dyDescent="0.3">
      <c r="A6290" s="2">
        <v>6286</v>
      </c>
      <c r="B6290" s="66" t="s">
        <v>7310</v>
      </c>
      <c r="C6290" s="66" t="s">
        <v>7315</v>
      </c>
      <c r="D6290" s="11">
        <v>11485.24</v>
      </c>
      <c r="E6290" s="11">
        <v>11485.24</v>
      </c>
      <c r="F6290" s="3">
        <v>39052</v>
      </c>
      <c r="G6290" s="2"/>
      <c r="H6290" s="3">
        <v>43053</v>
      </c>
      <c r="I6290" s="2" t="s">
        <v>19506</v>
      </c>
      <c r="J6290" s="2" t="s">
        <v>13904</v>
      </c>
      <c r="K6290" s="2" t="s">
        <v>5657</v>
      </c>
      <c r="L6290" s="82" t="s">
        <v>19512</v>
      </c>
    </row>
    <row r="6291" spans="1:12" ht="84" customHeight="1" x14ac:dyDescent="0.3">
      <c r="A6291" s="2">
        <v>6287</v>
      </c>
      <c r="B6291" s="66" t="s">
        <v>7310</v>
      </c>
      <c r="C6291" s="66" t="s">
        <v>7316</v>
      </c>
      <c r="D6291" s="11">
        <v>11485.24</v>
      </c>
      <c r="E6291" s="11">
        <v>11485.24</v>
      </c>
      <c r="F6291" s="3">
        <v>39052</v>
      </c>
      <c r="G6291" s="2"/>
      <c r="H6291" s="3">
        <v>43053</v>
      </c>
      <c r="I6291" s="2" t="s">
        <v>19506</v>
      </c>
      <c r="J6291" s="2" t="s">
        <v>13904</v>
      </c>
      <c r="K6291" s="2" t="s">
        <v>5657</v>
      </c>
      <c r="L6291" s="82" t="s">
        <v>19512</v>
      </c>
    </row>
    <row r="6292" spans="1:12" ht="84" customHeight="1" x14ac:dyDescent="0.3">
      <c r="A6292" s="2">
        <v>6288</v>
      </c>
      <c r="B6292" s="66" t="s">
        <v>7310</v>
      </c>
      <c r="C6292" s="66" t="s">
        <v>7317</v>
      </c>
      <c r="D6292" s="11">
        <v>11485.24</v>
      </c>
      <c r="E6292" s="11">
        <v>11485.24</v>
      </c>
      <c r="F6292" s="3">
        <v>39052</v>
      </c>
      <c r="G6292" s="2"/>
      <c r="H6292" s="3">
        <v>43053</v>
      </c>
      <c r="I6292" s="2" t="s">
        <v>19506</v>
      </c>
      <c r="J6292" s="2" t="s">
        <v>13904</v>
      </c>
      <c r="K6292" s="2" t="s">
        <v>5657</v>
      </c>
      <c r="L6292" s="82" t="s">
        <v>19512</v>
      </c>
    </row>
    <row r="6293" spans="1:12" ht="84" customHeight="1" x14ac:dyDescent="0.3">
      <c r="A6293" s="2">
        <v>6289</v>
      </c>
      <c r="B6293" s="66" t="s">
        <v>7310</v>
      </c>
      <c r="C6293" s="66" t="s">
        <v>7318</v>
      </c>
      <c r="D6293" s="11">
        <v>11485.24</v>
      </c>
      <c r="E6293" s="11">
        <v>11485.24</v>
      </c>
      <c r="F6293" s="3">
        <v>39052</v>
      </c>
      <c r="G6293" s="2"/>
      <c r="H6293" s="3">
        <v>43053</v>
      </c>
      <c r="I6293" s="2" t="s">
        <v>19506</v>
      </c>
      <c r="J6293" s="2" t="s">
        <v>13904</v>
      </c>
      <c r="K6293" s="2" t="s">
        <v>5657</v>
      </c>
      <c r="L6293" s="82" t="s">
        <v>19512</v>
      </c>
    </row>
    <row r="6294" spans="1:12" ht="84" customHeight="1" x14ac:dyDescent="0.3">
      <c r="A6294" s="2">
        <v>6290</v>
      </c>
      <c r="B6294" s="66" t="s">
        <v>7310</v>
      </c>
      <c r="C6294" s="66" t="s">
        <v>7319</v>
      </c>
      <c r="D6294" s="11">
        <v>11485.24</v>
      </c>
      <c r="E6294" s="11">
        <v>11485.24</v>
      </c>
      <c r="F6294" s="3">
        <v>39052</v>
      </c>
      <c r="G6294" s="2"/>
      <c r="H6294" s="3">
        <v>43053</v>
      </c>
      <c r="I6294" s="2" t="s">
        <v>19506</v>
      </c>
      <c r="J6294" s="2" t="s">
        <v>13904</v>
      </c>
      <c r="K6294" s="2" t="s">
        <v>5657</v>
      </c>
      <c r="L6294" s="82" t="s">
        <v>19512</v>
      </c>
    </row>
    <row r="6295" spans="1:12" ht="84" customHeight="1" x14ac:dyDescent="0.3">
      <c r="A6295" s="2">
        <v>6291</v>
      </c>
      <c r="B6295" s="66" t="s">
        <v>7310</v>
      </c>
      <c r="C6295" s="66" t="s">
        <v>7320</v>
      </c>
      <c r="D6295" s="11">
        <v>11485.24</v>
      </c>
      <c r="E6295" s="11">
        <v>11485.24</v>
      </c>
      <c r="F6295" s="3">
        <v>39052</v>
      </c>
      <c r="G6295" s="2"/>
      <c r="H6295" s="3">
        <v>43053</v>
      </c>
      <c r="I6295" s="2" t="s">
        <v>19506</v>
      </c>
      <c r="J6295" s="2" t="s">
        <v>13904</v>
      </c>
      <c r="K6295" s="2" t="s">
        <v>5657</v>
      </c>
      <c r="L6295" s="82" t="s">
        <v>19512</v>
      </c>
    </row>
    <row r="6296" spans="1:12" ht="84" customHeight="1" x14ac:dyDescent="0.3">
      <c r="A6296" s="2">
        <v>6292</v>
      </c>
      <c r="B6296" s="66" t="s">
        <v>7310</v>
      </c>
      <c r="C6296" s="66" t="s">
        <v>7321</v>
      </c>
      <c r="D6296" s="11">
        <v>11485.24</v>
      </c>
      <c r="E6296" s="11">
        <v>11485.24</v>
      </c>
      <c r="F6296" s="3">
        <v>39052</v>
      </c>
      <c r="G6296" s="2"/>
      <c r="H6296" s="3">
        <v>43053</v>
      </c>
      <c r="I6296" s="2" t="s">
        <v>19506</v>
      </c>
      <c r="J6296" s="2" t="s">
        <v>13904</v>
      </c>
      <c r="K6296" s="2" t="s">
        <v>5657</v>
      </c>
      <c r="L6296" s="82" t="s">
        <v>19512</v>
      </c>
    </row>
    <row r="6297" spans="1:12" ht="84" customHeight="1" x14ac:dyDescent="0.3">
      <c r="A6297" s="2">
        <v>6293</v>
      </c>
      <c r="B6297" s="66" t="s">
        <v>7310</v>
      </c>
      <c r="C6297" s="66" t="s">
        <v>7322</v>
      </c>
      <c r="D6297" s="11">
        <v>11485.24</v>
      </c>
      <c r="E6297" s="11">
        <v>11485.24</v>
      </c>
      <c r="F6297" s="3">
        <v>39052</v>
      </c>
      <c r="G6297" s="2"/>
      <c r="H6297" s="3">
        <v>43053</v>
      </c>
      <c r="I6297" s="2" t="s">
        <v>19506</v>
      </c>
      <c r="J6297" s="2" t="s">
        <v>13904</v>
      </c>
      <c r="K6297" s="2" t="s">
        <v>5657</v>
      </c>
      <c r="L6297" s="82" t="s">
        <v>19512</v>
      </c>
    </row>
    <row r="6298" spans="1:12" ht="84" customHeight="1" x14ac:dyDescent="0.3">
      <c r="A6298" s="2">
        <v>6294</v>
      </c>
      <c r="B6298" s="66" t="s">
        <v>7310</v>
      </c>
      <c r="C6298" s="66" t="s">
        <v>7323</v>
      </c>
      <c r="D6298" s="11">
        <v>11485.24</v>
      </c>
      <c r="E6298" s="11">
        <v>11485.24</v>
      </c>
      <c r="F6298" s="3">
        <v>39052</v>
      </c>
      <c r="G6298" s="2"/>
      <c r="H6298" s="3">
        <v>43053</v>
      </c>
      <c r="I6298" s="2" t="s">
        <v>19506</v>
      </c>
      <c r="J6298" s="2" t="s">
        <v>13904</v>
      </c>
      <c r="K6298" s="2" t="s">
        <v>5657</v>
      </c>
      <c r="L6298" s="82" t="s">
        <v>19512</v>
      </c>
    </row>
    <row r="6299" spans="1:12" ht="84" customHeight="1" x14ac:dyDescent="0.3">
      <c r="A6299" s="2">
        <v>6295</v>
      </c>
      <c r="B6299" s="66" t="s">
        <v>7310</v>
      </c>
      <c r="C6299" s="66" t="s">
        <v>7324</v>
      </c>
      <c r="D6299" s="11">
        <v>11485.24</v>
      </c>
      <c r="E6299" s="11">
        <v>11485.24</v>
      </c>
      <c r="F6299" s="3">
        <v>39052</v>
      </c>
      <c r="G6299" s="2"/>
      <c r="H6299" s="3">
        <v>43053</v>
      </c>
      <c r="I6299" s="2" t="s">
        <v>19506</v>
      </c>
      <c r="J6299" s="2" t="s">
        <v>13904</v>
      </c>
      <c r="K6299" s="2" t="s">
        <v>5657</v>
      </c>
      <c r="L6299" s="82" t="s">
        <v>19512</v>
      </c>
    </row>
    <row r="6300" spans="1:12" ht="84" customHeight="1" x14ac:dyDescent="0.3">
      <c r="A6300" s="2">
        <v>6296</v>
      </c>
      <c r="B6300" s="66" t="s">
        <v>7310</v>
      </c>
      <c r="C6300" s="66" t="s">
        <v>7325</v>
      </c>
      <c r="D6300" s="11">
        <v>11485.24</v>
      </c>
      <c r="E6300" s="11">
        <v>11485.24</v>
      </c>
      <c r="F6300" s="3">
        <v>39052</v>
      </c>
      <c r="G6300" s="2"/>
      <c r="H6300" s="3">
        <v>43053</v>
      </c>
      <c r="I6300" s="2" t="s">
        <v>19506</v>
      </c>
      <c r="J6300" s="2" t="s">
        <v>13904</v>
      </c>
      <c r="K6300" s="2" t="s">
        <v>5657</v>
      </c>
      <c r="L6300" s="82" t="s">
        <v>19512</v>
      </c>
    </row>
    <row r="6301" spans="1:12" ht="84" customHeight="1" x14ac:dyDescent="0.3">
      <c r="A6301" s="2">
        <v>6297</v>
      </c>
      <c r="B6301" s="66" t="s">
        <v>7310</v>
      </c>
      <c r="C6301" s="66" t="s">
        <v>7326</v>
      </c>
      <c r="D6301" s="11">
        <v>11485.24</v>
      </c>
      <c r="E6301" s="11">
        <v>11485.24</v>
      </c>
      <c r="F6301" s="3">
        <v>39052</v>
      </c>
      <c r="G6301" s="2"/>
      <c r="H6301" s="3">
        <v>43053</v>
      </c>
      <c r="I6301" s="2" t="s">
        <v>19506</v>
      </c>
      <c r="J6301" s="2" t="s">
        <v>13904</v>
      </c>
      <c r="K6301" s="2" t="s">
        <v>5657</v>
      </c>
      <c r="L6301" s="82" t="s">
        <v>19512</v>
      </c>
    </row>
    <row r="6302" spans="1:12" ht="84" customHeight="1" x14ac:dyDescent="0.3">
      <c r="A6302" s="2">
        <v>6298</v>
      </c>
      <c r="B6302" s="66" t="s">
        <v>7310</v>
      </c>
      <c r="C6302" s="66" t="s">
        <v>7327</v>
      </c>
      <c r="D6302" s="11">
        <v>11485.24</v>
      </c>
      <c r="E6302" s="11">
        <v>11485.24</v>
      </c>
      <c r="F6302" s="3">
        <v>39052</v>
      </c>
      <c r="G6302" s="2"/>
      <c r="H6302" s="3">
        <v>43053</v>
      </c>
      <c r="I6302" s="2" t="s">
        <v>19506</v>
      </c>
      <c r="J6302" s="2" t="s">
        <v>13904</v>
      </c>
      <c r="K6302" s="2" t="s">
        <v>5657</v>
      </c>
      <c r="L6302" s="82" t="s">
        <v>19512</v>
      </c>
    </row>
    <row r="6303" spans="1:12" ht="84" customHeight="1" x14ac:dyDescent="0.3">
      <c r="A6303" s="2">
        <v>6299</v>
      </c>
      <c r="B6303" s="66" t="s">
        <v>7310</v>
      </c>
      <c r="C6303" s="66" t="s">
        <v>7328</v>
      </c>
      <c r="D6303" s="11">
        <v>11485.24</v>
      </c>
      <c r="E6303" s="11">
        <v>11485.24</v>
      </c>
      <c r="F6303" s="3">
        <v>39052</v>
      </c>
      <c r="G6303" s="2"/>
      <c r="H6303" s="3">
        <v>43053</v>
      </c>
      <c r="I6303" s="2" t="s">
        <v>19506</v>
      </c>
      <c r="J6303" s="2" t="s">
        <v>13904</v>
      </c>
      <c r="K6303" s="2" t="s">
        <v>5657</v>
      </c>
      <c r="L6303" s="82" t="s">
        <v>19512</v>
      </c>
    </row>
    <row r="6304" spans="1:12" ht="84" customHeight="1" x14ac:dyDescent="0.3">
      <c r="A6304" s="2">
        <v>6300</v>
      </c>
      <c r="B6304" s="66" t="s">
        <v>7310</v>
      </c>
      <c r="C6304" s="66" t="s">
        <v>7329</v>
      </c>
      <c r="D6304" s="11">
        <v>11485.24</v>
      </c>
      <c r="E6304" s="11">
        <v>11485.24</v>
      </c>
      <c r="F6304" s="3">
        <v>39052</v>
      </c>
      <c r="G6304" s="2"/>
      <c r="H6304" s="3">
        <v>43053</v>
      </c>
      <c r="I6304" s="2" t="s">
        <v>19506</v>
      </c>
      <c r="J6304" s="2" t="s">
        <v>13904</v>
      </c>
      <c r="K6304" s="2" t="s">
        <v>5657</v>
      </c>
      <c r="L6304" s="82" t="s">
        <v>19512</v>
      </c>
    </row>
    <row r="6305" spans="1:12" ht="84" customHeight="1" x14ac:dyDescent="0.3">
      <c r="A6305" s="2">
        <v>6301</v>
      </c>
      <c r="B6305" s="66" t="s">
        <v>7310</v>
      </c>
      <c r="C6305" s="66" t="s">
        <v>7330</v>
      </c>
      <c r="D6305" s="11">
        <v>11485.24</v>
      </c>
      <c r="E6305" s="11">
        <v>11485.24</v>
      </c>
      <c r="F6305" s="3">
        <v>39052</v>
      </c>
      <c r="G6305" s="2"/>
      <c r="H6305" s="3">
        <v>43053</v>
      </c>
      <c r="I6305" s="2" t="s">
        <v>19506</v>
      </c>
      <c r="J6305" s="2" t="s">
        <v>13904</v>
      </c>
      <c r="K6305" s="2" t="s">
        <v>5657</v>
      </c>
      <c r="L6305" s="82" t="s">
        <v>19512</v>
      </c>
    </row>
    <row r="6306" spans="1:12" ht="84" customHeight="1" x14ac:dyDescent="0.3">
      <c r="A6306" s="2">
        <v>6302</v>
      </c>
      <c r="B6306" s="66" t="s">
        <v>7310</v>
      </c>
      <c r="C6306" s="66" t="s">
        <v>7331</v>
      </c>
      <c r="D6306" s="11">
        <v>11485.24</v>
      </c>
      <c r="E6306" s="11">
        <v>11485.24</v>
      </c>
      <c r="F6306" s="3">
        <v>39052</v>
      </c>
      <c r="G6306" s="2"/>
      <c r="H6306" s="3">
        <v>43053</v>
      </c>
      <c r="I6306" s="2" t="s">
        <v>19506</v>
      </c>
      <c r="J6306" s="2" t="s">
        <v>13904</v>
      </c>
      <c r="K6306" s="2" t="s">
        <v>5657</v>
      </c>
      <c r="L6306" s="82" t="s">
        <v>19512</v>
      </c>
    </row>
    <row r="6307" spans="1:12" ht="84" customHeight="1" x14ac:dyDescent="0.3">
      <c r="A6307" s="2">
        <v>6303</v>
      </c>
      <c r="B6307" s="66" t="s">
        <v>7310</v>
      </c>
      <c r="C6307" s="66" t="s">
        <v>7332</v>
      </c>
      <c r="D6307" s="11">
        <v>11485.24</v>
      </c>
      <c r="E6307" s="11">
        <v>11485.24</v>
      </c>
      <c r="F6307" s="3">
        <v>39052</v>
      </c>
      <c r="G6307" s="2"/>
      <c r="H6307" s="3">
        <v>43053</v>
      </c>
      <c r="I6307" s="2" t="s">
        <v>19506</v>
      </c>
      <c r="J6307" s="2" t="s">
        <v>13904</v>
      </c>
      <c r="K6307" s="2" t="s">
        <v>5657</v>
      </c>
      <c r="L6307" s="82" t="s">
        <v>19512</v>
      </c>
    </row>
    <row r="6308" spans="1:12" ht="84" customHeight="1" x14ac:dyDescent="0.3">
      <c r="A6308" s="2">
        <v>6304</v>
      </c>
      <c r="B6308" s="66" t="s">
        <v>7310</v>
      </c>
      <c r="C6308" s="66" t="s">
        <v>7333</v>
      </c>
      <c r="D6308" s="11">
        <v>11485.24</v>
      </c>
      <c r="E6308" s="11">
        <v>11485.24</v>
      </c>
      <c r="F6308" s="3">
        <v>39052</v>
      </c>
      <c r="G6308" s="2"/>
      <c r="H6308" s="3">
        <v>43053</v>
      </c>
      <c r="I6308" s="2" t="s">
        <v>19506</v>
      </c>
      <c r="J6308" s="2" t="s">
        <v>13904</v>
      </c>
      <c r="K6308" s="2" t="s">
        <v>5657</v>
      </c>
      <c r="L6308" s="82" t="s">
        <v>19512</v>
      </c>
    </row>
    <row r="6309" spans="1:12" ht="84" customHeight="1" x14ac:dyDescent="0.3">
      <c r="A6309" s="2">
        <v>6305</v>
      </c>
      <c r="B6309" s="66" t="s">
        <v>7310</v>
      </c>
      <c r="C6309" s="66" t="s">
        <v>7334</v>
      </c>
      <c r="D6309" s="11">
        <v>11485.24</v>
      </c>
      <c r="E6309" s="11">
        <v>11485.24</v>
      </c>
      <c r="F6309" s="3">
        <v>39052</v>
      </c>
      <c r="G6309" s="2"/>
      <c r="H6309" s="3">
        <v>43053</v>
      </c>
      <c r="I6309" s="2" t="s">
        <v>19506</v>
      </c>
      <c r="J6309" s="2" t="s">
        <v>13904</v>
      </c>
      <c r="K6309" s="2" t="s">
        <v>5657</v>
      </c>
      <c r="L6309" s="82" t="s">
        <v>19512</v>
      </c>
    </row>
    <row r="6310" spans="1:12" ht="84" customHeight="1" x14ac:dyDescent="0.3">
      <c r="A6310" s="2">
        <v>6306</v>
      </c>
      <c r="B6310" s="66" t="s">
        <v>7310</v>
      </c>
      <c r="C6310" s="66" t="s">
        <v>7335</v>
      </c>
      <c r="D6310" s="11">
        <v>11485.24</v>
      </c>
      <c r="E6310" s="11">
        <v>11485.24</v>
      </c>
      <c r="F6310" s="3">
        <v>39052</v>
      </c>
      <c r="G6310" s="2"/>
      <c r="H6310" s="3">
        <v>43053</v>
      </c>
      <c r="I6310" s="2" t="s">
        <v>19506</v>
      </c>
      <c r="J6310" s="2" t="s">
        <v>13904</v>
      </c>
      <c r="K6310" s="2" t="s">
        <v>5657</v>
      </c>
      <c r="L6310" s="82" t="s">
        <v>19512</v>
      </c>
    </row>
    <row r="6311" spans="1:12" ht="84" customHeight="1" x14ac:dyDescent="0.3">
      <c r="A6311" s="2">
        <v>6307</v>
      </c>
      <c r="B6311" s="66" t="s">
        <v>7310</v>
      </c>
      <c r="C6311" s="66" t="s">
        <v>7336</v>
      </c>
      <c r="D6311" s="11">
        <v>11485.24</v>
      </c>
      <c r="E6311" s="11">
        <v>11485.24</v>
      </c>
      <c r="F6311" s="3">
        <v>39052</v>
      </c>
      <c r="G6311" s="2"/>
      <c r="H6311" s="3">
        <v>43053</v>
      </c>
      <c r="I6311" s="2" t="s">
        <v>19506</v>
      </c>
      <c r="J6311" s="2" t="s">
        <v>13904</v>
      </c>
      <c r="K6311" s="2" t="s">
        <v>5657</v>
      </c>
      <c r="L6311" s="82" t="s">
        <v>19512</v>
      </c>
    </row>
    <row r="6312" spans="1:12" ht="84" customHeight="1" x14ac:dyDescent="0.3">
      <c r="A6312" s="2">
        <v>6308</v>
      </c>
      <c r="B6312" s="66" t="s">
        <v>7310</v>
      </c>
      <c r="C6312" s="66" t="s">
        <v>7337</v>
      </c>
      <c r="D6312" s="11">
        <v>11485.24</v>
      </c>
      <c r="E6312" s="11">
        <v>11485.24</v>
      </c>
      <c r="F6312" s="3">
        <v>39052</v>
      </c>
      <c r="G6312" s="2"/>
      <c r="H6312" s="3">
        <v>43053</v>
      </c>
      <c r="I6312" s="2" t="s">
        <v>19506</v>
      </c>
      <c r="J6312" s="2" t="s">
        <v>13904</v>
      </c>
      <c r="K6312" s="2" t="s">
        <v>5657</v>
      </c>
      <c r="L6312" s="82" t="s">
        <v>19512</v>
      </c>
    </row>
    <row r="6313" spans="1:12" ht="84" customHeight="1" x14ac:dyDescent="0.3">
      <c r="A6313" s="2">
        <v>6309</v>
      </c>
      <c r="B6313" s="66" t="s">
        <v>7310</v>
      </c>
      <c r="C6313" s="66" t="s">
        <v>7338</v>
      </c>
      <c r="D6313" s="11">
        <v>11485.24</v>
      </c>
      <c r="E6313" s="11">
        <v>11485.24</v>
      </c>
      <c r="F6313" s="3">
        <v>39052</v>
      </c>
      <c r="G6313" s="2"/>
      <c r="H6313" s="3">
        <v>43053</v>
      </c>
      <c r="I6313" s="2" t="s">
        <v>19506</v>
      </c>
      <c r="J6313" s="2" t="s">
        <v>13904</v>
      </c>
      <c r="K6313" s="2" t="s">
        <v>5657</v>
      </c>
      <c r="L6313" s="82" t="s">
        <v>19512</v>
      </c>
    </row>
    <row r="6314" spans="1:12" ht="84" customHeight="1" x14ac:dyDescent="0.3">
      <c r="A6314" s="2">
        <v>6310</v>
      </c>
      <c r="B6314" s="66" t="s">
        <v>7310</v>
      </c>
      <c r="C6314" s="66" t="s">
        <v>7339</v>
      </c>
      <c r="D6314" s="11">
        <v>11485.24</v>
      </c>
      <c r="E6314" s="11">
        <v>11485.24</v>
      </c>
      <c r="F6314" s="3">
        <v>39052</v>
      </c>
      <c r="G6314" s="2"/>
      <c r="H6314" s="3">
        <v>43053</v>
      </c>
      <c r="I6314" s="2" t="s">
        <v>19506</v>
      </c>
      <c r="J6314" s="2" t="s">
        <v>13904</v>
      </c>
      <c r="K6314" s="2" t="s">
        <v>5657</v>
      </c>
      <c r="L6314" s="82" t="s">
        <v>19512</v>
      </c>
    </row>
    <row r="6315" spans="1:12" ht="84" customHeight="1" x14ac:dyDescent="0.3">
      <c r="A6315" s="2">
        <v>6311</v>
      </c>
      <c r="B6315" s="66" t="s">
        <v>7310</v>
      </c>
      <c r="C6315" s="66" t="s">
        <v>7340</v>
      </c>
      <c r="D6315" s="11">
        <v>11485.24</v>
      </c>
      <c r="E6315" s="11">
        <v>11485.24</v>
      </c>
      <c r="F6315" s="3">
        <v>39052</v>
      </c>
      <c r="G6315" s="2"/>
      <c r="H6315" s="3">
        <v>43053</v>
      </c>
      <c r="I6315" s="2" t="s">
        <v>19506</v>
      </c>
      <c r="J6315" s="2" t="s">
        <v>13904</v>
      </c>
      <c r="K6315" s="2" t="s">
        <v>5657</v>
      </c>
      <c r="L6315" s="82" t="s">
        <v>19512</v>
      </c>
    </row>
    <row r="6316" spans="1:12" ht="84" customHeight="1" x14ac:dyDescent="0.3">
      <c r="A6316" s="2">
        <v>6312</v>
      </c>
      <c r="B6316" s="66" t="s">
        <v>7310</v>
      </c>
      <c r="C6316" s="66" t="s">
        <v>7341</v>
      </c>
      <c r="D6316" s="11">
        <v>11485.24</v>
      </c>
      <c r="E6316" s="11">
        <v>11485.24</v>
      </c>
      <c r="F6316" s="3">
        <v>39053</v>
      </c>
      <c r="G6316" s="2"/>
      <c r="H6316" s="3">
        <v>43053</v>
      </c>
      <c r="I6316" s="2" t="s">
        <v>19506</v>
      </c>
      <c r="J6316" s="2" t="s">
        <v>13904</v>
      </c>
      <c r="K6316" s="2" t="s">
        <v>5657</v>
      </c>
      <c r="L6316" s="82" t="s">
        <v>19512</v>
      </c>
    </row>
    <row r="6317" spans="1:12" ht="84" customHeight="1" x14ac:dyDescent="0.3">
      <c r="A6317" s="2">
        <v>6313</v>
      </c>
      <c r="B6317" s="66" t="s">
        <v>7310</v>
      </c>
      <c r="C6317" s="66" t="s">
        <v>7342</v>
      </c>
      <c r="D6317" s="11">
        <v>11485.24</v>
      </c>
      <c r="E6317" s="11">
        <v>11485.24</v>
      </c>
      <c r="F6317" s="3">
        <v>39052</v>
      </c>
      <c r="G6317" s="2"/>
      <c r="H6317" s="3">
        <v>43053</v>
      </c>
      <c r="I6317" s="2" t="s">
        <v>19506</v>
      </c>
      <c r="J6317" s="2" t="s">
        <v>13904</v>
      </c>
      <c r="K6317" s="2" t="s">
        <v>5657</v>
      </c>
      <c r="L6317" s="82" t="s">
        <v>19512</v>
      </c>
    </row>
    <row r="6318" spans="1:12" ht="84" customHeight="1" x14ac:dyDescent="0.3">
      <c r="A6318" s="2">
        <v>6314</v>
      </c>
      <c r="B6318" s="66" t="s">
        <v>7310</v>
      </c>
      <c r="C6318" s="66" t="s">
        <v>7343</v>
      </c>
      <c r="D6318" s="11">
        <v>11485.24</v>
      </c>
      <c r="E6318" s="11">
        <v>11485.24</v>
      </c>
      <c r="F6318" s="3">
        <v>39052</v>
      </c>
      <c r="G6318" s="2"/>
      <c r="H6318" s="3">
        <v>43053</v>
      </c>
      <c r="I6318" s="2" t="s">
        <v>19506</v>
      </c>
      <c r="J6318" s="2" t="s">
        <v>13904</v>
      </c>
      <c r="K6318" s="2" t="s">
        <v>5657</v>
      </c>
      <c r="L6318" s="82" t="s">
        <v>19512</v>
      </c>
    </row>
    <row r="6319" spans="1:12" ht="84" customHeight="1" x14ac:dyDescent="0.3">
      <c r="A6319" s="2">
        <v>6315</v>
      </c>
      <c r="B6319" s="66" t="s">
        <v>7344</v>
      </c>
      <c r="C6319" s="66" t="s">
        <v>7345</v>
      </c>
      <c r="D6319" s="11">
        <v>11485.24</v>
      </c>
      <c r="E6319" s="11">
        <v>11485.24</v>
      </c>
      <c r="F6319" s="3">
        <v>39052</v>
      </c>
      <c r="G6319" s="2"/>
      <c r="H6319" s="3">
        <v>43053</v>
      </c>
      <c r="I6319" s="2" t="s">
        <v>19506</v>
      </c>
      <c r="J6319" s="2" t="s">
        <v>13904</v>
      </c>
      <c r="K6319" s="2" t="s">
        <v>5657</v>
      </c>
      <c r="L6319" s="82" t="s">
        <v>19512</v>
      </c>
    </row>
    <row r="6320" spans="1:12" ht="84" customHeight="1" x14ac:dyDescent="0.3">
      <c r="A6320" s="2">
        <v>6316</v>
      </c>
      <c r="B6320" s="66" t="s">
        <v>7346</v>
      </c>
      <c r="C6320" s="66" t="s">
        <v>7347</v>
      </c>
      <c r="D6320" s="11">
        <v>7183.71</v>
      </c>
      <c r="E6320" s="11">
        <v>7183.71</v>
      </c>
      <c r="F6320" s="3">
        <v>39058</v>
      </c>
      <c r="G6320" s="2"/>
      <c r="H6320" s="3">
        <v>43053</v>
      </c>
      <c r="I6320" s="2" t="s">
        <v>19506</v>
      </c>
      <c r="J6320" s="2" t="s">
        <v>13904</v>
      </c>
      <c r="K6320" s="2" t="s">
        <v>5657</v>
      </c>
      <c r="L6320" s="82" t="s">
        <v>19512</v>
      </c>
    </row>
    <row r="6321" spans="1:12" ht="84" customHeight="1" x14ac:dyDescent="0.3">
      <c r="A6321" s="2">
        <v>6317</v>
      </c>
      <c r="B6321" s="66" t="s">
        <v>7348</v>
      </c>
      <c r="C6321" s="66" t="s">
        <v>7349</v>
      </c>
      <c r="D6321" s="11">
        <v>7190.6</v>
      </c>
      <c r="E6321" s="11">
        <v>7190.6</v>
      </c>
      <c r="F6321" s="3">
        <v>39065</v>
      </c>
      <c r="G6321" s="2"/>
      <c r="H6321" s="3">
        <v>43053</v>
      </c>
      <c r="I6321" s="2" t="s">
        <v>19506</v>
      </c>
      <c r="J6321" s="2" t="s">
        <v>13904</v>
      </c>
      <c r="K6321" s="2" t="s">
        <v>5657</v>
      </c>
      <c r="L6321" s="82" t="s">
        <v>19512</v>
      </c>
    </row>
    <row r="6322" spans="1:12" ht="84" customHeight="1" x14ac:dyDescent="0.3">
      <c r="A6322" s="2">
        <v>6318</v>
      </c>
      <c r="B6322" s="66" t="s">
        <v>7350</v>
      </c>
      <c r="C6322" s="66" t="s">
        <v>7351</v>
      </c>
      <c r="D6322" s="11">
        <v>7190.6</v>
      </c>
      <c r="E6322" s="11">
        <v>7190.6</v>
      </c>
      <c r="F6322" s="3">
        <v>39065</v>
      </c>
      <c r="G6322" s="2"/>
      <c r="H6322" s="3">
        <v>43053</v>
      </c>
      <c r="I6322" s="2" t="s">
        <v>19506</v>
      </c>
      <c r="J6322" s="2" t="s">
        <v>13904</v>
      </c>
      <c r="K6322" s="2" t="s">
        <v>5657</v>
      </c>
      <c r="L6322" s="82" t="s">
        <v>19512</v>
      </c>
    </row>
    <row r="6323" spans="1:12" ht="84" customHeight="1" x14ac:dyDescent="0.3">
      <c r="A6323" s="2">
        <v>6319</v>
      </c>
      <c r="B6323" s="66" t="s">
        <v>7352</v>
      </c>
      <c r="C6323" s="66" t="s">
        <v>7353</v>
      </c>
      <c r="D6323" s="11">
        <v>7190.6</v>
      </c>
      <c r="E6323" s="11">
        <v>7190.6</v>
      </c>
      <c r="F6323" s="3">
        <v>39072</v>
      </c>
      <c r="G6323" s="2"/>
      <c r="H6323" s="3">
        <v>43053</v>
      </c>
      <c r="I6323" s="2" t="s">
        <v>19506</v>
      </c>
      <c r="J6323" s="2" t="s">
        <v>13904</v>
      </c>
      <c r="K6323" s="2" t="s">
        <v>5657</v>
      </c>
      <c r="L6323" s="82" t="s">
        <v>19512</v>
      </c>
    </row>
    <row r="6324" spans="1:12" ht="84" customHeight="1" x14ac:dyDescent="0.3">
      <c r="A6324" s="2">
        <v>6320</v>
      </c>
      <c r="B6324" s="66" t="s">
        <v>6993</v>
      </c>
      <c r="C6324" s="66" t="s">
        <v>7354</v>
      </c>
      <c r="D6324" s="11">
        <v>7190.6</v>
      </c>
      <c r="E6324" s="11">
        <v>7190.6</v>
      </c>
      <c r="F6324" s="3">
        <v>39065</v>
      </c>
      <c r="G6324" s="2"/>
      <c r="H6324" s="3">
        <v>43053</v>
      </c>
      <c r="I6324" s="2" t="s">
        <v>19506</v>
      </c>
      <c r="J6324" s="2" t="s">
        <v>13904</v>
      </c>
      <c r="K6324" s="2" t="s">
        <v>5657</v>
      </c>
      <c r="L6324" s="82" t="s">
        <v>19512</v>
      </c>
    </row>
    <row r="6325" spans="1:12" ht="84" customHeight="1" x14ac:dyDescent="0.3">
      <c r="A6325" s="2">
        <v>6321</v>
      </c>
      <c r="B6325" s="66" t="s">
        <v>6993</v>
      </c>
      <c r="C6325" s="66" t="s">
        <v>7355</v>
      </c>
      <c r="D6325" s="11">
        <v>7190.6</v>
      </c>
      <c r="E6325" s="11">
        <v>7190.6</v>
      </c>
      <c r="F6325" s="3">
        <v>39065</v>
      </c>
      <c r="G6325" s="2"/>
      <c r="H6325" s="3">
        <v>43053</v>
      </c>
      <c r="I6325" s="2" t="s">
        <v>19506</v>
      </c>
      <c r="J6325" s="2" t="s">
        <v>13904</v>
      </c>
      <c r="K6325" s="2" t="s">
        <v>5657</v>
      </c>
      <c r="L6325" s="82" t="s">
        <v>19512</v>
      </c>
    </row>
    <row r="6326" spans="1:12" ht="84" customHeight="1" x14ac:dyDescent="0.3">
      <c r="A6326" s="2">
        <v>6322</v>
      </c>
      <c r="B6326" s="66" t="s">
        <v>6993</v>
      </c>
      <c r="C6326" s="66" t="s">
        <v>7356</v>
      </c>
      <c r="D6326" s="11">
        <v>7190.6</v>
      </c>
      <c r="E6326" s="11">
        <v>7190.6</v>
      </c>
      <c r="F6326" s="3">
        <v>39065</v>
      </c>
      <c r="G6326" s="2"/>
      <c r="H6326" s="3">
        <v>43053</v>
      </c>
      <c r="I6326" s="2" t="s">
        <v>19506</v>
      </c>
      <c r="J6326" s="2" t="s">
        <v>13904</v>
      </c>
      <c r="K6326" s="2" t="s">
        <v>5657</v>
      </c>
      <c r="L6326" s="82" t="s">
        <v>19512</v>
      </c>
    </row>
    <row r="6327" spans="1:12" ht="84" customHeight="1" x14ac:dyDescent="0.3">
      <c r="A6327" s="2">
        <v>6323</v>
      </c>
      <c r="B6327" s="66" t="s">
        <v>6993</v>
      </c>
      <c r="C6327" s="66" t="s">
        <v>7357</v>
      </c>
      <c r="D6327" s="11">
        <v>7190.6</v>
      </c>
      <c r="E6327" s="11">
        <v>7190.6</v>
      </c>
      <c r="F6327" s="3">
        <v>39065</v>
      </c>
      <c r="G6327" s="2"/>
      <c r="H6327" s="3">
        <v>43053</v>
      </c>
      <c r="I6327" s="2" t="s">
        <v>19506</v>
      </c>
      <c r="J6327" s="2" t="s">
        <v>13904</v>
      </c>
      <c r="K6327" s="2" t="s">
        <v>5657</v>
      </c>
      <c r="L6327" s="82" t="s">
        <v>19512</v>
      </c>
    </row>
    <row r="6328" spans="1:12" ht="84" customHeight="1" x14ac:dyDescent="0.3">
      <c r="A6328" s="2">
        <v>6324</v>
      </c>
      <c r="B6328" s="66" t="s">
        <v>6993</v>
      </c>
      <c r="C6328" s="66" t="s">
        <v>7358</v>
      </c>
      <c r="D6328" s="11">
        <v>7190.6</v>
      </c>
      <c r="E6328" s="11">
        <v>7190.6</v>
      </c>
      <c r="F6328" s="3">
        <v>39065</v>
      </c>
      <c r="G6328" s="2"/>
      <c r="H6328" s="3">
        <v>43053</v>
      </c>
      <c r="I6328" s="2" t="s">
        <v>19506</v>
      </c>
      <c r="J6328" s="2" t="s">
        <v>13904</v>
      </c>
      <c r="K6328" s="2" t="s">
        <v>5657</v>
      </c>
      <c r="L6328" s="82" t="s">
        <v>19512</v>
      </c>
    </row>
    <row r="6329" spans="1:12" ht="84" customHeight="1" x14ac:dyDescent="0.3">
      <c r="A6329" s="2">
        <v>6325</v>
      </c>
      <c r="B6329" s="66" t="s">
        <v>6993</v>
      </c>
      <c r="C6329" s="66" t="s">
        <v>7359</v>
      </c>
      <c r="D6329" s="11">
        <v>7190.6</v>
      </c>
      <c r="E6329" s="11">
        <v>7190.6</v>
      </c>
      <c r="F6329" s="3">
        <v>39065</v>
      </c>
      <c r="G6329" s="2"/>
      <c r="H6329" s="3">
        <v>43053</v>
      </c>
      <c r="I6329" s="2" t="s">
        <v>19506</v>
      </c>
      <c r="J6329" s="2" t="s">
        <v>13904</v>
      </c>
      <c r="K6329" s="2" t="s">
        <v>5657</v>
      </c>
      <c r="L6329" s="82" t="s">
        <v>19512</v>
      </c>
    </row>
    <row r="6330" spans="1:12" ht="84" customHeight="1" x14ac:dyDescent="0.3">
      <c r="A6330" s="2">
        <v>6326</v>
      </c>
      <c r="B6330" s="66" t="s">
        <v>6993</v>
      </c>
      <c r="C6330" s="66" t="s">
        <v>7360</v>
      </c>
      <c r="D6330" s="11">
        <v>7190.6</v>
      </c>
      <c r="E6330" s="11">
        <v>7190.6</v>
      </c>
      <c r="F6330" s="3">
        <v>39052</v>
      </c>
      <c r="G6330" s="2"/>
      <c r="H6330" s="3">
        <v>43053</v>
      </c>
      <c r="I6330" s="2" t="s">
        <v>19506</v>
      </c>
      <c r="J6330" s="2" t="s">
        <v>13904</v>
      </c>
      <c r="K6330" s="2" t="s">
        <v>5657</v>
      </c>
      <c r="L6330" s="82" t="s">
        <v>19512</v>
      </c>
    </row>
    <row r="6331" spans="1:12" ht="84" customHeight="1" x14ac:dyDescent="0.3">
      <c r="A6331" s="2">
        <v>6327</v>
      </c>
      <c r="B6331" s="66" t="s">
        <v>6993</v>
      </c>
      <c r="C6331" s="66" t="s">
        <v>7361</v>
      </c>
      <c r="D6331" s="11">
        <v>7190.6</v>
      </c>
      <c r="E6331" s="11">
        <v>7190.6</v>
      </c>
      <c r="F6331" s="3">
        <v>39065</v>
      </c>
      <c r="G6331" s="2"/>
      <c r="H6331" s="3">
        <v>43053</v>
      </c>
      <c r="I6331" s="2" t="s">
        <v>19506</v>
      </c>
      <c r="J6331" s="2" t="s">
        <v>13904</v>
      </c>
      <c r="K6331" s="2" t="s">
        <v>5657</v>
      </c>
      <c r="L6331" s="82" t="s">
        <v>19512</v>
      </c>
    </row>
    <row r="6332" spans="1:12" ht="84" customHeight="1" x14ac:dyDescent="0.3">
      <c r="A6332" s="2">
        <v>6328</v>
      </c>
      <c r="B6332" s="66" t="s">
        <v>6993</v>
      </c>
      <c r="C6332" s="66" t="s">
        <v>7362</v>
      </c>
      <c r="D6332" s="11">
        <v>7190.6</v>
      </c>
      <c r="E6332" s="11">
        <v>7190.6</v>
      </c>
      <c r="F6332" s="3">
        <v>39065</v>
      </c>
      <c r="G6332" s="2"/>
      <c r="H6332" s="3">
        <v>43053</v>
      </c>
      <c r="I6332" s="2" t="s">
        <v>19506</v>
      </c>
      <c r="J6332" s="2" t="s">
        <v>13904</v>
      </c>
      <c r="K6332" s="2" t="s">
        <v>5657</v>
      </c>
      <c r="L6332" s="82" t="s">
        <v>19512</v>
      </c>
    </row>
    <row r="6333" spans="1:12" ht="84" customHeight="1" x14ac:dyDescent="0.3">
      <c r="A6333" s="2">
        <v>6329</v>
      </c>
      <c r="B6333" s="66" t="s">
        <v>6993</v>
      </c>
      <c r="C6333" s="66" t="s">
        <v>7363</v>
      </c>
      <c r="D6333" s="11">
        <v>7190.6</v>
      </c>
      <c r="E6333" s="11">
        <v>7190.6</v>
      </c>
      <c r="F6333" s="3">
        <v>39065</v>
      </c>
      <c r="G6333" s="2"/>
      <c r="H6333" s="3">
        <v>43053</v>
      </c>
      <c r="I6333" s="2" t="s">
        <v>19506</v>
      </c>
      <c r="J6333" s="2" t="s">
        <v>13904</v>
      </c>
      <c r="K6333" s="2" t="s">
        <v>5657</v>
      </c>
      <c r="L6333" s="82" t="s">
        <v>19512</v>
      </c>
    </row>
    <row r="6334" spans="1:12" ht="84" customHeight="1" x14ac:dyDescent="0.3">
      <c r="A6334" s="2">
        <v>6330</v>
      </c>
      <c r="B6334" s="66" t="s">
        <v>6993</v>
      </c>
      <c r="C6334" s="66" t="s">
        <v>7364</v>
      </c>
      <c r="D6334" s="11">
        <v>7190.6</v>
      </c>
      <c r="E6334" s="11">
        <v>7190.6</v>
      </c>
      <c r="F6334" s="3">
        <v>39052</v>
      </c>
      <c r="G6334" s="2"/>
      <c r="H6334" s="3">
        <v>43053</v>
      </c>
      <c r="I6334" s="2" t="s">
        <v>19506</v>
      </c>
      <c r="J6334" s="2" t="s">
        <v>13904</v>
      </c>
      <c r="K6334" s="2" t="s">
        <v>5657</v>
      </c>
      <c r="L6334" s="82" t="s">
        <v>19512</v>
      </c>
    </row>
    <row r="6335" spans="1:12" ht="84" customHeight="1" x14ac:dyDescent="0.3">
      <c r="A6335" s="2">
        <v>6331</v>
      </c>
      <c r="B6335" s="66" t="s">
        <v>6993</v>
      </c>
      <c r="C6335" s="66" t="s">
        <v>7365</v>
      </c>
      <c r="D6335" s="11">
        <v>7190.6</v>
      </c>
      <c r="E6335" s="11">
        <v>7190.6</v>
      </c>
      <c r="F6335" s="3">
        <v>39065</v>
      </c>
      <c r="G6335" s="2"/>
      <c r="H6335" s="3">
        <v>43053</v>
      </c>
      <c r="I6335" s="2" t="s">
        <v>19506</v>
      </c>
      <c r="J6335" s="2" t="s">
        <v>13904</v>
      </c>
      <c r="K6335" s="2" t="s">
        <v>5657</v>
      </c>
      <c r="L6335" s="82" t="s">
        <v>19512</v>
      </c>
    </row>
    <row r="6336" spans="1:12" ht="84" customHeight="1" x14ac:dyDescent="0.3">
      <c r="A6336" s="2">
        <v>6332</v>
      </c>
      <c r="B6336" s="66" t="s">
        <v>6993</v>
      </c>
      <c r="C6336" s="66" t="s">
        <v>7366</v>
      </c>
      <c r="D6336" s="11">
        <v>7190.6</v>
      </c>
      <c r="E6336" s="11">
        <v>7190.6</v>
      </c>
      <c r="F6336" s="3">
        <v>39065</v>
      </c>
      <c r="G6336" s="2"/>
      <c r="H6336" s="3">
        <v>43053</v>
      </c>
      <c r="I6336" s="2" t="s">
        <v>19506</v>
      </c>
      <c r="J6336" s="2" t="s">
        <v>13904</v>
      </c>
      <c r="K6336" s="2" t="s">
        <v>5657</v>
      </c>
      <c r="L6336" s="82" t="s">
        <v>19512</v>
      </c>
    </row>
    <row r="6337" spans="1:12" ht="84" customHeight="1" x14ac:dyDescent="0.3">
      <c r="A6337" s="2">
        <v>6333</v>
      </c>
      <c r="B6337" s="66" t="s">
        <v>6993</v>
      </c>
      <c r="C6337" s="66" t="s">
        <v>7367</v>
      </c>
      <c r="D6337" s="11">
        <v>7190.6</v>
      </c>
      <c r="E6337" s="11">
        <v>7190.6</v>
      </c>
      <c r="F6337" s="3">
        <v>39065</v>
      </c>
      <c r="G6337" s="2"/>
      <c r="H6337" s="3">
        <v>43053</v>
      </c>
      <c r="I6337" s="2" t="s">
        <v>19506</v>
      </c>
      <c r="J6337" s="2" t="s">
        <v>13904</v>
      </c>
      <c r="K6337" s="2" t="s">
        <v>5657</v>
      </c>
      <c r="L6337" s="82" t="s">
        <v>19512</v>
      </c>
    </row>
    <row r="6338" spans="1:12" ht="84" customHeight="1" x14ac:dyDescent="0.3">
      <c r="A6338" s="2">
        <v>6334</v>
      </c>
      <c r="B6338" s="66" t="s">
        <v>6993</v>
      </c>
      <c r="C6338" s="66" t="s">
        <v>7368</v>
      </c>
      <c r="D6338" s="11">
        <v>7190.6</v>
      </c>
      <c r="E6338" s="11">
        <v>7190.6</v>
      </c>
      <c r="F6338" s="3">
        <v>39065</v>
      </c>
      <c r="G6338" s="2"/>
      <c r="H6338" s="3">
        <v>43053</v>
      </c>
      <c r="I6338" s="2" t="s">
        <v>19506</v>
      </c>
      <c r="J6338" s="2" t="s">
        <v>13904</v>
      </c>
      <c r="K6338" s="2" t="s">
        <v>5657</v>
      </c>
      <c r="L6338" s="82" t="s">
        <v>19512</v>
      </c>
    </row>
    <row r="6339" spans="1:12" ht="84" customHeight="1" x14ac:dyDescent="0.3">
      <c r="A6339" s="2">
        <v>6335</v>
      </c>
      <c r="B6339" s="66" t="s">
        <v>6993</v>
      </c>
      <c r="C6339" s="66" t="s">
        <v>7369</v>
      </c>
      <c r="D6339" s="11">
        <v>7190.6</v>
      </c>
      <c r="E6339" s="11">
        <v>7190.6</v>
      </c>
      <c r="F6339" s="3">
        <v>39065</v>
      </c>
      <c r="G6339" s="2"/>
      <c r="H6339" s="3">
        <v>43053</v>
      </c>
      <c r="I6339" s="2" t="s">
        <v>19506</v>
      </c>
      <c r="J6339" s="2" t="s">
        <v>13904</v>
      </c>
      <c r="K6339" s="2" t="s">
        <v>5657</v>
      </c>
      <c r="L6339" s="82" t="s">
        <v>19512</v>
      </c>
    </row>
    <row r="6340" spans="1:12" ht="84" customHeight="1" x14ac:dyDescent="0.3">
      <c r="A6340" s="2">
        <v>6336</v>
      </c>
      <c r="B6340" s="66" t="s">
        <v>6993</v>
      </c>
      <c r="C6340" s="66" t="s">
        <v>7370</v>
      </c>
      <c r="D6340" s="11">
        <v>7190.6</v>
      </c>
      <c r="E6340" s="11">
        <v>7190.6</v>
      </c>
      <c r="F6340" s="3">
        <v>39065</v>
      </c>
      <c r="G6340" s="2"/>
      <c r="H6340" s="3">
        <v>43053</v>
      </c>
      <c r="I6340" s="2" t="s">
        <v>19506</v>
      </c>
      <c r="J6340" s="2" t="s">
        <v>13904</v>
      </c>
      <c r="K6340" s="2" t="s">
        <v>5657</v>
      </c>
      <c r="L6340" s="82" t="s">
        <v>19512</v>
      </c>
    </row>
    <row r="6341" spans="1:12" ht="84" customHeight="1" x14ac:dyDescent="0.3">
      <c r="A6341" s="2">
        <v>6337</v>
      </c>
      <c r="B6341" s="66" t="s">
        <v>7371</v>
      </c>
      <c r="C6341" s="66" t="s">
        <v>7372</v>
      </c>
      <c r="D6341" s="11">
        <v>7190.6</v>
      </c>
      <c r="E6341" s="11">
        <v>7190.6</v>
      </c>
      <c r="F6341" s="3">
        <v>39065</v>
      </c>
      <c r="G6341" s="2"/>
      <c r="H6341" s="3">
        <v>43053</v>
      </c>
      <c r="I6341" s="2" t="s">
        <v>19506</v>
      </c>
      <c r="J6341" s="2" t="s">
        <v>13904</v>
      </c>
      <c r="K6341" s="2" t="s">
        <v>5657</v>
      </c>
      <c r="L6341" s="82" t="s">
        <v>19512</v>
      </c>
    </row>
    <row r="6342" spans="1:12" ht="84" customHeight="1" x14ac:dyDescent="0.3">
      <c r="A6342" s="2">
        <v>6338</v>
      </c>
      <c r="B6342" s="66" t="s">
        <v>7373</v>
      </c>
      <c r="C6342" s="66" t="s">
        <v>7374</v>
      </c>
      <c r="D6342" s="11">
        <v>7190.6</v>
      </c>
      <c r="E6342" s="11">
        <v>7190.6</v>
      </c>
      <c r="F6342" s="3">
        <v>39065</v>
      </c>
      <c r="G6342" s="2"/>
      <c r="H6342" s="3">
        <v>43053</v>
      </c>
      <c r="I6342" s="2" t="s">
        <v>19506</v>
      </c>
      <c r="J6342" s="2" t="s">
        <v>13904</v>
      </c>
      <c r="K6342" s="2" t="s">
        <v>5657</v>
      </c>
      <c r="L6342" s="82" t="s">
        <v>19512</v>
      </c>
    </row>
    <row r="6343" spans="1:12" ht="84" customHeight="1" x14ac:dyDescent="0.3">
      <c r="A6343" s="2">
        <v>6339</v>
      </c>
      <c r="B6343" s="66" t="s">
        <v>6993</v>
      </c>
      <c r="C6343" s="66" t="s">
        <v>7375</v>
      </c>
      <c r="D6343" s="11">
        <v>7190.6</v>
      </c>
      <c r="E6343" s="11">
        <v>7190.6</v>
      </c>
      <c r="F6343" s="3">
        <v>39065</v>
      </c>
      <c r="G6343" s="2"/>
      <c r="H6343" s="3">
        <v>43053</v>
      </c>
      <c r="I6343" s="2" t="s">
        <v>19506</v>
      </c>
      <c r="J6343" s="2" t="s">
        <v>13904</v>
      </c>
      <c r="K6343" s="2" t="s">
        <v>5657</v>
      </c>
      <c r="L6343" s="82" t="s">
        <v>19512</v>
      </c>
    </row>
    <row r="6344" spans="1:12" ht="84" customHeight="1" x14ac:dyDescent="0.3">
      <c r="A6344" s="2">
        <v>6340</v>
      </c>
      <c r="B6344" s="66" t="s">
        <v>6993</v>
      </c>
      <c r="C6344" s="66" t="s">
        <v>7376</v>
      </c>
      <c r="D6344" s="11">
        <v>7190.6</v>
      </c>
      <c r="E6344" s="11">
        <v>7190.6</v>
      </c>
      <c r="F6344" s="3">
        <v>39065</v>
      </c>
      <c r="G6344" s="2"/>
      <c r="H6344" s="3">
        <v>43053</v>
      </c>
      <c r="I6344" s="2" t="s">
        <v>19506</v>
      </c>
      <c r="J6344" s="2" t="s">
        <v>13904</v>
      </c>
      <c r="K6344" s="2" t="s">
        <v>5657</v>
      </c>
      <c r="L6344" s="82" t="s">
        <v>19512</v>
      </c>
    </row>
    <row r="6345" spans="1:12" ht="84" customHeight="1" x14ac:dyDescent="0.3">
      <c r="A6345" s="2">
        <v>6341</v>
      </c>
      <c r="B6345" s="66" t="s">
        <v>6993</v>
      </c>
      <c r="C6345" s="66" t="s">
        <v>7377</v>
      </c>
      <c r="D6345" s="11">
        <v>7190.6</v>
      </c>
      <c r="E6345" s="11">
        <v>7190.6</v>
      </c>
      <c r="F6345" s="3">
        <v>39065</v>
      </c>
      <c r="G6345" s="2"/>
      <c r="H6345" s="3">
        <v>43053</v>
      </c>
      <c r="I6345" s="2" t="s">
        <v>19506</v>
      </c>
      <c r="J6345" s="2" t="s">
        <v>13904</v>
      </c>
      <c r="K6345" s="2" t="s">
        <v>5657</v>
      </c>
      <c r="L6345" s="82" t="s">
        <v>19512</v>
      </c>
    </row>
    <row r="6346" spans="1:12" ht="84" customHeight="1" x14ac:dyDescent="0.3">
      <c r="A6346" s="2">
        <v>6342</v>
      </c>
      <c r="B6346" s="66" t="s">
        <v>6993</v>
      </c>
      <c r="C6346" s="66" t="s">
        <v>7378</v>
      </c>
      <c r="D6346" s="11">
        <v>7190.6</v>
      </c>
      <c r="E6346" s="11">
        <v>7190.6</v>
      </c>
      <c r="F6346" s="3">
        <v>39065</v>
      </c>
      <c r="G6346" s="2"/>
      <c r="H6346" s="3">
        <v>43053</v>
      </c>
      <c r="I6346" s="2" t="s">
        <v>19506</v>
      </c>
      <c r="J6346" s="2" t="s">
        <v>13904</v>
      </c>
      <c r="K6346" s="2" t="s">
        <v>5657</v>
      </c>
      <c r="L6346" s="82" t="s">
        <v>19512</v>
      </c>
    </row>
    <row r="6347" spans="1:12" ht="84" customHeight="1" x14ac:dyDescent="0.3">
      <c r="A6347" s="2">
        <v>6343</v>
      </c>
      <c r="B6347" s="66" t="s">
        <v>6993</v>
      </c>
      <c r="C6347" s="66" t="s">
        <v>7379</v>
      </c>
      <c r="D6347" s="11">
        <v>7190.6</v>
      </c>
      <c r="E6347" s="11">
        <v>7190.6</v>
      </c>
      <c r="F6347" s="3">
        <v>39065</v>
      </c>
      <c r="G6347" s="2"/>
      <c r="H6347" s="3">
        <v>43053</v>
      </c>
      <c r="I6347" s="2" t="s">
        <v>19506</v>
      </c>
      <c r="J6347" s="2" t="s">
        <v>13904</v>
      </c>
      <c r="K6347" s="2" t="s">
        <v>5657</v>
      </c>
      <c r="L6347" s="82" t="s">
        <v>19512</v>
      </c>
    </row>
    <row r="6348" spans="1:12" ht="84" customHeight="1" x14ac:dyDescent="0.3">
      <c r="A6348" s="2">
        <v>6344</v>
      </c>
      <c r="B6348" s="66" t="s">
        <v>6993</v>
      </c>
      <c r="C6348" s="66" t="s">
        <v>7380</v>
      </c>
      <c r="D6348" s="11">
        <v>7190.6</v>
      </c>
      <c r="E6348" s="11">
        <v>7190.6</v>
      </c>
      <c r="F6348" s="3">
        <v>39065</v>
      </c>
      <c r="G6348" s="2"/>
      <c r="H6348" s="3">
        <v>43053</v>
      </c>
      <c r="I6348" s="2" t="s">
        <v>19506</v>
      </c>
      <c r="J6348" s="2" t="s">
        <v>13904</v>
      </c>
      <c r="K6348" s="2" t="s">
        <v>5657</v>
      </c>
      <c r="L6348" s="82" t="s">
        <v>19512</v>
      </c>
    </row>
    <row r="6349" spans="1:12" ht="84" customHeight="1" x14ac:dyDescent="0.3">
      <c r="A6349" s="2">
        <v>6345</v>
      </c>
      <c r="B6349" s="66" t="s">
        <v>6993</v>
      </c>
      <c r="C6349" s="66" t="s">
        <v>7381</v>
      </c>
      <c r="D6349" s="11">
        <v>7190.6</v>
      </c>
      <c r="E6349" s="11">
        <v>7190.6</v>
      </c>
      <c r="F6349" s="3">
        <v>39065</v>
      </c>
      <c r="G6349" s="2"/>
      <c r="H6349" s="3">
        <v>43053</v>
      </c>
      <c r="I6349" s="2" t="s">
        <v>19506</v>
      </c>
      <c r="J6349" s="2" t="s">
        <v>13904</v>
      </c>
      <c r="K6349" s="2" t="s">
        <v>5657</v>
      </c>
      <c r="L6349" s="82" t="s">
        <v>19512</v>
      </c>
    </row>
    <row r="6350" spans="1:12" ht="84" customHeight="1" x14ac:dyDescent="0.3">
      <c r="A6350" s="2">
        <v>6346</v>
      </c>
      <c r="B6350" s="66" t="s">
        <v>6993</v>
      </c>
      <c r="C6350" s="66" t="s">
        <v>7382</v>
      </c>
      <c r="D6350" s="11">
        <v>7190.6</v>
      </c>
      <c r="E6350" s="11">
        <v>7190.6</v>
      </c>
      <c r="F6350" s="3">
        <v>39065</v>
      </c>
      <c r="G6350" s="2"/>
      <c r="H6350" s="3">
        <v>43053</v>
      </c>
      <c r="I6350" s="2" t="s">
        <v>19506</v>
      </c>
      <c r="J6350" s="2" t="s">
        <v>13904</v>
      </c>
      <c r="K6350" s="2" t="s">
        <v>5657</v>
      </c>
      <c r="L6350" s="82" t="s">
        <v>19512</v>
      </c>
    </row>
    <row r="6351" spans="1:12" ht="84" customHeight="1" x14ac:dyDescent="0.3">
      <c r="A6351" s="2">
        <v>6347</v>
      </c>
      <c r="B6351" s="66" t="s">
        <v>6993</v>
      </c>
      <c r="C6351" s="66" t="s">
        <v>7383</v>
      </c>
      <c r="D6351" s="11">
        <v>7190.6</v>
      </c>
      <c r="E6351" s="11">
        <v>7190.6</v>
      </c>
      <c r="F6351" s="3">
        <v>39065</v>
      </c>
      <c r="G6351" s="2"/>
      <c r="H6351" s="3">
        <v>43053</v>
      </c>
      <c r="I6351" s="2" t="s">
        <v>19506</v>
      </c>
      <c r="J6351" s="2" t="s">
        <v>13904</v>
      </c>
      <c r="K6351" s="2" t="s">
        <v>5657</v>
      </c>
      <c r="L6351" s="82" t="s">
        <v>19512</v>
      </c>
    </row>
    <row r="6352" spans="1:12" ht="84" customHeight="1" x14ac:dyDescent="0.3">
      <c r="A6352" s="2">
        <v>6348</v>
      </c>
      <c r="B6352" s="66" t="s">
        <v>6993</v>
      </c>
      <c r="C6352" s="66" t="s">
        <v>7384</v>
      </c>
      <c r="D6352" s="11">
        <v>7190.6</v>
      </c>
      <c r="E6352" s="11">
        <v>7190.6</v>
      </c>
      <c r="F6352" s="3">
        <v>39065</v>
      </c>
      <c r="G6352" s="2"/>
      <c r="H6352" s="3">
        <v>43053</v>
      </c>
      <c r="I6352" s="2" t="s">
        <v>19506</v>
      </c>
      <c r="J6352" s="2" t="s">
        <v>13904</v>
      </c>
      <c r="K6352" s="2" t="s">
        <v>5657</v>
      </c>
      <c r="L6352" s="82" t="s">
        <v>19512</v>
      </c>
    </row>
    <row r="6353" spans="1:12" ht="84" customHeight="1" x14ac:dyDescent="0.3">
      <c r="A6353" s="2">
        <v>6349</v>
      </c>
      <c r="B6353" s="66" t="s">
        <v>6993</v>
      </c>
      <c r="C6353" s="66" t="s">
        <v>7385</v>
      </c>
      <c r="D6353" s="11">
        <v>7190.6</v>
      </c>
      <c r="E6353" s="11">
        <v>7190.6</v>
      </c>
      <c r="F6353" s="3">
        <v>39065</v>
      </c>
      <c r="G6353" s="2"/>
      <c r="H6353" s="3">
        <v>43053</v>
      </c>
      <c r="I6353" s="2" t="s">
        <v>19506</v>
      </c>
      <c r="J6353" s="2" t="s">
        <v>13904</v>
      </c>
      <c r="K6353" s="2" t="s">
        <v>5657</v>
      </c>
      <c r="L6353" s="82" t="s">
        <v>19512</v>
      </c>
    </row>
    <row r="6354" spans="1:12" ht="84" customHeight="1" x14ac:dyDescent="0.3">
      <c r="A6354" s="2">
        <v>6350</v>
      </c>
      <c r="B6354" s="66" t="s">
        <v>6993</v>
      </c>
      <c r="C6354" s="66" t="s">
        <v>7386</v>
      </c>
      <c r="D6354" s="11">
        <v>7190.6</v>
      </c>
      <c r="E6354" s="11">
        <v>7190.6</v>
      </c>
      <c r="F6354" s="3">
        <v>39065</v>
      </c>
      <c r="G6354" s="2"/>
      <c r="H6354" s="3">
        <v>43053</v>
      </c>
      <c r="I6354" s="2" t="s">
        <v>19506</v>
      </c>
      <c r="J6354" s="2" t="s">
        <v>13904</v>
      </c>
      <c r="K6354" s="2" t="s">
        <v>5657</v>
      </c>
      <c r="L6354" s="82" t="s">
        <v>19512</v>
      </c>
    </row>
    <row r="6355" spans="1:12" ht="84" customHeight="1" x14ac:dyDescent="0.3">
      <c r="A6355" s="2">
        <v>6351</v>
      </c>
      <c r="B6355" s="66" t="s">
        <v>6993</v>
      </c>
      <c r="C6355" s="66" t="s">
        <v>7387</v>
      </c>
      <c r="D6355" s="11">
        <v>7190.6</v>
      </c>
      <c r="E6355" s="11">
        <v>7190.6</v>
      </c>
      <c r="F6355" s="3">
        <v>39065</v>
      </c>
      <c r="G6355" s="2"/>
      <c r="H6355" s="3">
        <v>43053</v>
      </c>
      <c r="I6355" s="2" t="s">
        <v>19506</v>
      </c>
      <c r="J6355" s="2" t="s">
        <v>13904</v>
      </c>
      <c r="K6355" s="2" t="s">
        <v>5657</v>
      </c>
      <c r="L6355" s="82" t="s">
        <v>19512</v>
      </c>
    </row>
    <row r="6356" spans="1:12" ht="84" customHeight="1" x14ac:dyDescent="0.3">
      <c r="A6356" s="2">
        <v>6352</v>
      </c>
      <c r="B6356" s="66" t="s">
        <v>6993</v>
      </c>
      <c r="C6356" s="66" t="s">
        <v>7388</v>
      </c>
      <c r="D6356" s="11">
        <v>7190.6</v>
      </c>
      <c r="E6356" s="11">
        <v>7190.6</v>
      </c>
      <c r="F6356" s="3">
        <v>39065</v>
      </c>
      <c r="G6356" s="2"/>
      <c r="H6356" s="3">
        <v>43053</v>
      </c>
      <c r="I6356" s="2" t="s">
        <v>19506</v>
      </c>
      <c r="J6356" s="2" t="s">
        <v>13904</v>
      </c>
      <c r="K6356" s="2" t="s">
        <v>5657</v>
      </c>
      <c r="L6356" s="82" t="s">
        <v>19512</v>
      </c>
    </row>
    <row r="6357" spans="1:12" ht="84" customHeight="1" x14ac:dyDescent="0.3">
      <c r="A6357" s="2">
        <v>6353</v>
      </c>
      <c r="B6357" s="66" t="s">
        <v>6993</v>
      </c>
      <c r="C6357" s="66" t="s">
        <v>7389</v>
      </c>
      <c r="D6357" s="11">
        <v>7190.6</v>
      </c>
      <c r="E6357" s="11">
        <v>7190.6</v>
      </c>
      <c r="F6357" s="3">
        <v>39065</v>
      </c>
      <c r="G6357" s="2"/>
      <c r="H6357" s="3">
        <v>43053</v>
      </c>
      <c r="I6357" s="2" t="s">
        <v>19506</v>
      </c>
      <c r="J6357" s="2" t="s">
        <v>13904</v>
      </c>
      <c r="K6357" s="2" t="s">
        <v>5657</v>
      </c>
      <c r="L6357" s="82" t="s">
        <v>19512</v>
      </c>
    </row>
    <row r="6358" spans="1:12" ht="84" customHeight="1" x14ac:dyDescent="0.3">
      <c r="A6358" s="2">
        <v>6354</v>
      </c>
      <c r="B6358" s="66" t="s">
        <v>6993</v>
      </c>
      <c r="C6358" s="66" t="s">
        <v>7390</v>
      </c>
      <c r="D6358" s="11">
        <v>7190.6</v>
      </c>
      <c r="E6358" s="11">
        <v>7190.6</v>
      </c>
      <c r="F6358" s="3">
        <v>39065</v>
      </c>
      <c r="G6358" s="2"/>
      <c r="H6358" s="3">
        <v>43053</v>
      </c>
      <c r="I6358" s="2" t="s">
        <v>19506</v>
      </c>
      <c r="J6358" s="2" t="s">
        <v>13904</v>
      </c>
      <c r="K6358" s="2" t="s">
        <v>5657</v>
      </c>
      <c r="L6358" s="82" t="s">
        <v>19512</v>
      </c>
    </row>
    <row r="6359" spans="1:12" ht="84" customHeight="1" x14ac:dyDescent="0.3">
      <c r="A6359" s="2">
        <v>6355</v>
      </c>
      <c r="B6359" s="66" t="s">
        <v>6993</v>
      </c>
      <c r="C6359" s="66" t="s">
        <v>7391</v>
      </c>
      <c r="D6359" s="11">
        <v>7190.6</v>
      </c>
      <c r="E6359" s="11">
        <v>7190.6</v>
      </c>
      <c r="F6359" s="3">
        <v>39065</v>
      </c>
      <c r="G6359" s="2"/>
      <c r="H6359" s="3">
        <v>43053</v>
      </c>
      <c r="I6359" s="2" t="s">
        <v>19506</v>
      </c>
      <c r="J6359" s="2" t="s">
        <v>13904</v>
      </c>
      <c r="K6359" s="2" t="s">
        <v>5657</v>
      </c>
      <c r="L6359" s="82" t="s">
        <v>19512</v>
      </c>
    </row>
    <row r="6360" spans="1:12" ht="84" customHeight="1" x14ac:dyDescent="0.3">
      <c r="A6360" s="2">
        <v>6356</v>
      </c>
      <c r="B6360" s="66" t="s">
        <v>6993</v>
      </c>
      <c r="C6360" s="66" t="s">
        <v>7392</v>
      </c>
      <c r="D6360" s="11">
        <v>7190.6</v>
      </c>
      <c r="E6360" s="11">
        <v>7190.6</v>
      </c>
      <c r="F6360" s="3">
        <v>39065</v>
      </c>
      <c r="G6360" s="2"/>
      <c r="H6360" s="3">
        <v>43053</v>
      </c>
      <c r="I6360" s="2" t="s">
        <v>19506</v>
      </c>
      <c r="J6360" s="2" t="s">
        <v>13904</v>
      </c>
      <c r="K6360" s="2" t="s">
        <v>5657</v>
      </c>
      <c r="L6360" s="82" t="s">
        <v>19512</v>
      </c>
    </row>
    <row r="6361" spans="1:12" ht="84" customHeight="1" x14ac:dyDescent="0.3">
      <c r="A6361" s="2">
        <v>6357</v>
      </c>
      <c r="B6361" s="66" t="s">
        <v>6993</v>
      </c>
      <c r="C6361" s="66" t="s">
        <v>7393</v>
      </c>
      <c r="D6361" s="11">
        <v>7190.6</v>
      </c>
      <c r="E6361" s="11">
        <v>7190.6</v>
      </c>
      <c r="F6361" s="3">
        <v>39065</v>
      </c>
      <c r="G6361" s="2"/>
      <c r="H6361" s="3">
        <v>43053</v>
      </c>
      <c r="I6361" s="2" t="s">
        <v>19506</v>
      </c>
      <c r="J6361" s="2" t="s">
        <v>13904</v>
      </c>
      <c r="K6361" s="2" t="s">
        <v>5657</v>
      </c>
      <c r="L6361" s="82" t="s">
        <v>19512</v>
      </c>
    </row>
    <row r="6362" spans="1:12" ht="84" customHeight="1" x14ac:dyDescent="0.3">
      <c r="A6362" s="2">
        <v>6358</v>
      </c>
      <c r="B6362" s="66" t="s">
        <v>6993</v>
      </c>
      <c r="C6362" s="66" t="s">
        <v>7394</v>
      </c>
      <c r="D6362" s="11">
        <v>7190.6</v>
      </c>
      <c r="E6362" s="11">
        <v>7190.6</v>
      </c>
      <c r="F6362" s="3">
        <v>39066</v>
      </c>
      <c r="G6362" s="2"/>
      <c r="H6362" s="3">
        <v>43053</v>
      </c>
      <c r="I6362" s="2" t="s">
        <v>19506</v>
      </c>
      <c r="J6362" s="2" t="s">
        <v>13904</v>
      </c>
      <c r="K6362" s="2" t="s">
        <v>5657</v>
      </c>
      <c r="L6362" s="82" t="s">
        <v>19512</v>
      </c>
    </row>
    <row r="6363" spans="1:12" ht="84" customHeight="1" x14ac:dyDescent="0.3">
      <c r="A6363" s="2">
        <v>6359</v>
      </c>
      <c r="B6363" s="66" t="s">
        <v>6993</v>
      </c>
      <c r="C6363" s="66" t="s">
        <v>7395</v>
      </c>
      <c r="D6363" s="11">
        <v>7190.6</v>
      </c>
      <c r="E6363" s="11">
        <v>7190.6</v>
      </c>
      <c r="F6363" s="3">
        <v>39065</v>
      </c>
      <c r="G6363" s="2"/>
      <c r="H6363" s="3">
        <v>43053</v>
      </c>
      <c r="I6363" s="2" t="s">
        <v>19506</v>
      </c>
      <c r="J6363" s="2" t="s">
        <v>13904</v>
      </c>
      <c r="K6363" s="2" t="s">
        <v>5657</v>
      </c>
      <c r="L6363" s="82" t="s">
        <v>19512</v>
      </c>
    </row>
    <row r="6364" spans="1:12" ht="84" customHeight="1" x14ac:dyDescent="0.3">
      <c r="A6364" s="2">
        <v>6360</v>
      </c>
      <c r="B6364" s="66" t="s">
        <v>6993</v>
      </c>
      <c r="C6364" s="66" t="s">
        <v>7396</v>
      </c>
      <c r="D6364" s="11">
        <v>7190.6</v>
      </c>
      <c r="E6364" s="11">
        <v>7190.6</v>
      </c>
      <c r="F6364" s="3">
        <v>39065</v>
      </c>
      <c r="G6364" s="2"/>
      <c r="H6364" s="3">
        <v>43053</v>
      </c>
      <c r="I6364" s="2" t="s">
        <v>19506</v>
      </c>
      <c r="J6364" s="2" t="s">
        <v>13904</v>
      </c>
      <c r="K6364" s="2" t="s">
        <v>5657</v>
      </c>
      <c r="L6364" s="82" t="s">
        <v>19512</v>
      </c>
    </row>
    <row r="6365" spans="1:12" ht="84" customHeight="1" x14ac:dyDescent="0.3">
      <c r="A6365" s="2">
        <v>6361</v>
      </c>
      <c r="B6365" s="66" t="s">
        <v>6993</v>
      </c>
      <c r="C6365" s="66" t="s">
        <v>7397</v>
      </c>
      <c r="D6365" s="11">
        <v>7190.6</v>
      </c>
      <c r="E6365" s="11">
        <v>7190.6</v>
      </c>
      <c r="F6365" s="3">
        <v>39065</v>
      </c>
      <c r="G6365" s="2"/>
      <c r="H6365" s="3">
        <v>43053</v>
      </c>
      <c r="I6365" s="2" t="s">
        <v>19506</v>
      </c>
      <c r="J6365" s="2" t="s">
        <v>13904</v>
      </c>
      <c r="K6365" s="2" t="s">
        <v>5657</v>
      </c>
      <c r="L6365" s="82" t="s">
        <v>19512</v>
      </c>
    </row>
    <row r="6366" spans="1:12" ht="84" customHeight="1" x14ac:dyDescent="0.3">
      <c r="A6366" s="2">
        <v>6362</v>
      </c>
      <c r="B6366" s="66" t="s">
        <v>6993</v>
      </c>
      <c r="C6366" s="66" t="s">
        <v>7398</v>
      </c>
      <c r="D6366" s="11">
        <v>7190.6</v>
      </c>
      <c r="E6366" s="11">
        <v>7190.6</v>
      </c>
      <c r="F6366" s="3">
        <v>39065</v>
      </c>
      <c r="G6366" s="2"/>
      <c r="H6366" s="3">
        <v>43053</v>
      </c>
      <c r="I6366" s="2" t="s">
        <v>19506</v>
      </c>
      <c r="J6366" s="2" t="s">
        <v>13904</v>
      </c>
      <c r="K6366" s="2" t="s">
        <v>5657</v>
      </c>
      <c r="L6366" s="82" t="s">
        <v>19512</v>
      </c>
    </row>
    <row r="6367" spans="1:12" ht="84" customHeight="1" x14ac:dyDescent="0.3">
      <c r="A6367" s="2">
        <v>6363</v>
      </c>
      <c r="B6367" s="66" t="s">
        <v>6993</v>
      </c>
      <c r="C6367" s="66" t="s">
        <v>7399</v>
      </c>
      <c r="D6367" s="11">
        <v>7190.6</v>
      </c>
      <c r="E6367" s="11">
        <v>7190.6</v>
      </c>
      <c r="F6367" s="3">
        <v>39065</v>
      </c>
      <c r="G6367" s="2"/>
      <c r="H6367" s="3">
        <v>43053</v>
      </c>
      <c r="I6367" s="2" t="s">
        <v>19506</v>
      </c>
      <c r="J6367" s="2" t="s">
        <v>13904</v>
      </c>
      <c r="K6367" s="2" t="s">
        <v>5657</v>
      </c>
      <c r="L6367" s="82" t="s">
        <v>19512</v>
      </c>
    </row>
    <row r="6368" spans="1:12" ht="84" customHeight="1" x14ac:dyDescent="0.3">
      <c r="A6368" s="2">
        <v>6364</v>
      </c>
      <c r="B6368" s="66" t="s">
        <v>6993</v>
      </c>
      <c r="C6368" s="66" t="s">
        <v>7400</v>
      </c>
      <c r="D6368" s="11">
        <v>7190.6</v>
      </c>
      <c r="E6368" s="11">
        <v>7190.6</v>
      </c>
      <c r="F6368" s="3">
        <v>39065</v>
      </c>
      <c r="G6368" s="2"/>
      <c r="H6368" s="3">
        <v>43053</v>
      </c>
      <c r="I6368" s="2" t="s">
        <v>19506</v>
      </c>
      <c r="J6368" s="2" t="s">
        <v>13904</v>
      </c>
      <c r="K6368" s="2" t="s">
        <v>5657</v>
      </c>
      <c r="L6368" s="82" t="s">
        <v>19512</v>
      </c>
    </row>
    <row r="6369" spans="1:12" ht="84" customHeight="1" x14ac:dyDescent="0.3">
      <c r="A6369" s="2">
        <v>6365</v>
      </c>
      <c r="B6369" s="66" t="s">
        <v>6993</v>
      </c>
      <c r="C6369" s="66" t="s">
        <v>7401</v>
      </c>
      <c r="D6369" s="11">
        <v>7190.6</v>
      </c>
      <c r="E6369" s="11">
        <v>7190.6</v>
      </c>
      <c r="F6369" s="3">
        <v>39065</v>
      </c>
      <c r="G6369" s="2"/>
      <c r="H6369" s="3">
        <v>43053</v>
      </c>
      <c r="I6369" s="2" t="s">
        <v>19506</v>
      </c>
      <c r="J6369" s="2" t="s">
        <v>13904</v>
      </c>
      <c r="K6369" s="2" t="s">
        <v>5657</v>
      </c>
      <c r="L6369" s="82" t="s">
        <v>19512</v>
      </c>
    </row>
    <row r="6370" spans="1:12" ht="84" customHeight="1" x14ac:dyDescent="0.3">
      <c r="A6370" s="2">
        <v>6366</v>
      </c>
      <c r="B6370" s="66" t="s">
        <v>6993</v>
      </c>
      <c r="C6370" s="66" t="s">
        <v>7402</v>
      </c>
      <c r="D6370" s="11">
        <v>7190.6</v>
      </c>
      <c r="E6370" s="11">
        <v>7190.6</v>
      </c>
      <c r="F6370" s="3">
        <v>39065</v>
      </c>
      <c r="G6370" s="2"/>
      <c r="H6370" s="3">
        <v>43053</v>
      </c>
      <c r="I6370" s="2" t="s">
        <v>19506</v>
      </c>
      <c r="J6370" s="2" t="s">
        <v>13904</v>
      </c>
      <c r="K6370" s="2" t="s">
        <v>5657</v>
      </c>
      <c r="L6370" s="82" t="s">
        <v>19512</v>
      </c>
    </row>
    <row r="6371" spans="1:12" ht="84" customHeight="1" x14ac:dyDescent="0.3">
      <c r="A6371" s="2">
        <v>6367</v>
      </c>
      <c r="B6371" s="66" t="s">
        <v>6993</v>
      </c>
      <c r="C6371" s="66" t="s">
        <v>7403</v>
      </c>
      <c r="D6371" s="11">
        <v>7190.6</v>
      </c>
      <c r="E6371" s="11">
        <v>7190.6</v>
      </c>
      <c r="F6371" s="3">
        <v>39065</v>
      </c>
      <c r="G6371" s="2"/>
      <c r="H6371" s="3">
        <v>43053</v>
      </c>
      <c r="I6371" s="2" t="s">
        <v>19506</v>
      </c>
      <c r="J6371" s="2" t="s">
        <v>13904</v>
      </c>
      <c r="K6371" s="2" t="s">
        <v>5657</v>
      </c>
      <c r="L6371" s="82" t="s">
        <v>19512</v>
      </c>
    </row>
    <row r="6372" spans="1:12" ht="84" customHeight="1" x14ac:dyDescent="0.3">
      <c r="A6372" s="2">
        <v>6368</v>
      </c>
      <c r="B6372" s="66" t="s">
        <v>6993</v>
      </c>
      <c r="C6372" s="66" t="s">
        <v>7404</v>
      </c>
      <c r="D6372" s="11">
        <v>7190.6</v>
      </c>
      <c r="E6372" s="11">
        <v>7190.6</v>
      </c>
      <c r="F6372" s="3">
        <v>39065</v>
      </c>
      <c r="G6372" s="2"/>
      <c r="H6372" s="3">
        <v>43053</v>
      </c>
      <c r="I6372" s="2" t="s">
        <v>19506</v>
      </c>
      <c r="J6372" s="2" t="s">
        <v>13904</v>
      </c>
      <c r="K6372" s="2" t="s">
        <v>5657</v>
      </c>
      <c r="L6372" s="82" t="s">
        <v>19512</v>
      </c>
    </row>
    <row r="6373" spans="1:12" ht="84" customHeight="1" x14ac:dyDescent="0.3">
      <c r="A6373" s="2">
        <v>6369</v>
      </c>
      <c r="B6373" s="66" t="s">
        <v>6993</v>
      </c>
      <c r="C6373" s="66" t="s">
        <v>7405</v>
      </c>
      <c r="D6373" s="11">
        <v>7190.6</v>
      </c>
      <c r="E6373" s="11">
        <v>7190.6</v>
      </c>
      <c r="F6373" s="3">
        <v>39065</v>
      </c>
      <c r="G6373" s="2"/>
      <c r="H6373" s="3">
        <v>43053</v>
      </c>
      <c r="I6373" s="2" t="s">
        <v>19506</v>
      </c>
      <c r="J6373" s="2" t="s">
        <v>13904</v>
      </c>
      <c r="K6373" s="2" t="s">
        <v>5657</v>
      </c>
      <c r="L6373" s="82" t="s">
        <v>19512</v>
      </c>
    </row>
    <row r="6374" spans="1:12" ht="84" customHeight="1" x14ac:dyDescent="0.3">
      <c r="A6374" s="2">
        <v>6370</v>
      </c>
      <c r="B6374" s="66" t="s">
        <v>6993</v>
      </c>
      <c r="C6374" s="66" t="s">
        <v>7406</v>
      </c>
      <c r="D6374" s="11">
        <v>7190.6</v>
      </c>
      <c r="E6374" s="11">
        <v>7190.6</v>
      </c>
      <c r="F6374" s="3">
        <v>39065</v>
      </c>
      <c r="G6374" s="2"/>
      <c r="H6374" s="3">
        <v>43053</v>
      </c>
      <c r="I6374" s="2" t="s">
        <v>19506</v>
      </c>
      <c r="J6374" s="2" t="s">
        <v>13904</v>
      </c>
      <c r="K6374" s="2" t="s">
        <v>5657</v>
      </c>
      <c r="L6374" s="82" t="s">
        <v>19512</v>
      </c>
    </row>
    <row r="6375" spans="1:12" ht="84" customHeight="1" x14ac:dyDescent="0.3">
      <c r="A6375" s="2">
        <v>6371</v>
      </c>
      <c r="B6375" s="66" t="s">
        <v>6993</v>
      </c>
      <c r="C6375" s="66" t="s">
        <v>7407</v>
      </c>
      <c r="D6375" s="11">
        <v>7190.6</v>
      </c>
      <c r="E6375" s="11">
        <v>7190.6</v>
      </c>
      <c r="F6375" s="3">
        <v>39065</v>
      </c>
      <c r="G6375" s="2"/>
      <c r="H6375" s="3">
        <v>43053</v>
      </c>
      <c r="I6375" s="2" t="s">
        <v>19506</v>
      </c>
      <c r="J6375" s="2" t="s">
        <v>13904</v>
      </c>
      <c r="K6375" s="2" t="s">
        <v>5657</v>
      </c>
      <c r="L6375" s="82" t="s">
        <v>19512</v>
      </c>
    </row>
    <row r="6376" spans="1:12" ht="84" customHeight="1" x14ac:dyDescent="0.3">
      <c r="A6376" s="2">
        <v>6372</v>
      </c>
      <c r="B6376" s="66" t="s">
        <v>6993</v>
      </c>
      <c r="C6376" s="66" t="s">
        <v>7408</v>
      </c>
      <c r="D6376" s="11">
        <v>7190.6</v>
      </c>
      <c r="E6376" s="11">
        <v>7190.6</v>
      </c>
      <c r="F6376" s="3">
        <v>39065</v>
      </c>
      <c r="G6376" s="2"/>
      <c r="H6376" s="3">
        <v>43053</v>
      </c>
      <c r="I6376" s="2" t="s">
        <v>19506</v>
      </c>
      <c r="J6376" s="2" t="s">
        <v>13904</v>
      </c>
      <c r="K6376" s="2" t="s">
        <v>5657</v>
      </c>
      <c r="L6376" s="82" t="s">
        <v>19512</v>
      </c>
    </row>
    <row r="6377" spans="1:12" ht="84" customHeight="1" x14ac:dyDescent="0.3">
      <c r="A6377" s="2">
        <v>6373</v>
      </c>
      <c r="B6377" s="66" t="s">
        <v>6993</v>
      </c>
      <c r="C6377" s="66" t="s">
        <v>7409</v>
      </c>
      <c r="D6377" s="11">
        <v>7190.6</v>
      </c>
      <c r="E6377" s="11">
        <v>7190.6</v>
      </c>
      <c r="F6377" s="3">
        <v>39065</v>
      </c>
      <c r="G6377" s="2"/>
      <c r="H6377" s="3">
        <v>43053</v>
      </c>
      <c r="I6377" s="2" t="s">
        <v>19506</v>
      </c>
      <c r="J6377" s="2" t="s">
        <v>13904</v>
      </c>
      <c r="K6377" s="2" t="s">
        <v>5657</v>
      </c>
      <c r="L6377" s="82" t="s">
        <v>19512</v>
      </c>
    </row>
    <row r="6378" spans="1:12" ht="84" customHeight="1" x14ac:dyDescent="0.3">
      <c r="A6378" s="2">
        <v>6374</v>
      </c>
      <c r="B6378" s="66" t="s">
        <v>6993</v>
      </c>
      <c r="C6378" s="66" t="s">
        <v>7410</v>
      </c>
      <c r="D6378" s="11">
        <v>7190.6</v>
      </c>
      <c r="E6378" s="11">
        <v>7190.6</v>
      </c>
      <c r="F6378" s="3">
        <v>39065</v>
      </c>
      <c r="G6378" s="2"/>
      <c r="H6378" s="3">
        <v>43053</v>
      </c>
      <c r="I6378" s="2" t="s">
        <v>19506</v>
      </c>
      <c r="J6378" s="2" t="s">
        <v>13904</v>
      </c>
      <c r="K6378" s="2" t="s">
        <v>5657</v>
      </c>
      <c r="L6378" s="82" t="s">
        <v>19512</v>
      </c>
    </row>
    <row r="6379" spans="1:12" ht="84" customHeight="1" x14ac:dyDescent="0.3">
      <c r="A6379" s="2">
        <v>6375</v>
      </c>
      <c r="B6379" s="66" t="s">
        <v>6993</v>
      </c>
      <c r="C6379" s="66" t="s">
        <v>7411</v>
      </c>
      <c r="D6379" s="11">
        <v>7190.6</v>
      </c>
      <c r="E6379" s="11">
        <v>7190.6</v>
      </c>
      <c r="F6379" s="3">
        <v>39065</v>
      </c>
      <c r="G6379" s="2"/>
      <c r="H6379" s="3">
        <v>43053</v>
      </c>
      <c r="I6379" s="2" t="s">
        <v>19506</v>
      </c>
      <c r="J6379" s="2" t="s">
        <v>13904</v>
      </c>
      <c r="K6379" s="2" t="s">
        <v>5657</v>
      </c>
      <c r="L6379" s="82" t="s">
        <v>19512</v>
      </c>
    </row>
    <row r="6380" spans="1:12" ht="84" customHeight="1" x14ac:dyDescent="0.3">
      <c r="A6380" s="2">
        <v>6376</v>
      </c>
      <c r="B6380" s="66" t="s">
        <v>6993</v>
      </c>
      <c r="C6380" s="66" t="s">
        <v>7412</v>
      </c>
      <c r="D6380" s="11">
        <v>7190.6</v>
      </c>
      <c r="E6380" s="11">
        <v>7190.6</v>
      </c>
      <c r="F6380" s="3">
        <v>39065</v>
      </c>
      <c r="G6380" s="2"/>
      <c r="H6380" s="3">
        <v>43053</v>
      </c>
      <c r="I6380" s="2" t="s">
        <v>19506</v>
      </c>
      <c r="J6380" s="2" t="s">
        <v>13904</v>
      </c>
      <c r="K6380" s="2" t="s">
        <v>5657</v>
      </c>
      <c r="L6380" s="82" t="s">
        <v>19512</v>
      </c>
    </row>
    <row r="6381" spans="1:12" ht="84" customHeight="1" x14ac:dyDescent="0.3">
      <c r="A6381" s="2">
        <v>6377</v>
      </c>
      <c r="B6381" s="66" t="s">
        <v>6993</v>
      </c>
      <c r="C6381" s="66" t="s">
        <v>7413</v>
      </c>
      <c r="D6381" s="11">
        <v>7190.6</v>
      </c>
      <c r="E6381" s="11">
        <v>7190.6</v>
      </c>
      <c r="F6381" s="3">
        <v>39065</v>
      </c>
      <c r="G6381" s="2"/>
      <c r="H6381" s="3">
        <v>43053</v>
      </c>
      <c r="I6381" s="2" t="s">
        <v>19506</v>
      </c>
      <c r="J6381" s="2" t="s">
        <v>13904</v>
      </c>
      <c r="K6381" s="2" t="s">
        <v>5657</v>
      </c>
      <c r="L6381" s="82" t="s">
        <v>19512</v>
      </c>
    </row>
    <row r="6382" spans="1:12" ht="84" customHeight="1" x14ac:dyDescent="0.3">
      <c r="A6382" s="2">
        <v>6378</v>
      </c>
      <c r="B6382" s="66" t="s">
        <v>6993</v>
      </c>
      <c r="C6382" s="66" t="s">
        <v>7414</v>
      </c>
      <c r="D6382" s="11">
        <v>7190.6</v>
      </c>
      <c r="E6382" s="11">
        <v>7190.6</v>
      </c>
      <c r="F6382" s="3">
        <v>39065</v>
      </c>
      <c r="G6382" s="2"/>
      <c r="H6382" s="3">
        <v>43053</v>
      </c>
      <c r="I6382" s="2" t="s">
        <v>19506</v>
      </c>
      <c r="J6382" s="2" t="s">
        <v>13904</v>
      </c>
      <c r="K6382" s="2" t="s">
        <v>5657</v>
      </c>
      <c r="L6382" s="82" t="s">
        <v>19512</v>
      </c>
    </row>
    <row r="6383" spans="1:12" ht="84" customHeight="1" x14ac:dyDescent="0.3">
      <c r="A6383" s="2">
        <v>6379</v>
      </c>
      <c r="B6383" s="66" t="s">
        <v>6993</v>
      </c>
      <c r="C6383" s="66" t="s">
        <v>7415</v>
      </c>
      <c r="D6383" s="11">
        <v>7190.6</v>
      </c>
      <c r="E6383" s="11">
        <v>7190.6</v>
      </c>
      <c r="F6383" s="3">
        <v>39065</v>
      </c>
      <c r="G6383" s="2"/>
      <c r="H6383" s="3">
        <v>43053</v>
      </c>
      <c r="I6383" s="2" t="s">
        <v>19506</v>
      </c>
      <c r="J6383" s="2" t="s">
        <v>13904</v>
      </c>
      <c r="K6383" s="2" t="s">
        <v>5657</v>
      </c>
      <c r="L6383" s="82" t="s">
        <v>19512</v>
      </c>
    </row>
    <row r="6384" spans="1:12" ht="84" customHeight="1" x14ac:dyDescent="0.3">
      <c r="A6384" s="2">
        <v>6380</v>
      </c>
      <c r="B6384" s="66" t="s">
        <v>6993</v>
      </c>
      <c r="C6384" s="66" t="s">
        <v>7416</v>
      </c>
      <c r="D6384" s="11">
        <v>7190.6</v>
      </c>
      <c r="E6384" s="11">
        <v>7190.6</v>
      </c>
      <c r="F6384" s="3">
        <v>39065</v>
      </c>
      <c r="G6384" s="2"/>
      <c r="H6384" s="3">
        <v>43053</v>
      </c>
      <c r="I6384" s="2" t="s">
        <v>19506</v>
      </c>
      <c r="J6384" s="2" t="s">
        <v>13904</v>
      </c>
      <c r="K6384" s="2" t="s">
        <v>5657</v>
      </c>
      <c r="L6384" s="82" t="s">
        <v>19512</v>
      </c>
    </row>
    <row r="6385" spans="1:12" ht="84" customHeight="1" x14ac:dyDescent="0.3">
      <c r="A6385" s="2">
        <v>6381</v>
      </c>
      <c r="B6385" s="66" t="s">
        <v>6993</v>
      </c>
      <c r="C6385" s="66" t="s">
        <v>7417</v>
      </c>
      <c r="D6385" s="11">
        <v>7190.6</v>
      </c>
      <c r="E6385" s="11">
        <v>7190.6</v>
      </c>
      <c r="F6385" s="3">
        <v>39065</v>
      </c>
      <c r="G6385" s="2"/>
      <c r="H6385" s="3">
        <v>43053</v>
      </c>
      <c r="I6385" s="2" t="s">
        <v>19506</v>
      </c>
      <c r="J6385" s="2" t="s">
        <v>13904</v>
      </c>
      <c r="K6385" s="2" t="s">
        <v>5657</v>
      </c>
      <c r="L6385" s="82" t="s">
        <v>19512</v>
      </c>
    </row>
    <row r="6386" spans="1:12" ht="84" customHeight="1" x14ac:dyDescent="0.3">
      <c r="A6386" s="2">
        <v>6382</v>
      </c>
      <c r="B6386" s="66" t="s">
        <v>6993</v>
      </c>
      <c r="C6386" s="66" t="s">
        <v>7418</v>
      </c>
      <c r="D6386" s="11">
        <v>7190.6</v>
      </c>
      <c r="E6386" s="11">
        <v>7190.6</v>
      </c>
      <c r="F6386" s="3">
        <v>39065</v>
      </c>
      <c r="G6386" s="2"/>
      <c r="H6386" s="3">
        <v>43053</v>
      </c>
      <c r="I6386" s="2" t="s">
        <v>19506</v>
      </c>
      <c r="J6386" s="2" t="s">
        <v>13904</v>
      </c>
      <c r="K6386" s="2" t="s">
        <v>5657</v>
      </c>
      <c r="L6386" s="82" t="s">
        <v>19512</v>
      </c>
    </row>
    <row r="6387" spans="1:12" ht="84" customHeight="1" x14ac:dyDescent="0.3">
      <c r="A6387" s="2">
        <v>6383</v>
      </c>
      <c r="B6387" s="66" t="s">
        <v>6993</v>
      </c>
      <c r="C6387" s="66" t="s">
        <v>7419</v>
      </c>
      <c r="D6387" s="11">
        <v>7190.6</v>
      </c>
      <c r="E6387" s="11">
        <v>7190.6</v>
      </c>
      <c r="F6387" s="3">
        <v>39065</v>
      </c>
      <c r="G6387" s="2"/>
      <c r="H6387" s="3">
        <v>43053</v>
      </c>
      <c r="I6387" s="2" t="s">
        <v>19506</v>
      </c>
      <c r="J6387" s="2" t="s">
        <v>13904</v>
      </c>
      <c r="K6387" s="2" t="s">
        <v>5657</v>
      </c>
      <c r="L6387" s="82" t="s">
        <v>19512</v>
      </c>
    </row>
    <row r="6388" spans="1:12" ht="84" customHeight="1" x14ac:dyDescent="0.3">
      <c r="A6388" s="2">
        <v>6384</v>
      </c>
      <c r="B6388" s="66" t="s">
        <v>6993</v>
      </c>
      <c r="C6388" s="66" t="s">
        <v>7420</v>
      </c>
      <c r="D6388" s="11">
        <v>7190.6</v>
      </c>
      <c r="E6388" s="11">
        <v>7190.6</v>
      </c>
      <c r="F6388" s="3">
        <v>39065</v>
      </c>
      <c r="G6388" s="2"/>
      <c r="H6388" s="3">
        <v>43053</v>
      </c>
      <c r="I6388" s="2" t="s">
        <v>19506</v>
      </c>
      <c r="J6388" s="2" t="s">
        <v>13904</v>
      </c>
      <c r="K6388" s="2" t="s">
        <v>5657</v>
      </c>
      <c r="L6388" s="82" t="s">
        <v>19512</v>
      </c>
    </row>
    <row r="6389" spans="1:12" ht="84" customHeight="1" x14ac:dyDescent="0.3">
      <c r="A6389" s="2">
        <v>6385</v>
      </c>
      <c r="B6389" s="66" t="s">
        <v>6993</v>
      </c>
      <c r="C6389" s="66" t="s">
        <v>7421</v>
      </c>
      <c r="D6389" s="11">
        <v>7190.6</v>
      </c>
      <c r="E6389" s="11">
        <v>7190.6</v>
      </c>
      <c r="F6389" s="3">
        <v>39065</v>
      </c>
      <c r="G6389" s="2"/>
      <c r="H6389" s="3">
        <v>43053</v>
      </c>
      <c r="I6389" s="2" t="s">
        <v>19506</v>
      </c>
      <c r="J6389" s="2" t="s">
        <v>13904</v>
      </c>
      <c r="K6389" s="2" t="s">
        <v>5657</v>
      </c>
      <c r="L6389" s="82" t="s">
        <v>19512</v>
      </c>
    </row>
    <row r="6390" spans="1:12" ht="84" customHeight="1" x14ac:dyDescent="0.3">
      <c r="A6390" s="2">
        <v>6386</v>
      </c>
      <c r="B6390" s="66" t="s">
        <v>6993</v>
      </c>
      <c r="C6390" s="66" t="s">
        <v>7422</v>
      </c>
      <c r="D6390" s="11">
        <v>7190.6</v>
      </c>
      <c r="E6390" s="11">
        <v>7190.6</v>
      </c>
      <c r="F6390" s="3">
        <v>39065</v>
      </c>
      <c r="G6390" s="2"/>
      <c r="H6390" s="3">
        <v>43053</v>
      </c>
      <c r="I6390" s="2" t="s">
        <v>19506</v>
      </c>
      <c r="J6390" s="2" t="s">
        <v>13904</v>
      </c>
      <c r="K6390" s="2" t="s">
        <v>5657</v>
      </c>
      <c r="L6390" s="82" t="s">
        <v>19512</v>
      </c>
    </row>
    <row r="6391" spans="1:12" ht="84" customHeight="1" x14ac:dyDescent="0.3">
      <c r="A6391" s="2">
        <v>6387</v>
      </c>
      <c r="B6391" s="66" t="s">
        <v>6993</v>
      </c>
      <c r="C6391" s="66" t="s">
        <v>7423</v>
      </c>
      <c r="D6391" s="11">
        <v>7190.6</v>
      </c>
      <c r="E6391" s="11">
        <v>7190.6</v>
      </c>
      <c r="F6391" s="3">
        <v>39065</v>
      </c>
      <c r="G6391" s="2"/>
      <c r="H6391" s="3">
        <v>43053</v>
      </c>
      <c r="I6391" s="2" t="s">
        <v>19506</v>
      </c>
      <c r="J6391" s="2" t="s">
        <v>13904</v>
      </c>
      <c r="K6391" s="2" t="s">
        <v>5657</v>
      </c>
      <c r="L6391" s="82" t="s">
        <v>19512</v>
      </c>
    </row>
    <row r="6392" spans="1:12" ht="84" customHeight="1" x14ac:dyDescent="0.3">
      <c r="A6392" s="2">
        <v>6388</v>
      </c>
      <c r="B6392" s="66" t="s">
        <v>6993</v>
      </c>
      <c r="C6392" s="66" t="s">
        <v>7424</v>
      </c>
      <c r="D6392" s="11">
        <v>7190.6</v>
      </c>
      <c r="E6392" s="11">
        <v>7190.6</v>
      </c>
      <c r="F6392" s="3">
        <v>39065</v>
      </c>
      <c r="G6392" s="2"/>
      <c r="H6392" s="3">
        <v>43053</v>
      </c>
      <c r="I6392" s="2" t="s">
        <v>19506</v>
      </c>
      <c r="J6392" s="2" t="s">
        <v>13904</v>
      </c>
      <c r="K6392" s="2" t="s">
        <v>5657</v>
      </c>
      <c r="L6392" s="82" t="s">
        <v>19512</v>
      </c>
    </row>
    <row r="6393" spans="1:12" ht="84" customHeight="1" x14ac:dyDescent="0.3">
      <c r="A6393" s="2">
        <v>6389</v>
      </c>
      <c r="B6393" s="66" t="s">
        <v>6993</v>
      </c>
      <c r="C6393" s="66" t="s">
        <v>7425</v>
      </c>
      <c r="D6393" s="11">
        <v>7190.6</v>
      </c>
      <c r="E6393" s="11">
        <v>7190.6</v>
      </c>
      <c r="F6393" s="3">
        <v>39065</v>
      </c>
      <c r="G6393" s="2"/>
      <c r="H6393" s="3">
        <v>43053</v>
      </c>
      <c r="I6393" s="2" t="s">
        <v>19506</v>
      </c>
      <c r="J6393" s="2" t="s">
        <v>13904</v>
      </c>
      <c r="K6393" s="2" t="s">
        <v>5657</v>
      </c>
      <c r="L6393" s="82" t="s">
        <v>19512</v>
      </c>
    </row>
    <row r="6394" spans="1:12" ht="84" customHeight="1" x14ac:dyDescent="0.3">
      <c r="A6394" s="2">
        <v>6390</v>
      </c>
      <c r="B6394" s="66" t="s">
        <v>6993</v>
      </c>
      <c r="C6394" s="66" t="s">
        <v>7426</v>
      </c>
      <c r="D6394" s="11">
        <v>7190.6</v>
      </c>
      <c r="E6394" s="11">
        <v>7190.6</v>
      </c>
      <c r="F6394" s="3">
        <v>39065</v>
      </c>
      <c r="G6394" s="2"/>
      <c r="H6394" s="3">
        <v>43053</v>
      </c>
      <c r="I6394" s="2" t="s">
        <v>19506</v>
      </c>
      <c r="J6394" s="2" t="s">
        <v>13904</v>
      </c>
      <c r="K6394" s="2" t="s">
        <v>5657</v>
      </c>
      <c r="L6394" s="82" t="s">
        <v>19512</v>
      </c>
    </row>
    <row r="6395" spans="1:12" ht="84" customHeight="1" x14ac:dyDescent="0.3">
      <c r="A6395" s="2">
        <v>6391</v>
      </c>
      <c r="B6395" s="66" t="s">
        <v>6993</v>
      </c>
      <c r="C6395" s="66" t="s">
        <v>7427</v>
      </c>
      <c r="D6395" s="11">
        <v>7190.6</v>
      </c>
      <c r="E6395" s="11">
        <v>7190.6</v>
      </c>
      <c r="F6395" s="3">
        <v>39065</v>
      </c>
      <c r="G6395" s="2"/>
      <c r="H6395" s="3">
        <v>43053</v>
      </c>
      <c r="I6395" s="2" t="s">
        <v>19506</v>
      </c>
      <c r="J6395" s="2" t="s">
        <v>13904</v>
      </c>
      <c r="K6395" s="2" t="s">
        <v>5657</v>
      </c>
      <c r="L6395" s="82" t="s">
        <v>19512</v>
      </c>
    </row>
    <row r="6396" spans="1:12" ht="84" customHeight="1" x14ac:dyDescent="0.3">
      <c r="A6396" s="2">
        <v>6392</v>
      </c>
      <c r="B6396" s="66" t="s">
        <v>6993</v>
      </c>
      <c r="C6396" s="66" t="s">
        <v>7428</v>
      </c>
      <c r="D6396" s="11">
        <v>7190.6</v>
      </c>
      <c r="E6396" s="11">
        <v>7190.6</v>
      </c>
      <c r="F6396" s="3">
        <v>39065</v>
      </c>
      <c r="G6396" s="2"/>
      <c r="H6396" s="3">
        <v>43053</v>
      </c>
      <c r="I6396" s="2" t="s">
        <v>19506</v>
      </c>
      <c r="J6396" s="2" t="s">
        <v>13904</v>
      </c>
      <c r="K6396" s="2" t="s">
        <v>5657</v>
      </c>
      <c r="L6396" s="82" t="s">
        <v>19512</v>
      </c>
    </row>
    <row r="6397" spans="1:12" ht="84" customHeight="1" x14ac:dyDescent="0.3">
      <c r="A6397" s="2">
        <v>6393</v>
      </c>
      <c r="B6397" s="66" t="s">
        <v>6993</v>
      </c>
      <c r="C6397" s="66" t="s">
        <v>7429</v>
      </c>
      <c r="D6397" s="11">
        <v>7190.6</v>
      </c>
      <c r="E6397" s="11">
        <v>7190.6</v>
      </c>
      <c r="F6397" s="3">
        <v>39065</v>
      </c>
      <c r="G6397" s="2"/>
      <c r="H6397" s="3">
        <v>43053</v>
      </c>
      <c r="I6397" s="2" t="s">
        <v>19506</v>
      </c>
      <c r="J6397" s="2" t="s">
        <v>13904</v>
      </c>
      <c r="K6397" s="2" t="s">
        <v>5657</v>
      </c>
      <c r="L6397" s="82" t="s">
        <v>19512</v>
      </c>
    </row>
    <row r="6398" spans="1:12" ht="84" customHeight="1" x14ac:dyDescent="0.3">
      <c r="A6398" s="2">
        <v>6394</v>
      </c>
      <c r="B6398" s="66" t="s">
        <v>6993</v>
      </c>
      <c r="C6398" s="66" t="s">
        <v>7430</v>
      </c>
      <c r="D6398" s="11">
        <v>7190.6</v>
      </c>
      <c r="E6398" s="11">
        <v>7190.6</v>
      </c>
      <c r="F6398" s="3">
        <v>39065</v>
      </c>
      <c r="G6398" s="2"/>
      <c r="H6398" s="3">
        <v>43053</v>
      </c>
      <c r="I6398" s="2" t="s">
        <v>19506</v>
      </c>
      <c r="J6398" s="2" t="s">
        <v>13904</v>
      </c>
      <c r="K6398" s="2" t="s">
        <v>5657</v>
      </c>
      <c r="L6398" s="82" t="s">
        <v>19512</v>
      </c>
    </row>
    <row r="6399" spans="1:12" ht="84" customHeight="1" x14ac:dyDescent="0.3">
      <c r="A6399" s="2">
        <v>6395</v>
      </c>
      <c r="B6399" s="66" t="s">
        <v>6993</v>
      </c>
      <c r="C6399" s="66" t="s">
        <v>7431</v>
      </c>
      <c r="D6399" s="11">
        <v>7190.6</v>
      </c>
      <c r="E6399" s="11">
        <v>7190.6</v>
      </c>
      <c r="F6399" s="3">
        <v>39065</v>
      </c>
      <c r="G6399" s="2"/>
      <c r="H6399" s="3">
        <v>43053</v>
      </c>
      <c r="I6399" s="2" t="s">
        <v>19506</v>
      </c>
      <c r="J6399" s="2" t="s">
        <v>13904</v>
      </c>
      <c r="K6399" s="2" t="s">
        <v>5657</v>
      </c>
      <c r="L6399" s="82" t="s">
        <v>19512</v>
      </c>
    </row>
    <row r="6400" spans="1:12" ht="84" customHeight="1" x14ac:dyDescent="0.3">
      <c r="A6400" s="2">
        <v>6396</v>
      </c>
      <c r="B6400" s="66" t="s">
        <v>6993</v>
      </c>
      <c r="C6400" s="66" t="s">
        <v>7432</v>
      </c>
      <c r="D6400" s="11">
        <v>7190.6</v>
      </c>
      <c r="E6400" s="11">
        <v>7190.6</v>
      </c>
      <c r="F6400" s="3">
        <v>39065</v>
      </c>
      <c r="G6400" s="2"/>
      <c r="H6400" s="3">
        <v>43053</v>
      </c>
      <c r="I6400" s="2" t="s">
        <v>19506</v>
      </c>
      <c r="J6400" s="2" t="s">
        <v>13904</v>
      </c>
      <c r="K6400" s="2" t="s">
        <v>5657</v>
      </c>
      <c r="L6400" s="82" t="s">
        <v>19512</v>
      </c>
    </row>
    <row r="6401" spans="1:12" ht="84" customHeight="1" x14ac:dyDescent="0.3">
      <c r="A6401" s="2">
        <v>6397</v>
      </c>
      <c r="B6401" s="66" t="s">
        <v>6993</v>
      </c>
      <c r="C6401" s="66" t="s">
        <v>7433</v>
      </c>
      <c r="D6401" s="11">
        <v>7190.6</v>
      </c>
      <c r="E6401" s="11">
        <v>7190.6</v>
      </c>
      <c r="F6401" s="3">
        <v>39065</v>
      </c>
      <c r="G6401" s="2"/>
      <c r="H6401" s="3">
        <v>43053</v>
      </c>
      <c r="I6401" s="2" t="s">
        <v>19506</v>
      </c>
      <c r="J6401" s="2" t="s">
        <v>13904</v>
      </c>
      <c r="K6401" s="2" t="s">
        <v>5657</v>
      </c>
      <c r="L6401" s="82" t="s">
        <v>19512</v>
      </c>
    </row>
    <row r="6402" spans="1:12" ht="84" customHeight="1" x14ac:dyDescent="0.3">
      <c r="A6402" s="2">
        <v>6398</v>
      </c>
      <c r="B6402" s="66" t="s">
        <v>6993</v>
      </c>
      <c r="C6402" s="66" t="s">
        <v>7434</v>
      </c>
      <c r="D6402" s="11">
        <v>7190.6</v>
      </c>
      <c r="E6402" s="11">
        <v>7190.6</v>
      </c>
      <c r="F6402" s="3">
        <v>39065</v>
      </c>
      <c r="G6402" s="2"/>
      <c r="H6402" s="3">
        <v>43053</v>
      </c>
      <c r="I6402" s="2" t="s">
        <v>19506</v>
      </c>
      <c r="J6402" s="2" t="s">
        <v>13904</v>
      </c>
      <c r="K6402" s="2" t="s">
        <v>5657</v>
      </c>
      <c r="L6402" s="82" t="s">
        <v>19512</v>
      </c>
    </row>
    <row r="6403" spans="1:12" ht="84" customHeight="1" x14ac:dyDescent="0.3">
      <c r="A6403" s="2">
        <v>6399</v>
      </c>
      <c r="B6403" s="66" t="s">
        <v>6993</v>
      </c>
      <c r="C6403" s="66" t="s">
        <v>7435</v>
      </c>
      <c r="D6403" s="11">
        <v>7190.6</v>
      </c>
      <c r="E6403" s="11">
        <v>7190.6</v>
      </c>
      <c r="F6403" s="3">
        <v>39065</v>
      </c>
      <c r="G6403" s="2"/>
      <c r="H6403" s="3">
        <v>43053</v>
      </c>
      <c r="I6403" s="2" t="s">
        <v>19506</v>
      </c>
      <c r="J6403" s="2" t="s">
        <v>13904</v>
      </c>
      <c r="K6403" s="2" t="s">
        <v>5657</v>
      </c>
      <c r="L6403" s="82" t="s">
        <v>19512</v>
      </c>
    </row>
    <row r="6404" spans="1:12" ht="84" customHeight="1" x14ac:dyDescent="0.3">
      <c r="A6404" s="2">
        <v>6400</v>
      </c>
      <c r="B6404" s="66" t="s">
        <v>6993</v>
      </c>
      <c r="C6404" s="66" t="s">
        <v>7436</v>
      </c>
      <c r="D6404" s="11">
        <v>7190.6</v>
      </c>
      <c r="E6404" s="11">
        <v>7190.6</v>
      </c>
      <c r="F6404" s="3">
        <v>39065</v>
      </c>
      <c r="G6404" s="2"/>
      <c r="H6404" s="3">
        <v>43053</v>
      </c>
      <c r="I6404" s="2" t="s">
        <v>19506</v>
      </c>
      <c r="J6404" s="2" t="s">
        <v>13904</v>
      </c>
      <c r="K6404" s="2" t="s">
        <v>5657</v>
      </c>
      <c r="L6404" s="82" t="s">
        <v>19512</v>
      </c>
    </row>
    <row r="6405" spans="1:12" ht="84" customHeight="1" x14ac:dyDescent="0.3">
      <c r="A6405" s="2">
        <v>6401</v>
      </c>
      <c r="B6405" s="66" t="s">
        <v>6993</v>
      </c>
      <c r="C6405" s="66" t="s">
        <v>7437</v>
      </c>
      <c r="D6405" s="11">
        <v>7190.6</v>
      </c>
      <c r="E6405" s="11">
        <v>7190.6</v>
      </c>
      <c r="F6405" s="3">
        <v>39065</v>
      </c>
      <c r="G6405" s="2"/>
      <c r="H6405" s="3">
        <v>43053</v>
      </c>
      <c r="I6405" s="2" t="s">
        <v>19506</v>
      </c>
      <c r="J6405" s="2" t="s">
        <v>13904</v>
      </c>
      <c r="K6405" s="2" t="s">
        <v>5657</v>
      </c>
      <c r="L6405" s="82" t="s">
        <v>19512</v>
      </c>
    </row>
    <row r="6406" spans="1:12" ht="84" customHeight="1" x14ac:dyDescent="0.3">
      <c r="A6406" s="2">
        <v>6402</v>
      </c>
      <c r="B6406" s="66" t="s">
        <v>6993</v>
      </c>
      <c r="C6406" s="66" t="s">
        <v>7438</v>
      </c>
      <c r="D6406" s="11">
        <v>7190.6</v>
      </c>
      <c r="E6406" s="11">
        <v>7190.6</v>
      </c>
      <c r="F6406" s="3">
        <v>39065</v>
      </c>
      <c r="G6406" s="2"/>
      <c r="H6406" s="3">
        <v>43053</v>
      </c>
      <c r="I6406" s="2" t="s">
        <v>19506</v>
      </c>
      <c r="J6406" s="2" t="s">
        <v>13904</v>
      </c>
      <c r="K6406" s="2" t="s">
        <v>5657</v>
      </c>
      <c r="L6406" s="82" t="s">
        <v>19512</v>
      </c>
    </row>
    <row r="6407" spans="1:12" ht="84" customHeight="1" x14ac:dyDescent="0.3">
      <c r="A6407" s="2">
        <v>6403</v>
      </c>
      <c r="B6407" s="66" t="s">
        <v>6993</v>
      </c>
      <c r="C6407" s="66" t="s">
        <v>7439</v>
      </c>
      <c r="D6407" s="11">
        <v>7190.6</v>
      </c>
      <c r="E6407" s="11">
        <v>7190.6</v>
      </c>
      <c r="F6407" s="3">
        <v>39065</v>
      </c>
      <c r="G6407" s="2"/>
      <c r="H6407" s="3">
        <v>43053</v>
      </c>
      <c r="I6407" s="2" t="s">
        <v>19506</v>
      </c>
      <c r="J6407" s="2" t="s">
        <v>13904</v>
      </c>
      <c r="K6407" s="2" t="s">
        <v>5657</v>
      </c>
      <c r="L6407" s="82" t="s">
        <v>19512</v>
      </c>
    </row>
    <row r="6408" spans="1:12" ht="84" customHeight="1" x14ac:dyDescent="0.3">
      <c r="A6408" s="2">
        <v>6404</v>
      </c>
      <c r="B6408" s="66" t="s">
        <v>6993</v>
      </c>
      <c r="C6408" s="66" t="s">
        <v>7440</v>
      </c>
      <c r="D6408" s="11">
        <v>7190.6</v>
      </c>
      <c r="E6408" s="11">
        <v>7190.6</v>
      </c>
      <c r="F6408" s="3">
        <v>39065</v>
      </c>
      <c r="G6408" s="2"/>
      <c r="H6408" s="3">
        <v>43053</v>
      </c>
      <c r="I6408" s="2" t="s">
        <v>19506</v>
      </c>
      <c r="J6408" s="2" t="s">
        <v>13904</v>
      </c>
      <c r="K6408" s="2" t="s">
        <v>5657</v>
      </c>
      <c r="L6408" s="82" t="s">
        <v>19512</v>
      </c>
    </row>
    <row r="6409" spans="1:12" ht="84" customHeight="1" x14ac:dyDescent="0.3">
      <c r="A6409" s="2">
        <v>6405</v>
      </c>
      <c r="B6409" s="66" t="s">
        <v>6993</v>
      </c>
      <c r="C6409" s="66" t="s">
        <v>7441</v>
      </c>
      <c r="D6409" s="11">
        <v>7190.6</v>
      </c>
      <c r="E6409" s="11">
        <v>7190.6</v>
      </c>
      <c r="F6409" s="3">
        <v>39065</v>
      </c>
      <c r="G6409" s="2"/>
      <c r="H6409" s="3">
        <v>43053</v>
      </c>
      <c r="I6409" s="2" t="s">
        <v>19506</v>
      </c>
      <c r="J6409" s="2" t="s">
        <v>13904</v>
      </c>
      <c r="K6409" s="2" t="s">
        <v>5657</v>
      </c>
      <c r="L6409" s="82" t="s">
        <v>19512</v>
      </c>
    </row>
    <row r="6410" spans="1:12" ht="84" customHeight="1" x14ac:dyDescent="0.3">
      <c r="A6410" s="2">
        <v>6406</v>
      </c>
      <c r="B6410" s="66" t="s">
        <v>6993</v>
      </c>
      <c r="C6410" s="66" t="s">
        <v>7442</v>
      </c>
      <c r="D6410" s="11">
        <v>7190.6</v>
      </c>
      <c r="E6410" s="11">
        <v>7190.6</v>
      </c>
      <c r="F6410" s="3">
        <v>39065</v>
      </c>
      <c r="G6410" s="2"/>
      <c r="H6410" s="3">
        <v>43053</v>
      </c>
      <c r="I6410" s="2" t="s">
        <v>19506</v>
      </c>
      <c r="J6410" s="2" t="s">
        <v>13904</v>
      </c>
      <c r="K6410" s="2" t="s">
        <v>5657</v>
      </c>
      <c r="L6410" s="82" t="s">
        <v>19512</v>
      </c>
    </row>
    <row r="6411" spans="1:12" ht="84" customHeight="1" x14ac:dyDescent="0.3">
      <c r="A6411" s="2">
        <v>6407</v>
      </c>
      <c r="B6411" s="66" t="s">
        <v>6993</v>
      </c>
      <c r="C6411" s="66" t="s">
        <v>7443</v>
      </c>
      <c r="D6411" s="11">
        <v>7190.6</v>
      </c>
      <c r="E6411" s="11">
        <v>7190.6</v>
      </c>
      <c r="F6411" s="3">
        <v>39065</v>
      </c>
      <c r="G6411" s="2"/>
      <c r="H6411" s="3">
        <v>43053</v>
      </c>
      <c r="I6411" s="2" t="s">
        <v>19506</v>
      </c>
      <c r="J6411" s="2" t="s">
        <v>13904</v>
      </c>
      <c r="K6411" s="2" t="s">
        <v>5657</v>
      </c>
      <c r="L6411" s="82" t="s">
        <v>19512</v>
      </c>
    </row>
    <row r="6412" spans="1:12" ht="84" customHeight="1" x14ac:dyDescent="0.3">
      <c r="A6412" s="2">
        <v>6408</v>
      </c>
      <c r="B6412" s="66" t="s">
        <v>6993</v>
      </c>
      <c r="C6412" s="66" t="s">
        <v>7444</v>
      </c>
      <c r="D6412" s="11">
        <v>7190.6</v>
      </c>
      <c r="E6412" s="11">
        <v>7190.6</v>
      </c>
      <c r="F6412" s="3">
        <v>39065</v>
      </c>
      <c r="G6412" s="2"/>
      <c r="H6412" s="3">
        <v>43053</v>
      </c>
      <c r="I6412" s="2" t="s">
        <v>19506</v>
      </c>
      <c r="J6412" s="2" t="s">
        <v>13904</v>
      </c>
      <c r="K6412" s="2" t="s">
        <v>5657</v>
      </c>
      <c r="L6412" s="82" t="s">
        <v>19512</v>
      </c>
    </row>
    <row r="6413" spans="1:12" ht="84" customHeight="1" x14ac:dyDescent="0.3">
      <c r="A6413" s="2">
        <v>6409</v>
      </c>
      <c r="B6413" s="66" t="s">
        <v>6993</v>
      </c>
      <c r="C6413" s="66" t="s">
        <v>7445</v>
      </c>
      <c r="D6413" s="11">
        <v>7190.6</v>
      </c>
      <c r="E6413" s="11">
        <v>7190.6</v>
      </c>
      <c r="F6413" s="3">
        <v>39065</v>
      </c>
      <c r="G6413" s="2"/>
      <c r="H6413" s="2"/>
      <c r="I6413" s="2"/>
      <c r="J6413" s="2" t="s">
        <v>13904</v>
      </c>
      <c r="K6413" s="2" t="s">
        <v>5657</v>
      </c>
      <c r="L6413" s="82" t="s">
        <v>22280</v>
      </c>
    </row>
    <row r="6414" spans="1:12" ht="84" customHeight="1" x14ac:dyDescent="0.3">
      <c r="A6414" s="2">
        <v>6410</v>
      </c>
      <c r="B6414" s="66" t="s">
        <v>6993</v>
      </c>
      <c r="C6414" s="66" t="s">
        <v>7446</v>
      </c>
      <c r="D6414" s="11">
        <v>7190.6</v>
      </c>
      <c r="E6414" s="11">
        <v>7190.6</v>
      </c>
      <c r="F6414" s="3">
        <v>39065</v>
      </c>
      <c r="G6414" s="2"/>
      <c r="H6414" s="2"/>
      <c r="I6414" s="2"/>
      <c r="J6414" s="2" t="s">
        <v>13904</v>
      </c>
      <c r="K6414" s="2" t="s">
        <v>5657</v>
      </c>
      <c r="L6414" s="246" t="s">
        <v>22280</v>
      </c>
    </row>
    <row r="6415" spans="1:12" ht="84" customHeight="1" x14ac:dyDescent="0.3">
      <c r="A6415" s="2">
        <v>6411</v>
      </c>
      <c r="B6415" s="66" t="s">
        <v>6993</v>
      </c>
      <c r="C6415" s="66" t="s">
        <v>7447</v>
      </c>
      <c r="D6415" s="11">
        <v>7190.6</v>
      </c>
      <c r="E6415" s="11">
        <v>7190.6</v>
      </c>
      <c r="F6415" s="3">
        <v>39065</v>
      </c>
      <c r="G6415" s="2"/>
      <c r="H6415" s="2"/>
      <c r="I6415" s="2"/>
      <c r="J6415" s="2" t="s">
        <v>13904</v>
      </c>
      <c r="K6415" s="2" t="s">
        <v>5657</v>
      </c>
      <c r="L6415" s="246" t="s">
        <v>22280</v>
      </c>
    </row>
    <row r="6416" spans="1:12" ht="84" customHeight="1" x14ac:dyDescent="0.3">
      <c r="A6416" s="2">
        <v>6412</v>
      </c>
      <c r="B6416" s="66" t="s">
        <v>6993</v>
      </c>
      <c r="C6416" s="66" t="s">
        <v>7448</v>
      </c>
      <c r="D6416" s="11">
        <v>7190.6</v>
      </c>
      <c r="E6416" s="11">
        <v>7190.6</v>
      </c>
      <c r="F6416" s="3">
        <v>39065</v>
      </c>
      <c r="G6416" s="2"/>
      <c r="H6416" s="2"/>
      <c r="I6416" s="2"/>
      <c r="J6416" s="2" t="s">
        <v>13904</v>
      </c>
      <c r="K6416" s="2" t="s">
        <v>5657</v>
      </c>
      <c r="L6416" s="246" t="s">
        <v>22280</v>
      </c>
    </row>
    <row r="6417" spans="1:12" ht="84" customHeight="1" x14ac:dyDescent="0.3">
      <c r="A6417" s="2">
        <v>6413</v>
      </c>
      <c r="B6417" s="66" t="s">
        <v>6993</v>
      </c>
      <c r="C6417" s="66" t="s">
        <v>7449</v>
      </c>
      <c r="D6417" s="11">
        <v>7190.6</v>
      </c>
      <c r="E6417" s="11">
        <v>7190.6</v>
      </c>
      <c r="F6417" s="3">
        <v>39065</v>
      </c>
      <c r="G6417" s="2"/>
      <c r="H6417" s="2"/>
      <c r="I6417" s="2"/>
      <c r="J6417" s="2" t="s">
        <v>13904</v>
      </c>
      <c r="K6417" s="2" t="s">
        <v>5657</v>
      </c>
      <c r="L6417" s="246" t="s">
        <v>22280</v>
      </c>
    </row>
    <row r="6418" spans="1:12" ht="84" customHeight="1" x14ac:dyDescent="0.3">
      <c r="A6418" s="2">
        <v>6414</v>
      </c>
      <c r="B6418" s="66" t="s">
        <v>6993</v>
      </c>
      <c r="C6418" s="66" t="s">
        <v>7450</v>
      </c>
      <c r="D6418" s="11">
        <v>7190.6</v>
      </c>
      <c r="E6418" s="11">
        <v>7190.6</v>
      </c>
      <c r="F6418" s="3">
        <v>39065</v>
      </c>
      <c r="G6418" s="2"/>
      <c r="H6418" s="2"/>
      <c r="I6418" s="2"/>
      <c r="J6418" s="2" t="s">
        <v>13904</v>
      </c>
      <c r="K6418" s="2" t="s">
        <v>5657</v>
      </c>
      <c r="L6418" s="246" t="s">
        <v>22280</v>
      </c>
    </row>
    <row r="6419" spans="1:12" ht="84" customHeight="1" x14ac:dyDescent="0.3">
      <c r="A6419" s="2">
        <v>6415</v>
      </c>
      <c r="B6419" s="66" t="s">
        <v>6993</v>
      </c>
      <c r="C6419" s="66" t="s">
        <v>7451</v>
      </c>
      <c r="D6419" s="11">
        <v>7190.6</v>
      </c>
      <c r="E6419" s="11">
        <v>7190.6</v>
      </c>
      <c r="F6419" s="3">
        <v>39065</v>
      </c>
      <c r="G6419" s="2"/>
      <c r="H6419" s="2"/>
      <c r="I6419" s="2"/>
      <c r="J6419" s="2" t="s">
        <v>13904</v>
      </c>
      <c r="K6419" s="2" t="s">
        <v>5657</v>
      </c>
      <c r="L6419" s="246" t="s">
        <v>22280</v>
      </c>
    </row>
    <row r="6420" spans="1:12" ht="84" customHeight="1" x14ac:dyDescent="0.3">
      <c r="A6420" s="2">
        <v>6416</v>
      </c>
      <c r="B6420" s="66" t="s">
        <v>6993</v>
      </c>
      <c r="C6420" s="66" t="s">
        <v>7452</v>
      </c>
      <c r="D6420" s="11">
        <v>7190.6</v>
      </c>
      <c r="E6420" s="11">
        <v>7190.6</v>
      </c>
      <c r="F6420" s="3">
        <v>39065</v>
      </c>
      <c r="G6420" s="2"/>
      <c r="H6420" s="2"/>
      <c r="I6420" s="2"/>
      <c r="J6420" s="2" t="s">
        <v>13904</v>
      </c>
      <c r="K6420" s="2" t="s">
        <v>5657</v>
      </c>
      <c r="L6420" s="246" t="s">
        <v>22280</v>
      </c>
    </row>
    <row r="6421" spans="1:12" ht="84" customHeight="1" x14ac:dyDescent="0.3">
      <c r="A6421" s="2">
        <v>6417</v>
      </c>
      <c r="B6421" s="66" t="s">
        <v>6993</v>
      </c>
      <c r="C6421" s="66" t="s">
        <v>7453</v>
      </c>
      <c r="D6421" s="11">
        <v>7190.6</v>
      </c>
      <c r="E6421" s="11">
        <v>7190.6</v>
      </c>
      <c r="F6421" s="3">
        <v>39065</v>
      </c>
      <c r="G6421" s="2"/>
      <c r="H6421" s="2"/>
      <c r="I6421" s="2"/>
      <c r="J6421" s="2" t="s">
        <v>13904</v>
      </c>
      <c r="K6421" s="2" t="s">
        <v>5657</v>
      </c>
      <c r="L6421" s="246" t="s">
        <v>22280</v>
      </c>
    </row>
    <row r="6422" spans="1:12" ht="84" customHeight="1" x14ac:dyDescent="0.3">
      <c r="A6422" s="2">
        <v>6418</v>
      </c>
      <c r="B6422" s="66" t="s">
        <v>6993</v>
      </c>
      <c r="C6422" s="66" t="s">
        <v>7454</v>
      </c>
      <c r="D6422" s="11">
        <v>7190.6</v>
      </c>
      <c r="E6422" s="11">
        <v>7190.6</v>
      </c>
      <c r="F6422" s="3">
        <v>39065</v>
      </c>
      <c r="G6422" s="2"/>
      <c r="H6422" s="2"/>
      <c r="I6422" s="2"/>
      <c r="J6422" s="2" t="s">
        <v>13904</v>
      </c>
      <c r="K6422" s="2" t="s">
        <v>5657</v>
      </c>
      <c r="L6422" s="246" t="s">
        <v>22280</v>
      </c>
    </row>
    <row r="6423" spans="1:12" ht="84" customHeight="1" x14ac:dyDescent="0.3">
      <c r="A6423" s="2">
        <v>6419</v>
      </c>
      <c r="B6423" s="66" t="s">
        <v>6993</v>
      </c>
      <c r="C6423" s="66" t="s">
        <v>7455</v>
      </c>
      <c r="D6423" s="11">
        <v>7190.6</v>
      </c>
      <c r="E6423" s="11">
        <v>7190.6</v>
      </c>
      <c r="F6423" s="3">
        <v>39065</v>
      </c>
      <c r="G6423" s="2"/>
      <c r="H6423" s="2"/>
      <c r="I6423" s="2"/>
      <c r="J6423" s="2" t="s">
        <v>13904</v>
      </c>
      <c r="K6423" s="2" t="s">
        <v>5657</v>
      </c>
      <c r="L6423" s="246" t="s">
        <v>22280</v>
      </c>
    </row>
    <row r="6424" spans="1:12" ht="84" customHeight="1" x14ac:dyDescent="0.3">
      <c r="A6424" s="2">
        <v>6420</v>
      </c>
      <c r="B6424" s="66" t="s">
        <v>6993</v>
      </c>
      <c r="C6424" s="66" t="s">
        <v>7456</v>
      </c>
      <c r="D6424" s="11">
        <v>7190.6</v>
      </c>
      <c r="E6424" s="11">
        <v>7190.6</v>
      </c>
      <c r="F6424" s="3">
        <v>39065</v>
      </c>
      <c r="G6424" s="2"/>
      <c r="H6424" s="2"/>
      <c r="I6424" s="2"/>
      <c r="J6424" s="2" t="s">
        <v>13904</v>
      </c>
      <c r="K6424" s="2" t="s">
        <v>5657</v>
      </c>
      <c r="L6424" s="246" t="s">
        <v>22280</v>
      </c>
    </row>
    <row r="6425" spans="1:12" ht="84" customHeight="1" x14ac:dyDescent="0.3">
      <c r="A6425" s="2">
        <v>6421</v>
      </c>
      <c r="B6425" s="66" t="s">
        <v>6993</v>
      </c>
      <c r="C6425" s="66" t="s">
        <v>7457</v>
      </c>
      <c r="D6425" s="11">
        <v>7190.6</v>
      </c>
      <c r="E6425" s="11">
        <v>7190.6</v>
      </c>
      <c r="F6425" s="3">
        <v>39065</v>
      </c>
      <c r="G6425" s="2"/>
      <c r="H6425" s="2"/>
      <c r="I6425" s="2"/>
      <c r="J6425" s="2" t="s">
        <v>13904</v>
      </c>
      <c r="K6425" s="2" t="s">
        <v>5657</v>
      </c>
      <c r="L6425" s="246" t="s">
        <v>22280</v>
      </c>
    </row>
    <row r="6426" spans="1:12" ht="84" customHeight="1" x14ac:dyDescent="0.3">
      <c r="A6426" s="2">
        <v>6422</v>
      </c>
      <c r="B6426" s="66" t="s">
        <v>6993</v>
      </c>
      <c r="C6426" s="66" t="s">
        <v>7458</v>
      </c>
      <c r="D6426" s="11">
        <v>7190.6</v>
      </c>
      <c r="E6426" s="11">
        <v>7190.6</v>
      </c>
      <c r="F6426" s="3">
        <v>39065</v>
      </c>
      <c r="G6426" s="2"/>
      <c r="H6426" s="2"/>
      <c r="I6426" s="2"/>
      <c r="J6426" s="2" t="s">
        <v>13904</v>
      </c>
      <c r="K6426" s="2" t="s">
        <v>5657</v>
      </c>
      <c r="L6426" s="246" t="s">
        <v>22280</v>
      </c>
    </row>
    <row r="6427" spans="1:12" ht="84" customHeight="1" x14ac:dyDescent="0.3">
      <c r="A6427" s="2">
        <v>6423</v>
      </c>
      <c r="B6427" s="66" t="s">
        <v>6993</v>
      </c>
      <c r="C6427" s="66" t="s">
        <v>7459</v>
      </c>
      <c r="D6427" s="11">
        <v>7190.6</v>
      </c>
      <c r="E6427" s="11">
        <v>7190.6</v>
      </c>
      <c r="F6427" s="3">
        <v>39065</v>
      </c>
      <c r="G6427" s="2"/>
      <c r="H6427" s="2"/>
      <c r="I6427" s="2"/>
      <c r="J6427" s="2" t="s">
        <v>13904</v>
      </c>
      <c r="K6427" s="2" t="s">
        <v>5657</v>
      </c>
      <c r="L6427" s="246" t="s">
        <v>22280</v>
      </c>
    </row>
    <row r="6428" spans="1:12" ht="84" customHeight="1" x14ac:dyDescent="0.3">
      <c r="A6428" s="2">
        <v>6424</v>
      </c>
      <c r="B6428" s="66" t="s">
        <v>6993</v>
      </c>
      <c r="C6428" s="66" t="s">
        <v>7460</v>
      </c>
      <c r="D6428" s="11">
        <v>7190.6</v>
      </c>
      <c r="E6428" s="11">
        <v>7190.6</v>
      </c>
      <c r="F6428" s="3">
        <v>39065</v>
      </c>
      <c r="G6428" s="2"/>
      <c r="H6428" s="2"/>
      <c r="I6428" s="2"/>
      <c r="J6428" s="2" t="s">
        <v>13904</v>
      </c>
      <c r="K6428" s="2" t="s">
        <v>5657</v>
      </c>
      <c r="L6428" s="246" t="s">
        <v>22280</v>
      </c>
    </row>
    <row r="6429" spans="1:12" ht="84" customHeight="1" x14ac:dyDescent="0.3">
      <c r="A6429" s="2">
        <v>6425</v>
      </c>
      <c r="B6429" s="66" t="s">
        <v>6993</v>
      </c>
      <c r="C6429" s="66" t="s">
        <v>7461</v>
      </c>
      <c r="D6429" s="11">
        <v>7190.6</v>
      </c>
      <c r="E6429" s="11">
        <v>7190.6</v>
      </c>
      <c r="F6429" s="3">
        <v>39065</v>
      </c>
      <c r="G6429" s="2"/>
      <c r="H6429" s="2"/>
      <c r="I6429" s="2"/>
      <c r="J6429" s="2" t="s">
        <v>13904</v>
      </c>
      <c r="K6429" s="2" t="s">
        <v>5657</v>
      </c>
      <c r="L6429" s="246" t="s">
        <v>22280</v>
      </c>
    </row>
    <row r="6430" spans="1:12" ht="84" customHeight="1" x14ac:dyDescent="0.3">
      <c r="A6430" s="2">
        <v>6426</v>
      </c>
      <c r="B6430" s="66" t="s">
        <v>6993</v>
      </c>
      <c r="C6430" s="66" t="s">
        <v>7462</v>
      </c>
      <c r="D6430" s="11">
        <v>7190.6</v>
      </c>
      <c r="E6430" s="11">
        <v>7190.6</v>
      </c>
      <c r="F6430" s="3">
        <v>39065</v>
      </c>
      <c r="G6430" s="2"/>
      <c r="H6430" s="2"/>
      <c r="I6430" s="2"/>
      <c r="J6430" s="2" t="s">
        <v>13904</v>
      </c>
      <c r="K6430" s="2" t="s">
        <v>5657</v>
      </c>
      <c r="L6430" s="246" t="s">
        <v>22280</v>
      </c>
    </row>
    <row r="6431" spans="1:12" ht="84" customHeight="1" x14ac:dyDescent="0.3">
      <c r="A6431" s="2">
        <v>6427</v>
      </c>
      <c r="B6431" s="66" t="s">
        <v>6993</v>
      </c>
      <c r="C6431" s="66" t="s">
        <v>7463</v>
      </c>
      <c r="D6431" s="11">
        <v>7190.6</v>
      </c>
      <c r="E6431" s="11">
        <v>7190.6</v>
      </c>
      <c r="F6431" s="3">
        <v>39065</v>
      </c>
      <c r="G6431" s="2"/>
      <c r="H6431" s="2"/>
      <c r="I6431" s="2"/>
      <c r="J6431" s="2" t="s">
        <v>13904</v>
      </c>
      <c r="K6431" s="2" t="s">
        <v>5657</v>
      </c>
      <c r="L6431" s="246" t="s">
        <v>22280</v>
      </c>
    </row>
    <row r="6432" spans="1:12" ht="84" customHeight="1" x14ac:dyDescent="0.3">
      <c r="A6432" s="2">
        <v>6428</v>
      </c>
      <c r="B6432" s="66" t="s">
        <v>6993</v>
      </c>
      <c r="C6432" s="66" t="s">
        <v>7464</v>
      </c>
      <c r="D6432" s="11">
        <v>7190.6</v>
      </c>
      <c r="E6432" s="11">
        <v>7190.6</v>
      </c>
      <c r="F6432" s="3">
        <v>39065</v>
      </c>
      <c r="G6432" s="2"/>
      <c r="H6432" s="2"/>
      <c r="I6432" s="2"/>
      <c r="J6432" s="2" t="s">
        <v>13904</v>
      </c>
      <c r="K6432" s="2" t="s">
        <v>5657</v>
      </c>
      <c r="L6432" s="246" t="s">
        <v>22280</v>
      </c>
    </row>
    <row r="6433" spans="1:12" ht="84" customHeight="1" x14ac:dyDescent="0.3">
      <c r="A6433" s="2">
        <v>6429</v>
      </c>
      <c r="B6433" s="66" t="s">
        <v>6993</v>
      </c>
      <c r="C6433" s="66" t="s">
        <v>7465</v>
      </c>
      <c r="D6433" s="11">
        <v>7190.6</v>
      </c>
      <c r="E6433" s="11">
        <v>7190.6</v>
      </c>
      <c r="F6433" s="3">
        <v>39065</v>
      </c>
      <c r="G6433" s="2"/>
      <c r="H6433" s="2"/>
      <c r="I6433" s="2"/>
      <c r="J6433" s="2" t="s">
        <v>13904</v>
      </c>
      <c r="K6433" s="2" t="s">
        <v>5657</v>
      </c>
      <c r="L6433" s="246" t="s">
        <v>22280</v>
      </c>
    </row>
    <row r="6434" spans="1:12" ht="84" customHeight="1" x14ac:dyDescent="0.3">
      <c r="A6434" s="2">
        <v>6430</v>
      </c>
      <c r="B6434" s="66" t="s">
        <v>6993</v>
      </c>
      <c r="C6434" s="66" t="s">
        <v>7466</v>
      </c>
      <c r="D6434" s="11">
        <v>7190.6</v>
      </c>
      <c r="E6434" s="11">
        <v>7190.6</v>
      </c>
      <c r="F6434" s="3">
        <v>39065</v>
      </c>
      <c r="G6434" s="2"/>
      <c r="H6434" s="2"/>
      <c r="I6434" s="2"/>
      <c r="J6434" s="2" t="s">
        <v>13904</v>
      </c>
      <c r="K6434" s="2" t="s">
        <v>5657</v>
      </c>
      <c r="L6434" s="246" t="s">
        <v>22280</v>
      </c>
    </row>
    <row r="6435" spans="1:12" ht="84" customHeight="1" x14ac:dyDescent="0.3">
      <c r="A6435" s="2">
        <v>6431</v>
      </c>
      <c r="B6435" s="66" t="s">
        <v>7467</v>
      </c>
      <c r="C6435" s="66" t="s">
        <v>7468</v>
      </c>
      <c r="D6435" s="11">
        <v>7190.6</v>
      </c>
      <c r="E6435" s="11">
        <v>7190.6</v>
      </c>
      <c r="F6435" s="3">
        <v>39065</v>
      </c>
      <c r="G6435" s="2"/>
      <c r="H6435" s="2"/>
      <c r="I6435" s="2"/>
      <c r="J6435" s="2" t="s">
        <v>13904</v>
      </c>
      <c r="K6435" s="2" t="s">
        <v>5657</v>
      </c>
      <c r="L6435" s="246" t="s">
        <v>22280</v>
      </c>
    </row>
    <row r="6436" spans="1:12" ht="84" customHeight="1" x14ac:dyDescent="0.3">
      <c r="A6436" s="2">
        <v>6432</v>
      </c>
      <c r="B6436" s="66" t="s">
        <v>7469</v>
      </c>
      <c r="C6436" s="66" t="s">
        <v>7470</v>
      </c>
      <c r="D6436" s="11">
        <v>7190.6</v>
      </c>
      <c r="E6436" s="11">
        <v>7190.6</v>
      </c>
      <c r="F6436" s="3">
        <v>39065</v>
      </c>
      <c r="G6436" s="2"/>
      <c r="H6436" s="2"/>
      <c r="I6436" s="2"/>
      <c r="J6436" s="2" t="s">
        <v>13904</v>
      </c>
      <c r="K6436" s="2" t="s">
        <v>5657</v>
      </c>
      <c r="L6436" s="246" t="s">
        <v>22280</v>
      </c>
    </row>
    <row r="6437" spans="1:12" ht="84" customHeight="1" x14ac:dyDescent="0.3">
      <c r="A6437" s="2">
        <v>6433</v>
      </c>
      <c r="B6437" s="66" t="s">
        <v>6993</v>
      </c>
      <c r="C6437" s="66" t="s">
        <v>7471</v>
      </c>
      <c r="D6437" s="11">
        <v>7190.6</v>
      </c>
      <c r="E6437" s="11">
        <v>7190.6</v>
      </c>
      <c r="F6437" s="3">
        <v>39065</v>
      </c>
      <c r="G6437" s="2"/>
      <c r="H6437" s="2"/>
      <c r="I6437" s="2"/>
      <c r="J6437" s="2" t="s">
        <v>13904</v>
      </c>
      <c r="K6437" s="2" t="s">
        <v>5657</v>
      </c>
      <c r="L6437" s="246" t="s">
        <v>22280</v>
      </c>
    </row>
    <row r="6438" spans="1:12" ht="84" customHeight="1" x14ac:dyDescent="0.3">
      <c r="A6438" s="2">
        <v>6434</v>
      </c>
      <c r="B6438" s="66" t="s">
        <v>6993</v>
      </c>
      <c r="C6438" s="66" t="s">
        <v>7472</v>
      </c>
      <c r="D6438" s="11">
        <v>7190.6</v>
      </c>
      <c r="E6438" s="11">
        <v>7190.6</v>
      </c>
      <c r="F6438" s="3">
        <v>39065</v>
      </c>
      <c r="G6438" s="2"/>
      <c r="H6438" s="2"/>
      <c r="I6438" s="2"/>
      <c r="J6438" s="2" t="s">
        <v>13904</v>
      </c>
      <c r="K6438" s="2" t="s">
        <v>5657</v>
      </c>
      <c r="L6438" s="246" t="s">
        <v>22280</v>
      </c>
    </row>
    <row r="6439" spans="1:12" ht="84" customHeight="1" x14ac:dyDescent="0.3">
      <c r="A6439" s="2">
        <v>6435</v>
      </c>
      <c r="B6439" s="66" t="s">
        <v>6993</v>
      </c>
      <c r="C6439" s="66" t="s">
        <v>7473</v>
      </c>
      <c r="D6439" s="11">
        <v>7190.6</v>
      </c>
      <c r="E6439" s="11">
        <v>7190.6</v>
      </c>
      <c r="F6439" s="3">
        <v>39065</v>
      </c>
      <c r="G6439" s="2"/>
      <c r="H6439" s="2"/>
      <c r="I6439" s="2"/>
      <c r="J6439" s="2" t="s">
        <v>13904</v>
      </c>
      <c r="K6439" s="2" t="s">
        <v>5657</v>
      </c>
      <c r="L6439" s="246" t="s">
        <v>22280</v>
      </c>
    </row>
    <row r="6440" spans="1:12" ht="84" customHeight="1" x14ac:dyDescent="0.3">
      <c r="A6440" s="2">
        <v>6436</v>
      </c>
      <c r="B6440" s="66" t="s">
        <v>6993</v>
      </c>
      <c r="C6440" s="66" t="s">
        <v>7474</v>
      </c>
      <c r="D6440" s="11">
        <v>7190.6</v>
      </c>
      <c r="E6440" s="11">
        <v>7190.6</v>
      </c>
      <c r="F6440" s="3">
        <v>39065</v>
      </c>
      <c r="G6440" s="2"/>
      <c r="H6440" s="2"/>
      <c r="I6440" s="2"/>
      <c r="J6440" s="2" t="s">
        <v>13904</v>
      </c>
      <c r="K6440" s="2" t="s">
        <v>5657</v>
      </c>
      <c r="L6440" s="246" t="s">
        <v>22280</v>
      </c>
    </row>
    <row r="6441" spans="1:12" ht="84" customHeight="1" x14ac:dyDescent="0.3">
      <c r="A6441" s="2">
        <v>6437</v>
      </c>
      <c r="B6441" s="66" t="s">
        <v>6993</v>
      </c>
      <c r="C6441" s="66" t="s">
        <v>7475</v>
      </c>
      <c r="D6441" s="11">
        <v>7190.6</v>
      </c>
      <c r="E6441" s="11">
        <v>7190.6</v>
      </c>
      <c r="F6441" s="3">
        <v>39065</v>
      </c>
      <c r="G6441" s="2"/>
      <c r="H6441" s="2"/>
      <c r="I6441" s="2"/>
      <c r="J6441" s="2" t="s">
        <v>13904</v>
      </c>
      <c r="K6441" s="2" t="s">
        <v>5657</v>
      </c>
      <c r="L6441" s="246" t="s">
        <v>22280</v>
      </c>
    </row>
    <row r="6442" spans="1:12" ht="84" customHeight="1" x14ac:dyDescent="0.3">
      <c r="A6442" s="2">
        <v>6438</v>
      </c>
      <c r="B6442" s="66" t="s">
        <v>6993</v>
      </c>
      <c r="C6442" s="66" t="s">
        <v>7476</v>
      </c>
      <c r="D6442" s="11">
        <v>7190.6</v>
      </c>
      <c r="E6442" s="11">
        <v>7190.6</v>
      </c>
      <c r="F6442" s="3">
        <v>39065</v>
      </c>
      <c r="G6442" s="2"/>
      <c r="H6442" s="2"/>
      <c r="I6442" s="2"/>
      <c r="J6442" s="2" t="s">
        <v>13904</v>
      </c>
      <c r="K6442" s="2" t="s">
        <v>5657</v>
      </c>
      <c r="L6442" s="246" t="s">
        <v>22280</v>
      </c>
    </row>
    <row r="6443" spans="1:12" ht="84" customHeight="1" x14ac:dyDescent="0.3">
      <c r="A6443" s="2">
        <v>6439</v>
      </c>
      <c r="B6443" s="66" t="s">
        <v>6993</v>
      </c>
      <c r="C6443" s="66" t="s">
        <v>7477</v>
      </c>
      <c r="D6443" s="11">
        <v>7190.6</v>
      </c>
      <c r="E6443" s="11">
        <v>7190.6</v>
      </c>
      <c r="F6443" s="3">
        <v>39066</v>
      </c>
      <c r="G6443" s="2"/>
      <c r="H6443" s="2"/>
      <c r="I6443" s="2"/>
      <c r="J6443" s="2" t="s">
        <v>13904</v>
      </c>
      <c r="K6443" s="2" t="s">
        <v>5657</v>
      </c>
      <c r="L6443" s="246" t="s">
        <v>22280</v>
      </c>
    </row>
    <row r="6444" spans="1:12" ht="84" customHeight="1" x14ac:dyDescent="0.3">
      <c r="A6444" s="2">
        <v>6440</v>
      </c>
      <c r="B6444" s="66" t="s">
        <v>6993</v>
      </c>
      <c r="C6444" s="66" t="s">
        <v>7478</v>
      </c>
      <c r="D6444" s="11">
        <v>7190.6</v>
      </c>
      <c r="E6444" s="11">
        <v>7190.6</v>
      </c>
      <c r="F6444" s="3">
        <v>39065</v>
      </c>
      <c r="G6444" s="2"/>
      <c r="H6444" s="2"/>
      <c r="I6444" s="2"/>
      <c r="J6444" s="2" t="s">
        <v>13904</v>
      </c>
      <c r="K6444" s="2" t="s">
        <v>5657</v>
      </c>
      <c r="L6444" s="246" t="s">
        <v>22280</v>
      </c>
    </row>
    <row r="6445" spans="1:12" ht="84" customHeight="1" x14ac:dyDescent="0.3">
      <c r="A6445" s="2">
        <v>6441</v>
      </c>
      <c r="B6445" s="66" t="s">
        <v>6993</v>
      </c>
      <c r="C6445" s="66" t="s">
        <v>7479</v>
      </c>
      <c r="D6445" s="11">
        <v>7190.6</v>
      </c>
      <c r="E6445" s="11">
        <v>7190.6</v>
      </c>
      <c r="F6445" s="3">
        <v>39065</v>
      </c>
      <c r="G6445" s="2"/>
      <c r="H6445" s="2"/>
      <c r="I6445" s="2"/>
      <c r="J6445" s="2" t="s">
        <v>13904</v>
      </c>
      <c r="K6445" s="2" t="s">
        <v>5657</v>
      </c>
      <c r="L6445" s="246" t="s">
        <v>22280</v>
      </c>
    </row>
    <row r="6446" spans="1:12" ht="84" customHeight="1" x14ac:dyDescent="0.3">
      <c r="A6446" s="2">
        <v>6442</v>
      </c>
      <c r="B6446" s="66" t="s">
        <v>7480</v>
      </c>
      <c r="C6446" s="66" t="s">
        <v>7481</v>
      </c>
      <c r="D6446" s="11">
        <v>7190.6</v>
      </c>
      <c r="E6446" s="11">
        <v>7190.6</v>
      </c>
      <c r="F6446" s="3">
        <v>39058</v>
      </c>
      <c r="G6446" s="2"/>
      <c r="H6446" s="2"/>
      <c r="I6446" s="2"/>
      <c r="J6446" s="2" t="s">
        <v>13904</v>
      </c>
      <c r="K6446" s="2" t="s">
        <v>5657</v>
      </c>
      <c r="L6446" s="246" t="s">
        <v>22280</v>
      </c>
    </row>
    <row r="6447" spans="1:12" ht="84" customHeight="1" x14ac:dyDescent="0.3">
      <c r="A6447" s="2">
        <v>6443</v>
      </c>
      <c r="B6447" s="66" t="s">
        <v>7482</v>
      </c>
      <c r="C6447" s="66" t="s">
        <v>7483</v>
      </c>
      <c r="D6447" s="11">
        <v>7190.6</v>
      </c>
      <c r="E6447" s="11">
        <v>7190.6</v>
      </c>
      <c r="F6447" s="3">
        <v>39058</v>
      </c>
      <c r="G6447" s="2"/>
      <c r="H6447" s="2"/>
      <c r="I6447" s="2"/>
      <c r="J6447" s="2" t="s">
        <v>13904</v>
      </c>
      <c r="K6447" s="2" t="s">
        <v>5657</v>
      </c>
      <c r="L6447" s="246" t="s">
        <v>22280</v>
      </c>
    </row>
    <row r="6448" spans="1:12" ht="84" customHeight="1" x14ac:dyDescent="0.3">
      <c r="A6448" s="2">
        <v>6444</v>
      </c>
      <c r="B6448" s="66" t="s">
        <v>7484</v>
      </c>
      <c r="C6448" s="66" t="s">
        <v>7485</v>
      </c>
      <c r="D6448" s="11">
        <v>7190.6</v>
      </c>
      <c r="E6448" s="11">
        <v>7190.6</v>
      </c>
      <c r="F6448" s="3">
        <v>39058</v>
      </c>
      <c r="G6448" s="2"/>
      <c r="H6448" s="2"/>
      <c r="I6448" s="2"/>
      <c r="J6448" s="2" t="s">
        <v>13904</v>
      </c>
      <c r="K6448" s="2" t="s">
        <v>5657</v>
      </c>
      <c r="L6448" s="246" t="s">
        <v>22280</v>
      </c>
    </row>
    <row r="6449" spans="1:12" ht="84" customHeight="1" x14ac:dyDescent="0.3">
      <c r="A6449" s="2">
        <v>6445</v>
      </c>
      <c r="B6449" s="66" t="s">
        <v>7486</v>
      </c>
      <c r="C6449" s="66" t="s">
        <v>7487</v>
      </c>
      <c r="D6449" s="11">
        <v>7190.6</v>
      </c>
      <c r="E6449" s="11">
        <v>7190.6</v>
      </c>
      <c r="F6449" s="3">
        <v>39058</v>
      </c>
      <c r="G6449" s="2"/>
      <c r="H6449" s="2"/>
      <c r="I6449" s="2"/>
      <c r="J6449" s="2" t="s">
        <v>13904</v>
      </c>
      <c r="K6449" s="2" t="s">
        <v>5657</v>
      </c>
      <c r="L6449" s="246" t="s">
        <v>22280</v>
      </c>
    </row>
    <row r="6450" spans="1:12" ht="84" customHeight="1" x14ac:dyDescent="0.3">
      <c r="A6450" s="2">
        <v>6446</v>
      </c>
      <c r="B6450" s="66" t="s">
        <v>7488</v>
      </c>
      <c r="C6450" s="66" t="s">
        <v>7489</v>
      </c>
      <c r="D6450" s="11">
        <v>3228.05</v>
      </c>
      <c r="E6450" s="11">
        <v>3228.05</v>
      </c>
      <c r="F6450" s="3">
        <v>39052</v>
      </c>
      <c r="G6450" s="2"/>
      <c r="H6450" s="2"/>
      <c r="I6450" s="2"/>
      <c r="J6450" s="2" t="s">
        <v>13904</v>
      </c>
      <c r="K6450" s="2" t="s">
        <v>5657</v>
      </c>
      <c r="L6450" s="246" t="s">
        <v>22280</v>
      </c>
    </row>
    <row r="6451" spans="1:12" ht="84" customHeight="1" x14ac:dyDescent="0.3">
      <c r="A6451" s="2">
        <v>6447</v>
      </c>
      <c r="B6451" s="66" t="s">
        <v>7488</v>
      </c>
      <c r="C6451" s="66" t="s">
        <v>7490</v>
      </c>
      <c r="D6451" s="11">
        <v>3228.05</v>
      </c>
      <c r="E6451" s="11">
        <v>3228.05</v>
      </c>
      <c r="F6451" s="3">
        <v>39052</v>
      </c>
      <c r="G6451" s="2"/>
      <c r="H6451" s="2"/>
      <c r="I6451" s="2"/>
      <c r="J6451" s="2" t="s">
        <v>13904</v>
      </c>
      <c r="K6451" s="2" t="s">
        <v>5657</v>
      </c>
      <c r="L6451" s="246" t="s">
        <v>22280</v>
      </c>
    </row>
    <row r="6452" spans="1:12" ht="84" customHeight="1" x14ac:dyDescent="0.3">
      <c r="A6452" s="2">
        <v>6448</v>
      </c>
      <c r="B6452" s="66" t="s">
        <v>5688</v>
      </c>
      <c r="C6452" s="66" t="s">
        <v>7491</v>
      </c>
      <c r="D6452" s="11">
        <v>62946.63</v>
      </c>
      <c r="E6452" s="11">
        <v>62946.63</v>
      </c>
      <c r="F6452" s="3">
        <v>39052</v>
      </c>
      <c r="G6452" s="2"/>
      <c r="H6452" s="2"/>
      <c r="I6452" s="2"/>
      <c r="J6452" s="2" t="s">
        <v>13904</v>
      </c>
      <c r="K6452" s="2" t="s">
        <v>5657</v>
      </c>
      <c r="L6452" s="82" t="s">
        <v>18773</v>
      </c>
    </row>
    <row r="6453" spans="1:12" ht="84" customHeight="1" x14ac:dyDescent="0.3">
      <c r="A6453" s="2">
        <v>6449</v>
      </c>
      <c r="B6453" s="66" t="s">
        <v>7492</v>
      </c>
      <c r="C6453" s="66" t="s">
        <v>7493</v>
      </c>
      <c r="D6453" s="11">
        <v>22463.759999999998</v>
      </c>
      <c r="E6453" s="11">
        <v>22463.759999999998</v>
      </c>
      <c r="F6453" s="3">
        <v>36651</v>
      </c>
      <c r="G6453" s="2"/>
      <c r="H6453" s="2"/>
      <c r="I6453" s="2"/>
      <c r="J6453" s="2" t="s">
        <v>13904</v>
      </c>
      <c r="K6453" s="2" t="s">
        <v>5657</v>
      </c>
      <c r="L6453" s="246" t="s">
        <v>22280</v>
      </c>
    </row>
    <row r="6454" spans="1:12" ht="84" customHeight="1" x14ac:dyDescent="0.3">
      <c r="A6454" s="2">
        <v>6450</v>
      </c>
      <c r="B6454" s="66" t="s">
        <v>7494</v>
      </c>
      <c r="C6454" s="66" t="s">
        <v>7495</v>
      </c>
      <c r="D6454" s="11">
        <v>8650</v>
      </c>
      <c r="E6454" s="11">
        <v>8650</v>
      </c>
      <c r="F6454" s="3">
        <v>39142</v>
      </c>
      <c r="G6454" s="2"/>
      <c r="H6454" s="2"/>
      <c r="I6454" s="2"/>
      <c r="J6454" s="2" t="s">
        <v>13904</v>
      </c>
      <c r="K6454" s="2" t="s">
        <v>5657</v>
      </c>
      <c r="L6454" s="246" t="s">
        <v>22280</v>
      </c>
    </row>
    <row r="6455" spans="1:12" ht="84" customHeight="1" x14ac:dyDescent="0.3">
      <c r="A6455" s="2">
        <v>6451</v>
      </c>
      <c r="B6455" s="66" t="s">
        <v>7494</v>
      </c>
      <c r="C6455" s="66" t="s">
        <v>7496</v>
      </c>
      <c r="D6455" s="11">
        <v>8650</v>
      </c>
      <c r="E6455" s="11">
        <v>8650</v>
      </c>
      <c r="F6455" s="3">
        <v>39142</v>
      </c>
      <c r="G6455" s="2"/>
      <c r="H6455" s="2"/>
      <c r="I6455" s="2"/>
      <c r="J6455" s="2" t="s">
        <v>13904</v>
      </c>
      <c r="K6455" s="2" t="s">
        <v>5657</v>
      </c>
      <c r="L6455" s="246" t="s">
        <v>22280</v>
      </c>
    </row>
    <row r="6456" spans="1:12" ht="84" customHeight="1" x14ac:dyDescent="0.3">
      <c r="A6456" s="2">
        <v>6452</v>
      </c>
      <c r="B6456" s="66" t="s">
        <v>7497</v>
      </c>
      <c r="C6456" s="66" t="s">
        <v>7498</v>
      </c>
      <c r="D6456" s="11">
        <v>8650</v>
      </c>
      <c r="E6456" s="11">
        <v>8650</v>
      </c>
      <c r="F6456" s="3">
        <v>39142</v>
      </c>
      <c r="G6456" s="2"/>
      <c r="H6456" s="2"/>
      <c r="I6456" s="2"/>
      <c r="J6456" s="2" t="s">
        <v>13904</v>
      </c>
      <c r="K6456" s="2" t="s">
        <v>5657</v>
      </c>
      <c r="L6456" s="246" t="s">
        <v>22280</v>
      </c>
    </row>
    <row r="6457" spans="1:12" ht="84" customHeight="1" x14ac:dyDescent="0.3">
      <c r="A6457" s="2">
        <v>6453</v>
      </c>
      <c r="B6457" s="66" t="s">
        <v>7499</v>
      </c>
      <c r="C6457" s="66" t="s">
        <v>7500</v>
      </c>
      <c r="D6457" s="11">
        <v>8650</v>
      </c>
      <c r="E6457" s="11">
        <v>8650</v>
      </c>
      <c r="F6457" s="3">
        <v>39142</v>
      </c>
      <c r="G6457" s="2"/>
      <c r="H6457" s="2"/>
      <c r="I6457" s="2"/>
      <c r="J6457" s="2" t="s">
        <v>13904</v>
      </c>
      <c r="K6457" s="2" t="s">
        <v>5657</v>
      </c>
      <c r="L6457" s="246" t="s">
        <v>22280</v>
      </c>
    </row>
    <row r="6458" spans="1:12" ht="84" customHeight="1" x14ac:dyDescent="0.3">
      <c r="A6458" s="2">
        <v>6454</v>
      </c>
      <c r="B6458" s="66" t="s">
        <v>7501</v>
      </c>
      <c r="C6458" s="66" t="s">
        <v>7502</v>
      </c>
      <c r="D6458" s="11">
        <v>8650</v>
      </c>
      <c r="E6458" s="11">
        <v>8650</v>
      </c>
      <c r="F6458" s="3">
        <v>39142</v>
      </c>
      <c r="G6458" s="2"/>
      <c r="H6458" s="2"/>
      <c r="I6458" s="2"/>
      <c r="J6458" s="2" t="s">
        <v>13904</v>
      </c>
      <c r="K6458" s="2" t="s">
        <v>5657</v>
      </c>
      <c r="L6458" s="246" t="s">
        <v>22280</v>
      </c>
    </row>
    <row r="6459" spans="1:12" ht="84" customHeight="1" x14ac:dyDescent="0.3">
      <c r="A6459" s="2">
        <v>6455</v>
      </c>
      <c r="B6459" s="66" t="s">
        <v>7494</v>
      </c>
      <c r="C6459" s="66" t="s">
        <v>7503</v>
      </c>
      <c r="D6459" s="11">
        <v>8650</v>
      </c>
      <c r="E6459" s="11">
        <v>8650</v>
      </c>
      <c r="F6459" s="3">
        <v>39142</v>
      </c>
      <c r="G6459" s="2"/>
      <c r="H6459" s="2"/>
      <c r="I6459" s="2"/>
      <c r="J6459" s="2" t="s">
        <v>13904</v>
      </c>
      <c r="K6459" s="2" t="s">
        <v>5657</v>
      </c>
      <c r="L6459" s="246" t="s">
        <v>22280</v>
      </c>
    </row>
    <row r="6460" spans="1:12" ht="84" customHeight="1" x14ac:dyDescent="0.3">
      <c r="A6460" s="2">
        <v>6456</v>
      </c>
      <c r="B6460" s="66" t="s">
        <v>7504</v>
      </c>
      <c r="C6460" s="66" t="s">
        <v>7505</v>
      </c>
      <c r="D6460" s="11">
        <v>11130</v>
      </c>
      <c r="E6460" s="11">
        <v>11130</v>
      </c>
      <c r="F6460" s="3">
        <v>39052</v>
      </c>
      <c r="G6460" s="2"/>
      <c r="H6460" s="2"/>
      <c r="I6460" s="2"/>
      <c r="J6460" s="2" t="s">
        <v>13904</v>
      </c>
      <c r="K6460" s="2" t="s">
        <v>5657</v>
      </c>
      <c r="L6460" s="246" t="s">
        <v>22280</v>
      </c>
    </row>
    <row r="6461" spans="1:12" ht="84" customHeight="1" x14ac:dyDescent="0.3">
      <c r="A6461" s="2">
        <v>6457</v>
      </c>
      <c r="B6461" s="66" t="s">
        <v>7504</v>
      </c>
      <c r="C6461" s="66" t="s">
        <v>7506</v>
      </c>
      <c r="D6461" s="11">
        <v>11130</v>
      </c>
      <c r="E6461" s="11">
        <v>11130</v>
      </c>
      <c r="F6461" s="3">
        <v>39052</v>
      </c>
      <c r="G6461" s="2"/>
      <c r="H6461" s="2"/>
      <c r="I6461" s="2"/>
      <c r="J6461" s="2" t="s">
        <v>13904</v>
      </c>
      <c r="K6461" s="2" t="s">
        <v>5657</v>
      </c>
      <c r="L6461" s="246" t="s">
        <v>22280</v>
      </c>
    </row>
    <row r="6462" spans="1:12" ht="84" customHeight="1" x14ac:dyDescent="0.3">
      <c r="A6462" s="2">
        <v>6458</v>
      </c>
      <c r="B6462" s="66" t="s">
        <v>7504</v>
      </c>
      <c r="C6462" s="66" t="s">
        <v>7507</v>
      </c>
      <c r="D6462" s="11">
        <v>11130</v>
      </c>
      <c r="E6462" s="11">
        <v>11130</v>
      </c>
      <c r="F6462" s="3">
        <v>39052</v>
      </c>
      <c r="G6462" s="2"/>
      <c r="H6462" s="2"/>
      <c r="I6462" s="2"/>
      <c r="J6462" s="2" t="s">
        <v>13904</v>
      </c>
      <c r="K6462" s="2" t="s">
        <v>5657</v>
      </c>
      <c r="L6462" s="246" t="s">
        <v>22280</v>
      </c>
    </row>
    <row r="6463" spans="1:12" ht="84" customHeight="1" x14ac:dyDescent="0.3">
      <c r="A6463" s="2">
        <v>6459</v>
      </c>
      <c r="B6463" s="66" t="s">
        <v>7508</v>
      </c>
      <c r="C6463" s="66" t="s">
        <v>7509</v>
      </c>
      <c r="D6463" s="11">
        <v>11986.45</v>
      </c>
      <c r="E6463" s="11">
        <v>11986.45</v>
      </c>
      <c r="F6463" s="3">
        <v>39052</v>
      </c>
      <c r="G6463" s="2"/>
      <c r="H6463" s="2"/>
      <c r="I6463" s="2"/>
      <c r="J6463" s="2" t="s">
        <v>13904</v>
      </c>
      <c r="K6463" s="2" t="s">
        <v>5657</v>
      </c>
      <c r="L6463" s="246" t="s">
        <v>22280</v>
      </c>
    </row>
    <row r="6464" spans="1:12" ht="84" customHeight="1" x14ac:dyDescent="0.3">
      <c r="A6464" s="2">
        <v>6460</v>
      </c>
      <c r="B6464" s="66" t="s">
        <v>7508</v>
      </c>
      <c r="C6464" s="66" t="s">
        <v>7510</v>
      </c>
      <c r="D6464" s="11">
        <v>11986.45</v>
      </c>
      <c r="E6464" s="11">
        <v>11986.45</v>
      </c>
      <c r="F6464" s="3">
        <v>39052</v>
      </c>
      <c r="G6464" s="2"/>
      <c r="H6464" s="2"/>
      <c r="I6464" s="2"/>
      <c r="J6464" s="2" t="s">
        <v>13904</v>
      </c>
      <c r="K6464" s="2" t="s">
        <v>5657</v>
      </c>
      <c r="L6464" s="246" t="s">
        <v>22280</v>
      </c>
    </row>
    <row r="6465" spans="1:12" ht="84" customHeight="1" x14ac:dyDescent="0.3">
      <c r="A6465" s="2">
        <v>6461</v>
      </c>
      <c r="B6465" s="66" t="s">
        <v>7508</v>
      </c>
      <c r="C6465" s="66" t="s">
        <v>7511</v>
      </c>
      <c r="D6465" s="11">
        <v>11986.45</v>
      </c>
      <c r="E6465" s="11">
        <v>11986.45</v>
      </c>
      <c r="F6465" s="3">
        <v>39052</v>
      </c>
      <c r="G6465" s="2"/>
      <c r="H6465" s="2"/>
      <c r="I6465" s="2"/>
      <c r="J6465" s="2" t="s">
        <v>13904</v>
      </c>
      <c r="K6465" s="2" t="s">
        <v>5657</v>
      </c>
      <c r="L6465" s="246" t="s">
        <v>22280</v>
      </c>
    </row>
    <row r="6466" spans="1:12" ht="84" customHeight="1" x14ac:dyDescent="0.3">
      <c r="A6466" s="2">
        <v>6462</v>
      </c>
      <c r="B6466" s="66" t="s">
        <v>7508</v>
      </c>
      <c r="C6466" s="66" t="s">
        <v>7512</v>
      </c>
      <c r="D6466" s="11">
        <v>11986.46</v>
      </c>
      <c r="E6466" s="11">
        <v>11986.46</v>
      </c>
      <c r="F6466" s="3">
        <v>39052</v>
      </c>
      <c r="G6466" s="2"/>
      <c r="H6466" s="2"/>
      <c r="I6466" s="2"/>
      <c r="J6466" s="2" t="s">
        <v>13904</v>
      </c>
      <c r="K6466" s="2" t="s">
        <v>5657</v>
      </c>
      <c r="L6466" s="246" t="s">
        <v>22280</v>
      </c>
    </row>
    <row r="6467" spans="1:12" ht="84" customHeight="1" x14ac:dyDescent="0.3">
      <c r="A6467" s="2">
        <v>6463</v>
      </c>
      <c r="B6467" s="66" t="s">
        <v>7508</v>
      </c>
      <c r="C6467" s="66" t="s">
        <v>7513</v>
      </c>
      <c r="D6467" s="11">
        <v>11986.46</v>
      </c>
      <c r="E6467" s="11">
        <v>11986.46</v>
      </c>
      <c r="F6467" s="3">
        <v>39052</v>
      </c>
      <c r="G6467" s="2"/>
      <c r="H6467" s="2"/>
      <c r="I6467" s="2"/>
      <c r="J6467" s="2" t="s">
        <v>13904</v>
      </c>
      <c r="K6467" s="2" t="s">
        <v>5657</v>
      </c>
      <c r="L6467" s="246" t="s">
        <v>22280</v>
      </c>
    </row>
    <row r="6468" spans="1:12" ht="84" customHeight="1" x14ac:dyDescent="0.3">
      <c r="A6468" s="2">
        <v>6464</v>
      </c>
      <c r="B6468" s="66" t="s">
        <v>7508</v>
      </c>
      <c r="C6468" s="66" t="s">
        <v>7514</v>
      </c>
      <c r="D6468" s="11">
        <v>11986.46</v>
      </c>
      <c r="E6468" s="11">
        <v>11986.46</v>
      </c>
      <c r="F6468" s="3">
        <v>39052</v>
      </c>
      <c r="G6468" s="2"/>
      <c r="H6468" s="2"/>
      <c r="I6468" s="2"/>
      <c r="J6468" s="2" t="s">
        <v>13904</v>
      </c>
      <c r="K6468" s="2" t="s">
        <v>5657</v>
      </c>
      <c r="L6468" s="246" t="s">
        <v>22280</v>
      </c>
    </row>
    <row r="6469" spans="1:12" ht="84" customHeight="1" x14ac:dyDescent="0.3">
      <c r="A6469" s="2">
        <v>6465</v>
      </c>
      <c r="B6469" s="66" t="s">
        <v>7515</v>
      </c>
      <c r="C6469" s="66" t="s">
        <v>7516</v>
      </c>
      <c r="D6469" s="11">
        <v>17016.5</v>
      </c>
      <c r="E6469" s="11">
        <v>17016.5</v>
      </c>
      <c r="F6469" s="3">
        <v>39052</v>
      </c>
      <c r="G6469" s="2"/>
      <c r="H6469" s="2"/>
      <c r="I6469" s="2"/>
      <c r="J6469" s="2" t="s">
        <v>13904</v>
      </c>
      <c r="K6469" s="2" t="s">
        <v>5657</v>
      </c>
      <c r="L6469" s="246" t="s">
        <v>22280</v>
      </c>
    </row>
    <row r="6470" spans="1:12" ht="84" customHeight="1" x14ac:dyDescent="0.3">
      <c r="A6470" s="2">
        <v>6466</v>
      </c>
      <c r="B6470" s="66" t="s">
        <v>7515</v>
      </c>
      <c r="C6470" s="66" t="s">
        <v>7517</v>
      </c>
      <c r="D6470" s="11">
        <v>17016.5</v>
      </c>
      <c r="E6470" s="11">
        <v>17016.5</v>
      </c>
      <c r="F6470" s="3">
        <v>39052</v>
      </c>
      <c r="G6470" s="2"/>
      <c r="H6470" s="2"/>
      <c r="I6470" s="2"/>
      <c r="J6470" s="2" t="s">
        <v>13904</v>
      </c>
      <c r="K6470" s="2" t="s">
        <v>5657</v>
      </c>
      <c r="L6470" s="246" t="s">
        <v>22280</v>
      </c>
    </row>
    <row r="6471" spans="1:12" ht="84" customHeight="1" x14ac:dyDescent="0.3">
      <c r="A6471" s="2">
        <v>6467</v>
      </c>
      <c r="B6471" s="66" t="s">
        <v>7518</v>
      </c>
      <c r="C6471" s="66" t="s">
        <v>7519</v>
      </c>
      <c r="D6471" s="11">
        <v>15550.63</v>
      </c>
      <c r="E6471" s="11">
        <v>15550.63</v>
      </c>
      <c r="F6471" s="3">
        <v>39052</v>
      </c>
      <c r="G6471" s="2"/>
      <c r="H6471" s="2"/>
      <c r="I6471" s="2"/>
      <c r="J6471" s="2" t="s">
        <v>13904</v>
      </c>
      <c r="K6471" s="2" t="s">
        <v>5657</v>
      </c>
      <c r="L6471" s="246" t="s">
        <v>22280</v>
      </c>
    </row>
    <row r="6472" spans="1:12" ht="84" customHeight="1" x14ac:dyDescent="0.3">
      <c r="A6472" s="2">
        <v>6468</v>
      </c>
      <c r="B6472" s="66" t="s">
        <v>7520</v>
      </c>
      <c r="C6472" s="66" t="s">
        <v>7521</v>
      </c>
      <c r="D6472" s="11">
        <v>6142.95</v>
      </c>
      <c r="E6472" s="11">
        <v>6142.95</v>
      </c>
      <c r="F6472" s="3">
        <v>39052</v>
      </c>
      <c r="G6472" s="2"/>
      <c r="H6472" s="2"/>
      <c r="I6472" s="2"/>
      <c r="J6472" s="2" t="s">
        <v>13904</v>
      </c>
      <c r="K6472" s="2" t="s">
        <v>5657</v>
      </c>
      <c r="L6472" s="246" t="s">
        <v>22280</v>
      </c>
    </row>
    <row r="6473" spans="1:12" ht="84" customHeight="1" x14ac:dyDescent="0.3">
      <c r="A6473" s="2">
        <v>6469</v>
      </c>
      <c r="B6473" s="66" t="s">
        <v>7522</v>
      </c>
      <c r="C6473" s="66" t="s">
        <v>7523</v>
      </c>
      <c r="D6473" s="11">
        <v>4600.16</v>
      </c>
      <c r="E6473" s="11">
        <v>4600.16</v>
      </c>
      <c r="F6473" s="3">
        <v>39052</v>
      </c>
      <c r="G6473" s="2"/>
      <c r="H6473" s="2"/>
      <c r="I6473" s="2"/>
      <c r="J6473" s="2" t="s">
        <v>13904</v>
      </c>
      <c r="K6473" s="2" t="s">
        <v>5657</v>
      </c>
      <c r="L6473" s="246" t="s">
        <v>22280</v>
      </c>
    </row>
    <row r="6474" spans="1:12" ht="84" customHeight="1" x14ac:dyDescent="0.3">
      <c r="A6474" s="2">
        <v>6470</v>
      </c>
      <c r="B6474" s="66" t="s">
        <v>7524</v>
      </c>
      <c r="C6474" s="66" t="s">
        <v>7525</v>
      </c>
      <c r="D6474" s="11">
        <v>4600.16</v>
      </c>
      <c r="E6474" s="11">
        <v>4600.16</v>
      </c>
      <c r="F6474" s="3">
        <v>39052</v>
      </c>
      <c r="G6474" s="2"/>
      <c r="H6474" s="2"/>
      <c r="I6474" s="2"/>
      <c r="J6474" s="2" t="s">
        <v>13904</v>
      </c>
      <c r="K6474" s="2" t="s">
        <v>5657</v>
      </c>
      <c r="L6474" s="246" t="s">
        <v>22280</v>
      </c>
    </row>
    <row r="6475" spans="1:12" ht="84" customHeight="1" x14ac:dyDescent="0.3">
      <c r="A6475" s="2">
        <v>6471</v>
      </c>
      <c r="B6475" s="66" t="s">
        <v>7526</v>
      </c>
      <c r="C6475" s="66" t="s">
        <v>7527</v>
      </c>
      <c r="D6475" s="11">
        <v>14040</v>
      </c>
      <c r="E6475" s="11">
        <v>14040</v>
      </c>
      <c r="F6475" s="3">
        <v>39052</v>
      </c>
      <c r="G6475" s="2"/>
      <c r="H6475" s="2"/>
      <c r="I6475" s="2"/>
      <c r="J6475" s="2" t="s">
        <v>13904</v>
      </c>
      <c r="K6475" s="2" t="s">
        <v>5657</v>
      </c>
      <c r="L6475" s="246" t="s">
        <v>22280</v>
      </c>
    </row>
    <row r="6476" spans="1:12" ht="84" customHeight="1" x14ac:dyDescent="0.3">
      <c r="A6476" s="2">
        <v>6472</v>
      </c>
      <c r="B6476" s="66" t="s">
        <v>7528</v>
      </c>
      <c r="C6476" s="66" t="s">
        <v>7529</v>
      </c>
      <c r="D6476" s="11">
        <v>3052</v>
      </c>
      <c r="E6476" s="11">
        <v>3052</v>
      </c>
      <c r="F6476" s="3">
        <v>39142</v>
      </c>
      <c r="G6476" s="2"/>
      <c r="H6476" s="2"/>
      <c r="I6476" s="2"/>
      <c r="J6476" s="2" t="s">
        <v>13904</v>
      </c>
      <c r="K6476" s="2" t="s">
        <v>5657</v>
      </c>
      <c r="L6476" s="246" t="s">
        <v>22280</v>
      </c>
    </row>
    <row r="6477" spans="1:12" ht="84" customHeight="1" x14ac:dyDescent="0.3">
      <c r="A6477" s="2">
        <v>6473</v>
      </c>
      <c r="B6477" s="66" t="s">
        <v>7530</v>
      </c>
      <c r="C6477" s="66" t="s">
        <v>7531</v>
      </c>
      <c r="D6477" s="11">
        <v>5712.28</v>
      </c>
      <c r="E6477" s="11">
        <v>5712.28</v>
      </c>
      <c r="F6477" s="3">
        <v>39052</v>
      </c>
      <c r="G6477" s="2"/>
      <c r="H6477" s="2"/>
      <c r="I6477" s="2"/>
      <c r="J6477" s="2" t="s">
        <v>13904</v>
      </c>
      <c r="K6477" s="2" t="s">
        <v>5657</v>
      </c>
      <c r="L6477" s="246" t="s">
        <v>22280</v>
      </c>
    </row>
    <row r="6478" spans="1:12" ht="84" customHeight="1" x14ac:dyDescent="0.3">
      <c r="A6478" s="2">
        <v>6474</v>
      </c>
      <c r="B6478" s="66" t="s">
        <v>7532</v>
      </c>
      <c r="C6478" s="66" t="s">
        <v>7533</v>
      </c>
      <c r="D6478" s="11">
        <v>5712.28</v>
      </c>
      <c r="E6478" s="11">
        <v>5712.28</v>
      </c>
      <c r="F6478" s="3">
        <v>39052</v>
      </c>
      <c r="G6478" s="2"/>
      <c r="H6478" s="2"/>
      <c r="I6478" s="2"/>
      <c r="J6478" s="2" t="s">
        <v>13904</v>
      </c>
      <c r="K6478" s="2" t="s">
        <v>5657</v>
      </c>
      <c r="L6478" s="246" t="s">
        <v>22280</v>
      </c>
    </row>
    <row r="6479" spans="1:12" ht="84" customHeight="1" x14ac:dyDescent="0.3">
      <c r="A6479" s="2">
        <v>6475</v>
      </c>
      <c r="B6479" s="66" t="s">
        <v>7534</v>
      </c>
      <c r="C6479" s="66" t="s">
        <v>7535</v>
      </c>
      <c r="D6479" s="11">
        <v>7812.57</v>
      </c>
      <c r="E6479" s="11">
        <v>7812.57</v>
      </c>
      <c r="F6479" s="3">
        <v>39052</v>
      </c>
      <c r="G6479" s="2"/>
      <c r="H6479" s="2"/>
      <c r="I6479" s="2"/>
      <c r="J6479" s="2" t="s">
        <v>13904</v>
      </c>
      <c r="K6479" s="2" t="s">
        <v>5657</v>
      </c>
      <c r="L6479" s="246" t="s">
        <v>22280</v>
      </c>
    </row>
    <row r="6480" spans="1:12" ht="84" customHeight="1" x14ac:dyDescent="0.3">
      <c r="A6480" s="2">
        <v>6476</v>
      </c>
      <c r="B6480" s="66" t="s">
        <v>7536</v>
      </c>
      <c r="C6480" s="66" t="s">
        <v>7537</v>
      </c>
      <c r="D6480" s="11">
        <v>16661.71</v>
      </c>
      <c r="E6480" s="11">
        <v>16661.71</v>
      </c>
      <c r="F6480" s="3">
        <v>39052</v>
      </c>
      <c r="G6480" s="2"/>
      <c r="H6480" s="2"/>
      <c r="I6480" s="2"/>
      <c r="J6480" s="2" t="s">
        <v>13904</v>
      </c>
      <c r="K6480" s="2" t="s">
        <v>5657</v>
      </c>
      <c r="L6480" s="246" t="s">
        <v>22280</v>
      </c>
    </row>
    <row r="6481" spans="1:12" ht="84" customHeight="1" x14ac:dyDescent="0.3">
      <c r="A6481" s="2">
        <v>6477</v>
      </c>
      <c r="B6481" s="66" t="s">
        <v>7538</v>
      </c>
      <c r="C6481" s="66" t="s">
        <v>7539</v>
      </c>
      <c r="D6481" s="11">
        <v>5712.28</v>
      </c>
      <c r="E6481" s="11">
        <v>5712.28</v>
      </c>
      <c r="F6481" s="3">
        <v>39052</v>
      </c>
      <c r="G6481" s="2"/>
      <c r="H6481" s="2"/>
      <c r="I6481" s="2"/>
      <c r="J6481" s="2" t="s">
        <v>13904</v>
      </c>
      <c r="K6481" s="2" t="s">
        <v>5657</v>
      </c>
      <c r="L6481" s="246" t="s">
        <v>22280</v>
      </c>
    </row>
    <row r="6482" spans="1:12" ht="84" customHeight="1" x14ac:dyDescent="0.3">
      <c r="A6482" s="2">
        <v>6478</v>
      </c>
      <c r="B6482" s="66" t="s">
        <v>7540</v>
      </c>
      <c r="C6482" s="66" t="s">
        <v>7541</v>
      </c>
      <c r="D6482" s="11">
        <v>5712.28</v>
      </c>
      <c r="E6482" s="11">
        <v>5712.28</v>
      </c>
      <c r="F6482" s="3">
        <v>39052</v>
      </c>
      <c r="G6482" s="2"/>
      <c r="H6482" s="2"/>
      <c r="I6482" s="2"/>
      <c r="J6482" s="2" t="s">
        <v>13904</v>
      </c>
      <c r="K6482" s="2" t="s">
        <v>5657</v>
      </c>
      <c r="L6482" s="246" t="s">
        <v>22280</v>
      </c>
    </row>
    <row r="6483" spans="1:12" ht="84" customHeight="1" x14ac:dyDescent="0.3">
      <c r="A6483" s="2">
        <v>6479</v>
      </c>
      <c r="B6483" s="66" t="s">
        <v>7542</v>
      </c>
      <c r="C6483" s="66" t="s">
        <v>7543</v>
      </c>
      <c r="D6483" s="11">
        <v>5712.28</v>
      </c>
      <c r="E6483" s="11">
        <v>5712.28</v>
      </c>
      <c r="F6483" s="3">
        <v>39052</v>
      </c>
      <c r="G6483" s="2"/>
      <c r="H6483" s="2"/>
      <c r="I6483" s="2"/>
      <c r="J6483" s="2" t="s">
        <v>13904</v>
      </c>
      <c r="K6483" s="2" t="s">
        <v>5657</v>
      </c>
      <c r="L6483" s="246" t="s">
        <v>22280</v>
      </c>
    </row>
    <row r="6484" spans="1:12" ht="84" customHeight="1" x14ac:dyDescent="0.3">
      <c r="A6484" s="2">
        <v>6480</v>
      </c>
      <c r="B6484" s="66" t="s">
        <v>7542</v>
      </c>
      <c r="C6484" s="66" t="s">
        <v>7544</v>
      </c>
      <c r="D6484" s="11">
        <v>5712.28</v>
      </c>
      <c r="E6484" s="11">
        <v>5712.28</v>
      </c>
      <c r="F6484" s="3">
        <v>39052</v>
      </c>
      <c r="G6484" s="2"/>
      <c r="H6484" s="2"/>
      <c r="I6484" s="2"/>
      <c r="J6484" s="2" t="s">
        <v>13904</v>
      </c>
      <c r="K6484" s="2" t="s">
        <v>5657</v>
      </c>
      <c r="L6484" s="246" t="s">
        <v>22280</v>
      </c>
    </row>
    <row r="6485" spans="1:12" ht="84" customHeight="1" x14ac:dyDescent="0.3">
      <c r="A6485" s="2">
        <v>6481</v>
      </c>
      <c r="B6485" s="66" t="s">
        <v>7542</v>
      </c>
      <c r="C6485" s="66" t="s">
        <v>7545</v>
      </c>
      <c r="D6485" s="11">
        <v>5712.28</v>
      </c>
      <c r="E6485" s="11">
        <v>5712.28</v>
      </c>
      <c r="F6485" s="3">
        <v>39052</v>
      </c>
      <c r="G6485" s="2"/>
      <c r="H6485" s="2"/>
      <c r="I6485" s="2"/>
      <c r="J6485" s="2" t="s">
        <v>13904</v>
      </c>
      <c r="K6485" s="2" t="s">
        <v>5657</v>
      </c>
      <c r="L6485" s="246" t="s">
        <v>22280</v>
      </c>
    </row>
    <row r="6486" spans="1:12" ht="84" customHeight="1" x14ac:dyDescent="0.3">
      <c r="A6486" s="2">
        <v>6482</v>
      </c>
      <c r="B6486" s="66" t="s">
        <v>7542</v>
      </c>
      <c r="C6486" s="66" t="s">
        <v>7546</v>
      </c>
      <c r="D6486" s="11">
        <v>5712.28</v>
      </c>
      <c r="E6486" s="11">
        <v>5712.28</v>
      </c>
      <c r="F6486" s="3">
        <v>39052</v>
      </c>
      <c r="G6486" s="2"/>
      <c r="H6486" s="2"/>
      <c r="I6486" s="2"/>
      <c r="J6486" s="2" t="s">
        <v>13904</v>
      </c>
      <c r="K6486" s="2" t="s">
        <v>5657</v>
      </c>
      <c r="L6486" s="246" t="s">
        <v>22280</v>
      </c>
    </row>
    <row r="6487" spans="1:12" ht="84" customHeight="1" x14ac:dyDescent="0.3">
      <c r="A6487" s="2">
        <v>6483</v>
      </c>
      <c r="B6487" s="66" t="s">
        <v>7547</v>
      </c>
      <c r="C6487" s="66" t="s">
        <v>7548</v>
      </c>
      <c r="D6487" s="11">
        <v>5712.28</v>
      </c>
      <c r="E6487" s="11">
        <v>5712.28</v>
      </c>
      <c r="F6487" s="3">
        <v>39052</v>
      </c>
      <c r="G6487" s="2"/>
      <c r="H6487" s="2"/>
      <c r="I6487" s="2"/>
      <c r="J6487" s="2" t="s">
        <v>13904</v>
      </c>
      <c r="K6487" s="2" t="s">
        <v>5657</v>
      </c>
      <c r="L6487" s="246" t="s">
        <v>22280</v>
      </c>
    </row>
    <row r="6488" spans="1:12" ht="84" customHeight="1" x14ac:dyDescent="0.3">
      <c r="A6488" s="2">
        <v>6484</v>
      </c>
      <c r="B6488" s="66" t="s">
        <v>7547</v>
      </c>
      <c r="C6488" s="66" t="s">
        <v>7549</v>
      </c>
      <c r="D6488" s="11">
        <v>5712.28</v>
      </c>
      <c r="E6488" s="11">
        <v>5712.28</v>
      </c>
      <c r="F6488" s="3">
        <v>39052</v>
      </c>
      <c r="G6488" s="2"/>
      <c r="H6488" s="2"/>
      <c r="I6488" s="2"/>
      <c r="J6488" s="2" t="s">
        <v>13904</v>
      </c>
      <c r="K6488" s="2" t="s">
        <v>5657</v>
      </c>
      <c r="L6488" s="246" t="s">
        <v>22280</v>
      </c>
    </row>
    <row r="6489" spans="1:12" ht="84" customHeight="1" x14ac:dyDescent="0.3">
      <c r="A6489" s="2">
        <v>6485</v>
      </c>
      <c r="B6489" s="66" t="s">
        <v>7547</v>
      </c>
      <c r="C6489" s="66" t="s">
        <v>7550</v>
      </c>
      <c r="D6489" s="11">
        <v>5712.28</v>
      </c>
      <c r="E6489" s="11">
        <v>5712.28</v>
      </c>
      <c r="F6489" s="3">
        <v>39052</v>
      </c>
      <c r="G6489" s="2"/>
      <c r="H6489" s="2"/>
      <c r="I6489" s="2"/>
      <c r="J6489" s="2" t="s">
        <v>13904</v>
      </c>
      <c r="K6489" s="2" t="s">
        <v>5657</v>
      </c>
      <c r="L6489" s="246" t="s">
        <v>22280</v>
      </c>
    </row>
    <row r="6490" spans="1:12" ht="84" customHeight="1" x14ac:dyDescent="0.3">
      <c r="A6490" s="2">
        <v>6486</v>
      </c>
      <c r="B6490" s="66" t="s">
        <v>7547</v>
      </c>
      <c r="C6490" s="66" t="s">
        <v>7551</v>
      </c>
      <c r="D6490" s="11">
        <v>5712.28</v>
      </c>
      <c r="E6490" s="11">
        <v>5712.28</v>
      </c>
      <c r="F6490" s="3">
        <v>39052</v>
      </c>
      <c r="G6490" s="2"/>
      <c r="H6490" s="2"/>
      <c r="I6490" s="2"/>
      <c r="J6490" s="2" t="s">
        <v>13904</v>
      </c>
      <c r="K6490" s="2" t="s">
        <v>5657</v>
      </c>
      <c r="L6490" s="246" t="s">
        <v>22280</v>
      </c>
    </row>
    <row r="6491" spans="1:12" ht="84" customHeight="1" x14ac:dyDescent="0.3">
      <c r="A6491" s="2">
        <v>6487</v>
      </c>
      <c r="B6491" s="66" t="s">
        <v>7547</v>
      </c>
      <c r="C6491" s="66" t="s">
        <v>7552</v>
      </c>
      <c r="D6491" s="11">
        <v>5712.28</v>
      </c>
      <c r="E6491" s="11">
        <v>5712.28</v>
      </c>
      <c r="F6491" s="3">
        <v>39052</v>
      </c>
      <c r="G6491" s="2"/>
      <c r="H6491" s="2"/>
      <c r="I6491" s="2"/>
      <c r="J6491" s="2" t="s">
        <v>13904</v>
      </c>
      <c r="K6491" s="2" t="s">
        <v>5657</v>
      </c>
      <c r="L6491" s="246" t="s">
        <v>22280</v>
      </c>
    </row>
    <row r="6492" spans="1:12" ht="84" customHeight="1" x14ac:dyDescent="0.3">
      <c r="A6492" s="2">
        <v>6488</v>
      </c>
      <c r="B6492" s="66" t="s">
        <v>7547</v>
      </c>
      <c r="C6492" s="66" t="s">
        <v>7553</v>
      </c>
      <c r="D6492" s="11">
        <v>5712.29</v>
      </c>
      <c r="E6492" s="11">
        <v>5712.29</v>
      </c>
      <c r="F6492" s="3">
        <v>39052</v>
      </c>
      <c r="G6492" s="2"/>
      <c r="H6492" s="2"/>
      <c r="I6492" s="2"/>
      <c r="J6492" s="2" t="s">
        <v>13904</v>
      </c>
      <c r="K6492" s="2" t="s">
        <v>5657</v>
      </c>
      <c r="L6492" s="246" t="s">
        <v>22280</v>
      </c>
    </row>
    <row r="6493" spans="1:12" ht="84" customHeight="1" x14ac:dyDescent="0.3">
      <c r="A6493" s="2">
        <v>6489</v>
      </c>
      <c r="B6493" s="66" t="s">
        <v>4741</v>
      </c>
      <c r="C6493" s="66" t="s">
        <v>7554</v>
      </c>
      <c r="D6493" s="11">
        <v>10452</v>
      </c>
      <c r="E6493" s="11">
        <v>10452</v>
      </c>
      <c r="F6493" s="3">
        <v>39142</v>
      </c>
      <c r="G6493" s="2"/>
      <c r="H6493" s="2"/>
      <c r="I6493" s="2"/>
      <c r="J6493" s="2" t="s">
        <v>13904</v>
      </c>
      <c r="K6493" s="2" t="s">
        <v>5657</v>
      </c>
      <c r="L6493" s="246" t="s">
        <v>22280</v>
      </c>
    </row>
    <row r="6494" spans="1:12" ht="84" customHeight="1" x14ac:dyDescent="0.3">
      <c r="A6494" s="2">
        <v>6490</v>
      </c>
      <c r="B6494" s="66" t="s">
        <v>4741</v>
      </c>
      <c r="C6494" s="66" t="s">
        <v>7555</v>
      </c>
      <c r="D6494" s="11">
        <v>10452</v>
      </c>
      <c r="E6494" s="11">
        <v>10452</v>
      </c>
      <c r="F6494" s="3">
        <v>39142</v>
      </c>
      <c r="G6494" s="2"/>
      <c r="H6494" s="2"/>
      <c r="I6494" s="2"/>
      <c r="J6494" s="2" t="s">
        <v>13904</v>
      </c>
      <c r="K6494" s="2" t="s">
        <v>5657</v>
      </c>
      <c r="L6494" s="246" t="s">
        <v>22280</v>
      </c>
    </row>
    <row r="6495" spans="1:12" ht="84" customHeight="1" x14ac:dyDescent="0.3">
      <c r="A6495" s="2">
        <v>6491</v>
      </c>
      <c r="B6495" s="66" t="s">
        <v>4741</v>
      </c>
      <c r="C6495" s="66" t="s">
        <v>7556</v>
      </c>
      <c r="D6495" s="11">
        <v>10452</v>
      </c>
      <c r="E6495" s="11">
        <v>10452</v>
      </c>
      <c r="F6495" s="3">
        <v>39142</v>
      </c>
      <c r="G6495" s="2"/>
      <c r="H6495" s="2"/>
      <c r="I6495" s="2"/>
      <c r="J6495" s="2" t="s">
        <v>13904</v>
      </c>
      <c r="K6495" s="2" t="s">
        <v>5657</v>
      </c>
      <c r="L6495" s="246" t="s">
        <v>22280</v>
      </c>
    </row>
    <row r="6496" spans="1:12" ht="84" customHeight="1" x14ac:dyDescent="0.3">
      <c r="A6496" s="2">
        <v>6492</v>
      </c>
      <c r="B6496" s="66" t="s">
        <v>4741</v>
      </c>
      <c r="C6496" s="66" t="s">
        <v>7557</v>
      </c>
      <c r="D6496" s="11">
        <v>10452</v>
      </c>
      <c r="E6496" s="11">
        <v>10452</v>
      </c>
      <c r="F6496" s="3">
        <v>39142</v>
      </c>
      <c r="G6496" s="2"/>
      <c r="H6496" s="2"/>
      <c r="I6496" s="2"/>
      <c r="J6496" s="2" t="s">
        <v>13904</v>
      </c>
      <c r="K6496" s="2" t="s">
        <v>5657</v>
      </c>
      <c r="L6496" s="246" t="s">
        <v>22280</v>
      </c>
    </row>
    <row r="6497" spans="1:12" ht="84" customHeight="1" x14ac:dyDescent="0.3">
      <c r="A6497" s="2">
        <v>6493</v>
      </c>
      <c r="B6497" s="66" t="s">
        <v>4741</v>
      </c>
      <c r="C6497" s="66" t="s">
        <v>7558</v>
      </c>
      <c r="D6497" s="11">
        <v>10452</v>
      </c>
      <c r="E6497" s="11">
        <v>10452</v>
      </c>
      <c r="F6497" s="3">
        <v>39142</v>
      </c>
      <c r="G6497" s="2"/>
      <c r="H6497" s="2"/>
      <c r="I6497" s="2"/>
      <c r="J6497" s="2" t="s">
        <v>13904</v>
      </c>
      <c r="K6497" s="2" t="s">
        <v>5657</v>
      </c>
      <c r="L6497" s="246" t="s">
        <v>22280</v>
      </c>
    </row>
    <row r="6498" spans="1:12" ht="84" customHeight="1" x14ac:dyDescent="0.3">
      <c r="A6498" s="2">
        <v>6494</v>
      </c>
      <c r="B6498" s="66" t="s">
        <v>4741</v>
      </c>
      <c r="C6498" s="66" t="s">
        <v>7559</v>
      </c>
      <c r="D6498" s="11">
        <v>10452</v>
      </c>
      <c r="E6498" s="11">
        <v>10452</v>
      </c>
      <c r="F6498" s="3">
        <v>39142</v>
      </c>
      <c r="G6498" s="2"/>
      <c r="H6498" s="2"/>
      <c r="I6498" s="2"/>
      <c r="J6498" s="2" t="s">
        <v>13904</v>
      </c>
      <c r="K6498" s="2" t="s">
        <v>5657</v>
      </c>
      <c r="L6498" s="246" t="s">
        <v>22280</v>
      </c>
    </row>
    <row r="6499" spans="1:12" ht="84" customHeight="1" x14ac:dyDescent="0.3">
      <c r="A6499" s="2">
        <v>6495</v>
      </c>
      <c r="B6499" s="66" t="s">
        <v>4741</v>
      </c>
      <c r="C6499" s="66" t="s">
        <v>7560</v>
      </c>
      <c r="D6499" s="11">
        <v>10452</v>
      </c>
      <c r="E6499" s="11">
        <v>10452</v>
      </c>
      <c r="F6499" s="3">
        <v>39142</v>
      </c>
      <c r="G6499" s="2"/>
      <c r="H6499" s="2"/>
      <c r="I6499" s="2"/>
      <c r="J6499" s="2" t="s">
        <v>13904</v>
      </c>
      <c r="K6499" s="2" t="s">
        <v>5657</v>
      </c>
      <c r="L6499" s="246" t="s">
        <v>22280</v>
      </c>
    </row>
    <row r="6500" spans="1:12" ht="84" customHeight="1" x14ac:dyDescent="0.3">
      <c r="A6500" s="2">
        <v>6496</v>
      </c>
      <c r="B6500" s="66" t="s">
        <v>4741</v>
      </c>
      <c r="C6500" s="66" t="s">
        <v>7561</v>
      </c>
      <c r="D6500" s="11">
        <v>10452</v>
      </c>
      <c r="E6500" s="11">
        <v>10452</v>
      </c>
      <c r="F6500" s="3">
        <v>39142</v>
      </c>
      <c r="G6500" s="2"/>
      <c r="H6500" s="2"/>
      <c r="I6500" s="2"/>
      <c r="J6500" s="2" t="s">
        <v>13904</v>
      </c>
      <c r="K6500" s="2" t="s">
        <v>5657</v>
      </c>
      <c r="L6500" s="246" t="s">
        <v>22280</v>
      </c>
    </row>
    <row r="6501" spans="1:12" ht="84" customHeight="1" x14ac:dyDescent="0.3">
      <c r="A6501" s="2">
        <v>6497</v>
      </c>
      <c r="B6501" s="66" t="s">
        <v>7562</v>
      </c>
      <c r="C6501" s="66" t="s">
        <v>7563</v>
      </c>
      <c r="D6501" s="11">
        <v>3168.8</v>
      </c>
      <c r="E6501" s="11">
        <v>3168.8</v>
      </c>
      <c r="F6501" s="3">
        <v>40837</v>
      </c>
      <c r="G6501" s="2"/>
      <c r="H6501" s="2"/>
      <c r="I6501" s="2"/>
      <c r="J6501" s="2" t="s">
        <v>13904</v>
      </c>
      <c r="K6501" s="2" t="s">
        <v>5657</v>
      </c>
      <c r="L6501" s="246" t="s">
        <v>22280</v>
      </c>
    </row>
    <row r="6502" spans="1:12" ht="84" customHeight="1" x14ac:dyDescent="0.3">
      <c r="A6502" s="2">
        <v>6498</v>
      </c>
      <c r="B6502" s="66" t="s">
        <v>7564</v>
      </c>
      <c r="C6502" s="66" t="s">
        <v>7565</v>
      </c>
      <c r="D6502" s="11">
        <v>3616.63</v>
      </c>
      <c r="E6502" s="11">
        <v>3616.63</v>
      </c>
      <c r="F6502" s="3">
        <v>39052</v>
      </c>
      <c r="G6502" s="2"/>
      <c r="H6502" s="2"/>
      <c r="I6502" s="2"/>
      <c r="J6502" s="2" t="s">
        <v>13904</v>
      </c>
      <c r="K6502" s="2" t="s">
        <v>5657</v>
      </c>
      <c r="L6502" s="246" t="s">
        <v>22280</v>
      </c>
    </row>
    <row r="6503" spans="1:12" ht="84" customHeight="1" x14ac:dyDescent="0.3">
      <c r="A6503" s="2">
        <v>6499</v>
      </c>
      <c r="B6503" s="66" t="s">
        <v>7566</v>
      </c>
      <c r="C6503" s="66" t="s">
        <v>7567</v>
      </c>
      <c r="D6503" s="11">
        <v>3616.62</v>
      </c>
      <c r="E6503" s="11">
        <v>3616.62</v>
      </c>
      <c r="F6503" s="3">
        <v>39052</v>
      </c>
      <c r="G6503" s="2"/>
      <c r="H6503" s="2"/>
      <c r="I6503" s="2"/>
      <c r="J6503" s="2" t="s">
        <v>13904</v>
      </c>
      <c r="K6503" s="2" t="s">
        <v>5657</v>
      </c>
      <c r="L6503" s="246" t="s">
        <v>22280</v>
      </c>
    </row>
    <row r="6504" spans="1:12" ht="84" customHeight="1" x14ac:dyDescent="0.3">
      <c r="A6504" s="2">
        <v>6500</v>
      </c>
      <c r="B6504" s="66" t="s">
        <v>7568</v>
      </c>
      <c r="C6504" s="66" t="s">
        <v>7569</v>
      </c>
      <c r="D6504" s="11">
        <v>3168.8</v>
      </c>
      <c r="E6504" s="11">
        <v>3168.8</v>
      </c>
      <c r="F6504" s="3">
        <v>39052</v>
      </c>
      <c r="G6504" s="2"/>
      <c r="H6504" s="2"/>
      <c r="I6504" s="2"/>
      <c r="J6504" s="2" t="s">
        <v>13904</v>
      </c>
      <c r="K6504" s="2" t="s">
        <v>5657</v>
      </c>
      <c r="L6504" s="246" t="s">
        <v>22280</v>
      </c>
    </row>
    <row r="6505" spans="1:12" ht="84" customHeight="1" x14ac:dyDescent="0.3">
      <c r="A6505" s="2">
        <v>6501</v>
      </c>
      <c r="B6505" s="66" t="s">
        <v>7570</v>
      </c>
      <c r="C6505" s="66" t="s">
        <v>7571</v>
      </c>
      <c r="D6505" s="11">
        <v>3168.8</v>
      </c>
      <c r="E6505" s="11">
        <v>3168.8</v>
      </c>
      <c r="F6505" s="3">
        <v>39052</v>
      </c>
      <c r="G6505" s="2"/>
      <c r="H6505" s="2"/>
      <c r="I6505" s="2"/>
      <c r="J6505" s="2" t="s">
        <v>13904</v>
      </c>
      <c r="K6505" s="2" t="s">
        <v>5657</v>
      </c>
      <c r="L6505" s="246" t="s">
        <v>22280</v>
      </c>
    </row>
    <row r="6506" spans="1:12" ht="84" customHeight="1" x14ac:dyDescent="0.3">
      <c r="A6506" s="2">
        <v>6502</v>
      </c>
      <c r="B6506" s="66" t="s">
        <v>6901</v>
      </c>
      <c r="C6506" s="66" t="s">
        <v>7572</v>
      </c>
      <c r="D6506" s="11">
        <v>3168.8</v>
      </c>
      <c r="E6506" s="11">
        <v>3168.8</v>
      </c>
      <c r="F6506" s="3">
        <v>39052</v>
      </c>
      <c r="G6506" s="2"/>
      <c r="H6506" s="2"/>
      <c r="I6506" s="2"/>
      <c r="J6506" s="2" t="s">
        <v>13904</v>
      </c>
      <c r="K6506" s="2" t="s">
        <v>5657</v>
      </c>
      <c r="L6506" s="246" t="s">
        <v>22280</v>
      </c>
    </row>
    <row r="6507" spans="1:12" ht="84" customHeight="1" x14ac:dyDescent="0.3">
      <c r="A6507" s="2">
        <v>6503</v>
      </c>
      <c r="B6507" s="66" t="s">
        <v>7573</v>
      </c>
      <c r="C6507" s="66" t="s">
        <v>7574</v>
      </c>
      <c r="D6507" s="11">
        <v>3168.8</v>
      </c>
      <c r="E6507" s="11">
        <v>3168.8</v>
      </c>
      <c r="F6507" s="3">
        <v>39052</v>
      </c>
      <c r="G6507" s="2"/>
      <c r="H6507" s="2"/>
      <c r="I6507" s="2"/>
      <c r="J6507" s="2" t="s">
        <v>13904</v>
      </c>
      <c r="K6507" s="2" t="s">
        <v>5657</v>
      </c>
      <c r="L6507" s="246" t="s">
        <v>22280</v>
      </c>
    </row>
    <row r="6508" spans="1:12" ht="84" customHeight="1" x14ac:dyDescent="0.3">
      <c r="A6508" s="2">
        <v>6504</v>
      </c>
      <c r="B6508" s="66" t="s">
        <v>7575</v>
      </c>
      <c r="C6508" s="66" t="s">
        <v>7576</v>
      </c>
      <c r="D6508" s="11">
        <v>4426.79</v>
      </c>
      <c r="E6508" s="11">
        <v>4426.79</v>
      </c>
      <c r="F6508" s="3">
        <v>39052</v>
      </c>
      <c r="G6508" s="2"/>
      <c r="H6508" s="2"/>
      <c r="I6508" s="2"/>
      <c r="J6508" s="2" t="s">
        <v>13904</v>
      </c>
      <c r="K6508" s="2" t="s">
        <v>5657</v>
      </c>
      <c r="L6508" s="246" t="s">
        <v>22280</v>
      </c>
    </row>
    <row r="6509" spans="1:12" ht="84" customHeight="1" x14ac:dyDescent="0.3">
      <c r="A6509" s="2">
        <v>6505</v>
      </c>
      <c r="B6509" s="66" t="s">
        <v>7577</v>
      </c>
      <c r="C6509" s="66" t="s">
        <v>7578</v>
      </c>
      <c r="D6509" s="11">
        <v>6337.58</v>
      </c>
      <c r="E6509" s="11">
        <v>6337.58</v>
      </c>
      <c r="F6509" s="3">
        <v>39052</v>
      </c>
      <c r="G6509" s="2"/>
      <c r="H6509" s="2"/>
      <c r="I6509" s="2"/>
      <c r="J6509" s="2" t="s">
        <v>13904</v>
      </c>
      <c r="K6509" s="2" t="s">
        <v>5657</v>
      </c>
      <c r="L6509" s="246" t="s">
        <v>22280</v>
      </c>
    </row>
    <row r="6510" spans="1:12" ht="84" customHeight="1" x14ac:dyDescent="0.3">
      <c r="A6510" s="2">
        <v>6506</v>
      </c>
      <c r="B6510" s="66" t="s">
        <v>7577</v>
      </c>
      <c r="C6510" s="66" t="s">
        <v>7579</v>
      </c>
      <c r="D6510" s="11">
        <v>3168.8</v>
      </c>
      <c r="E6510" s="11">
        <v>3168.8</v>
      </c>
      <c r="F6510" s="3">
        <v>39052</v>
      </c>
      <c r="G6510" s="2"/>
      <c r="H6510" s="2"/>
      <c r="I6510" s="2"/>
      <c r="J6510" s="2" t="s">
        <v>13904</v>
      </c>
      <c r="K6510" s="2" t="s">
        <v>5657</v>
      </c>
      <c r="L6510" s="246" t="s">
        <v>22280</v>
      </c>
    </row>
    <row r="6511" spans="1:12" ht="84" customHeight="1" x14ac:dyDescent="0.3">
      <c r="A6511" s="2">
        <v>6507</v>
      </c>
      <c r="B6511" s="66" t="s">
        <v>7577</v>
      </c>
      <c r="C6511" s="66" t="s">
        <v>7580</v>
      </c>
      <c r="D6511" s="11">
        <v>3168.8</v>
      </c>
      <c r="E6511" s="11">
        <v>3168.8</v>
      </c>
      <c r="F6511" s="3">
        <v>39052</v>
      </c>
      <c r="G6511" s="2"/>
      <c r="H6511" s="2"/>
      <c r="I6511" s="2"/>
      <c r="J6511" s="2" t="s">
        <v>13904</v>
      </c>
      <c r="K6511" s="2" t="s">
        <v>5657</v>
      </c>
      <c r="L6511" s="246" t="s">
        <v>22280</v>
      </c>
    </row>
    <row r="6512" spans="1:12" ht="84" customHeight="1" x14ac:dyDescent="0.3">
      <c r="A6512" s="2">
        <v>6508</v>
      </c>
      <c r="B6512" s="66" t="s">
        <v>7577</v>
      </c>
      <c r="C6512" s="66" t="s">
        <v>7581</v>
      </c>
      <c r="D6512" s="11">
        <v>3168.8</v>
      </c>
      <c r="E6512" s="11">
        <v>3168.8</v>
      </c>
      <c r="F6512" s="3">
        <v>39052</v>
      </c>
      <c r="G6512" s="2"/>
      <c r="H6512" s="2"/>
      <c r="I6512" s="2"/>
      <c r="J6512" s="2" t="s">
        <v>13904</v>
      </c>
      <c r="K6512" s="2" t="s">
        <v>5657</v>
      </c>
      <c r="L6512" s="246" t="s">
        <v>22280</v>
      </c>
    </row>
    <row r="6513" spans="1:12" ht="84" customHeight="1" x14ac:dyDescent="0.3">
      <c r="A6513" s="2">
        <v>6509</v>
      </c>
      <c r="B6513" s="66" t="s">
        <v>7577</v>
      </c>
      <c r="C6513" s="66" t="s">
        <v>7582</v>
      </c>
      <c r="D6513" s="11">
        <v>3168.8</v>
      </c>
      <c r="E6513" s="11">
        <v>3168.8</v>
      </c>
      <c r="F6513" s="3">
        <v>39052</v>
      </c>
      <c r="G6513" s="2"/>
      <c r="H6513" s="2"/>
      <c r="I6513" s="2"/>
      <c r="J6513" s="2" t="s">
        <v>13904</v>
      </c>
      <c r="K6513" s="2" t="s">
        <v>5657</v>
      </c>
      <c r="L6513" s="246" t="s">
        <v>22280</v>
      </c>
    </row>
    <row r="6514" spans="1:12" ht="84" customHeight="1" x14ac:dyDescent="0.3">
      <c r="A6514" s="2">
        <v>6510</v>
      </c>
      <c r="B6514" s="66" t="s">
        <v>7577</v>
      </c>
      <c r="C6514" s="66" t="s">
        <v>7583</v>
      </c>
      <c r="D6514" s="11">
        <v>3168.8</v>
      </c>
      <c r="E6514" s="11">
        <v>3168.8</v>
      </c>
      <c r="F6514" s="3">
        <v>39052</v>
      </c>
      <c r="G6514" s="2"/>
      <c r="H6514" s="2"/>
      <c r="I6514" s="2"/>
      <c r="J6514" s="2" t="s">
        <v>13904</v>
      </c>
      <c r="K6514" s="2" t="s">
        <v>5657</v>
      </c>
      <c r="L6514" s="246" t="s">
        <v>22280</v>
      </c>
    </row>
    <row r="6515" spans="1:12" ht="84" customHeight="1" x14ac:dyDescent="0.3">
      <c r="A6515" s="2">
        <v>6511</v>
      </c>
      <c r="B6515" s="66" t="s">
        <v>7584</v>
      </c>
      <c r="C6515" s="66" t="s">
        <v>7585</v>
      </c>
      <c r="D6515" s="11">
        <v>3168.8</v>
      </c>
      <c r="E6515" s="11">
        <v>3168.8</v>
      </c>
      <c r="F6515" s="3">
        <v>39052</v>
      </c>
      <c r="G6515" s="2"/>
      <c r="H6515" s="2"/>
      <c r="I6515" s="2"/>
      <c r="J6515" s="2" t="s">
        <v>13904</v>
      </c>
      <c r="K6515" s="2" t="s">
        <v>5657</v>
      </c>
      <c r="L6515" s="246" t="s">
        <v>22280</v>
      </c>
    </row>
    <row r="6516" spans="1:12" ht="84" customHeight="1" x14ac:dyDescent="0.3">
      <c r="A6516" s="2">
        <v>6512</v>
      </c>
      <c r="B6516" s="66" t="s">
        <v>7577</v>
      </c>
      <c r="C6516" s="66" t="s">
        <v>7586</v>
      </c>
      <c r="D6516" s="11">
        <v>3168.8</v>
      </c>
      <c r="E6516" s="11">
        <v>3168.8</v>
      </c>
      <c r="F6516" s="3">
        <v>39052</v>
      </c>
      <c r="G6516" s="2"/>
      <c r="H6516" s="2"/>
      <c r="I6516" s="2"/>
      <c r="J6516" s="2" t="s">
        <v>13904</v>
      </c>
      <c r="K6516" s="2" t="s">
        <v>5657</v>
      </c>
      <c r="L6516" s="246" t="s">
        <v>22280</v>
      </c>
    </row>
    <row r="6517" spans="1:12" ht="84" customHeight="1" x14ac:dyDescent="0.3">
      <c r="A6517" s="2">
        <v>6513</v>
      </c>
      <c r="B6517" s="66" t="s">
        <v>7577</v>
      </c>
      <c r="C6517" s="66" t="s">
        <v>7587</v>
      </c>
      <c r="D6517" s="11">
        <v>3168.8</v>
      </c>
      <c r="E6517" s="11">
        <v>3168.8</v>
      </c>
      <c r="F6517" s="3">
        <v>39052</v>
      </c>
      <c r="G6517" s="2"/>
      <c r="H6517" s="2"/>
      <c r="I6517" s="2"/>
      <c r="J6517" s="2" t="s">
        <v>13904</v>
      </c>
      <c r="K6517" s="2" t="s">
        <v>5657</v>
      </c>
      <c r="L6517" s="246" t="s">
        <v>22280</v>
      </c>
    </row>
    <row r="6518" spans="1:12" ht="84" customHeight="1" x14ac:dyDescent="0.3">
      <c r="A6518" s="2">
        <v>6514</v>
      </c>
      <c r="B6518" s="66" t="s">
        <v>7577</v>
      </c>
      <c r="C6518" s="66" t="s">
        <v>7588</v>
      </c>
      <c r="D6518" s="11">
        <v>3168.8</v>
      </c>
      <c r="E6518" s="11">
        <v>3168.8</v>
      </c>
      <c r="F6518" s="3">
        <v>39052</v>
      </c>
      <c r="G6518" s="2"/>
      <c r="H6518" s="2"/>
      <c r="I6518" s="2"/>
      <c r="J6518" s="2" t="s">
        <v>13904</v>
      </c>
      <c r="K6518" s="2" t="s">
        <v>5657</v>
      </c>
      <c r="L6518" s="246" t="s">
        <v>22280</v>
      </c>
    </row>
    <row r="6519" spans="1:12" ht="84" customHeight="1" x14ac:dyDescent="0.3">
      <c r="A6519" s="2">
        <v>6515</v>
      </c>
      <c r="B6519" s="66" t="s">
        <v>7589</v>
      </c>
      <c r="C6519" s="66" t="s">
        <v>7590</v>
      </c>
      <c r="D6519" s="11">
        <v>3168.8</v>
      </c>
      <c r="E6519" s="11">
        <v>3168.8</v>
      </c>
      <c r="F6519" s="3">
        <v>39052</v>
      </c>
      <c r="G6519" s="2"/>
      <c r="H6519" s="2"/>
      <c r="I6519" s="2"/>
      <c r="J6519" s="2" t="s">
        <v>13904</v>
      </c>
      <c r="K6519" s="2" t="s">
        <v>5657</v>
      </c>
      <c r="L6519" s="246" t="s">
        <v>22280</v>
      </c>
    </row>
    <row r="6520" spans="1:12" ht="84" customHeight="1" x14ac:dyDescent="0.3">
      <c r="A6520" s="2">
        <v>6516</v>
      </c>
      <c r="B6520" s="66" t="s">
        <v>7591</v>
      </c>
      <c r="C6520" s="66" t="s">
        <v>7592</v>
      </c>
      <c r="D6520" s="11">
        <v>3168.81</v>
      </c>
      <c r="E6520" s="11">
        <v>3168.81</v>
      </c>
      <c r="F6520" s="3">
        <v>39052</v>
      </c>
      <c r="G6520" s="2"/>
      <c r="H6520" s="2"/>
      <c r="I6520" s="2"/>
      <c r="J6520" s="2" t="s">
        <v>13904</v>
      </c>
      <c r="K6520" s="2" t="s">
        <v>5657</v>
      </c>
      <c r="L6520" s="246" t="s">
        <v>22280</v>
      </c>
    </row>
    <row r="6521" spans="1:12" ht="84" customHeight="1" x14ac:dyDescent="0.3">
      <c r="A6521" s="2">
        <v>6517</v>
      </c>
      <c r="B6521" s="66" t="s">
        <v>7593</v>
      </c>
      <c r="C6521" s="66" t="s">
        <v>7594</v>
      </c>
      <c r="D6521" s="11">
        <v>3168.8</v>
      </c>
      <c r="E6521" s="11">
        <v>3168.8</v>
      </c>
      <c r="F6521" s="3">
        <v>39052</v>
      </c>
      <c r="G6521" s="2"/>
      <c r="H6521" s="2"/>
      <c r="I6521" s="2"/>
      <c r="J6521" s="2" t="s">
        <v>13904</v>
      </c>
      <c r="K6521" s="2" t="s">
        <v>5657</v>
      </c>
      <c r="L6521" s="246" t="s">
        <v>22280</v>
      </c>
    </row>
    <row r="6522" spans="1:12" ht="84" customHeight="1" x14ac:dyDescent="0.3">
      <c r="A6522" s="2">
        <v>6518</v>
      </c>
      <c r="B6522" s="66" t="s">
        <v>7595</v>
      </c>
      <c r="C6522" s="66" t="s">
        <v>7596</v>
      </c>
      <c r="D6522" s="11">
        <v>3168.8</v>
      </c>
      <c r="E6522" s="11">
        <v>3168.8</v>
      </c>
      <c r="F6522" s="3">
        <v>39052</v>
      </c>
      <c r="G6522" s="2"/>
      <c r="H6522" s="2"/>
      <c r="I6522" s="2"/>
      <c r="J6522" s="2" t="s">
        <v>13904</v>
      </c>
      <c r="K6522" s="2" t="s">
        <v>5657</v>
      </c>
      <c r="L6522" s="246" t="s">
        <v>22280</v>
      </c>
    </row>
    <row r="6523" spans="1:12" ht="84" customHeight="1" x14ac:dyDescent="0.3">
      <c r="A6523" s="2">
        <v>6519</v>
      </c>
      <c r="B6523" s="66" t="s">
        <v>7597</v>
      </c>
      <c r="C6523" s="66" t="s">
        <v>7598</v>
      </c>
      <c r="D6523" s="11">
        <v>3878.92</v>
      </c>
      <c r="E6523" s="11">
        <v>3878.92</v>
      </c>
      <c r="F6523" s="3">
        <v>39052</v>
      </c>
      <c r="G6523" s="2"/>
      <c r="H6523" s="2"/>
      <c r="I6523" s="2"/>
      <c r="J6523" s="2" t="s">
        <v>13904</v>
      </c>
      <c r="K6523" s="2" t="s">
        <v>5657</v>
      </c>
      <c r="L6523" s="246" t="s">
        <v>22280</v>
      </c>
    </row>
    <row r="6524" spans="1:12" ht="84" customHeight="1" x14ac:dyDescent="0.3">
      <c r="A6524" s="2">
        <v>6520</v>
      </c>
      <c r="B6524" s="66" t="s">
        <v>7599</v>
      </c>
      <c r="C6524" s="66" t="s">
        <v>7600</v>
      </c>
      <c r="D6524" s="11">
        <v>3168.81</v>
      </c>
      <c r="E6524" s="11">
        <v>3168.81</v>
      </c>
      <c r="F6524" s="3">
        <v>39052</v>
      </c>
      <c r="G6524" s="2"/>
      <c r="H6524" s="2"/>
      <c r="I6524" s="2"/>
      <c r="J6524" s="2" t="s">
        <v>13904</v>
      </c>
      <c r="K6524" s="2" t="s">
        <v>5657</v>
      </c>
      <c r="L6524" s="246" t="s">
        <v>22280</v>
      </c>
    </row>
    <row r="6525" spans="1:12" ht="84" customHeight="1" x14ac:dyDescent="0.3">
      <c r="A6525" s="2">
        <v>6521</v>
      </c>
      <c r="B6525" s="66" t="s">
        <v>7601</v>
      </c>
      <c r="C6525" s="66" t="s">
        <v>7602</v>
      </c>
      <c r="D6525" s="11">
        <v>3168.8</v>
      </c>
      <c r="E6525" s="11">
        <v>3168.8</v>
      </c>
      <c r="F6525" s="3">
        <v>39052</v>
      </c>
      <c r="G6525" s="2"/>
      <c r="H6525" s="2"/>
      <c r="I6525" s="2"/>
      <c r="J6525" s="2" t="s">
        <v>13904</v>
      </c>
      <c r="K6525" s="2" t="s">
        <v>5657</v>
      </c>
      <c r="L6525" s="246" t="s">
        <v>22280</v>
      </c>
    </row>
    <row r="6526" spans="1:12" ht="84" customHeight="1" x14ac:dyDescent="0.3">
      <c r="A6526" s="2">
        <v>6522</v>
      </c>
      <c r="B6526" s="66" t="s">
        <v>7603</v>
      </c>
      <c r="C6526" s="66" t="s">
        <v>7604</v>
      </c>
      <c r="D6526" s="11">
        <v>4426.8</v>
      </c>
      <c r="E6526" s="11">
        <v>4426.8</v>
      </c>
      <c r="F6526" s="3">
        <v>39052</v>
      </c>
      <c r="G6526" s="2"/>
      <c r="H6526" s="2"/>
      <c r="I6526" s="2"/>
      <c r="J6526" s="2" t="s">
        <v>13904</v>
      </c>
      <c r="K6526" s="2" t="s">
        <v>5657</v>
      </c>
      <c r="L6526" s="246" t="s">
        <v>22280</v>
      </c>
    </row>
    <row r="6527" spans="1:12" ht="84" customHeight="1" x14ac:dyDescent="0.3">
      <c r="A6527" s="2">
        <v>6523</v>
      </c>
      <c r="B6527" s="66" t="s">
        <v>7605</v>
      </c>
      <c r="C6527" s="66" t="s">
        <v>7606</v>
      </c>
      <c r="D6527" s="11">
        <v>3168.8</v>
      </c>
      <c r="E6527" s="11">
        <v>3168.8</v>
      </c>
      <c r="F6527" s="3">
        <v>39052</v>
      </c>
      <c r="G6527" s="2"/>
      <c r="H6527" s="2"/>
      <c r="I6527" s="2"/>
      <c r="J6527" s="2" t="s">
        <v>13904</v>
      </c>
      <c r="K6527" s="2" t="s">
        <v>5657</v>
      </c>
      <c r="L6527" s="246" t="s">
        <v>22280</v>
      </c>
    </row>
    <row r="6528" spans="1:12" ht="84" customHeight="1" x14ac:dyDescent="0.3">
      <c r="A6528" s="2">
        <v>6524</v>
      </c>
      <c r="B6528" s="66" t="s">
        <v>7605</v>
      </c>
      <c r="C6528" s="66" t="s">
        <v>7607</v>
      </c>
      <c r="D6528" s="11">
        <v>3168.79</v>
      </c>
      <c r="E6528" s="11">
        <v>3168.79</v>
      </c>
      <c r="F6528" s="3">
        <v>39052</v>
      </c>
      <c r="G6528" s="2"/>
      <c r="H6528" s="2"/>
      <c r="I6528" s="2"/>
      <c r="J6528" s="2" t="s">
        <v>13904</v>
      </c>
      <c r="K6528" s="2" t="s">
        <v>5657</v>
      </c>
      <c r="L6528" s="246" t="s">
        <v>22280</v>
      </c>
    </row>
    <row r="6529" spans="1:12" ht="84" customHeight="1" x14ac:dyDescent="0.3">
      <c r="A6529" s="2">
        <v>6525</v>
      </c>
      <c r="B6529" s="66" t="s">
        <v>7605</v>
      </c>
      <c r="C6529" s="66" t="s">
        <v>7608</v>
      </c>
      <c r="D6529" s="11">
        <v>3168.79</v>
      </c>
      <c r="E6529" s="11">
        <v>3168.79</v>
      </c>
      <c r="F6529" s="3">
        <v>39052</v>
      </c>
      <c r="G6529" s="2"/>
      <c r="H6529" s="2"/>
      <c r="I6529" s="2"/>
      <c r="J6529" s="2" t="s">
        <v>13904</v>
      </c>
      <c r="K6529" s="2" t="s">
        <v>5657</v>
      </c>
      <c r="L6529" s="246" t="s">
        <v>22280</v>
      </c>
    </row>
    <row r="6530" spans="1:12" ht="84" customHeight="1" x14ac:dyDescent="0.3">
      <c r="A6530" s="2">
        <v>6526</v>
      </c>
      <c r="B6530" s="66" t="s">
        <v>7605</v>
      </c>
      <c r="C6530" s="66" t="s">
        <v>7609</v>
      </c>
      <c r="D6530" s="11">
        <v>3168.79</v>
      </c>
      <c r="E6530" s="11">
        <v>3168.79</v>
      </c>
      <c r="F6530" s="3">
        <v>39052</v>
      </c>
      <c r="G6530" s="2"/>
      <c r="H6530" s="2"/>
      <c r="I6530" s="2"/>
      <c r="J6530" s="2" t="s">
        <v>13904</v>
      </c>
      <c r="K6530" s="2" t="s">
        <v>5657</v>
      </c>
      <c r="L6530" s="246" t="s">
        <v>22280</v>
      </c>
    </row>
    <row r="6531" spans="1:12" ht="84" customHeight="1" x14ac:dyDescent="0.3">
      <c r="A6531" s="2">
        <v>6527</v>
      </c>
      <c r="B6531" s="66" t="s">
        <v>7605</v>
      </c>
      <c r="C6531" s="66" t="s">
        <v>7610</v>
      </c>
      <c r="D6531" s="11">
        <v>3168.79</v>
      </c>
      <c r="E6531" s="11">
        <v>3168.79</v>
      </c>
      <c r="F6531" s="3">
        <v>39052</v>
      </c>
      <c r="G6531" s="2"/>
      <c r="H6531" s="2"/>
      <c r="I6531" s="2"/>
      <c r="J6531" s="2" t="s">
        <v>13904</v>
      </c>
      <c r="K6531" s="2" t="s">
        <v>5657</v>
      </c>
      <c r="L6531" s="246" t="s">
        <v>22280</v>
      </c>
    </row>
    <row r="6532" spans="1:12" ht="84" customHeight="1" x14ac:dyDescent="0.3">
      <c r="A6532" s="2">
        <v>6528</v>
      </c>
      <c r="B6532" s="66" t="s">
        <v>7611</v>
      </c>
      <c r="C6532" s="66" t="s">
        <v>7612</v>
      </c>
      <c r="D6532" s="11">
        <v>3168.8</v>
      </c>
      <c r="E6532" s="11">
        <v>3168.8</v>
      </c>
      <c r="F6532" s="3">
        <v>39052</v>
      </c>
      <c r="G6532" s="2"/>
      <c r="H6532" s="2"/>
      <c r="I6532" s="2"/>
      <c r="J6532" s="2" t="s">
        <v>13904</v>
      </c>
      <c r="K6532" s="2" t="s">
        <v>5657</v>
      </c>
      <c r="L6532" s="246" t="s">
        <v>22280</v>
      </c>
    </row>
    <row r="6533" spans="1:12" ht="84" customHeight="1" x14ac:dyDescent="0.3">
      <c r="A6533" s="2">
        <v>6529</v>
      </c>
      <c r="B6533" s="66" t="s">
        <v>7613</v>
      </c>
      <c r="C6533" s="66" t="s">
        <v>7614</v>
      </c>
      <c r="D6533" s="11">
        <v>3168.79</v>
      </c>
      <c r="E6533" s="11">
        <v>3168.79</v>
      </c>
      <c r="F6533" s="3">
        <v>39052</v>
      </c>
      <c r="G6533" s="2"/>
      <c r="H6533" s="2"/>
      <c r="I6533" s="2"/>
      <c r="J6533" s="2" t="s">
        <v>13904</v>
      </c>
      <c r="K6533" s="2" t="s">
        <v>5657</v>
      </c>
      <c r="L6533" s="246" t="s">
        <v>22280</v>
      </c>
    </row>
    <row r="6534" spans="1:12" ht="84" customHeight="1" x14ac:dyDescent="0.3">
      <c r="A6534" s="2">
        <v>6530</v>
      </c>
      <c r="B6534" s="66" t="s">
        <v>7615</v>
      </c>
      <c r="C6534" s="66" t="s">
        <v>7616</v>
      </c>
      <c r="D6534" s="11">
        <v>4743.5</v>
      </c>
      <c r="E6534" s="11">
        <v>4743.5</v>
      </c>
      <c r="F6534" s="3">
        <v>39052</v>
      </c>
      <c r="G6534" s="2"/>
      <c r="H6534" s="2"/>
      <c r="I6534" s="2"/>
      <c r="J6534" s="2" t="s">
        <v>13904</v>
      </c>
      <c r="K6534" s="2" t="s">
        <v>5657</v>
      </c>
      <c r="L6534" s="246" t="s">
        <v>22280</v>
      </c>
    </row>
    <row r="6535" spans="1:12" ht="84" customHeight="1" x14ac:dyDescent="0.3">
      <c r="A6535" s="2">
        <v>6531</v>
      </c>
      <c r="B6535" s="66" t="s">
        <v>7617</v>
      </c>
      <c r="C6535" s="66" t="s">
        <v>7618</v>
      </c>
      <c r="D6535" s="11">
        <v>3878.91</v>
      </c>
      <c r="E6535" s="11">
        <v>3878.91</v>
      </c>
      <c r="F6535" s="3">
        <v>39052</v>
      </c>
      <c r="G6535" s="2"/>
      <c r="H6535" s="2"/>
      <c r="I6535" s="2"/>
      <c r="J6535" s="2" t="s">
        <v>13904</v>
      </c>
      <c r="K6535" s="2" t="s">
        <v>5657</v>
      </c>
      <c r="L6535" s="246" t="s">
        <v>22280</v>
      </c>
    </row>
    <row r="6536" spans="1:12" ht="84" customHeight="1" x14ac:dyDescent="0.3">
      <c r="A6536" s="2">
        <v>6532</v>
      </c>
      <c r="B6536" s="66" t="s">
        <v>7617</v>
      </c>
      <c r="C6536" s="66" t="s">
        <v>7619</v>
      </c>
      <c r="D6536" s="11">
        <v>3878.91</v>
      </c>
      <c r="E6536" s="11">
        <v>3878.91</v>
      </c>
      <c r="F6536" s="3">
        <v>39052</v>
      </c>
      <c r="G6536" s="2"/>
      <c r="H6536" s="2"/>
      <c r="I6536" s="2"/>
      <c r="J6536" s="2" t="s">
        <v>13904</v>
      </c>
      <c r="K6536" s="2" t="s">
        <v>5657</v>
      </c>
      <c r="L6536" s="246" t="s">
        <v>22280</v>
      </c>
    </row>
    <row r="6537" spans="1:12" ht="84" customHeight="1" x14ac:dyDescent="0.3">
      <c r="A6537" s="2">
        <v>6533</v>
      </c>
      <c r="B6537" s="66" t="s">
        <v>7617</v>
      </c>
      <c r="C6537" s="66" t="s">
        <v>7620</v>
      </c>
      <c r="D6537" s="11">
        <v>3878.92</v>
      </c>
      <c r="E6537" s="11">
        <v>3878.92</v>
      </c>
      <c r="F6537" s="3">
        <v>39052</v>
      </c>
      <c r="G6537" s="2"/>
      <c r="H6537" s="2"/>
      <c r="I6537" s="2"/>
      <c r="J6537" s="2" t="s">
        <v>13904</v>
      </c>
      <c r="K6537" s="2" t="s">
        <v>5657</v>
      </c>
      <c r="L6537" s="246" t="s">
        <v>22280</v>
      </c>
    </row>
    <row r="6538" spans="1:12" ht="84" customHeight="1" x14ac:dyDescent="0.3">
      <c r="A6538" s="2">
        <v>6534</v>
      </c>
      <c r="B6538" s="66" t="s">
        <v>7617</v>
      </c>
      <c r="C6538" s="66" t="s">
        <v>7621</v>
      </c>
      <c r="D6538" s="11">
        <v>3878.91</v>
      </c>
      <c r="E6538" s="11">
        <v>3878.91</v>
      </c>
      <c r="F6538" s="3">
        <v>39052</v>
      </c>
      <c r="G6538" s="2"/>
      <c r="H6538" s="2"/>
      <c r="I6538" s="2"/>
      <c r="J6538" s="2" t="s">
        <v>13904</v>
      </c>
      <c r="K6538" s="2" t="s">
        <v>5657</v>
      </c>
      <c r="L6538" s="246" t="s">
        <v>22280</v>
      </c>
    </row>
    <row r="6539" spans="1:12" ht="84" customHeight="1" x14ac:dyDescent="0.3">
      <c r="A6539" s="2">
        <v>6535</v>
      </c>
      <c r="B6539" s="66" t="s">
        <v>7617</v>
      </c>
      <c r="C6539" s="66" t="s">
        <v>7622</v>
      </c>
      <c r="D6539" s="11">
        <v>3878.91</v>
      </c>
      <c r="E6539" s="11">
        <v>3878.91</v>
      </c>
      <c r="F6539" s="3">
        <v>39052</v>
      </c>
      <c r="G6539" s="2"/>
      <c r="H6539" s="2"/>
      <c r="I6539" s="2"/>
      <c r="J6539" s="2" t="s">
        <v>13904</v>
      </c>
      <c r="K6539" s="2" t="s">
        <v>5657</v>
      </c>
      <c r="L6539" s="246" t="s">
        <v>22280</v>
      </c>
    </row>
    <row r="6540" spans="1:12" ht="84" customHeight="1" x14ac:dyDescent="0.3">
      <c r="A6540" s="2">
        <v>6536</v>
      </c>
      <c r="B6540" s="66" t="s">
        <v>7623</v>
      </c>
      <c r="C6540" s="66" t="s">
        <v>7624</v>
      </c>
      <c r="D6540" s="11">
        <v>3878.91</v>
      </c>
      <c r="E6540" s="11">
        <v>3878.91</v>
      </c>
      <c r="F6540" s="3">
        <v>39052</v>
      </c>
      <c r="G6540" s="2"/>
      <c r="H6540" s="2"/>
      <c r="I6540" s="2"/>
      <c r="J6540" s="2" t="s">
        <v>13904</v>
      </c>
      <c r="K6540" s="2" t="s">
        <v>5657</v>
      </c>
      <c r="L6540" s="246" t="s">
        <v>22280</v>
      </c>
    </row>
    <row r="6541" spans="1:12" ht="84" customHeight="1" x14ac:dyDescent="0.3">
      <c r="A6541" s="2">
        <v>6537</v>
      </c>
      <c r="B6541" s="66" t="s">
        <v>7625</v>
      </c>
      <c r="C6541" s="66" t="s">
        <v>7626</v>
      </c>
      <c r="D6541" s="11">
        <v>3878.91</v>
      </c>
      <c r="E6541" s="11">
        <v>3878.91</v>
      </c>
      <c r="F6541" s="3">
        <v>39052</v>
      </c>
      <c r="G6541" s="2"/>
      <c r="H6541" s="2"/>
      <c r="I6541" s="2"/>
      <c r="J6541" s="2" t="s">
        <v>13904</v>
      </c>
      <c r="K6541" s="2" t="s">
        <v>5657</v>
      </c>
      <c r="L6541" s="246" t="s">
        <v>22280</v>
      </c>
    </row>
    <row r="6542" spans="1:12" ht="84" customHeight="1" x14ac:dyDescent="0.3">
      <c r="A6542" s="2">
        <v>6538</v>
      </c>
      <c r="B6542" s="66" t="s">
        <v>7617</v>
      </c>
      <c r="C6542" s="66" t="s">
        <v>7627</v>
      </c>
      <c r="D6542" s="11">
        <v>3878.92</v>
      </c>
      <c r="E6542" s="11">
        <v>3878.92</v>
      </c>
      <c r="F6542" s="3">
        <v>39052</v>
      </c>
      <c r="G6542" s="2"/>
      <c r="H6542" s="2"/>
      <c r="I6542" s="2"/>
      <c r="J6542" s="2" t="s">
        <v>13904</v>
      </c>
      <c r="K6542" s="2" t="s">
        <v>5657</v>
      </c>
      <c r="L6542" s="246" t="s">
        <v>22280</v>
      </c>
    </row>
    <row r="6543" spans="1:12" ht="84" customHeight="1" x14ac:dyDescent="0.3">
      <c r="A6543" s="2">
        <v>6539</v>
      </c>
      <c r="B6543" s="66" t="s">
        <v>7617</v>
      </c>
      <c r="C6543" s="66" t="s">
        <v>7628</v>
      </c>
      <c r="D6543" s="11">
        <v>3878.92</v>
      </c>
      <c r="E6543" s="11">
        <v>3878.92</v>
      </c>
      <c r="F6543" s="3">
        <v>39052</v>
      </c>
      <c r="G6543" s="2"/>
      <c r="H6543" s="2"/>
      <c r="I6543" s="2"/>
      <c r="J6543" s="2" t="s">
        <v>13904</v>
      </c>
      <c r="K6543" s="2" t="s">
        <v>5657</v>
      </c>
      <c r="L6543" s="246" t="s">
        <v>22280</v>
      </c>
    </row>
    <row r="6544" spans="1:12" ht="84" customHeight="1" x14ac:dyDescent="0.3">
      <c r="A6544" s="2">
        <v>6540</v>
      </c>
      <c r="B6544" s="66" t="s">
        <v>7629</v>
      </c>
      <c r="C6544" s="66" t="s">
        <v>7630</v>
      </c>
      <c r="D6544" s="11">
        <v>3878.93</v>
      </c>
      <c r="E6544" s="11">
        <v>3878.93</v>
      </c>
      <c r="F6544" s="3">
        <v>39052</v>
      </c>
      <c r="G6544" s="2"/>
      <c r="H6544" s="2"/>
      <c r="I6544" s="2"/>
      <c r="J6544" s="2" t="s">
        <v>13904</v>
      </c>
      <c r="K6544" s="2" t="s">
        <v>5657</v>
      </c>
      <c r="L6544" s="246" t="s">
        <v>22280</v>
      </c>
    </row>
    <row r="6545" spans="1:12" ht="84" customHeight="1" x14ac:dyDescent="0.3">
      <c r="A6545" s="2">
        <v>6541</v>
      </c>
      <c r="B6545" s="66" t="s">
        <v>7629</v>
      </c>
      <c r="C6545" s="66" t="s">
        <v>7631</v>
      </c>
      <c r="D6545" s="11">
        <v>3878.93</v>
      </c>
      <c r="E6545" s="11">
        <v>3878.93</v>
      </c>
      <c r="F6545" s="3">
        <v>39052</v>
      </c>
      <c r="G6545" s="2"/>
      <c r="H6545" s="2"/>
      <c r="I6545" s="2"/>
      <c r="J6545" s="2" t="s">
        <v>13904</v>
      </c>
      <c r="K6545" s="2" t="s">
        <v>5657</v>
      </c>
      <c r="L6545" s="246" t="s">
        <v>22280</v>
      </c>
    </row>
    <row r="6546" spans="1:12" ht="84" customHeight="1" x14ac:dyDescent="0.3">
      <c r="A6546" s="2">
        <v>6542</v>
      </c>
      <c r="B6546" s="66" t="s">
        <v>7632</v>
      </c>
      <c r="C6546" s="66" t="s">
        <v>7633</v>
      </c>
      <c r="D6546" s="11">
        <v>3363</v>
      </c>
      <c r="E6546" s="11">
        <v>3363</v>
      </c>
      <c r="F6546" s="3">
        <v>39142</v>
      </c>
      <c r="G6546" s="2"/>
      <c r="H6546" s="2"/>
      <c r="I6546" s="2"/>
      <c r="J6546" s="2" t="s">
        <v>13904</v>
      </c>
      <c r="K6546" s="2" t="s">
        <v>5657</v>
      </c>
      <c r="L6546" s="246" t="s">
        <v>22280</v>
      </c>
    </row>
    <row r="6547" spans="1:12" ht="84" customHeight="1" x14ac:dyDescent="0.3">
      <c r="A6547" s="2">
        <v>6543</v>
      </c>
      <c r="B6547" s="66" t="s">
        <v>6903</v>
      </c>
      <c r="C6547" s="66" t="s">
        <v>7634</v>
      </c>
      <c r="D6547" s="11">
        <v>3894</v>
      </c>
      <c r="E6547" s="11">
        <v>3894</v>
      </c>
      <c r="F6547" s="3">
        <v>39142</v>
      </c>
      <c r="G6547" s="2"/>
      <c r="H6547" s="2"/>
      <c r="I6547" s="2"/>
      <c r="J6547" s="2" t="s">
        <v>13904</v>
      </c>
      <c r="K6547" s="2" t="s">
        <v>5657</v>
      </c>
      <c r="L6547" s="246" t="s">
        <v>22280</v>
      </c>
    </row>
    <row r="6548" spans="1:12" ht="84" customHeight="1" x14ac:dyDescent="0.3">
      <c r="A6548" s="2">
        <v>6544</v>
      </c>
      <c r="B6548" s="66" t="s">
        <v>6903</v>
      </c>
      <c r="C6548" s="66" t="s">
        <v>7635</v>
      </c>
      <c r="D6548" s="11">
        <v>3894</v>
      </c>
      <c r="E6548" s="11">
        <v>3894</v>
      </c>
      <c r="F6548" s="3">
        <v>39142</v>
      </c>
      <c r="G6548" s="2"/>
      <c r="H6548" s="2"/>
      <c r="I6548" s="2"/>
      <c r="J6548" s="2" t="s">
        <v>13904</v>
      </c>
      <c r="K6548" s="2" t="s">
        <v>5657</v>
      </c>
      <c r="L6548" s="246" t="s">
        <v>22280</v>
      </c>
    </row>
    <row r="6549" spans="1:12" ht="84" customHeight="1" x14ac:dyDescent="0.3">
      <c r="A6549" s="2">
        <v>6545</v>
      </c>
      <c r="B6549" s="66" t="s">
        <v>6903</v>
      </c>
      <c r="C6549" s="66" t="s">
        <v>7636</v>
      </c>
      <c r="D6549" s="11">
        <v>3894</v>
      </c>
      <c r="E6549" s="11">
        <v>3894</v>
      </c>
      <c r="F6549" s="3">
        <v>39142</v>
      </c>
      <c r="G6549" s="2"/>
      <c r="H6549" s="2"/>
      <c r="I6549" s="2"/>
      <c r="J6549" s="2" t="s">
        <v>13904</v>
      </c>
      <c r="K6549" s="2" t="s">
        <v>5657</v>
      </c>
      <c r="L6549" s="246" t="s">
        <v>22280</v>
      </c>
    </row>
    <row r="6550" spans="1:12" ht="84" customHeight="1" x14ac:dyDescent="0.3">
      <c r="A6550" s="2">
        <v>6546</v>
      </c>
      <c r="B6550" s="66" t="s">
        <v>7637</v>
      </c>
      <c r="C6550" s="66" t="s">
        <v>7638</v>
      </c>
      <c r="D6550" s="11">
        <v>3894</v>
      </c>
      <c r="E6550" s="11">
        <v>3894</v>
      </c>
      <c r="F6550" s="3">
        <v>39142</v>
      </c>
      <c r="G6550" s="2"/>
      <c r="H6550" s="2"/>
      <c r="I6550" s="2"/>
      <c r="J6550" s="2" t="s">
        <v>13904</v>
      </c>
      <c r="K6550" s="2" t="s">
        <v>5657</v>
      </c>
      <c r="L6550" s="246" t="s">
        <v>22280</v>
      </c>
    </row>
    <row r="6551" spans="1:12" ht="84" customHeight="1" x14ac:dyDescent="0.3">
      <c r="A6551" s="2">
        <v>6547</v>
      </c>
      <c r="B6551" s="66" t="s">
        <v>6903</v>
      </c>
      <c r="C6551" s="66" t="s">
        <v>7639</v>
      </c>
      <c r="D6551" s="11">
        <v>3894</v>
      </c>
      <c r="E6551" s="11">
        <v>3894</v>
      </c>
      <c r="F6551" s="3">
        <v>39142</v>
      </c>
      <c r="G6551" s="2"/>
      <c r="H6551" s="2"/>
      <c r="I6551" s="2"/>
      <c r="J6551" s="2" t="s">
        <v>13904</v>
      </c>
      <c r="K6551" s="2" t="s">
        <v>5657</v>
      </c>
      <c r="L6551" s="246" t="s">
        <v>22280</v>
      </c>
    </row>
    <row r="6552" spans="1:12" ht="84" customHeight="1" x14ac:dyDescent="0.3">
      <c r="A6552" s="2">
        <v>6548</v>
      </c>
      <c r="B6552" s="66" t="s">
        <v>6903</v>
      </c>
      <c r="C6552" s="66" t="s">
        <v>7640</v>
      </c>
      <c r="D6552" s="11">
        <v>3894</v>
      </c>
      <c r="E6552" s="11">
        <v>3894</v>
      </c>
      <c r="F6552" s="3">
        <v>39142</v>
      </c>
      <c r="G6552" s="2"/>
      <c r="H6552" s="2"/>
      <c r="I6552" s="2"/>
      <c r="J6552" s="2" t="s">
        <v>13904</v>
      </c>
      <c r="K6552" s="2" t="s">
        <v>5657</v>
      </c>
      <c r="L6552" s="246" t="s">
        <v>22280</v>
      </c>
    </row>
    <row r="6553" spans="1:12" ht="84" customHeight="1" x14ac:dyDescent="0.3">
      <c r="A6553" s="2">
        <v>6549</v>
      </c>
      <c r="B6553" s="66" t="s">
        <v>7641</v>
      </c>
      <c r="C6553" s="66" t="s">
        <v>7642</v>
      </c>
      <c r="D6553" s="11">
        <v>3894</v>
      </c>
      <c r="E6553" s="11">
        <v>3894</v>
      </c>
      <c r="F6553" s="3">
        <v>39142</v>
      </c>
      <c r="G6553" s="2"/>
      <c r="H6553" s="2"/>
      <c r="I6553" s="2"/>
      <c r="J6553" s="2" t="s">
        <v>13904</v>
      </c>
      <c r="K6553" s="2" t="s">
        <v>5657</v>
      </c>
      <c r="L6553" s="246" t="s">
        <v>22280</v>
      </c>
    </row>
    <row r="6554" spans="1:12" ht="84" customHeight="1" x14ac:dyDescent="0.3">
      <c r="A6554" s="2">
        <v>6550</v>
      </c>
      <c r="B6554" s="66" t="s">
        <v>7643</v>
      </c>
      <c r="C6554" s="66" t="s">
        <v>7644</v>
      </c>
      <c r="D6554" s="11">
        <v>3894</v>
      </c>
      <c r="E6554" s="11">
        <v>3894</v>
      </c>
      <c r="F6554" s="3">
        <v>39142</v>
      </c>
      <c r="G6554" s="2"/>
      <c r="H6554" s="2"/>
      <c r="I6554" s="2"/>
      <c r="J6554" s="2" t="s">
        <v>13904</v>
      </c>
      <c r="K6554" s="2" t="s">
        <v>5657</v>
      </c>
      <c r="L6554" s="246" t="s">
        <v>22280</v>
      </c>
    </row>
    <row r="6555" spans="1:12" ht="84" customHeight="1" x14ac:dyDescent="0.3">
      <c r="A6555" s="2">
        <v>6551</v>
      </c>
      <c r="B6555" s="66" t="s">
        <v>6905</v>
      </c>
      <c r="C6555" s="66" t="s">
        <v>7645</v>
      </c>
      <c r="D6555" s="11">
        <v>3894</v>
      </c>
      <c r="E6555" s="11">
        <v>3894</v>
      </c>
      <c r="F6555" s="3">
        <v>39142</v>
      </c>
      <c r="G6555" s="2"/>
      <c r="H6555" s="2"/>
      <c r="I6555" s="2"/>
      <c r="J6555" s="2" t="s">
        <v>13904</v>
      </c>
      <c r="K6555" s="2" t="s">
        <v>5657</v>
      </c>
      <c r="L6555" s="246" t="s">
        <v>22280</v>
      </c>
    </row>
    <row r="6556" spans="1:12" ht="84" customHeight="1" x14ac:dyDescent="0.3">
      <c r="A6556" s="2">
        <v>6552</v>
      </c>
      <c r="B6556" s="66" t="s">
        <v>7646</v>
      </c>
      <c r="C6556" s="66" t="s">
        <v>7647</v>
      </c>
      <c r="D6556" s="11">
        <v>3894</v>
      </c>
      <c r="E6556" s="11">
        <v>3894</v>
      </c>
      <c r="F6556" s="3">
        <v>39142</v>
      </c>
      <c r="G6556" s="2"/>
      <c r="H6556" s="2"/>
      <c r="I6556" s="2"/>
      <c r="J6556" s="2" t="s">
        <v>13904</v>
      </c>
      <c r="K6556" s="2" t="s">
        <v>5657</v>
      </c>
      <c r="L6556" s="246" t="s">
        <v>22280</v>
      </c>
    </row>
    <row r="6557" spans="1:12" ht="84" customHeight="1" x14ac:dyDescent="0.3">
      <c r="A6557" s="2">
        <v>6553</v>
      </c>
      <c r="B6557" s="66" t="s">
        <v>7648</v>
      </c>
      <c r="C6557" s="66" t="s">
        <v>7649</v>
      </c>
      <c r="D6557" s="11">
        <v>6428</v>
      </c>
      <c r="E6557" s="11">
        <v>6428</v>
      </c>
      <c r="F6557" s="3">
        <v>39052</v>
      </c>
      <c r="G6557" s="2"/>
      <c r="H6557" s="2"/>
      <c r="I6557" s="2"/>
      <c r="J6557" s="2" t="s">
        <v>13904</v>
      </c>
      <c r="K6557" s="2" t="s">
        <v>5657</v>
      </c>
      <c r="L6557" s="246" t="s">
        <v>22280</v>
      </c>
    </row>
    <row r="6558" spans="1:12" ht="84" customHeight="1" x14ac:dyDescent="0.3">
      <c r="A6558" s="2">
        <v>6554</v>
      </c>
      <c r="B6558" s="66" t="s">
        <v>7650</v>
      </c>
      <c r="C6558" s="66" t="s">
        <v>7651</v>
      </c>
      <c r="D6558" s="11">
        <v>5824</v>
      </c>
      <c r="E6558" s="11">
        <v>5824</v>
      </c>
      <c r="F6558" s="3">
        <v>39052</v>
      </c>
      <c r="G6558" s="2"/>
      <c r="H6558" s="2"/>
      <c r="I6558" s="2"/>
      <c r="J6558" s="2" t="s">
        <v>13904</v>
      </c>
      <c r="K6558" s="2" t="s">
        <v>5657</v>
      </c>
      <c r="L6558" s="246" t="s">
        <v>22280</v>
      </c>
    </row>
    <row r="6559" spans="1:12" ht="84" customHeight="1" x14ac:dyDescent="0.3">
      <c r="A6559" s="2">
        <v>6555</v>
      </c>
      <c r="B6559" s="66" t="s">
        <v>7652</v>
      </c>
      <c r="C6559" s="66" t="s">
        <v>7653</v>
      </c>
      <c r="D6559" s="11">
        <v>4960.12</v>
      </c>
      <c r="E6559" s="11">
        <v>4960.12</v>
      </c>
      <c r="F6559" s="3">
        <v>39052</v>
      </c>
      <c r="G6559" s="2"/>
      <c r="H6559" s="2"/>
      <c r="I6559" s="2"/>
      <c r="J6559" s="2" t="s">
        <v>13904</v>
      </c>
      <c r="K6559" s="2" t="s">
        <v>5657</v>
      </c>
      <c r="L6559" s="246" t="s">
        <v>22280</v>
      </c>
    </row>
    <row r="6560" spans="1:12" ht="84" customHeight="1" x14ac:dyDescent="0.3">
      <c r="A6560" s="2">
        <v>6556</v>
      </c>
      <c r="B6560" s="66" t="s">
        <v>7652</v>
      </c>
      <c r="C6560" s="66" t="s">
        <v>7654</v>
      </c>
      <c r="D6560" s="11">
        <v>4960.12</v>
      </c>
      <c r="E6560" s="11">
        <v>4960.12</v>
      </c>
      <c r="F6560" s="3">
        <v>39052</v>
      </c>
      <c r="G6560" s="2"/>
      <c r="H6560" s="2"/>
      <c r="I6560" s="2"/>
      <c r="J6560" s="2" t="s">
        <v>13904</v>
      </c>
      <c r="K6560" s="2" t="s">
        <v>5657</v>
      </c>
      <c r="L6560" s="246" t="s">
        <v>22280</v>
      </c>
    </row>
    <row r="6561" spans="1:12" ht="84" customHeight="1" x14ac:dyDescent="0.3">
      <c r="A6561" s="2">
        <v>6557</v>
      </c>
      <c r="B6561" s="66" t="s">
        <v>7655</v>
      </c>
      <c r="C6561" s="66" t="s">
        <v>7656</v>
      </c>
      <c r="D6561" s="11">
        <v>8100</v>
      </c>
      <c r="E6561" s="11">
        <v>8100</v>
      </c>
      <c r="F6561" s="3">
        <v>39423</v>
      </c>
      <c r="G6561" s="2"/>
      <c r="H6561" s="2"/>
      <c r="I6561" s="2"/>
      <c r="J6561" s="2" t="s">
        <v>13904</v>
      </c>
      <c r="K6561" s="2" t="s">
        <v>5657</v>
      </c>
      <c r="L6561" s="246" t="s">
        <v>22280</v>
      </c>
    </row>
    <row r="6562" spans="1:12" ht="84" customHeight="1" x14ac:dyDescent="0.3">
      <c r="A6562" s="2">
        <v>6558</v>
      </c>
      <c r="B6562" s="66" t="s">
        <v>7657</v>
      </c>
      <c r="C6562" s="66" t="s">
        <v>7658</v>
      </c>
      <c r="D6562" s="11">
        <v>3202.8</v>
      </c>
      <c r="E6562" s="11">
        <v>3202.8</v>
      </c>
      <c r="F6562" s="3">
        <v>39052</v>
      </c>
      <c r="G6562" s="2"/>
      <c r="H6562" s="2"/>
      <c r="I6562" s="2"/>
      <c r="J6562" s="2" t="s">
        <v>13904</v>
      </c>
      <c r="K6562" s="2" t="s">
        <v>5657</v>
      </c>
      <c r="L6562" s="246" t="s">
        <v>22280</v>
      </c>
    </row>
    <row r="6563" spans="1:12" ht="84" customHeight="1" x14ac:dyDescent="0.3">
      <c r="A6563" s="2">
        <v>6559</v>
      </c>
      <c r="B6563" s="66" t="s">
        <v>7659</v>
      </c>
      <c r="C6563" s="66" t="s">
        <v>7660</v>
      </c>
      <c r="D6563" s="11">
        <v>3111.56</v>
      </c>
      <c r="E6563" s="11">
        <v>3111.56</v>
      </c>
      <c r="F6563" s="3">
        <v>39052</v>
      </c>
      <c r="G6563" s="2"/>
      <c r="H6563" s="2"/>
      <c r="I6563" s="2"/>
      <c r="J6563" s="2" t="s">
        <v>13904</v>
      </c>
      <c r="K6563" s="2" t="s">
        <v>5657</v>
      </c>
      <c r="L6563" s="246" t="s">
        <v>22280</v>
      </c>
    </row>
    <row r="6564" spans="1:12" ht="84" customHeight="1" x14ac:dyDescent="0.3">
      <c r="A6564" s="2">
        <v>6560</v>
      </c>
      <c r="B6564" s="66" t="s">
        <v>7661</v>
      </c>
      <c r="C6564" s="66" t="s">
        <v>7662</v>
      </c>
      <c r="D6564" s="11">
        <v>3202.8</v>
      </c>
      <c r="E6564" s="11">
        <v>3202.8</v>
      </c>
      <c r="F6564" s="3">
        <v>39052</v>
      </c>
      <c r="G6564" s="2"/>
      <c r="H6564" s="2"/>
      <c r="I6564" s="2"/>
      <c r="J6564" s="2" t="s">
        <v>13904</v>
      </c>
      <c r="K6564" s="2" t="s">
        <v>5657</v>
      </c>
      <c r="L6564" s="246" t="s">
        <v>22280</v>
      </c>
    </row>
    <row r="6565" spans="1:12" ht="84" customHeight="1" x14ac:dyDescent="0.3">
      <c r="A6565" s="2">
        <v>6561</v>
      </c>
      <c r="B6565" s="66" t="s">
        <v>7663</v>
      </c>
      <c r="C6565" s="66" t="s">
        <v>7664</v>
      </c>
      <c r="D6565" s="11">
        <v>3202.8</v>
      </c>
      <c r="E6565" s="11">
        <v>3202.8</v>
      </c>
      <c r="F6565" s="3">
        <v>39052</v>
      </c>
      <c r="G6565" s="2"/>
      <c r="H6565" s="2"/>
      <c r="I6565" s="2"/>
      <c r="J6565" s="2" t="s">
        <v>13904</v>
      </c>
      <c r="K6565" s="2" t="s">
        <v>5657</v>
      </c>
      <c r="L6565" s="246" t="s">
        <v>22280</v>
      </c>
    </row>
    <row r="6566" spans="1:12" ht="84" customHeight="1" x14ac:dyDescent="0.3">
      <c r="A6566" s="2">
        <v>6562</v>
      </c>
      <c r="B6566" s="66" t="s">
        <v>7663</v>
      </c>
      <c r="C6566" s="66" t="s">
        <v>7665</v>
      </c>
      <c r="D6566" s="11">
        <v>3202.8</v>
      </c>
      <c r="E6566" s="11">
        <v>3202.8</v>
      </c>
      <c r="F6566" s="3">
        <v>39052</v>
      </c>
      <c r="G6566" s="2"/>
      <c r="H6566" s="2"/>
      <c r="I6566" s="2"/>
      <c r="J6566" s="2" t="s">
        <v>13904</v>
      </c>
      <c r="K6566" s="2" t="s">
        <v>5657</v>
      </c>
      <c r="L6566" s="246" t="s">
        <v>22280</v>
      </c>
    </row>
    <row r="6567" spans="1:12" ht="84" customHeight="1" x14ac:dyDescent="0.3">
      <c r="A6567" s="2">
        <v>6563</v>
      </c>
      <c r="B6567" s="66" t="s">
        <v>7661</v>
      </c>
      <c r="C6567" s="66" t="s">
        <v>7666</v>
      </c>
      <c r="D6567" s="11">
        <v>3202.8</v>
      </c>
      <c r="E6567" s="11">
        <v>3202.8</v>
      </c>
      <c r="F6567" s="3">
        <v>39052</v>
      </c>
      <c r="G6567" s="2"/>
      <c r="H6567" s="2"/>
      <c r="I6567" s="2"/>
      <c r="J6567" s="2" t="s">
        <v>13904</v>
      </c>
      <c r="K6567" s="2" t="s">
        <v>5657</v>
      </c>
      <c r="L6567" s="246" t="s">
        <v>22280</v>
      </c>
    </row>
    <row r="6568" spans="1:12" ht="84" customHeight="1" x14ac:dyDescent="0.3">
      <c r="A6568" s="2">
        <v>6564</v>
      </c>
      <c r="B6568" s="66" t="s">
        <v>7663</v>
      </c>
      <c r="C6568" s="66" t="s">
        <v>7667</v>
      </c>
      <c r="D6568" s="11">
        <v>3202.8</v>
      </c>
      <c r="E6568" s="11">
        <v>3202.8</v>
      </c>
      <c r="F6568" s="3">
        <v>39052</v>
      </c>
      <c r="G6568" s="2"/>
      <c r="H6568" s="2"/>
      <c r="I6568" s="2"/>
      <c r="J6568" s="2" t="s">
        <v>13904</v>
      </c>
      <c r="K6568" s="2" t="s">
        <v>5657</v>
      </c>
      <c r="L6568" s="246" t="s">
        <v>22280</v>
      </c>
    </row>
    <row r="6569" spans="1:12" ht="84" customHeight="1" x14ac:dyDescent="0.3">
      <c r="A6569" s="2">
        <v>6565</v>
      </c>
      <c r="B6569" s="66" t="s">
        <v>7668</v>
      </c>
      <c r="C6569" s="66" t="s">
        <v>7669</v>
      </c>
      <c r="D6569" s="11">
        <v>3202.8</v>
      </c>
      <c r="E6569" s="11">
        <v>3202.8</v>
      </c>
      <c r="F6569" s="3">
        <v>39052</v>
      </c>
      <c r="G6569" s="2"/>
      <c r="H6569" s="2"/>
      <c r="I6569" s="2"/>
      <c r="J6569" s="2" t="s">
        <v>13904</v>
      </c>
      <c r="K6569" s="2" t="s">
        <v>5657</v>
      </c>
      <c r="L6569" s="246" t="s">
        <v>22280</v>
      </c>
    </row>
    <row r="6570" spans="1:12" ht="84" customHeight="1" x14ac:dyDescent="0.3">
      <c r="A6570" s="2">
        <v>6566</v>
      </c>
      <c r="B6570" s="66" t="s">
        <v>7668</v>
      </c>
      <c r="C6570" s="66" t="s">
        <v>7670</v>
      </c>
      <c r="D6570" s="11">
        <v>3202.8</v>
      </c>
      <c r="E6570" s="11">
        <v>3202.8</v>
      </c>
      <c r="F6570" s="3">
        <v>39052</v>
      </c>
      <c r="G6570" s="2"/>
      <c r="H6570" s="2"/>
      <c r="I6570" s="2"/>
      <c r="J6570" s="2" t="s">
        <v>13904</v>
      </c>
      <c r="K6570" s="2" t="s">
        <v>5657</v>
      </c>
      <c r="L6570" s="246" t="s">
        <v>22280</v>
      </c>
    </row>
    <row r="6571" spans="1:12" ht="84" customHeight="1" x14ac:dyDescent="0.3">
      <c r="A6571" s="2">
        <v>6567</v>
      </c>
      <c r="B6571" s="66" t="s">
        <v>7671</v>
      </c>
      <c r="C6571" s="66" t="s">
        <v>7672</v>
      </c>
      <c r="D6571" s="11">
        <v>3202.8</v>
      </c>
      <c r="E6571" s="11">
        <v>3202.8</v>
      </c>
      <c r="F6571" s="3">
        <v>39052</v>
      </c>
      <c r="G6571" s="2"/>
      <c r="H6571" s="2"/>
      <c r="I6571" s="2"/>
      <c r="J6571" s="2" t="s">
        <v>13904</v>
      </c>
      <c r="K6571" s="2" t="s">
        <v>5657</v>
      </c>
      <c r="L6571" s="246" t="s">
        <v>22280</v>
      </c>
    </row>
    <row r="6572" spans="1:12" ht="84" customHeight="1" x14ac:dyDescent="0.3">
      <c r="A6572" s="2">
        <v>6568</v>
      </c>
      <c r="B6572" s="66" t="s">
        <v>7673</v>
      </c>
      <c r="C6572" s="66" t="s">
        <v>7674</v>
      </c>
      <c r="D6572" s="11">
        <v>3202.8</v>
      </c>
      <c r="E6572" s="11">
        <v>3202.8</v>
      </c>
      <c r="F6572" s="3">
        <v>39052</v>
      </c>
      <c r="G6572" s="2"/>
      <c r="H6572" s="2"/>
      <c r="I6572" s="2"/>
      <c r="J6572" s="2" t="s">
        <v>13904</v>
      </c>
      <c r="K6572" s="2" t="s">
        <v>5657</v>
      </c>
      <c r="L6572" s="246" t="s">
        <v>22280</v>
      </c>
    </row>
    <row r="6573" spans="1:12" ht="84" customHeight="1" x14ac:dyDescent="0.3">
      <c r="A6573" s="2">
        <v>6569</v>
      </c>
      <c r="B6573" s="66" t="s">
        <v>5947</v>
      </c>
      <c r="C6573" s="66" t="s">
        <v>7675</v>
      </c>
      <c r="D6573" s="11">
        <v>17049.54</v>
      </c>
      <c r="E6573" s="11">
        <v>17049.54</v>
      </c>
      <c r="F6573" s="3">
        <v>39052</v>
      </c>
      <c r="G6573" s="2"/>
      <c r="H6573" s="2"/>
      <c r="I6573" s="2"/>
      <c r="J6573" s="2" t="s">
        <v>13904</v>
      </c>
      <c r="K6573" s="2" t="s">
        <v>5657</v>
      </c>
      <c r="L6573" s="246" t="s">
        <v>22280</v>
      </c>
    </row>
    <row r="6574" spans="1:12" ht="84" customHeight="1" x14ac:dyDescent="0.3">
      <c r="A6574" s="2">
        <v>6570</v>
      </c>
      <c r="B6574" s="66" t="s">
        <v>5947</v>
      </c>
      <c r="C6574" s="66" t="s">
        <v>7676</v>
      </c>
      <c r="D6574" s="11">
        <v>18214.05</v>
      </c>
      <c r="E6574" s="11">
        <v>18214.05</v>
      </c>
      <c r="F6574" s="3">
        <v>39052</v>
      </c>
      <c r="G6574" s="2"/>
      <c r="H6574" s="2"/>
      <c r="I6574" s="2"/>
      <c r="J6574" s="2" t="s">
        <v>13904</v>
      </c>
      <c r="K6574" s="2" t="s">
        <v>5657</v>
      </c>
      <c r="L6574" s="246" t="s">
        <v>22280</v>
      </c>
    </row>
    <row r="6575" spans="1:12" ht="84" customHeight="1" x14ac:dyDescent="0.3">
      <c r="A6575" s="2">
        <v>6571</v>
      </c>
      <c r="B6575" s="66" t="s">
        <v>5947</v>
      </c>
      <c r="C6575" s="66" t="s">
        <v>7677</v>
      </c>
      <c r="D6575" s="11">
        <v>17049.54</v>
      </c>
      <c r="E6575" s="11">
        <v>17049.54</v>
      </c>
      <c r="F6575" s="3">
        <v>39052</v>
      </c>
      <c r="G6575" s="2"/>
      <c r="H6575" s="2"/>
      <c r="I6575" s="2"/>
      <c r="J6575" s="2" t="s">
        <v>13904</v>
      </c>
      <c r="K6575" s="2" t="s">
        <v>5657</v>
      </c>
      <c r="L6575" s="246" t="s">
        <v>22280</v>
      </c>
    </row>
    <row r="6576" spans="1:12" ht="84" customHeight="1" x14ac:dyDescent="0.3">
      <c r="A6576" s="2">
        <v>6572</v>
      </c>
      <c r="B6576" s="66" t="s">
        <v>7678</v>
      </c>
      <c r="C6576" s="66" t="s">
        <v>7679</v>
      </c>
      <c r="D6576" s="11">
        <v>16152.2</v>
      </c>
      <c r="E6576" s="11">
        <v>16152.2</v>
      </c>
      <c r="F6576" s="3">
        <v>39052</v>
      </c>
      <c r="G6576" s="2"/>
      <c r="H6576" s="2"/>
      <c r="I6576" s="2"/>
      <c r="J6576" s="2" t="s">
        <v>13904</v>
      </c>
      <c r="K6576" s="2" t="s">
        <v>5657</v>
      </c>
      <c r="L6576" s="246" t="s">
        <v>22280</v>
      </c>
    </row>
    <row r="6577" spans="1:12" ht="84" customHeight="1" x14ac:dyDescent="0.3">
      <c r="A6577" s="2">
        <v>6573</v>
      </c>
      <c r="B6577" s="66" t="s">
        <v>5949</v>
      </c>
      <c r="C6577" s="66" t="s">
        <v>7680</v>
      </c>
      <c r="D6577" s="11">
        <v>15009.52</v>
      </c>
      <c r="E6577" s="11">
        <v>15009.52</v>
      </c>
      <c r="F6577" s="3">
        <v>39052</v>
      </c>
      <c r="G6577" s="2"/>
      <c r="H6577" s="2"/>
      <c r="I6577" s="2"/>
      <c r="J6577" s="2" t="s">
        <v>13904</v>
      </c>
      <c r="K6577" s="2" t="s">
        <v>5657</v>
      </c>
      <c r="L6577" s="246" t="s">
        <v>22280</v>
      </c>
    </row>
    <row r="6578" spans="1:12" ht="84" customHeight="1" x14ac:dyDescent="0.3">
      <c r="A6578" s="2">
        <v>6574</v>
      </c>
      <c r="B6578" s="66" t="s">
        <v>7681</v>
      </c>
      <c r="C6578" s="66" t="s">
        <v>7682</v>
      </c>
      <c r="D6578" s="11">
        <v>4704.63</v>
      </c>
      <c r="E6578" s="11">
        <v>4704.63</v>
      </c>
      <c r="F6578" s="3">
        <v>39052</v>
      </c>
      <c r="G6578" s="2"/>
      <c r="H6578" s="2"/>
      <c r="I6578" s="2"/>
      <c r="J6578" s="2" t="s">
        <v>13904</v>
      </c>
      <c r="K6578" s="2" t="s">
        <v>5657</v>
      </c>
      <c r="L6578" s="246" t="s">
        <v>22280</v>
      </c>
    </row>
    <row r="6579" spans="1:12" ht="84" customHeight="1" x14ac:dyDescent="0.3">
      <c r="A6579" s="2">
        <v>6575</v>
      </c>
      <c r="B6579" s="66" t="s">
        <v>7681</v>
      </c>
      <c r="C6579" s="66" t="s">
        <v>7683</v>
      </c>
      <c r="D6579" s="11">
        <v>4704.63</v>
      </c>
      <c r="E6579" s="11">
        <v>4704.63</v>
      </c>
      <c r="F6579" s="3">
        <v>39052</v>
      </c>
      <c r="G6579" s="2"/>
      <c r="H6579" s="2"/>
      <c r="I6579" s="2"/>
      <c r="J6579" s="2" t="s">
        <v>13904</v>
      </c>
      <c r="K6579" s="2" t="s">
        <v>5657</v>
      </c>
      <c r="L6579" s="246" t="s">
        <v>22280</v>
      </c>
    </row>
    <row r="6580" spans="1:12" ht="84" customHeight="1" x14ac:dyDescent="0.3">
      <c r="A6580" s="2">
        <v>6576</v>
      </c>
      <c r="B6580" s="66" t="s">
        <v>7684</v>
      </c>
      <c r="C6580" s="66" t="s">
        <v>7685</v>
      </c>
      <c r="D6580" s="11">
        <v>8952.3799999999992</v>
      </c>
      <c r="E6580" s="11">
        <v>8952.3799999999992</v>
      </c>
      <c r="F6580" s="3">
        <v>39052</v>
      </c>
      <c r="G6580" s="2"/>
      <c r="H6580" s="2"/>
      <c r="I6580" s="2"/>
      <c r="J6580" s="2" t="s">
        <v>13904</v>
      </c>
      <c r="K6580" s="2" t="s">
        <v>5657</v>
      </c>
      <c r="L6580" s="246" t="s">
        <v>22280</v>
      </c>
    </row>
    <row r="6581" spans="1:12" ht="84" customHeight="1" x14ac:dyDescent="0.3">
      <c r="A6581" s="2">
        <v>6577</v>
      </c>
      <c r="B6581" s="66" t="s">
        <v>7686</v>
      </c>
      <c r="C6581" s="66" t="s">
        <v>7687</v>
      </c>
      <c r="D6581" s="11">
        <v>18017</v>
      </c>
      <c r="E6581" s="11">
        <v>18017</v>
      </c>
      <c r="F6581" s="3">
        <v>39052</v>
      </c>
      <c r="G6581" s="2"/>
      <c r="H6581" s="2"/>
      <c r="I6581" s="2"/>
      <c r="J6581" s="2" t="s">
        <v>13904</v>
      </c>
      <c r="K6581" s="2" t="s">
        <v>5657</v>
      </c>
      <c r="L6581" s="246" t="s">
        <v>22280</v>
      </c>
    </row>
    <row r="6582" spans="1:12" ht="84" customHeight="1" x14ac:dyDescent="0.3">
      <c r="A6582" s="2">
        <v>6578</v>
      </c>
      <c r="B6582" s="66" t="s">
        <v>7688</v>
      </c>
      <c r="C6582" s="66" t="s">
        <v>7689</v>
      </c>
      <c r="D6582" s="11">
        <v>18214.05</v>
      </c>
      <c r="E6582" s="11">
        <v>18214.05</v>
      </c>
      <c r="F6582" s="3">
        <v>39052</v>
      </c>
      <c r="G6582" s="2"/>
      <c r="H6582" s="2"/>
      <c r="I6582" s="2"/>
      <c r="J6582" s="2" t="s">
        <v>13904</v>
      </c>
      <c r="K6582" s="2" t="s">
        <v>5657</v>
      </c>
      <c r="L6582" s="246" t="s">
        <v>22280</v>
      </c>
    </row>
    <row r="6583" spans="1:12" ht="84" customHeight="1" x14ac:dyDescent="0.3">
      <c r="A6583" s="2">
        <v>6579</v>
      </c>
      <c r="B6583" s="66" t="s">
        <v>7688</v>
      </c>
      <c r="C6583" s="66" t="s">
        <v>7690</v>
      </c>
      <c r="D6583" s="11">
        <v>18214.05</v>
      </c>
      <c r="E6583" s="11">
        <v>18214.05</v>
      </c>
      <c r="F6583" s="3">
        <v>39052</v>
      </c>
      <c r="G6583" s="2"/>
      <c r="H6583" s="2"/>
      <c r="I6583" s="2"/>
      <c r="J6583" s="2" t="s">
        <v>13904</v>
      </c>
      <c r="K6583" s="2" t="s">
        <v>5657</v>
      </c>
      <c r="L6583" s="246" t="s">
        <v>22280</v>
      </c>
    </row>
    <row r="6584" spans="1:12" ht="84" customHeight="1" x14ac:dyDescent="0.3">
      <c r="A6584" s="2">
        <v>6580</v>
      </c>
      <c r="B6584" s="66" t="s">
        <v>7691</v>
      </c>
      <c r="C6584" s="66" t="s">
        <v>7692</v>
      </c>
      <c r="D6584" s="11">
        <v>14965.83</v>
      </c>
      <c r="E6584" s="11">
        <v>14965.83</v>
      </c>
      <c r="F6584" s="3">
        <v>39052</v>
      </c>
      <c r="G6584" s="2"/>
      <c r="H6584" s="2"/>
      <c r="I6584" s="2"/>
      <c r="J6584" s="2" t="s">
        <v>13904</v>
      </c>
      <c r="K6584" s="2" t="s">
        <v>5657</v>
      </c>
      <c r="L6584" s="246" t="s">
        <v>22280</v>
      </c>
    </row>
    <row r="6585" spans="1:12" ht="84" customHeight="1" x14ac:dyDescent="0.3">
      <c r="A6585" s="2">
        <v>6581</v>
      </c>
      <c r="B6585" s="66" t="s">
        <v>7693</v>
      </c>
      <c r="C6585" s="66" t="s">
        <v>7694</v>
      </c>
      <c r="D6585" s="11">
        <v>7376.06</v>
      </c>
      <c r="E6585" s="11">
        <v>7376.06</v>
      </c>
      <c r="F6585" s="3">
        <v>39052</v>
      </c>
      <c r="G6585" s="2"/>
      <c r="H6585" s="2"/>
      <c r="I6585" s="2"/>
      <c r="J6585" s="2" t="s">
        <v>13904</v>
      </c>
      <c r="K6585" s="2" t="s">
        <v>5657</v>
      </c>
      <c r="L6585" s="246" t="s">
        <v>22280</v>
      </c>
    </row>
    <row r="6586" spans="1:12" ht="84" customHeight="1" x14ac:dyDescent="0.3">
      <c r="A6586" s="2">
        <v>6582</v>
      </c>
      <c r="B6586" s="66" t="s">
        <v>7695</v>
      </c>
      <c r="C6586" s="66" t="s">
        <v>7696</v>
      </c>
      <c r="D6586" s="11">
        <v>7376.06</v>
      </c>
      <c r="E6586" s="11">
        <v>7376.06</v>
      </c>
      <c r="F6586" s="3">
        <v>39052</v>
      </c>
      <c r="G6586" s="2"/>
      <c r="H6586" s="2"/>
      <c r="I6586" s="2"/>
      <c r="J6586" s="2" t="s">
        <v>13904</v>
      </c>
      <c r="K6586" s="2" t="s">
        <v>5657</v>
      </c>
      <c r="L6586" s="246" t="s">
        <v>22280</v>
      </c>
    </row>
    <row r="6587" spans="1:12" ht="84" customHeight="1" x14ac:dyDescent="0.3">
      <c r="A6587" s="2">
        <v>6583</v>
      </c>
      <c r="B6587" s="66" t="s">
        <v>7697</v>
      </c>
      <c r="C6587" s="66" t="s">
        <v>7698</v>
      </c>
      <c r="D6587" s="11">
        <v>7376.06</v>
      </c>
      <c r="E6587" s="11">
        <v>7376.06</v>
      </c>
      <c r="F6587" s="3">
        <v>39052</v>
      </c>
      <c r="G6587" s="2"/>
      <c r="H6587" s="2"/>
      <c r="I6587" s="2"/>
      <c r="J6587" s="2" t="s">
        <v>13904</v>
      </c>
      <c r="K6587" s="2" t="s">
        <v>5657</v>
      </c>
      <c r="L6587" s="246" t="s">
        <v>22280</v>
      </c>
    </row>
    <row r="6588" spans="1:12" ht="84" customHeight="1" x14ac:dyDescent="0.3">
      <c r="A6588" s="2">
        <v>6584</v>
      </c>
      <c r="B6588" s="66" t="s">
        <v>7699</v>
      </c>
      <c r="C6588" s="66" t="s">
        <v>7700</v>
      </c>
      <c r="D6588" s="11">
        <v>7376.06</v>
      </c>
      <c r="E6588" s="11">
        <v>7376.06</v>
      </c>
      <c r="F6588" s="3">
        <v>39052</v>
      </c>
      <c r="G6588" s="2"/>
      <c r="H6588" s="2"/>
      <c r="I6588" s="2"/>
      <c r="J6588" s="2" t="s">
        <v>13904</v>
      </c>
      <c r="K6588" s="2" t="s">
        <v>5657</v>
      </c>
      <c r="L6588" s="246" t="s">
        <v>22280</v>
      </c>
    </row>
    <row r="6589" spans="1:12" ht="84" customHeight="1" x14ac:dyDescent="0.3">
      <c r="A6589" s="2">
        <v>6585</v>
      </c>
      <c r="B6589" s="66" t="s">
        <v>7701</v>
      </c>
      <c r="C6589" s="66" t="s">
        <v>7702</v>
      </c>
      <c r="D6589" s="11">
        <v>7376.06</v>
      </c>
      <c r="E6589" s="11">
        <v>7376.06</v>
      </c>
      <c r="F6589" s="3">
        <v>39052</v>
      </c>
      <c r="G6589" s="2"/>
      <c r="H6589" s="2"/>
      <c r="I6589" s="2"/>
      <c r="J6589" s="2" t="s">
        <v>13904</v>
      </c>
      <c r="K6589" s="2" t="s">
        <v>5657</v>
      </c>
      <c r="L6589" s="246" t="s">
        <v>22280</v>
      </c>
    </row>
    <row r="6590" spans="1:12" ht="84" customHeight="1" x14ac:dyDescent="0.3">
      <c r="A6590" s="2">
        <v>6586</v>
      </c>
      <c r="B6590" s="66" t="s">
        <v>7703</v>
      </c>
      <c r="C6590" s="66" t="s">
        <v>7704</v>
      </c>
      <c r="D6590" s="11">
        <v>8846.4599999999991</v>
      </c>
      <c r="E6590" s="11">
        <v>8846.4599999999991</v>
      </c>
      <c r="F6590" s="3">
        <v>39052</v>
      </c>
      <c r="G6590" s="2"/>
      <c r="H6590" s="2"/>
      <c r="I6590" s="2"/>
      <c r="J6590" s="2" t="s">
        <v>13904</v>
      </c>
      <c r="K6590" s="2" t="s">
        <v>5657</v>
      </c>
      <c r="L6590" s="246" t="s">
        <v>22280</v>
      </c>
    </row>
    <row r="6591" spans="1:12" ht="84" customHeight="1" x14ac:dyDescent="0.3">
      <c r="A6591" s="2">
        <v>6587</v>
      </c>
      <c r="B6591" s="66" t="s">
        <v>7703</v>
      </c>
      <c r="C6591" s="66" t="s">
        <v>7705</v>
      </c>
      <c r="D6591" s="11">
        <v>7140</v>
      </c>
      <c r="E6591" s="11">
        <v>7140</v>
      </c>
      <c r="F6591" s="3">
        <v>39052</v>
      </c>
      <c r="G6591" s="2"/>
      <c r="H6591" s="2"/>
      <c r="I6591" s="2"/>
      <c r="J6591" s="2" t="s">
        <v>13904</v>
      </c>
      <c r="K6591" s="2" t="s">
        <v>5657</v>
      </c>
      <c r="L6591" s="246" t="s">
        <v>22280</v>
      </c>
    </row>
    <row r="6592" spans="1:12" ht="84" customHeight="1" x14ac:dyDescent="0.3">
      <c r="A6592" s="2">
        <v>6588</v>
      </c>
      <c r="B6592" s="66" t="s">
        <v>7703</v>
      </c>
      <c r="C6592" s="66" t="s">
        <v>7706</v>
      </c>
      <c r="D6592" s="11">
        <v>7140</v>
      </c>
      <c r="E6592" s="11">
        <v>7140</v>
      </c>
      <c r="F6592" s="3">
        <v>39052</v>
      </c>
      <c r="G6592" s="2"/>
      <c r="H6592" s="2"/>
      <c r="I6592" s="2"/>
      <c r="J6592" s="2" t="s">
        <v>13904</v>
      </c>
      <c r="K6592" s="2" t="s">
        <v>5657</v>
      </c>
      <c r="L6592" s="246" t="s">
        <v>22280</v>
      </c>
    </row>
    <row r="6593" spans="1:12" ht="84" customHeight="1" x14ac:dyDescent="0.3">
      <c r="A6593" s="2">
        <v>6589</v>
      </c>
      <c r="B6593" s="66" t="s">
        <v>7707</v>
      </c>
      <c r="C6593" s="66" t="s">
        <v>7708</v>
      </c>
      <c r="D6593" s="11">
        <v>4341.32</v>
      </c>
      <c r="E6593" s="11">
        <v>4341.32</v>
      </c>
      <c r="F6593" s="3">
        <v>39052</v>
      </c>
      <c r="G6593" s="2"/>
      <c r="H6593" s="2"/>
      <c r="I6593" s="2"/>
      <c r="J6593" s="2" t="s">
        <v>13904</v>
      </c>
      <c r="K6593" s="2" t="s">
        <v>5657</v>
      </c>
      <c r="L6593" s="246" t="s">
        <v>22280</v>
      </c>
    </row>
    <row r="6594" spans="1:12" ht="84" customHeight="1" x14ac:dyDescent="0.3">
      <c r="A6594" s="2">
        <v>6590</v>
      </c>
      <c r="B6594" s="66" t="s">
        <v>251</v>
      </c>
      <c r="C6594" s="66" t="s">
        <v>7709</v>
      </c>
      <c r="D6594" s="11">
        <v>4341.32</v>
      </c>
      <c r="E6594" s="11">
        <v>4341.32</v>
      </c>
      <c r="F6594" s="3">
        <v>39052</v>
      </c>
      <c r="G6594" s="2"/>
      <c r="H6594" s="2"/>
      <c r="I6594" s="2"/>
      <c r="J6594" s="2" t="s">
        <v>13904</v>
      </c>
      <c r="K6594" s="2" t="s">
        <v>5657</v>
      </c>
      <c r="L6594" s="246" t="s">
        <v>22280</v>
      </c>
    </row>
    <row r="6595" spans="1:12" ht="84" customHeight="1" x14ac:dyDescent="0.3">
      <c r="A6595" s="2">
        <v>6591</v>
      </c>
      <c r="B6595" s="66" t="s">
        <v>251</v>
      </c>
      <c r="C6595" s="66" t="s">
        <v>7710</v>
      </c>
      <c r="D6595" s="11">
        <v>5125.25</v>
      </c>
      <c r="E6595" s="11">
        <v>5125.25</v>
      </c>
      <c r="F6595" s="3">
        <v>39052</v>
      </c>
      <c r="G6595" s="2"/>
      <c r="H6595" s="2"/>
      <c r="I6595" s="2"/>
      <c r="J6595" s="2" t="s">
        <v>13904</v>
      </c>
      <c r="K6595" s="2" t="s">
        <v>5657</v>
      </c>
      <c r="L6595" s="246" t="s">
        <v>22280</v>
      </c>
    </row>
    <row r="6596" spans="1:12" ht="84" customHeight="1" x14ac:dyDescent="0.3">
      <c r="A6596" s="2">
        <v>6592</v>
      </c>
      <c r="B6596" s="66" t="s">
        <v>7711</v>
      </c>
      <c r="C6596" s="66" t="s">
        <v>7712</v>
      </c>
      <c r="D6596" s="11">
        <v>15014.4</v>
      </c>
      <c r="E6596" s="11">
        <v>15014.4</v>
      </c>
      <c r="F6596" s="3">
        <v>39052</v>
      </c>
      <c r="G6596" s="2"/>
      <c r="H6596" s="2"/>
      <c r="I6596" s="2"/>
      <c r="J6596" s="2" t="s">
        <v>13904</v>
      </c>
      <c r="K6596" s="2" t="s">
        <v>5657</v>
      </c>
      <c r="L6596" s="246" t="s">
        <v>22280</v>
      </c>
    </row>
    <row r="6597" spans="1:12" ht="84" customHeight="1" x14ac:dyDescent="0.3">
      <c r="A6597" s="2">
        <v>6593</v>
      </c>
      <c r="B6597" s="66" t="s">
        <v>264</v>
      </c>
      <c r="C6597" s="66" t="s">
        <v>7713</v>
      </c>
      <c r="D6597" s="11">
        <v>3804.11</v>
      </c>
      <c r="E6597" s="11">
        <v>3804.11</v>
      </c>
      <c r="F6597" s="3">
        <v>39052</v>
      </c>
      <c r="G6597" s="2"/>
      <c r="H6597" s="2"/>
      <c r="I6597" s="2"/>
      <c r="J6597" s="2" t="s">
        <v>13904</v>
      </c>
      <c r="K6597" s="2" t="s">
        <v>5657</v>
      </c>
      <c r="L6597" s="246" t="s">
        <v>22280</v>
      </c>
    </row>
    <row r="6598" spans="1:12" ht="84" customHeight="1" x14ac:dyDescent="0.3">
      <c r="A6598" s="2">
        <v>6594</v>
      </c>
      <c r="B6598" s="66" t="s">
        <v>264</v>
      </c>
      <c r="C6598" s="66" t="s">
        <v>7714</v>
      </c>
      <c r="D6598" s="11">
        <v>3804.11</v>
      </c>
      <c r="E6598" s="11">
        <v>3804.11</v>
      </c>
      <c r="F6598" s="3">
        <v>39052</v>
      </c>
      <c r="G6598" s="2"/>
      <c r="H6598" s="2"/>
      <c r="I6598" s="2"/>
      <c r="J6598" s="2" t="s">
        <v>13904</v>
      </c>
      <c r="K6598" s="2" t="s">
        <v>5657</v>
      </c>
      <c r="L6598" s="246" t="s">
        <v>22280</v>
      </c>
    </row>
    <row r="6599" spans="1:12" ht="84" customHeight="1" x14ac:dyDescent="0.3">
      <c r="A6599" s="2">
        <v>6595</v>
      </c>
      <c r="B6599" s="66" t="s">
        <v>264</v>
      </c>
      <c r="C6599" s="66" t="s">
        <v>7715</v>
      </c>
      <c r="D6599" s="11">
        <v>3804.11</v>
      </c>
      <c r="E6599" s="11">
        <v>3804.11</v>
      </c>
      <c r="F6599" s="3">
        <v>39052</v>
      </c>
      <c r="G6599" s="2"/>
      <c r="H6599" s="2"/>
      <c r="I6599" s="2"/>
      <c r="J6599" s="2" t="s">
        <v>13904</v>
      </c>
      <c r="K6599" s="2" t="s">
        <v>5657</v>
      </c>
      <c r="L6599" s="246" t="s">
        <v>22280</v>
      </c>
    </row>
    <row r="6600" spans="1:12" ht="84" customHeight="1" x14ac:dyDescent="0.3">
      <c r="A6600" s="2">
        <v>6596</v>
      </c>
      <c r="B6600" s="66" t="s">
        <v>264</v>
      </c>
      <c r="C6600" s="66" t="s">
        <v>7716</v>
      </c>
      <c r="D6600" s="11">
        <v>3804.11</v>
      </c>
      <c r="E6600" s="11">
        <v>3804.11</v>
      </c>
      <c r="F6600" s="3">
        <v>39052</v>
      </c>
      <c r="G6600" s="2"/>
      <c r="H6600" s="2"/>
      <c r="I6600" s="2"/>
      <c r="J6600" s="2" t="s">
        <v>13904</v>
      </c>
      <c r="K6600" s="2" t="s">
        <v>5657</v>
      </c>
      <c r="L6600" s="246" t="s">
        <v>22280</v>
      </c>
    </row>
    <row r="6601" spans="1:12" ht="84" customHeight="1" x14ac:dyDescent="0.3">
      <c r="A6601" s="2">
        <v>6597</v>
      </c>
      <c r="B6601" s="66" t="s">
        <v>264</v>
      </c>
      <c r="C6601" s="66" t="s">
        <v>7717</v>
      </c>
      <c r="D6601" s="11">
        <v>3804.11</v>
      </c>
      <c r="E6601" s="11">
        <v>3804.11</v>
      </c>
      <c r="F6601" s="3">
        <v>39052</v>
      </c>
      <c r="G6601" s="2"/>
      <c r="H6601" s="2"/>
      <c r="I6601" s="2"/>
      <c r="J6601" s="2" t="s">
        <v>13904</v>
      </c>
      <c r="K6601" s="2" t="s">
        <v>5657</v>
      </c>
      <c r="L6601" s="246" t="s">
        <v>22280</v>
      </c>
    </row>
    <row r="6602" spans="1:12" ht="84" customHeight="1" x14ac:dyDescent="0.3">
      <c r="A6602" s="2">
        <v>6598</v>
      </c>
      <c r="B6602" s="66" t="s">
        <v>264</v>
      </c>
      <c r="C6602" s="66" t="s">
        <v>7718</v>
      </c>
      <c r="D6602" s="11">
        <v>3804.06</v>
      </c>
      <c r="E6602" s="11">
        <v>3804.06</v>
      </c>
      <c r="F6602" s="3">
        <v>39052</v>
      </c>
      <c r="G6602" s="2"/>
      <c r="H6602" s="2"/>
      <c r="I6602" s="2"/>
      <c r="J6602" s="2" t="s">
        <v>13904</v>
      </c>
      <c r="K6602" s="2" t="s">
        <v>5657</v>
      </c>
      <c r="L6602" s="246" t="s">
        <v>22280</v>
      </c>
    </row>
    <row r="6603" spans="1:12" ht="84" customHeight="1" x14ac:dyDescent="0.3">
      <c r="A6603" s="2">
        <v>6599</v>
      </c>
      <c r="B6603" s="66" t="s">
        <v>264</v>
      </c>
      <c r="C6603" s="66" t="s">
        <v>7719</v>
      </c>
      <c r="D6603" s="11">
        <v>3804.11</v>
      </c>
      <c r="E6603" s="11">
        <v>3804.11</v>
      </c>
      <c r="F6603" s="3">
        <v>39052</v>
      </c>
      <c r="G6603" s="2"/>
      <c r="H6603" s="2"/>
      <c r="I6603" s="2"/>
      <c r="J6603" s="2" t="s">
        <v>13904</v>
      </c>
      <c r="K6603" s="2" t="s">
        <v>5657</v>
      </c>
      <c r="L6603" s="246" t="s">
        <v>22280</v>
      </c>
    </row>
    <row r="6604" spans="1:12" ht="84" customHeight="1" x14ac:dyDescent="0.3">
      <c r="A6604" s="2">
        <v>6600</v>
      </c>
      <c r="B6604" s="66" t="s">
        <v>264</v>
      </c>
      <c r="C6604" s="66" t="s">
        <v>7720</v>
      </c>
      <c r="D6604" s="11">
        <v>3804.11</v>
      </c>
      <c r="E6604" s="11">
        <v>3804.11</v>
      </c>
      <c r="F6604" s="3">
        <v>39052</v>
      </c>
      <c r="G6604" s="2"/>
      <c r="H6604" s="2"/>
      <c r="I6604" s="2"/>
      <c r="J6604" s="2" t="s">
        <v>13904</v>
      </c>
      <c r="K6604" s="2" t="s">
        <v>5657</v>
      </c>
      <c r="L6604" s="246" t="s">
        <v>22280</v>
      </c>
    </row>
    <row r="6605" spans="1:12" ht="84" customHeight="1" x14ac:dyDescent="0.3">
      <c r="A6605" s="2">
        <v>6601</v>
      </c>
      <c r="B6605" s="66" t="s">
        <v>264</v>
      </c>
      <c r="C6605" s="66" t="s">
        <v>7721</v>
      </c>
      <c r="D6605" s="11">
        <v>3804.11</v>
      </c>
      <c r="E6605" s="11">
        <v>3804.11</v>
      </c>
      <c r="F6605" s="3">
        <v>39052</v>
      </c>
      <c r="G6605" s="2"/>
      <c r="H6605" s="2"/>
      <c r="I6605" s="2"/>
      <c r="J6605" s="2" t="s">
        <v>13904</v>
      </c>
      <c r="K6605" s="2" t="s">
        <v>5657</v>
      </c>
      <c r="L6605" s="246" t="s">
        <v>22280</v>
      </c>
    </row>
    <row r="6606" spans="1:12" ht="84" customHeight="1" x14ac:dyDescent="0.3">
      <c r="A6606" s="2">
        <v>6602</v>
      </c>
      <c r="B6606" s="66" t="s">
        <v>7722</v>
      </c>
      <c r="C6606" s="66" t="s">
        <v>7723</v>
      </c>
      <c r="D6606" s="11">
        <v>3804.11</v>
      </c>
      <c r="E6606" s="11">
        <v>3804.11</v>
      </c>
      <c r="F6606" s="3">
        <v>39052</v>
      </c>
      <c r="G6606" s="2"/>
      <c r="H6606" s="2"/>
      <c r="I6606" s="2"/>
      <c r="J6606" s="2" t="s">
        <v>13904</v>
      </c>
      <c r="K6606" s="2" t="s">
        <v>5657</v>
      </c>
      <c r="L6606" s="246" t="s">
        <v>22280</v>
      </c>
    </row>
    <row r="6607" spans="1:12" ht="84" customHeight="1" x14ac:dyDescent="0.3">
      <c r="A6607" s="2">
        <v>6603</v>
      </c>
      <c r="B6607" s="66" t="s">
        <v>7724</v>
      </c>
      <c r="C6607" s="66" t="s">
        <v>7725</v>
      </c>
      <c r="D6607" s="11">
        <v>3804.11</v>
      </c>
      <c r="E6607" s="11">
        <v>3804.11</v>
      </c>
      <c r="F6607" s="3">
        <v>39052</v>
      </c>
      <c r="G6607" s="2"/>
      <c r="H6607" s="2"/>
      <c r="I6607" s="2"/>
      <c r="J6607" s="2" t="s">
        <v>13904</v>
      </c>
      <c r="K6607" s="2" t="s">
        <v>5657</v>
      </c>
      <c r="L6607" s="246" t="s">
        <v>22280</v>
      </c>
    </row>
    <row r="6608" spans="1:12" ht="84" customHeight="1" x14ac:dyDescent="0.3">
      <c r="A6608" s="2">
        <v>6604</v>
      </c>
      <c r="B6608" s="66" t="s">
        <v>7726</v>
      </c>
      <c r="C6608" s="66" t="s">
        <v>7727</v>
      </c>
      <c r="D6608" s="11">
        <v>3804.11</v>
      </c>
      <c r="E6608" s="11">
        <v>3804.11</v>
      </c>
      <c r="F6608" s="3">
        <v>39058</v>
      </c>
      <c r="G6608" s="2"/>
      <c r="H6608" s="2"/>
      <c r="I6608" s="2"/>
      <c r="J6608" s="2" t="s">
        <v>13904</v>
      </c>
      <c r="K6608" s="2" t="s">
        <v>5657</v>
      </c>
      <c r="L6608" s="246" t="s">
        <v>22280</v>
      </c>
    </row>
    <row r="6609" spans="1:12" ht="84" customHeight="1" x14ac:dyDescent="0.3">
      <c r="A6609" s="2">
        <v>6605</v>
      </c>
      <c r="B6609" s="66" t="s">
        <v>7728</v>
      </c>
      <c r="C6609" s="66" t="s">
        <v>7729</v>
      </c>
      <c r="D6609" s="11">
        <v>4651.2</v>
      </c>
      <c r="E6609" s="11">
        <v>4651.2</v>
      </c>
      <c r="F6609" s="3">
        <v>39052</v>
      </c>
      <c r="G6609" s="2"/>
      <c r="H6609" s="2"/>
      <c r="I6609" s="2"/>
      <c r="J6609" s="2" t="s">
        <v>13904</v>
      </c>
      <c r="K6609" s="2" t="s">
        <v>5657</v>
      </c>
      <c r="L6609" s="246" t="s">
        <v>22280</v>
      </c>
    </row>
    <row r="6610" spans="1:12" ht="84" customHeight="1" x14ac:dyDescent="0.3">
      <c r="A6610" s="2">
        <v>6606</v>
      </c>
      <c r="B6610" s="66" t="s">
        <v>7730</v>
      </c>
      <c r="C6610" s="66" t="s">
        <v>7731</v>
      </c>
      <c r="D6610" s="11">
        <v>19249.830000000002</v>
      </c>
      <c r="E6610" s="11">
        <v>19249.830000000002</v>
      </c>
      <c r="F6610" s="3">
        <v>39052</v>
      </c>
      <c r="G6610" s="2"/>
      <c r="H6610" s="2"/>
      <c r="I6610" s="2"/>
      <c r="J6610" s="2" t="s">
        <v>13904</v>
      </c>
      <c r="K6610" s="2" t="s">
        <v>5657</v>
      </c>
      <c r="L6610" s="246" t="s">
        <v>22280</v>
      </c>
    </row>
    <row r="6611" spans="1:12" ht="84" customHeight="1" x14ac:dyDescent="0.3">
      <c r="A6611" s="2">
        <v>6607</v>
      </c>
      <c r="B6611" s="66" t="s">
        <v>7732</v>
      </c>
      <c r="C6611" s="66" t="s">
        <v>3509</v>
      </c>
      <c r="D6611" s="11">
        <v>7376.06</v>
      </c>
      <c r="E6611" s="11">
        <v>7376.06</v>
      </c>
      <c r="F6611" s="3">
        <v>39052</v>
      </c>
      <c r="G6611" s="2"/>
      <c r="H6611" s="2"/>
      <c r="I6611" s="2"/>
      <c r="J6611" s="2" t="s">
        <v>13904</v>
      </c>
      <c r="K6611" s="2" t="s">
        <v>5657</v>
      </c>
      <c r="L6611" s="246" t="s">
        <v>22280</v>
      </c>
    </row>
    <row r="6612" spans="1:12" ht="84" customHeight="1" x14ac:dyDescent="0.3">
      <c r="A6612" s="2">
        <v>6608</v>
      </c>
      <c r="B6612" s="66" t="s">
        <v>7733</v>
      </c>
      <c r="C6612" s="66" t="s">
        <v>7734</v>
      </c>
      <c r="D6612" s="11">
        <v>3111.56</v>
      </c>
      <c r="E6612" s="11">
        <v>3111.56</v>
      </c>
      <c r="F6612" s="3">
        <v>39052</v>
      </c>
      <c r="G6612" s="2"/>
      <c r="H6612" s="2"/>
      <c r="I6612" s="2"/>
      <c r="J6612" s="2" t="s">
        <v>13904</v>
      </c>
      <c r="K6612" s="2" t="s">
        <v>5657</v>
      </c>
      <c r="L6612" s="246" t="s">
        <v>22280</v>
      </c>
    </row>
    <row r="6613" spans="1:12" ht="84" customHeight="1" x14ac:dyDescent="0.3">
      <c r="A6613" s="2">
        <v>6609</v>
      </c>
      <c r="B6613" s="66" t="s">
        <v>7733</v>
      </c>
      <c r="C6613" s="66" t="s">
        <v>7735</v>
      </c>
      <c r="D6613" s="11">
        <v>3111.56</v>
      </c>
      <c r="E6613" s="11">
        <v>3111.56</v>
      </c>
      <c r="F6613" s="3">
        <v>39052</v>
      </c>
      <c r="G6613" s="2"/>
      <c r="H6613" s="2"/>
      <c r="I6613" s="2"/>
      <c r="J6613" s="2" t="s">
        <v>13904</v>
      </c>
      <c r="K6613" s="2" t="s">
        <v>5657</v>
      </c>
      <c r="L6613" s="246" t="s">
        <v>22280</v>
      </c>
    </row>
    <row r="6614" spans="1:12" ht="84" customHeight="1" x14ac:dyDescent="0.3">
      <c r="A6614" s="2">
        <v>6610</v>
      </c>
      <c r="B6614" s="66" t="s">
        <v>7733</v>
      </c>
      <c r="C6614" s="66" t="s">
        <v>7736</v>
      </c>
      <c r="D6614" s="11">
        <v>3111.56</v>
      </c>
      <c r="E6614" s="11">
        <v>3111.56</v>
      </c>
      <c r="F6614" s="3">
        <v>39052</v>
      </c>
      <c r="G6614" s="2"/>
      <c r="H6614" s="2"/>
      <c r="I6614" s="2"/>
      <c r="J6614" s="2" t="s">
        <v>13904</v>
      </c>
      <c r="K6614" s="2" t="s">
        <v>5657</v>
      </c>
      <c r="L6614" s="246" t="s">
        <v>22280</v>
      </c>
    </row>
    <row r="6615" spans="1:12" ht="84" customHeight="1" x14ac:dyDescent="0.3">
      <c r="A6615" s="2">
        <v>6611</v>
      </c>
      <c r="B6615" s="66" t="s">
        <v>7737</v>
      </c>
      <c r="C6615" s="66" t="s">
        <v>7738</v>
      </c>
      <c r="D6615" s="11">
        <v>3111.52</v>
      </c>
      <c r="E6615" s="11">
        <v>3111.52</v>
      </c>
      <c r="F6615" s="3">
        <v>39052</v>
      </c>
      <c r="G6615" s="2"/>
      <c r="H6615" s="2"/>
      <c r="I6615" s="2"/>
      <c r="J6615" s="2" t="s">
        <v>13904</v>
      </c>
      <c r="K6615" s="2" t="s">
        <v>5657</v>
      </c>
      <c r="L6615" s="246" t="s">
        <v>22280</v>
      </c>
    </row>
    <row r="6616" spans="1:12" ht="84" customHeight="1" x14ac:dyDescent="0.3">
      <c r="A6616" s="2">
        <v>6612</v>
      </c>
      <c r="B6616" s="66" t="s">
        <v>7739</v>
      </c>
      <c r="C6616" s="66" t="s">
        <v>7740</v>
      </c>
      <c r="D6616" s="11">
        <v>3111.53</v>
      </c>
      <c r="E6616" s="11">
        <v>3111.53</v>
      </c>
      <c r="F6616" s="3">
        <v>39052</v>
      </c>
      <c r="G6616" s="2"/>
      <c r="H6616" s="2"/>
      <c r="I6616" s="2"/>
      <c r="J6616" s="2" t="s">
        <v>13904</v>
      </c>
      <c r="K6616" s="2" t="s">
        <v>5657</v>
      </c>
      <c r="L6616" s="246" t="s">
        <v>22280</v>
      </c>
    </row>
    <row r="6617" spans="1:12" ht="84" customHeight="1" x14ac:dyDescent="0.3">
      <c r="A6617" s="2">
        <v>6613</v>
      </c>
      <c r="B6617" s="66" t="s">
        <v>7739</v>
      </c>
      <c r="C6617" s="66" t="s">
        <v>7741</v>
      </c>
      <c r="D6617" s="11">
        <v>3111.56</v>
      </c>
      <c r="E6617" s="11">
        <v>3111.56</v>
      </c>
      <c r="F6617" s="3">
        <v>39052</v>
      </c>
      <c r="G6617" s="2"/>
      <c r="H6617" s="2"/>
      <c r="I6617" s="2"/>
      <c r="J6617" s="2" t="s">
        <v>13904</v>
      </c>
      <c r="K6617" s="2" t="s">
        <v>5657</v>
      </c>
      <c r="L6617" s="246" t="s">
        <v>22280</v>
      </c>
    </row>
    <row r="6618" spans="1:12" ht="84" customHeight="1" x14ac:dyDescent="0.3">
      <c r="A6618" s="2">
        <v>6614</v>
      </c>
      <c r="B6618" s="66" t="s">
        <v>7739</v>
      </c>
      <c r="C6618" s="66" t="s">
        <v>7742</v>
      </c>
      <c r="D6618" s="11">
        <v>3111.56</v>
      </c>
      <c r="E6618" s="11">
        <v>3111.56</v>
      </c>
      <c r="F6618" s="3">
        <v>39052</v>
      </c>
      <c r="G6618" s="2"/>
      <c r="H6618" s="2"/>
      <c r="I6618" s="2"/>
      <c r="J6618" s="2" t="s">
        <v>13904</v>
      </c>
      <c r="K6618" s="2" t="s">
        <v>5657</v>
      </c>
      <c r="L6618" s="246" t="s">
        <v>22280</v>
      </c>
    </row>
    <row r="6619" spans="1:12" ht="84" customHeight="1" x14ac:dyDescent="0.3">
      <c r="A6619" s="2">
        <v>6615</v>
      </c>
      <c r="B6619" s="66" t="s">
        <v>7739</v>
      </c>
      <c r="C6619" s="66" t="s">
        <v>7743</v>
      </c>
      <c r="D6619" s="11">
        <v>3111.56</v>
      </c>
      <c r="E6619" s="11">
        <v>3111.56</v>
      </c>
      <c r="F6619" s="3">
        <v>39052</v>
      </c>
      <c r="G6619" s="2"/>
      <c r="H6619" s="2"/>
      <c r="I6619" s="2"/>
      <c r="J6619" s="2" t="s">
        <v>13904</v>
      </c>
      <c r="K6619" s="2" t="s">
        <v>5657</v>
      </c>
      <c r="L6619" s="246" t="s">
        <v>22280</v>
      </c>
    </row>
    <row r="6620" spans="1:12" ht="84" customHeight="1" x14ac:dyDescent="0.3">
      <c r="A6620" s="2">
        <v>6616</v>
      </c>
      <c r="B6620" s="66" t="s">
        <v>7737</v>
      </c>
      <c r="C6620" s="66" t="s">
        <v>7744</v>
      </c>
      <c r="D6620" s="11">
        <v>3111.56</v>
      </c>
      <c r="E6620" s="11">
        <v>3111.56</v>
      </c>
      <c r="F6620" s="3">
        <v>39052</v>
      </c>
      <c r="G6620" s="2"/>
      <c r="H6620" s="2"/>
      <c r="I6620" s="2"/>
      <c r="J6620" s="2" t="s">
        <v>13904</v>
      </c>
      <c r="K6620" s="2" t="s">
        <v>5657</v>
      </c>
      <c r="L6620" s="246" t="s">
        <v>22280</v>
      </c>
    </row>
    <row r="6621" spans="1:12" ht="84" customHeight="1" x14ac:dyDescent="0.3">
      <c r="A6621" s="2">
        <v>6617</v>
      </c>
      <c r="B6621" s="66" t="s">
        <v>7745</v>
      </c>
      <c r="C6621" s="66" t="s">
        <v>7746</v>
      </c>
      <c r="D6621" s="11">
        <v>3111.53</v>
      </c>
      <c r="E6621" s="11">
        <v>3111.53</v>
      </c>
      <c r="F6621" s="3">
        <v>39052</v>
      </c>
      <c r="G6621" s="2"/>
      <c r="H6621" s="2"/>
      <c r="I6621" s="2"/>
      <c r="J6621" s="2" t="s">
        <v>13904</v>
      </c>
      <c r="K6621" s="2" t="s">
        <v>5657</v>
      </c>
      <c r="L6621" s="246" t="s">
        <v>22280</v>
      </c>
    </row>
    <row r="6622" spans="1:12" ht="84" customHeight="1" x14ac:dyDescent="0.3">
      <c r="A6622" s="2">
        <v>6618</v>
      </c>
      <c r="B6622" s="66" t="s">
        <v>7737</v>
      </c>
      <c r="C6622" s="66" t="s">
        <v>7747</v>
      </c>
      <c r="D6622" s="11">
        <v>3111.56</v>
      </c>
      <c r="E6622" s="11">
        <v>3111.56</v>
      </c>
      <c r="F6622" s="3">
        <v>39052</v>
      </c>
      <c r="G6622" s="2"/>
      <c r="H6622" s="2"/>
      <c r="I6622" s="2"/>
      <c r="J6622" s="2" t="s">
        <v>13904</v>
      </c>
      <c r="K6622" s="2" t="s">
        <v>5657</v>
      </c>
      <c r="L6622" s="246" t="s">
        <v>22280</v>
      </c>
    </row>
    <row r="6623" spans="1:12" ht="84" customHeight="1" x14ac:dyDescent="0.3">
      <c r="A6623" s="2">
        <v>6619</v>
      </c>
      <c r="B6623" s="66" t="s">
        <v>7737</v>
      </c>
      <c r="C6623" s="66" t="s">
        <v>7748</v>
      </c>
      <c r="D6623" s="11">
        <v>3111.56</v>
      </c>
      <c r="E6623" s="11">
        <v>3111.56</v>
      </c>
      <c r="F6623" s="3">
        <v>39052</v>
      </c>
      <c r="G6623" s="2"/>
      <c r="H6623" s="2"/>
      <c r="I6623" s="2"/>
      <c r="J6623" s="2" t="s">
        <v>13904</v>
      </c>
      <c r="K6623" s="2" t="s">
        <v>5657</v>
      </c>
      <c r="L6623" s="246" t="s">
        <v>22280</v>
      </c>
    </row>
    <row r="6624" spans="1:12" ht="84" customHeight="1" x14ac:dyDescent="0.3">
      <c r="A6624" s="2">
        <v>6620</v>
      </c>
      <c r="B6624" s="66" t="s">
        <v>7737</v>
      </c>
      <c r="C6624" s="66" t="s">
        <v>7749</v>
      </c>
      <c r="D6624" s="11">
        <v>3111.53</v>
      </c>
      <c r="E6624" s="11">
        <v>3111.53</v>
      </c>
      <c r="F6624" s="3">
        <v>39052</v>
      </c>
      <c r="G6624" s="2"/>
      <c r="H6624" s="2"/>
      <c r="I6624" s="2"/>
      <c r="J6624" s="2" t="s">
        <v>13904</v>
      </c>
      <c r="K6624" s="2" t="s">
        <v>5657</v>
      </c>
      <c r="L6624" s="246" t="s">
        <v>22280</v>
      </c>
    </row>
    <row r="6625" spans="1:12" ht="84" customHeight="1" x14ac:dyDescent="0.3">
      <c r="A6625" s="2">
        <v>6621</v>
      </c>
      <c r="B6625" s="66" t="s">
        <v>7737</v>
      </c>
      <c r="C6625" s="66" t="s">
        <v>7750</v>
      </c>
      <c r="D6625" s="11">
        <v>3111.56</v>
      </c>
      <c r="E6625" s="11">
        <v>3111.56</v>
      </c>
      <c r="F6625" s="3">
        <v>39052</v>
      </c>
      <c r="G6625" s="2"/>
      <c r="H6625" s="2"/>
      <c r="I6625" s="2"/>
      <c r="J6625" s="2" t="s">
        <v>13904</v>
      </c>
      <c r="K6625" s="2" t="s">
        <v>5657</v>
      </c>
      <c r="L6625" s="246" t="s">
        <v>22280</v>
      </c>
    </row>
    <row r="6626" spans="1:12" ht="84" customHeight="1" x14ac:dyDescent="0.3">
      <c r="A6626" s="2">
        <v>6622</v>
      </c>
      <c r="B6626" s="66" t="s">
        <v>7737</v>
      </c>
      <c r="C6626" s="66" t="s">
        <v>7751</v>
      </c>
      <c r="D6626" s="11">
        <v>3111.56</v>
      </c>
      <c r="E6626" s="11">
        <v>3111.56</v>
      </c>
      <c r="F6626" s="3">
        <v>39052</v>
      </c>
      <c r="G6626" s="2"/>
      <c r="H6626" s="2"/>
      <c r="I6626" s="2"/>
      <c r="J6626" s="2" t="s">
        <v>13904</v>
      </c>
      <c r="K6626" s="2" t="s">
        <v>5657</v>
      </c>
      <c r="L6626" s="246" t="s">
        <v>22280</v>
      </c>
    </row>
    <row r="6627" spans="1:12" ht="84" customHeight="1" x14ac:dyDescent="0.3">
      <c r="A6627" s="2">
        <v>6623</v>
      </c>
      <c r="B6627" s="66" t="s">
        <v>7733</v>
      </c>
      <c r="C6627" s="66" t="s">
        <v>7752</v>
      </c>
      <c r="D6627" s="11">
        <v>3111.56</v>
      </c>
      <c r="E6627" s="11">
        <v>3111.56</v>
      </c>
      <c r="F6627" s="3">
        <v>39053</v>
      </c>
      <c r="G6627" s="2"/>
      <c r="H6627" s="2"/>
      <c r="I6627" s="2"/>
      <c r="J6627" s="2" t="s">
        <v>13904</v>
      </c>
      <c r="K6627" s="2" t="s">
        <v>5657</v>
      </c>
      <c r="L6627" s="246" t="s">
        <v>22280</v>
      </c>
    </row>
    <row r="6628" spans="1:12" ht="84" customHeight="1" x14ac:dyDescent="0.3">
      <c r="A6628" s="2">
        <v>6624</v>
      </c>
      <c r="B6628" s="66" t="s">
        <v>7737</v>
      </c>
      <c r="C6628" s="66" t="s">
        <v>7753</v>
      </c>
      <c r="D6628" s="11">
        <v>3111.56</v>
      </c>
      <c r="E6628" s="11">
        <v>3111.56</v>
      </c>
      <c r="F6628" s="3">
        <v>39052</v>
      </c>
      <c r="G6628" s="2"/>
      <c r="H6628" s="2"/>
      <c r="I6628" s="2"/>
      <c r="J6628" s="2" t="s">
        <v>13904</v>
      </c>
      <c r="K6628" s="2" t="s">
        <v>5657</v>
      </c>
      <c r="L6628" s="246" t="s">
        <v>22280</v>
      </c>
    </row>
    <row r="6629" spans="1:12" ht="84" customHeight="1" x14ac:dyDescent="0.3">
      <c r="A6629" s="2">
        <v>6625</v>
      </c>
      <c r="B6629" s="66" t="s">
        <v>7737</v>
      </c>
      <c r="C6629" s="66" t="s">
        <v>7754</v>
      </c>
      <c r="D6629" s="11">
        <v>3111.56</v>
      </c>
      <c r="E6629" s="11">
        <v>3111.56</v>
      </c>
      <c r="F6629" s="3">
        <v>39052</v>
      </c>
      <c r="G6629" s="2"/>
      <c r="H6629" s="2"/>
      <c r="I6629" s="2"/>
      <c r="J6629" s="2" t="s">
        <v>13904</v>
      </c>
      <c r="K6629" s="2" t="s">
        <v>5657</v>
      </c>
      <c r="L6629" s="246" t="s">
        <v>22280</v>
      </c>
    </row>
    <row r="6630" spans="1:12" ht="84" customHeight="1" x14ac:dyDescent="0.3">
      <c r="A6630" s="2">
        <v>6626</v>
      </c>
      <c r="B6630" s="66" t="s">
        <v>7755</v>
      </c>
      <c r="C6630" s="66" t="s">
        <v>7756</v>
      </c>
      <c r="D6630" s="11">
        <v>8519.42</v>
      </c>
      <c r="E6630" s="11">
        <v>8519.42</v>
      </c>
      <c r="F6630" s="3">
        <v>39052</v>
      </c>
      <c r="G6630" s="2"/>
      <c r="H6630" s="2"/>
      <c r="I6630" s="2"/>
      <c r="J6630" s="2" t="s">
        <v>13904</v>
      </c>
      <c r="K6630" s="2" t="s">
        <v>5657</v>
      </c>
      <c r="L6630" s="246" t="s">
        <v>22280</v>
      </c>
    </row>
    <row r="6631" spans="1:12" ht="84" customHeight="1" x14ac:dyDescent="0.3">
      <c r="A6631" s="2">
        <v>6627</v>
      </c>
      <c r="B6631" s="66" t="s">
        <v>7757</v>
      </c>
      <c r="C6631" s="66" t="s">
        <v>7758</v>
      </c>
      <c r="D6631" s="11">
        <v>7225.49</v>
      </c>
      <c r="E6631" s="11">
        <v>7225.49</v>
      </c>
      <c r="F6631" s="3">
        <v>39052</v>
      </c>
      <c r="G6631" s="2"/>
      <c r="H6631" s="2"/>
      <c r="I6631" s="2"/>
      <c r="J6631" s="2" t="s">
        <v>13904</v>
      </c>
      <c r="K6631" s="2" t="s">
        <v>5657</v>
      </c>
      <c r="L6631" s="246" t="s">
        <v>22280</v>
      </c>
    </row>
    <row r="6632" spans="1:12" ht="84" customHeight="1" x14ac:dyDescent="0.3">
      <c r="A6632" s="2">
        <v>6628</v>
      </c>
      <c r="B6632" s="66" t="s">
        <v>7757</v>
      </c>
      <c r="C6632" s="66" t="s">
        <v>7759</v>
      </c>
      <c r="D6632" s="11">
        <v>8952.3799999999992</v>
      </c>
      <c r="E6632" s="11">
        <v>8952.3799999999992</v>
      </c>
      <c r="F6632" s="3">
        <v>39052</v>
      </c>
      <c r="G6632" s="2"/>
      <c r="H6632" s="2"/>
      <c r="I6632" s="2"/>
      <c r="J6632" s="2" t="s">
        <v>13904</v>
      </c>
      <c r="K6632" s="2" t="s">
        <v>5657</v>
      </c>
      <c r="L6632" s="246" t="s">
        <v>22280</v>
      </c>
    </row>
    <row r="6633" spans="1:12" ht="84" customHeight="1" x14ac:dyDescent="0.3">
      <c r="A6633" s="2">
        <v>6629</v>
      </c>
      <c r="B6633" s="66" t="s">
        <v>7760</v>
      </c>
      <c r="C6633" s="66" t="s">
        <v>7761</v>
      </c>
      <c r="D6633" s="11">
        <v>4200</v>
      </c>
      <c r="E6633" s="11">
        <v>4200</v>
      </c>
      <c r="F6633" s="3">
        <v>39142</v>
      </c>
      <c r="G6633" s="2"/>
      <c r="H6633" s="2"/>
      <c r="I6633" s="2"/>
      <c r="J6633" s="2" t="s">
        <v>13904</v>
      </c>
      <c r="K6633" s="2" t="s">
        <v>5657</v>
      </c>
      <c r="L6633" s="246" t="s">
        <v>22280</v>
      </c>
    </row>
    <row r="6634" spans="1:12" ht="84" customHeight="1" x14ac:dyDescent="0.3">
      <c r="A6634" s="2">
        <v>6630</v>
      </c>
      <c r="B6634" s="66" t="s">
        <v>7762</v>
      </c>
      <c r="C6634" s="66" t="s">
        <v>7763</v>
      </c>
      <c r="D6634" s="11">
        <v>6369.45</v>
      </c>
      <c r="E6634" s="11">
        <v>6369.45</v>
      </c>
      <c r="F6634" s="3">
        <v>39052</v>
      </c>
      <c r="G6634" s="2"/>
      <c r="H6634" s="2"/>
      <c r="I6634" s="2"/>
      <c r="J6634" s="2" t="s">
        <v>13904</v>
      </c>
      <c r="K6634" s="2" t="s">
        <v>5657</v>
      </c>
      <c r="L6634" s="246" t="s">
        <v>22280</v>
      </c>
    </row>
    <row r="6635" spans="1:12" ht="84" customHeight="1" x14ac:dyDescent="0.3">
      <c r="A6635" s="2">
        <v>6631</v>
      </c>
      <c r="B6635" s="66" t="s">
        <v>7764</v>
      </c>
      <c r="C6635" s="66" t="s">
        <v>7765</v>
      </c>
      <c r="D6635" s="11">
        <v>4246.1000000000004</v>
      </c>
      <c r="E6635" s="11">
        <v>4246.1000000000004</v>
      </c>
      <c r="F6635" s="3">
        <v>39052</v>
      </c>
      <c r="G6635" s="2"/>
      <c r="H6635" s="2"/>
      <c r="I6635" s="2"/>
      <c r="J6635" s="2" t="s">
        <v>13904</v>
      </c>
      <c r="K6635" s="2" t="s">
        <v>5657</v>
      </c>
      <c r="L6635" s="246" t="s">
        <v>22280</v>
      </c>
    </row>
    <row r="6636" spans="1:12" ht="84" customHeight="1" x14ac:dyDescent="0.3">
      <c r="A6636" s="2">
        <v>6632</v>
      </c>
      <c r="B6636" s="66" t="s">
        <v>7766</v>
      </c>
      <c r="C6636" s="66" t="s">
        <v>7767</v>
      </c>
      <c r="D6636" s="11">
        <v>4246.1000000000004</v>
      </c>
      <c r="E6636" s="11">
        <v>4246.1000000000004</v>
      </c>
      <c r="F6636" s="3">
        <v>39052</v>
      </c>
      <c r="G6636" s="2"/>
      <c r="H6636" s="2"/>
      <c r="I6636" s="2"/>
      <c r="J6636" s="2" t="s">
        <v>13904</v>
      </c>
      <c r="K6636" s="2" t="s">
        <v>5657</v>
      </c>
      <c r="L6636" s="246" t="s">
        <v>22280</v>
      </c>
    </row>
    <row r="6637" spans="1:12" ht="84" customHeight="1" x14ac:dyDescent="0.3">
      <c r="A6637" s="2">
        <v>6633</v>
      </c>
      <c r="B6637" s="66" t="s">
        <v>7768</v>
      </c>
      <c r="C6637" s="66" t="s">
        <v>7769</v>
      </c>
      <c r="D6637" s="11">
        <v>7205.08</v>
      </c>
      <c r="E6637" s="11">
        <v>7205.08</v>
      </c>
      <c r="F6637" s="3">
        <v>39052</v>
      </c>
      <c r="G6637" s="2"/>
      <c r="H6637" s="2"/>
      <c r="I6637" s="2"/>
      <c r="J6637" s="2" t="s">
        <v>13904</v>
      </c>
      <c r="K6637" s="2" t="s">
        <v>5657</v>
      </c>
      <c r="L6637" s="246" t="s">
        <v>22280</v>
      </c>
    </row>
    <row r="6638" spans="1:12" ht="84" customHeight="1" x14ac:dyDescent="0.3">
      <c r="A6638" s="2">
        <v>6634</v>
      </c>
      <c r="B6638" s="66" t="s">
        <v>7770</v>
      </c>
      <c r="C6638" s="66" t="s">
        <v>7771</v>
      </c>
      <c r="D6638" s="11">
        <v>7205.08</v>
      </c>
      <c r="E6638" s="11">
        <v>7205.08</v>
      </c>
      <c r="F6638" s="3">
        <v>39052</v>
      </c>
      <c r="G6638" s="2"/>
      <c r="H6638" s="2"/>
      <c r="I6638" s="2"/>
      <c r="J6638" s="2" t="s">
        <v>13904</v>
      </c>
      <c r="K6638" s="2" t="s">
        <v>5657</v>
      </c>
      <c r="L6638" s="246" t="s">
        <v>22280</v>
      </c>
    </row>
    <row r="6639" spans="1:12" ht="84" customHeight="1" x14ac:dyDescent="0.3">
      <c r="A6639" s="2">
        <v>6635</v>
      </c>
      <c r="B6639" s="66" t="s">
        <v>7772</v>
      </c>
      <c r="C6639" s="66" t="s">
        <v>7773</v>
      </c>
      <c r="D6639" s="11">
        <v>7205.08</v>
      </c>
      <c r="E6639" s="11">
        <v>7205.08</v>
      </c>
      <c r="F6639" s="3">
        <v>39052</v>
      </c>
      <c r="G6639" s="2"/>
      <c r="H6639" s="2"/>
      <c r="I6639" s="2"/>
      <c r="J6639" s="2" t="s">
        <v>13904</v>
      </c>
      <c r="K6639" s="2" t="s">
        <v>5657</v>
      </c>
      <c r="L6639" s="246" t="s">
        <v>22280</v>
      </c>
    </row>
    <row r="6640" spans="1:12" ht="84" customHeight="1" x14ac:dyDescent="0.3">
      <c r="A6640" s="2">
        <v>6636</v>
      </c>
      <c r="B6640" s="66" t="s">
        <v>7772</v>
      </c>
      <c r="C6640" s="66" t="s">
        <v>7774</v>
      </c>
      <c r="D6640" s="11">
        <v>7205.08</v>
      </c>
      <c r="E6640" s="11">
        <v>7205.08</v>
      </c>
      <c r="F6640" s="3">
        <v>39052</v>
      </c>
      <c r="G6640" s="2"/>
      <c r="H6640" s="2"/>
      <c r="I6640" s="2"/>
      <c r="J6640" s="2" t="s">
        <v>13904</v>
      </c>
      <c r="K6640" s="2" t="s">
        <v>5657</v>
      </c>
      <c r="L6640" s="246" t="s">
        <v>22280</v>
      </c>
    </row>
    <row r="6641" spans="1:12" ht="84" customHeight="1" x14ac:dyDescent="0.3">
      <c r="A6641" s="2">
        <v>6637</v>
      </c>
      <c r="B6641" s="66" t="s">
        <v>7772</v>
      </c>
      <c r="C6641" s="66" t="s">
        <v>7775</v>
      </c>
      <c r="D6641" s="11">
        <v>7205.08</v>
      </c>
      <c r="E6641" s="11">
        <v>7205.08</v>
      </c>
      <c r="F6641" s="3">
        <v>39052</v>
      </c>
      <c r="G6641" s="2"/>
      <c r="H6641" s="2"/>
      <c r="I6641" s="2"/>
      <c r="J6641" s="2" t="s">
        <v>13904</v>
      </c>
      <c r="K6641" s="2" t="s">
        <v>5657</v>
      </c>
      <c r="L6641" s="246" t="s">
        <v>22280</v>
      </c>
    </row>
    <row r="6642" spans="1:12" ht="84" customHeight="1" x14ac:dyDescent="0.3">
      <c r="A6642" s="2">
        <v>6638</v>
      </c>
      <c r="B6642" s="66" t="s">
        <v>7772</v>
      </c>
      <c r="C6642" s="66" t="s">
        <v>7776</v>
      </c>
      <c r="D6642" s="11">
        <v>7205.08</v>
      </c>
      <c r="E6642" s="11">
        <v>7205.08</v>
      </c>
      <c r="F6642" s="3">
        <v>39052</v>
      </c>
      <c r="G6642" s="2"/>
      <c r="H6642" s="2"/>
      <c r="I6642" s="2"/>
      <c r="J6642" s="2" t="s">
        <v>13904</v>
      </c>
      <c r="K6642" s="2" t="s">
        <v>5657</v>
      </c>
      <c r="L6642" s="246" t="s">
        <v>22280</v>
      </c>
    </row>
    <row r="6643" spans="1:12" ht="84" customHeight="1" x14ac:dyDescent="0.3">
      <c r="A6643" s="2">
        <v>6639</v>
      </c>
      <c r="B6643" s="66" t="s">
        <v>7772</v>
      </c>
      <c r="C6643" s="66" t="s">
        <v>7777</v>
      </c>
      <c r="D6643" s="11">
        <v>7205.08</v>
      </c>
      <c r="E6643" s="11">
        <v>7205.08</v>
      </c>
      <c r="F6643" s="3">
        <v>39052</v>
      </c>
      <c r="G6643" s="2"/>
      <c r="H6643" s="2"/>
      <c r="I6643" s="2"/>
      <c r="J6643" s="2" t="s">
        <v>13904</v>
      </c>
      <c r="K6643" s="2" t="s">
        <v>5657</v>
      </c>
      <c r="L6643" s="246" t="s">
        <v>22280</v>
      </c>
    </row>
    <row r="6644" spans="1:12" ht="84" customHeight="1" x14ac:dyDescent="0.3">
      <c r="A6644" s="2">
        <v>6640</v>
      </c>
      <c r="B6644" s="66" t="s">
        <v>7772</v>
      </c>
      <c r="C6644" s="66" t="s">
        <v>7778</v>
      </c>
      <c r="D6644" s="11">
        <v>7205.08</v>
      </c>
      <c r="E6644" s="11">
        <v>7205.08</v>
      </c>
      <c r="F6644" s="3">
        <v>39052</v>
      </c>
      <c r="G6644" s="2"/>
      <c r="H6644" s="2"/>
      <c r="I6644" s="2"/>
      <c r="J6644" s="2" t="s">
        <v>13904</v>
      </c>
      <c r="K6644" s="2" t="s">
        <v>5657</v>
      </c>
      <c r="L6644" s="246" t="s">
        <v>22280</v>
      </c>
    </row>
    <row r="6645" spans="1:12" ht="84" customHeight="1" x14ac:dyDescent="0.3">
      <c r="A6645" s="2">
        <v>6641</v>
      </c>
      <c r="B6645" s="66" t="s">
        <v>7772</v>
      </c>
      <c r="C6645" s="66" t="s">
        <v>7779</v>
      </c>
      <c r="D6645" s="11">
        <v>7205.08</v>
      </c>
      <c r="E6645" s="11">
        <v>7205.08</v>
      </c>
      <c r="F6645" s="3">
        <v>39052</v>
      </c>
      <c r="G6645" s="2"/>
      <c r="H6645" s="2"/>
      <c r="I6645" s="2"/>
      <c r="J6645" s="2" t="s">
        <v>13904</v>
      </c>
      <c r="K6645" s="2" t="s">
        <v>5657</v>
      </c>
      <c r="L6645" s="246" t="s">
        <v>22280</v>
      </c>
    </row>
    <row r="6646" spans="1:12" ht="84" customHeight="1" x14ac:dyDescent="0.3">
      <c r="A6646" s="2">
        <v>6642</v>
      </c>
      <c r="B6646" s="66" t="s">
        <v>7772</v>
      </c>
      <c r="C6646" s="66" t="s">
        <v>7780</v>
      </c>
      <c r="D6646" s="11">
        <v>7205.08</v>
      </c>
      <c r="E6646" s="11">
        <v>7205.08</v>
      </c>
      <c r="F6646" s="3">
        <v>39052</v>
      </c>
      <c r="G6646" s="2"/>
      <c r="H6646" s="2"/>
      <c r="I6646" s="2"/>
      <c r="J6646" s="2" t="s">
        <v>13904</v>
      </c>
      <c r="K6646" s="2" t="s">
        <v>5657</v>
      </c>
      <c r="L6646" s="246" t="s">
        <v>22280</v>
      </c>
    </row>
    <row r="6647" spans="1:12" ht="84" customHeight="1" x14ac:dyDescent="0.3">
      <c r="A6647" s="2">
        <v>6643</v>
      </c>
      <c r="B6647" s="66" t="s">
        <v>7781</v>
      </c>
      <c r="C6647" s="66" t="s">
        <v>7782</v>
      </c>
      <c r="D6647" s="11">
        <v>11797.2</v>
      </c>
      <c r="E6647" s="11">
        <v>11797.2</v>
      </c>
      <c r="F6647" s="3">
        <v>39142</v>
      </c>
      <c r="G6647" s="2"/>
      <c r="H6647" s="2"/>
      <c r="I6647" s="2"/>
      <c r="J6647" s="2" t="s">
        <v>13904</v>
      </c>
      <c r="K6647" s="2" t="s">
        <v>5657</v>
      </c>
      <c r="L6647" s="246" t="s">
        <v>22280</v>
      </c>
    </row>
    <row r="6648" spans="1:12" ht="84" customHeight="1" x14ac:dyDescent="0.3">
      <c r="A6648" s="2">
        <v>6644</v>
      </c>
      <c r="B6648" s="66" t="s">
        <v>7783</v>
      </c>
      <c r="C6648" s="66" t="s">
        <v>7784</v>
      </c>
      <c r="D6648" s="11">
        <v>11797.2</v>
      </c>
      <c r="E6648" s="11">
        <v>11797.2</v>
      </c>
      <c r="F6648" s="3">
        <v>39142</v>
      </c>
      <c r="G6648" s="2"/>
      <c r="H6648" s="2"/>
      <c r="I6648" s="2"/>
      <c r="J6648" s="2" t="s">
        <v>13904</v>
      </c>
      <c r="K6648" s="2" t="s">
        <v>5657</v>
      </c>
      <c r="L6648" s="246" t="s">
        <v>22280</v>
      </c>
    </row>
    <row r="6649" spans="1:12" ht="84" customHeight="1" x14ac:dyDescent="0.3">
      <c r="A6649" s="2">
        <v>6645</v>
      </c>
      <c r="B6649" s="66" t="s">
        <v>7785</v>
      </c>
      <c r="C6649" s="66" t="s">
        <v>7786</v>
      </c>
      <c r="D6649" s="11">
        <v>11797.2</v>
      </c>
      <c r="E6649" s="11">
        <v>11797.2</v>
      </c>
      <c r="F6649" s="3">
        <v>39142</v>
      </c>
      <c r="G6649" s="2"/>
      <c r="H6649" s="2"/>
      <c r="I6649" s="2"/>
      <c r="J6649" s="2" t="s">
        <v>13904</v>
      </c>
      <c r="K6649" s="2" t="s">
        <v>5657</v>
      </c>
      <c r="L6649" s="246" t="s">
        <v>22280</v>
      </c>
    </row>
    <row r="6650" spans="1:12" ht="84" customHeight="1" x14ac:dyDescent="0.3">
      <c r="A6650" s="2">
        <v>6646</v>
      </c>
      <c r="B6650" s="66" t="s">
        <v>7787</v>
      </c>
      <c r="C6650" s="66" t="s">
        <v>7788</v>
      </c>
      <c r="D6650" s="11">
        <v>11797.2</v>
      </c>
      <c r="E6650" s="11">
        <v>11797.2</v>
      </c>
      <c r="F6650" s="3">
        <v>39142</v>
      </c>
      <c r="G6650" s="2"/>
      <c r="H6650" s="2"/>
      <c r="I6650" s="2"/>
      <c r="J6650" s="2" t="s">
        <v>13904</v>
      </c>
      <c r="K6650" s="2" t="s">
        <v>5657</v>
      </c>
      <c r="L6650" s="246" t="s">
        <v>22280</v>
      </c>
    </row>
    <row r="6651" spans="1:12" ht="84" customHeight="1" x14ac:dyDescent="0.3">
      <c r="A6651" s="2">
        <v>6647</v>
      </c>
      <c r="B6651" s="66" t="s">
        <v>7789</v>
      </c>
      <c r="C6651" s="66" t="s">
        <v>7790</v>
      </c>
      <c r="D6651" s="11">
        <v>11797.2</v>
      </c>
      <c r="E6651" s="11">
        <v>11797.2</v>
      </c>
      <c r="F6651" s="3">
        <v>39142</v>
      </c>
      <c r="G6651" s="2"/>
      <c r="H6651" s="2"/>
      <c r="I6651" s="2"/>
      <c r="J6651" s="2" t="s">
        <v>13904</v>
      </c>
      <c r="K6651" s="2" t="s">
        <v>5657</v>
      </c>
      <c r="L6651" s="246" t="s">
        <v>22280</v>
      </c>
    </row>
    <row r="6652" spans="1:12" ht="84" customHeight="1" x14ac:dyDescent="0.3">
      <c r="A6652" s="2">
        <v>6648</v>
      </c>
      <c r="B6652" s="66" t="s">
        <v>7791</v>
      </c>
      <c r="C6652" s="66" t="s">
        <v>7792</v>
      </c>
      <c r="D6652" s="11">
        <v>19418.86</v>
      </c>
      <c r="E6652" s="11">
        <v>19418.86</v>
      </c>
      <c r="F6652" s="3">
        <v>39052</v>
      </c>
      <c r="G6652" s="2"/>
      <c r="H6652" s="2"/>
      <c r="I6652" s="2"/>
      <c r="J6652" s="2" t="s">
        <v>13904</v>
      </c>
      <c r="K6652" s="2" t="s">
        <v>5657</v>
      </c>
      <c r="L6652" s="246" t="s">
        <v>22280</v>
      </c>
    </row>
    <row r="6653" spans="1:12" ht="84" customHeight="1" x14ac:dyDescent="0.3">
      <c r="A6653" s="2">
        <v>6649</v>
      </c>
      <c r="B6653" s="66" t="s">
        <v>7793</v>
      </c>
      <c r="C6653" s="66" t="s">
        <v>7794</v>
      </c>
      <c r="D6653" s="11">
        <v>19418.86</v>
      </c>
      <c r="E6653" s="11">
        <v>19418.86</v>
      </c>
      <c r="F6653" s="3">
        <v>39059</v>
      </c>
      <c r="G6653" s="2"/>
      <c r="H6653" s="2"/>
      <c r="I6653" s="2"/>
      <c r="J6653" s="2" t="s">
        <v>13904</v>
      </c>
      <c r="K6653" s="2" t="s">
        <v>5657</v>
      </c>
      <c r="L6653" s="246" t="s">
        <v>22280</v>
      </c>
    </row>
    <row r="6654" spans="1:12" ht="84" customHeight="1" x14ac:dyDescent="0.3">
      <c r="A6654" s="2">
        <v>6650</v>
      </c>
      <c r="B6654" s="66" t="s">
        <v>7795</v>
      </c>
      <c r="C6654" s="66" t="s">
        <v>7796</v>
      </c>
      <c r="D6654" s="11">
        <v>3672</v>
      </c>
      <c r="E6654" s="11">
        <v>3672</v>
      </c>
      <c r="F6654" s="3">
        <v>39052</v>
      </c>
      <c r="G6654" s="2"/>
      <c r="H6654" s="2"/>
      <c r="I6654" s="2"/>
      <c r="J6654" s="2" t="s">
        <v>13904</v>
      </c>
      <c r="K6654" s="2" t="s">
        <v>5657</v>
      </c>
      <c r="L6654" s="246" t="s">
        <v>22280</v>
      </c>
    </row>
    <row r="6655" spans="1:12" ht="84" customHeight="1" x14ac:dyDescent="0.3">
      <c r="A6655" s="2">
        <v>6651</v>
      </c>
      <c r="B6655" s="66" t="s">
        <v>7797</v>
      </c>
      <c r="C6655" s="66" t="s">
        <v>7798</v>
      </c>
      <c r="D6655" s="11">
        <v>19992</v>
      </c>
      <c r="E6655" s="11">
        <v>19992</v>
      </c>
      <c r="F6655" s="3">
        <v>39052</v>
      </c>
      <c r="G6655" s="2"/>
      <c r="H6655" s="2"/>
      <c r="I6655" s="2"/>
      <c r="J6655" s="2" t="s">
        <v>13904</v>
      </c>
      <c r="K6655" s="2" t="s">
        <v>5657</v>
      </c>
      <c r="L6655" s="246" t="s">
        <v>22280</v>
      </c>
    </row>
    <row r="6656" spans="1:12" ht="84" customHeight="1" x14ac:dyDescent="0.3">
      <c r="A6656" s="2">
        <v>6652</v>
      </c>
      <c r="B6656" s="66" t="s">
        <v>7799</v>
      </c>
      <c r="C6656" s="66" t="s">
        <v>7800</v>
      </c>
      <c r="D6656" s="11">
        <v>18017</v>
      </c>
      <c r="E6656" s="11">
        <v>18017</v>
      </c>
      <c r="F6656" s="3">
        <v>39052</v>
      </c>
      <c r="G6656" s="2"/>
      <c r="H6656" s="2"/>
      <c r="I6656" s="2"/>
      <c r="J6656" s="2" t="s">
        <v>13904</v>
      </c>
      <c r="K6656" s="2" t="s">
        <v>5657</v>
      </c>
      <c r="L6656" s="246" t="s">
        <v>22280</v>
      </c>
    </row>
    <row r="6657" spans="1:12" ht="84" customHeight="1" x14ac:dyDescent="0.3">
      <c r="A6657" s="2">
        <v>6653</v>
      </c>
      <c r="B6657" s="66" t="s">
        <v>7801</v>
      </c>
      <c r="C6657" s="66" t="s">
        <v>7802</v>
      </c>
      <c r="D6657" s="11">
        <v>6005.37</v>
      </c>
      <c r="E6657" s="11">
        <v>6005.37</v>
      </c>
      <c r="F6657" s="3">
        <v>39052</v>
      </c>
      <c r="G6657" s="2"/>
      <c r="H6657" s="2"/>
      <c r="I6657" s="2"/>
      <c r="J6657" s="2" t="s">
        <v>13904</v>
      </c>
      <c r="K6657" s="2" t="s">
        <v>5657</v>
      </c>
      <c r="L6657" s="246" t="s">
        <v>22280</v>
      </c>
    </row>
    <row r="6658" spans="1:12" ht="84" customHeight="1" x14ac:dyDescent="0.3">
      <c r="A6658" s="2">
        <v>6654</v>
      </c>
      <c r="B6658" s="66" t="s">
        <v>7803</v>
      </c>
      <c r="C6658" s="66" t="s">
        <v>7804</v>
      </c>
      <c r="D6658" s="11">
        <v>6005.37</v>
      </c>
      <c r="E6658" s="11">
        <v>6005.37</v>
      </c>
      <c r="F6658" s="3">
        <v>39052</v>
      </c>
      <c r="G6658" s="2"/>
      <c r="H6658" s="2"/>
      <c r="I6658" s="2"/>
      <c r="J6658" s="2" t="s">
        <v>13904</v>
      </c>
      <c r="K6658" s="2" t="s">
        <v>5657</v>
      </c>
      <c r="L6658" s="246" t="s">
        <v>22280</v>
      </c>
    </row>
    <row r="6659" spans="1:12" ht="84" customHeight="1" x14ac:dyDescent="0.3">
      <c r="A6659" s="2">
        <v>6655</v>
      </c>
      <c r="B6659" s="66" t="s">
        <v>7803</v>
      </c>
      <c r="C6659" s="66" t="s">
        <v>7805</v>
      </c>
      <c r="D6659" s="11">
        <v>6005.37</v>
      </c>
      <c r="E6659" s="11">
        <v>6005.37</v>
      </c>
      <c r="F6659" s="3">
        <v>39052</v>
      </c>
      <c r="G6659" s="2"/>
      <c r="H6659" s="2"/>
      <c r="I6659" s="2"/>
      <c r="J6659" s="2" t="s">
        <v>13904</v>
      </c>
      <c r="K6659" s="2" t="s">
        <v>5657</v>
      </c>
      <c r="L6659" s="246" t="s">
        <v>22280</v>
      </c>
    </row>
    <row r="6660" spans="1:12" ht="84" customHeight="1" x14ac:dyDescent="0.3">
      <c r="A6660" s="2">
        <v>6656</v>
      </c>
      <c r="B6660" s="66" t="s">
        <v>7801</v>
      </c>
      <c r="C6660" s="66" t="s">
        <v>7806</v>
      </c>
      <c r="D6660" s="11">
        <v>5456.52</v>
      </c>
      <c r="E6660" s="11">
        <v>5456.52</v>
      </c>
      <c r="F6660" s="3">
        <v>39052</v>
      </c>
      <c r="G6660" s="2"/>
      <c r="H6660" s="2"/>
      <c r="I6660" s="2"/>
      <c r="J6660" s="2" t="s">
        <v>13904</v>
      </c>
      <c r="K6660" s="2" t="s">
        <v>5657</v>
      </c>
      <c r="L6660" s="246" t="s">
        <v>22280</v>
      </c>
    </row>
    <row r="6661" spans="1:12" ht="84" customHeight="1" x14ac:dyDescent="0.3">
      <c r="A6661" s="2">
        <v>6657</v>
      </c>
      <c r="B6661" s="66" t="s">
        <v>7807</v>
      </c>
      <c r="C6661" s="66" t="s">
        <v>7808</v>
      </c>
      <c r="D6661" s="11">
        <v>13123.99</v>
      </c>
      <c r="E6661" s="11">
        <v>13123.99</v>
      </c>
      <c r="F6661" s="3">
        <v>39052</v>
      </c>
      <c r="G6661" s="2"/>
      <c r="H6661" s="2"/>
      <c r="I6661" s="2"/>
      <c r="J6661" s="2" t="s">
        <v>13904</v>
      </c>
      <c r="K6661" s="2" t="s">
        <v>5657</v>
      </c>
      <c r="L6661" s="246" t="s">
        <v>22280</v>
      </c>
    </row>
    <row r="6662" spans="1:12" ht="84" customHeight="1" x14ac:dyDescent="0.3">
      <c r="A6662" s="2">
        <v>6658</v>
      </c>
      <c r="B6662" s="66" t="s">
        <v>7809</v>
      </c>
      <c r="C6662" s="66" t="s">
        <v>7810</v>
      </c>
      <c r="D6662" s="11">
        <v>3420.4</v>
      </c>
      <c r="E6662" s="11">
        <v>3420.4</v>
      </c>
      <c r="F6662" s="3">
        <v>39059</v>
      </c>
      <c r="G6662" s="2"/>
      <c r="H6662" s="2"/>
      <c r="I6662" s="2"/>
      <c r="J6662" s="2" t="s">
        <v>13904</v>
      </c>
      <c r="K6662" s="2" t="s">
        <v>5657</v>
      </c>
      <c r="L6662" s="246" t="s">
        <v>22280</v>
      </c>
    </row>
    <row r="6663" spans="1:12" ht="84" customHeight="1" x14ac:dyDescent="0.3">
      <c r="A6663" s="2">
        <v>6659</v>
      </c>
      <c r="B6663" s="66" t="s">
        <v>7809</v>
      </c>
      <c r="C6663" s="66" t="s">
        <v>7811</v>
      </c>
      <c r="D6663" s="11">
        <v>3420.4</v>
      </c>
      <c r="E6663" s="11">
        <v>3420.4</v>
      </c>
      <c r="F6663" s="3">
        <v>39058</v>
      </c>
      <c r="G6663" s="2"/>
      <c r="H6663" s="2"/>
      <c r="I6663" s="2"/>
      <c r="J6663" s="2" t="s">
        <v>13904</v>
      </c>
      <c r="K6663" s="2" t="s">
        <v>5657</v>
      </c>
      <c r="L6663" s="246" t="s">
        <v>22280</v>
      </c>
    </row>
    <row r="6664" spans="1:12" ht="84" customHeight="1" x14ac:dyDescent="0.3">
      <c r="A6664" s="2">
        <v>6660</v>
      </c>
      <c r="B6664" s="66" t="s">
        <v>7812</v>
      </c>
      <c r="C6664" s="66" t="s">
        <v>7813</v>
      </c>
      <c r="D6664" s="11">
        <v>18819</v>
      </c>
      <c r="E6664" s="11">
        <v>18819</v>
      </c>
      <c r="F6664" s="3">
        <v>39052</v>
      </c>
      <c r="G6664" s="2"/>
      <c r="H6664" s="2"/>
      <c r="I6664" s="2"/>
      <c r="J6664" s="2" t="s">
        <v>13904</v>
      </c>
      <c r="K6664" s="2" t="s">
        <v>5657</v>
      </c>
      <c r="L6664" s="246" t="s">
        <v>22280</v>
      </c>
    </row>
    <row r="6665" spans="1:12" ht="84" customHeight="1" x14ac:dyDescent="0.3">
      <c r="A6665" s="2">
        <v>6661</v>
      </c>
      <c r="B6665" s="66" t="s">
        <v>7812</v>
      </c>
      <c r="C6665" s="66" t="s">
        <v>7814</v>
      </c>
      <c r="D6665" s="11">
        <v>18819</v>
      </c>
      <c r="E6665" s="11">
        <v>18819</v>
      </c>
      <c r="F6665" s="3">
        <v>39052</v>
      </c>
      <c r="G6665" s="2"/>
      <c r="H6665" s="2"/>
      <c r="I6665" s="2"/>
      <c r="J6665" s="2" t="s">
        <v>13904</v>
      </c>
      <c r="K6665" s="2" t="s">
        <v>5657</v>
      </c>
      <c r="L6665" s="246" t="s">
        <v>22280</v>
      </c>
    </row>
    <row r="6666" spans="1:12" ht="84" customHeight="1" x14ac:dyDescent="0.3">
      <c r="A6666" s="2">
        <v>6662</v>
      </c>
      <c r="B6666" s="66" t="s">
        <v>7812</v>
      </c>
      <c r="C6666" s="66" t="s">
        <v>7815</v>
      </c>
      <c r="D6666" s="11">
        <v>18819</v>
      </c>
      <c r="E6666" s="11">
        <v>18819</v>
      </c>
      <c r="F6666" s="3">
        <v>39052</v>
      </c>
      <c r="G6666" s="2"/>
      <c r="H6666" s="2"/>
      <c r="I6666" s="2"/>
      <c r="J6666" s="2" t="s">
        <v>13904</v>
      </c>
      <c r="K6666" s="2" t="s">
        <v>5657</v>
      </c>
      <c r="L6666" s="246" t="s">
        <v>22280</v>
      </c>
    </row>
    <row r="6667" spans="1:12" ht="84" customHeight="1" x14ac:dyDescent="0.3">
      <c r="A6667" s="2">
        <v>6663</v>
      </c>
      <c r="B6667" s="66" t="s">
        <v>7816</v>
      </c>
      <c r="C6667" s="66" t="s">
        <v>7817</v>
      </c>
      <c r="D6667" s="11">
        <v>18819</v>
      </c>
      <c r="E6667" s="11">
        <v>18819</v>
      </c>
      <c r="F6667" s="3">
        <v>39052</v>
      </c>
      <c r="G6667" s="2"/>
      <c r="H6667" s="2"/>
      <c r="I6667" s="2"/>
      <c r="J6667" s="2" t="s">
        <v>13904</v>
      </c>
      <c r="K6667" s="2" t="s">
        <v>5657</v>
      </c>
      <c r="L6667" s="246" t="s">
        <v>22280</v>
      </c>
    </row>
    <row r="6668" spans="1:12" ht="84" customHeight="1" x14ac:dyDescent="0.3">
      <c r="A6668" s="2">
        <v>6664</v>
      </c>
      <c r="B6668" s="66" t="s">
        <v>7145</v>
      </c>
      <c r="C6668" s="66" t="s">
        <v>7818</v>
      </c>
      <c r="D6668" s="11">
        <v>3111.48</v>
      </c>
      <c r="E6668" s="11">
        <v>3111.48</v>
      </c>
      <c r="F6668" s="3">
        <v>39052</v>
      </c>
      <c r="G6668" s="2"/>
      <c r="H6668" s="2"/>
      <c r="I6668" s="2"/>
      <c r="J6668" s="2" t="s">
        <v>13904</v>
      </c>
      <c r="K6668" s="2" t="s">
        <v>5657</v>
      </c>
      <c r="L6668" s="246" t="s">
        <v>22280</v>
      </c>
    </row>
    <row r="6669" spans="1:12" ht="84" customHeight="1" x14ac:dyDescent="0.3">
      <c r="A6669" s="2">
        <v>6665</v>
      </c>
      <c r="B6669" s="66" t="s">
        <v>7145</v>
      </c>
      <c r="C6669" s="66" t="s">
        <v>7819</v>
      </c>
      <c r="D6669" s="11">
        <v>3117.5</v>
      </c>
      <c r="E6669" s="11">
        <v>3117.5</v>
      </c>
      <c r="F6669" s="3">
        <v>39052</v>
      </c>
      <c r="G6669" s="2"/>
      <c r="H6669" s="2"/>
      <c r="I6669" s="2"/>
      <c r="J6669" s="2" t="s">
        <v>13904</v>
      </c>
      <c r="K6669" s="2" t="s">
        <v>5657</v>
      </c>
      <c r="L6669" s="246" t="s">
        <v>22280</v>
      </c>
    </row>
    <row r="6670" spans="1:12" ht="84" customHeight="1" x14ac:dyDescent="0.3">
      <c r="A6670" s="2">
        <v>6666</v>
      </c>
      <c r="B6670" s="66" t="s">
        <v>7820</v>
      </c>
      <c r="C6670" s="66" t="s">
        <v>7821</v>
      </c>
      <c r="D6670" s="11">
        <v>3111.49</v>
      </c>
      <c r="E6670" s="11">
        <v>3111.49</v>
      </c>
      <c r="F6670" s="3">
        <v>39052</v>
      </c>
      <c r="G6670" s="2"/>
      <c r="H6670" s="2"/>
      <c r="I6670" s="2"/>
      <c r="J6670" s="2" t="s">
        <v>13904</v>
      </c>
      <c r="K6670" s="2" t="s">
        <v>5657</v>
      </c>
      <c r="L6670" s="246" t="s">
        <v>22280</v>
      </c>
    </row>
    <row r="6671" spans="1:12" ht="84" customHeight="1" x14ac:dyDescent="0.3">
      <c r="A6671" s="2">
        <v>6667</v>
      </c>
      <c r="B6671" s="66" t="s">
        <v>7145</v>
      </c>
      <c r="C6671" s="66" t="s">
        <v>7822</v>
      </c>
      <c r="D6671" s="11">
        <v>3111.49</v>
      </c>
      <c r="E6671" s="11">
        <v>3111.49</v>
      </c>
      <c r="F6671" s="3">
        <v>39052</v>
      </c>
      <c r="G6671" s="2"/>
      <c r="H6671" s="2"/>
      <c r="I6671" s="2"/>
      <c r="J6671" s="2" t="s">
        <v>13904</v>
      </c>
      <c r="K6671" s="2" t="s">
        <v>5657</v>
      </c>
      <c r="L6671" s="246" t="s">
        <v>22280</v>
      </c>
    </row>
    <row r="6672" spans="1:12" ht="84" customHeight="1" x14ac:dyDescent="0.3">
      <c r="A6672" s="2">
        <v>6668</v>
      </c>
      <c r="B6672" s="66" t="s">
        <v>7145</v>
      </c>
      <c r="C6672" s="66" t="s">
        <v>7823</v>
      </c>
      <c r="D6672" s="11">
        <v>3111.49</v>
      </c>
      <c r="E6672" s="11">
        <v>3111.49</v>
      </c>
      <c r="F6672" s="3">
        <v>39052</v>
      </c>
      <c r="G6672" s="2"/>
      <c r="H6672" s="2"/>
      <c r="I6672" s="2"/>
      <c r="J6672" s="2" t="s">
        <v>13904</v>
      </c>
      <c r="K6672" s="2" t="s">
        <v>5657</v>
      </c>
      <c r="L6672" s="246" t="s">
        <v>22280</v>
      </c>
    </row>
    <row r="6673" spans="1:12" ht="84" customHeight="1" x14ac:dyDescent="0.3">
      <c r="A6673" s="2">
        <v>6669</v>
      </c>
      <c r="B6673" s="66" t="s">
        <v>7145</v>
      </c>
      <c r="C6673" s="66" t="s">
        <v>7824</v>
      </c>
      <c r="D6673" s="11">
        <v>3111.49</v>
      </c>
      <c r="E6673" s="11">
        <v>3111.49</v>
      </c>
      <c r="F6673" s="3">
        <v>39052</v>
      </c>
      <c r="G6673" s="2"/>
      <c r="H6673" s="2"/>
      <c r="I6673" s="2"/>
      <c r="J6673" s="2" t="s">
        <v>13904</v>
      </c>
      <c r="K6673" s="2" t="s">
        <v>5657</v>
      </c>
      <c r="L6673" s="246" t="s">
        <v>22280</v>
      </c>
    </row>
    <row r="6674" spans="1:12" ht="84" customHeight="1" x14ac:dyDescent="0.3">
      <c r="A6674" s="2">
        <v>6670</v>
      </c>
      <c r="B6674" s="66" t="s">
        <v>7145</v>
      </c>
      <c r="C6674" s="66" t="s">
        <v>7825</v>
      </c>
      <c r="D6674" s="11">
        <v>3111.49</v>
      </c>
      <c r="E6674" s="11">
        <v>3111.49</v>
      </c>
      <c r="F6674" s="3">
        <v>39052</v>
      </c>
      <c r="G6674" s="2"/>
      <c r="H6674" s="2"/>
      <c r="I6674" s="2"/>
      <c r="J6674" s="2" t="s">
        <v>13904</v>
      </c>
      <c r="K6674" s="2" t="s">
        <v>5657</v>
      </c>
      <c r="L6674" s="246" t="s">
        <v>22280</v>
      </c>
    </row>
    <row r="6675" spans="1:12" ht="84" customHeight="1" x14ac:dyDescent="0.3">
      <c r="A6675" s="2">
        <v>6671</v>
      </c>
      <c r="B6675" s="66" t="s">
        <v>7145</v>
      </c>
      <c r="C6675" s="66" t="s">
        <v>7826</v>
      </c>
      <c r="D6675" s="11">
        <v>3111.49</v>
      </c>
      <c r="E6675" s="11">
        <v>3111.49</v>
      </c>
      <c r="F6675" s="3">
        <v>39052</v>
      </c>
      <c r="G6675" s="2"/>
      <c r="H6675" s="2"/>
      <c r="I6675" s="2"/>
      <c r="J6675" s="2" t="s">
        <v>13904</v>
      </c>
      <c r="K6675" s="2" t="s">
        <v>5657</v>
      </c>
      <c r="L6675" s="246" t="s">
        <v>22280</v>
      </c>
    </row>
    <row r="6676" spans="1:12" ht="84" customHeight="1" x14ac:dyDescent="0.3">
      <c r="A6676" s="2">
        <v>6672</v>
      </c>
      <c r="B6676" s="66" t="s">
        <v>7827</v>
      </c>
      <c r="C6676" s="66" t="s">
        <v>7828</v>
      </c>
      <c r="D6676" s="11">
        <v>3111.48</v>
      </c>
      <c r="E6676" s="11">
        <v>3111.48</v>
      </c>
      <c r="F6676" s="3">
        <v>39052</v>
      </c>
      <c r="G6676" s="2"/>
      <c r="H6676" s="2"/>
      <c r="I6676" s="2"/>
      <c r="J6676" s="2" t="s">
        <v>13904</v>
      </c>
      <c r="K6676" s="2" t="s">
        <v>5657</v>
      </c>
      <c r="L6676" s="246" t="s">
        <v>22280</v>
      </c>
    </row>
    <row r="6677" spans="1:12" ht="84" customHeight="1" x14ac:dyDescent="0.3">
      <c r="A6677" s="2">
        <v>6673</v>
      </c>
      <c r="B6677" s="66" t="s">
        <v>7145</v>
      </c>
      <c r="C6677" s="66" t="s">
        <v>7829</v>
      </c>
      <c r="D6677" s="11">
        <v>3105.46</v>
      </c>
      <c r="E6677" s="11">
        <v>3105.46</v>
      </c>
      <c r="F6677" s="3">
        <v>39052</v>
      </c>
      <c r="G6677" s="2"/>
      <c r="H6677" s="2"/>
      <c r="I6677" s="2"/>
      <c r="J6677" s="2" t="s">
        <v>13904</v>
      </c>
      <c r="K6677" s="2" t="s">
        <v>5657</v>
      </c>
      <c r="L6677" s="246" t="s">
        <v>22280</v>
      </c>
    </row>
    <row r="6678" spans="1:12" ht="84" customHeight="1" x14ac:dyDescent="0.3">
      <c r="A6678" s="2">
        <v>6674</v>
      </c>
      <c r="B6678" s="66" t="s">
        <v>7830</v>
      </c>
      <c r="C6678" s="66" t="s">
        <v>7831</v>
      </c>
      <c r="D6678" s="11">
        <v>4416.6000000000004</v>
      </c>
      <c r="E6678" s="11">
        <v>4416.6000000000004</v>
      </c>
      <c r="F6678" s="3">
        <v>39065</v>
      </c>
      <c r="G6678" s="2"/>
      <c r="H6678" s="2"/>
      <c r="I6678" s="2"/>
      <c r="J6678" s="2" t="s">
        <v>13904</v>
      </c>
      <c r="K6678" s="2" t="s">
        <v>5657</v>
      </c>
      <c r="L6678" s="246" t="s">
        <v>22280</v>
      </c>
    </row>
    <row r="6679" spans="1:12" ht="84" customHeight="1" x14ac:dyDescent="0.3">
      <c r="A6679" s="2">
        <v>6675</v>
      </c>
      <c r="B6679" s="66" t="s">
        <v>7145</v>
      </c>
      <c r="C6679" s="66" t="s">
        <v>7832</v>
      </c>
      <c r="D6679" s="11">
        <v>4416.6000000000004</v>
      </c>
      <c r="E6679" s="11">
        <v>4416.6000000000004</v>
      </c>
      <c r="F6679" s="3">
        <v>39065</v>
      </c>
      <c r="G6679" s="2"/>
      <c r="H6679" s="2"/>
      <c r="I6679" s="2"/>
      <c r="J6679" s="2" t="s">
        <v>13904</v>
      </c>
      <c r="K6679" s="2" t="s">
        <v>5657</v>
      </c>
      <c r="L6679" s="246" t="s">
        <v>22280</v>
      </c>
    </row>
    <row r="6680" spans="1:12" ht="84" customHeight="1" x14ac:dyDescent="0.3">
      <c r="A6680" s="2">
        <v>6676</v>
      </c>
      <c r="B6680" s="66" t="s">
        <v>7145</v>
      </c>
      <c r="C6680" s="66" t="s">
        <v>7833</v>
      </c>
      <c r="D6680" s="11">
        <v>4879.49</v>
      </c>
      <c r="E6680" s="11">
        <v>4879.49</v>
      </c>
      <c r="F6680" s="3">
        <v>39065</v>
      </c>
      <c r="G6680" s="2"/>
      <c r="H6680" s="2"/>
      <c r="I6680" s="2"/>
      <c r="J6680" s="2" t="s">
        <v>13904</v>
      </c>
      <c r="K6680" s="2" t="s">
        <v>5657</v>
      </c>
      <c r="L6680" s="246" t="s">
        <v>22280</v>
      </c>
    </row>
    <row r="6681" spans="1:12" ht="84" customHeight="1" x14ac:dyDescent="0.3">
      <c r="A6681" s="2">
        <v>6677</v>
      </c>
      <c r="B6681" s="66" t="s">
        <v>7145</v>
      </c>
      <c r="C6681" s="66" t="s">
        <v>7834</v>
      </c>
      <c r="D6681" s="11">
        <v>4879.49</v>
      </c>
      <c r="E6681" s="11">
        <v>4879.49</v>
      </c>
      <c r="F6681" s="3">
        <v>39065</v>
      </c>
      <c r="G6681" s="2"/>
      <c r="H6681" s="2"/>
      <c r="I6681" s="2"/>
      <c r="J6681" s="2" t="s">
        <v>13904</v>
      </c>
      <c r="K6681" s="2" t="s">
        <v>5657</v>
      </c>
      <c r="L6681" s="246" t="s">
        <v>22280</v>
      </c>
    </row>
    <row r="6682" spans="1:12" ht="84" customHeight="1" x14ac:dyDescent="0.3">
      <c r="A6682" s="2">
        <v>6678</v>
      </c>
      <c r="B6682" s="66" t="s">
        <v>7145</v>
      </c>
      <c r="C6682" s="66" t="s">
        <v>7835</v>
      </c>
      <c r="D6682" s="11">
        <v>4879.49</v>
      </c>
      <c r="E6682" s="11">
        <v>4879.49</v>
      </c>
      <c r="F6682" s="3">
        <v>39065</v>
      </c>
      <c r="G6682" s="2"/>
      <c r="H6682" s="2"/>
      <c r="I6682" s="2"/>
      <c r="J6682" s="2" t="s">
        <v>13904</v>
      </c>
      <c r="K6682" s="2" t="s">
        <v>5657</v>
      </c>
      <c r="L6682" s="246" t="s">
        <v>22280</v>
      </c>
    </row>
    <row r="6683" spans="1:12" ht="84" customHeight="1" x14ac:dyDescent="0.3">
      <c r="A6683" s="2">
        <v>6679</v>
      </c>
      <c r="B6683" s="66" t="s">
        <v>7836</v>
      </c>
      <c r="C6683" s="66" t="s">
        <v>7837</v>
      </c>
      <c r="D6683" s="11">
        <v>3111.49</v>
      </c>
      <c r="E6683" s="11">
        <v>3111.49</v>
      </c>
      <c r="F6683" s="3">
        <v>39052</v>
      </c>
      <c r="G6683" s="2"/>
      <c r="H6683" s="2"/>
      <c r="I6683" s="2"/>
      <c r="J6683" s="2" t="s">
        <v>13904</v>
      </c>
      <c r="K6683" s="2" t="s">
        <v>5657</v>
      </c>
      <c r="L6683" s="246" t="s">
        <v>22280</v>
      </c>
    </row>
    <row r="6684" spans="1:12" ht="84" customHeight="1" x14ac:dyDescent="0.3">
      <c r="A6684" s="2">
        <v>6680</v>
      </c>
      <c r="B6684" s="66" t="s">
        <v>7836</v>
      </c>
      <c r="C6684" s="66" t="s">
        <v>7838</v>
      </c>
      <c r="D6684" s="11">
        <v>4879.49</v>
      </c>
      <c r="E6684" s="11">
        <v>4879.49</v>
      </c>
      <c r="F6684" s="3">
        <v>39065</v>
      </c>
      <c r="G6684" s="2"/>
      <c r="H6684" s="2"/>
      <c r="I6684" s="2"/>
      <c r="J6684" s="2" t="s">
        <v>13904</v>
      </c>
      <c r="K6684" s="2" t="s">
        <v>5657</v>
      </c>
      <c r="L6684" s="246" t="s">
        <v>22280</v>
      </c>
    </row>
    <row r="6685" spans="1:12" ht="84" customHeight="1" x14ac:dyDescent="0.3">
      <c r="A6685" s="2">
        <v>6681</v>
      </c>
      <c r="B6685" s="66" t="s">
        <v>7839</v>
      </c>
      <c r="C6685" s="66" t="s">
        <v>7840</v>
      </c>
      <c r="D6685" s="11">
        <v>3111.49</v>
      </c>
      <c r="E6685" s="11">
        <v>3111.49</v>
      </c>
      <c r="F6685" s="3">
        <v>39052</v>
      </c>
      <c r="G6685" s="2"/>
      <c r="H6685" s="2"/>
      <c r="I6685" s="2"/>
      <c r="J6685" s="2" t="s">
        <v>13904</v>
      </c>
      <c r="K6685" s="2" t="s">
        <v>5657</v>
      </c>
      <c r="L6685" s="246" t="s">
        <v>22280</v>
      </c>
    </row>
    <row r="6686" spans="1:12" ht="84" customHeight="1" x14ac:dyDescent="0.3">
      <c r="A6686" s="2">
        <v>6682</v>
      </c>
      <c r="B6686" s="66" t="s">
        <v>7841</v>
      </c>
      <c r="C6686" s="66" t="s">
        <v>7842</v>
      </c>
      <c r="D6686" s="11">
        <v>4879.49</v>
      </c>
      <c r="E6686" s="11">
        <v>4879.49</v>
      </c>
      <c r="F6686" s="3">
        <v>39053</v>
      </c>
      <c r="G6686" s="2"/>
      <c r="H6686" s="2"/>
      <c r="I6686" s="2"/>
      <c r="J6686" s="2" t="s">
        <v>13904</v>
      </c>
      <c r="K6686" s="2" t="s">
        <v>5657</v>
      </c>
      <c r="L6686" s="246" t="s">
        <v>22280</v>
      </c>
    </row>
    <row r="6687" spans="1:12" ht="84" customHeight="1" x14ac:dyDescent="0.3">
      <c r="A6687" s="2">
        <v>6683</v>
      </c>
      <c r="B6687" s="66" t="s">
        <v>7839</v>
      </c>
      <c r="C6687" s="66" t="s">
        <v>7843</v>
      </c>
      <c r="D6687" s="11">
        <v>3111.49</v>
      </c>
      <c r="E6687" s="11">
        <v>3111.49</v>
      </c>
      <c r="F6687" s="3">
        <v>39052</v>
      </c>
      <c r="G6687" s="2"/>
      <c r="H6687" s="2"/>
      <c r="I6687" s="2"/>
      <c r="J6687" s="2" t="s">
        <v>13904</v>
      </c>
      <c r="K6687" s="2" t="s">
        <v>5657</v>
      </c>
      <c r="L6687" s="246" t="s">
        <v>22280</v>
      </c>
    </row>
    <row r="6688" spans="1:12" ht="84" customHeight="1" x14ac:dyDescent="0.3">
      <c r="A6688" s="2">
        <v>6684</v>
      </c>
      <c r="B6688" s="66" t="s">
        <v>7839</v>
      </c>
      <c r="C6688" s="66" t="s">
        <v>7844</v>
      </c>
      <c r="D6688" s="11">
        <v>3111.49</v>
      </c>
      <c r="E6688" s="11">
        <v>3111.49</v>
      </c>
      <c r="F6688" s="3">
        <v>39052</v>
      </c>
      <c r="G6688" s="2"/>
      <c r="H6688" s="2"/>
      <c r="I6688" s="2"/>
      <c r="J6688" s="2" t="s">
        <v>13904</v>
      </c>
      <c r="K6688" s="2" t="s">
        <v>5657</v>
      </c>
      <c r="L6688" s="246" t="s">
        <v>22280</v>
      </c>
    </row>
    <row r="6689" spans="1:12" ht="84" customHeight="1" x14ac:dyDescent="0.3">
      <c r="A6689" s="2">
        <v>6685</v>
      </c>
      <c r="B6689" s="66" t="s">
        <v>7839</v>
      </c>
      <c r="C6689" s="66" t="s">
        <v>7845</v>
      </c>
      <c r="D6689" s="11">
        <v>3111.49</v>
      </c>
      <c r="E6689" s="11">
        <v>3111.49</v>
      </c>
      <c r="F6689" s="3">
        <v>39052</v>
      </c>
      <c r="G6689" s="2"/>
      <c r="H6689" s="2"/>
      <c r="I6689" s="2"/>
      <c r="J6689" s="2" t="s">
        <v>13904</v>
      </c>
      <c r="K6689" s="2" t="s">
        <v>5657</v>
      </c>
      <c r="L6689" s="246" t="s">
        <v>22280</v>
      </c>
    </row>
    <row r="6690" spans="1:12" ht="84" customHeight="1" x14ac:dyDescent="0.3">
      <c r="A6690" s="2">
        <v>6686</v>
      </c>
      <c r="B6690" s="66" t="s">
        <v>7839</v>
      </c>
      <c r="C6690" s="66" t="s">
        <v>7846</v>
      </c>
      <c r="D6690" s="11">
        <v>3111.49</v>
      </c>
      <c r="E6690" s="11">
        <v>3111.49</v>
      </c>
      <c r="F6690" s="3">
        <v>39052</v>
      </c>
      <c r="G6690" s="2"/>
      <c r="H6690" s="2"/>
      <c r="I6690" s="2"/>
      <c r="J6690" s="2" t="s">
        <v>13904</v>
      </c>
      <c r="K6690" s="2" t="s">
        <v>5657</v>
      </c>
      <c r="L6690" s="246" t="s">
        <v>22280</v>
      </c>
    </row>
    <row r="6691" spans="1:12" ht="84" customHeight="1" x14ac:dyDescent="0.3">
      <c r="A6691" s="2">
        <v>6687</v>
      </c>
      <c r="B6691" s="66" t="s">
        <v>7839</v>
      </c>
      <c r="C6691" s="66" t="s">
        <v>7847</v>
      </c>
      <c r="D6691" s="11">
        <v>3111.49</v>
      </c>
      <c r="E6691" s="11">
        <v>3111.49</v>
      </c>
      <c r="F6691" s="3">
        <v>39052</v>
      </c>
      <c r="G6691" s="2"/>
      <c r="H6691" s="2"/>
      <c r="I6691" s="2"/>
      <c r="J6691" s="2" t="s">
        <v>13904</v>
      </c>
      <c r="K6691" s="2" t="s">
        <v>5657</v>
      </c>
      <c r="L6691" s="246" t="s">
        <v>22280</v>
      </c>
    </row>
    <row r="6692" spans="1:12" ht="84" customHeight="1" x14ac:dyDescent="0.3">
      <c r="A6692" s="2">
        <v>6688</v>
      </c>
      <c r="B6692" s="66" t="s">
        <v>7839</v>
      </c>
      <c r="C6692" s="66" t="s">
        <v>7848</v>
      </c>
      <c r="D6692" s="11">
        <v>3111.49</v>
      </c>
      <c r="E6692" s="11">
        <v>3111.49</v>
      </c>
      <c r="F6692" s="3">
        <v>39052</v>
      </c>
      <c r="G6692" s="2"/>
      <c r="H6692" s="2"/>
      <c r="I6692" s="2"/>
      <c r="J6692" s="2" t="s">
        <v>13904</v>
      </c>
      <c r="K6692" s="2" t="s">
        <v>5657</v>
      </c>
      <c r="L6692" s="246" t="s">
        <v>22280</v>
      </c>
    </row>
    <row r="6693" spans="1:12" ht="84" customHeight="1" x14ac:dyDescent="0.3">
      <c r="A6693" s="2">
        <v>6689</v>
      </c>
      <c r="B6693" s="66" t="s">
        <v>7839</v>
      </c>
      <c r="C6693" s="66" t="s">
        <v>7849</v>
      </c>
      <c r="D6693" s="11">
        <v>3111.49</v>
      </c>
      <c r="E6693" s="11">
        <v>3111.49</v>
      </c>
      <c r="F6693" s="3">
        <v>39052</v>
      </c>
      <c r="G6693" s="2"/>
      <c r="H6693" s="2"/>
      <c r="I6693" s="2"/>
      <c r="J6693" s="2" t="s">
        <v>13904</v>
      </c>
      <c r="K6693" s="2" t="s">
        <v>5657</v>
      </c>
      <c r="L6693" s="246" t="s">
        <v>22280</v>
      </c>
    </row>
    <row r="6694" spans="1:12" ht="84" customHeight="1" x14ac:dyDescent="0.3">
      <c r="A6694" s="2">
        <v>6690</v>
      </c>
      <c r="B6694" s="66" t="s">
        <v>7839</v>
      </c>
      <c r="C6694" s="66" t="s">
        <v>7850</v>
      </c>
      <c r="D6694" s="11">
        <v>3111.49</v>
      </c>
      <c r="E6694" s="11">
        <v>3111.49</v>
      </c>
      <c r="F6694" s="3">
        <v>39052</v>
      </c>
      <c r="G6694" s="2"/>
      <c r="H6694" s="2"/>
      <c r="I6694" s="2"/>
      <c r="J6694" s="2" t="s">
        <v>13904</v>
      </c>
      <c r="K6694" s="2" t="s">
        <v>5657</v>
      </c>
      <c r="L6694" s="246" t="s">
        <v>22280</v>
      </c>
    </row>
    <row r="6695" spans="1:12" ht="84" customHeight="1" x14ac:dyDescent="0.3">
      <c r="A6695" s="2">
        <v>6691</v>
      </c>
      <c r="B6695" s="66" t="s">
        <v>7839</v>
      </c>
      <c r="C6695" s="66" t="s">
        <v>7851</v>
      </c>
      <c r="D6695" s="11">
        <v>3111.49</v>
      </c>
      <c r="E6695" s="11">
        <v>3111.49</v>
      </c>
      <c r="F6695" s="3">
        <v>39052</v>
      </c>
      <c r="G6695" s="2"/>
      <c r="H6695" s="2"/>
      <c r="I6695" s="2"/>
      <c r="J6695" s="2" t="s">
        <v>13904</v>
      </c>
      <c r="K6695" s="2" t="s">
        <v>5657</v>
      </c>
      <c r="L6695" s="246" t="s">
        <v>22280</v>
      </c>
    </row>
    <row r="6696" spans="1:12" ht="84" customHeight="1" x14ac:dyDescent="0.3">
      <c r="A6696" s="2">
        <v>6692</v>
      </c>
      <c r="B6696" s="66" t="s">
        <v>7839</v>
      </c>
      <c r="C6696" s="66" t="s">
        <v>7852</v>
      </c>
      <c r="D6696" s="11">
        <v>3111.48</v>
      </c>
      <c r="E6696" s="11">
        <v>3111.48</v>
      </c>
      <c r="F6696" s="3">
        <v>39052</v>
      </c>
      <c r="G6696" s="2"/>
      <c r="H6696" s="2"/>
      <c r="I6696" s="2"/>
      <c r="J6696" s="2" t="s">
        <v>13904</v>
      </c>
      <c r="K6696" s="2" t="s">
        <v>5657</v>
      </c>
      <c r="L6696" s="246" t="s">
        <v>22280</v>
      </c>
    </row>
    <row r="6697" spans="1:12" ht="84" customHeight="1" x14ac:dyDescent="0.3">
      <c r="A6697" s="2">
        <v>6693</v>
      </c>
      <c r="B6697" s="66" t="s">
        <v>7853</v>
      </c>
      <c r="C6697" s="66" t="s">
        <v>7854</v>
      </c>
      <c r="D6697" s="11">
        <v>3111.49</v>
      </c>
      <c r="E6697" s="11">
        <v>3111.49</v>
      </c>
      <c r="F6697" s="3">
        <v>39052</v>
      </c>
      <c r="G6697" s="2"/>
      <c r="H6697" s="2"/>
      <c r="I6697" s="2"/>
      <c r="J6697" s="2" t="s">
        <v>13904</v>
      </c>
      <c r="K6697" s="2" t="s">
        <v>5657</v>
      </c>
      <c r="L6697" s="246" t="s">
        <v>22280</v>
      </c>
    </row>
    <row r="6698" spans="1:12" ht="84" customHeight="1" x14ac:dyDescent="0.3">
      <c r="A6698" s="2">
        <v>6694</v>
      </c>
      <c r="B6698" s="66" t="s">
        <v>7827</v>
      </c>
      <c r="C6698" s="66" t="s">
        <v>7855</v>
      </c>
      <c r="D6698" s="11">
        <v>3111.49</v>
      </c>
      <c r="E6698" s="11">
        <v>3111.49</v>
      </c>
      <c r="F6698" s="3">
        <v>39052</v>
      </c>
      <c r="G6698" s="2"/>
      <c r="H6698" s="2"/>
      <c r="I6698" s="2"/>
      <c r="J6698" s="2" t="s">
        <v>13904</v>
      </c>
      <c r="K6698" s="2" t="s">
        <v>5657</v>
      </c>
      <c r="L6698" s="246" t="s">
        <v>22280</v>
      </c>
    </row>
    <row r="6699" spans="1:12" ht="84" customHeight="1" x14ac:dyDescent="0.3">
      <c r="A6699" s="2">
        <v>6695</v>
      </c>
      <c r="B6699" s="66" t="s">
        <v>7820</v>
      </c>
      <c r="C6699" s="66" t="s">
        <v>7856</v>
      </c>
      <c r="D6699" s="11">
        <v>4054.74</v>
      </c>
      <c r="E6699" s="11">
        <v>4054.74</v>
      </c>
      <c r="F6699" s="3">
        <v>39052</v>
      </c>
      <c r="G6699" s="2"/>
      <c r="H6699" s="2"/>
      <c r="I6699" s="2"/>
      <c r="J6699" s="2" t="s">
        <v>13904</v>
      </c>
      <c r="K6699" s="2" t="s">
        <v>5657</v>
      </c>
      <c r="L6699" s="246" t="s">
        <v>22280</v>
      </c>
    </row>
    <row r="6700" spans="1:12" ht="84" customHeight="1" x14ac:dyDescent="0.3">
      <c r="A6700" s="2">
        <v>6696</v>
      </c>
      <c r="B6700" s="66" t="s">
        <v>7841</v>
      </c>
      <c r="C6700" s="66" t="s">
        <v>7857</v>
      </c>
      <c r="D6700" s="11">
        <v>4879.49</v>
      </c>
      <c r="E6700" s="11">
        <v>4879.49</v>
      </c>
      <c r="F6700" s="3">
        <v>39065</v>
      </c>
      <c r="G6700" s="2"/>
      <c r="H6700" s="2"/>
      <c r="I6700" s="2"/>
      <c r="J6700" s="2" t="s">
        <v>13904</v>
      </c>
      <c r="K6700" s="2" t="s">
        <v>5657</v>
      </c>
      <c r="L6700" s="246" t="s">
        <v>22280</v>
      </c>
    </row>
    <row r="6701" spans="1:12" ht="84" customHeight="1" x14ac:dyDescent="0.3">
      <c r="A6701" s="2">
        <v>6697</v>
      </c>
      <c r="B6701" s="66" t="s">
        <v>7839</v>
      </c>
      <c r="C6701" s="66" t="s">
        <v>7858</v>
      </c>
      <c r="D6701" s="11">
        <v>4879.4799999999996</v>
      </c>
      <c r="E6701" s="11">
        <v>4879.4799999999996</v>
      </c>
      <c r="F6701" s="3">
        <v>39065</v>
      </c>
      <c r="G6701" s="2"/>
      <c r="H6701" s="2"/>
      <c r="I6701" s="2"/>
      <c r="J6701" s="2" t="s">
        <v>13904</v>
      </c>
      <c r="K6701" s="2" t="s">
        <v>5657</v>
      </c>
      <c r="L6701" s="246" t="s">
        <v>22280</v>
      </c>
    </row>
    <row r="6702" spans="1:12" ht="84" customHeight="1" x14ac:dyDescent="0.3">
      <c r="A6702" s="2">
        <v>6698</v>
      </c>
      <c r="B6702" s="66" t="s">
        <v>7841</v>
      </c>
      <c r="C6702" s="66" t="s">
        <v>7859</v>
      </c>
      <c r="D6702" s="11">
        <v>3111.49</v>
      </c>
      <c r="E6702" s="11">
        <v>3111.49</v>
      </c>
      <c r="F6702" s="3">
        <v>39052</v>
      </c>
      <c r="G6702" s="2"/>
      <c r="H6702" s="2"/>
      <c r="I6702" s="2"/>
      <c r="J6702" s="2" t="s">
        <v>13904</v>
      </c>
      <c r="K6702" s="2" t="s">
        <v>5657</v>
      </c>
      <c r="L6702" s="246" t="s">
        <v>22280</v>
      </c>
    </row>
    <row r="6703" spans="1:12" ht="84" customHeight="1" x14ac:dyDescent="0.3">
      <c r="A6703" s="2">
        <v>6699</v>
      </c>
      <c r="B6703" s="66" t="s">
        <v>7860</v>
      </c>
      <c r="C6703" s="66" t="s">
        <v>7861</v>
      </c>
      <c r="D6703" s="11">
        <v>3111.49</v>
      </c>
      <c r="E6703" s="11">
        <v>3111.49</v>
      </c>
      <c r="F6703" s="3">
        <v>39052</v>
      </c>
      <c r="G6703" s="2"/>
      <c r="H6703" s="2"/>
      <c r="I6703" s="2"/>
      <c r="J6703" s="2" t="s">
        <v>13904</v>
      </c>
      <c r="K6703" s="2" t="s">
        <v>5657</v>
      </c>
      <c r="L6703" s="246" t="s">
        <v>22280</v>
      </c>
    </row>
    <row r="6704" spans="1:12" ht="84" customHeight="1" x14ac:dyDescent="0.3">
      <c r="A6704" s="2">
        <v>6700</v>
      </c>
      <c r="B6704" s="66" t="s">
        <v>7862</v>
      </c>
      <c r="C6704" s="66" t="s">
        <v>7863</v>
      </c>
      <c r="D6704" s="11">
        <v>3111.48</v>
      </c>
      <c r="E6704" s="11">
        <v>3111.48</v>
      </c>
      <c r="F6704" s="3">
        <v>39052</v>
      </c>
      <c r="G6704" s="2"/>
      <c r="H6704" s="2"/>
      <c r="I6704" s="2"/>
      <c r="J6704" s="2" t="s">
        <v>13904</v>
      </c>
      <c r="K6704" s="2" t="s">
        <v>5657</v>
      </c>
      <c r="L6704" s="246" t="s">
        <v>22280</v>
      </c>
    </row>
    <row r="6705" spans="1:12" ht="84" customHeight="1" x14ac:dyDescent="0.3">
      <c r="A6705" s="2">
        <v>6701</v>
      </c>
      <c r="B6705" s="66" t="s">
        <v>7864</v>
      </c>
      <c r="C6705" s="66" t="s">
        <v>7865</v>
      </c>
      <c r="D6705" s="11">
        <v>6005.37</v>
      </c>
      <c r="E6705" s="11">
        <v>6005.37</v>
      </c>
      <c r="F6705" s="3">
        <v>39052</v>
      </c>
      <c r="G6705" s="2"/>
      <c r="H6705" s="2"/>
      <c r="I6705" s="2"/>
      <c r="J6705" s="2" t="s">
        <v>13904</v>
      </c>
      <c r="K6705" s="2" t="s">
        <v>5657</v>
      </c>
      <c r="L6705" s="246" t="s">
        <v>22280</v>
      </c>
    </row>
    <row r="6706" spans="1:12" ht="84" customHeight="1" x14ac:dyDescent="0.3">
      <c r="A6706" s="2">
        <v>6702</v>
      </c>
      <c r="B6706" s="66" t="s">
        <v>7864</v>
      </c>
      <c r="C6706" s="66" t="s">
        <v>7866</v>
      </c>
      <c r="D6706" s="11">
        <v>6005.37</v>
      </c>
      <c r="E6706" s="11">
        <v>6005.37</v>
      </c>
      <c r="F6706" s="3">
        <v>39052</v>
      </c>
      <c r="G6706" s="2"/>
      <c r="H6706" s="2"/>
      <c r="I6706" s="2"/>
      <c r="J6706" s="2" t="s">
        <v>13904</v>
      </c>
      <c r="K6706" s="2" t="s">
        <v>5657</v>
      </c>
      <c r="L6706" s="246" t="s">
        <v>22280</v>
      </c>
    </row>
    <row r="6707" spans="1:12" ht="84" customHeight="1" x14ac:dyDescent="0.3">
      <c r="A6707" s="2">
        <v>6703</v>
      </c>
      <c r="B6707" s="66" t="s">
        <v>7864</v>
      </c>
      <c r="C6707" s="66" t="s">
        <v>7867</v>
      </c>
      <c r="D6707" s="11">
        <v>6005.37</v>
      </c>
      <c r="E6707" s="11">
        <v>6005.37</v>
      </c>
      <c r="F6707" s="3">
        <v>39052</v>
      </c>
      <c r="G6707" s="2"/>
      <c r="H6707" s="2"/>
      <c r="I6707" s="2"/>
      <c r="J6707" s="2" t="s">
        <v>13904</v>
      </c>
      <c r="K6707" s="2" t="s">
        <v>5657</v>
      </c>
      <c r="L6707" s="246" t="s">
        <v>22280</v>
      </c>
    </row>
    <row r="6708" spans="1:12" ht="84" customHeight="1" x14ac:dyDescent="0.3">
      <c r="A6708" s="2">
        <v>6704</v>
      </c>
      <c r="B6708" s="66" t="s">
        <v>7864</v>
      </c>
      <c r="C6708" s="66" t="s">
        <v>7868</v>
      </c>
      <c r="D6708" s="11">
        <v>6005.37</v>
      </c>
      <c r="E6708" s="11">
        <v>6005.37</v>
      </c>
      <c r="F6708" s="3">
        <v>39052</v>
      </c>
      <c r="G6708" s="2"/>
      <c r="H6708" s="2"/>
      <c r="I6708" s="2"/>
      <c r="J6708" s="2" t="s">
        <v>13904</v>
      </c>
      <c r="K6708" s="2" t="s">
        <v>5657</v>
      </c>
      <c r="L6708" s="246" t="s">
        <v>22280</v>
      </c>
    </row>
    <row r="6709" spans="1:12" ht="84" customHeight="1" x14ac:dyDescent="0.3">
      <c r="A6709" s="2">
        <v>6705</v>
      </c>
      <c r="B6709" s="66" t="s">
        <v>7864</v>
      </c>
      <c r="C6709" s="66" t="s">
        <v>7869</v>
      </c>
      <c r="D6709" s="11">
        <v>6005.37</v>
      </c>
      <c r="E6709" s="11">
        <v>6005.37</v>
      </c>
      <c r="F6709" s="3">
        <v>39052</v>
      </c>
      <c r="G6709" s="2"/>
      <c r="H6709" s="2"/>
      <c r="I6709" s="2"/>
      <c r="J6709" s="2" t="s">
        <v>13904</v>
      </c>
      <c r="K6709" s="2" t="s">
        <v>5657</v>
      </c>
      <c r="L6709" s="246" t="s">
        <v>22280</v>
      </c>
    </row>
    <row r="6710" spans="1:12" ht="84" customHeight="1" x14ac:dyDescent="0.3">
      <c r="A6710" s="2">
        <v>6706</v>
      </c>
      <c r="B6710" s="66" t="s">
        <v>7864</v>
      </c>
      <c r="C6710" s="66" t="s">
        <v>7870</v>
      </c>
      <c r="D6710" s="11">
        <v>6005.37</v>
      </c>
      <c r="E6710" s="11">
        <v>6005.37</v>
      </c>
      <c r="F6710" s="3">
        <v>39052</v>
      </c>
      <c r="G6710" s="2"/>
      <c r="H6710" s="2"/>
      <c r="I6710" s="2"/>
      <c r="J6710" s="2" t="s">
        <v>13904</v>
      </c>
      <c r="K6710" s="2" t="s">
        <v>5657</v>
      </c>
      <c r="L6710" s="246" t="s">
        <v>22280</v>
      </c>
    </row>
    <row r="6711" spans="1:12" ht="84" customHeight="1" x14ac:dyDescent="0.3">
      <c r="A6711" s="2">
        <v>6707</v>
      </c>
      <c r="B6711" s="66" t="s">
        <v>7864</v>
      </c>
      <c r="C6711" s="66" t="s">
        <v>7871</v>
      </c>
      <c r="D6711" s="11">
        <v>6005.37</v>
      </c>
      <c r="E6711" s="11">
        <v>6005.37</v>
      </c>
      <c r="F6711" s="3">
        <v>39052</v>
      </c>
      <c r="G6711" s="2"/>
      <c r="H6711" s="2"/>
      <c r="I6711" s="2"/>
      <c r="J6711" s="2" t="s">
        <v>13904</v>
      </c>
      <c r="K6711" s="2" t="s">
        <v>5657</v>
      </c>
      <c r="L6711" s="246" t="s">
        <v>22280</v>
      </c>
    </row>
    <row r="6712" spans="1:12" ht="84" customHeight="1" x14ac:dyDescent="0.3">
      <c r="A6712" s="2">
        <v>6708</v>
      </c>
      <c r="B6712" s="66" t="s">
        <v>7864</v>
      </c>
      <c r="C6712" s="66" t="s">
        <v>7872</v>
      </c>
      <c r="D6712" s="11">
        <v>6005.37</v>
      </c>
      <c r="E6712" s="11">
        <v>6005.37</v>
      </c>
      <c r="F6712" s="3">
        <v>39052</v>
      </c>
      <c r="G6712" s="2"/>
      <c r="H6712" s="2"/>
      <c r="I6712" s="2"/>
      <c r="J6712" s="2" t="s">
        <v>13904</v>
      </c>
      <c r="K6712" s="2" t="s">
        <v>5657</v>
      </c>
      <c r="L6712" s="246" t="s">
        <v>22280</v>
      </c>
    </row>
    <row r="6713" spans="1:12" ht="84" customHeight="1" x14ac:dyDescent="0.3">
      <c r="A6713" s="2">
        <v>6709</v>
      </c>
      <c r="B6713" s="66" t="s">
        <v>7864</v>
      </c>
      <c r="C6713" s="66" t="s">
        <v>7873</v>
      </c>
      <c r="D6713" s="11">
        <v>6005.37</v>
      </c>
      <c r="E6713" s="11">
        <v>6005.37</v>
      </c>
      <c r="F6713" s="3">
        <v>39052</v>
      </c>
      <c r="G6713" s="2"/>
      <c r="H6713" s="2"/>
      <c r="I6713" s="2"/>
      <c r="J6713" s="2" t="s">
        <v>13904</v>
      </c>
      <c r="K6713" s="2" t="s">
        <v>5657</v>
      </c>
      <c r="L6713" s="246" t="s">
        <v>22280</v>
      </c>
    </row>
    <row r="6714" spans="1:12" ht="84" customHeight="1" x14ac:dyDescent="0.3">
      <c r="A6714" s="2">
        <v>6710</v>
      </c>
      <c r="B6714" s="66" t="s">
        <v>7874</v>
      </c>
      <c r="C6714" s="66" t="s">
        <v>7875</v>
      </c>
      <c r="D6714" s="11">
        <v>54334.19</v>
      </c>
      <c r="E6714" s="11">
        <v>54334.19</v>
      </c>
      <c r="F6714" s="3">
        <v>39052</v>
      </c>
      <c r="G6714" s="2"/>
      <c r="H6714" s="2"/>
      <c r="I6714" s="2"/>
      <c r="J6714" s="2" t="s">
        <v>13904</v>
      </c>
      <c r="K6714" s="2" t="s">
        <v>5657</v>
      </c>
      <c r="L6714" s="82" t="s">
        <v>18773</v>
      </c>
    </row>
    <row r="6715" spans="1:12" ht="84" customHeight="1" x14ac:dyDescent="0.3">
      <c r="A6715" s="2">
        <v>6711</v>
      </c>
      <c r="B6715" s="66" t="s">
        <v>7876</v>
      </c>
      <c r="C6715" s="66" t="s">
        <v>7877</v>
      </c>
      <c r="D6715" s="11">
        <v>10452</v>
      </c>
      <c r="E6715" s="11">
        <v>10452</v>
      </c>
      <c r="F6715" s="3">
        <v>39142</v>
      </c>
      <c r="G6715" s="2"/>
      <c r="H6715" s="2"/>
      <c r="I6715" s="2"/>
      <c r="J6715" s="2" t="s">
        <v>13904</v>
      </c>
      <c r="K6715" s="2" t="s">
        <v>5657</v>
      </c>
      <c r="L6715" s="246" t="s">
        <v>22280</v>
      </c>
    </row>
    <row r="6716" spans="1:12" ht="84" customHeight="1" x14ac:dyDescent="0.3">
      <c r="A6716" s="2">
        <v>6712</v>
      </c>
      <c r="B6716" s="66" t="s">
        <v>7878</v>
      </c>
      <c r="C6716" s="66" t="s">
        <v>7879</v>
      </c>
      <c r="D6716" s="11">
        <v>3565</v>
      </c>
      <c r="E6716" s="11">
        <v>3565</v>
      </c>
      <c r="F6716" s="3">
        <v>39142</v>
      </c>
      <c r="G6716" s="2"/>
      <c r="H6716" s="2"/>
      <c r="I6716" s="2"/>
      <c r="J6716" s="2" t="s">
        <v>13904</v>
      </c>
      <c r="K6716" s="2" t="s">
        <v>5657</v>
      </c>
      <c r="L6716" s="246" t="s">
        <v>22280</v>
      </c>
    </row>
    <row r="6717" spans="1:12" ht="84" customHeight="1" x14ac:dyDescent="0.3">
      <c r="A6717" s="2">
        <v>6713</v>
      </c>
      <c r="B6717" s="66" t="s">
        <v>7880</v>
      </c>
      <c r="C6717" s="66" t="s">
        <v>7881</v>
      </c>
      <c r="D6717" s="11">
        <v>5456.5</v>
      </c>
      <c r="E6717" s="11">
        <v>5456.5</v>
      </c>
      <c r="F6717" s="3">
        <v>39052</v>
      </c>
      <c r="G6717" s="2"/>
      <c r="H6717" s="2"/>
      <c r="I6717" s="2"/>
      <c r="J6717" s="2" t="s">
        <v>13904</v>
      </c>
      <c r="K6717" s="2" t="s">
        <v>5657</v>
      </c>
      <c r="L6717" s="246" t="s">
        <v>22280</v>
      </c>
    </row>
    <row r="6718" spans="1:12" ht="84" customHeight="1" x14ac:dyDescent="0.3">
      <c r="A6718" s="2">
        <v>6714</v>
      </c>
      <c r="B6718" s="66" t="s">
        <v>7882</v>
      </c>
      <c r="C6718" s="66" t="s">
        <v>7883</v>
      </c>
      <c r="D6718" s="11">
        <v>5733.04</v>
      </c>
      <c r="E6718" s="11">
        <v>5733.04</v>
      </c>
      <c r="F6718" s="3">
        <v>39052</v>
      </c>
      <c r="G6718" s="2"/>
      <c r="H6718" s="2"/>
      <c r="I6718" s="2"/>
      <c r="J6718" s="2" t="s">
        <v>13904</v>
      </c>
      <c r="K6718" s="2" t="s">
        <v>5657</v>
      </c>
      <c r="L6718" s="246" t="s">
        <v>22280</v>
      </c>
    </row>
    <row r="6719" spans="1:12" ht="84" customHeight="1" x14ac:dyDescent="0.3">
      <c r="A6719" s="2">
        <v>6715</v>
      </c>
      <c r="B6719" s="66" t="s">
        <v>7882</v>
      </c>
      <c r="C6719" s="66" t="s">
        <v>7884</v>
      </c>
      <c r="D6719" s="11">
        <v>5733.04</v>
      </c>
      <c r="E6719" s="11">
        <v>5733.04</v>
      </c>
      <c r="F6719" s="3">
        <v>39052</v>
      </c>
      <c r="G6719" s="2"/>
      <c r="H6719" s="2"/>
      <c r="I6719" s="2"/>
      <c r="J6719" s="2" t="s">
        <v>13904</v>
      </c>
      <c r="K6719" s="2" t="s">
        <v>5657</v>
      </c>
      <c r="L6719" s="246" t="s">
        <v>22280</v>
      </c>
    </row>
    <row r="6720" spans="1:12" ht="84" customHeight="1" x14ac:dyDescent="0.3">
      <c r="A6720" s="2">
        <v>6716</v>
      </c>
      <c r="B6720" s="66" t="s">
        <v>7885</v>
      </c>
      <c r="C6720" s="66" t="s">
        <v>7886</v>
      </c>
      <c r="D6720" s="11">
        <v>4146</v>
      </c>
      <c r="E6720" s="11">
        <v>4146</v>
      </c>
      <c r="F6720" s="3">
        <v>40087</v>
      </c>
      <c r="G6720" s="2"/>
      <c r="H6720" s="2"/>
      <c r="I6720" s="2"/>
      <c r="J6720" s="2" t="s">
        <v>13904</v>
      </c>
      <c r="K6720" s="2" t="s">
        <v>5657</v>
      </c>
      <c r="L6720" s="246" t="s">
        <v>22280</v>
      </c>
    </row>
    <row r="6721" spans="1:12" ht="84" customHeight="1" x14ac:dyDescent="0.3">
      <c r="A6721" s="2">
        <v>6717</v>
      </c>
      <c r="B6721" s="66" t="s">
        <v>7887</v>
      </c>
      <c r="C6721" s="66" t="s">
        <v>7888</v>
      </c>
      <c r="D6721" s="11">
        <v>4146</v>
      </c>
      <c r="E6721" s="11">
        <v>4146</v>
      </c>
      <c r="F6721" s="3">
        <v>40100</v>
      </c>
      <c r="G6721" s="2"/>
      <c r="H6721" s="2"/>
      <c r="I6721" s="2"/>
      <c r="J6721" s="2" t="s">
        <v>13904</v>
      </c>
      <c r="K6721" s="2" t="s">
        <v>5657</v>
      </c>
      <c r="L6721" s="246" t="s">
        <v>22280</v>
      </c>
    </row>
    <row r="6722" spans="1:12" ht="84" customHeight="1" x14ac:dyDescent="0.3">
      <c r="A6722" s="2">
        <v>6718</v>
      </c>
      <c r="B6722" s="66" t="s">
        <v>7887</v>
      </c>
      <c r="C6722" s="66" t="s">
        <v>7889</v>
      </c>
      <c r="D6722" s="11">
        <v>4146</v>
      </c>
      <c r="E6722" s="11">
        <v>4146</v>
      </c>
      <c r="F6722" s="3">
        <v>40100</v>
      </c>
      <c r="G6722" s="2"/>
      <c r="H6722" s="2"/>
      <c r="I6722" s="2"/>
      <c r="J6722" s="2" t="s">
        <v>13904</v>
      </c>
      <c r="K6722" s="2" t="s">
        <v>5657</v>
      </c>
      <c r="L6722" s="246" t="s">
        <v>22280</v>
      </c>
    </row>
    <row r="6723" spans="1:12" ht="84" customHeight="1" x14ac:dyDescent="0.3">
      <c r="A6723" s="2">
        <v>6719</v>
      </c>
      <c r="B6723" s="66" t="s">
        <v>7890</v>
      </c>
      <c r="C6723" s="66" t="s">
        <v>7891</v>
      </c>
      <c r="D6723" s="11">
        <v>4146</v>
      </c>
      <c r="E6723" s="11">
        <v>4146</v>
      </c>
      <c r="F6723" s="3">
        <v>40100</v>
      </c>
      <c r="G6723" s="2"/>
      <c r="H6723" s="2"/>
      <c r="I6723" s="2"/>
      <c r="J6723" s="2" t="s">
        <v>13904</v>
      </c>
      <c r="K6723" s="2" t="s">
        <v>5657</v>
      </c>
      <c r="L6723" s="246" t="s">
        <v>22280</v>
      </c>
    </row>
    <row r="6724" spans="1:12" ht="84" customHeight="1" x14ac:dyDescent="0.3">
      <c r="A6724" s="2">
        <v>6720</v>
      </c>
      <c r="B6724" s="66" t="s">
        <v>7892</v>
      </c>
      <c r="C6724" s="66" t="s">
        <v>7893</v>
      </c>
      <c r="D6724" s="11">
        <v>4146</v>
      </c>
      <c r="E6724" s="11">
        <v>4146</v>
      </c>
      <c r="F6724" s="3">
        <v>40100</v>
      </c>
      <c r="G6724" s="2"/>
      <c r="H6724" s="2"/>
      <c r="I6724" s="2"/>
      <c r="J6724" s="2" t="s">
        <v>13904</v>
      </c>
      <c r="K6724" s="2" t="s">
        <v>5657</v>
      </c>
      <c r="L6724" s="246" t="s">
        <v>22280</v>
      </c>
    </row>
    <row r="6725" spans="1:12" ht="84" customHeight="1" x14ac:dyDescent="0.3">
      <c r="A6725" s="2">
        <v>6721</v>
      </c>
      <c r="B6725" s="66" t="s">
        <v>7894</v>
      </c>
      <c r="C6725" s="66" t="s">
        <v>7895</v>
      </c>
      <c r="D6725" s="11">
        <v>4146</v>
      </c>
      <c r="E6725" s="11">
        <v>4146</v>
      </c>
      <c r="F6725" s="3">
        <v>40100</v>
      </c>
      <c r="G6725" s="2"/>
      <c r="H6725" s="2"/>
      <c r="I6725" s="2"/>
      <c r="J6725" s="2" t="s">
        <v>13904</v>
      </c>
      <c r="K6725" s="2" t="s">
        <v>5657</v>
      </c>
      <c r="L6725" s="246" t="s">
        <v>22280</v>
      </c>
    </row>
    <row r="6726" spans="1:12" ht="84" customHeight="1" x14ac:dyDescent="0.3">
      <c r="A6726" s="2">
        <v>6722</v>
      </c>
      <c r="B6726" s="66" t="s">
        <v>7896</v>
      </c>
      <c r="C6726" s="66" t="s">
        <v>7897</v>
      </c>
      <c r="D6726" s="11">
        <v>5456.51</v>
      </c>
      <c r="E6726" s="11">
        <v>5456.51</v>
      </c>
      <c r="F6726" s="3">
        <v>39052</v>
      </c>
      <c r="G6726" s="2"/>
      <c r="H6726" s="2"/>
      <c r="I6726" s="2"/>
      <c r="J6726" s="2" t="s">
        <v>13904</v>
      </c>
      <c r="K6726" s="2" t="s">
        <v>5657</v>
      </c>
      <c r="L6726" s="246" t="s">
        <v>22280</v>
      </c>
    </row>
    <row r="6727" spans="1:12" ht="84" customHeight="1" x14ac:dyDescent="0.3">
      <c r="A6727" s="2">
        <v>6723</v>
      </c>
      <c r="B6727" s="66" t="s">
        <v>7898</v>
      </c>
      <c r="C6727" s="66" t="s">
        <v>7899</v>
      </c>
      <c r="D6727" s="11">
        <v>7207.02</v>
      </c>
      <c r="E6727" s="11">
        <v>7207.02</v>
      </c>
      <c r="F6727" s="3">
        <v>39052</v>
      </c>
      <c r="G6727" s="2"/>
      <c r="H6727" s="2"/>
      <c r="I6727" s="2"/>
      <c r="J6727" s="2" t="s">
        <v>13904</v>
      </c>
      <c r="K6727" s="2" t="s">
        <v>5657</v>
      </c>
      <c r="L6727" s="246" t="s">
        <v>22280</v>
      </c>
    </row>
    <row r="6728" spans="1:12" ht="84" customHeight="1" x14ac:dyDescent="0.3">
      <c r="A6728" s="2">
        <v>6724</v>
      </c>
      <c r="B6728" s="66" t="s">
        <v>7900</v>
      </c>
      <c r="C6728" s="66" t="s">
        <v>7901</v>
      </c>
      <c r="D6728" s="11">
        <v>11561</v>
      </c>
      <c r="E6728" s="11">
        <v>11561</v>
      </c>
      <c r="F6728" s="3">
        <v>39052</v>
      </c>
      <c r="G6728" s="2"/>
      <c r="H6728" s="2"/>
      <c r="I6728" s="2"/>
      <c r="J6728" s="2" t="s">
        <v>13904</v>
      </c>
      <c r="K6728" s="2" t="s">
        <v>5657</v>
      </c>
      <c r="L6728" s="246" t="s">
        <v>22280</v>
      </c>
    </row>
    <row r="6729" spans="1:12" ht="84" customHeight="1" x14ac:dyDescent="0.3">
      <c r="A6729" s="2">
        <v>6725</v>
      </c>
      <c r="B6729" s="66" t="s">
        <v>7900</v>
      </c>
      <c r="C6729" s="66" t="s">
        <v>7902</v>
      </c>
      <c r="D6729" s="11">
        <v>11560.98</v>
      </c>
      <c r="E6729" s="11">
        <v>11560.98</v>
      </c>
      <c r="F6729" s="3">
        <v>39065</v>
      </c>
      <c r="G6729" s="2"/>
      <c r="H6729" s="2"/>
      <c r="I6729" s="2"/>
      <c r="J6729" s="2" t="s">
        <v>13904</v>
      </c>
      <c r="K6729" s="2" t="s">
        <v>5657</v>
      </c>
      <c r="L6729" s="246" t="s">
        <v>22280</v>
      </c>
    </row>
    <row r="6730" spans="1:12" ht="84" customHeight="1" x14ac:dyDescent="0.3">
      <c r="A6730" s="2">
        <v>6726</v>
      </c>
      <c r="B6730" s="66" t="s">
        <v>7903</v>
      </c>
      <c r="C6730" s="66" t="s">
        <v>7904</v>
      </c>
      <c r="D6730" s="11">
        <v>11561</v>
      </c>
      <c r="E6730" s="11">
        <v>11561</v>
      </c>
      <c r="F6730" s="3">
        <v>39065</v>
      </c>
      <c r="G6730" s="2"/>
      <c r="H6730" s="2"/>
      <c r="I6730" s="2"/>
      <c r="J6730" s="2" t="s">
        <v>13904</v>
      </c>
      <c r="K6730" s="2" t="s">
        <v>5657</v>
      </c>
      <c r="L6730" s="246" t="s">
        <v>22280</v>
      </c>
    </row>
    <row r="6731" spans="1:12" ht="84" customHeight="1" x14ac:dyDescent="0.3">
      <c r="A6731" s="2">
        <v>6727</v>
      </c>
      <c r="B6731" s="66" t="s">
        <v>7900</v>
      </c>
      <c r="C6731" s="66" t="s">
        <v>7905</v>
      </c>
      <c r="D6731" s="11">
        <v>11560.98</v>
      </c>
      <c r="E6731" s="11">
        <v>11560.98</v>
      </c>
      <c r="F6731" s="3">
        <v>39065</v>
      </c>
      <c r="G6731" s="2"/>
      <c r="H6731" s="2"/>
      <c r="I6731" s="2"/>
      <c r="J6731" s="2" t="s">
        <v>13904</v>
      </c>
      <c r="K6731" s="2" t="s">
        <v>5657</v>
      </c>
      <c r="L6731" s="246" t="s">
        <v>22280</v>
      </c>
    </row>
    <row r="6732" spans="1:12" ht="84" customHeight="1" x14ac:dyDescent="0.3">
      <c r="A6732" s="2">
        <v>6728</v>
      </c>
      <c r="B6732" s="66" t="s">
        <v>7900</v>
      </c>
      <c r="C6732" s="66" t="s">
        <v>7906</v>
      </c>
      <c r="D6732" s="11">
        <v>11560.98</v>
      </c>
      <c r="E6732" s="11">
        <v>11560.98</v>
      </c>
      <c r="F6732" s="3">
        <v>39065</v>
      </c>
      <c r="G6732" s="2"/>
      <c r="H6732" s="2"/>
      <c r="I6732" s="2"/>
      <c r="J6732" s="2" t="s">
        <v>13904</v>
      </c>
      <c r="K6732" s="2" t="s">
        <v>5657</v>
      </c>
      <c r="L6732" s="246" t="s">
        <v>22280</v>
      </c>
    </row>
    <row r="6733" spans="1:12" ht="84" customHeight="1" x14ac:dyDescent="0.3">
      <c r="A6733" s="2">
        <v>6729</v>
      </c>
      <c r="B6733" s="66" t="s">
        <v>7900</v>
      </c>
      <c r="C6733" s="66" t="s">
        <v>7907</v>
      </c>
      <c r="D6733" s="11">
        <v>7882.17</v>
      </c>
      <c r="E6733" s="11">
        <v>7882.17</v>
      </c>
      <c r="F6733" s="3">
        <v>39065</v>
      </c>
      <c r="G6733" s="2"/>
      <c r="H6733" s="2"/>
      <c r="I6733" s="2"/>
      <c r="J6733" s="2" t="s">
        <v>13904</v>
      </c>
      <c r="K6733" s="2" t="s">
        <v>5657</v>
      </c>
      <c r="L6733" s="246" t="s">
        <v>22280</v>
      </c>
    </row>
    <row r="6734" spans="1:12" ht="84" customHeight="1" x14ac:dyDescent="0.3">
      <c r="A6734" s="2">
        <v>6730</v>
      </c>
      <c r="B6734" s="66" t="s">
        <v>7900</v>
      </c>
      <c r="C6734" s="66" t="s">
        <v>7908</v>
      </c>
      <c r="D6734" s="11">
        <v>11561</v>
      </c>
      <c r="E6734" s="11">
        <v>11561</v>
      </c>
      <c r="F6734" s="3">
        <v>39065</v>
      </c>
      <c r="G6734" s="2"/>
      <c r="H6734" s="2"/>
      <c r="I6734" s="2"/>
      <c r="J6734" s="2" t="s">
        <v>13904</v>
      </c>
      <c r="K6734" s="2" t="s">
        <v>5657</v>
      </c>
      <c r="L6734" s="246" t="s">
        <v>22280</v>
      </c>
    </row>
    <row r="6735" spans="1:12" ht="84" customHeight="1" x14ac:dyDescent="0.3">
      <c r="A6735" s="2">
        <v>6731</v>
      </c>
      <c r="B6735" s="66" t="s">
        <v>7909</v>
      </c>
      <c r="C6735" s="66" t="s">
        <v>7910</v>
      </c>
      <c r="D6735" s="11">
        <v>11560.97</v>
      </c>
      <c r="E6735" s="11">
        <v>11560.97</v>
      </c>
      <c r="F6735" s="3">
        <v>39052</v>
      </c>
      <c r="G6735" s="2"/>
      <c r="H6735" s="2"/>
      <c r="I6735" s="2"/>
      <c r="J6735" s="2" t="s">
        <v>13904</v>
      </c>
      <c r="K6735" s="2" t="s">
        <v>5657</v>
      </c>
      <c r="L6735" s="246" t="s">
        <v>22280</v>
      </c>
    </row>
    <row r="6736" spans="1:12" ht="84" customHeight="1" x14ac:dyDescent="0.3">
      <c r="A6736" s="2">
        <v>6732</v>
      </c>
      <c r="B6736" s="66" t="s">
        <v>253</v>
      </c>
      <c r="C6736" s="66" t="s">
        <v>7911</v>
      </c>
      <c r="D6736" s="11">
        <v>6906.86</v>
      </c>
      <c r="E6736" s="11">
        <v>6906.86</v>
      </c>
      <c r="F6736" s="3">
        <v>39052</v>
      </c>
      <c r="G6736" s="2"/>
      <c r="H6736" s="2"/>
      <c r="I6736" s="2"/>
      <c r="J6736" s="2" t="s">
        <v>13904</v>
      </c>
      <c r="K6736" s="2" t="s">
        <v>5657</v>
      </c>
      <c r="L6736" s="246" t="s">
        <v>22280</v>
      </c>
    </row>
    <row r="6737" spans="1:12" ht="84" customHeight="1" x14ac:dyDescent="0.3">
      <c r="A6737" s="2">
        <v>6733</v>
      </c>
      <c r="B6737" s="66" t="s">
        <v>7912</v>
      </c>
      <c r="C6737" s="66" t="s">
        <v>7913</v>
      </c>
      <c r="D6737" s="11">
        <v>13800.48</v>
      </c>
      <c r="E6737" s="11">
        <v>13800.48</v>
      </c>
      <c r="F6737" s="3">
        <v>39052</v>
      </c>
      <c r="G6737" s="2"/>
      <c r="H6737" s="2"/>
      <c r="I6737" s="2"/>
      <c r="J6737" s="2" t="s">
        <v>13904</v>
      </c>
      <c r="K6737" s="2" t="s">
        <v>5657</v>
      </c>
      <c r="L6737" s="246" t="s">
        <v>22280</v>
      </c>
    </row>
    <row r="6738" spans="1:12" ht="84" customHeight="1" x14ac:dyDescent="0.3">
      <c r="A6738" s="2">
        <v>6734</v>
      </c>
      <c r="B6738" s="66" t="s">
        <v>253</v>
      </c>
      <c r="C6738" s="66" t="s">
        <v>7914</v>
      </c>
      <c r="D6738" s="11">
        <v>8996.4</v>
      </c>
      <c r="E6738" s="11">
        <v>8996.4</v>
      </c>
      <c r="F6738" s="3">
        <v>39065</v>
      </c>
      <c r="G6738" s="2"/>
      <c r="H6738" s="2"/>
      <c r="I6738" s="2"/>
      <c r="J6738" s="2" t="s">
        <v>13904</v>
      </c>
      <c r="K6738" s="2" t="s">
        <v>5657</v>
      </c>
      <c r="L6738" s="246" t="s">
        <v>22280</v>
      </c>
    </row>
    <row r="6739" spans="1:12" ht="84" customHeight="1" x14ac:dyDescent="0.3">
      <c r="A6739" s="2">
        <v>6735</v>
      </c>
      <c r="B6739" s="66" t="s">
        <v>7915</v>
      </c>
      <c r="C6739" s="66" t="s">
        <v>7916</v>
      </c>
      <c r="D6739" s="11">
        <v>11566.8</v>
      </c>
      <c r="E6739" s="11">
        <v>11566.8</v>
      </c>
      <c r="F6739" s="3">
        <v>39052</v>
      </c>
      <c r="G6739" s="2"/>
      <c r="H6739" s="2"/>
      <c r="I6739" s="2"/>
      <c r="J6739" s="2" t="s">
        <v>13904</v>
      </c>
      <c r="K6739" s="2" t="s">
        <v>5657</v>
      </c>
      <c r="L6739" s="246" t="s">
        <v>22280</v>
      </c>
    </row>
    <row r="6740" spans="1:12" ht="84" customHeight="1" x14ac:dyDescent="0.3">
      <c r="A6740" s="2">
        <v>6736</v>
      </c>
      <c r="B6740" s="66" t="s">
        <v>7917</v>
      </c>
      <c r="C6740" s="66" t="s">
        <v>7918</v>
      </c>
      <c r="D6740" s="11">
        <v>11566.8</v>
      </c>
      <c r="E6740" s="11">
        <v>11566.8</v>
      </c>
      <c r="F6740" s="3">
        <v>39052</v>
      </c>
      <c r="G6740" s="2"/>
      <c r="H6740" s="2"/>
      <c r="I6740" s="2"/>
      <c r="J6740" s="2" t="s">
        <v>13904</v>
      </c>
      <c r="K6740" s="2" t="s">
        <v>5657</v>
      </c>
      <c r="L6740" s="246" t="s">
        <v>22280</v>
      </c>
    </row>
    <row r="6741" spans="1:12" ht="84" customHeight="1" x14ac:dyDescent="0.3">
      <c r="A6741" s="2">
        <v>6737</v>
      </c>
      <c r="B6741" s="66" t="s">
        <v>7919</v>
      </c>
      <c r="C6741" s="66" t="s">
        <v>7920</v>
      </c>
      <c r="D6741" s="11">
        <v>6052.01</v>
      </c>
      <c r="E6741" s="11">
        <v>6052.01</v>
      </c>
      <c r="F6741" s="3">
        <v>39052</v>
      </c>
      <c r="G6741" s="2"/>
      <c r="H6741" s="2"/>
      <c r="I6741" s="2"/>
      <c r="J6741" s="2" t="s">
        <v>13904</v>
      </c>
      <c r="K6741" s="2" t="s">
        <v>5657</v>
      </c>
      <c r="L6741" s="246" t="s">
        <v>22280</v>
      </c>
    </row>
    <row r="6742" spans="1:12" ht="84" customHeight="1" x14ac:dyDescent="0.3">
      <c r="A6742" s="2">
        <v>6738</v>
      </c>
      <c r="B6742" s="66" t="s">
        <v>7921</v>
      </c>
      <c r="C6742" s="66" t="s">
        <v>7922</v>
      </c>
      <c r="D6742" s="11">
        <v>11566.8</v>
      </c>
      <c r="E6742" s="11">
        <v>11566.8</v>
      </c>
      <c r="F6742" s="3">
        <v>39052</v>
      </c>
      <c r="G6742" s="2"/>
      <c r="H6742" s="2"/>
      <c r="I6742" s="2"/>
      <c r="J6742" s="2" t="s">
        <v>13904</v>
      </c>
      <c r="K6742" s="2" t="s">
        <v>5657</v>
      </c>
      <c r="L6742" s="246" t="s">
        <v>22280</v>
      </c>
    </row>
    <row r="6743" spans="1:12" ht="84" customHeight="1" x14ac:dyDescent="0.3">
      <c r="A6743" s="2">
        <v>6739</v>
      </c>
      <c r="B6743" s="66" t="s">
        <v>7923</v>
      </c>
      <c r="C6743" s="66" t="s">
        <v>7924</v>
      </c>
      <c r="D6743" s="11">
        <v>6052.01</v>
      </c>
      <c r="E6743" s="11">
        <v>6052.01</v>
      </c>
      <c r="F6743" s="3">
        <v>39052</v>
      </c>
      <c r="G6743" s="2"/>
      <c r="H6743" s="2"/>
      <c r="I6743" s="2"/>
      <c r="J6743" s="2" t="s">
        <v>13904</v>
      </c>
      <c r="K6743" s="2" t="s">
        <v>5657</v>
      </c>
      <c r="L6743" s="246" t="s">
        <v>22280</v>
      </c>
    </row>
    <row r="6744" spans="1:12" ht="84" customHeight="1" x14ac:dyDescent="0.3">
      <c r="A6744" s="2">
        <v>6740</v>
      </c>
      <c r="B6744" s="66" t="s">
        <v>7923</v>
      </c>
      <c r="C6744" s="66" t="s">
        <v>7925</v>
      </c>
      <c r="D6744" s="11">
        <v>6052</v>
      </c>
      <c r="E6744" s="11">
        <v>6052</v>
      </c>
      <c r="F6744" s="3">
        <v>39052</v>
      </c>
      <c r="G6744" s="2"/>
      <c r="H6744" s="2"/>
      <c r="I6744" s="2"/>
      <c r="J6744" s="2" t="s">
        <v>13904</v>
      </c>
      <c r="K6744" s="2" t="s">
        <v>5657</v>
      </c>
      <c r="L6744" s="246" t="s">
        <v>22280</v>
      </c>
    </row>
    <row r="6745" spans="1:12" ht="84" customHeight="1" x14ac:dyDescent="0.3">
      <c r="A6745" s="2">
        <v>6741</v>
      </c>
      <c r="B6745" s="66" t="s">
        <v>7923</v>
      </c>
      <c r="C6745" s="66" t="s">
        <v>7926</v>
      </c>
      <c r="D6745" s="11">
        <v>6052</v>
      </c>
      <c r="E6745" s="11">
        <v>6052</v>
      </c>
      <c r="F6745" s="3">
        <v>39052</v>
      </c>
      <c r="G6745" s="2"/>
      <c r="H6745" s="2"/>
      <c r="I6745" s="2"/>
      <c r="J6745" s="2" t="s">
        <v>13904</v>
      </c>
      <c r="K6745" s="2" t="s">
        <v>5657</v>
      </c>
      <c r="L6745" s="246" t="s">
        <v>22280</v>
      </c>
    </row>
    <row r="6746" spans="1:12" ht="84" customHeight="1" x14ac:dyDescent="0.3">
      <c r="A6746" s="2">
        <v>6742</v>
      </c>
      <c r="B6746" s="66" t="s">
        <v>7923</v>
      </c>
      <c r="C6746" s="66" t="s">
        <v>7927</v>
      </c>
      <c r="D6746" s="11">
        <v>6051.52</v>
      </c>
      <c r="E6746" s="11">
        <v>6051.52</v>
      </c>
      <c r="F6746" s="3">
        <v>39052</v>
      </c>
      <c r="G6746" s="2"/>
      <c r="H6746" s="2"/>
      <c r="I6746" s="2"/>
      <c r="J6746" s="2" t="s">
        <v>13904</v>
      </c>
      <c r="K6746" s="2" t="s">
        <v>5657</v>
      </c>
      <c r="L6746" s="246" t="s">
        <v>22280</v>
      </c>
    </row>
    <row r="6747" spans="1:12" ht="84" customHeight="1" x14ac:dyDescent="0.3">
      <c r="A6747" s="2">
        <v>6743</v>
      </c>
      <c r="B6747" s="66" t="s">
        <v>7928</v>
      </c>
      <c r="C6747" s="66" t="s">
        <v>7929</v>
      </c>
      <c r="D6747" s="11">
        <v>6051.52</v>
      </c>
      <c r="E6747" s="11">
        <v>6051.52</v>
      </c>
      <c r="F6747" s="3">
        <v>39052</v>
      </c>
      <c r="G6747" s="2"/>
      <c r="H6747" s="2"/>
      <c r="I6747" s="2"/>
      <c r="J6747" s="2" t="s">
        <v>13904</v>
      </c>
      <c r="K6747" s="2" t="s">
        <v>5657</v>
      </c>
      <c r="L6747" s="246" t="s">
        <v>22280</v>
      </c>
    </row>
    <row r="6748" spans="1:12" ht="84" customHeight="1" x14ac:dyDescent="0.3">
      <c r="A6748" s="2">
        <v>6744</v>
      </c>
      <c r="B6748" s="66" t="s">
        <v>7930</v>
      </c>
      <c r="C6748" s="66" t="s">
        <v>7931</v>
      </c>
      <c r="D6748" s="11">
        <v>6052</v>
      </c>
      <c r="E6748" s="11">
        <v>6052</v>
      </c>
      <c r="F6748" s="3">
        <v>39052</v>
      </c>
      <c r="G6748" s="2"/>
      <c r="H6748" s="2"/>
      <c r="I6748" s="2"/>
      <c r="J6748" s="2" t="s">
        <v>13904</v>
      </c>
      <c r="K6748" s="2" t="s">
        <v>5657</v>
      </c>
      <c r="L6748" s="246" t="s">
        <v>22280</v>
      </c>
    </row>
    <row r="6749" spans="1:12" ht="84" customHeight="1" x14ac:dyDescent="0.3">
      <c r="A6749" s="2">
        <v>6745</v>
      </c>
      <c r="B6749" s="66" t="s">
        <v>7932</v>
      </c>
      <c r="C6749" s="66" t="s">
        <v>7933</v>
      </c>
      <c r="D6749" s="11">
        <v>6005.76</v>
      </c>
      <c r="E6749" s="11">
        <v>6005.76</v>
      </c>
      <c r="F6749" s="3">
        <v>39052</v>
      </c>
      <c r="G6749" s="2"/>
      <c r="H6749" s="2"/>
      <c r="I6749" s="2"/>
      <c r="J6749" s="2" t="s">
        <v>13904</v>
      </c>
      <c r="K6749" s="2" t="s">
        <v>5657</v>
      </c>
      <c r="L6749" s="246" t="s">
        <v>22280</v>
      </c>
    </row>
    <row r="6750" spans="1:12" ht="84" customHeight="1" x14ac:dyDescent="0.3">
      <c r="A6750" s="2">
        <v>6746</v>
      </c>
      <c r="B6750" s="66" t="s">
        <v>7932</v>
      </c>
      <c r="C6750" s="66" t="s">
        <v>7934</v>
      </c>
      <c r="D6750" s="11">
        <v>6005.76</v>
      </c>
      <c r="E6750" s="11">
        <v>6005.76</v>
      </c>
      <c r="F6750" s="3">
        <v>39052</v>
      </c>
      <c r="G6750" s="2"/>
      <c r="H6750" s="2"/>
      <c r="I6750" s="2"/>
      <c r="J6750" s="2" t="s">
        <v>13904</v>
      </c>
      <c r="K6750" s="2" t="s">
        <v>5657</v>
      </c>
      <c r="L6750" s="246" t="s">
        <v>22280</v>
      </c>
    </row>
    <row r="6751" spans="1:12" ht="84" customHeight="1" x14ac:dyDescent="0.3">
      <c r="A6751" s="2">
        <v>6747</v>
      </c>
      <c r="B6751" s="66" t="s">
        <v>7932</v>
      </c>
      <c r="C6751" s="66" t="s">
        <v>7935</v>
      </c>
      <c r="D6751" s="11">
        <v>6005.76</v>
      </c>
      <c r="E6751" s="11">
        <v>6005.76</v>
      </c>
      <c r="F6751" s="3">
        <v>39052</v>
      </c>
      <c r="G6751" s="2"/>
      <c r="H6751" s="2"/>
      <c r="I6751" s="2"/>
      <c r="J6751" s="2" t="s">
        <v>13904</v>
      </c>
      <c r="K6751" s="2" t="s">
        <v>5657</v>
      </c>
      <c r="L6751" s="246" t="s">
        <v>22280</v>
      </c>
    </row>
    <row r="6752" spans="1:12" ht="84" customHeight="1" x14ac:dyDescent="0.3">
      <c r="A6752" s="2">
        <v>6748</v>
      </c>
      <c r="B6752" s="66" t="s">
        <v>7932</v>
      </c>
      <c r="C6752" s="66" t="s">
        <v>7936</v>
      </c>
      <c r="D6752" s="11">
        <v>6005.76</v>
      </c>
      <c r="E6752" s="11">
        <v>6005.76</v>
      </c>
      <c r="F6752" s="3">
        <v>39052</v>
      </c>
      <c r="G6752" s="2"/>
      <c r="H6752" s="2"/>
      <c r="I6752" s="2"/>
      <c r="J6752" s="2" t="s">
        <v>13904</v>
      </c>
      <c r="K6752" s="2" t="s">
        <v>5657</v>
      </c>
      <c r="L6752" s="246" t="s">
        <v>22280</v>
      </c>
    </row>
    <row r="6753" spans="1:12" ht="84" customHeight="1" x14ac:dyDescent="0.3">
      <c r="A6753" s="2">
        <v>6749</v>
      </c>
      <c r="B6753" s="66" t="s">
        <v>7937</v>
      </c>
      <c r="C6753" s="66" t="s">
        <v>7938</v>
      </c>
      <c r="D6753" s="11">
        <v>5733.04</v>
      </c>
      <c r="E6753" s="11">
        <v>5733.04</v>
      </c>
      <c r="F6753" s="3">
        <v>39052</v>
      </c>
      <c r="G6753" s="2"/>
      <c r="H6753" s="2"/>
      <c r="I6753" s="2"/>
      <c r="J6753" s="2" t="s">
        <v>13904</v>
      </c>
      <c r="K6753" s="2" t="s">
        <v>5657</v>
      </c>
      <c r="L6753" s="246" t="s">
        <v>22280</v>
      </c>
    </row>
    <row r="6754" spans="1:12" ht="84" customHeight="1" x14ac:dyDescent="0.3">
      <c r="A6754" s="2">
        <v>6750</v>
      </c>
      <c r="B6754" s="66" t="s">
        <v>7939</v>
      </c>
      <c r="C6754" s="66" t="s">
        <v>7940</v>
      </c>
      <c r="D6754" s="11">
        <v>5733.04</v>
      </c>
      <c r="E6754" s="11">
        <v>5733.04</v>
      </c>
      <c r="F6754" s="3">
        <v>39052</v>
      </c>
      <c r="G6754" s="2"/>
      <c r="H6754" s="2"/>
      <c r="I6754" s="2"/>
      <c r="J6754" s="2" t="s">
        <v>13904</v>
      </c>
      <c r="K6754" s="2" t="s">
        <v>5657</v>
      </c>
      <c r="L6754" s="246" t="s">
        <v>22280</v>
      </c>
    </row>
    <row r="6755" spans="1:12" ht="84" customHeight="1" x14ac:dyDescent="0.3">
      <c r="A6755" s="2">
        <v>6751</v>
      </c>
      <c r="B6755" s="66" t="s">
        <v>7939</v>
      </c>
      <c r="C6755" s="66" t="s">
        <v>7941</v>
      </c>
      <c r="D6755" s="11">
        <v>5733.04</v>
      </c>
      <c r="E6755" s="11">
        <v>5733.04</v>
      </c>
      <c r="F6755" s="3">
        <v>39052</v>
      </c>
      <c r="G6755" s="2"/>
      <c r="H6755" s="2"/>
      <c r="I6755" s="2"/>
      <c r="J6755" s="2" t="s">
        <v>13904</v>
      </c>
      <c r="K6755" s="2" t="s">
        <v>5657</v>
      </c>
      <c r="L6755" s="246" t="s">
        <v>22280</v>
      </c>
    </row>
    <row r="6756" spans="1:12" ht="84" customHeight="1" x14ac:dyDescent="0.3">
      <c r="A6756" s="2">
        <v>6752</v>
      </c>
      <c r="B6756" s="66" t="s">
        <v>7939</v>
      </c>
      <c r="C6756" s="66" t="s">
        <v>7942</v>
      </c>
      <c r="D6756" s="11">
        <v>5733.04</v>
      </c>
      <c r="E6756" s="11">
        <v>5733.04</v>
      </c>
      <c r="F6756" s="3">
        <v>39052</v>
      </c>
      <c r="G6756" s="2"/>
      <c r="H6756" s="2"/>
      <c r="I6756" s="2"/>
      <c r="J6756" s="2" t="s">
        <v>13904</v>
      </c>
      <c r="K6756" s="2" t="s">
        <v>5657</v>
      </c>
      <c r="L6756" s="246" t="s">
        <v>22280</v>
      </c>
    </row>
    <row r="6757" spans="1:12" ht="84" customHeight="1" x14ac:dyDescent="0.3">
      <c r="A6757" s="2">
        <v>6753</v>
      </c>
      <c r="B6757" s="66" t="s">
        <v>7939</v>
      </c>
      <c r="C6757" s="66" t="s">
        <v>7943</v>
      </c>
      <c r="D6757" s="11">
        <v>5733.04</v>
      </c>
      <c r="E6757" s="11">
        <v>5733.04</v>
      </c>
      <c r="F6757" s="3">
        <v>39052</v>
      </c>
      <c r="G6757" s="2"/>
      <c r="H6757" s="2"/>
      <c r="I6757" s="2"/>
      <c r="J6757" s="2" t="s">
        <v>13904</v>
      </c>
      <c r="K6757" s="2" t="s">
        <v>5657</v>
      </c>
      <c r="L6757" s="246" t="s">
        <v>22280</v>
      </c>
    </row>
    <row r="6758" spans="1:12" ht="84" customHeight="1" x14ac:dyDescent="0.3">
      <c r="A6758" s="2">
        <v>6754</v>
      </c>
      <c r="B6758" s="66" t="s">
        <v>7939</v>
      </c>
      <c r="C6758" s="66" t="s">
        <v>7944</v>
      </c>
      <c r="D6758" s="11">
        <v>5733.04</v>
      </c>
      <c r="E6758" s="11">
        <v>5733.04</v>
      </c>
      <c r="F6758" s="3">
        <v>39052</v>
      </c>
      <c r="G6758" s="2"/>
      <c r="H6758" s="2"/>
      <c r="I6758" s="2"/>
      <c r="J6758" s="2" t="s">
        <v>13904</v>
      </c>
      <c r="K6758" s="2" t="s">
        <v>5657</v>
      </c>
      <c r="L6758" s="246" t="s">
        <v>22280</v>
      </c>
    </row>
    <row r="6759" spans="1:12" ht="84" customHeight="1" x14ac:dyDescent="0.3">
      <c r="A6759" s="2">
        <v>6755</v>
      </c>
      <c r="B6759" s="66" t="s">
        <v>7939</v>
      </c>
      <c r="C6759" s="66" t="s">
        <v>7945</v>
      </c>
      <c r="D6759" s="11">
        <v>5733.04</v>
      </c>
      <c r="E6759" s="11">
        <v>5733.04</v>
      </c>
      <c r="F6759" s="3">
        <v>39052</v>
      </c>
      <c r="G6759" s="2"/>
      <c r="H6759" s="2"/>
      <c r="I6759" s="2"/>
      <c r="J6759" s="2" t="s">
        <v>13904</v>
      </c>
      <c r="K6759" s="2" t="s">
        <v>5657</v>
      </c>
      <c r="L6759" s="246" t="s">
        <v>22280</v>
      </c>
    </row>
    <row r="6760" spans="1:12" ht="84" customHeight="1" x14ac:dyDescent="0.3">
      <c r="A6760" s="2">
        <v>6756</v>
      </c>
      <c r="B6760" s="66" t="s">
        <v>7939</v>
      </c>
      <c r="C6760" s="66" t="s">
        <v>7946</v>
      </c>
      <c r="D6760" s="11">
        <v>5733.04</v>
      </c>
      <c r="E6760" s="11">
        <v>5733.04</v>
      </c>
      <c r="F6760" s="3">
        <v>39052</v>
      </c>
      <c r="G6760" s="2"/>
      <c r="H6760" s="2"/>
      <c r="I6760" s="2"/>
      <c r="J6760" s="2" t="s">
        <v>13904</v>
      </c>
      <c r="K6760" s="2" t="s">
        <v>5657</v>
      </c>
      <c r="L6760" s="246" t="s">
        <v>22280</v>
      </c>
    </row>
    <row r="6761" spans="1:12" ht="84" customHeight="1" x14ac:dyDescent="0.3">
      <c r="A6761" s="2">
        <v>6757</v>
      </c>
      <c r="B6761" s="66" t="s">
        <v>7939</v>
      </c>
      <c r="C6761" s="66" t="s">
        <v>7947</v>
      </c>
      <c r="D6761" s="11">
        <v>5733.04</v>
      </c>
      <c r="E6761" s="11">
        <v>5733.04</v>
      </c>
      <c r="F6761" s="3">
        <v>39052</v>
      </c>
      <c r="G6761" s="2"/>
      <c r="H6761" s="2"/>
      <c r="I6761" s="2"/>
      <c r="J6761" s="2" t="s">
        <v>13904</v>
      </c>
      <c r="K6761" s="2" t="s">
        <v>5657</v>
      </c>
      <c r="L6761" s="246" t="s">
        <v>22280</v>
      </c>
    </row>
    <row r="6762" spans="1:12" ht="84" customHeight="1" x14ac:dyDescent="0.3">
      <c r="A6762" s="2">
        <v>6758</v>
      </c>
      <c r="B6762" s="66" t="s">
        <v>7939</v>
      </c>
      <c r="C6762" s="66" t="s">
        <v>7948</v>
      </c>
      <c r="D6762" s="11">
        <v>5733.04</v>
      </c>
      <c r="E6762" s="11">
        <v>5733.04</v>
      </c>
      <c r="F6762" s="3">
        <v>39052</v>
      </c>
      <c r="G6762" s="2"/>
      <c r="H6762" s="2"/>
      <c r="I6762" s="2"/>
      <c r="J6762" s="2" t="s">
        <v>13904</v>
      </c>
      <c r="K6762" s="2" t="s">
        <v>5657</v>
      </c>
      <c r="L6762" s="246" t="s">
        <v>22280</v>
      </c>
    </row>
    <row r="6763" spans="1:12" ht="84" customHeight="1" x14ac:dyDescent="0.3">
      <c r="A6763" s="2">
        <v>6759</v>
      </c>
      <c r="B6763" s="66" t="s">
        <v>7939</v>
      </c>
      <c r="C6763" s="66" t="s">
        <v>7949</v>
      </c>
      <c r="D6763" s="11">
        <v>5733.04</v>
      </c>
      <c r="E6763" s="11">
        <v>5733.04</v>
      </c>
      <c r="F6763" s="3">
        <v>39052</v>
      </c>
      <c r="G6763" s="2"/>
      <c r="H6763" s="2"/>
      <c r="I6763" s="2"/>
      <c r="J6763" s="2" t="s">
        <v>13904</v>
      </c>
      <c r="K6763" s="2" t="s">
        <v>5657</v>
      </c>
      <c r="L6763" s="246" t="s">
        <v>22280</v>
      </c>
    </row>
    <row r="6764" spans="1:12" ht="84" customHeight="1" x14ac:dyDescent="0.3">
      <c r="A6764" s="2">
        <v>6760</v>
      </c>
      <c r="B6764" s="66" t="s">
        <v>7950</v>
      </c>
      <c r="C6764" s="66" t="s">
        <v>7951</v>
      </c>
      <c r="D6764" s="11">
        <v>16961.14</v>
      </c>
      <c r="E6764" s="11">
        <v>16961.14</v>
      </c>
      <c r="F6764" s="3">
        <v>39052</v>
      </c>
      <c r="G6764" s="2"/>
      <c r="H6764" s="2"/>
      <c r="I6764" s="2"/>
      <c r="J6764" s="2" t="s">
        <v>13904</v>
      </c>
      <c r="K6764" s="2" t="s">
        <v>5657</v>
      </c>
      <c r="L6764" s="246" t="s">
        <v>22280</v>
      </c>
    </row>
    <row r="6765" spans="1:12" ht="84" customHeight="1" x14ac:dyDescent="0.3">
      <c r="A6765" s="2">
        <v>6761</v>
      </c>
      <c r="B6765" s="66" t="s">
        <v>7241</v>
      </c>
      <c r="C6765" s="66" t="s">
        <v>7952</v>
      </c>
      <c r="D6765" s="11">
        <v>5995.1</v>
      </c>
      <c r="E6765" s="11">
        <v>5995.1</v>
      </c>
      <c r="F6765" s="3">
        <v>39052</v>
      </c>
      <c r="G6765" s="2"/>
      <c r="H6765" s="2"/>
      <c r="I6765" s="2"/>
      <c r="J6765" s="2" t="s">
        <v>13904</v>
      </c>
      <c r="K6765" s="2" t="s">
        <v>5657</v>
      </c>
      <c r="L6765" s="246" t="s">
        <v>22280</v>
      </c>
    </row>
    <row r="6766" spans="1:12" ht="84" customHeight="1" x14ac:dyDescent="0.3">
      <c r="A6766" s="2">
        <v>6762</v>
      </c>
      <c r="B6766" s="66" t="s">
        <v>7241</v>
      </c>
      <c r="C6766" s="66" t="s">
        <v>7953</v>
      </c>
      <c r="D6766" s="11">
        <v>5995.1</v>
      </c>
      <c r="E6766" s="11">
        <v>5995.1</v>
      </c>
      <c r="F6766" s="3">
        <v>39052</v>
      </c>
      <c r="G6766" s="2"/>
      <c r="H6766" s="2"/>
      <c r="I6766" s="2"/>
      <c r="J6766" s="2" t="s">
        <v>13904</v>
      </c>
      <c r="K6766" s="2" t="s">
        <v>5657</v>
      </c>
      <c r="L6766" s="246" t="s">
        <v>22280</v>
      </c>
    </row>
    <row r="6767" spans="1:12" ht="84" customHeight="1" x14ac:dyDescent="0.3">
      <c r="A6767" s="2">
        <v>6763</v>
      </c>
      <c r="B6767" s="66" t="s">
        <v>7241</v>
      </c>
      <c r="C6767" s="66" t="s">
        <v>7954</v>
      </c>
      <c r="D6767" s="11">
        <v>5995.1</v>
      </c>
      <c r="E6767" s="11">
        <v>5995.1</v>
      </c>
      <c r="F6767" s="3">
        <v>39052</v>
      </c>
      <c r="G6767" s="2"/>
      <c r="H6767" s="2"/>
      <c r="I6767" s="2"/>
      <c r="J6767" s="2" t="s">
        <v>13904</v>
      </c>
      <c r="K6767" s="2" t="s">
        <v>5657</v>
      </c>
      <c r="L6767" s="246" t="s">
        <v>22280</v>
      </c>
    </row>
    <row r="6768" spans="1:12" ht="84" customHeight="1" x14ac:dyDescent="0.3">
      <c r="A6768" s="2">
        <v>6764</v>
      </c>
      <c r="B6768" s="66" t="s">
        <v>7241</v>
      </c>
      <c r="C6768" s="66" t="s">
        <v>7955</v>
      </c>
      <c r="D6768" s="11">
        <v>5995.1</v>
      </c>
      <c r="E6768" s="11">
        <v>5995.1</v>
      </c>
      <c r="F6768" s="3">
        <v>39052</v>
      </c>
      <c r="G6768" s="2"/>
      <c r="H6768" s="2"/>
      <c r="I6768" s="2"/>
      <c r="J6768" s="2" t="s">
        <v>13904</v>
      </c>
      <c r="K6768" s="2" t="s">
        <v>5657</v>
      </c>
      <c r="L6768" s="246" t="s">
        <v>22280</v>
      </c>
    </row>
    <row r="6769" spans="1:12" ht="84" customHeight="1" x14ac:dyDescent="0.3">
      <c r="A6769" s="2">
        <v>6765</v>
      </c>
      <c r="B6769" s="66" t="s">
        <v>7241</v>
      </c>
      <c r="C6769" s="66" t="s">
        <v>7956</v>
      </c>
      <c r="D6769" s="11">
        <v>5995.1</v>
      </c>
      <c r="E6769" s="11">
        <v>5995.1</v>
      </c>
      <c r="F6769" s="3">
        <v>39052</v>
      </c>
      <c r="G6769" s="2"/>
      <c r="H6769" s="2"/>
      <c r="I6769" s="2"/>
      <c r="J6769" s="2" t="s">
        <v>13904</v>
      </c>
      <c r="K6769" s="2" t="s">
        <v>5657</v>
      </c>
      <c r="L6769" s="246" t="s">
        <v>22280</v>
      </c>
    </row>
    <row r="6770" spans="1:12" ht="84" customHeight="1" x14ac:dyDescent="0.3">
      <c r="A6770" s="2">
        <v>6766</v>
      </c>
      <c r="B6770" s="66" t="s">
        <v>7241</v>
      </c>
      <c r="C6770" s="66" t="s">
        <v>7957</v>
      </c>
      <c r="D6770" s="11">
        <v>5995.1</v>
      </c>
      <c r="E6770" s="11">
        <v>5995.1</v>
      </c>
      <c r="F6770" s="3">
        <v>39052</v>
      </c>
      <c r="G6770" s="2"/>
      <c r="H6770" s="2"/>
      <c r="I6770" s="2"/>
      <c r="J6770" s="2" t="s">
        <v>13904</v>
      </c>
      <c r="K6770" s="2" t="s">
        <v>5657</v>
      </c>
      <c r="L6770" s="246" t="s">
        <v>22280</v>
      </c>
    </row>
    <row r="6771" spans="1:12" ht="84" customHeight="1" x14ac:dyDescent="0.3">
      <c r="A6771" s="2">
        <v>6767</v>
      </c>
      <c r="B6771" s="66" t="s">
        <v>7241</v>
      </c>
      <c r="C6771" s="66" t="s">
        <v>7958</v>
      </c>
      <c r="D6771" s="11">
        <v>5995.1</v>
      </c>
      <c r="E6771" s="11">
        <v>5995.1</v>
      </c>
      <c r="F6771" s="3">
        <v>39052</v>
      </c>
      <c r="G6771" s="2"/>
      <c r="H6771" s="2"/>
      <c r="I6771" s="2"/>
      <c r="J6771" s="2" t="s">
        <v>13904</v>
      </c>
      <c r="K6771" s="2" t="s">
        <v>5657</v>
      </c>
      <c r="L6771" s="246" t="s">
        <v>22280</v>
      </c>
    </row>
    <row r="6772" spans="1:12" ht="84" customHeight="1" x14ac:dyDescent="0.3">
      <c r="A6772" s="2">
        <v>6768</v>
      </c>
      <c r="B6772" s="66" t="s">
        <v>7241</v>
      </c>
      <c r="C6772" s="66" t="s">
        <v>7959</v>
      </c>
      <c r="D6772" s="11">
        <v>5995.1</v>
      </c>
      <c r="E6772" s="11">
        <v>5995.1</v>
      </c>
      <c r="F6772" s="3">
        <v>39052</v>
      </c>
      <c r="G6772" s="2"/>
      <c r="H6772" s="2"/>
      <c r="I6772" s="2"/>
      <c r="J6772" s="2" t="s">
        <v>13904</v>
      </c>
      <c r="K6772" s="2" t="s">
        <v>5657</v>
      </c>
      <c r="L6772" s="246" t="s">
        <v>22280</v>
      </c>
    </row>
    <row r="6773" spans="1:12" ht="84" customHeight="1" x14ac:dyDescent="0.3">
      <c r="A6773" s="2">
        <v>6769</v>
      </c>
      <c r="B6773" s="66" t="s">
        <v>7960</v>
      </c>
      <c r="C6773" s="66" t="s">
        <v>7961</v>
      </c>
      <c r="D6773" s="11">
        <v>5995.1</v>
      </c>
      <c r="E6773" s="11">
        <v>5995.1</v>
      </c>
      <c r="F6773" s="3">
        <v>39052</v>
      </c>
      <c r="G6773" s="2"/>
      <c r="H6773" s="2"/>
      <c r="I6773" s="2"/>
      <c r="J6773" s="2" t="s">
        <v>13904</v>
      </c>
      <c r="K6773" s="2" t="s">
        <v>5657</v>
      </c>
      <c r="L6773" s="246" t="s">
        <v>22280</v>
      </c>
    </row>
    <row r="6774" spans="1:12" ht="84" customHeight="1" x14ac:dyDescent="0.3">
      <c r="A6774" s="2">
        <v>6770</v>
      </c>
      <c r="B6774" s="66" t="s">
        <v>7962</v>
      </c>
      <c r="C6774" s="66" t="s">
        <v>7963</v>
      </c>
      <c r="D6774" s="11">
        <v>10384.58</v>
      </c>
      <c r="E6774" s="11">
        <v>10384.58</v>
      </c>
      <c r="F6774" s="3">
        <v>39052</v>
      </c>
      <c r="G6774" s="2"/>
      <c r="H6774" s="2"/>
      <c r="I6774" s="2"/>
      <c r="J6774" s="2" t="s">
        <v>13904</v>
      </c>
      <c r="K6774" s="2" t="s">
        <v>5657</v>
      </c>
      <c r="L6774" s="246" t="s">
        <v>22280</v>
      </c>
    </row>
    <row r="6775" spans="1:12" ht="84" customHeight="1" x14ac:dyDescent="0.3">
      <c r="A6775" s="2">
        <v>6771</v>
      </c>
      <c r="B6775" s="66" t="s">
        <v>7964</v>
      </c>
      <c r="C6775" s="66" t="s">
        <v>7965</v>
      </c>
      <c r="D6775" s="11">
        <v>8354.2800000000007</v>
      </c>
      <c r="E6775" s="11">
        <v>8354.2800000000007</v>
      </c>
      <c r="F6775" s="3">
        <v>39052</v>
      </c>
      <c r="G6775" s="2"/>
      <c r="H6775" s="2"/>
      <c r="I6775" s="2"/>
      <c r="J6775" s="2" t="s">
        <v>13904</v>
      </c>
      <c r="K6775" s="2" t="s">
        <v>5657</v>
      </c>
      <c r="L6775" s="246" t="s">
        <v>22280</v>
      </c>
    </row>
    <row r="6776" spans="1:12" ht="84" customHeight="1" x14ac:dyDescent="0.3">
      <c r="A6776" s="2">
        <v>6772</v>
      </c>
      <c r="B6776" s="66" t="s">
        <v>7964</v>
      </c>
      <c r="C6776" s="66" t="s">
        <v>7966</v>
      </c>
      <c r="D6776" s="11">
        <v>10350.959999999999</v>
      </c>
      <c r="E6776" s="11">
        <v>10350.959999999999</v>
      </c>
      <c r="F6776" s="3">
        <v>39052</v>
      </c>
      <c r="G6776" s="2"/>
      <c r="H6776" s="2"/>
      <c r="I6776" s="2"/>
      <c r="J6776" s="2" t="s">
        <v>13904</v>
      </c>
      <c r="K6776" s="2" t="s">
        <v>5657</v>
      </c>
      <c r="L6776" s="246" t="s">
        <v>22280</v>
      </c>
    </row>
    <row r="6777" spans="1:12" ht="84" customHeight="1" x14ac:dyDescent="0.3">
      <c r="A6777" s="2">
        <v>6773</v>
      </c>
      <c r="B6777" s="66" t="s">
        <v>7967</v>
      </c>
      <c r="C6777" s="66" t="s">
        <v>7968</v>
      </c>
      <c r="D6777" s="11">
        <v>4079.02</v>
      </c>
      <c r="E6777" s="11">
        <v>4079.02</v>
      </c>
      <c r="F6777" s="3">
        <v>39052</v>
      </c>
      <c r="G6777" s="2"/>
      <c r="H6777" s="2"/>
      <c r="I6777" s="2"/>
      <c r="J6777" s="2" t="s">
        <v>13904</v>
      </c>
      <c r="K6777" s="2" t="s">
        <v>5657</v>
      </c>
      <c r="L6777" s="246" t="s">
        <v>22280</v>
      </c>
    </row>
    <row r="6778" spans="1:12" ht="84" customHeight="1" x14ac:dyDescent="0.3">
      <c r="A6778" s="2">
        <v>6774</v>
      </c>
      <c r="B6778" s="66" t="s">
        <v>7969</v>
      </c>
      <c r="C6778" s="66" t="s">
        <v>7970</v>
      </c>
      <c r="D6778" s="11">
        <v>4079</v>
      </c>
      <c r="E6778" s="11">
        <v>4079</v>
      </c>
      <c r="F6778" s="3">
        <v>39052</v>
      </c>
      <c r="G6778" s="2"/>
      <c r="H6778" s="2"/>
      <c r="I6778" s="2"/>
      <c r="J6778" s="2" t="s">
        <v>13904</v>
      </c>
      <c r="K6778" s="2" t="s">
        <v>5657</v>
      </c>
      <c r="L6778" s="246" t="s">
        <v>22280</v>
      </c>
    </row>
    <row r="6779" spans="1:12" ht="84" customHeight="1" x14ac:dyDescent="0.3">
      <c r="A6779" s="2">
        <v>6775</v>
      </c>
      <c r="B6779" s="66" t="s">
        <v>7971</v>
      </c>
      <c r="C6779" s="66" t="s">
        <v>7972</v>
      </c>
      <c r="D6779" s="11">
        <v>4079.02</v>
      </c>
      <c r="E6779" s="11">
        <v>4079.02</v>
      </c>
      <c r="F6779" s="3">
        <v>39052</v>
      </c>
      <c r="G6779" s="2"/>
      <c r="H6779" s="2"/>
      <c r="I6779" s="2"/>
      <c r="J6779" s="2" t="s">
        <v>13904</v>
      </c>
      <c r="K6779" s="2" t="s">
        <v>5657</v>
      </c>
      <c r="L6779" s="246" t="s">
        <v>22280</v>
      </c>
    </row>
    <row r="6780" spans="1:12" ht="84" customHeight="1" x14ac:dyDescent="0.3">
      <c r="A6780" s="2">
        <v>6776</v>
      </c>
      <c r="B6780" s="66" t="s">
        <v>880</v>
      </c>
      <c r="C6780" s="66" t="s">
        <v>7973</v>
      </c>
      <c r="D6780" s="11">
        <v>7207.03</v>
      </c>
      <c r="E6780" s="11">
        <v>7207.03</v>
      </c>
      <c r="F6780" s="3">
        <v>39052</v>
      </c>
      <c r="G6780" s="2"/>
      <c r="H6780" s="2"/>
      <c r="I6780" s="2"/>
      <c r="J6780" s="2" t="s">
        <v>13904</v>
      </c>
      <c r="K6780" s="2" t="s">
        <v>5657</v>
      </c>
      <c r="L6780" s="246" t="s">
        <v>22280</v>
      </c>
    </row>
    <row r="6781" spans="1:12" ht="84" customHeight="1" x14ac:dyDescent="0.3">
      <c r="A6781" s="2">
        <v>6777</v>
      </c>
      <c r="B6781" s="66" t="s">
        <v>880</v>
      </c>
      <c r="C6781" s="66" t="s">
        <v>7974</v>
      </c>
      <c r="D6781" s="11">
        <v>7206.92</v>
      </c>
      <c r="E6781" s="11">
        <v>7206.92</v>
      </c>
      <c r="F6781" s="3">
        <v>39052</v>
      </c>
      <c r="G6781" s="2"/>
      <c r="H6781" s="2"/>
      <c r="I6781" s="2"/>
      <c r="J6781" s="2" t="s">
        <v>13904</v>
      </c>
      <c r="K6781" s="2" t="s">
        <v>5657</v>
      </c>
      <c r="L6781" s="246" t="s">
        <v>22280</v>
      </c>
    </row>
    <row r="6782" spans="1:12" ht="84" customHeight="1" x14ac:dyDescent="0.3">
      <c r="A6782" s="2">
        <v>6778</v>
      </c>
      <c r="B6782" s="66" t="s">
        <v>880</v>
      </c>
      <c r="C6782" s="66" t="s">
        <v>7975</v>
      </c>
      <c r="D6782" s="11">
        <v>7206.92</v>
      </c>
      <c r="E6782" s="11">
        <v>7206.92</v>
      </c>
      <c r="F6782" s="3">
        <v>39052</v>
      </c>
      <c r="G6782" s="2"/>
      <c r="H6782" s="2"/>
      <c r="I6782" s="2"/>
      <c r="J6782" s="2" t="s">
        <v>13904</v>
      </c>
      <c r="K6782" s="2" t="s">
        <v>5657</v>
      </c>
      <c r="L6782" s="246" t="s">
        <v>22280</v>
      </c>
    </row>
    <row r="6783" spans="1:12" ht="84" customHeight="1" x14ac:dyDescent="0.3">
      <c r="A6783" s="2">
        <v>6779</v>
      </c>
      <c r="B6783" s="66" t="s">
        <v>7976</v>
      </c>
      <c r="C6783" s="66" t="s">
        <v>7977</v>
      </c>
      <c r="D6783" s="11">
        <v>4146</v>
      </c>
      <c r="E6783" s="11">
        <v>4146</v>
      </c>
      <c r="F6783" s="3">
        <v>40100</v>
      </c>
      <c r="G6783" s="2"/>
      <c r="H6783" s="2"/>
      <c r="I6783" s="2"/>
      <c r="J6783" s="2" t="s">
        <v>13904</v>
      </c>
      <c r="K6783" s="2" t="s">
        <v>5657</v>
      </c>
      <c r="L6783" s="246" t="s">
        <v>22280</v>
      </c>
    </row>
    <row r="6784" spans="1:12" ht="84" customHeight="1" x14ac:dyDescent="0.3">
      <c r="A6784" s="2">
        <v>6780</v>
      </c>
      <c r="B6784" s="66" t="s">
        <v>7978</v>
      </c>
      <c r="C6784" s="66" t="s">
        <v>7979</v>
      </c>
      <c r="D6784" s="11">
        <v>7032.18</v>
      </c>
      <c r="E6784" s="11">
        <v>7032.18</v>
      </c>
      <c r="F6784" s="3">
        <v>39052</v>
      </c>
      <c r="G6784" s="2"/>
      <c r="H6784" s="2"/>
      <c r="I6784" s="2"/>
      <c r="J6784" s="2" t="s">
        <v>13904</v>
      </c>
      <c r="K6784" s="2" t="s">
        <v>5657</v>
      </c>
      <c r="L6784" s="246" t="s">
        <v>22280</v>
      </c>
    </row>
    <row r="6785" spans="1:12" ht="84" customHeight="1" x14ac:dyDescent="0.3">
      <c r="A6785" s="2">
        <v>6781</v>
      </c>
      <c r="B6785" s="66" t="s">
        <v>7980</v>
      </c>
      <c r="C6785" s="66" t="s">
        <v>7981</v>
      </c>
      <c r="D6785" s="11">
        <v>7032.19</v>
      </c>
      <c r="E6785" s="11">
        <v>7032.19</v>
      </c>
      <c r="F6785" s="3">
        <v>39052</v>
      </c>
      <c r="G6785" s="2"/>
      <c r="H6785" s="2"/>
      <c r="I6785" s="2"/>
      <c r="J6785" s="2" t="s">
        <v>13904</v>
      </c>
      <c r="K6785" s="2" t="s">
        <v>5657</v>
      </c>
      <c r="L6785" s="246" t="s">
        <v>22280</v>
      </c>
    </row>
    <row r="6786" spans="1:12" ht="84" customHeight="1" x14ac:dyDescent="0.3">
      <c r="A6786" s="2">
        <v>6782</v>
      </c>
      <c r="B6786" s="66" t="s">
        <v>7982</v>
      </c>
      <c r="C6786" s="66" t="s">
        <v>7983</v>
      </c>
      <c r="D6786" s="11">
        <v>8833.2000000000007</v>
      </c>
      <c r="E6786" s="11">
        <v>8833.2000000000007</v>
      </c>
      <c r="F6786" s="3">
        <v>39052</v>
      </c>
      <c r="G6786" s="2"/>
      <c r="H6786" s="2"/>
      <c r="I6786" s="2"/>
      <c r="J6786" s="2" t="s">
        <v>13904</v>
      </c>
      <c r="K6786" s="2" t="s">
        <v>5657</v>
      </c>
      <c r="L6786" s="246" t="s">
        <v>22280</v>
      </c>
    </row>
    <row r="6787" spans="1:12" ht="84" customHeight="1" x14ac:dyDescent="0.3">
      <c r="A6787" s="2">
        <v>6783</v>
      </c>
      <c r="B6787" s="66" t="s">
        <v>7984</v>
      </c>
      <c r="C6787" s="66" t="s">
        <v>7985</v>
      </c>
      <c r="D6787" s="11">
        <v>7207.03</v>
      </c>
      <c r="E6787" s="11">
        <v>7207.03</v>
      </c>
      <c r="F6787" s="3">
        <v>39052</v>
      </c>
      <c r="G6787" s="2"/>
      <c r="H6787" s="2"/>
      <c r="I6787" s="2"/>
      <c r="J6787" s="2" t="s">
        <v>13904</v>
      </c>
      <c r="K6787" s="2" t="s">
        <v>5657</v>
      </c>
      <c r="L6787" s="246" t="s">
        <v>22280</v>
      </c>
    </row>
    <row r="6788" spans="1:12" ht="84" customHeight="1" x14ac:dyDescent="0.3">
      <c r="A6788" s="2">
        <v>6784</v>
      </c>
      <c r="B6788" s="66" t="s">
        <v>6952</v>
      </c>
      <c r="C6788" s="66" t="s">
        <v>7986</v>
      </c>
      <c r="D6788" s="11">
        <v>6227.82</v>
      </c>
      <c r="E6788" s="11">
        <v>6227.82</v>
      </c>
      <c r="F6788" s="3">
        <v>39052</v>
      </c>
      <c r="G6788" s="2"/>
      <c r="H6788" s="2"/>
      <c r="I6788" s="2"/>
      <c r="J6788" s="2" t="s">
        <v>13904</v>
      </c>
      <c r="K6788" s="2" t="s">
        <v>5657</v>
      </c>
      <c r="L6788" s="246" t="s">
        <v>22280</v>
      </c>
    </row>
    <row r="6789" spans="1:12" ht="84" customHeight="1" x14ac:dyDescent="0.3">
      <c r="A6789" s="2">
        <v>6785</v>
      </c>
      <c r="B6789" s="66" t="s">
        <v>6952</v>
      </c>
      <c r="C6789" s="66" t="s">
        <v>7987</v>
      </c>
      <c r="D6789" s="11">
        <v>7298.34</v>
      </c>
      <c r="E6789" s="11">
        <v>7298.34</v>
      </c>
      <c r="F6789" s="3">
        <v>39052</v>
      </c>
      <c r="G6789" s="2"/>
      <c r="H6789" s="2"/>
      <c r="I6789" s="2"/>
      <c r="J6789" s="2" t="s">
        <v>13904</v>
      </c>
      <c r="K6789" s="2" t="s">
        <v>5657</v>
      </c>
      <c r="L6789" s="246" t="s">
        <v>22280</v>
      </c>
    </row>
    <row r="6790" spans="1:12" ht="84" customHeight="1" x14ac:dyDescent="0.3">
      <c r="A6790" s="2">
        <v>6786</v>
      </c>
      <c r="B6790" s="66" t="s">
        <v>6952</v>
      </c>
      <c r="C6790" s="66" t="s">
        <v>7988</v>
      </c>
      <c r="D6790" s="11">
        <v>7298.34</v>
      </c>
      <c r="E6790" s="11">
        <v>7298.34</v>
      </c>
      <c r="F6790" s="3">
        <v>39052</v>
      </c>
      <c r="G6790" s="2"/>
      <c r="H6790" s="2"/>
      <c r="I6790" s="2"/>
      <c r="J6790" s="2" t="s">
        <v>13904</v>
      </c>
      <c r="K6790" s="2" t="s">
        <v>5657</v>
      </c>
      <c r="L6790" s="246" t="s">
        <v>22280</v>
      </c>
    </row>
    <row r="6791" spans="1:12" ht="84" customHeight="1" x14ac:dyDescent="0.3">
      <c r="A6791" s="2">
        <v>6787</v>
      </c>
      <c r="B6791" s="66" t="s">
        <v>6952</v>
      </c>
      <c r="C6791" s="66" t="s">
        <v>7989</v>
      </c>
      <c r="D6791" s="11">
        <v>7298.34</v>
      </c>
      <c r="E6791" s="11">
        <v>7298.34</v>
      </c>
      <c r="F6791" s="3">
        <v>39052</v>
      </c>
      <c r="G6791" s="2"/>
      <c r="H6791" s="2"/>
      <c r="I6791" s="2"/>
      <c r="J6791" s="2" t="s">
        <v>13904</v>
      </c>
      <c r="K6791" s="2" t="s">
        <v>5657</v>
      </c>
      <c r="L6791" s="246" t="s">
        <v>22280</v>
      </c>
    </row>
    <row r="6792" spans="1:12" ht="84" customHeight="1" x14ac:dyDescent="0.3">
      <c r="A6792" s="2">
        <v>6788</v>
      </c>
      <c r="B6792" s="66" t="s">
        <v>6952</v>
      </c>
      <c r="C6792" s="66" t="s">
        <v>7990</v>
      </c>
      <c r="D6792" s="11">
        <v>7298.34</v>
      </c>
      <c r="E6792" s="11">
        <v>7298.34</v>
      </c>
      <c r="F6792" s="3">
        <v>39052</v>
      </c>
      <c r="G6792" s="2"/>
      <c r="H6792" s="2"/>
      <c r="I6792" s="2"/>
      <c r="J6792" s="2" t="s">
        <v>13904</v>
      </c>
      <c r="K6792" s="2" t="s">
        <v>5657</v>
      </c>
      <c r="L6792" s="246" t="s">
        <v>22280</v>
      </c>
    </row>
    <row r="6793" spans="1:12" ht="84" customHeight="1" x14ac:dyDescent="0.3">
      <c r="A6793" s="2">
        <v>6789</v>
      </c>
      <c r="B6793" s="66" t="s">
        <v>6952</v>
      </c>
      <c r="C6793" s="66" t="s">
        <v>7991</v>
      </c>
      <c r="D6793" s="11">
        <v>5456.52</v>
      </c>
      <c r="E6793" s="11">
        <v>5456.52</v>
      </c>
      <c r="F6793" s="3">
        <v>39052</v>
      </c>
      <c r="G6793" s="2"/>
      <c r="H6793" s="2"/>
      <c r="I6793" s="2"/>
      <c r="J6793" s="2" t="s">
        <v>13904</v>
      </c>
      <c r="K6793" s="2" t="s">
        <v>5657</v>
      </c>
      <c r="L6793" s="246" t="s">
        <v>22280</v>
      </c>
    </row>
    <row r="6794" spans="1:12" ht="84" customHeight="1" x14ac:dyDescent="0.3">
      <c r="A6794" s="2">
        <v>6790</v>
      </c>
      <c r="B6794" s="66" t="s">
        <v>7992</v>
      </c>
      <c r="C6794" s="66" t="s">
        <v>7993</v>
      </c>
      <c r="D6794" s="11">
        <v>5456.52</v>
      </c>
      <c r="E6794" s="11">
        <v>5456.52</v>
      </c>
      <c r="F6794" s="3">
        <v>39052</v>
      </c>
      <c r="G6794" s="2"/>
      <c r="H6794" s="2"/>
      <c r="I6794" s="2"/>
      <c r="J6794" s="2" t="s">
        <v>13904</v>
      </c>
      <c r="K6794" s="2" t="s">
        <v>5657</v>
      </c>
      <c r="L6794" s="246" t="s">
        <v>22280</v>
      </c>
    </row>
    <row r="6795" spans="1:12" ht="84" customHeight="1" x14ac:dyDescent="0.3">
      <c r="A6795" s="2">
        <v>6791</v>
      </c>
      <c r="B6795" s="66" t="s">
        <v>6952</v>
      </c>
      <c r="C6795" s="66" t="s">
        <v>7994</v>
      </c>
      <c r="D6795" s="11">
        <v>5456.67</v>
      </c>
      <c r="E6795" s="11">
        <v>5456.67</v>
      </c>
      <c r="F6795" s="3">
        <v>39052</v>
      </c>
      <c r="G6795" s="2"/>
      <c r="H6795" s="2"/>
      <c r="I6795" s="2"/>
      <c r="J6795" s="2" t="s">
        <v>13904</v>
      </c>
      <c r="K6795" s="2" t="s">
        <v>5657</v>
      </c>
      <c r="L6795" s="246" t="s">
        <v>22280</v>
      </c>
    </row>
    <row r="6796" spans="1:12" ht="84" customHeight="1" x14ac:dyDescent="0.3">
      <c r="A6796" s="2">
        <v>6792</v>
      </c>
      <c r="B6796" s="66" t="s">
        <v>6952</v>
      </c>
      <c r="C6796" s="66" t="s">
        <v>7995</v>
      </c>
      <c r="D6796" s="11">
        <v>5456.67</v>
      </c>
      <c r="E6796" s="11">
        <v>5456.67</v>
      </c>
      <c r="F6796" s="3">
        <v>39052</v>
      </c>
      <c r="G6796" s="2"/>
      <c r="H6796" s="2"/>
      <c r="I6796" s="2"/>
      <c r="J6796" s="2" t="s">
        <v>13904</v>
      </c>
      <c r="K6796" s="2" t="s">
        <v>5657</v>
      </c>
      <c r="L6796" s="246" t="s">
        <v>22280</v>
      </c>
    </row>
    <row r="6797" spans="1:12" ht="84" customHeight="1" x14ac:dyDescent="0.3">
      <c r="A6797" s="2">
        <v>6793</v>
      </c>
      <c r="B6797" s="66" t="s">
        <v>6952</v>
      </c>
      <c r="C6797" s="66" t="s">
        <v>7996</v>
      </c>
      <c r="D6797" s="11">
        <v>5456.51</v>
      </c>
      <c r="E6797" s="11">
        <v>5456.51</v>
      </c>
      <c r="F6797" s="3">
        <v>39052</v>
      </c>
      <c r="G6797" s="2"/>
      <c r="H6797" s="2"/>
      <c r="I6797" s="2"/>
      <c r="J6797" s="2" t="s">
        <v>13904</v>
      </c>
      <c r="K6797" s="2" t="s">
        <v>5657</v>
      </c>
      <c r="L6797" s="246" t="s">
        <v>22280</v>
      </c>
    </row>
    <row r="6798" spans="1:12" ht="84" customHeight="1" x14ac:dyDescent="0.3">
      <c r="A6798" s="2">
        <v>6794</v>
      </c>
      <c r="B6798" s="66" t="s">
        <v>6952</v>
      </c>
      <c r="C6798" s="66" t="s">
        <v>7997</v>
      </c>
      <c r="D6798" s="11">
        <v>5456.52</v>
      </c>
      <c r="E6798" s="11">
        <v>5456.52</v>
      </c>
      <c r="F6798" s="3">
        <v>39052</v>
      </c>
      <c r="G6798" s="2"/>
      <c r="H6798" s="2"/>
      <c r="I6798" s="2"/>
      <c r="J6798" s="2" t="s">
        <v>13904</v>
      </c>
      <c r="K6798" s="2" t="s">
        <v>5657</v>
      </c>
      <c r="L6798" s="246" t="s">
        <v>22280</v>
      </c>
    </row>
    <row r="6799" spans="1:12" ht="84" customHeight="1" x14ac:dyDescent="0.3">
      <c r="A6799" s="2">
        <v>6795</v>
      </c>
      <c r="B6799" s="66" t="s">
        <v>6952</v>
      </c>
      <c r="C6799" s="66" t="s">
        <v>7998</v>
      </c>
      <c r="D6799" s="11">
        <v>5456.52</v>
      </c>
      <c r="E6799" s="11">
        <v>5456.52</v>
      </c>
      <c r="F6799" s="3">
        <v>39052</v>
      </c>
      <c r="G6799" s="2"/>
      <c r="H6799" s="2"/>
      <c r="I6799" s="2"/>
      <c r="J6799" s="2" t="s">
        <v>13904</v>
      </c>
      <c r="K6799" s="2" t="s">
        <v>5657</v>
      </c>
      <c r="L6799" s="246" t="s">
        <v>22280</v>
      </c>
    </row>
    <row r="6800" spans="1:12" ht="84" customHeight="1" x14ac:dyDescent="0.3">
      <c r="A6800" s="2">
        <v>6796</v>
      </c>
      <c r="B6800" s="66" t="s">
        <v>6952</v>
      </c>
      <c r="C6800" s="66" t="s">
        <v>7999</v>
      </c>
      <c r="D6800" s="11">
        <v>5456.51</v>
      </c>
      <c r="E6800" s="11">
        <v>5456.51</v>
      </c>
      <c r="F6800" s="3">
        <v>39052</v>
      </c>
      <c r="G6800" s="2"/>
      <c r="H6800" s="2"/>
      <c r="I6800" s="2"/>
      <c r="J6800" s="2" t="s">
        <v>13904</v>
      </c>
      <c r="K6800" s="2" t="s">
        <v>5657</v>
      </c>
      <c r="L6800" s="246" t="s">
        <v>22280</v>
      </c>
    </row>
    <row r="6801" spans="1:12" ht="84" customHeight="1" x14ac:dyDescent="0.3">
      <c r="A6801" s="2">
        <v>6797</v>
      </c>
      <c r="B6801" s="66" t="s">
        <v>6952</v>
      </c>
      <c r="C6801" s="66" t="s">
        <v>8000</v>
      </c>
      <c r="D6801" s="11">
        <v>5456.51</v>
      </c>
      <c r="E6801" s="11">
        <v>5456.51</v>
      </c>
      <c r="F6801" s="3">
        <v>39052</v>
      </c>
      <c r="G6801" s="2"/>
      <c r="H6801" s="2"/>
      <c r="I6801" s="2"/>
      <c r="J6801" s="2" t="s">
        <v>13904</v>
      </c>
      <c r="K6801" s="2" t="s">
        <v>5657</v>
      </c>
      <c r="L6801" s="246" t="s">
        <v>22280</v>
      </c>
    </row>
    <row r="6802" spans="1:12" ht="84" customHeight="1" x14ac:dyDescent="0.3">
      <c r="A6802" s="2">
        <v>6798</v>
      </c>
      <c r="B6802" s="66" t="s">
        <v>6952</v>
      </c>
      <c r="C6802" s="66" t="s">
        <v>8001</v>
      </c>
      <c r="D6802" s="11">
        <v>5456.51</v>
      </c>
      <c r="E6802" s="11">
        <v>5456.51</v>
      </c>
      <c r="F6802" s="3">
        <v>39052</v>
      </c>
      <c r="G6802" s="2"/>
      <c r="H6802" s="2"/>
      <c r="I6802" s="2"/>
      <c r="J6802" s="2" t="s">
        <v>13904</v>
      </c>
      <c r="K6802" s="2" t="s">
        <v>5657</v>
      </c>
      <c r="L6802" s="246" t="s">
        <v>22280</v>
      </c>
    </row>
    <row r="6803" spans="1:12" ht="84" customHeight="1" x14ac:dyDescent="0.3">
      <c r="A6803" s="2">
        <v>6799</v>
      </c>
      <c r="B6803" s="66" t="s">
        <v>6952</v>
      </c>
      <c r="C6803" s="66" t="s">
        <v>8002</v>
      </c>
      <c r="D6803" s="11">
        <v>5456.51</v>
      </c>
      <c r="E6803" s="11">
        <v>5456.51</v>
      </c>
      <c r="F6803" s="3">
        <v>39052</v>
      </c>
      <c r="G6803" s="2"/>
      <c r="H6803" s="2"/>
      <c r="I6803" s="2"/>
      <c r="J6803" s="2" t="s">
        <v>13904</v>
      </c>
      <c r="K6803" s="2" t="s">
        <v>5657</v>
      </c>
      <c r="L6803" s="246" t="s">
        <v>22280</v>
      </c>
    </row>
    <row r="6804" spans="1:12" ht="84" customHeight="1" x14ac:dyDescent="0.3">
      <c r="A6804" s="2">
        <v>6800</v>
      </c>
      <c r="B6804" s="66" t="s">
        <v>6952</v>
      </c>
      <c r="C6804" s="66" t="s">
        <v>8003</v>
      </c>
      <c r="D6804" s="11">
        <v>5456.51</v>
      </c>
      <c r="E6804" s="11">
        <v>5456.51</v>
      </c>
      <c r="F6804" s="3">
        <v>39052</v>
      </c>
      <c r="G6804" s="2"/>
      <c r="H6804" s="2"/>
      <c r="I6804" s="2"/>
      <c r="J6804" s="2" t="s">
        <v>13904</v>
      </c>
      <c r="K6804" s="2" t="s">
        <v>5657</v>
      </c>
      <c r="L6804" s="246" t="s">
        <v>22280</v>
      </c>
    </row>
    <row r="6805" spans="1:12" ht="84" customHeight="1" x14ac:dyDescent="0.3">
      <c r="A6805" s="2">
        <v>6801</v>
      </c>
      <c r="B6805" s="66" t="s">
        <v>6952</v>
      </c>
      <c r="C6805" s="66" t="s">
        <v>8004</v>
      </c>
      <c r="D6805" s="11">
        <v>5456.51</v>
      </c>
      <c r="E6805" s="11">
        <v>5456.51</v>
      </c>
      <c r="F6805" s="3">
        <v>39052</v>
      </c>
      <c r="G6805" s="2"/>
      <c r="H6805" s="2"/>
      <c r="I6805" s="2"/>
      <c r="J6805" s="2" t="s">
        <v>13904</v>
      </c>
      <c r="K6805" s="2" t="s">
        <v>5657</v>
      </c>
      <c r="L6805" s="246" t="s">
        <v>22280</v>
      </c>
    </row>
    <row r="6806" spans="1:12" ht="84" customHeight="1" x14ac:dyDescent="0.3">
      <c r="A6806" s="2">
        <v>6802</v>
      </c>
      <c r="B6806" s="66" t="s">
        <v>6952</v>
      </c>
      <c r="C6806" s="66" t="s">
        <v>8005</v>
      </c>
      <c r="D6806" s="11">
        <v>5456.51</v>
      </c>
      <c r="E6806" s="11">
        <v>5456.51</v>
      </c>
      <c r="F6806" s="3">
        <v>39052</v>
      </c>
      <c r="G6806" s="2"/>
      <c r="H6806" s="2"/>
      <c r="I6806" s="2"/>
      <c r="J6806" s="2" t="s">
        <v>13904</v>
      </c>
      <c r="K6806" s="2" t="s">
        <v>5657</v>
      </c>
      <c r="L6806" s="246" t="s">
        <v>22280</v>
      </c>
    </row>
    <row r="6807" spans="1:12" ht="84" customHeight="1" x14ac:dyDescent="0.3">
      <c r="A6807" s="2">
        <v>6803</v>
      </c>
      <c r="B6807" s="66" t="s">
        <v>6952</v>
      </c>
      <c r="C6807" s="66" t="s">
        <v>8006</v>
      </c>
      <c r="D6807" s="11">
        <v>5456.51</v>
      </c>
      <c r="E6807" s="11">
        <v>5456.51</v>
      </c>
      <c r="F6807" s="3">
        <v>39052</v>
      </c>
      <c r="G6807" s="2"/>
      <c r="H6807" s="2"/>
      <c r="I6807" s="2"/>
      <c r="J6807" s="2" t="s">
        <v>13904</v>
      </c>
      <c r="K6807" s="2" t="s">
        <v>5657</v>
      </c>
      <c r="L6807" s="246" t="s">
        <v>22280</v>
      </c>
    </row>
    <row r="6808" spans="1:12" ht="84" customHeight="1" x14ac:dyDescent="0.3">
      <c r="A6808" s="2">
        <v>6804</v>
      </c>
      <c r="B6808" s="66" t="s">
        <v>6952</v>
      </c>
      <c r="C6808" s="66" t="s">
        <v>8007</v>
      </c>
      <c r="D6808" s="11">
        <v>5456.52</v>
      </c>
      <c r="E6808" s="11">
        <v>5456.52</v>
      </c>
      <c r="F6808" s="3">
        <v>39052</v>
      </c>
      <c r="G6808" s="2"/>
      <c r="H6808" s="2"/>
      <c r="I6808" s="2"/>
      <c r="J6808" s="2" t="s">
        <v>13904</v>
      </c>
      <c r="K6808" s="2" t="s">
        <v>5657</v>
      </c>
      <c r="L6808" s="246" t="s">
        <v>22280</v>
      </c>
    </row>
    <row r="6809" spans="1:12" ht="84" customHeight="1" x14ac:dyDescent="0.3">
      <c r="A6809" s="2">
        <v>6805</v>
      </c>
      <c r="B6809" s="66" t="s">
        <v>6952</v>
      </c>
      <c r="C6809" s="66" t="s">
        <v>8008</v>
      </c>
      <c r="D6809" s="11">
        <v>5456.67</v>
      </c>
      <c r="E6809" s="11">
        <v>5456.67</v>
      </c>
      <c r="F6809" s="3">
        <v>39059</v>
      </c>
      <c r="G6809" s="2"/>
      <c r="H6809" s="2"/>
      <c r="I6809" s="2"/>
      <c r="J6809" s="2" t="s">
        <v>13904</v>
      </c>
      <c r="K6809" s="2" t="s">
        <v>5657</v>
      </c>
      <c r="L6809" s="246" t="s">
        <v>22280</v>
      </c>
    </row>
    <row r="6810" spans="1:12" ht="84" customHeight="1" x14ac:dyDescent="0.3">
      <c r="A6810" s="2">
        <v>6806</v>
      </c>
      <c r="B6810" s="66" t="s">
        <v>6952</v>
      </c>
      <c r="C6810" s="66" t="s">
        <v>8009</v>
      </c>
      <c r="D6810" s="11">
        <v>5456.52</v>
      </c>
      <c r="E6810" s="11">
        <v>5456.52</v>
      </c>
      <c r="F6810" s="3">
        <v>39052</v>
      </c>
      <c r="G6810" s="2"/>
      <c r="H6810" s="2"/>
      <c r="I6810" s="2"/>
      <c r="J6810" s="2" t="s">
        <v>13904</v>
      </c>
      <c r="K6810" s="2" t="s">
        <v>5657</v>
      </c>
      <c r="L6810" s="246" t="s">
        <v>22280</v>
      </c>
    </row>
    <row r="6811" spans="1:12" ht="84" customHeight="1" x14ac:dyDescent="0.3">
      <c r="A6811" s="2">
        <v>6807</v>
      </c>
      <c r="B6811" s="66" t="s">
        <v>6952</v>
      </c>
      <c r="C6811" s="66" t="s">
        <v>8010</v>
      </c>
      <c r="D6811" s="11">
        <v>5456.52</v>
      </c>
      <c r="E6811" s="11">
        <v>5456.52</v>
      </c>
      <c r="F6811" s="3">
        <v>39052</v>
      </c>
      <c r="G6811" s="2"/>
      <c r="H6811" s="2"/>
      <c r="I6811" s="2"/>
      <c r="J6811" s="2" t="s">
        <v>13904</v>
      </c>
      <c r="K6811" s="2" t="s">
        <v>5657</v>
      </c>
      <c r="L6811" s="246" t="s">
        <v>22280</v>
      </c>
    </row>
    <row r="6812" spans="1:12" ht="84" customHeight="1" x14ac:dyDescent="0.3">
      <c r="A6812" s="2">
        <v>6808</v>
      </c>
      <c r="B6812" s="66" t="s">
        <v>6952</v>
      </c>
      <c r="C6812" s="66" t="s">
        <v>8011</v>
      </c>
      <c r="D6812" s="11">
        <v>5456.5</v>
      </c>
      <c r="E6812" s="11">
        <v>5456.5</v>
      </c>
      <c r="F6812" s="3">
        <v>39052</v>
      </c>
      <c r="G6812" s="2"/>
      <c r="H6812" s="2"/>
      <c r="I6812" s="2"/>
      <c r="J6812" s="2" t="s">
        <v>13904</v>
      </c>
      <c r="K6812" s="2" t="s">
        <v>5657</v>
      </c>
      <c r="L6812" s="246" t="s">
        <v>22280</v>
      </c>
    </row>
    <row r="6813" spans="1:12" ht="84" customHeight="1" x14ac:dyDescent="0.3">
      <c r="A6813" s="2">
        <v>6809</v>
      </c>
      <c r="B6813" s="66" t="s">
        <v>6952</v>
      </c>
      <c r="C6813" s="66" t="s">
        <v>8012</v>
      </c>
      <c r="D6813" s="11">
        <v>5456.5</v>
      </c>
      <c r="E6813" s="11">
        <v>5456.5</v>
      </c>
      <c r="F6813" s="3">
        <v>39052</v>
      </c>
      <c r="G6813" s="2"/>
      <c r="H6813" s="2"/>
      <c r="I6813" s="2"/>
      <c r="J6813" s="2" t="s">
        <v>13904</v>
      </c>
      <c r="K6813" s="2" t="s">
        <v>5657</v>
      </c>
      <c r="L6813" s="246" t="s">
        <v>22280</v>
      </c>
    </row>
    <row r="6814" spans="1:12" ht="84" customHeight="1" x14ac:dyDescent="0.3">
      <c r="A6814" s="2">
        <v>6810</v>
      </c>
      <c r="B6814" s="66" t="s">
        <v>6952</v>
      </c>
      <c r="C6814" s="66" t="s">
        <v>8013</v>
      </c>
      <c r="D6814" s="11">
        <v>5456.46</v>
      </c>
      <c r="E6814" s="11">
        <v>5456.46</v>
      </c>
      <c r="F6814" s="3">
        <v>39052</v>
      </c>
      <c r="G6814" s="2"/>
      <c r="H6814" s="2"/>
      <c r="I6814" s="2"/>
      <c r="J6814" s="2" t="s">
        <v>13904</v>
      </c>
      <c r="K6814" s="2" t="s">
        <v>5657</v>
      </c>
      <c r="L6814" s="246" t="s">
        <v>22280</v>
      </c>
    </row>
    <row r="6815" spans="1:12" ht="84" customHeight="1" x14ac:dyDescent="0.3">
      <c r="A6815" s="2">
        <v>6811</v>
      </c>
      <c r="B6815" s="66" t="s">
        <v>6952</v>
      </c>
      <c r="C6815" s="66" t="s">
        <v>8014</v>
      </c>
      <c r="D6815" s="11">
        <v>5456.46</v>
      </c>
      <c r="E6815" s="11">
        <v>5456.46</v>
      </c>
      <c r="F6815" s="3">
        <v>39052</v>
      </c>
      <c r="G6815" s="2"/>
      <c r="H6815" s="2"/>
      <c r="I6815" s="2"/>
      <c r="J6815" s="2" t="s">
        <v>13904</v>
      </c>
      <c r="K6815" s="2" t="s">
        <v>5657</v>
      </c>
      <c r="L6815" s="246" t="s">
        <v>22280</v>
      </c>
    </row>
    <row r="6816" spans="1:12" ht="84" customHeight="1" x14ac:dyDescent="0.3">
      <c r="A6816" s="2">
        <v>6812</v>
      </c>
      <c r="B6816" s="66" t="s">
        <v>6952</v>
      </c>
      <c r="C6816" s="66" t="s">
        <v>8015</v>
      </c>
      <c r="D6816" s="11">
        <v>5456.46</v>
      </c>
      <c r="E6816" s="11">
        <v>5456.46</v>
      </c>
      <c r="F6816" s="3">
        <v>39052</v>
      </c>
      <c r="G6816" s="2"/>
      <c r="H6816" s="2"/>
      <c r="I6816" s="2"/>
      <c r="J6816" s="2" t="s">
        <v>13904</v>
      </c>
      <c r="K6816" s="2" t="s">
        <v>5657</v>
      </c>
      <c r="L6816" s="246" t="s">
        <v>22280</v>
      </c>
    </row>
    <row r="6817" spans="1:12" ht="84" customHeight="1" x14ac:dyDescent="0.3">
      <c r="A6817" s="2">
        <v>6813</v>
      </c>
      <c r="B6817" s="66" t="s">
        <v>6952</v>
      </c>
      <c r="C6817" s="66" t="s">
        <v>8016</v>
      </c>
      <c r="D6817" s="11">
        <v>7298.34</v>
      </c>
      <c r="E6817" s="11">
        <v>7298.34</v>
      </c>
      <c r="F6817" s="3">
        <v>39065</v>
      </c>
      <c r="G6817" s="2"/>
      <c r="H6817" s="2"/>
      <c r="I6817" s="2"/>
      <c r="J6817" s="2" t="s">
        <v>13904</v>
      </c>
      <c r="K6817" s="2" t="s">
        <v>5657</v>
      </c>
      <c r="L6817" s="246" t="s">
        <v>22280</v>
      </c>
    </row>
    <row r="6818" spans="1:12" ht="84" customHeight="1" x14ac:dyDescent="0.3">
      <c r="A6818" s="2">
        <v>6814</v>
      </c>
      <c r="B6818" s="66" t="s">
        <v>6952</v>
      </c>
      <c r="C6818" s="66" t="s">
        <v>8017</v>
      </c>
      <c r="D6818" s="11">
        <v>7298.34</v>
      </c>
      <c r="E6818" s="11">
        <v>7298.34</v>
      </c>
      <c r="F6818" s="3">
        <v>39065</v>
      </c>
      <c r="G6818" s="2"/>
      <c r="H6818" s="2"/>
      <c r="I6818" s="2"/>
      <c r="J6818" s="2" t="s">
        <v>13904</v>
      </c>
      <c r="K6818" s="2" t="s">
        <v>5657</v>
      </c>
      <c r="L6818" s="246" t="s">
        <v>22280</v>
      </c>
    </row>
    <row r="6819" spans="1:12" ht="84" customHeight="1" x14ac:dyDescent="0.3">
      <c r="A6819" s="2">
        <v>6815</v>
      </c>
      <c r="B6819" s="66" t="s">
        <v>8018</v>
      </c>
      <c r="C6819" s="66" t="s">
        <v>8019</v>
      </c>
      <c r="D6819" s="11">
        <v>5456.51</v>
      </c>
      <c r="E6819" s="11">
        <v>5456.51</v>
      </c>
      <c r="F6819" s="3">
        <v>39052</v>
      </c>
      <c r="G6819" s="2"/>
      <c r="H6819" s="2"/>
      <c r="I6819" s="2"/>
      <c r="J6819" s="2" t="s">
        <v>13904</v>
      </c>
      <c r="K6819" s="2" t="s">
        <v>5657</v>
      </c>
      <c r="L6819" s="246" t="s">
        <v>22280</v>
      </c>
    </row>
    <row r="6820" spans="1:12" ht="84" customHeight="1" x14ac:dyDescent="0.3">
      <c r="A6820" s="2">
        <v>6816</v>
      </c>
      <c r="B6820" s="66" t="s">
        <v>8020</v>
      </c>
      <c r="C6820" s="66" t="s">
        <v>8021</v>
      </c>
      <c r="D6820" s="11">
        <v>8225.08</v>
      </c>
      <c r="E6820" s="11">
        <v>8225.08</v>
      </c>
      <c r="F6820" s="3">
        <v>39052</v>
      </c>
      <c r="G6820" s="2"/>
      <c r="H6820" s="2"/>
      <c r="I6820" s="2"/>
      <c r="J6820" s="2" t="s">
        <v>13904</v>
      </c>
      <c r="K6820" s="2" t="s">
        <v>5657</v>
      </c>
      <c r="L6820" s="246" t="s">
        <v>22280</v>
      </c>
    </row>
    <row r="6821" spans="1:12" ht="84" customHeight="1" x14ac:dyDescent="0.3">
      <c r="A6821" s="2">
        <v>6817</v>
      </c>
      <c r="B6821" s="66" t="s">
        <v>8022</v>
      </c>
      <c r="C6821" s="66" t="s">
        <v>8023</v>
      </c>
      <c r="D6821" s="11">
        <v>7206.91</v>
      </c>
      <c r="E6821" s="11">
        <v>7206.91</v>
      </c>
      <c r="F6821" s="3">
        <v>39052</v>
      </c>
      <c r="G6821" s="2"/>
      <c r="H6821" s="2"/>
      <c r="I6821" s="2"/>
      <c r="J6821" s="2" t="s">
        <v>13904</v>
      </c>
      <c r="K6821" s="2" t="s">
        <v>5657</v>
      </c>
      <c r="L6821" s="246" t="s">
        <v>22280</v>
      </c>
    </row>
    <row r="6822" spans="1:12" ht="84" customHeight="1" x14ac:dyDescent="0.3">
      <c r="A6822" s="2">
        <v>6818</v>
      </c>
      <c r="B6822" s="66" t="s">
        <v>8024</v>
      </c>
      <c r="C6822" s="66" t="s">
        <v>8025</v>
      </c>
      <c r="D6822" s="11">
        <v>8225.07</v>
      </c>
      <c r="E6822" s="11">
        <v>8225.07</v>
      </c>
      <c r="F6822" s="3">
        <v>39052</v>
      </c>
      <c r="G6822" s="2"/>
      <c r="H6822" s="2"/>
      <c r="I6822" s="2"/>
      <c r="J6822" s="2" t="s">
        <v>13904</v>
      </c>
      <c r="K6822" s="2" t="s">
        <v>5657</v>
      </c>
      <c r="L6822" s="246" t="s">
        <v>22280</v>
      </c>
    </row>
    <row r="6823" spans="1:12" ht="84" customHeight="1" x14ac:dyDescent="0.3">
      <c r="A6823" s="2">
        <v>6819</v>
      </c>
      <c r="B6823" s="66" t="s">
        <v>8026</v>
      </c>
      <c r="C6823" s="66" t="s">
        <v>8027</v>
      </c>
      <c r="D6823" s="11">
        <v>7207.03</v>
      </c>
      <c r="E6823" s="11">
        <v>7207.03</v>
      </c>
      <c r="F6823" s="3">
        <v>39052</v>
      </c>
      <c r="G6823" s="2"/>
      <c r="H6823" s="2"/>
      <c r="I6823" s="2"/>
      <c r="J6823" s="2" t="s">
        <v>13904</v>
      </c>
      <c r="K6823" s="2" t="s">
        <v>5657</v>
      </c>
      <c r="L6823" s="246" t="s">
        <v>22280</v>
      </c>
    </row>
    <row r="6824" spans="1:12" ht="84" customHeight="1" x14ac:dyDescent="0.3">
      <c r="A6824" s="2">
        <v>6820</v>
      </c>
      <c r="B6824" s="66" t="s">
        <v>7152</v>
      </c>
      <c r="C6824" s="66" t="s">
        <v>8028</v>
      </c>
      <c r="D6824" s="11">
        <v>8225.08</v>
      </c>
      <c r="E6824" s="11">
        <v>8225.08</v>
      </c>
      <c r="F6824" s="3">
        <v>39052</v>
      </c>
      <c r="G6824" s="2"/>
      <c r="H6824" s="2"/>
      <c r="I6824" s="2"/>
      <c r="J6824" s="2" t="s">
        <v>13904</v>
      </c>
      <c r="K6824" s="2" t="s">
        <v>5657</v>
      </c>
      <c r="L6824" s="246" t="s">
        <v>22280</v>
      </c>
    </row>
    <row r="6825" spans="1:12" ht="84" customHeight="1" x14ac:dyDescent="0.3">
      <c r="A6825" s="2">
        <v>6821</v>
      </c>
      <c r="B6825" s="66" t="s">
        <v>7152</v>
      </c>
      <c r="C6825" s="66" t="s">
        <v>8029</v>
      </c>
      <c r="D6825" s="11">
        <v>7207.03</v>
      </c>
      <c r="E6825" s="11">
        <v>7207.03</v>
      </c>
      <c r="F6825" s="3">
        <v>39052</v>
      </c>
      <c r="G6825" s="2"/>
      <c r="H6825" s="2"/>
      <c r="I6825" s="2"/>
      <c r="J6825" s="2" t="s">
        <v>13904</v>
      </c>
      <c r="K6825" s="2" t="s">
        <v>5657</v>
      </c>
      <c r="L6825" s="246" t="s">
        <v>22280</v>
      </c>
    </row>
    <row r="6826" spans="1:12" ht="84" customHeight="1" x14ac:dyDescent="0.3">
      <c r="A6826" s="2">
        <v>6822</v>
      </c>
      <c r="B6826" s="66" t="s">
        <v>7152</v>
      </c>
      <c r="C6826" s="66" t="s">
        <v>8030</v>
      </c>
      <c r="D6826" s="11">
        <v>7207.03</v>
      </c>
      <c r="E6826" s="11">
        <v>7207.03</v>
      </c>
      <c r="F6826" s="3">
        <v>39052</v>
      </c>
      <c r="G6826" s="2"/>
      <c r="H6826" s="2"/>
      <c r="I6826" s="2"/>
      <c r="J6826" s="2" t="s">
        <v>13904</v>
      </c>
      <c r="K6826" s="2" t="s">
        <v>5657</v>
      </c>
      <c r="L6826" s="246" t="s">
        <v>22280</v>
      </c>
    </row>
    <row r="6827" spans="1:12" ht="84" customHeight="1" x14ac:dyDescent="0.3">
      <c r="A6827" s="2">
        <v>6823</v>
      </c>
      <c r="B6827" s="66" t="s">
        <v>7152</v>
      </c>
      <c r="C6827" s="66" t="s">
        <v>8031</v>
      </c>
      <c r="D6827" s="11">
        <v>7206.91</v>
      </c>
      <c r="E6827" s="11">
        <v>7206.91</v>
      </c>
      <c r="F6827" s="3">
        <v>39065</v>
      </c>
      <c r="G6827" s="2"/>
      <c r="H6827" s="2"/>
      <c r="I6827" s="2"/>
      <c r="J6827" s="2" t="s">
        <v>13904</v>
      </c>
      <c r="K6827" s="2" t="s">
        <v>5657</v>
      </c>
      <c r="L6827" s="246" t="s">
        <v>22280</v>
      </c>
    </row>
    <row r="6828" spans="1:12" ht="84" customHeight="1" x14ac:dyDescent="0.3">
      <c r="A6828" s="2">
        <v>6824</v>
      </c>
      <c r="B6828" s="66" t="s">
        <v>7152</v>
      </c>
      <c r="C6828" s="66" t="s">
        <v>8032</v>
      </c>
      <c r="D6828" s="11">
        <v>8833.2000000000007</v>
      </c>
      <c r="E6828" s="11">
        <v>8833.2000000000007</v>
      </c>
      <c r="F6828" s="3">
        <v>39065</v>
      </c>
      <c r="G6828" s="2"/>
      <c r="H6828" s="2"/>
      <c r="I6828" s="2"/>
      <c r="J6828" s="2" t="s">
        <v>13904</v>
      </c>
      <c r="K6828" s="2" t="s">
        <v>5657</v>
      </c>
      <c r="L6828" s="246" t="s">
        <v>22280</v>
      </c>
    </row>
    <row r="6829" spans="1:12" ht="84" customHeight="1" x14ac:dyDescent="0.3">
      <c r="A6829" s="2">
        <v>6825</v>
      </c>
      <c r="B6829" s="66" t="s">
        <v>7152</v>
      </c>
      <c r="C6829" s="66" t="s">
        <v>8033</v>
      </c>
      <c r="D6829" s="11">
        <v>8833.2000000000007</v>
      </c>
      <c r="E6829" s="11">
        <v>8833.2000000000007</v>
      </c>
      <c r="F6829" s="3">
        <v>39065</v>
      </c>
      <c r="G6829" s="2"/>
      <c r="H6829" s="2"/>
      <c r="I6829" s="2"/>
      <c r="J6829" s="2" t="s">
        <v>13904</v>
      </c>
      <c r="K6829" s="2" t="s">
        <v>5657</v>
      </c>
      <c r="L6829" s="246" t="s">
        <v>22280</v>
      </c>
    </row>
    <row r="6830" spans="1:12" ht="84" customHeight="1" x14ac:dyDescent="0.3">
      <c r="A6830" s="2">
        <v>6826</v>
      </c>
      <c r="B6830" s="66" t="s">
        <v>7152</v>
      </c>
      <c r="C6830" s="66" t="s">
        <v>8034</v>
      </c>
      <c r="D6830" s="11">
        <v>8833</v>
      </c>
      <c r="E6830" s="11">
        <v>8833</v>
      </c>
      <c r="F6830" s="3">
        <v>39065</v>
      </c>
      <c r="G6830" s="2"/>
      <c r="H6830" s="2"/>
      <c r="I6830" s="2"/>
      <c r="J6830" s="2" t="s">
        <v>13904</v>
      </c>
      <c r="K6830" s="2" t="s">
        <v>5657</v>
      </c>
      <c r="L6830" s="246" t="s">
        <v>22280</v>
      </c>
    </row>
    <row r="6831" spans="1:12" ht="84" customHeight="1" x14ac:dyDescent="0.3">
      <c r="A6831" s="2">
        <v>6827</v>
      </c>
      <c r="B6831" s="66" t="s">
        <v>7152</v>
      </c>
      <c r="C6831" s="66" t="s">
        <v>8035</v>
      </c>
      <c r="D6831" s="11">
        <v>8833.2000000000007</v>
      </c>
      <c r="E6831" s="11">
        <v>8833.2000000000007</v>
      </c>
      <c r="F6831" s="3">
        <v>39065</v>
      </c>
      <c r="G6831" s="2"/>
      <c r="H6831" s="2"/>
      <c r="I6831" s="2"/>
      <c r="J6831" s="2" t="s">
        <v>13904</v>
      </c>
      <c r="K6831" s="2" t="s">
        <v>5657</v>
      </c>
      <c r="L6831" s="246" t="s">
        <v>22280</v>
      </c>
    </row>
    <row r="6832" spans="1:12" ht="84" customHeight="1" x14ac:dyDescent="0.3">
      <c r="A6832" s="2">
        <v>6828</v>
      </c>
      <c r="B6832" s="66" t="s">
        <v>8036</v>
      </c>
      <c r="C6832" s="66" t="s">
        <v>8037</v>
      </c>
      <c r="D6832" s="11">
        <v>7207.03</v>
      </c>
      <c r="E6832" s="11">
        <v>7207.03</v>
      </c>
      <c r="F6832" s="3">
        <v>39052</v>
      </c>
      <c r="G6832" s="2"/>
      <c r="H6832" s="2"/>
      <c r="I6832" s="2"/>
      <c r="J6832" s="2" t="s">
        <v>13904</v>
      </c>
      <c r="K6832" s="2" t="s">
        <v>5657</v>
      </c>
      <c r="L6832" s="246" t="s">
        <v>22280</v>
      </c>
    </row>
    <row r="6833" spans="1:12" ht="84" customHeight="1" x14ac:dyDescent="0.3">
      <c r="A6833" s="2">
        <v>6829</v>
      </c>
      <c r="B6833" s="66" t="s">
        <v>8036</v>
      </c>
      <c r="C6833" s="66" t="s">
        <v>8038</v>
      </c>
      <c r="D6833" s="11">
        <v>7207.03</v>
      </c>
      <c r="E6833" s="11">
        <v>7207.03</v>
      </c>
      <c r="F6833" s="3">
        <v>39052</v>
      </c>
      <c r="G6833" s="2"/>
      <c r="H6833" s="2"/>
      <c r="I6833" s="2"/>
      <c r="J6833" s="2" t="s">
        <v>13904</v>
      </c>
      <c r="K6833" s="2" t="s">
        <v>5657</v>
      </c>
      <c r="L6833" s="246" t="s">
        <v>22280</v>
      </c>
    </row>
    <row r="6834" spans="1:12" ht="84" customHeight="1" x14ac:dyDescent="0.3">
      <c r="A6834" s="2">
        <v>6830</v>
      </c>
      <c r="B6834" s="66" t="s">
        <v>8036</v>
      </c>
      <c r="C6834" s="66" t="s">
        <v>8039</v>
      </c>
      <c r="D6834" s="11">
        <v>4416.6000000000004</v>
      </c>
      <c r="E6834" s="11">
        <v>4416.6000000000004</v>
      </c>
      <c r="F6834" s="3">
        <v>39065</v>
      </c>
      <c r="G6834" s="2"/>
      <c r="H6834" s="2"/>
      <c r="I6834" s="2"/>
      <c r="J6834" s="2" t="s">
        <v>13904</v>
      </c>
      <c r="K6834" s="2" t="s">
        <v>5657</v>
      </c>
      <c r="L6834" s="246" t="s">
        <v>22280</v>
      </c>
    </row>
    <row r="6835" spans="1:12" ht="84" customHeight="1" x14ac:dyDescent="0.3">
      <c r="A6835" s="2">
        <v>6831</v>
      </c>
      <c r="B6835" s="66" t="s">
        <v>8040</v>
      </c>
      <c r="C6835" s="66" t="s">
        <v>8041</v>
      </c>
      <c r="D6835" s="11">
        <v>8833.19</v>
      </c>
      <c r="E6835" s="11">
        <v>8833.19</v>
      </c>
      <c r="F6835" s="3">
        <v>39052</v>
      </c>
      <c r="G6835" s="2"/>
      <c r="H6835" s="2"/>
      <c r="I6835" s="2"/>
      <c r="J6835" s="2" t="s">
        <v>13904</v>
      </c>
      <c r="K6835" s="2" t="s">
        <v>5657</v>
      </c>
      <c r="L6835" s="246" t="s">
        <v>22280</v>
      </c>
    </row>
    <row r="6836" spans="1:12" ht="84" customHeight="1" x14ac:dyDescent="0.3">
      <c r="A6836" s="2">
        <v>6832</v>
      </c>
      <c r="B6836" s="66" t="s">
        <v>8040</v>
      </c>
      <c r="C6836" s="66" t="s">
        <v>8042</v>
      </c>
      <c r="D6836" s="11">
        <v>7207.03</v>
      </c>
      <c r="E6836" s="11">
        <v>7207.03</v>
      </c>
      <c r="F6836" s="3">
        <v>39052</v>
      </c>
      <c r="G6836" s="2"/>
      <c r="H6836" s="2"/>
      <c r="I6836" s="2"/>
      <c r="J6836" s="2" t="s">
        <v>13904</v>
      </c>
      <c r="K6836" s="2" t="s">
        <v>5657</v>
      </c>
      <c r="L6836" s="246" t="s">
        <v>22280</v>
      </c>
    </row>
    <row r="6837" spans="1:12" ht="84" customHeight="1" x14ac:dyDescent="0.3">
      <c r="A6837" s="2">
        <v>6833</v>
      </c>
      <c r="B6837" s="66" t="s">
        <v>8040</v>
      </c>
      <c r="C6837" s="66" t="s">
        <v>8043</v>
      </c>
      <c r="D6837" s="11">
        <v>7207.04</v>
      </c>
      <c r="E6837" s="11">
        <v>7207.04</v>
      </c>
      <c r="F6837" s="3">
        <v>39052</v>
      </c>
      <c r="G6837" s="2"/>
      <c r="H6837" s="2"/>
      <c r="I6837" s="2"/>
      <c r="J6837" s="2" t="s">
        <v>13904</v>
      </c>
      <c r="K6837" s="2" t="s">
        <v>5657</v>
      </c>
      <c r="L6837" s="246" t="s">
        <v>22280</v>
      </c>
    </row>
    <row r="6838" spans="1:12" ht="84" customHeight="1" x14ac:dyDescent="0.3">
      <c r="A6838" s="2">
        <v>6834</v>
      </c>
      <c r="B6838" s="66" t="s">
        <v>8044</v>
      </c>
      <c r="C6838" s="66" t="s">
        <v>8045</v>
      </c>
      <c r="D6838" s="11">
        <v>7207.03</v>
      </c>
      <c r="E6838" s="11">
        <v>7207.03</v>
      </c>
      <c r="F6838" s="3">
        <v>39052</v>
      </c>
      <c r="G6838" s="2"/>
      <c r="H6838" s="2"/>
      <c r="I6838" s="2"/>
      <c r="J6838" s="2" t="s">
        <v>13904</v>
      </c>
      <c r="K6838" s="2" t="s">
        <v>5657</v>
      </c>
      <c r="L6838" s="246" t="s">
        <v>22280</v>
      </c>
    </row>
    <row r="6839" spans="1:12" ht="84" customHeight="1" x14ac:dyDescent="0.3">
      <c r="A6839" s="2">
        <v>6835</v>
      </c>
      <c r="B6839" s="66" t="s">
        <v>8046</v>
      </c>
      <c r="C6839" s="66" t="s">
        <v>8047</v>
      </c>
      <c r="D6839" s="11">
        <v>7207.03</v>
      </c>
      <c r="E6839" s="11">
        <v>7207.03</v>
      </c>
      <c r="F6839" s="3">
        <v>39052</v>
      </c>
      <c r="G6839" s="2"/>
      <c r="H6839" s="2"/>
      <c r="I6839" s="2"/>
      <c r="J6839" s="2" t="s">
        <v>13904</v>
      </c>
      <c r="K6839" s="2" t="s">
        <v>5657</v>
      </c>
      <c r="L6839" s="246" t="s">
        <v>22280</v>
      </c>
    </row>
    <row r="6840" spans="1:12" ht="84" customHeight="1" x14ac:dyDescent="0.3">
      <c r="A6840" s="2">
        <v>6836</v>
      </c>
      <c r="B6840" s="66" t="s">
        <v>8046</v>
      </c>
      <c r="C6840" s="66" t="s">
        <v>8048</v>
      </c>
      <c r="D6840" s="11">
        <v>7206.91</v>
      </c>
      <c r="E6840" s="11">
        <v>7206.91</v>
      </c>
      <c r="F6840" s="3">
        <v>39052</v>
      </c>
      <c r="G6840" s="2"/>
      <c r="H6840" s="2"/>
      <c r="I6840" s="2"/>
      <c r="J6840" s="2" t="s">
        <v>13904</v>
      </c>
      <c r="K6840" s="2" t="s">
        <v>5657</v>
      </c>
      <c r="L6840" s="246" t="s">
        <v>22280</v>
      </c>
    </row>
    <row r="6841" spans="1:12" ht="84" customHeight="1" x14ac:dyDescent="0.3">
      <c r="A6841" s="2">
        <v>6837</v>
      </c>
      <c r="B6841" s="66" t="s">
        <v>8046</v>
      </c>
      <c r="C6841" s="66" t="s">
        <v>8049</v>
      </c>
      <c r="D6841" s="11">
        <v>7207.03</v>
      </c>
      <c r="E6841" s="11">
        <v>7207.03</v>
      </c>
      <c r="F6841" s="3">
        <v>39052</v>
      </c>
      <c r="G6841" s="2"/>
      <c r="H6841" s="2"/>
      <c r="I6841" s="2"/>
      <c r="J6841" s="2" t="s">
        <v>13904</v>
      </c>
      <c r="K6841" s="2" t="s">
        <v>5657</v>
      </c>
      <c r="L6841" s="246" t="s">
        <v>22280</v>
      </c>
    </row>
    <row r="6842" spans="1:12" ht="84" customHeight="1" x14ac:dyDescent="0.3">
      <c r="A6842" s="2">
        <v>6838</v>
      </c>
      <c r="B6842" s="66" t="s">
        <v>8046</v>
      </c>
      <c r="C6842" s="66" t="s">
        <v>8050</v>
      </c>
      <c r="D6842" s="11">
        <v>7208.04</v>
      </c>
      <c r="E6842" s="11">
        <v>7208.04</v>
      </c>
      <c r="F6842" s="3">
        <v>39052</v>
      </c>
      <c r="G6842" s="2"/>
      <c r="H6842" s="2"/>
      <c r="I6842" s="2"/>
      <c r="J6842" s="2" t="s">
        <v>13904</v>
      </c>
      <c r="K6842" s="2" t="s">
        <v>5657</v>
      </c>
      <c r="L6842" s="246" t="s">
        <v>22280</v>
      </c>
    </row>
    <row r="6843" spans="1:12" ht="84" customHeight="1" x14ac:dyDescent="0.3">
      <c r="A6843" s="2">
        <v>6839</v>
      </c>
      <c r="B6843" s="66" t="s">
        <v>8046</v>
      </c>
      <c r="C6843" s="66" t="s">
        <v>8051</v>
      </c>
      <c r="D6843" s="11">
        <v>7157.02</v>
      </c>
      <c r="E6843" s="11">
        <v>7157.02</v>
      </c>
      <c r="F6843" s="3">
        <v>39052</v>
      </c>
      <c r="G6843" s="2"/>
      <c r="H6843" s="2"/>
      <c r="I6843" s="2"/>
      <c r="J6843" s="2" t="s">
        <v>13904</v>
      </c>
      <c r="K6843" s="2" t="s">
        <v>5657</v>
      </c>
      <c r="L6843" s="246" t="s">
        <v>22280</v>
      </c>
    </row>
    <row r="6844" spans="1:12" ht="84" customHeight="1" x14ac:dyDescent="0.3">
      <c r="A6844" s="2">
        <v>6840</v>
      </c>
      <c r="B6844" s="66" t="s">
        <v>8046</v>
      </c>
      <c r="C6844" s="66" t="s">
        <v>8052</v>
      </c>
      <c r="D6844" s="11">
        <v>7157.02</v>
      </c>
      <c r="E6844" s="11">
        <v>7157.02</v>
      </c>
      <c r="F6844" s="3">
        <v>39052</v>
      </c>
      <c r="G6844" s="2"/>
      <c r="H6844" s="2"/>
      <c r="I6844" s="2"/>
      <c r="J6844" s="2" t="s">
        <v>13904</v>
      </c>
      <c r="K6844" s="2" t="s">
        <v>5657</v>
      </c>
      <c r="L6844" s="246" t="s">
        <v>22280</v>
      </c>
    </row>
    <row r="6845" spans="1:12" ht="84" customHeight="1" x14ac:dyDescent="0.3">
      <c r="A6845" s="2">
        <v>6841</v>
      </c>
      <c r="B6845" s="66" t="s">
        <v>8046</v>
      </c>
      <c r="C6845" s="66" t="s">
        <v>8053</v>
      </c>
      <c r="D6845" s="11">
        <v>7157.03</v>
      </c>
      <c r="E6845" s="11">
        <v>7157.03</v>
      </c>
      <c r="F6845" s="3">
        <v>39052</v>
      </c>
      <c r="G6845" s="2"/>
      <c r="H6845" s="2"/>
      <c r="I6845" s="2"/>
      <c r="J6845" s="2" t="s">
        <v>13904</v>
      </c>
      <c r="K6845" s="2" t="s">
        <v>5657</v>
      </c>
      <c r="L6845" s="246" t="s">
        <v>22280</v>
      </c>
    </row>
    <row r="6846" spans="1:12" ht="84" customHeight="1" x14ac:dyDescent="0.3">
      <c r="A6846" s="2">
        <v>6842</v>
      </c>
      <c r="B6846" s="66" t="s">
        <v>8046</v>
      </c>
      <c r="C6846" s="66" t="s">
        <v>8054</v>
      </c>
      <c r="D6846" s="11">
        <v>7157.03</v>
      </c>
      <c r="E6846" s="11">
        <v>7157.03</v>
      </c>
      <c r="F6846" s="3">
        <v>39052</v>
      </c>
      <c r="G6846" s="2"/>
      <c r="H6846" s="2"/>
      <c r="I6846" s="2"/>
      <c r="J6846" s="2" t="s">
        <v>13904</v>
      </c>
      <c r="K6846" s="2" t="s">
        <v>5657</v>
      </c>
      <c r="L6846" s="246" t="s">
        <v>22280</v>
      </c>
    </row>
    <row r="6847" spans="1:12" ht="84" customHeight="1" x14ac:dyDescent="0.3">
      <c r="A6847" s="2">
        <v>6843</v>
      </c>
      <c r="B6847" s="66" t="s">
        <v>8046</v>
      </c>
      <c r="C6847" s="66" t="s">
        <v>8055</v>
      </c>
      <c r="D6847" s="11">
        <v>7207.03</v>
      </c>
      <c r="E6847" s="11">
        <v>7207.03</v>
      </c>
      <c r="F6847" s="3">
        <v>39052</v>
      </c>
      <c r="G6847" s="2"/>
      <c r="H6847" s="2"/>
      <c r="I6847" s="2"/>
      <c r="J6847" s="2" t="s">
        <v>13904</v>
      </c>
      <c r="K6847" s="2" t="s">
        <v>5657</v>
      </c>
      <c r="L6847" s="246" t="s">
        <v>22280</v>
      </c>
    </row>
    <row r="6848" spans="1:12" ht="84" customHeight="1" x14ac:dyDescent="0.3">
      <c r="A6848" s="2">
        <v>6844</v>
      </c>
      <c r="B6848" s="66" t="s">
        <v>8056</v>
      </c>
      <c r="C6848" s="66" t="s">
        <v>8057</v>
      </c>
      <c r="D6848" s="11">
        <v>7207.04</v>
      </c>
      <c r="E6848" s="11">
        <v>7207.04</v>
      </c>
      <c r="F6848" s="3">
        <v>39052</v>
      </c>
      <c r="G6848" s="2"/>
      <c r="H6848" s="2"/>
      <c r="I6848" s="2"/>
      <c r="J6848" s="2" t="s">
        <v>13904</v>
      </c>
      <c r="K6848" s="2" t="s">
        <v>5657</v>
      </c>
      <c r="L6848" s="246" t="s">
        <v>22280</v>
      </c>
    </row>
    <row r="6849" spans="1:12" ht="84" customHeight="1" x14ac:dyDescent="0.3">
      <c r="A6849" s="2">
        <v>6845</v>
      </c>
      <c r="B6849" s="66" t="s">
        <v>8058</v>
      </c>
      <c r="C6849" s="66" t="s">
        <v>8059</v>
      </c>
      <c r="D6849" s="11">
        <v>8833.2000000000007</v>
      </c>
      <c r="E6849" s="11">
        <v>8833.2000000000007</v>
      </c>
      <c r="F6849" s="3">
        <v>39052</v>
      </c>
      <c r="G6849" s="2"/>
      <c r="H6849" s="2"/>
      <c r="I6849" s="2"/>
      <c r="J6849" s="2" t="s">
        <v>13904</v>
      </c>
      <c r="K6849" s="2" t="s">
        <v>5657</v>
      </c>
      <c r="L6849" s="246" t="s">
        <v>22280</v>
      </c>
    </row>
    <row r="6850" spans="1:12" ht="84" customHeight="1" x14ac:dyDescent="0.3">
      <c r="A6850" s="2">
        <v>6846</v>
      </c>
      <c r="B6850" s="66" t="s">
        <v>8058</v>
      </c>
      <c r="C6850" s="66" t="s">
        <v>8060</v>
      </c>
      <c r="D6850" s="11">
        <v>8833.19</v>
      </c>
      <c r="E6850" s="11">
        <v>8833.19</v>
      </c>
      <c r="F6850" s="3">
        <v>39052</v>
      </c>
      <c r="G6850" s="2"/>
      <c r="H6850" s="2"/>
      <c r="I6850" s="2"/>
      <c r="J6850" s="2" t="s">
        <v>13904</v>
      </c>
      <c r="K6850" s="2" t="s">
        <v>5657</v>
      </c>
      <c r="L6850" s="246" t="s">
        <v>22280</v>
      </c>
    </row>
    <row r="6851" spans="1:12" ht="84" customHeight="1" x14ac:dyDescent="0.3">
      <c r="A6851" s="2">
        <v>6847</v>
      </c>
      <c r="B6851" s="66" t="s">
        <v>8061</v>
      </c>
      <c r="C6851" s="66" t="s">
        <v>8062</v>
      </c>
      <c r="D6851" s="11">
        <v>7206.91</v>
      </c>
      <c r="E6851" s="11">
        <v>7206.91</v>
      </c>
      <c r="F6851" s="3">
        <v>39052</v>
      </c>
      <c r="G6851" s="2"/>
      <c r="H6851" s="2"/>
      <c r="I6851" s="2"/>
      <c r="J6851" s="2" t="s">
        <v>13904</v>
      </c>
      <c r="K6851" s="2" t="s">
        <v>5657</v>
      </c>
      <c r="L6851" s="246" t="s">
        <v>22280</v>
      </c>
    </row>
    <row r="6852" spans="1:12" ht="84" customHeight="1" x14ac:dyDescent="0.3">
      <c r="A6852" s="2">
        <v>6848</v>
      </c>
      <c r="B6852" s="66" t="s">
        <v>8061</v>
      </c>
      <c r="C6852" s="66" t="s">
        <v>8063</v>
      </c>
      <c r="D6852" s="11">
        <v>7206.91</v>
      </c>
      <c r="E6852" s="11">
        <v>7206.91</v>
      </c>
      <c r="F6852" s="3">
        <v>39052</v>
      </c>
      <c r="G6852" s="2"/>
      <c r="H6852" s="2"/>
      <c r="I6852" s="2"/>
      <c r="J6852" s="2" t="s">
        <v>13904</v>
      </c>
      <c r="K6852" s="2" t="s">
        <v>5657</v>
      </c>
      <c r="L6852" s="246" t="s">
        <v>22280</v>
      </c>
    </row>
    <row r="6853" spans="1:12" ht="84" customHeight="1" x14ac:dyDescent="0.3">
      <c r="A6853" s="2">
        <v>6849</v>
      </c>
      <c r="B6853" s="66" t="s">
        <v>8064</v>
      </c>
      <c r="C6853" s="66" t="s">
        <v>8065</v>
      </c>
      <c r="D6853" s="11">
        <v>3228</v>
      </c>
      <c r="E6853" s="11">
        <v>3228</v>
      </c>
      <c r="F6853" s="3">
        <v>39059</v>
      </c>
      <c r="G6853" s="2"/>
      <c r="H6853" s="2"/>
      <c r="I6853" s="2"/>
      <c r="J6853" s="2" t="s">
        <v>13904</v>
      </c>
      <c r="K6853" s="2" t="s">
        <v>5657</v>
      </c>
      <c r="L6853" s="246" t="s">
        <v>22280</v>
      </c>
    </row>
    <row r="6854" spans="1:12" ht="84" customHeight="1" x14ac:dyDescent="0.3">
      <c r="A6854" s="2">
        <v>6850</v>
      </c>
      <c r="B6854" s="66" t="s">
        <v>8066</v>
      </c>
      <c r="C6854" s="66" t="s">
        <v>8067</v>
      </c>
      <c r="D6854" s="11">
        <v>7207.02</v>
      </c>
      <c r="E6854" s="11">
        <v>7207.02</v>
      </c>
      <c r="F6854" s="3">
        <v>39052</v>
      </c>
      <c r="G6854" s="2"/>
      <c r="H6854" s="2"/>
      <c r="I6854" s="2"/>
      <c r="J6854" s="2" t="s">
        <v>13904</v>
      </c>
      <c r="K6854" s="2" t="s">
        <v>5657</v>
      </c>
      <c r="L6854" s="246" t="s">
        <v>22280</v>
      </c>
    </row>
    <row r="6855" spans="1:12" ht="84" customHeight="1" x14ac:dyDescent="0.3">
      <c r="A6855" s="2">
        <v>6851</v>
      </c>
      <c r="B6855" s="66" t="s">
        <v>8066</v>
      </c>
      <c r="C6855" s="66" t="s">
        <v>8068</v>
      </c>
      <c r="D6855" s="11">
        <v>7207.02</v>
      </c>
      <c r="E6855" s="11">
        <v>7207.02</v>
      </c>
      <c r="F6855" s="3">
        <v>39059</v>
      </c>
      <c r="G6855" s="2"/>
      <c r="H6855" s="2"/>
      <c r="I6855" s="2"/>
      <c r="J6855" s="2" t="s">
        <v>13904</v>
      </c>
      <c r="K6855" s="2" t="s">
        <v>5657</v>
      </c>
      <c r="L6855" s="246" t="s">
        <v>22280</v>
      </c>
    </row>
    <row r="6856" spans="1:12" ht="84" customHeight="1" x14ac:dyDescent="0.3">
      <c r="A6856" s="2">
        <v>6852</v>
      </c>
      <c r="B6856" s="66" t="s">
        <v>8066</v>
      </c>
      <c r="C6856" s="66" t="s">
        <v>8069</v>
      </c>
      <c r="D6856" s="11">
        <v>7207.02</v>
      </c>
      <c r="E6856" s="11">
        <v>7207.02</v>
      </c>
      <c r="F6856" s="3">
        <v>39052</v>
      </c>
      <c r="G6856" s="2"/>
      <c r="H6856" s="2"/>
      <c r="I6856" s="2"/>
      <c r="J6856" s="2" t="s">
        <v>13904</v>
      </c>
      <c r="K6856" s="2" t="s">
        <v>5657</v>
      </c>
      <c r="L6856" s="246" t="s">
        <v>22280</v>
      </c>
    </row>
    <row r="6857" spans="1:12" ht="84" customHeight="1" x14ac:dyDescent="0.3">
      <c r="A6857" s="2">
        <v>6853</v>
      </c>
      <c r="B6857" s="66" t="s">
        <v>8066</v>
      </c>
      <c r="C6857" s="66" t="s">
        <v>8070</v>
      </c>
      <c r="D6857" s="11">
        <v>7207.02</v>
      </c>
      <c r="E6857" s="11">
        <v>7207.02</v>
      </c>
      <c r="F6857" s="3">
        <v>39052</v>
      </c>
      <c r="G6857" s="2"/>
      <c r="H6857" s="2"/>
      <c r="I6857" s="2"/>
      <c r="J6857" s="2" t="s">
        <v>13904</v>
      </c>
      <c r="K6857" s="2" t="s">
        <v>5657</v>
      </c>
      <c r="L6857" s="246" t="s">
        <v>22280</v>
      </c>
    </row>
    <row r="6858" spans="1:12" ht="84" customHeight="1" x14ac:dyDescent="0.3">
      <c r="A6858" s="2">
        <v>6854</v>
      </c>
      <c r="B6858" s="66" t="s">
        <v>8066</v>
      </c>
      <c r="C6858" s="66" t="s">
        <v>8071</v>
      </c>
      <c r="D6858" s="11">
        <v>7207.02</v>
      </c>
      <c r="E6858" s="11">
        <v>7207.02</v>
      </c>
      <c r="F6858" s="3">
        <v>39052</v>
      </c>
      <c r="G6858" s="2"/>
      <c r="H6858" s="2"/>
      <c r="I6858" s="2"/>
      <c r="J6858" s="2" t="s">
        <v>13904</v>
      </c>
      <c r="K6858" s="2" t="s">
        <v>5657</v>
      </c>
      <c r="L6858" s="246" t="s">
        <v>22280</v>
      </c>
    </row>
    <row r="6859" spans="1:12" ht="84" customHeight="1" x14ac:dyDescent="0.3">
      <c r="A6859" s="2">
        <v>6855</v>
      </c>
      <c r="B6859" s="66" t="s">
        <v>8066</v>
      </c>
      <c r="C6859" s="66" t="s">
        <v>8072</v>
      </c>
      <c r="D6859" s="11">
        <v>7207.02</v>
      </c>
      <c r="E6859" s="11">
        <v>7207.02</v>
      </c>
      <c r="F6859" s="3">
        <v>39052</v>
      </c>
      <c r="G6859" s="2"/>
      <c r="H6859" s="2"/>
      <c r="I6859" s="2"/>
      <c r="J6859" s="2" t="s">
        <v>13904</v>
      </c>
      <c r="K6859" s="2" t="s">
        <v>5657</v>
      </c>
      <c r="L6859" s="246" t="s">
        <v>22280</v>
      </c>
    </row>
    <row r="6860" spans="1:12" ht="84" customHeight="1" x14ac:dyDescent="0.3">
      <c r="A6860" s="2">
        <v>6856</v>
      </c>
      <c r="B6860" s="66" t="s">
        <v>8066</v>
      </c>
      <c r="C6860" s="66" t="s">
        <v>8073</v>
      </c>
      <c r="D6860" s="11">
        <v>7207.02</v>
      </c>
      <c r="E6860" s="11">
        <v>7207.02</v>
      </c>
      <c r="F6860" s="3">
        <v>39052</v>
      </c>
      <c r="G6860" s="2"/>
      <c r="H6860" s="2"/>
      <c r="I6860" s="2"/>
      <c r="J6860" s="2" t="s">
        <v>13904</v>
      </c>
      <c r="K6860" s="2" t="s">
        <v>5657</v>
      </c>
      <c r="L6860" s="246" t="s">
        <v>22280</v>
      </c>
    </row>
    <row r="6861" spans="1:12" ht="84" customHeight="1" x14ac:dyDescent="0.3">
      <c r="A6861" s="2">
        <v>6857</v>
      </c>
      <c r="B6861" s="66" t="s">
        <v>8066</v>
      </c>
      <c r="C6861" s="66" t="s">
        <v>8074</v>
      </c>
      <c r="D6861" s="11">
        <v>7207.02</v>
      </c>
      <c r="E6861" s="11">
        <v>7207.02</v>
      </c>
      <c r="F6861" s="3">
        <v>39052</v>
      </c>
      <c r="G6861" s="2"/>
      <c r="H6861" s="2"/>
      <c r="I6861" s="2"/>
      <c r="J6861" s="2" t="s">
        <v>13904</v>
      </c>
      <c r="K6861" s="2" t="s">
        <v>5657</v>
      </c>
      <c r="L6861" s="246" t="s">
        <v>22280</v>
      </c>
    </row>
    <row r="6862" spans="1:12" ht="84" customHeight="1" x14ac:dyDescent="0.3">
      <c r="A6862" s="2">
        <v>6858</v>
      </c>
      <c r="B6862" s="66" t="s">
        <v>8066</v>
      </c>
      <c r="C6862" s="66" t="s">
        <v>8075</v>
      </c>
      <c r="D6862" s="11">
        <v>8833.2000000000007</v>
      </c>
      <c r="E6862" s="11">
        <v>8833.2000000000007</v>
      </c>
      <c r="F6862" s="3">
        <v>39052</v>
      </c>
      <c r="G6862" s="2"/>
      <c r="H6862" s="2"/>
      <c r="I6862" s="2"/>
      <c r="J6862" s="2" t="s">
        <v>13904</v>
      </c>
      <c r="K6862" s="2" t="s">
        <v>5657</v>
      </c>
      <c r="L6862" s="246" t="s">
        <v>22280</v>
      </c>
    </row>
    <row r="6863" spans="1:12" ht="84" customHeight="1" x14ac:dyDescent="0.3">
      <c r="A6863" s="2">
        <v>6859</v>
      </c>
      <c r="B6863" s="66" t="s">
        <v>8076</v>
      </c>
      <c r="C6863" s="66" t="s">
        <v>8077</v>
      </c>
      <c r="D6863" s="11">
        <v>10350.959999999999</v>
      </c>
      <c r="E6863" s="11">
        <v>10350.959999999999</v>
      </c>
      <c r="F6863" s="3">
        <v>39052</v>
      </c>
      <c r="G6863" s="2"/>
      <c r="H6863" s="2"/>
      <c r="I6863" s="2"/>
      <c r="J6863" s="2" t="s">
        <v>13904</v>
      </c>
      <c r="K6863" s="2" t="s">
        <v>5657</v>
      </c>
      <c r="L6863" s="246" t="s">
        <v>22280</v>
      </c>
    </row>
    <row r="6864" spans="1:12" ht="84" customHeight="1" x14ac:dyDescent="0.3">
      <c r="A6864" s="2">
        <v>6860</v>
      </c>
      <c r="B6864" s="66" t="s">
        <v>8078</v>
      </c>
      <c r="C6864" s="66" t="s">
        <v>8079</v>
      </c>
      <c r="D6864" s="11">
        <v>5456.66</v>
      </c>
      <c r="E6864" s="11">
        <v>5456.66</v>
      </c>
      <c r="F6864" s="3">
        <v>39052</v>
      </c>
      <c r="G6864" s="2"/>
      <c r="H6864" s="2"/>
      <c r="I6864" s="2"/>
      <c r="J6864" s="2" t="s">
        <v>13904</v>
      </c>
      <c r="K6864" s="2" t="s">
        <v>5657</v>
      </c>
      <c r="L6864" s="246" t="s">
        <v>22280</v>
      </c>
    </row>
    <row r="6865" spans="1:12" ht="84" customHeight="1" x14ac:dyDescent="0.3">
      <c r="A6865" s="2">
        <v>6861</v>
      </c>
      <c r="B6865" s="66" t="s">
        <v>8078</v>
      </c>
      <c r="C6865" s="66" t="s">
        <v>8080</v>
      </c>
      <c r="D6865" s="11">
        <v>5456.66</v>
      </c>
      <c r="E6865" s="11">
        <v>5456.66</v>
      </c>
      <c r="F6865" s="3">
        <v>39052</v>
      </c>
      <c r="G6865" s="2"/>
      <c r="H6865" s="2"/>
      <c r="I6865" s="2"/>
      <c r="J6865" s="2" t="s">
        <v>13904</v>
      </c>
      <c r="K6865" s="2" t="s">
        <v>5657</v>
      </c>
      <c r="L6865" s="246" t="s">
        <v>22280</v>
      </c>
    </row>
    <row r="6866" spans="1:12" ht="84" customHeight="1" x14ac:dyDescent="0.3">
      <c r="A6866" s="2">
        <v>6862</v>
      </c>
      <c r="B6866" s="66" t="s">
        <v>8078</v>
      </c>
      <c r="C6866" s="66" t="s">
        <v>8081</v>
      </c>
      <c r="D6866" s="11">
        <v>5456.52</v>
      </c>
      <c r="E6866" s="11">
        <v>5456.52</v>
      </c>
      <c r="F6866" s="3">
        <v>39052</v>
      </c>
      <c r="G6866" s="2"/>
      <c r="H6866" s="2"/>
      <c r="I6866" s="2"/>
      <c r="J6866" s="2" t="s">
        <v>13904</v>
      </c>
      <c r="K6866" s="2" t="s">
        <v>5657</v>
      </c>
      <c r="L6866" s="246" t="s">
        <v>22280</v>
      </c>
    </row>
    <row r="6867" spans="1:12" ht="84" customHeight="1" x14ac:dyDescent="0.3">
      <c r="A6867" s="2">
        <v>6863</v>
      </c>
      <c r="B6867" s="66" t="s">
        <v>8078</v>
      </c>
      <c r="C6867" s="66" t="s">
        <v>8082</v>
      </c>
      <c r="D6867" s="11">
        <v>5456.52</v>
      </c>
      <c r="E6867" s="11">
        <v>5456.52</v>
      </c>
      <c r="F6867" s="3">
        <v>39052</v>
      </c>
      <c r="G6867" s="2"/>
      <c r="H6867" s="2"/>
      <c r="I6867" s="2"/>
      <c r="J6867" s="2" t="s">
        <v>13904</v>
      </c>
      <c r="K6867" s="2" t="s">
        <v>5657</v>
      </c>
      <c r="L6867" s="246" t="s">
        <v>22280</v>
      </c>
    </row>
    <row r="6868" spans="1:12" ht="84" customHeight="1" x14ac:dyDescent="0.3">
      <c r="A6868" s="2">
        <v>6864</v>
      </c>
      <c r="B6868" s="66" t="s">
        <v>8078</v>
      </c>
      <c r="C6868" s="66" t="s">
        <v>8083</v>
      </c>
      <c r="D6868" s="11">
        <v>5456.52</v>
      </c>
      <c r="E6868" s="11">
        <v>5456.52</v>
      </c>
      <c r="F6868" s="3">
        <v>39052</v>
      </c>
      <c r="G6868" s="2"/>
      <c r="H6868" s="2"/>
      <c r="I6868" s="2"/>
      <c r="J6868" s="2" t="s">
        <v>13904</v>
      </c>
      <c r="K6868" s="2" t="s">
        <v>5657</v>
      </c>
      <c r="L6868" s="246" t="s">
        <v>22280</v>
      </c>
    </row>
    <row r="6869" spans="1:12" ht="84" customHeight="1" x14ac:dyDescent="0.3">
      <c r="A6869" s="2">
        <v>6865</v>
      </c>
      <c r="B6869" s="66" t="s">
        <v>8078</v>
      </c>
      <c r="C6869" s="66" t="s">
        <v>8084</v>
      </c>
      <c r="D6869" s="11">
        <v>5456.52</v>
      </c>
      <c r="E6869" s="11">
        <v>5456.52</v>
      </c>
      <c r="F6869" s="3">
        <v>39052</v>
      </c>
      <c r="G6869" s="2"/>
      <c r="H6869" s="2"/>
      <c r="I6869" s="2"/>
      <c r="J6869" s="2" t="s">
        <v>13904</v>
      </c>
      <c r="K6869" s="2" t="s">
        <v>5657</v>
      </c>
      <c r="L6869" s="246" t="s">
        <v>22280</v>
      </c>
    </row>
    <row r="6870" spans="1:12" ht="84" customHeight="1" x14ac:dyDescent="0.3">
      <c r="A6870" s="2">
        <v>6866</v>
      </c>
      <c r="B6870" s="66" t="s">
        <v>8078</v>
      </c>
      <c r="C6870" s="66" t="s">
        <v>8085</v>
      </c>
      <c r="D6870" s="11">
        <v>5456.52</v>
      </c>
      <c r="E6870" s="11">
        <v>5456.52</v>
      </c>
      <c r="F6870" s="3">
        <v>39052</v>
      </c>
      <c r="G6870" s="2"/>
      <c r="H6870" s="2"/>
      <c r="I6870" s="2"/>
      <c r="J6870" s="2" t="s">
        <v>13904</v>
      </c>
      <c r="K6870" s="2" t="s">
        <v>5657</v>
      </c>
      <c r="L6870" s="246" t="s">
        <v>22280</v>
      </c>
    </row>
    <row r="6871" spans="1:12" ht="84" customHeight="1" x14ac:dyDescent="0.3">
      <c r="A6871" s="2">
        <v>6867</v>
      </c>
      <c r="B6871" s="66" t="s">
        <v>8078</v>
      </c>
      <c r="C6871" s="66" t="s">
        <v>8086</v>
      </c>
      <c r="D6871" s="11">
        <v>5456.52</v>
      </c>
      <c r="E6871" s="11">
        <v>5456.52</v>
      </c>
      <c r="F6871" s="3">
        <v>39052</v>
      </c>
      <c r="G6871" s="2"/>
      <c r="H6871" s="2"/>
      <c r="I6871" s="2"/>
      <c r="J6871" s="2" t="s">
        <v>13904</v>
      </c>
      <c r="K6871" s="2" t="s">
        <v>5657</v>
      </c>
      <c r="L6871" s="246" t="s">
        <v>22280</v>
      </c>
    </row>
    <row r="6872" spans="1:12" ht="84" customHeight="1" x14ac:dyDescent="0.3">
      <c r="A6872" s="2">
        <v>6868</v>
      </c>
      <c r="B6872" s="66" t="s">
        <v>8078</v>
      </c>
      <c r="C6872" s="66" t="s">
        <v>8087</v>
      </c>
      <c r="D6872" s="11">
        <v>5456.5</v>
      </c>
      <c r="E6872" s="11">
        <v>5456.5</v>
      </c>
      <c r="F6872" s="3">
        <v>39052</v>
      </c>
      <c r="G6872" s="2"/>
      <c r="H6872" s="2"/>
      <c r="I6872" s="2"/>
      <c r="J6872" s="2" t="s">
        <v>13904</v>
      </c>
      <c r="K6872" s="2" t="s">
        <v>5657</v>
      </c>
      <c r="L6872" s="246" t="s">
        <v>22280</v>
      </c>
    </row>
    <row r="6873" spans="1:12" ht="84" customHeight="1" x14ac:dyDescent="0.3">
      <c r="A6873" s="2">
        <v>6869</v>
      </c>
      <c r="B6873" s="66" t="s">
        <v>8088</v>
      </c>
      <c r="C6873" s="66" t="s">
        <v>8089</v>
      </c>
      <c r="D6873" s="11">
        <v>16316.12</v>
      </c>
      <c r="E6873" s="11">
        <v>16316.12</v>
      </c>
      <c r="F6873" s="3">
        <v>39052</v>
      </c>
      <c r="G6873" s="2"/>
      <c r="H6873" s="2"/>
      <c r="I6873" s="2"/>
      <c r="J6873" s="2" t="s">
        <v>13904</v>
      </c>
      <c r="K6873" s="2" t="s">
        <v>5657</v>
      </c>
      <c r="L6873" s="246" t="s">
        <v>22280</v>
      </c>
    </row>
    <row r="6874" spans="1:12" ht="84" customHeight="1" x14ac:dyDescent="0.3">
      <c r="A6874" s="2">
        <v>6870</v>
      </c>
      <c r="B6874" s="66" t="s">
        <v>8090</v>
      </c>
      <c r="C6874" s="66" t="s">
        <v>8091</v>
      </c>
      <c r="D6874" s="11">
        <v>6906.86</v>
      </c>
      <c r="E6874" s="11">
        <v>6906.86</v>
      </c>
      <c r="F6874" s="3">
        <v>39052</v>
      </c>
      <c r="G6874" s="2"/>
      <c r="H6874" s="2"/>
      <c r="I6874" s="2"/>
      <c r="J6874" s="2" t="s">
        <v>13904</v>
      </c>
      <c r="K6874" s="2" t="s">
        <v>5657</v>
      </c>
      <c r="L6874" s="246" t="s">
        <v>22280</v>
      </c>
    </row>
    <row r="6875" spans="1:12" ht="84" customHeight="1" x14ac:dyDescent="0.3">
      <c r="A6875" s="2">
        <v>6871</v>
      </c>
      <c r="B6875" s="66" t="s">
        <v>8090</v>
      </c>
      <c r="C6875" s="66" t="s">
        <v>8092</v>
      </c>
      <c r="D6875" s="11">
        <v>6906.86</v>
      </c>
      <c r="E6875" s="11">
        <v>6906.86</v>
      </c>
      <c r="F6875" s="3">
        <v>39052</v>
      </c>
      <c r="G6875" s="2"/>
      <c r="H6875" s="2"/>
      <c r="I6875" s="2"/>
      <c r="J6875" s="2" t="s">
        <v>13904</v>
      </c>
      <c r="K6875" s="2" t="s">
        <v>5657</v>
      </c>
      <c r="L6875" s="246" t="s">
        <v>22280</v>
      </c>
    </row>
    <row r="6876" spans="1:12" ht="84" customHeight="1" x14ac:dyDescent="0.3">
      <c r="A6876" s="2">
        <v>6872</v>
      </c>
      <c r="B6876" s="66" t="s">
        <v>8093</v>
      </c>
      <c r="C6876" s="66" t="s">
        <v>8094</v>
      </c>
      <c r="D6876" s="11">
        <v>6005.37</v>
      </c>
      <c r="E6876" s="11">
        <v>6005.37</v>
      </c>
      <c r="F6876" s="3">
        <v>39052</v>
      </c>
      <c r="G6876" s="2"/>
      <c r="H6876" s="2"/>
      <c r="I6876" s="2"/>
      <c r="J6876" s="2" t="s">
        <v>13904</v>
      </c>
      <c r="K6876" s="2" t="s">
        <v>5657</v>
      </c>
      <c r="L6876" s="246" t="s">
        <v>22280</v>
      </c>
    </row>
    <row r="6877" spans="1:12" ht="84" customHeight="1" x14ac:dyDescent="0.3">
      <c r="A6877" s="2">
        <v>6873</v>
      </c>
      <c r="B6877" s="66" t="s">
        <v>8093</v>
      </c>
      <c r="C6877" s="66" t="s">
        <v>8095</v>
      </c>
      <c r="D6877" s="11">
        <v>6005.37</v>
      </c>
      <c r="E6877" s="11">
        <v>6005.37</v>
      </c>
      <c r="F6877" s="3">
        <v>39052</v>
      </c>
      <c r="G6877" s="2"/>
      <c r="H6877" s="2"/>
      <c r="I6877" s="2"/>
      <c r="J6877" s="2" t="s">
        <v>13904</v>
      </c>
      <c r="K6877" s="2" t="s">
        <v>5657</v>
      </c>
      <c r="L6877" s="246" t="s">
        <v>22280</v>
      </c>
    </row>
    <row r="6878" spans="1:12" ht="84" customHeight="1" x14ac:dyDescent="0.3">
      <c r="A6878" s="2">
        <v>6874</v>
      </c>
      <c r="B6878" s="66" t="s">
        <v>8096</v>
      </c>
      <c r="C6878" s="66" t="s">
        <v>8097</v>
      </c>
      <c r="D6878" s="11">
        <v>6005.77</v>
      </c>
      <c r="E6878" s="11">
        <v>6005.77</v>
      </c>
      <c r="F6878" s="3">
        <v>39052</v>
      </c>
      <c r="G6878" s="2"/>
      <c r="H6878" s="2"/>
      <c r="I6878" s="2"/>
      <c r="J6878" s="2" t="s">
        <v>13904</v>
      </c>
      <c r="K6878" s="2" t="s">
        <v>5657</v>
      </c>
      <c r="L6878" s="246" t="s">
        <v>22280</v>
      </c>
    </row>
    <row r="6879" spans="1:12" ht="84" customHeight="1" x14ac:dyDescent="0.3">
      <c r="A6879" s="2">
        <v>6875</v>
      </c>
      <c r="B6879" s="66" t="s">
        <v>8096</v>
      </c>
      <c r="C6879" s="66" t="s">
        <v>8098</v>
      </c>
      <c r="D6879" s="11">
        <v>6005.77</v>
      </c>
      <c r="E6879" s="11">
        <v>6005.77</v>
      </c>
      <c r="F6879" s="3">
        <v>39052</v>
      </c>
      <c r="G6879" s="2"/>
      <c r="H6879" s="2"/>
      <c r="I6879" s="2"/>
      <c r="J6879" s="2" t="s">
        <v>13904</v>
      </c>
      <c r="K6879" s="2" t="s">
        <v>5657</v>
      </c>
      <c r="L6879" s="246" t="s">
        <v>22280</v>
      </c>
    </row>
    <row r="6880" spans="1:12" ht="84" customHeight="1" x14ac:dyDescent="0.3">
      <c r="A6880" s="2">
        <v>6876</v>
      </c>
      <c r="B6880" s="66" t="s">
        <v>8096</v>
      </c>
      <c r="C6880" s="66" t="s">
        <v>8099</v>
      </c>
      <c r="D6880" s="11">
        <v>6005.77</v>
      </c>
      <c r="E6880" s="11">
        <v>6005.77</v>
      </c>
      <c r="F6880" s="3">
        <v>39052</v>
      </c>
      <c r="G6880" s="2"/>
      <c r="H6880" s="2"/>
      <c r="I6880" s="2"/>
      <c r="J6880" s="2" t="s">
        <v>13904</v>
      </c>
      <c r="K6880" s="2" t="s">
        <v>5657</v>
      </c>
      <c r="L6880" s="246" t="s">
        <v>22280</v>
      </c>
    </row>
    <row r="6881" spans="1:12" ht="84" customHeight="1" x14ac:dyDescent="0.3">
      <c r="A6881" s="2">
        <v>6877</v>
      </c>
      <c r="B6881" s="66" t="s">
        <v>8100</v>
      </c>
      <c r="C6881" s="66" t="s">
        <v>8101</v>
      </c>
      <c r="D6881" s="11">
        <v>6456.11</v>
      </c>
      <c r="E6881" s="11">
        <v>6456.11</v>
      </c>
      <c r="F6881" s="3">
        <v>39058</v>
      </c>
      <c r="G6881" s="2"/>
      <c r="H6881" s="2"/>
      <c r="I6881" s="2"/>
      <c r="J6881" s="2" t="s">
        <v>13904</v>
      </c>
      <c r="K6881" s="2" t="s">
        <v>5657</v>
      </c>
      <c r="L6881" s="246" t="s">
        <v>22280</v>
      </c>
    </row>
    <row r="6882" spans="1:12" ht="84" customHeight="1" x14ac:dyDescent="0.3">
      <c r="A6882" s="2">
        <v>6878</v>
      </c>
      <c r="B6882" s="66" t="s">
        <v>8102</v>
      </c>
      <c r="C6882" s="66" t="s">
        <v>8103</v>
      </c>
      <c r="D6882" s="11">
        <v>13092.76</v>
      </c>
      <c r="E6882" s="11">
        <v>13092.76</v>
      </c>
      <c r="F6882" s="3">
        <v>39052</v>
      </c>
      <c r="G6882" s="2"/>
      <c r="H6882" s="2"/>
      <c r="I6882" s="2"/>
      <c r="J6882" s="2" t="s">
        <v>13904</v>
      </c>
      <c r="K6882" s="2" t="s">
        <v>5657</v>
      </c>
      <c r="L6882" s="246" t="s">
        <v>22280</v>
      </c>
    </row>
    <row r="6883" spans="1:12" ht="84" customHeight="1" x14ac:dyDescent="0.3">
      <c r="A6883" s="2">
        <v>6879</v>
      </c>
      <c r="B6883" s="66" t="s">
        <v>8104</v>
      </c>
      <c r="C6883" s="66" t="s">
        <v>8105</v>
      </c>
      <c r="D6883" s="11">
        <v>5456.51</v>
      </c>
      <c r="E6883" s="11">
        <v>5456.51</v>
      </c>
      <c r="F6883" s="3">
        <v>39059</v>
      </c>
      <c r="G6883" s="2"/>
      <c r="H6883" s="2"/>
      <c r="I6883" s="2"/>
      <c r="J6883" s="2" t="s">
        <v>13904</v>
      </c>
      <c r="K6883" s="2" t="s">
        <v>5657</v>
      </c>
      <c r="L6883" s="246" t="s">
        <v>22280</v>
      </c>
    </row>
    <row r="6884" spans="1:12" ht="84" customHeight="1" x14ac:dyDescent="0.3">
      <c r="A6884" s="2">
        <v>6880</v>
      </c>
      <c r="B6884" s="66" t="s">
        <v>8106</v>
      </c>
      <c r="C6884" s="66" t="s">
        <v>8107</v>
      </c>
      <c r="D6884" s="11">
        <v>7190.6</v>
      </c>
      <c r="E6884" s="11">
        <v>7190.6</v>
      </c>
      <c r="F6884" s="3">
        <v>39065</v>
      </c>
      <c r="G6884" s="2"/>
      <c r="H6884" s="2"/>
      <c r="I6884" s="2"/>
      <c r="J6884" s="2" t="s">
        <v>13904</v>
      </c>
      <c r="K6884" s="2" t="s">
        <v>5657</v>
      </c>
      <c r="L6884" s="246" t="s">
        <v>22280</v>
      </c>
    </row>
    <row r="6885" spans="1:12" ht="84" customHeight="1" x14ac:dyDescent="0.3">
      <c r="A6885" s="2">
        <v>6881</v>
      </c>
      <c r="B6885" s="66" t="s">
        <v>8106</v>
      </c>
      <c r="C6885" s="66" t="s">
        <v>8108</v>
      </c>
      <c r="D6885" s="11">
        <v>7190.6</v>
      </c>
      <c r="E6885" s="11">
        <v>7190.6</v>
      </c>
      <c r="F6885" s="3">
        <v>39065</v>
      </c>
      <c r="G6885" s="2"/>
      <c r="H6885" s="2"/>
      <c r="I6885" s="2"/>
      <c r="J6885" s="2" t="s">
        <v>13904</v>
      </c>
      <c r="K6885" s="2" t="s">
        <v>5657</v>
      </c>
      <c r="L6885" s="246" t="s">
        <v>22280</v>
      </c>
    </row>
    <row r="6886" spans="1:12" ht="84" customHeight="1" x14ac:dyDescent="0.3">
      <c r="A6886" s="2">
        <v>6882</v>
      </c>
      <c r="B6886" s="66" t="s">
        <v>8106</v>
      </c>
      <c r="C6886" s="66" t="s">
        <v>8109</v>
      </c>
      <c r="D6886" s="11">
        <v>7190.6</v>
      </c>
      <c r="E6886" s="11">
        <v>7190.6</v>
      </c>
      <c r="F6886" s="3">
        <v>39065</v>
      </c>
      <c r="G6886" s="2"/>
      <c r="H6886" s="2"/>
      <c r="I6886" s="2"/>
      <c r="J6886" s="2" t="s">
        <v>13904</v>
      </c>
      <c r="K6886" s="2" t="s">
        <v>5657</v>
      </c>
      <c r="L6886" s="246" t="s">
        <v>22280</v>
      </c>
    </row>
    <row r="6887" spans="1:12" ht="84" customHeight="1" x14ac:dyDescent="0.3">
      <c r="A6887" s="2">
        <v>6883</v>
      </c>
      <c r="B6887" s="66" t="s">
        <v>8106</v>
      </c>
      <c r="C6887" s="66" t="s">
        <v>8110</v>
      </c>
      <c r="D6887" s="11">
        <v>7190.6</v>
      </c>
      <c r="E6887" s="11">
        <v>7190.6</v>
      </c>
      <c r="F6887" s="3">
        <v>39066</v>
      </c>
      <c r="G6887" s="2"/>
      <c r="H6887" s="2"/>
      <c r="I6887" s="2"/>
      <c r="J6887" s="2" t="s">
        <v>13904</v>
      </c>
      <c r="K6887" s="2" t="s">
        <v>5657</v>
      </c>
      <c r="L6887" s="246" t="s">
        <v>22280</v>
      </c>
    </row>
    <row r="6888" spans="1:12" ht="84" customHeight="1" x14ac:dyDescent="0.3">
      <c r="A6888" s="2">
        <v>6884</v>
      </c>
      <c r="B6888" s="66" t="s">
        <v>8106</v>
      </c>
      <c r="C6888" s="66" t="s">
        <v>8111</v>
      </c>
      <c r="D6888" s="11">
        <v>7190.6</v>
      </c>
      <c r="E6888" s="11">
        <v>7190.6</v>
      </c>
      <c r="F6888" s="3">
        <v>39066</v>
      </c>
      <c r="G6888" s="2"/>
      <c r="H6888" s="2"/>
      <c r="I6888" s="2"/>
      <c r="J6888" s="2" t="s">
        <v>13904</v>
      </c>
      <c r="K6888" s="2" t="s">
        <v>5657</v>
      </c>
      <c r="L6888" s="246" t="s">
        <v>22280</v>
      </c>
    </row>
    <row r="6889" spans="1:12" ht="84" customHeight="1" x14ac:dyDescent="0.3">
      <c r="A6889" s="2">
        <v>6885</v>
      </c>
      <c r="B6889" s="66" t="s">
        <v>8112</v>
      </c>
      <c r="C6889" s="66" t="s">
        <v>8113</v>
      </c>
      <c r="D6889" s="11">
        <v>3320.35</v>
      </c>
      <c r="E6889" s="11">
        <v>3320.35</v>
      </c>
      <c r="F6889" s="3">
        <v>39052</v>
      </c>
      <c r="G6889" s="2"/>
      <c r="H6889" s="2"/>
      <c r="I6889" s="2"/>
      <c r="J6889" s="2" t="s">
        <v>13904</v>
      </c>
      <c r="K6889" s="2" t="s">
        <v>5657</v>
      </c>
      <c r="L6889" s="246" t="s">
        <v>22280</v>
      </c>
    </row>
    <row r="6890" spans="1:12" ht="84" customHeight="1" x14ac:dyDescent="0.3">
      <c r="A6890" s="2">
        <v>6886</v>
      </c>
      <c r="B6890" s="66" t="s">
        <v>8114</v>
      </c>
      <c r="C6890" s="66" t="s">
        <v>8115</v>
      </c>
      <c r="D6890" s="11">
        <v>8404.7999999999993</v>
      </c>
      <c r="E6890" s="11">
        <v>8404.7999999999993</v>
      </c>
      <c r="F6890" s="3">
        <v>39052</v>
      </c>
      <c r="G6890" s="2"/>
      <c r="H6890" s="2"/>
      <c r="I6890" s="2"/>
      <c r="J6890" s="2" t="s">
        <v>13904</v>
      </c>
      <c r="K6890" s="2" t="s">
        <v>5657</v>
      </c>
      <c r="L6890" s="246" t="s">
        <v>22280</v>
      </c>
    </row>
    <row r="6891" spans="1:12" ht="84" customHeight="1" x14ac:dyDescent="0.3">
      <c r="A6891" s="2">
        <v>6887</v>
      </c>
      <c r="B6891" s="66" t="s">
        <v>8114</v>
      </c>
      <c r="C6891" s="66" t="s">
        <v>8116</v>
      </c>
      <c r="D6891" s="11">
        <v>8404.7999999999993</v>
      </c>
      <c r="E6891" s="11">
        <v>8404.7999999999993</v>
      </c>
      <c r="F6891" s="3">
        <v>39052</v>
      </c>
      <c r="G6891" s="2"/>
      <c r="H6891" s="2"/>
      <c r="I6891" s="2"/>
      <c r="J6891" s="2" t="s">
        <v>13904</v>
      </c>
      <c r="K6891" s="2" t="s">
        <v>5657</v>
      </c>
      <c r="L6891" s="246" t="s">
        <v>22280</v>
      </c>
    </row>
    <row r="6892" spans="1:12" ht="84" customHeight="1" x14ac:dyDescent="0.3">
      <c r="A6892" s="2">
        <v>6888</v>
      </c>
      <c r="B6892" s="66" t="s">
        <v>8117</v>
      </c>
      <c r="C6892" s="66" t="s">
        <v>8118</v>
      </c>
      <c r="D6892" s="11">
        <v>13003</v>
      </c>
      <c r="E6892" s="11">
        <v>13003</v>
      </c>
      <c r="F6892" s="3">
        <v>39052</v>
      </c>
      <c r="G6892" s="2"/>
      <c r="H6892" s="2"/>
      <c r="I6892" s="2"/>
      <c r="J6892" s="2" t="s">
        <v>13904</v>
      </c>
      <c r="K6892" s="2" t="s">
        <v>5657</v>
      </c>
      <c r="L6892" s="246" t="s">
        <v>22280</v>
      </c>
    </row>
    <row r="6893" spans="1:12" ht="84" customHeight="1" x14ac:dyDescent="0.3">
      <c r="A6893" s="2">
        <v>6889</v>
      </c>
      <c r="B6893" s="66" t="s">
        <v>8117</v>
      </c>
      <c r="C6893" s="66" t="s">
        <v>8119</v>
      </c>
      <c r="D6893" s="11">
        <v>13003</v>
      </c>
      <c r="E6893" s="11">
        <v>13003</v>
      </c>
      <c r="F6893" s="3">
        <v>39052</v>
      </c>
      <c r="G6893" s="2"/>
      <c r="H6893" s="2"/>
      <c r="I6893" s="2"/>
      <c r="J6893" s="2" t="s">
        <v>13904</v>
      </c>
      <c r="K6893" s="2" t="s">
        <v>5657</v>
      </c>
      <c r="L6893" s="246" t="s">
        <v>22280</v>
      </c>
    </row>
    <row r="6894" spans="1:12" ht="84" customHeight="1" x14ac:dyDescent="0.3">
      <c r="A6894" s="2">
        <v>6890</v>
      </c>
      <c r="B6894" s="66" t="s">
        <v>8120</v>
      </c>
      <c r="C6894" s="66" t="s">
        <v>8121</v>
      </c>
      <c r="D6894" s="11">
        <v>13003</v>
      </c>
      <c r="E6894" s="11">
        <v>13003</v>
      </c>
      <c r="F6894" s="3">
        <v>39052</v>
      </c>
      <c r="G6894" s="2"/>
      <c r="H6894" s="2"/>
      <c r="I6894" s="2"/>
      <c r="J6894" s="2" t="s">
        <v>13904</v>
      </c>
      <c r="K6894" s="2" t="s">
        <v>5657</v>
      </c>
      <c r="L6894" s="246" t="s">
        <v>22280</v>
      </c>
    </row>
    <row r="6895" spans="1:12" ht="84" customHeight="1" x14ac:dyDescent="0.3">
      <c r="A6895" s="2">
        <v>6891</v>
      </c>
      <c r="B6895" s="66" t="s">
        <v>8122</v>
      </c>
      <c r="C6895" s="66" t="s">
        <v>8123</v>
      </c>
      <c r="D6895" s="11">
        <v>13003</v>
      </c>
      <c r="E6895" s="11">
        <v>13003</v>
      </c>
      <c r="F6895" s="3">
        <v>39052</v>
      </c>
      <c r="G6895" s="2"/>
      <c r="H6895" s="2"/>
      <c r="I6895" s="2"/>
      <c r="J6895" s="2" t="s">
        <v>13904</v>
      </c>
      <c r="K6895" s="2" t="s">
        <v>5657</v>
      </c>
      <c r="L6895" s="246" t="s">
        <v>22280</v>
      </c>
    </row>
    <row r="6896" spans="1:12" ht="84" customHeight="1" x14ac:dyDescent="0.3">
      <c r="A6896" s="2">
        <v>6892</v>
      </c>
      <c r="B6896" s="66" t="s">
        <v>8124</v>
      </c>
      <c r="C6896" s="66" t="s">
        <v>8125</v>
      </c>
      <c r="D6896" s="11">
        <v>3111.56</v>
      </c>
      <c r="E6896" s="11">
        <v>3111.56</v>
      </c>
      <c r="F6896" s="3">
        <v>39052</v>
      </c>
      <c r="G6896" s="2"/>
      <c r="H6896" s="2"/>
      <c r="I6896" s="2"/>
      <c r="J6896" s="2" t="s">
        <v>13904</v>
      </c>
      <c r="K6896" s="2" t="s">
        <v>5657</v>
      </c>
      <c r="L6896" s="246" t="s">
        <v>22280</v>
      </c>
    </row>
    <row r="6897" spans="1:12" ht="84" customHeight="1" x14ac:dyDescent="0.3">
      <c r="A6897" s="2">
        <v>6893</v>
      </c>
      <c r="B6897" s="66" t="s">
        <v>3273</v>
      </c>
      <c r="C6897" s="66" t="s">
        <v>3146</v>
      </c>
      <c r="D6897" s="11">
        <v>6000.3</v>
      </c>
      <c r="E6897" s="11">
        <v>6000.3</v>
      </c>
      <c r="F6897" s="3">
        <v>41115</v>
      </c>
      <c r="G6897" s="2"/>
      <c r="H6897" s="2"/>
      <c r="I6897" s="2"/>
      <c r="J6897" s="2" t="s">
        <v>13904</v>
      </c>
      <c r="K6897" s="2" t="s">
        <v>5657</v>
      </c>
      <c r="L6897" s="246" t="s">
        <v>22280</v>
      </c>
    </row>
    <row r="6898" spans="1:12" ht="84" customHeight="1" x14ac:dyDescent="0.3">
      <c r="A6898" s="2">
        <v>6894</v>
      </c>
      <c r="B6898" s="66" t="s">
        <v>8126</v>
      </c>
      <c r="C6898" s="66" t="s">
        <v>3145</v>
      </c>
      <c r="D6898" s="11">
        <v>4319.9799999999996</v>
      </c>
      <c r="E6898" s="11">
        <v>4319.9799999999996</v>
      </c>
      <c r="F6898" s="3">
        <v>41115</v>
      </c>
      <c r="G6898" s="2"/>
      <c r="H6898" s="2"/>
      <c r="I6898" s="2"/>
      <c r="J6898" s="2" t="s">
        <v>13904</v>
      </c>
      <c r="K6898" s="2" t="s">
        <v>5657</v>
      </c>
      <c r="L6898" s="246" t="s">
        <v>22280</v>
      </c>
    </row>
    <row r="6899" spans="1:12" ht="84" customHeight="1" x14ac:dyDescent="0.3">
      <c r="A6899" s="2">
        <v>6895</v>
      </c>
      <c r="B6899" s="66" t="s">
        <v>8127</v>
      </c>
      <c r="C6899" s="66" t="s">
        <v>8128</v>
      </c>
      <c r="D6899" s="11">
        <v>8000</v>
      </c>
      <c r="E6899" s="11">
        <v>8000</v>
      </c>
      <c r="F6899" s="3">
        <v>42100</v>
      </c>
      <c r="G6899" s="2"/>
      <c r="H6899" s="2"/>
      <c r="I6899" s="2"/>
      <c r="J6899" s="2" t="s">
        <v>13904</v>
      </c>
      <c r="K6899" s="2" t="s">
        <v>5657</v>
      </c>
      <c r="L6899" s="246" t="s">
        <v>22280</v>
      </c>
    </row>
    <row r="6900" spans="1:12" ht="84" customHeight="1" x14ac:dyDescent="0.3">
      <c r="A6900" s="2">
        <v>6896</v>
      </c>
      <c r="B6900" s="66" t="s">
        <v>8127</v>
      </c>
      <c r="C6900" s="66" t="s">
        <v>8129</v>
      </c>
      <c r="D6900" s="11">
        <v>8000</v>
      </c>
      <c r="E6900" s="11">
        <v>8000</v>
      </c>
      <c r="F6900" s="3">
        <v>42100</v>
      </c>
      <c r="G6900" s="2"/>
      <c r="H6900" s="2"/>
      <c r="I6900" s="2"/>
      <c r="J6900" s="2" t="s">
        <v>13904</v>
      </c>
      <c r="K6900" s="2" t="s">
        <v>5657</v>
      </c>
      <c r="L6900" s="246" t="s">
        <v>22280</v>
      </c>
    </row>
    <row r="6901" spans="1:12" ht="84" customHeight="1" x14ac:dyDescent="0.3">
      <c r="A6901" s="2">
        <v>6897</v>
      </c>
      <c r="B6901" s="66" t="s">
        <v>8130</v>
      </c>
      <c r="C6901" s="66" t="s">
        <v>8131</v>
      </c>
      <c r="D6901" s="11">
        <v>6000</v>
      </c>
      <c r="E6901" s="11">
        <v>6000</v>
      </c>
      <c r="F6901" s="3">
        <v>41992</v>
      </c>
      <c r="G6901" s="2"/>
      <c r="H6901" s="2"/>
      <c r="I6901" s="2"/>
      <c r="J6901" s="2" t="s">
        <v>13904</v>
      </c>
      <c r="K6901" s="2" t="s">
        <v>5657</v>
      </c>
      <c r="L6901" s="246" t="s">
        <v>22280</v>
      </c>
    </row>
    <row r="6902" spans="1:12" ht="84" customHeight="1" x14ac:dyDescent="0.3">
      <c r="A6902" s="2">
        <v>6898</v>
      </c>
      <c r="B6902" s="66" t="s">
        <v>8132</v>
      </c>
      <c r="C6902" s="66" t="s">
        <v>8133</v>
      </c>
      <c r="D6902" s="11">
        <v>5949.56</v>
      </c>
      <c r="E6902" s="11">
        <v>5949.56</v>
      </c>
      <c r="F6902" s="3">
        <v>41992</v>
      </c>
      <c r="G6902" s="2"/>
      <c r="H6902" s="2"/>
      <c r="I6902" s="2"/>
      <c r="J6902" s="2" t="s">
        <v>13904</v>
      </c>
      <c r="K6902" s="2" t="s">
        <v>5657</v>
      </c>
      <c r="L6902" s="246" t="s">
        <v>22280</v>
      </c>
    </row>
    <row r="6903" spans="1:12" ht="84" customHeight="1" x14ac:dyDescent="0.3">
      <c r="A6903" s="2">
        <v>6899</v>
      </c>
      <c r="B6903" s="66" t="s">
        <v>8134</v>
      </c>
      <c r="C6903" s="66" t="s">
        <v>8135</v>
      </c>
      <c r="D6903" s="11">
        <v>3566.77</v>
      </c>
      <c r="E6903" s="11">
        <v>3566.77</v>
      </c>
      <c r="F6903" s="3">
        <v>41992</v>
      </c>
      <c r="G6903" s="2"/>
      <c r="H6903" s="2"/>
      <c r="I6903" s="2"/>
      <c r="J6903" s="2" t="s">
        <v>13904</v>
      </c>
      <c r="K6903" s="2" t="s">
        <v>5657</v>
      </c>
      <c r="L6903" s="246" t="s">
        <v>22280</v>
      </c>
    </row>
    <row r="6904" spans="1:12" ht="84" customHeight="1" x14ac:dyDescent="0.3">
      <c r="A6904" s="2">
        <v>6900</v>
      </c>
      <c r="B6904" s="66" t="s">
        <v>8134</v>
      </c>
      <c r="C6904" s="66" t="s">
        <v>8136</v>
      </c>
      <c r="D6904" s="11">
        <v>3566.77</v>
      </c>
      <c r="E6904" s="11">
        <v>3566.77</v>
      </c>
      <c r="F6904" s="3">
        <v>41992</v>
      </c>
      <c r="G6904" s="2"/>
      <c r="H6904" s="2"/>
      <c r="I6904" s="2"/>
      <c r="J6904" s="2" t="s">
        <v>13904</v>
      </c>
      <c r="K6904" s="2" t="s">
        <v>5657</v>
      </c>
      <c r="L6904" s="246" t="s">
        <v>22280</v>
      </c>
    </row>
    <row r="6905" spans="1:12" ht="84" customHeight="1" x14ac:dyDescent="0.3">
      <c r="A6905" s="2">
        <v>6901</v>
      </c>
      <c r="B6905" s="66" t="s">
        <v>8134</v>
      </c>
      <c r="C6905" s="66" t="s">
        <v>8137</v>
      </c>
      <c r="D6905" s="11">
        <v>3566.76</v>
      </c>
      <c r="E6905" s="11">
        <v>3566.76</v>
      </c>
      <c r="F6905" s="3">
        <v>41992</v>
      </c>
      <c r="G6905" s="2"/>
      <c r="H6905" s="2"/>
      <c r="I6905" s="2"/>
      <c r="J6905" s="2" t="s">
        <v>13904</v>
      </c>
      <c r="K6905" s="2" t="s">
        <v>5657</v>
      </c>
      <c r="L6905" s="246" t="s">
        <v>22280</v>
      </c>
    </row>
    <row r="6906" spans="1:12" ht="84" customHeight="1" x14ac:dyDescent="0.3">
      <c r="A6906" s="2">
        <v>6902</v>
      </c>
      <c r="B6906" s="66" t="s">
        <v>8138</v>
      </c>
      <c r="C6906" s="66" t="s">
        <v>3245</v>
      </c>
      <c r="D6906" s="11">
        <v>3319.85</v>
      </c>
      <c r="E6906" s="11">
        <v>3319.85</v>
      </c>
      <c r="F6906" s="3">
        <v>41558</v>
      </c>
      <c r="G6906" s="2"/>
      <c r="H6906" s="2"/>
      <c r="I6906" s="2"/>
      <c r="J6906" s="2" t="s">
        <v>13904</v>
      </c>
      <c r="K6906" s="2" t="s">
        <v>5657</v>
      </c>
      <c r="L6906" s="246" t="s">
        <v>22280</v>
      </c>
    </row>
    <row r="6907" spans="1:12" ht="84" customHeight="1" x14ac:dyDescent="0.3">
      <c r="A6907" s="2">
        <v>6903</v>
      </c>
      <c r="B6907" s="66" t="s">
        <v>8138</v>
      </c>
      <c r="C6907" s="66" t="s">
        <v>3246</v>
      </c>
      <c r="D6907" s="11">
        <v>3319.85</v>
      </c>
      <c r="E6907" s="11">
        <v>3319.85</v>
      </c>
      <c r="F6907" s="3">
        <v>41558</v>
      </c>
      <c r="G6907" s="2"/>
      <c r="H6907" s="2"/>
      <c r="I6907" s="2"/>
      <c r="J6907" s="2" t="s">
        <v>13904</v>
      </c>
      <c r="K6907" s="2" t="s">
        <v>5657</v>
      </c>
      <c r="L6907" s="246" t="s">
        <v>22280</v>
      </c>
    </row>
    <row r="6908" spans="1:12" ht="84" customHeight="1" x14ac:dyDescent="0.3">
      <c r="A6908" s="2">
        <v>6904</v>
      </c>
      <c r="B6908" s="66" t="s">
        <v>8139</v>
      </c>
      <c r="C6908" s="66" t="s">
        <v>3384</v>
      </c>
      <c r="D6908" s="11">
        <v>4378</v>
      </c>
      <c r="E6908" s="11">
        <v>4378</v>
      </c>
      <c r="F6908" s="3">
        <v>41558</v>
      </c>
      <c r="G6908" s="2"/>
      <c r="H6908" s="2"/>
      <c r="I6908" s="2"/>
      <c r="J6908" s="2" t="s">
        <v>13904</v>
      </c>
      <c r="K6908" s="2" t="s">
        <v>5657</v>
      </c>
      <c r="L6908" s="246" t="s">
        <v>22280</v>
      </c>
    </row>
    <row r="6909" spans="1:12" ht="84" customHeight="1" x14ac:dyDescent="0.3">
      <c r="A6909" s="2">
        <v>6905</v>
      </c>
      <c r="B6909" s="66" t="s">
        <v>8139</v>
      </c>
      <c r="C6909" s="66" t="s">
        <v>3383</v>
      </c>
      <c r="D6909" s="11">
        <v>4378</v>
      </c>
      <c r="E6909" s="11">
        <v>4378</v>
      </c>
      <c r="F6909" s="3">
        <v>41558</v>
      </c>
      <c r="G6909" s="2"/>
      <c r="H6909" s="2"/>
      <c r="I6909" s="2"/>
      <c r="J6909" s="2" t="s">
        <v>13904</v>
      </c>
      <c r="K6909" s="2" t="s">
        <v>5657</v>
      </c>
      <c r="L6909" s="246" t="s">
        <v>22280</v>
      </c>
    </row>
    <row r="6910" spans="1:12" ht="84" customHeight="1" x14ac:dyDescent="0.3">
      <c r="A6910" s="2">
        <v>6906</v>
      </c>
      <c r="B6910" s="66" t="s">
        <v>8140</v>
      </c>
      <c r="C6910" s="66" t="s">
        <v>3382</v>
      </c>
      <c r="D6910" s="11">
        <v>7252.28</v>
      </c>
      <c r="E6910" s="11">
        <v>7252.28</v>
      </c>
      <c r="F6910" s="3">
        <v>41558</v>
      </c>
      <c r="G6910" s="2"/>
      <c r="H6910" s="2"/>
      <c r="I6910" s="2"/>
      <c r="J6910" s="2" t="s">
        <v>13904</v>
      </c>
      <c r="K6910" s="2" t="s">
        <v>5657</v>
      </c>
      <c r="L6910" s="246" t="s">
        <v>22280</v>
      </c>
    </row>
    <row r="6911" spans="1:12" ht="84" customHeight="1" x14ac:dyDescent="0.3">
      <c r="A6911" s="2">
        <v>6907</v>
      </c>
      <c r="B6911" s="66" t="s">
        <v>8140</v>
      </c>
      <c r="C6911" s="66" t="s">
        <v>3381</v>
      </c>
      <c r="D6911" s="11">
        <v>7252.28</v>
      </c>
      <c r="E6911" s="11">
        <v>7252.28</v>
      </c>
      <c r="F6911" s="3">
        <v>41558</v>
      </c>
      <c r="G6911" s="2"/>
      <c r="H6911" s="2"/>
      <c r="I6911" s="2"/>
      <c r="J6911" s="2" t="s">
        <v>13904</v>
      </c>
      <c r="K6911" s="2" t="s">
        <v>5657</v>
      </c>
      <c r="L6911" s="246" t="s">
        <v>22280</v>
      </c>
    </row>
    <row r="6912" spans="1:12" ht="84" customHeight="1" x14ac:dyDescent="0.3">
      <c r="A6912" s="2">
        <v>6908</v>
      </c>
      <c r="B6912" s="66" t="s">
        <v>8141</v>
      </c>
      <c r="C6912" s="66" t="s">
        <v>4268</v>
      </c>
      <c r="D6912" s="11">
        <v>3916.68</v>
      </c>
      <c r="E6912" s="11">
        <v>3916.68</v>
      </c>
      <c r="F6912" s="3">
        <v>41900</v>
      </c>
      <c r="G6912" s="2"/>
      <c r="H6912" s="2"/>
      <c r="I6912" s="2"/>
      <c r="J6912" s="2" t="s">
        <v>13904</v>
      </c>
      <c r="K6912" s="2" t="s">
        <v>5657</v>
      </c>
      <c r="L6912" s="246" t="s">
        <v>22280</v>
      </c>
    </row>
    <row r="6913" spans="1:12" ht="84" customHeight="1" x14ac:dyDescent="0.3">
      <c r="A6913" s="2">
        <v>6909</v>
      </c>
      <c r="B6913" s="66" t="s">
        <v>7306</v>
      </c>
      <c r="C6913" s="66" t="s">
        <v>8142</v>
      </c>
      <c r="D6913" s="11">
        <v>4003.83</v>
      </c>
      <c r="E6913" s="11">
        <v>4003.83</v>
      </c>
      <c r="F6913" s="3">
        <v>39057</v>
      </c>
      <c r="G6913" s="2"/>
      <c r="H6913" s="2"/>
      <c r="I6913" s="2"/>
      <c r="J6913" s="2" t="s">
        <v>13904</v>
      </c>
      <c r="K6913" s="2" t="s">
        <v>5657</v>
      </c>
      <c r="L6913" s="246" t="s">
        <v>22280</v>
      </c>
    </row>
    <row r="6914" spans="1:12" ht="84" customHeight="1" x14ac:dyDescent="0.3">
      <c r="A6914" s="2">
        <v>6910</v>
      </c>
      <c r="B6914" s="66" t="s">
        <v>7306</v>
      </c>
      <c r="C6914" s="66" t="s">
        <v>8143</v>
      </c>
      <c r="D6914" s="11">
        <v>4003.84</v>
      </c>
      <c r="E6914" s="11">
        <v>4003.84</v>
      </c>
      <c r="F6914" s="3">
        <v>39057</v>
      </c>
      <c r="G6914" s="2"/>
      <c r="H6914" s="2"/>
      <c r="I6914" s="2"/>
      <c r="J6914" s="2" t="s">
        <v>13904</v>
      </c>
      <c r="K6914" s="2" t="s">
        <v>5657</v>
      </c>
      <c r="L6914" s="246" t="s">
        <v>22280</v>
      </c>
    </row>
    <row r="6915" spans="1:12" ht="84" customHeight="1" x14ac:dyDescent="0.3">
      <c r="A6915" s="2">
        <v>6911</v>
      </c>
      <c r="B6915" s="66" t="s">
        <v>7306</v>
      </c>
      <c r="C6915" s="66" t="s">
        <v>8144</v>
      </c>
      <c r="D6915" s="11">
        <v>4003.84</v>
      </c>
      <c r="E6915" s="11">
        <v>4003.84</v>
      </c>
      <c r="F6915" s="3">
        <v>39057</v>
      </c>
      <c r="G6915" s="2"/>
      <c r="H6915" s="2"/>
      <c r="I6915" s="2"/>
      <c r="J6915" s="2" t="s">
        <v>13904</v>
      </c>
      <c r="K6915" s="2" t="s">
        <v>5657</v>
      </c>
      <c r="L6915" s="246" t="s">
        <v>22280</v>
      </c>
    </row>
    <row r="6916" spans="1:12" ht="84" customHeight="1" x14ac:dyDescent="0.3">
      <c r="A6916" s="2">
        <v>6912</v>
      </c>
      <c r="B6916" s="66" t="s">
        <v>8124</v>
      </c>
      <c r="C6916" s="66" t="s">
        <v>8145</v>
      </c>
      <c r="D6916" s="11">
        <v>3111.56</v>
      </c>
      <c r="E6916" s="11">
        <v>3111.56</v>
      </c>
      <c r="F6916" s="3">
        <v>39052</v>
      </c>
      <c r="G6916" s="2"/>
      <c r="H6916" s="2"/>
      <c r="I6916" s="2"/>
      <c r="J6916" s="2" t="s">
        <v>13904</v>
      </c>
      <c r="K6916" s="2" t="s">
        <v>5657</v>
      </c>
      <c r="L6916" s="246" t="s">
        <v>22280</v>
      </c>
    </row>
    <row r="6917" spans="1:12" ht="84" customHeight="1" x14ac:dyDescent="0.3">
      <c r="A6917" s="2">
        <v>6913</v>
      </c>
      <c r="B6917" s="66" t="s">
        <v>8124</v>
      </c>
      <c r="C6917" s="66" t="s">
        <v>8146</v>
      </c>
      <c r="D6917" s="11">
        <v>3111.56</v>
      </c>
      <c r="E6917" s="11">
        <v>3111.56</v>
      </c>
      <c r="F6917" s="3">
        <v>39052</v>
      </c>
      <c r="G6917" s="2"/>
      <c r="H6917" s="2"/>
      <c r="I6917" s="2"/>
      <c r="J6917" s="2" t="s">
        <v>13904</v>
      </c>
      <c r="K6917" s="2" t="s">
        <v>5657</v>
      </c>
      <c r="L6917" s="246" t="s">
        <v>22280</v>
      </c>
    </row>
    <row r="6918" spans="1:12" ht="84" customHeight="1" x14ac:dyDescent="0.3">
      <c r="A6918" s="2">
        <v>6914</v>
      </c>
      <c r="B6918" s="66" t="s">
        <v>7839</v>
      </c>
      <c r="C6918" s="66" t="s">
        <v>8147</v>
      </c>
      <c r="D6918" s="11">
        <v>3111.49</v>
      </c>
      <c r="E6918" s="11">
        <v>3111.49</v>
      </c>
      <c r="F6918" s="3">
        <v>39052</v>
      </c>
      <c r="G6918" s="2"/>
      <c r="H6918" s="2"/>
      <c r="I6918" s="2"/>
      <c r="J6918" s="2" t="s">
        <v>13904</v>
      </c>
      <c r="K6918" s="2" t="s">
        <v>5657</v>
      </c>
      <c r="L6918" s="246" t="s">
        <v>22280</v>
      </c>
    </row>
    <row r="6919" spans="1:12" ht="84" customHeight="1" x14ac:dyDescent="0.3">
      <c r="A6919" s="2">
        <v>6915</v>
      </c>
      <c r="B6919" s="66" t="s">
        <v>7839</v>
      </c>
      <c r="C6919" s="66" t="s">
        <v>8148</v>
      </c>
      <c r="D6919" s="11">
        <v>3111.49</v>
      </c>
      <c r="E6919" s="11">
        <v>3111.49</v>
      </c>
      <c r="F6919" s="3">
        <v>39052</v>
      </c>
      <c r="G6919" s="2"/>
      <c r="H6919" s="2"/>
      <c r="I6919" s="2"/>
      <c r="J6919" s="2" t="s">
        <v>13904</v>
      </c>
      <c r="K6919" s="2" t="s">
        <v>5657</v>
      </c>
      <c r="L6919" s="246" t="s">
        <v>22280</v>
      </c>
    </row>
    <row r="6920" spans="1:12" ht="84" customHeight="1" x14ac:dyDescent="0.3">
      <c r="A6920" s="2">
        <v>6916</v>
      </c>
      <c r="B6920" s="66" t="s">
        <v>7839</v>
      </c>
      <c r="C6920" s="66" t="s">
        <v>8149</v>
      </c>
      <c r="D6920" s="11">
        <v>3111.49</v>
      </c>
      <c r="E6920" s="11">
        <v>3111.49</v>
      </c>
      <c r="F6920" s="3">
        <v>39052</v>
      </c>
      <c r="G6920" s="2"/>
      <c r="H6920" s="2"/>
      <c r="I6920" s="2"/>
      <c r="J6920" s="2" t="s">
        <v>13904</v>
      </c>
      <c r="K6920" s="2" t="s">
        <v>5657</v>
      </c>
      <c r="L6920" s="246" t="s">
        <v>22280</v>
      </c>
    </row>
    <row r="6921" spans="1:12" ht="84" customHeight="1" x14ac:dyDescent="0.3">
      <c r="A6921" s="2">
        <v>6917</v>
      </c>
      <c r="B6921" s="66" t="s">
        <v>7766</v>
      </c>
      <c r="C6921" s="66" t="s">
        <v>8150</v>
      </c>
      <c r="D6921" s="11">
        <v>4246.1000000000004</v>
      </c>
      <c r="E6921" s="11">
        <v>4246.1000000000004</v>
      </c>
      <c r="F6921" s="3">
        <v>39052</v>
      </c>
      <c r="G6921" s="2"/>
      <c r="H6921" s="2"/>
      <c r="I6921" s="2"/>
      <c r="J6921" s="2" t="s">
        <v>13904</v>
      </c>
      <c r="K6921" s="2" t="s">
        <v>5657</v>
      </c>
      <c r="L6921" s="246" t="s">
        <v>22280</v>
      </c>
    </row>
    <row r="6922" spans="1:12" ht="84" customHeight="1" x14ac:dyDescent="0.3">
      <c r="A6922" s="2">
        <v>6918</v>
      </c>
      <c r="B6922" s="66" t="s">
        <v>7841</v>
      </c>
      <c r="C6922" s="66" t="s">
        <v>8151</v>
      </c>
      <c r="D6922" s="11">
        <v>3111.49</v>
      </c>
      <c r="E6922" s="11">
        <v>3111.49</v>
      </c>
      <c r="F6922" s="3">
        <v>39052</v>
      </c>
      <c r="G6922" s="2"/>
      <c r="H6922" s="2"/>
      <c r="I6922" s="2"/>
      <c r="J6922" s="2" t="s">
        <v>13904</v>
      </c>
      <c r="K6922" s="2" t="s">
        <v>5657</v>
      </c>
      <c r="L6922" s="246" t="s">
        <v>22280</v>
      </c>
    </row>
    <row r="6923" spans="1:12" ht="84" customHeight="1" x14ac:dyDescent="0.3">
      <c r="A6923" s="2">
        <v>6919</v>
      </c>
      <c r="B6923" s="66" t="s">
        <v>7839</v>
      </c>
      <c r="C6923" s="66" t="s">
        <v>8152</v>
      </c>
      <c r="D6923" s="11">
        <v>3111.49</v>
      </c>
      <c r="E6923" s="11">
        <v>3111.49</v>
      </c>
      <c r="F6923" s="3">
        <v>39052</v>
      </c>
      <c r="G6923" s="2"/>
      <c r="H6923" s="2"/>
      <c r="I6923" s="2"/>
      <c r="J6923" s="2" t="s">
        <v>13904</v>
      </c>
      <c r="K6923" s="2" t="s">
        <v>5657</v>
      </c>
      <c r="L6923" s="246" t="s">
        <v>22280</v>
      </c>
    </row>
    <row r="6924" spans="1:12" ht="84" customHeight="1" x14ac:dyDescent="0.3">
      <c r="A6924" s="2">
        <v>6920</v>
      </c>
      <c r="B6924" s="66" t="s">
        <v>7568</v>
      </c>
      <c r="C6924" s="66" t="s">
        <v>8153</v>
      </c>
      <c r="D6924" s="11">
        <v>3168.8</v>
      </c>
      <c r="E6924" s="11">
        <v>3168.8</v>
      </c>
      <c r="F6924" s="3">
        <v>39052</v>
      </c>
      <c r="G6924" s="2"/>
      <c r="H6924" s="2"/>
      <c r="I6924" s="2"/>
      <c r="J6924" s="2" t="s">
        <v>13904</v>
      </c>
      <c r="K6924" s="2" t="s">
        <v>5657</v>
      </c>
      <c r="L6924" s="246" t="s">
        <v>22280</v>
      </c>
    </row>
    <row r="6925" spans="1:12" ht="84" customHeight="1" x14ac:dyDescent="0.3">
      <c r="A6925" s="2">
        <v>6921</v>
      </c>
      <c r="B6925" s="66" t="s">
        <v>7841</v>
      </c>
      <c r="C6925" s="66" t="s">
        <v>8154</v>
      </c>
      <c r="D6925" s="11">
        <v>3111.49</v>
      </c>
      <c r="E6925" s="11">
        <v>3111.49</v>
      </c>
      <c r="F6925" s="3">
        <v>39052</v>
      </c>
      <c r="G6925" s="2"/>
      <c r="H6925" s="2"/>
      <c r="I6925" s="2"/>
      <c r="J6925" s="2" t="s">
        <v>13904</v>
      </c>
      <c r="K6925" s="2" t="s">
        <v>5657</v>
      </c>
      <c r="L6925" s="246" t="s">
        <v>22280</v>
      </c>
    </row>
    <row r="6926" spans="1:12" ht="84" customHeight="1" x14ac:dyDescent="0.3">
      <c r="A6926" s="2">
        <v>6922</v>
      </c>
      <c r="B6926" s="66" t="s">
        <v>7737</v>
      </c>
      <c r="C6926" s="66" t="s">
        <v>8155</v>
      </c>
      <c r="D6926" s="11">
        <v>3111.56</v>
      </c>
      <c r="E6926" s="11">
        <v>3111.56</v>
      </c>
      <c r="F6926" s="3">
        <v>39052</v>
      </c>
      <c r="G6926" s="2"/>
      <c r="H6926" s="2"/>
      <c r="I6926" s="2"/>
      <c r="J6926" s="2" t="s">
        <v>13904</v>
      </c>
      <c r="K6926" s="2" t="s">
        <v>5657</v>
      </c>
      <c r="L6926" s="246" t="s">
        <v>22280</v>
      </c>
    </row>
    <row r="6927" spans="1:12" ht="84" customHeight="1" x14ac:dyDescent="0.3">
      <c r="A6927" s="2">
        <v>6923</v>
      </c>
      <c r="B6927" s="66" t="s">
        <v>7737</v>
      </c>
      <c r="C6927" s="66" t="s">
        <v>8156</v>
      </c>
      <c r="D6927" s="11">
        <v>3111.56</v>
      </c>
      <c r="E6927" s="11">
        <v>3111.56</v>
      </c>
      <c r="F6927" s="3">
        <v>39052</v>
      </c>
      <c r="G6927" s="2"/>
      <c r="H6927" s="2"/>
      <c r="I6927" s="2"/>
      <c r="J6927" s="2" t="s">
        <v>13904</v>
      </c>
      <c r="K6927" s="2" t="s">
        <v>5657</v>
      </c>
      <c r="L6927" s="246" t="s">
        <v>22280</v>
      </c>
    </row>
    <row r="6928" spans="1:12" ht="84" customHeight="1" x14ac:dyDescent="0.3">
      <c r="A6928" s="2">
        <v>6924</v>
      </c>
      <c r="B6928" s="66" t="s">
        <v>7737</v>
      </c>
      <c r="C6928" s="66" t="s">
        <v>8157</v>
      </c>
      <c r="D6928" s="11">
        <v>3111.53</v>
      </c>
      <c r="E6928" s="11">
        <v>3111.53</v>
      </c>
      <c r="F6928" s="3">
        <v>39052</v>
      </c>
      <c r="G6928" s="2"/>
      <c r="H6928" s="2"/>
      <c r="I6928" s="2"/>
      <c r="J6928" s="2" t="s">
        <v>13904</v>
      </c>
      <c r="K6928" s="2" t="s">
        <v>5657</v>
      </c>
      <c r="L6928" s="246" t="s">
        <v>22280</v>
      </c>
    </row>
    <row r="6929" spans="1:12" ht="84" customHeight="1" x14ac:dyDescent="0.3">
      <c r="A6929" s="2">
        <v>6925</v>
      </c>
      <c r="B6929" s="66" t="s">
        <v>7737</v>
      </c>
      <c r="C6929" s="66" t="s">
        <v>8158</v>
      </c>
      <c r="D6929" s="11">
        <v>3111.53</v>
      </c>
      <c r="E6929" s="11">
        <v>3111.53</v>
      </c>
      <c r="F6929" s="3">
        <v>39052</v>
      </c>
      <c r="G6929" s="2"/>
      <c r="H6929" s="2"/>
      <c r="I6929" s="2"/>
      <c r="J6929" s="2" t="s">
        <v>13904</v>
      </c>
      <c r="K6929" s="2" t="s">
        <v>5657</v>
      </c>
      <c r="L6929" s="246" t="s">
        <v>22280</v>
      </c>
    </row>
    <row r="6930" spans="1:12" ht="84" customHeight="1" x14ac:dyDescent="0.3">
      <c r="A6930" s="2">
        <v>6926</v>
      </c>
      <c r="B6930" s="66" t="s">
        <v>7745</v>
      </c>
      <c r="C6930" s="66" t="s">
        <v>8159</v>
      </c>
      <c r="D6930" s="11">
        <v>3111.53</v>
      </c>
      <c r="E6930" s="11">
        <v>3111.53</v>
      </c>
      <c r="F6930" s="3">
        <v>39052</v>
      </c>
      <c r="G6930" s="2"/>
      <c r="H6930" s="2"/>
      <c r="I6930" s="2"/>
      <c r="J6930" s="2" t="s">
        <v>13904</v>
      </c>
      <c r="K6930" s="2" t="s">
        <v>5657</v>
      </c>
      <c r="L6930" s="246" t="s">
        <v>22280</v>
      </c>
    </row>
    <row r="6931" spans="1:12" ht="84" customHeight="1" x14ac:dyDescent="0.3">
      <c r="A6931" s="2">
        <v>6927</v>
      </c>
      <c r="B6931" s="66" t="s">
        <v>7745</v>
      </c>
      <c r="C6931" s="66" t="s">
        <v>8160</v>
      </c>
      <c r="D6931" s="11">
        <v>3111.52</v>
      </c>
      <c r="E6931" s="11">
        <v>3111.52</v>
      </c>
      <c r="F6931" s="3">
        <v>39052</v>
      </c>
      <c r="G6931" s="2"/>
      <c r="H6931" s="2"/>
      <c r="I6931" s="2"/>
      <c r="J6931" s="2" t="s">
        <v>13904</v>
      </c>
      <c r="K6931" s="2" t="s">
        <v>5657</v>
      </c>
      <c r="L6931" s="246" t="s">
        <v>22280</v>
      </c>
    </row>
    <row r="6932" spans="1:12" ht="84" customHeight="1" x14ac:dyDescent="0.3">
      <c r="A6932" s="2">
        <v>6928</v>
      </c>
      <c r="B6932" s="66" t="s">
        <v>7739</v>
      </c>
      <c r="C6932" s="66" t="s">
        <v>8161</v>
      </c>
      <c r="D6932" s="11">
        <v>3111.52</v>
      </c>
      <c r="E6932" s="11">
        <v>3111.52</v>
      </c>
      <c r="F6932" s="3">
        <v>39052</v>
      </c>
      <c r="G6932" s="2"/>
      <c r="H6932" s="2"/>
      <c r="I6932" s="2"/>
      <c r="J6932" s="2" t="s">
        <v>13904</v>
      </c>
      <c r="K6932" s="2" t="s">
        <v>5657</v>
      </c>
      <c r="L6932" s="246" t="s">
        <v>22280</v>
      </c>
    </row>
    <row r="6933" spans="1:12" ht="84" customHeight="1" x14ac:dyDescent="0.3">
      <c r="A6933" s="2">
        <v>6929</v>
      </c>
      <c r="B6933" s="66" t="s">
        <v>7739</v>
      </c>
      <c r="C6933" s="66" t="s">
        <v>8162</v>
      </c>
      <c r="D6933" s="11">
        <v>3111.53</v>
      </c>
      <c r="E6933" s="11">
        <v>3111.53</v>
      </c>
      <c r="F6933" s="3">
        <v>39052</v>
      </c>
      <c r="G6933" s="2"/>
      <c r="H6933" s="2"/>
      <c r="I6933" s="2"/>
      <c r="J6933" s="2" t="s">
        <v>13904</v>
      </c>
      <c r="K6933" s="2" t="s">
        <v>5657</v>
      </c>
      <c r="L6933" s="246" t="s">
        <v>22280</v>
      </c>
    </row>
    <row r="6934" spans="1:12" ht="84" customHeight="1" x14ac:dyDescent="0.3">
      <c r="A6934" s="2">
        <v>6930</v>
      </c>
      <c r="B6934" s="66" t="s">
        <v>7739</v>
      </c>
      <c r="C6934" s="66" t="s">
        <v>8163</v>
      </c>
      <c r="D6934" s="11">
        <v>3111.56</v>
      </c>
      <c r="E6934" s="11">
        <v>3111.56</v>
      </c>
      <c r="F6934" s="3">
        <v>39052</v>
      </c>
      <c r="G6934" s="2"/>
      <c r="H6934" s="2"/>
      <c r="I6934" s="2"/>
      <c r="J6934" s="2" t="s">
        <v>13904</v>
      </c>
      <c r="K6934" s="2" t="s">
        <v>5657</v>
      </c>
      <c r="L6934" s="246" t="s">
        <v>22280</v>
      </c>
    </row>
    <row r="6935" spans="1:12" ht="84" customHeight="1" x14ac:dyDescent="0.3">
      <c r="A6935" s="2">
        <v>6931</v>
      </c>
      <c r="B6935" s="66" t="s">
        <v>7739</v>
      </c>
      <c r="C6935" s="66" t="s">
        <v>8164</v>
      </c>
      <c r="D6935" s="11">
        <v>3111.56</v>
      </c>
      <c r="E6935" s="11">
        <v>3111.56</v>
      </c>
      <c r="F6935" s="3">
        <v>39052</v>
      </c>
      <c r="G6935" s="2"/>
      <c r="H6935" s="2"/>
      <c r="I6935" s="2"/>
      <c r="J6935" s="2" t="s">
        <v>13904</v>
      </c>
      <c r="K6935" s="2" t="s">
        <v>5657</v>
      </c>
      <c r="L6935" s="246" t="s">
        <v>22280</v>
      </c>
    </row>
    <row r="6936" spans="1:12" ht="84" customHeight="1" x14ac:dyDescent="0.3">
      <c r="A6936" s="2">
        <v>6932</v>
      </c>
      <c r="B6936" s="66" t="s">
        <v>7839</v>
      </c>
      <c r="C6936" s="66" t="s">
        <v>8165</v>
      </c>
      <c r="D6936" s="11">
        <v>3111.49</v>
      </c>
      <c r="E6936" s="11">
        <v>3111.49</v>
      </c>
      <c r="F6936" s="3">
        <v>39052</v>
      </c>
      <c r="G6936" s="2"/>
      <c r="H6936" s="2"/>
      <c r="I6936" s="2"/>
      <c r="J6936" s="2" t="s">
        <v>13904</v>
      </c>
      <c r="K6936" s="2" t="s">
        <v>5657</v>
      </c>
      <c r="L6936" s="246" t="s">
        <v>22280</v>
      </c>
    </row>
    <row r="6937" spans="1:12" ht="84" customHeight="1" x14ac:dyDescent="0.3">
      <c r="A6937" s="2">
        <v>6933</v>
      </c>
      <c r="B6937" s="66" t="s">
        <v>7739</v>
      </c>
      <c r="C6937" s="66" t="s">
        <v>8166</v>
      </c>
      <c r="D6937" s="11">
        <v>3111.56</v>
      </c>
      <c r="E6937" s="11">
        <v>3111.56</v>
      </c>
      <c r="F6937" s="3">
        <v>39052</v>
      </c>
      <c r="G6937" s="2"/>
      <c r="H6937" s="2"/>
      <c r="I6937" s="2"/>
      <c r="J6937" s="2" t="s">
        <v>13904</v>
      </c>
      <c r="K6937" s="2" t="s">
        <v>5657</v>
      </c>
      <c r="L6937" s="246" t="s">
        <v>22280</v>
      </c>
    </row>
    <row r="6938" spans="1:12" ht="84" customHeight="1" x14ac:dyDescent="0.3">
      <c r="A6938" s="2">
        <v>6934</v>
      </c>
      <c r="B6938" s="66" t="s">
        <v>7739</v>
      </c>
      <c r="C6938" s="66" t="s">
        <v>8167</v>
      </c>
      <c r="D6938" s="11">
        <v>3111.56</v>
      </c>
      <c r="E6938" s="11">
        <v>3111.56</v>
      </c>
      <c r="F6938" s="3">
        <v>39052</v>
      </c>
      <c r="G6938" s="2"/>
      <c r="H6938" s="2"/>
      <c r="I6938" s="2"/>
      <c r="J6938" s="2" t="s">
        <v>13904</v>
      </c>
      <c r="K6938" s="2" t="s">
        <v>5657</v>
      </c>
      <c r="L6938" s="246" t="s">
        <v>22280</v>
      </c>
    </row>
    <row r="6939" spans="1:12" ht="84" customHeight="1" x14ac:dyDescent="0.3">
      <c r="A6939" s="2">
        <v>6935</v>
      </c>
      <c r="B6939" s="66" t="s">
        <v>7839</v>
      </c>
      <c r="C6939" s="66" t="s">
        <v>8168</v>
      </c>
      <c r="D6939" s="11">
        <v>3111.49</v>
      </c>
      <c r="E6939" s="11">
        <v>3111.49</v>
      </c>
      <c r="F6939" s="3">
        <v>39052</v>
      </c>
      <c r="G6939" s="2"/>
      <c r="H6939" s="2"/>
      <c r="I6939" s="2"/>
      <c r="J6939" s="2" t="s">
        <v>13904</v>
      </c>
      <c r="K6939" s="2" t="s">
        <v>5657</v>
      </c>
      <c r="L6939" s="246" t="s">
        <v>22280</v>
      </c>
    </row>
    <row r="6940" spans="1:12" ht="84" customHeight="1" x14ac:dyDescent="0.3">
      <c r="A6940" s="2">
        <v>6936</v>
      </c>
      <c r="B6940" s="66" t="s">
        <v>7836</v>
      </c>
      <c r="C6940" s="66" t="s">
        <v>8169</v>
      </c>
      <c r="D6940" s="11">
        <v>3111.49</v>
      </c>
      <c r="E6940" s="11">
        <v>3111.49</v>
      </c>
      <c r="F6940" s="3">
        <v>39052</v>
      </c>
      <c r="G6940" s="2"/>
      <c r="H6940" s="2"/>
      <c r="I6940" s="2"/>
      <c r="J6940" s="2" t="s">
        <v>13904</v>
      </c>
      <c r="K6940" s="2" t="s">
        <v>5657</v>
      </c>
      <c r="L6940" s="246" t="s">
        <v>22280</v>
      </c>
    </row>
    <row r="6941" spans="1:12" ht="84" customHeight="1" x14ac:dyDescent="0.3">
      <c r="A6941" s="2">
        <v>6937</v>
      </c>
      <c r="B6941" s="66" t="s">
        <v>7737</v>
      </c>
      <c r="C6941" s="66" t="s">
        <v>8170</v>
      </c>
      <c r="D6941" s="11">
        <v>3111.56</v>
      </c>
      <c r="E6941" s="11">
        <v>3111.56</v>
      </c>
      <c r="F6941" s="3">
        <v>39052</v>
      </c>
      <c r="G6941" s="2"/>
      <c r="H6941" s="2"/>
      <c r="I6941" s="2"/>
      <c r="J6941" s="2" t="s">
        <v>13904</v>
      </c>
      <c r="K6941" s="2" t="s">
        <v>5657</v>
      </c>
      <c r="L6941" s="246" t="s">
        <v>22280</v>
      </c>
    </row>
    <row r="6942" spans="1:12" ht="84" customHeight="1" x14ac:dyDescent="0.3">
      <c r="A6942" s="2">
        <v>6938</v>
      </c>
      <c r="B6942" s="66" t="s">
        <v>7737</v>
      </c>
      <c r="C6942" s="66" t="s">
        <v>8171</v>
      </c>
      <c r="D6942" s="11">
        <v>3111.56</v>
      </c>
      <c r="E6942" s="11">
        <v>3111.56</v>
      </c>
      <c r="F6942" s="3">
        <v>39052</v>
      </c>
      <c r="G6942" s="2"/>
      <c r="H6942" s="2"/>
      <c r="I6942" s="2"/>
      <c r="J6942" s="2" t="s">
        <v>13904</v>
      </c>
      <c r="K6942" s="2" t="s">
        <v>5657</v>
      </c>
      <c r="L6942" s="246" t="s">
        <v>22280</v>
      </c>
    </row>
    <row r="6943" spans="1:12" ht="84" customHeight="1" x14ac:dyDescent="0.3">
      <c r="A6943" s="2">
        <v>6939</v>
      </c>
      <c r="B6943" s="66" t="s">
        <v>7737</v>
      </c>
      <c r="C6943" s="66" t="s">
        <v>8172</v>
      </c>
      <c r="D6943" s="11">
        <v>3111.56</v>
      </c>
      <c r="E6943" s="11">
        <v>3111.56</v>
      </c>
      <c r="F6943" s="3">
        <v>39052</v>
      </c>
      <c r="G6943" s="2"/>
      <c r="H6943" s="2"/>
      <c r="I6943" s="2"/>
      <c r="J6943" s="2" t="s">
        <v>13904</v>
      </c>
      <c r="K6943" s="2" t="s">
        <v>5657</v>
      </c>
      <c r="L6943" s="246" t="s">
        <v>22280</v>
      </c>
    </row>
    <row r="6944" spans="1:12" ht="84" customHeight="1" x14ac:dyDescent="0.3">
      <c r="A6944" s="2">
        <v>6940</v>
      </c>
      <c r="B6944" s="66" t="s">
        <v>7839</v>
      </c>
      <c r="C6944" s="66" t="s">
        <v>8173</v>
      </c>
      <c r="D6944" s="11">
        <v>3111.49</v>
      </c>
      <c r="E6944" s="11">
        <v>3111.49</v>
      </c>
      <c r="F6944" s="3">
        <v>39052</v>
      </c>
      <c r="G6944" s="2"/>
      <c r="H6944" s="2"/>
      <c r="I6944" s="2"/>
      <c r="J6944" s="2" t="s">
        <v>13904</v>
      </c>
      <c r="K6944" s="2" t="s">
        <v>5657</v>
      </c>
      <c r="L6944" s="246" t="s">
        <v>22280</v>
      </c>
    </row>
    <row r="6945" spans="1:12" ht="84" customHeight="1" x14ac:dyDescent="0.3">
      <c r="A6945" s="2">
        <v>6941</v>
      </c>
      <c r="B6945" s="66" t="s">
        <v>7839</v>
      </c>
      <c r="C6945" s="66" t="s">
        <v>8174</v>
      </c>
      <c r="D6945" s="11">
        <v>3111.49</v>
      </c>
      <c r="E6945" s="11">
        <v>3111.49</v>
      </c>
      <c r="F6945" s="3">
        <v>39052</v>
      </c>
      <c r="G6945" s="2"/>
      <c r="H6945" s="2"/>
      <c r="I6945" s="2"/>
      <c r="J6945" s="2" t="s">
        <v>13904</v>
      </c>
      <c r="K6945" s="2" t="s">
        <v>5657</v>
      </c>
      <c r="L6945" s="246" t="s">
        <v>22280</v>
      </c>
    </row>
    <row r="6946" spans="1:12" ht="84" customHeight="1" x14ac:dyDescent="0.3">
      <c r="A6946" s="2">
        <v>6942</v>
      </c>
      <c r="B6946" s="66" t="s">
        <v>7839</v>
      </c>
      <c r="C6946" s="66" t="s">
        <v>8175</v>
      </c>
      <c r="D6946" s="11">
        <v>3111.49</v>
      </c>
      <c r="E6946" s="11">
        <v>3111.49</v>
      </c>
      <c r="F6946" s="3">
        <v>39052</v>
      </c>
      <c r="G6946" s="2"/>
      <c r="H6946" s="2"/>
      <c r="I6946" s="2"/>
      <c r="J6946" s="2" t="s">
        <v>13904</v>
      </c>
      <c r="K6946" s="2" t="s">
        <v>5657</v>
      </c>
      <c r="L6946" s="246" t="s">
        <v>22280</v>
      </c>
    </row>
    <row r="6947" spans="1:12" ht="84" customHeight="1" x14ac:dyDescent="0.3">
      <c r="A6947" s="2">
        <v>6943</v>
      </c>
      <c r="B6947" s="66" t="s">
        <v>7839</v>
      </c>
      <c r="C6947" s="66" t="s">
        <v>8176</v>
      </c>
      <c r="D6947" s="11">
        <v>3111.49</v>
      </c>
      <c r="E6947" s="11">
        <v>3111.49</v>
      </c>
      <c r="F6947" s="3">
        <v>39052</v>
      </c>
      <c r="G6947" s="2"/>
      <c r="H6947" s="2"/>
      <c r="I6947" s="2"/>
      <c r="J6947" s="2" t="s">
        <v>13904</v>
      </c>
      <c r="K6947" s="2" t="s">
        <v>5657</v>
      </c>
      <c r="L6947" s="246" t="s">
        <v>22280</v>
      </c>
    </row>
    <row r="6948" spans="1:12" ht="84" customHeight="1" x14ac:dyDescent="0.3">
      <c r="A6948" s="2">
        <v>6944</v>
      </c>
      <c r="B6948" s="66" t="s">
        <v>7839</v>
      </c>
      <c r="C6948" s="66" t="s">
        <v>8177</v>
      </c>
      <c r="D6948" s="11">
        <v>3111.49</v>
      </c>
      <c r="E6948" s="11">
        <v>3111.49</v>
      </c>
      <c r="F6948" s="3">
        <v>39052</v>
      </c>
      <c r="G6948" s="2"/>
      <c r="H6948" s="2"/>
      <c r="I6948" s="2"/>
      <c r="J6948" s="2" t="s">
        <v>13904</v>
      </c>
      <c r="K6948" s="2" t="s">
        <v>5657</v>
      </c>
      <c r="L6948" s="246" t="s">
        <v>22280</v>
      </c>
    </row>
    <row r="6949" spans="1:12" ht="84" customHeight="1" x14ac:dyDescent="0.3">
      <c r="A6949" s="2">
        <v>6945</v>
      </c>
      <c r="B6949" s="66" t="s">
        <v>7737</v>
      </c>
      <c r="C6949" s="66" t="s">
        <v>8178</v>
      </c>
      <c r="D6949" s="11">
        <v>3111.53</v>
      </c>
      <c r="E6949" s="11">
        <v>3111.53</v>
      </c>
      <c r="F6949" s="3">
        <v>39052</v>
      </c>
      <c r="G6949" s="2"/>
      <c r="H6949" s="2"/>
      <c r="I6949" s="2"/>
      <c r="J6949" s="2" t="s">
        <v>13904</v>
      </c>
      <c r="K6949" s="2" t="s">
        <v>5657</v>
      </c>
      <c r="L6949" s="246" t="s">
        <v>22280</v>
      </c>
    </row>
    <row r="6950" spans="1:12" ht="84" customHeight="1" x14ac:dyDescent="0.3">
      <c r="A6950" s="2">
        <v>6946</v>
      </c>
      <c r="B6950" s="66" t="s">
        <v>7737</v>
      </c>
      <c r="C6950" s="66" t="s">
        <v>8179</v>
      </c>
      <c r="D6950" s="11">
        <v>3111.53</v>
      </c>
      <c r="E6950" s="11">
        <v>3111.53</v>
      </c>
      <c r="F6950" s="3">
        <v>39052</v>
      </c>
      <c r="G6950" s="2"/>
      <c r="H6950" s="2"/>
      <c r="I6950" s="2"/>
      <c r="J6950" s="2" t="s">
        <v>13904</v>
      </c>
      <c r="K6950" s="2" t="s">
        <v>5657</v>
      </c>
      <c r="L6950" s="246" t="s">
        <v>22280</v>
      </c>
    </row>
    <row r="6951" spans="1:12" ht="84" customHeight="1" x14ac:dyDescent="0.3">
      <c r="A6951" s="2">
        <v>6947</v>
      </c>
      <c r="B6951" s="66" t="s">
        <v>7737</v>
      </c>
      <c r="C6951" s="66" t="s">
        <v>8180</v>
      </c>
      <c r="D6951" s="11">
        <v>3111.56</v>
      </c>
      <c r="E6951" s="11">
        <v>3111.56</v>
      </c>
      <c r="F6951" s="3">
        <v>39052</v>
      </c>
      <c r="G6951" s="2"/>
      <c r="H6951" s="2"/>
      <c r="I6951" s="2"/>
      <c r="J6951" s="2" t="s">
        <v>13904</v>
      </c>
      <c r="K6951" s="2" t="s">
        <v>5657</v>
      </c>
      <c r="L6951" s="246" t="s">
        <v>22280</v>
      </c>
    </row>
    <row r="6952" spans="1:12" ht="84" customHeight="1" x14ac:dyDescent="0.3">
      <c r="A6952" s="2">
        <v>6948</v>
      </c>
      <c r="B6952" s="66" t="s">
        <v>7737</v>
      </c>
      <c r="C6952" s="66" t="s">
        <v>8181</v>
      </c>
      <c r="D6952" s="11">
        <v>3111.56</v>
      </c>
      <c r="E6952" s="11">
        <v>3111.56</v>
      </c>
      <c r="F6952" s="3">
        <v>39052</v>
      </c>
      <c r="G6952" s="2"/>
      <c r="H6952" s="2"/>
      <c r="I6952" s="2"/>
      <c r="J6952" s="2" t="s">
        <v>13904</v>
      </c>
      <c r="K6952" s="2" t="s">
        <v>5657</v>
      </c>
      <c r="L6952" s="246" t="s">
        <v>22280</v>
      </c>
    </row>
    <row r="6953" spans="1:12" ht="84" customHeight="1" x14ac:dyDescent="0.3">
      <c r="A6953" s="2">
        <v>6949</v>
      </c>
      <c r="B6953" s="66" t="s">
        <v>7737</v>
      </c>
      <c r="C6953" s="66" t="s">
        <v>8182</v>
      </c>
      <c r="D6953" s="11">
        <v>3111.56</v>
      </c>
      <c r="E6953" s="11">
        <v>3111.56</v>
      </c>
      <c r="F6953" s="3">
        <v>39052</v>
      </c>
      <c r="G6953" s="2"/>
      <c r="H6953" s="2"/>
      <c r="I6953" s="2"/>
      <c r="J6953" s="2" t="s">
        <v>13904</v>
      </c>
      <c r="K6953" s="2" t="s">
        <v>5657</v>
      </c>
      <c r="L6953" s="246" t="s">
        <v>22280</v>
      </c>
    </row>
    <row r="6954" spans="1:12" ht="84" customHeight="1" x14ac:dyDescent="0.3">
      <c r="A6954" s="2">
        <v>6950</v>
      </c>
      <c r="B6954" s="66" t="s">
        <v>7737</v>
      </c>
      <c r="C6954" s="66" t="s">
        <v>8183</v>
      </c>
      <c r="D6954" s="11">
        <v>3111.56</v>
      </c>
      <c r="E6954" s="11">
        <v>3111.56</v>
      </c>
      <c r="F6954" s="3">
        <v>39052</v>
      </c>
      <c r="G6954" s="2"/>
      <c r="H6954" s="2"/>
      <c r="I6954" s="2"/>
      <c r="J6954" s="2" t="s">
        <v>13904</v>
      </c>
      <c r="K6954" s="2" t="s">
        <v>5657</v>
      </c>
      <c r="L6954" s="246" t="s">
        <v>22280</v>
      </c>
    </row>
    <row r="6955" spans="1:12" ht="84" customHeight="1" x14ac:dyDescent="0.3">
      <c r="A6955" s="2">
        <v>6951</v>
      </c>
      <c r="B6955" s="66" t="s">
        <v>7839</v>
      </c>
      <c r="C6955" s="66" t="s">
        <v>8184</v>
      </c>
      <c r="D6955" s="11">
        <v>3111.48</v>
      </c>
      <c r="E6955" s="11">
        <v>3111.48</v>
      </c>
      <c r="F6955" s="3">
        <v>39052</v>
      </c>
      <c r="G6955" s="2"/>
      <c r="H6955" s="2"/>
      <c r="I6955" s="2"/>
      <c r="J6955" s="2" t="s">
        <v>13904</v>
      </c>
      <c r="K6955" s="2" t="s">
        <v>5657</v>
      </c>
      <c r="L6955" s="246" t="s">
        <v>22280</v>
      </c>
    </row>
    <row r="6956" spans="1:12" ht="84" customHeight="1" x14ac:dyDescent="0.3">
      <c r="A6956" s="2">
        <v>6952</v>
      </c>
      <c r="B6956" s="66" t="s">
        <v>7737</v>
      </c>
      <c r="C6956" s="66" t="s">
        <v>8185</v>
      </c>
      <c r="D6956" s="11">
        <v>3111.56</v>
      </c>
      <c r="E6956" s="11">
        <v>3111.56</v>
      </c>
      <c r="F6956" s="3">
        <v>39052</v>
      </c>
      <c r="G6956" s="2"/>
      <c r="H6956" s="2"/>
      <c r="I6956" s="2"/>
      <c r="J6956" s="2" t="s">
        <v>13904</v>
      </c>
      <c r="K6956" s="2" t="s">
        <v>5657</v>
      </c>
      <c r="L6956" s="246" t="s">
        <v>22280</v>
      </c>
    </row>
    <row r="6957" spans="1:12" ht="84" customHeight="1" x14ac:dyDescent="0.3">
      <c r="A6957" s="2">
        <v>6953</v>
      </c>
      <c r="B6957" s="66" t="s">
        <v>7737</v>
      </c>
      <c r="C6957" s="66" t="s">
        <v>8186</v>
      </c>
      <c r="D6957" s="11">
        <v>3111.56</v>
      </c>
      <c r="E6957" s="11">
        <v>3111.56</v>
      </c>
      <c r="F6957" s="3">
        <v>39052</v>
      </c>
      <c r="G6957" s="2"/>
      <c r="H6957" s="2"/>
      <c r="I6957" s="2"/>
      <c r="J6957" s="2" t="s">
        <v>13904</v>
      </c>
      <c r="K6957" s="2" t="s">
        <v>5657</v>
      </c>
      <c r="L6957" s="246" t="s">
        <v>22280</v>
      </c>
    </row>
    <row r="6958" spans="1:12" ht="84" customHeight="1" x14ac:dyDescent="0.3">
      <c r="A6958" s="2">
        <v>6954</v>
      </c>
      <c r="B6958" s="66" t="s">
        <v>7739</v>
      </c>
      <c r="C6958" s="66" t="s">
        <v>8187</v>
      </c>
      <c r="D6958" s="11">
        <v>3111.56</v>
      </c>
      <c r="E6958" s="11">
        <v>3111.56</v>
      </c>
      <c r="F6958" s="3">
        <v>39052</v>
      </c>
      <c r="G6958" s="2"/>
      <c r="H6958" s="2"/>
      <c r="I6958" s="2"/>
      <c r="J6958" s="2" t="s">
        <v>13904</v>
      </c>
      <c r="K6958" s="2" t="s">
        <v>5657</v>
      </c>
      <c r="L6958" s="246" t="s">
        <v>22280</v>
      </c>
    </row>
    <row r="6959" spans="1:12" ht="84" customHeight="1" x14ac:dyDescent="0.3">
      <c r="A6959" s="2">
        <v>6955</v>
      </c>
      <c r="B6959" s="66" t="s">
        <v>7739</v>
      </c>
      <c r="C6959" s="66" t="s">
        <v>8188</v>
      </c>
      <c r="D6959" s="11">
        <v>3111.56</v>
      </c>
      <c r="E6959" s="11">
        <v>3111.56</v>
      </c>
      <c r="F6959" s="3">
        <v>39052</v>
      </c>
      <c r="G6959" s="2"/>
      <c r="H6959" s="2"/>
      <c r="I6959" s="2"/>
      <c r="J6959" s="2" t="s">
        <v>13904</v>
      </c>
      <c r="K6959" s="2" t="s">
        <v>5657</v>
      </c>
      <c r="L6959" s="246" t="s">
        <v>22280</v>
      </c>
    </row>
    <row r="6960" spans="1:12" ht="84" customHeight="1" x14ac:dyDescent="0.3">
      <c r="A6960" s="2">
        <v>6956</v>
      </c>
      <c r="B6960" s="66" t="s">
        <v>7737</v>
      </c>
      <c r="C6960" s="66" t="s">
        <v>8189</v>
      </c>
      <c r="D6960" s="11">
        <v>3111.56</v>
      </c>
      <c r="E6960" s="11">
        <v>3111.56</v>
      </c>
      <c r="F6960" s="3">
        <v>39052</v>
      </c>
      <c r="G6960" s="2"/>
      <c r="H6960" s="2"/>
      <c r="I6960" s="2"/>
      <c r="J6960" s="2" t="s">
        <v>13904</v>
      </c>
      <c r="K6960" s="2" t="s">
        <v>5657</v>
      </c>
      <c r="L6960" s="246" t="s">
        <v>22280</v>
      </c>
    </row>
    <row r="6961" spans="1:12" ht="84" customHeight="1" x14ac:dyDescent="0.3">
      <c r="A6961" s="2">
        <v>6957</v>
      </c>
      <c r="B6961" s="66" t="s">
        <v>7737</v>
      </c>
      <c r="C6961" s="66" t="s">
        <v>8190</v>
      </c>
      <c r="D6961" s="11">
        <v>3111.56</v>
      </c>
      <c r="E6961" s="11">
        <v>3111.56</v>
      </c>
      <c r="F6961" s="3">
        <v>39052</v>
      </c>
      <c r="G6961" s="2"/>
      <c r="H6961" s="2"/>
      <c r="I6961" s="2"/>
      <c r="J6961" s="2" t="s">
        <v>13904</v>
      </c>
      <c r="K6961" s="2" t="s">
        <v>5657</v>
      </c>
      <c r="L6961" s="246" t="s">
        <v>22280</v>
      </c>
    </row>
    <row r="6962" spans="1:12" ht="84" customHeight="1" x14ac:dyDescent="0.3">
      <c r="A6962" s="2">
        <v>6958</v>
      </c>
      <c r="B6962" s="66" t="s">
        <v>7601</v>
      </c>
      <c r="C6962" s="66" t="s">
        <v>8191</v>
      </c>
      <c r="D6962" s="11">
        <v>3168.8</v>
      </c>
      <c r="E6962" s="11">
        <v>3168.8</v>
      </c>
      <c r="F6962" s="3">
        <v>39052</v>
      </c>
      <c r="G6962" s="2"/>
      <c r="H6962" s="2"/>
      <c r="I6962" s="2"/>
      <c r="J6962" s="2" t="s">
        <v>13904</v>
      </c>
      <c r="K6962" s="2" t="s">
        <v>5657</v>
      </c>
      <c r="L6962" s="246" t="s">
        <v>22280</v>
      </c>
    </row>
    <row r="6963" spans="1:12" ht="84" customHeight="1" x14ac:dyDescent="0.3">
      <c r="A6963" s="2">
        <v>6959</v>
      </c>
      <c r="B6963" s="66" t="s">
        <v>7839</v>
      </c>
      <c r="C6963" s="66" t="s">
        <v>8192</v>
      </c>
      <c r="D6963" s="11">
        <v>3111.42</v>
      </c>
      <c r="E6963" s="11">
        <v>3111.42</v>
      </c>
      <c r="F6963" s="3">
        <v>39052</v>
      </c>
      <c r="G6963" s="2"/>
      <c r="H6963" s="2"/>
      <c r="I6963" s="2"/>
      <c r="J6963" s="2" t="s">
        <v>13904</v>
      </c>
      <c r="K6963" s="2" t="s">
        <v>5657</v>
      </c>
      <c r="L6963" s="246" t="s">
        <v>22280</v>
      </c>
    </row>
    <row r="6964" spans="1:12" ht="84" customHeight="1" x14ac:dyDescent="0.3">
      <c r="A6964" s="2">
        <v>6960</v>
      </c>
      <c r="B6964" s="66" t="s">
        <v>7795</v>
      </c>
      <c r="C6964" s="66" t="s">
        <v>8193</v>
      </c>
      <c r="D6964" s="11">
        <v>3672</v>
      </c>
      <c r="E6964" s="11">
        <v>3672</v>
      </c>
      <c r="F6964" s="3">
        <v>39052</v>
      </c>
      <c r="G6964" s="2"/>
      <c r="H6964" s="2"/>
      <c r="I6964" s="2"/>
      <c r="J6964" s="2" t="s">
        <v>13904</v>
      </c>
      <c r="K6964" s="2" t="s">
        <v>5657</v>
      </c>
      <c r="L6964" s="246" t="s">
        <v>22280</v>
      </c>
    </row>
    <row r="6965" spans="1:12" ht="84" customHeight="1" x14ac:dyDescent="0.3">
      <c r="A6965" s="2">
        <v>6961</v>
      </c>
      <c r="B6965" s="66" t="s">
        <v>8194</v>
      </c>
      <c r="C6965" s="66" t="s">
        <v>8195</v>
      </c>
      <c r="D6965" s="11">
        <v>3052</v>
      </c>
      <c r="E6965" s="11">
        <v>3052</v>
      </c>
      <c r="F6965" s="3">
        <v>39142</v>
      </c>
      <c r="G6965" s="2"/>
      <c r="H6965" s="2"/>
      <c r="I6965" s="2"/>
      <c r="J6965" s="2" t="s">
        <v>13904</v>
      </c>
      <c r="K6965" s="2" t="s">
        <v>5657</v>
      </c>
      <c r="L6965" s="246" t="s">
        <v>22280</v>
      </c>
    </row>
    <row r="6966" spans="1:12" ht="84" customHeight="1" x14ac:dyDescent="0.3">
      <c r="A6966" s="2">
        <v>6962</v>
      </c>
      <c r="B6966" s="66" t="s">
        <v>7641</v>
      </c>
      <c r="C6966" s="66" t="s">
        <v>8196</v>
      </c>
      <c r="D6966" s="11">
        <v>3894</v>
      </c>
      <c r="E6966" s="11">
        <v>3894</v>
      </c>
      <c r="F6966" s="3">
        <v>39142</v>
      </c>
      <c r="G6966" s="2"/>
      <c r="H6966" s="2"/>
      <c r="I6966" s="2"/>
      <c r="J6966" s="2" t="s">
        <v>13904</v>
      </c>
      <c r="K6966" s="2" t="s">
        <v>5657</v>
      </c>
      <c r="L6966" s="246" t="s">
        <v>22280</v>
      </c>
    </row>
    <row r="6967" spans="1:12" ht="84" customHeight="1" x14ac:dyDescent="0.3">
      <c r="A6967" s="2">
        <v>6963</v>
      </c>
      <c r="B6967" s="66" t="s">
        <v>6905</v>
      </c>
      <c r="C6967" s="66" t="s">
        <v>8197</v>
      </c>
      <c r="D6967" s="11">
        <v>3894</v>
      </c>
      <c r="E6967" s="11">
        <v>3894</v>
      </c>
      <c r="F6967" s="3">
        <v>39142</v>
      </c>
      <c r="G6967" s="2"/>
      <c r="H6967" s="2"/>
      <c r="I6967" s="2"/>
      <c r="J6967" s="2" t="s">
        <v>13904</v>
      </c>
      <c r="K6967" s="2" t="s">
        <v>5657</v>
      </c>
      <c r="L6967" s="246" t="s">
        <v>22280</v>
      </c>
    </row>
    <row r="6968" spans="1:12" ht="84" customHeight="1" x14ac:dyDescent="0.3">
      <c r="A6968" s="2">
        <v>6964</v>
      </c>
      <c r="B6968" s="66" t="s">
        <v>6903</v>
      </c>
      <c r="C6968" s="66" t="s">
        <v>8198</v>
      </c>
      <c r="D6968" s="11">
        <v>3894</v>
      </c>
      <c r="E6968" s="11">
        <v>3894</v>
      </c>
      <c r="F6968" s="3">
        <v>39142</v>
      </c>
      <c r="G6968" s="2"/>
      <c r="H6968" s="2"/>
      <c r="I6968" s="2"/>
      <c r="J6968" s="2" t="s">
        <v>13904</v>
      </c>
      <c r="K6968" s="2" t="s">
        <v>5657</v>
      </c>
      <c r="L6968" s="246" t="s">
        <v>22280</v>
      </c>
    </row>
    <row r="6969" spans="1:12" ht="84" customHeight="1" x14ac:dyDescent="0.3">
      <c r="A6969" s="2">
        <v>6965</v>
      </c>
      <c r="B6969" s="66" t="s">
        <v>7643</v>
      </c>
      <c r="C6969" s="66" t="s">
        <v>8199</v>
      </c>
      <c r="D6969" s="11">
        <v>3894</v>
      </c>
      <c r="E6969" s="11">
        <v>3894</v>
      </c>
      <c r="F6969" s="3">
        <v>39142</v>
      </c>
      <c r="G6969" s="2"/>
      <c r="H6969" s="2"/>
      <c r="I6969" s="2"/>
      <c r="J6969" s="2" t="s">
        <v>13904</v>
      </c>
      <c r="K6969" s="2" t="s">
        <v>5657</v>
      </c>
      <c r="L6969" s="246" t="s">
        <v>22280</v>
      </c>
    </row>
    <row r="6970" spans="1:12" ht="84" customHeight="1" x14ac:dyDescent="0.3">
      <c r="A6970" s="2">
        <v>6966</v>
      </c>
      <c r="B6970" s="66" t="s">
        <v>7646</v>
      </c>
      <c r="C6970" s="66" t="s">
        <v>8200</v>
      </c>
      <c r="D6970" s="11">
        <v>3894</v>
      </c>
      <c r="E6970" s="11">
        <v>3894</v>
      </c>
      <c r="F6970" s="3">
        <v>39142</v>
      </c>
      <c r="G6970" s="2"/>
      <c r="H6970" s="2"/>
      <c r="I6970" s="2"/>
      <c r="J6970" s="2" t="s">
        <v>13904</v>
      </c>
      <c r="K6970" s="2" t="s">
        <v>5657</v>
      </c>
      <c r="L6970" s="246" t="s">
        <v>22280</v>
      </c>
    </row>
    <row r="6971" spans="1:12" ht="84" customHeight="1" x14ac:dyDescent="0.3">
      <c r="A6971" s="2">
        <v>6967</v>
      </c>
      <c r="B6971" s="66" t="s">
        <v>7836</v>
      </c>
      <c r="C6971" s="66" t="s">
        <v>8201</v>
      </c>
      <c r="D6971" s="11">
        <v>4879.49</v>
      </c>
      <c r="E6971" s="11">
        <v>4879.49</v>
      </c>
      <c r="F6971" s="3">
        <v>39065</v>
      </c>
      <c r="G6971" s="2"/>
      <c r="H6971" s="2"/>
      <c r="I6971" s="2"/>
      <c r="J6971" s="2" t="s">
        <v>13904</v>
      </c>
      <c r="K6971" s="2" t="s">
        <v>5657</v>
      </c>
      <c r="L6971" s="246" t="s">
        <v>22280</v>
      </c>
    </row>
    <row r="6972" spans="1:12" ht="84" customHeight="1" x14ac:dyDescent="0.3">
      <c r="A6972" s="2">
        <v>6968</v>
      </c>
      <c r="B6972" s="66" t="s">
        <v>7841</v>
      </c>
      <c r="C6972" s="66" t="s">
        <v>8202</v>
      </c>
      <c r="D6972" s="11">
        <v>4879.49</v>
      </c>
      <c r="E6972" s="11">
        <v>4879.49</v>
      </c>
      <c r="F6972" s="3">
        <v>39065</v>
      </c>
      <c r="G6972" s="2"/>
      <c r="H6972" s="2"/>
      <c r="I6972" s="2"/>
      <c r="J6972" s="2" t="s">
        <v>13904</v>
      </c>
      <c r="K6972" s="2" t="s">
        <v>5657</v>
      </c>
      <c r="L6972" s="246" t="s">
        <v>22280</v>
      </c>
    </row>
    <row r="6973" spans="1:12" ht="84" customHeight="1" x14ac:dyDescent="0.3">
      <c r="A6973" s="2">
        <v>6969</v>
      </c>
      <c r="B6973" s="66" t="s">
        <v>7839</v>
      </c>
      <c r="C6973" s="66" t="s">
        <v>8203</v>
      </c>
      <c r="D6973" s="11">
        <v>4879.4799999999996</v>
      </c>
      <c r="E6973" s="11">
        <v>4879.4799999999996</v>
      </c>
      <c r="F6973" s="3">
        <v>39065</v>
      </c>
      <c r="G6973" s="2"/>
      <c r="H6973" s="2"/>
      <c r="I6973" s="2"/>
      <c r="J6973" s="2" t="s">
        <v>13904</v>
      </c>
      <c r="K6973" s="2" t="s">
        <v>5657</v>
      </c>
      <c r="L6973" s="246" t="s">
        <v>22280</v>
      </c>
    </row>
    <row r="6974" spans="1:12" ht="84" customHeight="1" x14ac:dyDescent="0.3">
      <c r="A6974" s="2">
        <v>6970</v>
      </c>
      <c r="B6974" s="66" t="s">
        <v>7839</v>
      </c>
      <c r="C6974" s="66" t="s">
        <v>8204</v>
      </c>
      <c r="D6974" s="11">
        <v>4054.74</v>
      </c>
      <c r="E6974" s="11">
        <v>4054.74</v>
      </c>
      <c r="F6974" s="3">
        <v>39052</v>
      </c>
      <c r="G6974" s="2"/>
      <c r="H6974" s="2"/>
      <c r="I6974" s="2"/>
      <c r="J6974" s="2" t="s">
        <v>13904</v>
      </c>
      <c r="K6974" s="2" t="s">
        <v>5657</v>
      </c>
      <c r="L6974" s="246" t="s">
        <v>22280</v>
      </c>
    </row>
    <row r="6975" spans="1:12" ht="84" customHeight="1" x14ac:dyDescent="0.3">
      <c r="A6975" s="2">
        <v>6971</v>
      </c>
      <c r="B6975" s="66" t="s">
        <v>6901</v>
      </c>
      <c r="C6975" s="66" t="s">
        <v>8205</v>
      </c>
      <c r="D6975" s="11">
        <v>3168.8</v>
      </c>
      <c r="E6975" s="11">
        <v>3168.8</v>
      </c>
      <c r="F6975" s="3">
        <v>39052</v>
      </c>
      <c r="G6975" s="2"/>
      <c r="H6975" s="2"/>
      <c r="I6975" s="2"/>
      <c r="J6975" s="2" t="s">
        <v>13904</v>
      </c>
      <c r="K6975" s="2" t="s">
        <v>5657</v>
      </c>
      <c r="L6975" s="246" t="s">
        <v>22280</v>
      </c>
    </row>
    <row r="6976" spans="1:12" ht="84" customHeight="1" x14ac:dyDescent="0.3">
      <c r="A6976" s="2">
        <v>6972</v>
      </c>
      <c r="B6976" s="66" t="s">
        <v>7733</v>
      </c>
      <c r="C6976" s="66" t="s">
        <v>8206</v>
      </c>
      <c r="D6976" s="11">
        <v>3111.56</v>
      </c>
      <c r="E6976" s="11">
        <v>3111.56</v>
      </c>
      <c r="F6976" s="3">
        <v>39053</v>
      </c>
      <c r="G6976" s="2"/>
      <c r="H6976" s="2"/>
      <c r="I6976" s="2"/>
      <c r="J6976" s="2" t="s">
        <v>13904</v>
      </c>
      <c r="K6976" s="2" t="s">
        <v>5657</v>
      </c>
      <c r="L6976" s="246" t="s">
        <v>22280</v>
      </c>
    </row>
    <row r="6977" spans="1:12" ht="84" customHeight="1" x14ac:dyDescent="0.3">
      <c r="A6977" s="2">
        <v>6973</v>
      </c>
      <c r="B6977" s="66" t="s">
        <v>7841</v>
      </c>
      <c r="C6977" s="66" t="s">
        <v>8207</v>
      </c>
      <c r="D6977" s="11">
        <v>4879.49</v>
      </c>
      <c r="E6977" s="11">
        <v>4879.49</v>
      </c>
      <c r="F6977" s="3">
        <v>39053</v>
      </c>
      <c r="G6977" s="2"/>
      <c r="H6977" s="2"/>
      <c r="I6977" s="2"/>
      <c r="J6977" s="2" t="s">
        <v>13904</v>
      </c>
      <c r="K6977" s="2" t="s">
        <v>5657</v>
      </c>
      <c r="L6977" s="246" t="s">
        <v>22280</v>
      </c>
    </row>
    <row r="6978" spans="1:12" ht="84" customHeight="1" x14ac:dyDescent="0.3">
      <c r="A6978" s="2">
        <v>6974</v>
      </c>
      <c r="B6978" s="66" t="s">
        <v>8208</v>
      </c>
      <c r="C6978" s="66" t="s">
        <v>4483</v>
      </c>
      <c r="D6978" s="11">
        <v>22878</v>
      </c>
      <c r="E6978" s="11">
        <v>22878</v>
      </c>
      <c r="F6978" s="3">
        <v>41617</v>
      </c>
      <c r="G6978" s="2"/>
      <c r="H6978" s="2"/>
      <c r="I6978" s="2"/>
      <c r="J6978" s="2" t="s">
        <v>13904</v>
      </c>
      <c r="K6978" s="2" t="s">
        <v>5657</v>
      </c>
      <c r="L6978" s="246" t="s">
        <v>22280</v>
      </c>
    </row>
    <row r="6979" spans="1:12" ht="84" customHeight="1" x14ac:dyDescent="0.3">
      <c r="A6979" s="2">
        <v>6975</v>
      </c>
      <c r="B6979" s="66" t="s">
        <v>7145</v>
      </c>
      <c r="C6979" s="66" t="s">
        <v>8209</v>
      </c>
      <c r="D6979" s="11">
        <v>3111.48</v>
      </c>
      <c r="E6979" s="11">
        <v>3111.48</v>
      </c>
      <c r="F6979" s="3">
        <v>39052</v>
      </c>
      <c r="G6979" s="2"/>
      <c r="H6979" s="2"/>
      <c r="I6979" s="2"/>
      <c r="J6979" s="2" t="s">
        <v>13904</v>
      </c>
      <c r="K6979" s="2" t="s">
        <v>5657</v>
      </c>
      <c r="L6979" s="246" t="s">
        <v>22280</v>
      </c>
    </row>
    <row r="6980" spans="1:12" ht="84" customHeight="1" x14ac:dyDescent="0.3">
      <c r="A6980" s="2">
        <v>6976</v>
      </c>
      <c r="B6980" s="66" t="s">
        <v>7839</v>
      </c>
      <c r="C6980" s="66" t="s">
        <v>8210</v>
      </c>
      <c r="D6980" s="11">
        <v>4879.4799999999996</v>
      </c>
      <c r="E6980" s="11">
        <v>4879.4799999999996</v>
      </c>
      <c r="F6980" s="3">
        <v>39052</v>
      </c>
      <c r="G6980" s="2"/>
      <c r="H6980" s="2"/>
      <c r="I6980" s="2"/>
      <c r="J6980" s="2" t="s">
        <v>13904</v>
      </c>
      <c r="K6980" s="2" t="s">
        <v>5657</v>
      </c>
      <c r="L6980" s="246" t="s">
        <v>22280</v>
      </c>
    </row>
    <row r="6981" spans="1:12" ht="84" customHeight="1" x14ac:dyDescent="0.3">
      <c r="A6981" s="2">
        <v>6977</v>
      </c>
      <c r="B6981" s="66" t="s">
        <v>7839</v>
      </c>
      <c r="C6981" s="66" t="s">
        <v>8211</v>
      </c>
      <c r="D6981" s="11">
        <v>4879.4799999999996</v>
      </c>
      <c r="E6981" s="11">
        <v>4879.4799999999996</v>
      </c>
      <c r="F6981" s="3">
        <v>39052</v>
      </c>
      <c r="G6981" s="2"/>
      <c r="H6981" s="2"/>
      <c r="I6981" s="2"/>
      <c r="J6981" s="2" t="s">
        <v>13904</v>
      </c>
      <c r="K6981" s="2" t="s">
        <v>5657</v>
      </c>
      <c r="L6981" s="246" t="s">
        <v>22280</v>
      </c>
    </row>
    <row r="6982" spans="1:12" ht="84" customHeight="1" x14ac:dyDescent="0.3">
      <c r="A6982" s="2">
        <v>6978</v>
      </c>
      <c r="B6982" s="66" t="s">
        <v>8212</v>
      </c>
      <c r="C6982" s="66" t="s">
        <v>4273</v>
      </c>
      <c r="D6982" s="11">
        <v>5385.7</v>
      </c>
      <c r="E6982" s="11">
        <v>5385.7</v>
      </c>
      <c r="F6982" s="3">
        <v>41873</v>
      </c>
      <c r="G6982" s="2"/>
      <c r="H6982" s="2"/>
      <c r="I6982" s="2"/>
      <c r="J6982" s="2" t="s">
        <v>13904</v>
      </c>
      <c r="K6982" s="2" t="s">
        <v>5657</v>
      </c>
      <c r="L6982" s="246" t="s">
        <v>22280</v>
      </c>
    </row>
    <row r="6983" spans="1:12" ht="84" customHeight="1" x14ac:dyDescent="0.3">
      <c r="A6983" s="2">
        <v>6979</v>
      </c>
      <c r="B6983" s="66" t="s">
        <v>8212</v>
      </c>
      <c r="C6983" s="66" t="s">
        <v>4272</v>
      </c>
      <c r="D6983" s="11">
        <v>5385.7</v>
      </c>
      <c r="E6983" s="11">
        <v>5385.7</v>
      </c>
      <c r="F6983" s="3">
        <v>41873</v>
      </c>
      <c r="G6983" s="2"/>
      <c r="H6983" s="2"/>
      <c r="I6983" s="2"/>
      <c r="J6983" s="2" t="s">
        <v>13904</v>
      </c>
      <c r="K6983" s="2" t="s">
        <v>5657</v>
      </c>
      <c r="L6983" s="246" t="s">
        <v>22280</v>
      </c>
    </row>
    <row r="6984" spans="1:12" ht="84" customHeight="1" x14ac:dyDescent="0.3">
      <c r="A6984" s="2">
        <v>6980</v>
      </c>
      <c r="B6984" s="66" t="s">
        <v>8212</v>
      </c>
      <c r="C6984" s="66" t="s">
        <v>4274</v>
      </c>
      <c r="D6984" s="11">
        <v>5385.7</v>
      </c>
      <c r="E6984" s="11">
        <v>5385.7</v>
      </c>
      <c r="F6984" s="3">
        <v>41873</v>
      </c>
      <c r="G6984" s="2"/>
      <c r="H6984" s="2"/>
      <c r="I6984" s="2"/>
      <c r="J6984" s="2" t="s">
        <v>13904</v>
      </c>
      <c r="K6984" s="2" t="s">
        <v>5657</v>
      </c>
      <c r="L6984" s="246" t="s">
        <v>22280</v>
      </c>
    </row>
    <row r="6985" spans="1:12" ht="84" customHeight="1" x14ac:dyDescent="0.3">
      <c r="A6985" s="2">
        <v>6981</v>
      </c>
      <c r="B6985" s="66" t="s">
        <v>8213</v>
      </c>
      <c r="C6985" s="66" t="s">
        <v>4271</v>
      </c>
      <c r="D6985" s="11">
        <v>4320</v>
      </c>
      <c r="E6985" s="11">
        <v>4320</v>
      </c>
      <c r="F6985" s="3">
        <v>41893</v>
      </c>
      <c r="G6985" s="2"/>
      <c r="H6985" s="2"/>
      <c r="I6985" s="2"/>
      <c r="J6985" s="2" t="s">
        <v>13904</v>
      </c>
      <c r="K6985" s="2" t="s">
        <v>5657</v>
      </c>
      <c r="L6985" s="246" t="s">
        <v>22280</v>
      </c>
    </row>
    <row r="6986" spans="1:12" ht="84" customHeight="1" x14ac:dyDescent="0.3">
      <c r="A6986" s="2">
        <v>6982</v>
      </c>
      <c r="B6986" s="66" t="s">
        <v>8213</v>
      </c>
      <c r="C6986" s="66" t="s">
        <v>4266</v>
      </c>
      <c r="D6986" s="11">
        <v>4320</v>
      </c>
      <c r="E6986" s="11">
        <v>4320</v>
      </c>
      <c r="F6986" s="3">
        <v>41893</v>
      </c>
      <c r="G6986" s="2"/>
      <c r="H6986" s="2"/>
      <c r="I6986" s="2"/>
      <c r="J6986" s="2" t="s">
        <v>13904</v>
      </c>
      <c r="K6986" s="2" t="s">
        <v>5657</v>
      </c>
      <c r="L6986" s="246" t="s">
        <v>22280</v>
      </c>
    </row>
    <row r="6987" spans="1:12" ht="84" customHeight="1" x14ac:dyDescent="0.3">
      <c r="A6987" s="2">
        <v>6983</v>
      </c>
      <c r="B6987" s="66" t="s">
        <v>8214</v>
      </c>
      <c r="C6987" s="66" t="s">
        <v>5072</v>
      </c>
      <c r="D6987" s="11">
        <v>22339.759999999998</v>
      </c>
      <c r="E6987" s="11">
        <v>22339.759999999998</v>
      </c>
      <c r="F6987" s="3">
        <v>41240</v>
      </c>
      <c r="G6987" s="2"/>
      <c r="H6987" s="2"/>
      <c r="I6987" s="2"/>
      <c r="J6987" s="2" t="s">
        <v>13904</v>
      </c>
      <c r="K6987" s="2" t="s">
        <v>5657</v>
      </c>
      <c r="L6987" s="246" t="s">
        <v>22280</v>
      </c>
    </row>
    <row r="6988" spans="1:12" ht="84" customHeight="1" x14ac:dyDescent="0.3">
      <c r="A6988" s="2">
        <v>6984</v>
      </c>
      <c r="B6988" s="66" t="s">
        <v>8214</v>
      </c>
      <c r="C6988" s="66" t="s">
        <v>5315</v>
      </c>
      <c r="D6988" s="11">
        <v>22339.759999999998</v>
      </c>
      <c r="E6988" s="11">
        <v>22339.759999999998</v>
      </c>
      <c r="F6988" s="3">
        <v>41240</v>
      </c>
      <c r="G6988" s="2"/>
      <c r="H6988" s="2"/>
      <c r="I6988" s="2"/>
      <c r="J6988" s="2" t="s">
        <v>13904</v>
      </c>
      <c r="K6988" s="2" t="s">
        <v>5657</v>
      </c>
      <c r="L6988" s="246" t="s">
        <v>22280</v>
      </c>
    </row>
    <row r="6989" spans="1:12" ht="84" customHeight="1" x14ac:dyDescent="0.3">
      <c r="A6989" s="2">
        <v>6985</v>
      </c>
      <c r="B6989" s="66" t="s">
        <v>7235</v>
      </c>
      <c r="C6989" s="66" t="s">
        <v>3241</v>
      </c>
      <c r="D6989" s="11">
        <v>6800</v>
      </c>
      <c r="E6989" s="11">
        <v>6800</v>
      </c>
      <c r="F6989" s="3">
        <v>41240</v>
      </c>
      <c r="G6989" s="2"/>
      <c r="H6989" s="2"/>
      <c r="I6989" s="2"/>
      <c r="J6989" s="2" t="s">
        <v>13904</v>
      </c>
      <c r="K6989" s="2" t="s">
        <v>5657</v>
      </c>
      <c r="L6989" s="246" t="s">
        <v>22280</v>
      </c>
    </row>
    <row r="6990" spans="1:12" ht="84" customHeight="1" x14ac:dyDescent="0.3">
      <c r="A6990" s="2">
        <v>6986</v>
      </c>
      <c r="B6990" s="66" t="s">
        <v>8215</v>
      </c>
      <c r="C6990" s="66" t="s">
        <v>3242</v>
      </c>
      <c r="D6990" s="11">
        <v>5000.49</v>
      </c>
      <c r="E6990" s="11">
        <v>5000.49</v>
      </c>
      <c r="F6990" s="3">
        <v>41240</v>
      </c>
      <c r="G6990" s="2"/>
      <c r="H6990" s="2"/>
      <c r="I6990" s="2"/>
      <c r="J6990" s="2" t="s">
        <v>13904</v>
      </c>
      <c r="K6990" s="2" t="s">
        <v>5657</v>
      </c>
      <c r="L6990" s="246" t="s">
        <v>22280</v>
      </c>
    </row>
    <row r="6991" spans="1:12" ht="84" customHeight="1" x14ac:dyDescent="0.3">
      <c r="A6991" s="2">
        <v>6987</v>
      </c>
      <c r="B6991" s="66" t="s">
        <v>8216</v>
      </c>
      <c r="C6991" s="66" t="s">
        <v>4486</v>
      </c>
      <c r="D6991" s="11">
        <v>8050</v>
      </c>
      <c r="E6991" s="11">
        <v>8050</v>
      </c>
      <c r="F6991" s="3">
        <v>41838</v>
      </c>
      <c r="G6991" s="2"/>
      <c r="H6991" s="2"/>
      <c r="I6991" s="2"/>
      <c r="J6991" s="2" t="s">
        <v>13904</v>
      </c>
      <c r="K6991" s="2" t="s">
        <v>5657</v>
      </c>
      <c r="L6991" s="246" t="s">
        <v>22280</v>
      </c>
    </row>
    <row r="6992" spans="1:12" ht="84" customHeight="1" x14ac:dyDescent="0.3">
      <c r="A6992" s="2">
        <v>6988</v>
      </c>
      <c r="B6992" s="66" t="s">
        <v>7737</v>
      </c>
      <c r="C6992" s="66" t="s">
        <v>8217</v>
      </c>
      <c r="D6992" s="11">
        <v>3111.56</v>
      </c>
      <c r="E6992" s="11">
        <v>3111.56</v>
      </c>
      <c r="F6992" s="3">
        <v>39052</v>
      </c>
      <c r="G6992" s="2"/>
      <c r="H6992" s="2"/>
      <c r="I6992" s="2"/>
      <c r="J6992" s="2" t="s">
        <v>13904</v>
      </c>
      <c r="K6992" s="2" t="s">
        <v>5657</v>
      </c>
      <c r="L6992" s="246" t="s">
        <v>22280</v>
      </c>
    </row>
    <row r="6993" spans="1:12" ht="84" customHeight="1" x14ac:dyDescent="0.3">
      <c r="A6993" s="2">
        <v>6989</v>
      </c>
      <c r="B6993" s="66" t="s">
        <v>7737</v>
      </c>
      <c r="C6993" s="66" t="s">
        <v>8218</v>
      </c>
      <c r="D6993" s="11">
        <v>3111.56</v>
      </c>
      <c r="E6993" s="11">
        <v>3111.56</v>
      </c>
      <c r="F6993" s="3">
        <v>39052</v>
      </c>
      <c r="G6993" s="2"/>
      <c r="H6993" s="2"/>
      <c r="I6993" s="2"/>
      <c r="J6993" s="2" t="s">
        <v>13904</v>
      </c>
      <c r="K6993" s="2" t="s">
        <v>5657</v>
      </c>
      <c r="L6993" s="246" t="s">
        <v>22280</v>
      </c>
    </row>
    <row r="6994" spans="1:12" ht="84" customHeight="1" x14ac:dyDescent="0.3">
      <c r="A6994" s="2">
        <v>6990</v>
      </c>
      <c r="B6994" s="66" t="s">
        <v>7839</v>
      </c>
      <c r="C6994" s="66" t="s">
        <v>8219</v>
      </c>
      <c r="D6994" s="11">
        <v>3111.42</v>
      </c>
      <c r="E6994" s="11">
        <v>3111.42</v>
      </c>
      <c r="F6994" s="3">
        <v>39052</v>
      </c>
      <c r="G6994" s="2"/>
      <c r="H6994" s="2"/>
      <c r="I6994" s="2"/>
      <c r="J6994" s="2" t="s">
        <v>13904</v>
      </c>
      <c r="K6994" s="2" t="s">
        <v>5657</v>
      </c>
      <c r="L6994" s="246" t="s">
        <v>22280</v>
      </c>
    </row>
    <row r="6995" spans="1:12" ht="84" customHeight="1" x14ac:dyDescent="0.3">
      <c r="A6995" s="2">
        <v>6991</v>
      </c>
      <c r="B6995" s="66" t="s">
        <v>7839</v>
      </c>
      <c r="C6995" s="66" t="s">
        <v>8220</v>
      </c>
      <c r="D6995" s="11">
        <v>3111.42</v>
      </c>
      <c r="E6995" s="11">
        <v>3111.42</v>
      </c>
      <c r="F6995" s="3">
        <v>39052</v>
      </c>
      <c r="G6995" s="2"/>
      <c r="H6995" s="2"/>
      <c r="I6995" s="2"/>
      <c r="J6995" s="2" t="s">
        <v>13904</v>
      </c>
      <c r="K6995" s="2" t="s">
        <v>5657</v>
      </c>
      <c r="L6995" s="246" t="s">
        <v>22280</v>
      </c>
    </row>
    <row r="6996" spans="1:12" ht="84" customHeight="1" x14ac:dyDescent="0.3">
      <c r="A6996" s="2">
        <v>6992</v>
      </c>
      <c r="B6996" s="66" t="s">
        <v>7839</v>
      </c>
      <c r="C6996" s="66" t="s">
        <v>8221</v>
      </c>
      <c r="D6996" s="11">
        <v>3111.42</v>
      </c>
      <c r="E6996" s="11">
        <v>3111.42</v>
      </c>
      <c r="F6996" s="3">
        <v>39052</v>
      </c>
      <c r="G6996" s="2"/>
      <c r="H6996" s="2"/>
      <c r="I6996" s="2"/>
      <c r="J6996" s="2" t="s">
        <v>13904</v>
      </c>
      <c r="K6996" s="2" t="s">
        <v>5657</v>
      </c>
      <c r="L6996" s="246" t="s">
        <v>22280</v>
      </c>
    </row>
    <row r="6997" spans="1:12" ht="84" customHeight="1" x14ac:dyDescent="0.3">
      <c r="A6997" s="2">
        <v>6993</v>
      </c>
      <c r="B6997" s="66" t="s">
        <v>6952</v>
      </c>
      <c r="C6997" s="66" t="s">
        <v>8222</v>
      </c>
      <c r="D6997" s="11">
        <v>7298.34</v>
      </c>
      <c r="E6997" s="11">
        <v>7298.34</v>
      </c>
      <c r="F6997" s="3">
        <v>39065</v>
      </c>
      <c r="G6997" s="2"/>
      <c r="H6997" s="2"/>
      <c r="I6997" s="2"/>
      <c r="J6997" s="2" t="s">
        <v>13904</v>
      </c>
      <c r="K6997" s="2" t="s">
        <v>5657</v>
      </c>
      <c r="L6997" s="246" t="s">
        <v>22280</v>
      </c>
    </row>
    <row r="6998" spans="1:12" ht="84" customHeight="1" x14ac:dyDescent="0.3">
      <c r="A6998" s="2">
        <v>6994</v>
      </c>
      <c r="B6998" s="66" t="s">
        <v>8223</v>
      </c>
      <c r="C6998" s="66" t="s">
        <v>8224</v>
      </c>
      <c r="D6998" s="11">
        <v>9478.86</v>
      </c>
      <c r="E6998" s="11">
        <v>9478.86</v>
      </c>
      <c r="F6998" s="3">
        <v>39052</v>
      </c>
      <c r="G6998" s="2"/>
      <c r="H6998" s="2"/>
      <c r="I6998" s="2"/>
      <c r="J6998" s="2" t="s">
        <v>13904</v>
      </c>
      <c r="K6998" s="2" t="s">
        <v>5657</v>
      </c>
      <c r="L6998" s="246" t="s">
        <v>22280</v>
      </c>
    </row>
    <row r="6999" spans="1:12" ht="84" customHeight="1" x14ac:dyDescent="0.3">
      <c r="A6999" s="2">
        <v>6995</v>
      </c>
      <c r="B6999" s="66" t="s">
        <v>8225</v>
      </c>
      <c r="C6999" s="66" t="s">
        <v>8226</v>
      </c>
      <c r="D6999" s="11">
        <v>26528.62</v>
      </c>
      <c r="E6999" s="11">
        <v>26528.62</v>
      </c>
      <c r="F6999" s="3">
        <v>39052</v>
      </c>
      <c r="G6999" s="2"/>
      <c r="H6999" s="2"/>
      <c r="I6999" s="2"/>
      <c r="J6999" s="2" t="s">
        <v>13904</v>
      </c>
      <c r="K6999" s="2" t="s">
        <v>5657</v>
      </c>
      <c r="L6999" s="246" t="s">
        <v>22280</v>
      </c>
    </row>
    <row r="7000" spans="1:12" ht="84" customHeight="1" x14ac:dyDescent="0.3">
      <c r="A7000" s="2">
        <v>6996</v>
      </c>
      <c r="B7000" s="66" t="s">
        <v>8227</v>
      </c>
      <c r="C7000" s="66" t="s">
        <v>8228</v>
      </c>
      <c r="D7000" s="11">
        <v>7190.6</v>
      </c>
      <c r="E7000" s="11">
        <v>7190.6</v>
      </c>
      <c r="F7000" s="3">
        <v>39065</v>
      </c>
      <c r="G7000" s="2"/>
      <c r="H7000" s="2"/>
      <c r="I7000" s="2"/>
      <c r="J7000" s="2" t="s">
        <v>13904</v>
      </c>
      <c r="K7000" s="2" t="s">
        <v>5657</v>
      </c>
      <c r="L7000" s="246" t="s">
        <v>22280</v>
      </c>
    </row>
    <row r="7001" spans="1:12" ht="84" customHeight="1" x14ac:dyDescent="0.3">
      <c r="A7001" s="2">
        <v>6997</v>
      </c>
      <c r="B7001" s="66" t="s">
        <v>6993</v>
      </c>
      <c r="C7001" s="66" t="s">
        <v>8229</v>
      </c>
      <c r="D7001" s="11">
        <v>7190.6</v>
      </c>
      <c r="E7001" s="11">
        <v>7190.6</v>
      </c>
      <c r="F7001" s="3">
        <v>39065</v>
      </c>
      <c r="G7001" s="2"/>
      <c r="H7001" s="2"/>
      <c r="I7001" s="2"/>
      <c r="J7001" s="2" t="s">
        <v>13904</v>
      </c>
      <c r="K7001" s="2" t="s">
        <v>5657</v>
      </c>
      <c r="L7001" s="246" t="s">
        <v>22280</v>
      </c>
    </row>
    <row r="7002" spans="1:12" ht="84" customHeight="1" x14ac:dyDescent="0.3">
      <c r="A7002" s="2">
        <v>6998</v>
      </c>
      <c r="B7002" s="66" t="s">
        <v>6993</v>
      </c>
      <c r="C7002" s="66" t="s">
        <v>8230</v>
      </c>
      <c r="D7002" s="11">
        <v>7190.6</v>
      </c>
      <c r="E7002" s="11">
        <v>7190.6</v>
      </c>
      <c r="F7002" s="3">
        <v>39065</v>
      </c>
      <c r="G7002" s="2"/>
      <c r="H7002" s="2"/>
      <c r="I7002" s="2"/>
      <c r="J7002" s="2" t="s">
        <v>13904</v>
      </c>
      <c r="K7002" s="2" t="s">
        <v>5657</v>
      </c>
      <c r="L7002" s="246" t="s">
        <v>22280</v>
      </c>
    </row>
    <row r="7003" spans="1:12" ht="84" customHeight="1" x14ac:dyDescent="0.3">
      <c r="A7003" s="2">
        <v>6999</v>
      </c>
      <c r="B7003" s="66" t="s">
        <v>6993</v>
      </c>
      <c r="C7003" s="66" t="s">
        <v>8231</v>
      </c>
      <c r="D7003" s="11">
        <v>7190.6</v>
      </c>
      <c r="E7003" s="11">
        <v>7190.6</v>
      </c>
      <c r="F7003" s="3">
        <v>39065</v>
      </c>
      <c r="G7003" s="2"/>
      <c r="H7003" s="2"/>
      <c r="I7003" s="2"/>
      <c r="J7003" s="2" t="s">
        <v>13904</v>
      </c>
      <c r="K7003" s="2" t="s">
        <v>5657</v>
      </c>
      <c r="L7003" s="246" t="s">
        <v>22280</v>
      </c>
    </row>
    <row r="7004" spans="1:12" ht="84" customHeight="1" x14ac:dyDescent="0.3">
      <c r="A7004" s="2">
        <v>7000</v>
      </c>
      <c r="B7004" s="66" t="s">
        <v>6993</v>
      </c>
      <c r="C7004" s="66" t="s">
        <v>8232</v>
      </c>
      <c r="D7004" s="11">
        <v>7190.6</v>
      </c>
      <c r="E7004" s="11">
        <v>7190.6</v>
      </c>
      <c r="F7004" s="3">
        <v>39065</v>
      </c>
      <c r="G7004" s="2"/>
      <c r="H7004" s="2"/>
      <c r="I7004" s="2"/>
      <c r="J7004" s="2" t="s">
        <v>13904</v>
      </c>
      <c r="K7004" s="2" t="s">
        <v>5657</v>
      </c>
      <c r="L7004" s="246" t="s">
        <v>22280</v>
      </c>
    </row>
    <row r="7005" spans="1:12" ht="84" customHeight="1" x14ac:dyDescent="0.3">
      <c r="A7005" s="2">
        <v>7001</v>
      </c>
      <c r="B7005" s="66" t="s">
        <v>6993</v>
      </c>
      <c r="C7005" s="66" t="s">
        <v>8233</v>
      </c>
      <c r="D7005" s="11">
        <v>7190.6</v>
      </c>
      <c r="E7005" s="11">
        <v>7190.6</v>
      </c>
      <c r="F7005" s="3">
        <v>39065</v>
      </c>
      <c r="G7005" s="2"/>
      <c r="H7005" s="2"/>
      <c r="I7005" s="2"/>
      <c r="J7005" s="2" t="s">
        <v>13904</v>
      </c>
      <c r="K7005" s="2" t="s">
        <v>5657</v>
      </c>
      <c r="L7005" s="246" t="s">
        <v>22280</v>
      </c>
    </row>
    <row r="7006" spans="1:12" ht="84" customHeight="1" x14ac:dyDescent="0.3">
      <c r="A7006" s="2">
        <v>7002</v>
      </c>
      <c r="B7006" s="66" t="s">
        <v>6993</v>
      </c>
      <c r="C7006" s="66" t="s">
        <v>8234</v>
      </c>
      <c r="D7006" s="11">
        <v>7190.6</v>
      </c>
      <c r="E7006" s="11">
        <v>7190.6</v>
      </c>
      <c r="F7006" s="3">
        <v>39065</v>
      </c>
      <c r="G7006" s="2"/>
      <c r="H7006" s="2"/>
      <c r="I7006" s="2"/>
      <c r="J7006" s="2" t="s">
        <v>13904</v>
      </c>
      <c r="K7006" s="2" t="s">
        <v>5657</v>
      </c>
      <c r="L7006" s="246" t="s">
        <v>22280</v>
      </c>
    </row>
    <row r="7007" spans="1:12" ht="84" customHeight="1" x14ac:dyDescent="0.3">
      <c r="A7007" s="2">
        <v>7003</v>
      </c>
      <c r="B7007" s="66" t="s">
        <v>6456</v>
      </c>
      <c r="C7007" s="66" t="s">
        <v>8235</v>
      </c>
      <c r="D7007" s="11">
        <v>4965.99</v>
      </c>
      <c r="E7007" s="11">
        <v>4965.99</v>
      </c>
      <c r="F7007" s="3">
        <v>39149</v>
      </c>
      <c r="G7007" s="2"/>
      <c r="H7007" s="2"/>
      <c r="I7007" s="2"/>
      <c r="J7007" s="2" t="s">
        <v>13904</v>
      </c>
      <c r="K7007" s="2" t="s">
        <v>5657</v>
      </c>
      <c r="L7007" s="246" t="s">
        <v>22280</v>
      </c>
    </row>
    <row r="7008" spans="1:12" ht="84" customHeight="1" x14ac:dyDescent="0.3">
      <c r="A7008" s="2">
        <v>7004</v>
      </c>
      <c r="B7008" s="66" t="s">
        <v>1636</v>
      </c>
      <c r="C7008" s="66" t="s">
        <v>8236</v>
      </c>
      <c r="D7008" s="11">
        <v>9144</v>
      </c>
      <c r="E7008" s="11">
        <v>9144</v>
      </c>
      <c r="F7008" s="3">
        <v>39142</v>
      </c>
      <c r="G7008" s="2"/>
      <c r="H7008" s="2"/>
      <c r="I7008" s="2"/>
      <c r="J7008" s="2" t="s">
        <v>13904</v>
      </c>
      <c r="K7008" s="2" t="s">
        <v>5657</v>
      </c>
      <c r="L7008" s="246" t="s">
        <v>22280</v>
      </c>
    </row>
    <row r="7009" spans="1:12" ht="84" customHeight="1" x14ac:dyDescent="0.3">
      <c r="A7009" s="2">
        <v>7005</v>
      </c>
      <c r="B7009" s="66" t="s">
        <v>8237</v>
      </c>
      <c r="C7009" s="66" t="s">
        <v>8238</v>
      </c>
      <c r="D7009" s="11">
        <v>4284</v>
      </c>
      <c r="E7009" s="11">
        <v>4284</v>
      </c>
      <c r="F7009" s="3">
        <v>39052</v>
      </c>
      <c r="G7009" s="2"/>
      <c r="H7009" s="2"/>
      <c r="I7009" s="2"/>
      <c r="J7009" s="2" t="s">
        <v>13904</v>
      </c>
      <c r="K7009" s="2" t="s">
        <v>5657</v>
      </c>
      <c r="L7009" s="246" t="s">
        <v>22280</v>
      </c>
    </row>
    <row r="7010" spans="1:12" ht="84" customHeight="1" x14ac:dyDescent="0.3">
      <c r="A7010" s="2">
        <v>7006</v>
      </c>
      <c r="B7010" s="66" t="s">
        <v>8239</v>
      </c>
      <c r="C7010" s="66" t="s">
        <v>8240</v>
      </c>
      <c r="D7010" s="11">
        <v>4980.67</v>
      </c>
      <c r="E7010" s="11">
        <v>4980.67</v>
      </c>
      <c r="F7010" s="3">
        <v>39052</v>
      </c>
      <c r="G7010" s="2"/>
      <c r="H7010" s="2"/>
      <c r="I7010" s="2"/>
      <c r="J7010" s="2" t="s">
        <v>13904</v>
      </c>
      <c r="K7010" s="2" t="s">
        <v>5657</v>
      </c>
      <c r="L7010" s="246" t="s">
        <v>22280</v>
      </c>
    </row>
    <row r="7011" spans="1:12" ht="84" customHeight="1" x14ac:dyDescent="0.3">
      <c r="A7011" s="2">
        <v>7007</v>
      </c>
      <c r="B7011" s="66" t="s">
        <v>8241</v>
      </c>
      <c r="C7011" s="66" t="s">
        <v>8242</v>
      </c>
      <c r="D7011" s="11">
        <v>5015.34</v>
      </c>
      <c r="E7011" s="11">
        <v>5015.34</v>
      </c>
      <c r="F7011" s="3">
        <v>39052</v>
      </c>
      <c r="G7011" s="2"/>
      <c r="H7011" s="2"/>
      <c r="I7011" s="2"/>
      <c r="J7011" s="2" t="s">
        <v>13904</v>
      </c>
      <c r="K7011" s="2" t="s">
        <v>5657</v>
      </c>
      <c r="L7011" s="246" t="s">
        <v>22280</v>
      </c>
    </row>
    <row r="7012" spans="1:12" ht="84" customHeight="1" x14ac:dyDescent="0.3">
      <c r="A7012" s="2">
        <v>7008</v>
      </c>
      <c r="B7012" s="66" t="s">
        <v>8243</v>
      </c>
      <c r="C7012" s="66" t="s">
        <v>8244</v>
      </c>
      <c r="D7012" s="11">
        <v>14628.59</v>
      </c>
      <c r="E7012" s="11">
        <v>14628.59</v>
      </c>
      <c r="F7012" s="3">
        <v>39052</v>
      </c>
      <c r="G7012" s="2"/>
      <c r="H7012" s="2"/>
      <c r="I7012" s="2"/>
      <c r="J7012" s="2" t="s">
        <v>13904</v>
      </c>
      <c r="K7012" s="2" t="s">
        <v>5657</v>
      </c>
      <c r="L7012" s="246" t="s">
        <v>22280</v>
      </c>
    </row>
    <row r="7013" spans="1:12" ht="84" customHeight="1" x14ac:dyDescent="0.3">
      <c r="A7013" s="2">
        <v>7009</v>
      </c>
      <c r="B7013" s="66" t="s">
        <v>8243</v>
      </c>
      <c r="C7013" s="66" t="s">
        <v>8245</v>
      </c>
      <c r="D7013" s="11">
        <v>14628.59</v>
      </c>
      <c r="E7013" s="11">
        <v>14628.59</v>
      </c>
      <c r="F7013" s="3">
        <v>39052</v>
      </c>
      <c r="G7013" s="2"/>
      <c r="H7013" s="2"/>
      <c r="I7013" s="2"/>
      <c r="J7013" s="2" t="s">
        <v>13904</v>
      </c>
      <c r="K7013" s="2" t="s">
        <v>5657</v>
      </c>
      <c r="L7013" s="246" t="s">
        <v>22280</v>
      </c>
    </row>
    <row r="7014" spans="1:12" ht="84" customHeight="1" x14ac:dyDescent="0.3">
      <c r="A7014" s="2">
        <v>7010</v>
      </c>
      <c r="B7014" s="66" t="s">
        <v>8243</v>
      </c>
      <c r="C7014" s="66" t="s">
        <v>8246</v>
      </c>
      <c r="D7014" s="11">
        <v>14628.6</v>
      </c>
      <c r="E7014" s="11">
        <v>14628.6</v>
      </c>
      <c r="F7014" s="3">
        <v>39052</v>
      </c>
      <c r="G7014" s="2"/>
      <c r="H7014" s="2"/>
      <c r="I7014" s="2"/>
      <c r="J7014" s="2" t="s">
        <v>13904</v>
      </c>
      <c r="K7014" s="2" t="s">
        <v>5657</v>
      </c>
      <c r="L7014" s="246" t="s">
        <v>22280</v>
      </c>
    </row>
    <row r="7015" spans="1:12" ht="84" customHeight="1" x14ac:dyDescent="0.3">
      <c r="A7015" s="2">
        <v>7011</v>
      </c>
      <c r="B7015" s="66" t="s">
        <v>8247</v>
      </c>
      <c r="C7015" s="66" t="s">
        <v>8248</v>
      </c>
      <c r="D7015" s="11">
        <v>16707.599999999999</v>
      </c>
      <c r="E7015" s="11">
        <v>16707.599999999999</v>
      </c>
      <c r="F7015" s="3">
        <v>39052</v>
      </c>
      <c r="G7015" s="2"/>
      <c r="H7015" s="2"/>
      <c r="I7015" s="2"/>
      <c r="J7015" s="2" t="s">
        <v>13904</v>
      </c>
      <c r="K7015" s="2" t="s">
        <v>5657</v>
      </c>
      <c r="L7015" s="246" t="s">
        <v>22280</v>
      </c>
    </row>
    <row r="7016" spans="1:12" ht="84" customHeight="1" x14ac:dyDescent="0.3">
      <c r="A7016" s="2">
        <v>7012</v>
      </c>
      <c r="B7016" s="66" t="s">
        <v>8249</v>
      </c>
      <c r="C7016" s="66" t="s">
        <v>8250</v>
      </c>
      <c r="D7016" s="11">
        <v>8225.2800000000007</v>
      </c>
      <c r="E7016" s="11">
        <v>8225.2800000000007</v>
      </c>
      <c r="F7016" s="3">
        <v>39052</v>
      </c>
      <c r="G7016" s="2"/>
      <c r="H7016" s="2"/>
      <c r="I7016" s="2"/>
      <c r="J7016" s="2" t="s">
        <v>13904</v>
      </c>
      <c r="K7016" s="2" t="s">
        <v>5657</v>
      </c>
      <c r="L7016" s="246" t="s">
        <v>22280</v>
      </c>
    </row>
    <row r="7017" spans="1:12" ht="84" customHeight="1" x14ac:dyDescent="0.3">
      <c r="A7017" s="2">
        <v>7013</v>
      </c>
      <c r="B7017" s="66" t="s">
        <v>8249</v>
      </c>
      <c r="C7017" s="66" t="s">
        <v>8251</v>
      </c>
      <c r="D7017" s="11">
        <v>8225.2800000000007</v>
      </c>
      <c r="E7017" s="11">
        <v>8225.2800000000007</v>
      </c>
      <c r="F7017" s="3">
        <v>39052</v>
      </c>
      <c r="G7017" s="2"/>
      <c r="H7017" s="2"/>
      <c r="I7017" s="2"/>
      <c r="J7017" s="2" t="s">
        <v>13904</v>
      </c>
      <c r="K7017" s="2" t="s">
        <v>5657</v>
      </c>
      <c r="L7017" s="246" t="s">
        <v>22280</v>
      </c>
    </row>
    <row r="7018" spans="1:12" ht="84" customHeight="1" x14ac:dyDescent="0.3">
      <c r="A7018" s="2">
        <v>7014</v>
      </c>
      <c r="B7018" s="66" t="s">
        <v>8249</v>
      </c>
      <c r="C7018" s="66" t="s">
        <v>8252</v>
      </c>
      <c r="D7018" s="11">
        <v>8225.2900000000009</v>
      </c>
      <c r="E7018" s="11">
        <v>8225.2900000000009</v>
      </c>
      <c r="F7018" s="3">
        <v>39052</v>
      </c>
      <c r="G7018" s="2"/>
      <c r="H7018" s="2"/>
      <c r="I7018" s="2"/>
      <c r="J7018" s="2" t="s">
        <v>13904</v>
      </c>
      <c r="K7018" s="2" t="s">
        <v>5657</v>
      </c>
      <c r="L7018" s="246" t="s">
        <v>22280</v>
      </c>
    </row>
    <row r="7019" spans="1:12" ht="84" customHeight="1" x14ac:dyDescent="0.3">
      <c r="A7019" s="2">
        <v>7015</v>
      </c>
      <c r="B7019" s="66" t="s">
        <v>8253</v>
      </c>
      <c r="C7019" s="66" t="s">
        <v>8254</v>
      </c>
      <c r="D7019" s="11">
        <v>7971.3</v>
      </c>
      <c r="E7019" s="11">
        <v>7971.3</v>
      </c>
      <c r="F7019" s="3">
        <v>39052</v>
      </c>
      <c r="G7019" s="2"/>
      <c r="H7019" s="2"/>
      <c r="I7019" s="2"/>
      <c r="J7019" s="2" t="s">
        <v>13904</v>
      </c>
      <c r="K7019" s="2" t="s">
        <v>5657</v>
      </c>
      <c r="L7019" s="246" t="s">
        <v>22280</v>
      </c>
    </row>
    <row r="7020" spans="1:12" ht="84" customHeight="1" x14ac:dyDescent="0.3">
      <c r="A7020" s="2">
        <v>7016</v>
      </c>
      <c r="B7020" s="66" t="s">
        <v>8255</v>
      </c>
      <c r="C7020" s="66" t="s">
        <v>8256</v>
      </c>
      <c r="D7020" s="11">
        <v>13173.3</v>
      </c>
      <c r="E7020" s="11">
        <v>13173.3</v>
      </c>
      <c r="F7020" s="3">
        <v>39052</v>
      </c>
      <c r="G7020" s="2"/>
      <c r="H7020" s="2"/>
      <c r="I7020" s="2"/>
      <c r="J7020" s="2" t="s">
        <v>13904</v>
      </c>
      <c r="K7020" s="2" t="s">
        <v>5657</v>
      </c>
      <c r="L7020" s="246" t="s">
        <v>22280</v>
      </c>
    </row>
    <row r="7021" spans="1:12" ht="84" customHeight="1" x14ac:dyDescent="0.3">
      <c r="A7021" s="2">
        <v>7017</v>
      </c>
      <c r="B7021" s="66" t="s">
        <v>8257</v>
      </c>
      <c r="C7021" s="66" t="s">
        <v>8258</v>
      </c>
      <c r="D7021" s="11">
        <v>8418.16</v>
      </c>
      <c r="E7021" s="11">
        <v>8418.16</v>
      </c>
      <c r="F7021" s="3">
        <v>39052</v>
      </c>
      <c r="G7021" s="2"/>
      <c r="H7021" s="2"/>
      <c r="I7021" s="2"/>
      <c r="J7021" s="2" t="s">
        <v>13904</v>
      </c>
      <c r="K7021" s="2" t="s">
        <v>5657</v>
      </c>
      <c r="L7021" s="246" t="s">
        <v>22280</v>
      </c>
    </row>
    <row r="7022" spans="1:12" ht="84" customHeight="1" x14ac:dyDescent="0.3">
      <c r="A7022" s="2">
        <v>7018</v>
      </c>
      <c r="B7022" s="66" t="s">
        <v>8259</v>
      </c>
      <c r="C7022" s="66" t="s">
        <v>8260</v>
      </c>
      <c r="D7022" s="11">
        <v>4883.76</v>
      </c>
      <c r="E7022" s="11">
        <v>4883.76</v>
      </c>
      <c r="F7022" s="3">
        <v>39052</v>
      </c>
      <c r="G7022" s="2"/>
      <c r="H7022" s="2"/>
      <c r="I7022" s="2"/>
      <c r="J7022" s="2" t="s">
        <v>13904</v>
      </c>
      <c r="K7022" s="2" t="s">
        <v>5657</v>
      </c>
      <c r="L7022" s="246" t="s">
        <v>22280</v>
      </c>
    </row>
    <row r="7023" spans="1:12" ht="84" customHeight="1" x14ac:dyDescent="0.3">
      <c r="A7023" s="2">
        <v>7019</v>
      </c>
      <c r="B7023" s="66" t="s">
        <v>8261</v>
      </c>
      <c r="C7023" s="66" t="s">
        <v>8262</v>
      </c>
      <c r="D7023" s="11">
        <v>15355.1</v>
      </c>
      <c r="E7023" s="11">
        <v>15355.1</v>
      </c>
      <c r="F7023" s="3">
        <v>39052</v>
      </c>
      <c r="G7023" s="2"/>
      <c r="H7023" s="2"/>
      <c r="I7023" s="2"/>
      <c r="J7023" s="2" t="s">
        <v>13904</v>
      </c>
      <c r="K7023" s="2" t="s">
        <v>5657</v>
      </c>
      <c r="L7023" s="246" t="s">
        <v>22280</v>
      </c>
    </row>
    <row r="7024" spans="1:12" ht="84" customHeight="1" x14ac:dyDescent="0.3">
      <c r="A7024" s="2">
        <v>7020</v>
      </c>
      <c r="B7024" s="66" t="s">
        <v>8261</v>
      </c>
      <c r="C7024" s="66" t="s">
        <v>8263</v>
      </c>
      <c r="D7024" s="11">
        <v>15355</v>
      </c>
      <c r="E7024" s="11">
        <v>15355</v>
      </c>
      <c r="F7024" s="3">
        <v>39052</v>
      </c>
      <c r="G7024" s="2"/>
      <c r="H7024" s="2"/>
      <c r="I7024" s="2"/>
      <c r="J7024" s="2" t="s">
        <v>13904</v>
      </c>
      <c r="K7024" s="2" t="s">
        <v>5657</v>
      </c>
      <c r="L7024" s="246" t="s">
        <v>22280</v>
      </c>
    </row>
    <row r="7025" spans="1:12" ht="84" customHeight="1" x14ac:dyDescent="0.3">
      <c r="A7025" s="2">
        <v>7021</v>
      </c>
      <c r="B7025" s="66" t="s">
        <v>8264</v>
      </c>
      <c r="C7025" s="66" t="s">
        <v>8265</v>
      </c>
      <c r="D7025" s="11">
        <v>15355.1</v>
      </c>
      <c r="E7025" s="11">
        <v>15355.1</v>
      </c>
      <c r="F7025" s="3">
        <v>39052</v>
      </c>
      <c r="G7025" s="2"/>
      <c r="H7025" s="2"/>
      <c r="I7025" s="2"/>
      <c r="J7025" s="2" t="s">
        <v>13904</v>
      </c>
      <c r="K7025" s="2" t="s">
        <v>5657</v>
      </c>
      <c r="L7025" s="246" t="s">
        <v>22280</v>
      </c>
    </row>
    <row r="7026" spans="1:12" ht="84" customHeight="1" x14ac:dyDescent="0.3">
      <c r="A7026" s="2">
        <v>7022</v>
      </c>
      <c r="B7026" s="66" t="s">
        <v>8264</v>
      </c>
      <c r="C7026" s="66" t="s">
        <v>8266</v>
      </c>
      <c r="D7026" s="11">
        <v>15355.1</v>
      </c>
      <c r="E7026" s="11">
        <v>15355.1</v>
      </c>
      <c r="F7026" s="3">
        <v>39052</v>
      </c>
      <c r="G7026" s="2"/>
      <c r="H7026" s="2"/>
      <c r="I7026" s="2"/>
      <c r="J7026" s="2" t="s">
        <v>13904</v>
      </c>
      <c r="K7026" s="2" t="s">
        <v>5657</v>
      </c>
      <c r="L7026" s="246" t="s">
        <v>22280</v>
      </c>
    </row>
    <row r="7027" spans="1:12" ht="84" customHeight="1" x14ac:dyDescent="0.3">
      <c r="A7027" s="2">
        <v>7023</v>
      </c>
      <c r="B7027" s="66" t="s">
        <v>8267</v>
      </c>
      <c r="C7027" s="66" t="s">
        <v>8268</v>
      </c>
      <c r="D7027" s="11">
        <v>9864.42</v>
      </c>
      <c r="E7027" s="11">
        <v>9864.42</v>
      </c>
      <c r="F7027" s="3">
        <v>39052</v>
      </c>
      <c r="G7027" s="2"/>
      <c r="H7027" s="2"/>
      <c r="I7027" s="2"/>
      <c r="J7027" s="2" t="s">
        <v>13904</v>
      </c>
      <c r="K7027" s="2" t="s">
        <v>5657</v>
      </c>
      <c r="L7027" s="246" t="s">
        <v>22280</v>
      </c>
    </row>
    <row r="7028" spans="1:12" ht="84" customHeight="1" x14ac:dyDescent="0.3">
      <c r="A7028" s="2">
        <v>7024</v>
      </c>
      <c r="B7028" s="66" t="s">
        <v>8269</v>
      </c>
      <c r="C7028" s="66" t="s">
        <v>8270</v>
      </c>
      <c r="D7028" s="11">
        <v>15355.1</v>
      </c>
      <c r="E7028" s="11">
        <v>15355.1</v>
      </c>
      <c r="F7028" s="3">
        <v>39052</v>
      </c>
      <c r="G7028" s="2"/>
      <c r="H7028" s="2"/>
      <c r="I7028" s="2"/>
      <c r="J7028" s="2" t="s">
        <v>13904</v>
      </c>
      <c r="K7028" s="2" t="s">
        <v>5657</v>
      </c>
      <c r="L7028" s="246" t="s">
        <v>22280</v>
      </c>
    </row>
    <row r="7029" spans="1:12" ht="84" customHeight="1" x14ac:dyDescent="0.3">
      <c r="A7029" s="2">
        <v>7025</v>
      </c>
      <c r="B7029" s="66" t="s">
        <v>8271</v>
      </c>
      <c r="C7029" s="66" t="s">
        <v>8272</v>
      </c>
      <c r="D7029" s="11">
        <v>7971.3</v>
      </c>
      <c r="E7029" s="11">
        <v>7971.3</v>
      </c>
      <c r="F7029" s="3">
        <v>39052</v>
      </c>
      <c r="G7029" s="2"/>
      <c r="H7029" s="2"/>
      <c r="I7029" s="2"/>
      <c r="J7029" s="2" t="s">
        <v>13904</v>
      </c>
      <c r="K7029" s="2" t="s">
        <v>5657</v>
      </c>
      <c r="L7029" s="246" t="s">
        <v>22280</v>
      </c>
    </row>
    <row r="7030" spans="1:12" ht="84" customHeight="1" x14ac:dyDescent="0.3">
      <c r="A7030" s="2">
        <v>7026</v>
      </c>
      <c r="B7030" s="66" t="s">
        <v>8271</v>
      </c>
      <c r="C7030" s="66" t="s">
        <v>8273</v>
      </c>
      <c r="D7030" s="11">
        <v>7971.29</v>
      </c>
      <c r="E7030" s="11">
        <v>7971.29</v>
      </c>
      <c r="F7030" s="3">
        <v>39052</v>
      </c>
      <c r="G7030" s="2"/>
      <c r="H7030" s="2"/>
      <c r="I7030" s="2"/>
      <c r="J7030" s="2" t="s">
        <v>13904</v>
      </c>
      <c r="K7030" s="2" t="s">
        <v>5657</v>
      </c>
      <c r="L7030" s="246" t="s">
        <v>22280</v>
      </c>
    </row>
    <row r="7031" spans="1:12" ht="84" customHeight="1" x14ac:dyDescent="0.3">
      <c r="A7031" s="2">
        <v>7027</v>
      </c>
      <c r="B7031" s="66" t="s">
        <v>8274</v>
      </c>
      <c r="C7031" s="66" t="s">
        <v>8275</v>
      </c>
      <c r="D7031" s="11">
        <v>15355.1</v>
      </c>
      <c r="E7031" s="11">
        <v>15355.1</v>
      </c>
      <c r="F7031" s="3">
        <v>39052</v>
      </c>
      <c r="G7031" s="2"/>
      <c r="H7031" s="2"/>
      <c r="I7031" s="2"/>
      <c r="J7031" s="2" t="s">
        <v>13904</v>
      </c>
      <c r="K7031" s="2" t="s">
        <v>5657</v>
      </c>
      <c r="L7031" s="246" t="s">
        <v>22280</v>
      </c>
    </row>
    <row r="7032" spans="1:12" ht="84" customHeight="1" x14ac:dyDescent="0.3">
      <c r="A7032" s="2">
        <v>7028</v>
      </c>
      <c r="B7032" s="66" t="s">
        <v>8276</v>
      </c>
      <c r="C7032" s="66" t="s">
        <v>8277</v>
      </c>
      <c r="D7032" s="11">
        <v>7971.3</v>
      </c>
      <c r="E7032" s="11">
        <v>7971.3</v>
      </c>
      <c r="F7032" s="3">
        <v>39052</v>
      </c>
      <c r="G7032" s="2"/>
      <c r="H7032" s="2"/>
      <c r="I7032" s="2"/>
      <c r="J7032" s="2" t="s">
        <v>13904</v>
      </c>
      <c r="K7032" s="2" t="s">
        <v>5657</v>
      </c>
      <c r="L7032" s="246" t="s">
        <v>22280</v>
      </c>
    </row>
    <row r="7033" spans="1:12" ht="84" customHeight="1" x14ac:dyDescent="0.3">
      <c r="A7033" s="2">
        <v>7029</v>
      </c>
      <c r="B7033" s="66" t="s">
        <v>8276</v>
      </c>
      <c r="C7033" s="66" t="s">
        <v>8278</v>
      </c>
      <c r="D7033" s="11">
        <v>7971.3</v>
      </c>
      <c r="E7033" s="11">
        <v>7971.3</v>
      </c>
      <c r="F7033" s="3">
        <v>39052</v>
      </c>
      <c r="G7033" s="2"/>
      <c r="H7033" s="2"/>
      <c r="I7033" s="2"/>
      <c r="J7033" s="2" t="s">
        <v>13904</v>
      </c>
      <c r="K7033" s="2" t="s">
        <v>5657</v>
      </c>
      <c r="L7033" s="246" t="s">
        <v>22280</v>
      </c>
    </row>
    <row r="7034" spans="1:12" ht="84" customHeight="1" x14ac:dyDescent="0.3">
      <c r="A7034" s="2">
        <v>7030</v>
      </c>
      <c r="B7034" s="66" t="s">
        <v>8276</v>
      </c>
      <c r="C7034" s="66" t="s">
        <v>8279</v>
      </c>
      <c r="D7034" s="11">
        <v>7971.3</v>
      </c>
      <c r="E7034" s="11">
        <v>7971.3</v>
      </c>
      <c r="F7034" s="3">
        <v>39052</v>
      </c>
      <c r="G7034" s="2"/>
      <c r="H7034" s="2"/>
      <c r="I7034" s="2"/>
      <c r="J7034" s="2" t="s">
        <v>13904</v>
      </c>
      <c r="K7034" s="2" t="s">
        <v>5657</v>
      </c>
      <c r="L7034" s="246" t="s">
        <v>22280</v>
      </c>
    </row>
    <row r="7035" spans="1:12" ht="84" customHeight="1" x14ac:dyDescent="0.3">
      <c r="A7035" s="2">
        <v>7031</v>
      </c>
      <c r="B7035" s="66" t="s">
        <v>8276</v>
      </c>
      <c r="C7035" s="66" t="s">
        <v>8280</v>
      </c>
      <c r="D7035" s="11">
        <v>7971.3</v>
      </c>
      <c r="E7035" s="11">
        <v>7971.3</v>
      </c>
      <c r="F7035" s="3">
        <v>39052</v>
      </c>
      <c r="G7035" s="2"/>
      <c r="H7035" s="2"/>
      <c r="I7035" s="2"/>
      <c r="J7035" s="2" t="s">
        <v>13904</v>
      </c>
      <c r="K7035" s="2" t="s">
        <v>5657</v>
      </c>
      <c r="L7035" s="246" t="s">
        <v>22280</v>
      </c>
    </row>
    <row r="7036" spans="1:12" ht="84" customHeight="1" x14ac:dyDescent="0.3">
      <c r="A7036" s="2">
        <v>7032</v>
      </c>
      <c r="B7036" s="66" t="s">
        <v>8281</v>
      </c>
      <c r="C7036" s="66" t="s">
        <v>8282</v>
      </c>
      <c r="D7036" s="11">
        <v>11797.2</v>
      </c>
      <c r="E7036" s="11">
        <v>11797.2</v>
      </c>
      <c r="F7036" s="3">
        <v>39142</v>
      </c>
      <c r="G7036" s="2"/>
      <c r="H7036" s="2"/>
      <c r="I7036" s="2"/>
      <c r="J7036" s="2" t="s">
        <v>13904</v>
      </c>
      <c r="K7036" s="2" t="s">
        <v>5657</v>
      </c>
      <c r="L7036" s="246" t="s">
        <v>22280</v>
      </c>
    </row>
    <row r="7037" spans="1:12" ht="84" customHeight="1" x14ac:dyDescent="0.3">
      <c r="A7037" s="2">
        <v>7033</v>
      </c>
      <c r="B7037" s="66" t="s">
        <v>8281</v>
      </c>
      <c r="C7037" s="66" t="s">
        <v>8283</v>
      </c>
      <c r="D7037" s="11">
        <v>11797.2</v>
      </c>
      <c r="E7037" s="11">
        <v>11797.2</v>
      </c>
      <c r="F7037" s="3">
        <v>39142</v>
      </c>
      <c r="G7037" s="2"/>
      <c r="H7037" s="2"/>
      <c r="I7037" s="2"/>
      <c r="J7037" s="2" t="s">
        <v>13904</v>
      </c>
      <c r="K7037" s="2" t="s">
        <v>5657</v>
      </c>
      <c r="L7037" s="246" t="s">
        <v>22280</v>
      </c>
    </row>
    <row r="7038" spans="1:12" ht="84" customHeight="1" x14ac:dyDescent="0.3">
      <c r="A7038" s="2">
        <v>7034</v>
      </c>
      <c r="B7038" s="66" t="s">
        <v>8284</v>
      </c>
      <c r="C7038" s="66" t="s">
        <v>8285</v>
      </c>
      <c r="D7038" s="11">
        <v>11797.2</v>
      </c>
      <c r="E7038" s="11">
        <v>11797.2</v>
      </c>
      <c r="F7038" s="3">
        <v>39142</v>
      </c>
      <c r="G7038" s="2"/>
      <c r="H7038" s="2"/>
      <c r="I7038" s="2"/>
      <c r="J7038" s="2" t="s">
        <v>13904</v>
      </c>
      <c r="K7038" s="2" t="s">
        <v>5657</v>
      </c>
      <c r="L7038" s="246" t="s">
        <v>22280</v>
      </c>
    </row>
    <row r="7039" spans="1:12" ht="84" customHeight="1" x14ac:dyDescent="0.3">
      <c r="A7039" s="2">
        <v>7035</v>
      </c>
      <c r="B7039" s="66" t="s">
        <v>6846</v>
      </c>
      <c r="C7039" s="66" t="s">
        <v>8286</v>
      </c>
      <c r="D7039" s="11">
        <v>11797.2</v>
      </c>
      <c r="E7039" s="11">
        <v>11797.2</v>
      </c>
      <c r="F7039" s="3">
        <v>39142</v>
      </c>
      <c r="G7039" s="2"/>
      <c r="H7039" s="2"/>
      <c r="I7039" s="2"/>
      <c r="J7039" s="2" t="s">
        <v>13904</v>
      </c>
      <c r="K7039" s="2" t="s">
        <v>5657</v>
      </c>
      <c r="L7039" s="246" t="s">
        <v>22280</v>
      </c>
    </row>
    <row r="7040" spans="1:12" ht="84" customHeight="1" x14ac:dyDescent="0.3">
      <c r="A7040" s="2">
        <v>7036</v>
      </c>
      <c r="B7040" s="66" t="s">
        <v>6846</v>
      </c>
      <c r="C7040" s="66" t="s">
        <v>8287</v>
      </c>
      <c r="D7040" s="11">
        <v>11797.2</v>
      </c>
      <c r="E7040" s="11">
        <v>11797.2</v>
      </c>
      <c r="F7040" s="3">
        <v>39142</v>
      </c>
      <c r="G7040" s="2"/>
      <c r="H7040" s="2"/>
      <c r="I7040" s="2"/>
      <c r="J7040" s="2" t="s">
        <v>13904</v>
      </c>
      <c r="K7040" s="2" t="s">
        <v>5657</v>
      </c>
      <c r="L7040" s="246" t="s">
        <v>22280</v>
      </c>
    </row>
    <row r="7041" spans="1:12" ht="84" customHeight="1" x14ac:dyDescent="0.3">
      <c r="A7041" s="2">
        <v>7037</v>
      </c>
      <c r="B7041" s="66" t="s">
        <v>6846</v>
      </c>
      <c r="C7041" s="66" t="s">
        <v>8288</v>
      </c>
      <c r="D7041" s="11">
        <v>11797.2</v>
      </c>
      <c r="E7041" s="11">
        <v>11797.2</v>
      </c>
      <c r="F7041" s="3">
        <v>39142</v>
      </c>
      <c r="G7041" s="2"/>
      <c r="H7041" s="2"/>
      <c r="I7041" s="2"/>
      <c r="J7041" s="2" t="s">
        <v>13904</v>
      </c>
      <c r="K7041" s="2" t="s">
        <v>5657</v>
      </c>
      <c r="L7041" s="246" t="s">
        <v>22280</v>
      </c>
    </row>
    <row r="7042" spans="1:12" ht="84" customHeight="1" x14ac:dyDescent="0.3">
      <c r="A7042" s="2">
        <v>7038</v>
      </c>
      <c r="B7042" s="66" t="s">
        <v>8289</v>
      </c>
      <c r="C7042" s="66" t="s">
        <v>8290</v>
      </c>
      <c r="D7042" s="11">
        <v>14844.06</v>
      </c>
      <c r="E7042" s="11">
        <v>14844.06</v>
      </c>
      <c r="F7042" s="3">
        <v>39052</v>
      </c>
      <c r="G7042" s="2"/>
      <c r="H7042" s="2"/>
      <c r="I7042" s="2"/>
      <c r="J7042" s="2" t="s">
        <v>13904</v>
      </c>
      <c r="K7042" s="2" t="s">
        <v>5657</v>
      </c>
      <c r="L7042" s="246" t="s">
        <v>22280</v>
      </c>
    </row>
    <row r="7043" spans="1:12" ht="84" customHeight="1" x14ac:dyDescent="0.3">
      <c r="A7043" s="2">
        <v>7039</v>
      </c>
      <c r="B7043" s="66" t="s">
        <v>8289</v>
      </c>
      <c r="C7043" s="66" t="s">
        <v>8291</v>
      </c>
      <c r="D7043" s="11">
        <v>14844.06</v>
      </c>
      <c r="E7043" s="11">
        <v>14844.06</v>
      </c>
      <c r="F7043" s="3">
        <v>39052</v>
      </c>
      <c r="G7043" s="2"/>
      <c r="H7043" s="2"/>
      <c r="I7043" s="2"/>
      <c r="J7043" s="2" t="s">
        <v>13904</v>
      </c>
      <c r="K7043" s="2" t="s">
        <v>5657</v>
      </c>
      <c r="L7043" s="246" t="s">
        <v>22280</v>
      </c>
    </row>
    <row r="7044" spans="1:12" ht="84" customHeight="1" x14ac:dyDescent="0.3">
      <c r="A7044" s="2">
        <v>7040</v>
      </c>
      <c r="B7044" s="66" t="s">
        <v>8292</v>
      </c>
      <c r="C7044" s="66" t="s">
        <v>8293</v>
      </c>
      <c r="D7044" s="11">
        <v>14844.06</v>
      </c>
      <c r="E7044" s="11">
        <v>14844.06</v>
      </c>
      <c r="F7044" s="3">
        <v>39052</v>
      </c>
      <c r="G7044" s="2"/>
      <c r="H7044" s="2"/>
      <c r="I7044" s="2"/>
      <c r="J7044" s="2" t="s">
        <v>13904</v>
      </c>
      <c r="K7044" s="2" t="s">
        <v>5657</v>
      </c>
      <c r="L7044" s="246" t="s">
        <v>22280</v>
      </c>
    </row>
    <row r="7045" spans="1:12" ht="84" customHeight="1" x14ac:dyDescent="0.3">
      <c r="A7045" s="2">
        <v>7041</v>
      </c>
      <c r="B7045" s="66" t="s">
        <v>8292</v>
      </c>
      <c r="C7045" s="66" t="s">
        <v>8294</v>
      </c>
      <c r="D7045" s="11">
        <v>14844.06</v>
      </c>
      <c r="E7045" s="11">
        <v>14844.06</v>
      </c>
      <c r="F7045" s="3">
        <v>39052</v>
      </c>
      <c r="G7045" s="2"/>
      <c r="H7045" s="2"/>
      <c r="I7045" s="2"/>
      <c r="J7045" s="2" t="s">
        <v>13904</v>
      </c>
      <c r="K7045" s="2" t="s">
        <v>5657</v>
      </c>
      <c r="L7045" s="246" t="s">
        <v>22280</v>
      </c>
    </row>
    <row r="7046" spans="1:12" ht="84" customHeight="1" x14ac:dyDescent="0.3">
      <c r="A7046" s="2">
        <v>7042</v>
      </c>
      <c r="B7046" s="66" t="s">
        <v>8106</v>
      </c>
      <c r="C7046" s="66" t="s">
        <v>8295</v>
      </c>
      <c r="D7046" s="11">
        <v>10424.85</v>
      </c>
      <c r="E7046" s="11">
        <v>10424.85</v>
      </c>
      <c r="F7046" s="3">
        <v>39052</v>
      </c>
      <c r="G7046" s="2"/>
      <c r="H7046" s="2"/>
      <c r="I7046" s="2"/>
      <c r="J7046" s="2" t="s">
        <v>13904</v>
      </c>
      <c r="K7046" s="2" t="s">
        <v>5657</v>
      </c>
      <c r="L7046" s="246" t="s">
        <v>22280</v>
      </c>
    </row>
    <row r="7047" spans="1:12" ht="84" customHeight="1" x14ac:dyDescent="0.3">
      <c r="A7047" s="2">
        <v>7043</v>
      </c>
      <c r="B7047" s="66" t="s">
        <v>8106</v>
      </c>
      <c r="C7047" s="66" t="s">
        <v>8296</v>
      </c>
      <c r="D7047" s="11">
        <v>10424.85</v>
      </c>
      <c r="E7047" s="11">
        <v>10424.85</v>
      </c>
      <c r="F7047" s="3">
        <v>39052</v>
      </c>
      <c r="G7047" s="2"/>
      <c r="H7047" s="2"/>
      <c r="I7047" s="2"/>
      <c r="J7047" s="2" t="s">
        <v>13904</v>
      </c>
      <c r="K7047" s="2" t="s">
        <v>5657</v>
      </c>
      <c r="L7047" s="246" t="s">
        <v>22280</v>
      </c>
    </row>
    <row r="7048" spans="1:12" ht="84" customHeight="1" x14ac:dyDescent="0.3">
      <c r="A7048" s="2">
        <v>7044</v>
      </c>
      <c r="B7048" s="66" t="s">
        <v>8106</v>
      </c>
      <c r="C7048" s="66" t="s">
        <v>8297</v>
      </c>
      <c r="D7048" s="11">
        <v>10424.85</v>
      </c>
      <c r="E7048" s="11">
        <v>10424.85</v>
      </c>
      <c r="F7048" s="3">
        <v>39052</v>
      </c>
      <c r="G7048" s="2"/>
      <c r="H7048" s="2"/>
      <c r="I7048" s="2"/>
      <c r="J7048" s="2" t="s">
        <v>13904</v>
      </c>
      <c r="K7048" s="2" t="s">
        <v>5657</v>
      </c>
      <c r="L7048" s="246" t="s">
        <v>22280</v>
      </c>
    </row>
    <row r="7049" spans="1:12" ht="84" customHeight="1" x14ac:dyDescent="0.3">
      <c r="A7049" s="2">
        <v>7045</v>
      </c>
      <c r="B7049" s="66" t="s">
        <v>8257</v>
      </c>
      <c r="C7049" s="66" t="s">
        <v>8298</v>
      </c>
      <c r="D7049" s="11">
        <v>8418.06</v>
      </c>
      <c r="E7049" s="11">
        <v>8418.06</v>
      </c>
      <c r="F7049" s="3">
        <v>39052</v>
      </c>
      <c r="G7049" s="2"/>
      <c r="H7049" s="2"/>
      <c r="I7049" s="2"/>
      <c r="J7049" s="2" t="s">
        <v>13904</v>
      </c>
      <c r="K7049" s="2" t="s">
        <v>5657</v>
      </c>
      <c r="L7049" s="246" t="s">
        <v>22280</v>
      </c>
    </row>
    <row r="7050" spans="1:12" ht="84" customHeight="1" x14ac:dyDescent="0.3">
      <c r="A7050" s="2">
        <v>7046</v>
      </c>
      <c r="B7050" s="66" t="s">
        <v>8257</v>
      </c>
      <c r="C7050" s="66" t="s">
        <v>8299</v>
      </c>
      <c r="D7050" s="11">
        <v>8418.06</v>
      </c>
      <c r="E7050" s="11">
        <v>8418.06</v>
      </c>
      <c r="F7050" s="3">
        <v>39052</v>
      </c>
      <c r="G7050" s="2"/>
      <c r="H7050" s="2"/>
      <c r="I7050" s="2"/>
      <c r="J7050" s="2" t="s">
        <v>13904</v>
      </c>
      <c r="K7050" s="2" t="s">
        <v>5657</v>
      </c>
      <c r="L7050" s="246" t="s">
        <v>22280</v>
      </c>
    </row>
    <row r="7051" spans="1:12" ht="84" customHeight="1" x14ac:dyDescent="0.3">
      <c r="A7051" s="2">
        <v>7047</v>
      </c>
      <c r="B7051" s="66" t="s">
        <v>8257</v>
      </c>
      <c r="C7051" s="66" t="s">
        <v>8300</v>
      </c>
      <c r="D7051" s="11">
        <v>8418.06</v>
      </c>
      <c r="E7051" s="11">
        <v>8418.06</v>
      </c>
      <c r="F7051" s="3">
        <v>39052</v>
      </c>
      <c r="G7051" s="2"/>
      <c r="H7051" s="2"/>
      <c r="I7051" s="2"/>
      <c r="J7051" s="2" t="s">
        <v>13904</v>
      </c>
      <c r="K7051" s="2" t="s">
        <v>5657</v>
      </c>
      <c r="L7051" s="246" t="s">
        <v>22280</v>
      </c>
    </row>
    <row r="7052" spans="1:12" ht="84" customHeight="1" x14ac:dyDescent="0.3">
      <c r="A7052" s="2">
        <v>7048</v>
      </c>
      <c r="B7052" s="66" t="s">
        <v>8257</v>
      </c>
      <c r="C7052" s="66" t="s">
        <v>8301</v>
      </c>
      <c r="D7052" s="11">
        <v>8418.06</v>
      </c>
      <c r="E7052" s="11">
        <v>8418.06</v>
      </c>
      <c r="F7052" s="3">
        <v>39052</v>
      </c>
      <c r="G7052" s="2"/>
      <c r="H7052" s="2"/>
      <c r="I7052" s="2"/>
      <c r="J7052" s="2" t="s">
        <v>13904</v>
      </c>
      <c r="K7052" s="2" t="s">
        <v>5657</v>
      </c>
      <c r="L7052" s="246" t="s">
        <v>22280</v>
      </c>
    </row>
    <row r="7053" spans="1:12" ht="84" customHeight="1" x14ac:dyDescent="0.3">
      <c r="A7053" s="2">
        <v>7049</v>
      </c>
      <c r="B7053" s="66" t="s">
        <v>8257</v>
      </c>
      <c r="C7053" s="66" t="s">
        <v>8302</v>
      </c>
      <c r="D7053" s="11">
        <v>8418.06</v>
      </c>
      <c r="E7053" s="11">
        <v>8418.06</v>
      </c>
      <c r="F7053" s="3">
        <v>39052</v>
      </c>
      <c r="G7053" s="2"/>
      <c r="H7053" s="2"/>
      <c r="I7053" s="2"/>
      <c r="J7053" s="2" t="s">
        <v>13904</v>
      </c>
      <c r="K7053" s="2" t="s">
        <v>5657</v>
      </c>
      <c r="L7053" s="246" t="s">
        <v>22280</v>
      </c>
    </row>
    <row r="7054" spans="1:12" ht="84" customHeight="1" x14ac:dyDescent="0.3">
      <c r="A7054" s="2">
        <v>7050</v>
      </c>
      <c r="B7054" s="66" t="s">
        <v>8257</v>
      </c>
      <c r="C7054" s="66" t="s">
        <v>8303</v>
      </c>
      <c r="D7054" s="11">
        <v>8418.06</v>
      </c>
      <c r="E7054" s="11">
        <v>8418.06</v>
      </c>
      <c r="F7054" s="3">
        <v>39052</v>
      </c>
      <c r="G7054" s="2"/>
      <c r="H7054" s="2"/>
      <c r="I7054" s="2"/>
      <c r="J7054" s="2" t="s">
        <v>13904</v>
      </c>
      <c r="K7054" s="2" t="s">
        <v>5657</v>
      </c>
      <c r="L7054" s="246" t="s">
        <v>22280</v>
      </c>
    </row>
    <row r="7055" spans="1:12" ht="84" customHeight="1" x14ac:dyDescent="0.3">
      <c r="A7055" s="2">
        <v>7051</v>
      </c>
      <c r="B7055" s="66" t="s">
        <v>8257</v>
      </c>
      <c r="C7055" s="66" t="s">
        <v>8304</v>
      </c>
      <c r="D7055" s="11">
        <v>8418.06</v>
      </c>
      <c r="E7055" s="11">
        <v>8418.06</v>
      </c>
      <c r="F7055" s="3">
        <v>39052</v>
      </c>
      <c r="G7055" s="2"/>
      <c r="H7055" s="2"/>
      <c r="I7055" s="2"/>
      <c r="J7055" s="2" t="s">
        <v>13904</v>
      </c>
      <c r="K7055" s="2" t="s">
        <v>5657</v>
      </c>
      <c r="L7055" s="246" t="s">
        <v>22280</v>
      </c>
    </row>
    <row r="7056" spans="1:12" ht="84" customHeight="1" x14ac:dyDescent="0.3">
      <c r="A7056" s="2">
        <v>7052</v>
      </c>
      <c r="B7056" s="66" t="s">
        <v>8257</v>
      </c>
      <c r="C7056" s="66" t="s">
        <v>8305</v>
      </c>
      <c r="D7056" s="11">
        <v>8418.06</v>
      </c>
      <c r="E7056" s="11">
        <v>8418.06</v>
      </c>
      <c r="F7056" s="3">
        <v>39052</v>
      </c>
      <c r="G7056" s="2"/>
      <c r="H7056" s="2"/>
      <c r="I7056" s="2"/>
      <c r="J7056" s="2" t="s">
        <v>13904</v>
      </c>
      <c r="K7056" s="2" t="s">
        <v>5657</v>
      </c>
      <c r="L7056" s="246" t="s">
        <v>22280</v>
      </c>
    </row>
    <row r="7057" spans="1:12" ht="84" customHeight="1" x14ac:dyDescent="0.3">
      <c r="A7057" s="2">
        <v>7053</v>
      </c>
      <c r="B7057" s="66" t="s">
        <v>8257</v>
      </c>
      <c r="C7057" s="66" t="s">
        <v>8306</v>
      </c>
      <c r="D7057" s="11">
        <v>8418.06</v>
      </c>
      <c r="E7057" s="11">
        <v>8418.06</v>
      </c>
      <c r="F7057" s="3">
        <v>39052</v>
      </c>
      <c r="G7057" s="2"/>
      <c r="H7057" s="2"/>
      <c r="I7057" s="2"/>
      <c r="J7057" s="2" t="s">
        <v>13904</v>
      </c>
      <c r="K7057" s="2" t="s">
        <v>5657</v>
      </c>
      <c r="L7057" s="246" t="s">
        <v>22280</v>
      </c>
    </row>
    <row r="7058" spans="1:12" ht="84" customHeight="1" x14ac:dyDescent="0.3">
      <c r="A7058" s="2">
        <v>7054</v>
      </c>
      <c r="B7058" s="66" t="s">
        <v>8257</v>
      </c>
      <c r="C7058" s="66" t="s">
        <v>8307</v>
      </c>
      <c r="D7058" s="11">
        <v>8418.06</v>
      </c>
      <c r="E7058" s="11">
        <v>8418.06</v>
      </c>
      <c r="F7058" s="3">
        <v>39052</v>
      </c>
      <c r="G7058" s="2"/>
      <c r="H7058" s="2"/>
      <c r="I7058" s="2"/>
      <c r="J7058" s="2" t="s">
        <v>13904</v>
      </c>
      <c r="K7058" s="2" t="s">
        <v>5657</v>
      </c>
      <c r="L7058" s="246" t="s">
        <v>22280</v>
      </c>
    </row>
    <row r="7059" spans="1:12" ht="84" customHeight="1" x14ac:dyDescent="0.3">
      <c r="A7059" s="2">
        <v>7055</v>
      </c>
      <c r="B7059" s="66" t="s">
        <v>8257</v>
      </c>
      <c r="C7059" s="66" t="s">
        <v>8308</v>
      </c>
      <c r="D7059" s="11">
        <v>8418.06</v>
      </c>
      <c r="E7059" s="11">
        <v>8418.06</v>
      </c>
      <c r="F7059" s="3">
        <v>39052</v>
      </c>
      <c r="G7059" s="2"/>
      <c r="H7059" s="2"/>
      <c r="I7059" s="2"/>
      <c r="J7059" s="2" t="s">
        <v>13904</v>
      </c>
      <c r="K7059" s="2" t="s">
        <v>5657</v>
      </c>
      <c r="L7059" s="246" t="s">
        <v>22280</v>
      </c>
    </row>
    <row r="7060" spans="1:12" ht="84" customHeight="1" x14ac:dyDescent="0.3">
      <c r="A7060" s="2">
        <v>7056</v>
      </c>
      <c r="B7060" s="66" t="s">
        <v>8257</v>
      </c>
      <c r="C7060" s="66" t="s">
        <v>8309</v>
      </c>
      <c r="D7060" s="11">
        <v>8418.06</v>
      </c>
      <c r="E7060" s="11">
        <v>8418.06</v>
      </c>
      <c r="F7060" s="3">
        <v>39052</v>
      </c>
      <c r="G7060" s="2"/>
      <c r="H7060" s="2"/>
      <c r="I7060" s="2"/>
      <c r="J7060" s="2" t="s">
        <v>13904</v>
      </c>
      <c r="K7060" s="2" t="s">
        <v>5657</v>
      </c>
      <c r="L7060" s="246" t="s">
        <v>22280</v>
      </c>
    </row>
    <row r="7061" spans="1:12" ht="84" customHeight="1" x14ac:dyDescent="0.3">
      <c r="A7061" s="2">
        <v>7057</v>
      </c>
      <c r="B7061" s="66" t="s">
        <v>8257</v>
      </c>
      <c r="C7061" s="66" t="s">
        <v>8310</v>
      </c>
      <c r="D7061" s="11">
        <v>8418.06</v>
      </c>
      <c r="E7061" s="11">
        <v>8418.06</v>
      </c>
      <c r="F7061" s="3">
        <v>39052</v>
      </c>
      <c r="G7061" s="2"/>
      <c r="H7061" s="2"/>
      <c r="I7061" s="2"/>
      <c r="J7061" s="2" t="s">
        <v>13904</v>
      </c>
      <c r="K7061" s="2" t="s">
        <v>5657</v>
      </c>
      <c r="L7061" s="246" t="s">
        <v>22280</v>
      </c>
    </row>
    <row r="7062" spans="1:12" ht="84" customHeight="1" x14ac:dyDescent="0.3">
      <c r="A7062" s="2">
        <v>7058</v>
      </c>
      <c r="B7062" s="66" t="s">
        <v>8257</v>
      </c>
      <c r="C7062" s="66" t="s">
        <v>8311</v>
      </c>
      <c r="D7062" s="11">
        <v>8418.06</v>
      </c>
      <c r="E7062" s="11">
        <v>8418.06</v>
      </c>
      <c r="F7062" s="3">
        <v>39052</v>
      </c>
      <c r="G7062" s="2"/>
      <c r="H7062" s="2"/>
      <c r="I7062" s="2"/>
      <c r="J7062" s="2" t="s">
        <v>13904</v>
      </c>
      <c r="K7062" s="2" t="s">
        <v>5657</v>
      </c>
      <c r="L7062" s="246" t="s">
        <v>22280</v>
      </c>
    </row>
    <row r="7063" spans="1:12" ht="84" customHeight="1" x14ac:dyDescent="0.3">
      <c r="A7063" s="2">
        <v>7059</v>
      </c>
      <c r="B7063" s="66" t="s">
        <v>8257</v>
      </c>
      <c r="C7063" s="66" t="s">
        <v>8312</v>
      </c>
      <c r="D7063" s="11">
        <v>8418.06</v>
      </c>
      <c r="E7063" s="11">
        <v>8418.06</v>
      </c>
      <c r="F7063" s="3">
        <v>39052</v>
      </c>
      <c r="G7063" s="2"/>
      <c r="H7063" s="2"/>
      <c r="I7063" s="2"/>
      <c r="J7063" s="2" t="s">
        <v>13904</v>
      </c>
      <c r="K7063" s="2" t="s">
        <v>5657</v>
      </c>
      <c r="L7063" s="246" t="s">
        <v>22280</v>
      </c>
    </row>
    <row r="7064" spans="1:12" ht="84" customHeight="1" x14ac:dyDescent="0.3">
      <c r="A7064" s="2">
        <v>7060</v>
      </c>
      <c r="B7064" s="66" t="s">
        <v>8257</v>
      </c>
      <c r="C7064" s="66" t="s">
        <v>8313</v>
      </c>
      <c r="D7064" s="11">
        <v>8418.06</v>
      </c>
      <c r="E7064" s="11">
        <v>8418.06</v>
      </c>
      <c r="F7064" s="3">
        <v>39052</v>
      </c>
      <c r="G7064" s="2"/>
      <c r="H7064" s="2"/>
      <c r="I7064" s="2"/>
      <c r="J7064" s="2" t="s">
        <v>13904</v>
      </c>
      <c r="K7064" s="2" t="s">
        <v>5657</v>
      </c>
      <c r="L7064" s="246" t="s">
        <v>22280</v>
      </c>
    </row>
    <row r="7065" spans="1:12" ht="84" customHeight="1" x14ac:dyDescent="0.3">
      <c r="A7065" s="2">
        <v>7061</v>
      </c>
      <c r="B7065" s="66" t="s">
        <v>8257</v>
      </c>
      <c r="C7065" s="66" t="s">
        <v>8314</v>
      </c>
      <c r="D7065" s="11">
        <v>8418.06</v>
      </c>
      <c r="E7065" s="11">
        <v>8418.06</v>
      </c>
      <c r="F7065" s="3">
        <v>39052</v>
      </c>
      <c r="G7065" s="2"/>
      <c r="H7065" s="2"/>
      <c r="I7065" s="2"/>
      <c r="J7065" s="2" t="s">
        <v>13904</v>
      </c>
      <c r="K7065" s="2" t="s">
        <v>5657</v>
      </c>
      <c r="L7065" s="246" t="s">
        <v>22280</v>
      </c>
    </row>
    <row r="7066" spans="1:12" ht="84" customHeight="1" x14ac:dyDescent="0.3">
      <c r="A7066" s="2">
        <v>7062</v>
      </c>
      <c r="B7066" s="66" t="s">
        <v>8257</v>
      </c>
      <c r="C7066" s="66" t="s">
        <v>8315</v>
      </c>
      <c r="D7066" s="11">
        <v>8418.06</v>
      </c>
      <c r="E7066" s="11">
        <v>8418.06</v>
      </c>
      <c r="F7066" s="3">
        <v>39052</v>
      </c>
      <c r="G7066" s="2"/>
      <c r="H7066" s="2"/>
      <c r="I7066" s="2"/>
      <c r="J7066" s="2" t="s">
        <v>13904</v>
      </c>
      <c r="K7066" s="2" t="s">
        <v>5657</v>
      </c>
      <c r="L7066" s="246" t="s">
        <v>22280</v>
      </c>
    </row>
    <row r="7067" spans="1:12" ht="84" customHeight="1" x14ac:dyDescent="0.3">
      <c r="A7067" s="2">
        <v>7063</v>
      </c>
      <c r="B7067" s="66" t="s">
        <v>8257</v>
      </c>
      <c r="C7067" s="66" t="s">
        <v>8316</v>
      </c>
      <c r="D7067" s="11">
        <v>8418.06</v>
      </c>
      <c r="E7067" s="11">
        <v>8418.06</v>
      </c>
      <c r="F7067" s="3">
        <v>39052</v>
      </c>
      <c r="G7067" s="2"/>
      <c r="H7067" s="2"/>
      <c r="I7067" s="2"/>
      <c r="J7067" s="2" t="s">
        <v>13904</v>
      </c>
      <c r="K7067" s="2" t="s">
        <v>5657</v>
      </c>
      <c r="L7067" s="246" t="s">
        <v>22280</v>
      </c>
    </row>
    <row r="7068" spans="1:12" ht="84" customHeight="1" x14ac:dyDescent="0.3">
      <c r="A7068" s="2">
        <v>7064</v>
      </c>
      <c r="B7068" s="66" t="s">
        <v>8257</v>
      </c>
      <c r="C7068" s="66" t="s">
        <v>8317</v>
      </c>
      <c r="D7068" s="11">
        <v>8418.06</v>
      </c>
      <c r="E7068" s="11">
        <v>8418.06</v>
      </c>
      <c r="F7068" s="3">
        <v>39052</v>
      </c>
      <c r="G7068" s="2"/>
      <c r="H7068" s="2"/>
      <c r="I7068" s="2"/>
      <c r="J7068" s="2" t="s">
        <v>13904</v>
      </c>
      <c r="K7068" s="2" t="s">
        <v>5657</v>
      </c>
      <c r="L7068" s="246" t="s">
        <v>22280</v>
      </c>
    </row>
    <row r="7069" spans="1:12" ht="84" customHeight="1" x14ac:dyDescent="0.3">
      <c r="A7069" s="2">
        <v>7065</v>
      </c>
      <c r="B7069" s="66" t="s">
        <v>8257</v>
      </c>
      <c r="C7069" s="66" t="s">
        <v>8318</v>
      </c>
      <c r="D7069" s="11">
        <v>8418.06</v>
      </c>
      <c r="E7069" s="11">
        <v>8418.06</v>
      </c>
      <c r="F7069" s="3">
        <v>39052</v>
      </c>
      <c r="G7069" s="2"/>
      <c r="H7069" s="2"/>
      <c r="I7069" s="2"/>
      <c r="J7069" s="2" t="s">
        <v>13904</v>
      </c>
      <c r="K7069" s="2" t="s">
        <v>5657</v>
      </c>
      <c r="L7069" s="246" t="s">
        <v>22280</v>
      </c>
    </row>
    <row r="7070" spans="1:12" ht="84" customHeight="1" x14ac:dyDescent="0.3">
      <c r="A7070" s="2">
        <v>7066</v>
      </c>
      <c r="B7070" s="66" t="s">
        <v>8257</v>
      </c>
      <c r="C7070" s="66" t="s">
        <v>8319</v>
      </c>
      <c r="D7070" s="11">
        <v>8418.06</v>
      </c>
      <c r="E7070" s="11">
        <v>8418.06</v>
      </c>
      <c r="F7070" s="3">
        <v>39052</v>
      </c>
      <c r="G7070" s="2"/>
      <c r="H7070" s="2"/>
      <c r="I7070" s="2"/>
      <c r="J7070" s="2" t="s">
        <v>13904</v>
      </c>
      <c r="K7070" s="2" t="s">
        <v>5657</v>
      </c>
      <c r="L7070" s="246" t="s">
        <v>22280</v>
      </c>
    </row>
    <row r="7071" spans="1:12" ht="84" customHeight="1" x14ac:dyDescent="0.3">
      <c r="A7071" s="2">
        <v>7067</v>
      </c>
      <c r="B7071" s="66" t="s">
        <v>8257</v>
      </c>
      <c r="C7071" s="66" t="s">
        <v>8320</v>
      </c>
      <c r="D7071" s="11">
        <v>8418.06</v>
      </c>
      <c r="E7071" s="11">
        <v>8418.06</v>
      </c>
      <c r="F7071" s="3">
        <v>39052</v>
      </c>
      <c r="G7071" s="2"/>
      <c r="H7071" s="2"/>
      <c r="I7071" s="2"/>
      <c r="J7071" s="2" t="s">
        <v>13904</v>
      </c>
      <c r="K7071" s="2" t="s">
        <v>5657</v>
      </c>
      <c r="L7071" s="246" t="s">
        <v>22280</v>
      </c>
    </row>
    <row r="7072" spans="1:12" ht="84" customHeight="1" x14ac:dyDescent="0.3">
      <c r="A7072" s="2">
        <v>7068</v>
      </c>
      <c r="B7072" s="66" t="s">
        <v>8257</v>
      </c>
      <c r="C7072" s="66" t="s">
        <v>8321</v>
      </c>
      <c r="D7072" s="11">
        <v>8418.06</v>
      </c>
      <c r="E7072" s="11">
        <v>8418.06</v>
      </c>
      <c r="F7072" s="3">
        <v>39052</v>
      </c>
      <c r="G7072" s="2"/>
      <c r="H7072" s="2"/>
      <c r="I7072" s="2"/>
      <c r="J7072" s="2" t="s">
        <v>13904</v>
      </c>
      <c r="K7072" s="2" t="s">
        <v>5657</v>
      </c>
      <c r="L7072" s="246" t="s">
        <v>22280</v>
      </c>
    </row>
    <row r="7073" spans="1:12" ht="84" customHeight="1" x14ac:dyDescent="0.3">
      <c r="A7073" s="2">
        <v>7069</v>
      </c>
      <c r="B7073" s="66" t="s">
        <v>8257</v>
      </c>
      <c r="C7073" s="66" t="s">
        <v>8322</v>
      </c>
      <c r="D7073" s="11">
        <v>8418.06</v>
      </c>
      <c r="E7073" s="11">
        <v>8418.06</v>
      </c>
      <c r="F7073" s="3">
        <v>39052</v>
      </c>
      <c r="G7073" s="2"/>
      <c r="H7073" s="2"/>
      <c r="I7073" s="2"/>
      <c r="J7073" s="2" t="s">
        <v>13904</v>
      </c>
      <c r="K7073" s="2" t="s">
        <v>5657</v>
      </c>
      <c r="L7073" s="246" t="s">
        <v>22280</v>
      </c>
    </row>
    <row r="7074" spans="1:12" ht="84" customHeight="1" x14ac:dyDescent="0.3">
      <c r="A7074" s="2">
        <v>7070</v>
      </c>
      <c r="B7074" s="66" t="s">
        <v>8257</v>
      </c>
      <c r="C7074" s="66" t="s">
        <v>8323</v>
      </c>
      <c r="D7074" s="11">
        <v>8418.06</v>
      </c>
      <c r="E7074" s="11">
        <v>8418.06</v>
      </c>
      <c r="F7074" s="3">
        <v>39052</v>
      </c>
      <c r="G7074" s="2"/>
      <c r="H7074" s="2"/>
      <c r="I7074" s="2"/>
      <c r="J7074" s="2" t="s">
        <v>13904</v>
      </c>
      <c r="K7074" s="2" t="s">
        <v>5657</v>
      </c>
      <c r="L7074" s="246" t="s">
        <v>22280</v>
      </c>
    </row>
    <row r="7075" spans="1:12" ht="84" customHeight="1" x14ac:dyDescent="0.3">
      <c r="A7075" s="2">
        <v>7071</v>
      </c>
      <c r="B7075" s="66" t="s">
        <v>8257</v>
      </c>
      <c r="C7075" s="66" t="s">
        <v>8324</v>
      </c>
      <c r="D7075" s="11">
        <v>8418.06</v>
      </c>
      <c r="E7075" s="11">
        <v>8418.06</v>
      </c>
      <c r="F7075" s="3">
        <v>39052</v>
      </c>
      <c r="G7075" s="2"/>
      <c r="H7075" s="2"/>
      <c r="I7075" s="2"/>
      <c r="J7075" s="2" t="s">
        <v>13904</v>
      </c>
      <c r="K7075" s="2" t="s">
        <v>5657</v>
      </c>
      <c r="L7075" s="246" t="s">
        <v>22280</v>
      </c>
    </row>
    <row r="7076" spans="1:12" ht="84" customHeight="1" x14ac:dyDescent="0.3">
      <c r="A7076" s="2">
        <v>7072</v>
      </c>
      <c r="B7076" s="66" t="s">
        <v>8257</v>
      </c>
      <c r="C7076" s="66" t="s">
        <v>8325</v>
      </c>
      <c r="D7076" s="11">
        <v>8418.06</v>
      </c>
      <c r="E7076" s="11">
        <v>8418.06</v>
      </c>
      <c r="F7076" s="3">
        <v>39052</v>
      </c>
      <c r="G7076" s="2"/>
      <c r="H7076" s="2"/>
      <c r="I7076" s="2"/>
      <c r="J7076" s="2" t="s">
        <v>13904</v>
      </c>
      <c r="K7076" s="2" t="s">
        <v>5657</v>
      </c>
      <c r="L7076" s="246" t="s">
        <v>22280</v>
      </c>
    </row>
    <row r="7077" spans="1:12" ht="84" customHeight="1" x14ac:dyDescent="0.3">
      <c r="A7077" s="2">
        <v>7073</v>
      </c>
      <c r="B7077" s="66" t="s">
        <v>8257</v>
      </c>
      <c r="C7077" s="66" t="s">
        <v>8326</v>
      </c>
      <c r="D7077" s="11">
        <v>8418.06</v>
      </c>
      <c r="E7077" s="11">
        <v>8418.06</v>
      </c>
      <c r="F7077" s="3">
        <v>39052</v>
      </c>
      <c r="G7077" s="2"/>
      <c r="H7077" s="2"/>
      <c r="I7077" s="2"/>
      <c r="J7077" s="2" t="s">
        <v>13904</v>
      </c>
      <c r="K7077" s="2" t="s">
        <v>5657</v>
      </c>
      <c r="L7077" s="246" t="s">
        <v>22280</v>
      </c>
    </row>
    <row r="7078" spans="1:12" ht="84" customHeight="1" x14ac:dyDescent="0.3">
      <c r="A7078" s="2">
        <v>7074</v>
      </c>
      <c r="B7078" s="66" t="s">
        <v>8257</v>
      </c>
      <c r="C7078" s="66" t="s">
        <v>8327</v>
      </c>
      <c r="D7078" s="11">
        <v>8418.06</v>
      </c>
      <c r="E7078" s="11">
        <v>8418.06</v>
      </c>
      <c r="F7078" s="3">
        <v>39052</v>
      </c>
      <c r="G7078" s="2"/>
      <c r="H7078" s="2"/>
      <c r="I7078" s="2"/>
      <c r="J7078" s="2" t="s">
        <v>13904</v>
      </c>
      <c r="K7078" s="2" t="s">
        <v>5657</v>
      </c>
      <c r="L7078" s="246" t="s">
        <v>22280</v>
      </c>
    </row>
    <row r="7079" spans="1:12" ht="84" customHeight="1" x14ac:dyDescent="0.3">
      <c r="A7079" s="2">
        <v>7075</v>
      </c>
      <c r="B7079" s="66" t="s">
        <v>8257</v>
      </c>
      <c r="C7079" s="66" t="s">
        <v>8328</v>
      </c>
      <c r="D7079" s="11">
        <v>8418.06</v>
      </c>
      <c r="E7079" s="11">
        <v>8418.06</v>
      </c>
      <c r="F7079" s="3">
        <v>39052</v>
      </c>
      <c r="G7079" s="2"/>
      <c r="H7079" s="2"/>
      <c r="I7079" s="2"/>
      <c r="J7079" s="2" t="s">
        <v>13904</v>
      </c>
      <c r="K7079" s="2" t="s">
        <v>5657</v>
      </c>
      <c r="L7079" s="246" t="s">
        <v>22280</v>
      </c>
    </row>
    <row r="7080" spans="1:12" ht="84" customHeight="1" x14ac:dyDescent="0.3">
      <c r="A7080" s="2">
        <v>7076</v>
      </c>
      <c r="B7080" s="66" t="s">
        <v>8257</v>
      </c>
      <c r="C7080" s="66" t="s">
        <v>8329</v>
      </c>
      <c r="D7080" s="11">
        <v>8418.06</v>
      </c>
      <c r="E7080" s="11">
        <v>8418.06</v>
      </c>
      <c r="F7080" s="3">
        <v>39052</v>
      </c>
      <c r="G7080" s="2"/>
      <c r="H7080" s="2"/>
      <c r="I7080" s="2"/>
      <c r="J7080" s="2" t="s">
        <v>13904</v>
      </c>
      <c r="K7080" s="2" t="s">
        <v>5657</v>
      </c>
      <c r="L7080" s="246" t="s">
        <v>22280</v>
      </c>
    </row>
    <row r="7081" spans="1:12" ht="84" customHeight="1" x14ac:dyDescent="0.3">
      <c r="A7081" s="2">
        <v>7077</v>
      </c>
      <c r="B7081" s="66" t="s">
        <v>8257</v>
      </c>
      <c r="C7081" s="66" t="s">
        <v>8330</v>
      </c>
      <c r="D7081" s="11">
        <v>8418.06</v>
      </c>
      <c r="E7081" s="11">
        <v>8418.06</v>
      </c>
      <c r="F7081" s="3">
        <v>39052</v>
      </c>
      <c r="G7081" s="2"/>
      <c r="H7081" s="2"/>
      <c r="I7081" s="2"/>
      <c r="J7081" s="2" t="s">
        <v>13904</v>
      </c>
      <c r="K7081" s="2" t="s">
        <v>5657</v>
      </c>
      <c r="L7081" s="246" t="s">
        <v>22280</v>
      </c>
    </row>
    <row r="7082" spans="1:12" ht="84" customHeight="1" x14ac:dyDescent="0.3">
      <c r="A7082" s="2">
        <v>7078</v>
      </c>
      <c r="B7082" s="66" t="s">
        <v>8257</v>
      </c>
      <c r="C7082" s="66" t="s">
        <v>8331</v>
      </c>
      <c r="D7082" s="11">
        <v>8418.06</v>
      </c>
      <c r="E7082" s="11">
        <v>8418.06</v>
      </c>
      <c r="F7082" s="3">
        <v>39052</v>
      </c>
      <c r="G7082" s="2"/>
      <c r="H7082" s="2"/>
      <c r="I7082" s="2"/>
      <c r="J7082" s="2" t="s">
        <v>13904</v>
      </c>
      <c r="K7082" s="2" t="s">
        <v>5657</v>
      </c>
      <c r="L7082" s="246" t="s">
        <v>22280</v>
      </c>
    </row>
    <row r="7083" spans="1:12" ht="84" customHeight="1" x14ac:dyDescent="0.3">
      <c r="A7083" s="2">
        <v>7079</v>
      </c>
      <c r="B7083" s="66" t="s">
        <v>8257</v>
      </c>
      <c r="C7083" s="66" t="s">
        <v>8332</v>
      </c>
      <c r="D7083" s="11">
        <v>8418.06</v>
      </c>
      <c r="E7083" s="11">
        <v>8418.06</v>
      </c>
      <c r="F7083" s="3">
        <v>39052</v>
      </c>
      <c r="G7083" s="2"/>
      <c r="H7083" s="2"/>
      <c r="I7083" s="2"/>
      <c r="J7083" s="2" t="s">
        <v>13904</v>
      </c>
      <c r="K7083" s="2" t="s">
        <v>5657</v>
      </c>
      <c r="L7083" s="246" t="s">
        <v>22280</v>
      </c>
    </row>
    <row r="7084" spans="1:12" ht="84" customHeight="1" x14ac:dyDescent="0.3">
      <c r="A7084" s="2">
        <v>7080</v>
      </c>
      <c r="B7084" s="66" t="s">
        <v>8257</v>
      </c>
      <c r="C7084" s="66" t="s">
        <v>8333</v>
      </c>
      <c r="D7084" s="11">
        <v>8418.06</v>
      </c>
      <c r="E7084" s="11">
        <v>8418.06</v>
      </c>
      <c r="F7084" s="3">
        <v>39052</v>
      </c>
      <c r="G7084" s="2"/>
      <c r="H7084" s="2"/>
      <c r="I7084" s="2"/>
      <c r="J7084" s="2" t="s">
        <v>13904</v>
      </c>
      <c r="K7084" s="2" t="s">
        <v>5657</v>
      </c>
      <c r="L7084" s="246" t="s">
        <v>22280</v>
      </c>
    </row>
    <row r="7085" spans="1:12" ht="84" customHeight="1" x14ac:dyDescent="0.3">
      <c r="A7085" s="2">
        <v>7081</v>
      </c>
      <c r="B7085" s="66" t="s">
        <v>8257</v>
      </c>
      <c r="C7085" s="66" t="s">
        <v>8334</v>
      </c>
      <c r="D7085" s="11">
        <v>8418.06</v>
      </c>
      <c r="E7085" s="11">
        <v>8418.06</v>
      </c>
      <c r="F7085" s="3">
        <v>39052</v>
      </c>
      <c r="G7085" s="2"/>
      <c r="H7085" s="2"/>
      <c r="I7085" s="2"/>
      <c r="J7085" s="2" t="s">
        <v>13904</v>
      </c>
      <c r="K7085" s="2" t="s">
        <v>5657</v>
      </c>
      <c r="L7085" s="246" t="s">
        <v>22280</v>
      </c>
    </row>
    <row r="7086" spans="1:12" ht="84" customHeight="1" x14ac:dyDescent="0.3">
      <c r="A7086" s="2">
        <v>7082</v>
      </c>
      <c r="B7086" s="66" t="s">
        <v>8257</v>
      </c>
      <c r="C7086" s="66" t="s">
        <v>8335</v>
      </c>
      <c r="D7086" s="11">
        <v>8418.06</v>
      </c>
      <c r="E7086" s="11">
        <v>8418.06</v>
      </c>
      <c r="F7086" s="3">
        <v>39052</v>
      </c>
      <c r="G7086" s="2"/>
      <c r="H7086" s="2"/>
      <c r="I7086" s="2"/>
      <c r="J7086" s="2" t="s">
        <v>13904</v>
      </c>
      <c r="K7086" s="2" t="s">
        <v>5657</v>
      </c>
      <c r="L7086" s="246" t="s">
        <v>22280</v>
      </c>
    </row>
    <row r="7087" spans="1:12" ht="84" customHeight="1" x14ac:dyDescent="0.3">
      <c r="A7087" s="2">
        <v>7083</v>
      </c>
      <c r="B7087" s="66" t="s">
        <v>8257</v>
      </c>
      <c r="C7087" s="66" t="s">
        <v>8336</v>
      </c>
      <c r="D7087" s="11">
        <v>8418.06</v>
      </c>
      <c r="E7087" s="11">
        <v>8418.06</v>
      </c>
      <c r="F7087" s="3">
        <v>39052</v>
      </c>
      <c r="G7087" s="2"/>
      <c r="H7087" s="2"/>
      <c r="I7087" s="2"/>
      <c r="J7087" s="2" t="s">
        <v>13904</v>
      </c>
      <c r="K7087" s="2" t="s">
        <v>5657</v>
      </c>
      <c r="L7087" s="246" t="s">
        <v>22280</v>
      </c>
    </row>
    <row r="7088" spans="1:12" ht="84" customHeight="1" x14ac:dyDescent="0.3">
      <c r="A7088" s="2">
        <v>7084</v>
      </c>
      <c r="B7088" s="66" t="s">
        <v>8337</v>
      </c>
      <c r="C7088" s="66" t="s">
        <v>8338</v>
      </c>
      <c r="D7088" s="11">
        <v>14863.8</v>
      </c>
      <c r="E7088" s="11">
        <v>14863.8</v>
      </c>
      <c r="F7088" s="3">
        <v>39052</v>
      </c>
      <c r="G7088" s="2"/>
      <c r="H7088" s="2"/>
      <c r="I7088" s="2"/>
      <c r="J7088" s="2" t="s">
        <v>13904</v>
      </c>
      <c r="K7088" s="2" t="s">
        <v>5657</v>
      </c>
      <c r="L7088" s="246" t="s">
        <v>22280</v>
      </c>
    </row>
    <row r="7089" spans="1:12" ht="84" customHeight="1" x14ac:dyDescent="0.3">
      <c r="A7089" s="2">
        <v>7085</v>
      </c>
      <c r="B7089" s="66" t="s">
        <v>6993</v>
      </c>
      <c r="C7089" s="66" t="s">
        <v>8339</v>
      </c>
      <c r="D7089" s="11">
        <v>7190.6</v>
      </c>
      <c r="E7089" s="11">
        <v>7190.6</v>
      </c>
      <c r="F7089" s="3">
        <v>39065</v>
      </c>
      <c r="G7089" s="2"/>
      <c r="H7089" s="2"/>
      <c r="I7089" s="2"/>
      <c r="J7089" s="2" t="s">
        <v>13904</v>
      </c>
      <c r="K7089" s="2" t="s">
        <v>5657</v>
      </c>
      <c r="L7089" s="246" t="s">
        <v>22280</v>
      </c>
    </row>
    <row r="7090" spans="1:12" ht="84" customHeight="1" x14ac:dyDescent="0.3">
      <c r="A7090" s="2">
        <v>7086</v>
      </c>
      <c r="B7090" s="66" t="s">
        <v>8340</v>
      </c>
      <c r="C7090" s="66" t="s">
        <v>8341</v>
      </c>
      <c r="D7090" s="11">
        <v>16454.5</v>
      </c>
      <c r="E7090" s="11">
        <v>16454.5</v>
      </c>
      <c r="F7090" s="3">
        <v>39052</v>
      </c>
      <c r="G7090" s="2"/>
      <c r="H7090" s="2"/>
      <c r="I7090" s="2"/>
      <c r="J7090" s="2" t="s">
        <v>13904</v>
      </c>
      <c r="K7090" s="2" t="s">
        <v>5657</v>
      </c>
      <c r="L7090" s="246" t="s">
        <v>22280</v>
      </c>
    </row>
    <row r="7091" spans="1:12" ht="84" customHeight="1" x14ac:dyDescent="0.3">
      <c r="A7091" s="2">
        <v>7087</v>
      </c>
      <c r="B7091" s="66" t="s">
        <v>8340</v>
      </c>
      <c r="C7091" s="66" t="s">
        <v>8342</v>
      </c>
      <c r="D7091" s="11">
        <v>16454.5</v>
      </c>
      <c r="E7091" s="11">
        <v>16454.5</v>
      </c>
      <c r="F7091" s="3">
        <v>39052</v>
      </c>
      <c r="G7091" s="2"/>
      <c r="H7091" s="2"/>
      <c r="I7091" s="2"/>
      <c r="J7091" s="2" t="s">
        <v>13904</v>
      </c>
      <c r="K7091" s="2" t="s">
        <v>5657</v>
      </c>
      <c r="L7091" s="246" t="s">
        <v>22280</v>
      </c>
    </row>
    <row r="7092" spans="1:12" ht="84" customHeight="1" x14ac:dyDescent="0.3">
      <c r="A7092" s="2">
        <v>7088</v>
      </c>
      <c r="B7092" s="66" t="s">
        <v>8340</v>
      </c>
      <c r="C7092" s="66" t="s">
        <v>8343</v>
      </c>
      <c r="D7092" s="11">
        <v>16454.5</v>
      </c>
      <c r="E7092" s="11">
        <v>16454.5</v>
      </c>
      <c r="F7092" s="3">
        <v>39052</v>
      </c>
      <c r="G7092" s="2"/>
      <c r="H7092" s="2"/>
      <c r="I7092" s="2"/>
      <c r="J7092" s="2" t="s">
        <v>13904</v>
      </c>
      <c r="K7092" s="2" t="s">
        <v>5657</v>
      </c>
      <c r="L7092" s="246" t="s">
        <v>22280</v>
      </c>
    </row>
    <row r="7093" spans="1:12" ht="84" customHeight="1" x14ac:dyDescent="0.3">
      <c r="A7093" s="2">
        <v>7089</v>
      </c>
      <c r="B7093" s="66" t="s">
        <v>8340</v>
      </c>
      <c r="C7093" s="66" t="s">
        <v>8344</v>
      </c>
      <c r="D7093" s="11">
        <v>16454.5</v>
      </c>
      <c r="E7093" s="11">
        <v>16454.5</v>
      </c>
      <c r="F7093" s="3">
        <v>39052</v>
      </c>
      <c r="G7093" s="2"/>
      <c r="H7093" s="2"/>
      <c r="I7093" s="2"/>
      <c r="J7093" s="2" t="s">
        <v>13904</v>
      </c>
      <c r="K7093" s="2" t="s">
        <v>5657</v>
      </c>
      <c r="L7093" s="246" t="s">
        <v>22280</v>
      </c>
    </row>
    <row r="7094" spans="1:12" ht="84" customHeight="1" x14ac:dyDescent="0.3">
      <c r="A7094" s="2">
        <v>7090</v>
      </c>
      <c r="B7094" s="66" t="s">
        <v>8340</v>
      </c>
      <c r="C7094" s="66" t="s">
        <v>8345</v>
      </c>
      <c r="D7094" s="11">
        <v>16454.5</v>
      </c>
      <c r="E7094" s="11">
        <v>16454.5</v>
      </c>
      <c r="F7094" s="3">
        <v>39052</v>
      </c>
      <c r="G7094" s="2"/>
      <c r="H7094" s="2"/>
      <c r="I7094" s="2"/>
      <c r="J7094" s="2" t="s">
        <v>13904</v>
      </c>
      <c r="K7094" s="2" t="s">
        <v>5657</v>
      </c>
      <c r="L7094" s="246" t="s">
        <v>22280</v>
      </c>
    </row>
    <row r="7095" spans="1:12" ht="84" customHeight="1" x14ac:dyDescent="0.3">
      <c r="A7095" s="2">
        <v>7091</v>
      </c>
      <c r="B7095" s="66" t="s">
        <v>8340</v>
      </c>
      <c r="C7095" s="66" t="s">
        <v>8346</v>
      </c>
      <c r="D7095" s="11">
        <v>16454.5</v>
      </c>
      <c r="E7095" s="11">
        <v>16454.5</v>
      </c>
      <c r="F7095" s="3">
        <v>39052</v>
      </c>
      <c r="G7095" s="2"/>
      <c r="H7095" s="2"/>
      <c r="I7095" s="2"/>
      <c r="J7095" s="2" t="s">
        <v>13904</v>
      </c>
      <c r="K7095" s="2" t="s">
        <v>5657</v>
      </c>
      <c r="L7095" s="246" t="s">
        <v>22280</v>
      </c>
    </row>
    <row r="7096" spans="1:12" ht="84" customHeight="1" x14ac:dyDescent="0.3">
      <c r="A7096" s="2">
        <v>7092</v>
      </c>
      <c r="B7096" s="66" t="s">
        <v>8340</v>
      </c>
      <c r="C7096" s="66" t="s">
        <v>8347</v>
      </c>
      <c r="D7096" s="11">
        <v>16454.5</v>
      </c>
      <c r="E7096" s="11">
        <v>16454.5</v>
      </c>
      <c r="F7096" s="3">
        <v>39052</v>
      </c>
      <c r="G7096" s="2"/>
      <c r="H7096" s="2"/>
      <c r="I7096" s="2"/>
      <c r="J7096" s="2" t="s">
        <v>13904</v>
      </c>
      <c r="K7096" s="2" t="s">
        <v>5657</v>
      </c>
      <c r="L7096" s="246" t="s">
        <v>22280</v>
      </c>
    </row>
    <row r="7097" spans="1:12" ht="84" customHeight="1" x14ac:dyDescent="0.3">
      <c r="A7097" s="2">
        <v>7093</v>
      </c>
      <c r="B7097" s="66" t="s">
        <v>8340</v>
      </c>
      <c r="C7097" s="66" t="s">
        <v>8348</v>
      </c>
      <c r="D7097" s="11">
        <v>16454.5</v>
      </c>
      <c r="E7097" s="11">
        <v>16454.5</v>
      </c>
      <c r="F7097" s="3">
        <v>39052</v>
      </c>
      <c r="G7097" s="2"/>
      <c r="H7097" s="2"/>
      <c r="I7097" s="2"/>
      <c r="J7097" s="2" t="s">
        <v>13904</v>
      </c>
      <c r="K7097" s="2" t="s">
        <v>5657</v>
      </c>
      <c r="L7097" s="246" t="s">
        <v>22280</v>
      </c>
    </row>
    <row r="7098" spans="1:12" ht="84" customHeight="1" x14ac:dyDescent="0.3">
      <c r="A7098" s="2">
        <v>7094</v>
      </c>
      <c r="B7098" s="66" t="s">
        <v>8340</v>
      </c>
      <c r="C7098" s="66" t="s">
        <v>8349</v>
      </c>
      <c r="D7098" s="11">
        <v>16454.5</v>
      </c>
      <c r="E7098" s="11">
        <v>16454.5</v>
      </c>
      <c r="F7098" s="3">
        <v>39052</v>
      </c>
      <c r="G7098" s="2"/>
      <c r="H7098" s="2"/>
      <c r="I7098" s="2"/>
      <c r="J7098" s="2" t="s">
        <v>13904</v>
      </c>
      <c r="K7098" s="2" t="s">
        <v>5657</v>
      </c>
      <c r="L7098" s="246" t="s">
        <v>22280</v>
      </c>
    </row>
    <row r="7099" spans="1:12" ht="84" customHeight="1" x14ac:dyDescent="0.3">
      <c r="A7099" s="2">
        <v>7095</v>
      </c>
      <c r="B7099" s="66" t="s">
        <v>986</v>
      </c>
      <c r="C7099" s="66" t="s">
        <v>8350</v>
      </c>
      <c r="D7099" s="11">
        <v>43260</v>
      </c>
      <c r="E7099" s="11">
        <v>43260</v>
      </c>
      <c r="F7099" s="3">
        <v>39052</v>
      </c>
      <c r="G7099" s="2"/>
      <c r="H7099" s="2"/>
      <c r="I7099" s="2"/>
      <c r="J7099" s="2" t="s">
        <v>13904</v>
      </c>
      <c r="K7099" s="2" t="s">
        <v>5657</v>
      </c>
      <c r="L7099" s="246" t="s">
        <v>22280</v>
      </c>
    </row>
    <row r="7100" spans="1:12" ht="84" customHeight="1" x14ac:dyDescent="0.3">
      <c r="A7100" s="2">
        <v>7096</v>
      </c>
      <c r="B7100" s="66" t="s">
        <v>986</v>
      </c>
      <c r="C7100" s="66" t="s">
        <v>8351</v>
      </c>
      <c r="D7100" s="11">
        <v>43260</v>
      </c>
      <c r="E7100" s="11">
        <v>43260</v>
      </c>
      <c r="F7100" s="3">
        <v>39052</v>
      </c>
      <c r="G7100" s="2"/>
      <c r="H7100" s="2"/>
      <c r="I7100" s="2"/>
      <c r="J7100" s="2" t="s">
        <v>13904</v>
      </c>
      <c r="K7100" s="2" t="s">
        <v>5657</v>
      </c>
      <c r="L7100" s="246" t="s">
        <v>22280</v>
      </c>
    </row>
    <row r="7101" spans="1:12" ht="84" customHeight="1" x14ac:dyDescent="0.3">
      <c r="A7101" s="2">
        <v>7097</v>
      </c>
      <c r="B7101" s="66" t="s">
        <v>986</v>
      </c>
      <c r="C7101" s="66" t="s">
        <v>8352</v>
      </c>
      <c r="D7101" s="11">
        <v>43260</v>
      </c>
      <c r="E7101" s="11">
        <v>43260</v>
      </c>
      <c r="F7101" s="3">
        <v>39052</v>
      </c>
      <c r="G7101" s="2"/>
      <c r="H7101" s="2"/>
      <c r="I7101" s="2"/>
      <c r="J7101" s="2" t="s">
        <v>13904</v>
      </c>
      <c r="K7101" s="2" t="s">
        <v>5657</v>
      </c>
      <c r="L7101" s="246" t="s">
        <v>22280</v>
      </c>
    </row>
    <row r="7102" spans="1:12" ht="84" customHeight="1" x14ac:dyDescent="0.3">
      <c r="A7102" s="2">
        <v>7098</v>
      </c>
      <c r="B7102" s="66" t="s">
        <v>986</v>
      </c>
      <c r="C7102" s="66" t="s">
        <v>8353</v>
      </c>
      <c r="D7102" s="11">
        <v>43260</v>
      </c>
      <c r="E7102" s="11">
        <v>43260</v>
      </c>
      <c r="F7102" s="3">
        <v>39052</v>
      </c>
      <c r="G7102" s="2"/>
      <c r="H7102" s="2"/>
      <c r="I7102" s="2"/>
      <c r="J7102" s="2" t="s">
        <v>13904</v>
      </c>
      <c r="K7102" s="2" t="s">
        <v>5657</v>
      </c>
      <c r="L7102" s="246" t="s">
        <v>22280</v>
      </c>
    </row>
    <row r="7103" spans="1:12" ht="84" customHeight="1" x14ac:dyDescent="0.3">
      <c r="A7103" s="2">
        <v>7099</v>
      </c>
      <c r="B7103" s="66" t="s">
        <v>986</v>
      </c>
      <c r="C7103" s="66" t="s">
        <v>8354</v>
      </c>
      <c r="D7103" s="11">
        <v>43260</v>
      </c>
      <c r="E7103" s="11">
        <v>43260</v>
      </c>
      <c r="F7103" s="3">
        <v>39052</v>
      </c>
      <c r="G7103" s="2"/>
      <c r="H7103" s="2"/>
      <c r="I7103" s="2"/>
      <c r="J7103" s="2" t="s">
        <v>13904</v>
      </c>
      <c r="K7103" s="2" t="s">
        <v>5657</v>
      </c>
      <c r="L7103" s="246" t="s">
        <v>22280</v>
      </c>
    </row>
    <row r="7104" spans="1:12" ht="84" customHeight="1" x14ac:dyDescent="0.3">
      <c r="A7104" s="2">
        <v>7100</v>
      </c>
      <c r="B7104" s="66" t="s">
        <v>986</v>
      </c>
      <c r="C7104" s="66" t="s">
        <v>8355</v>
      </c>
      <c r="D7104" s="11">
        <v>43260</v>
      </c>
      <c r="E7104" s="11">
        <v>43260</v>
      </c>
      <c r="F7104" s="3">
        <v>39052</v>
      </c>
      <c r="G7104" s="2"/>
      <c r="H7104" s="2"/>
      <c r="I7104" s="2"/>
      <c r="J7104" s="2" t="s">
        <v>13904</v>
      </c>
      <c r="K7104" s="2" t="s">
        <v>5657</v>
      </c>
      <c r="L7104" s="246" t="s">
        <v>22280</v>
      </c>
    </row>
    <row r="7105" spans="1:12" ht="84" customHeight="1" x14ac:dyDescent="0.3">
      <c r="A7105" s="2">
        <v>7101</v>
      </c>
      <c r="B7105" s="66" t="s">
        <v>986</v>
      </c>
      <c r="C7105" s="66" t="s">
        <v>8356</v>
      </c>
      <c r="D7105" s="11">
        <v>43260</v>
      </c>
      <c r="E7105" s="11">
        <v>43260</v>
      </c>
      <c r="F7105" s="3">
        <v>39052</v>
      </c>
      <c r="G7105" s="2"/>
      <c r="H7105" s="2"/>
      <c r="I7105" s="2"/>
      <c r="J7105" s="2" t="s">
        <v>13904</v>
      </c>
      <c r="K7105" s="2" t="s">
        <v>5657</v>
      </c>
      <c r="L7105" s="246" t="s">
        <v>22280</v>
      </c>
    </row>
    <row r="7106" spans="1:12" ht="84" customHeight="1" x14ac:dyDescent="0.3">
      <c r="A7106" s="2">
        <v>7102</v>
      </c>
      <c r="B7106" s="66" t="s">
        <v>8357</v>
      </c>
      <c r="C7106" s="66" t="s">
        <v>8358</v>
      </c>
      <c r="D7106" s="11">
        <v>3168.8</v>
      </c>
      <c r="E7106" s="11">
        <v>3168.8</v>
      </c>
      <c r="F7106" s="3">
        <v>39052</v>
      </c>
      <c r="G7106" s="2"/>
      <c r="H7106" s="2"/>
      <c r="I7106" s="2"/>
      <c r="J7106" s="2" t="s">
        <v>13904</v>
      </c>
      <c r="K7106" s="2" t="s">
        <v>5657</v>
      </c>
      <c r="L7106" s="246" t="s">
        <v>22280</v>
      </c>
    </row>
    <row r="7107" spans="1:12" ht="84" customHeight="1" x14ac:dyDescent="0.3">
      <c r="A7107" s="2">
        <v>7103</v>
      </c>
      <c r="B7107" s="66" t="s">
        <v>8359</v>
      </c>
      <c r="C7107" s="66" t="s">
        <v>8360</v>
      </c>
      <c r="D7107" s="11">
        <v>33280</v>
      </c>
      <c r="E7107" s="11">
        <v>33280</v>
      </c>
      <c r="F7107" s="3">
        <v>39052</v>
      </c>
      <c r="G7107" s="2"/>
      <c r="H7107" s="2"/>
      <c r="I7107" s="2"/>
      <c r="J7107" s="2" t="s">
        <v>13904</v>
      </c>
      <c r="K7107" s="2" t="s">
        <v>5657</v>
      </c>
      <c r="L7107" s="246" t="s">
        <v>22280</v>
      </c>
    </row>
    <row r="7108" spans="1:12" ht="84" customHeight="1" x14ac:dyDescent="0.3">
      <c r="A7108" s="2">
        <v>7104</v>
      </c>
      <c r="B7108" s="66" t="s">
        <v>8361</v>
      </c>
      <c r="C7108" s="66" t="s">
        <v>8362</v>
      </c>
      <c r="D7108" s="11">
        <v>5865</v>
      </c>
      <c r="E7108" s="11">
        <v>5865</v>
      </c>
      <c r="F7108" s="3">
        <v>39806</v>
      </c>
      <c r="G7108" s="2"/>
      <c r="H7108" s="2"/>
      <c r="I7108" s="2"/>
      <c r="J7108" s="2" t="s">
        <v>13904</v>
      </c>
      <c r="K7108" s="2" t="s">
        <v>5657</v>
      </c>
      <c r="L7108" s="246" t="s">
        <v>22280</v>
      </c>
    </row>
    <row r="7109" spans="1:12" ht="84" customHeight="1" x14ac:dyDescent="0.3">
      <c r="A7109" s="2">
        <v>7105</v>
      </c>
      <c r="B7109" s="66" t="s">
        <v>8363</v>
      </c>
      <c r="C7109" s="66" t="s">
        <v>8364</v>
      </c>
      <c r="D7109" s="11">
        <v>5569.2</v>
      </c>
      <c r="E7109" s="11">
        <v>5569.2</v>
      </c>
      <c r="F7109" s="3">
        <v>39052</v>
      </c>
      <c r="G7109" s="2"/>
      <c r="H7109" s="2"/>
      <c r="I7109" s="2"/>
      <c r="J7109" s="2" t="s">
        <v>13904</v>
      </c>
      <c r="K7109" s="2" t="s">
        <v>5657</v>
      </c>
      <c r="L7109" s="246" t="s">
        <v>22280</v>
      </c>
    </row>
    <row r="7110" spans="1:12" ht="84" customHeight="1" x14ac:dyDescent="0.3">
      <c r="A7110" s="2">
        <v>7106</v>
      </c>
      <c r="B7110" s="66" t="s">
        <v>8365</v>
      </c>
      <c r="C7110" s="66" t="s">
        <v>8366</v>
      </c>
      <c r="D7110" s="11">
        <v>5569.2</v>
      </c>
      <c r="E7110" s="11">
        <v>5569.2</v>
      </c>
      <c r="F7110" s="3">
        <v>39052</v>
      </c>
      <c r="G7110" s="2"/>
      <c r="H7110" s="2"/>
      <c r="I7110" s="2"/>
      <c r="J7110" s="2" t="s">
        <v>13904</v>
      </c>
      <c r="K7110" s="2" t="s">
        <v>5657</v>
      </c>
      <c r="L7110" s="246" t="s">
        <v>22280</v>
      </c>
    </row>
    <row r="7111" spans="1:12" ht="84" customHeight="1" x14ac:dyDescent="0.3">
      <c r="A7111" s="2">
        <v>7107</v>
      </c>
      <c r="B7111" s="66" t="s">
        <v>8365</v>
      </c>
      <c r="C7111" s="66" t="s">
        <v>8367</v>
      </c>
      <c r="D7111" s="11">
        <v>5569.2</v>
      </c>
      <c r="E7111" s="11">
        <v>5569.2</v>
      </c>
      <c r="F7111" s="3">
        <v>39052</v>
      </c>
      <c r="G7111" s="2"/>
      <c r="H7111" s="2"/>
      <c r="I7111" s="2"/>
      <c r="J7111" s="2" t="s">
        <v>13904</v>
      </c>
      <c r="K7111" s="2" t="s">
        <v>5657</v>
      </c>
      <c r="L7111" s="246" t="s">
        <v>22280</v>
      </c>
    </row>
    <row r="7112" spans="1:12" ht="84" customHeight="1" x14ac:dyDescent="0.3">
      <c r="A7112" s="2">
        <v>7108</v>
      </c>
      <c r="B7112" s="66" t="s">
        <v>8365</v>
      </c>
      <c r="C7112" s="66" t="s">
        <v>8368</v>
      </c>
      <c r="D7112" s="11">
        <v>5569.2</v>
      </c>
      <c r="E7112" s="11">
        <v>5569.2</v>
      </c>
      <c r="F7112" s="3">
        <v>39052</v>
      </c>
      <c r="G7112" s="2"/>
      <c r="H7112" s="2"/>
      <c r="I7112" s="2"/>
      <c r="J7112" s="2" t="s">
        <v>13904</v>
      </c>
      <c r="K7112" s="2" t="s">
        <v>5657</v>
      </c>
      <c r="L7112" s="246" t="s">
        <v>22280</v>
      </c>
    </row>
    <row r="7113" spans="1:12" ht="84" customHeight="1" x14ac:dyDescent="0.3">
      <c r="A7113" s="2">
        <v>7109</v>
      </c>
      <c r="B7113" s="66" t="s">
        <v>8365</v>
      </c>
      <c r="C7113" s="66" t="s">
        <v>8369</v>
      </c>
      <c r="D7113" s="11">
        <v>5569.2</v>
      </c>
      <c r="E7113" s="11">
        <v>5569.2</v>
      </c>
      <c r="F7113" s="3">
        <v>39052</v>
      </c>
      <c r="G7113" s="2"/>
      <c r="H7113" s="2"/>
      <c r="I7113" s="2"/>
      <c r="J7113" s="2" t="s">
        <v>13904</v>
      </c>
      <c r="K7113" s="2" t="s">
        <v>5657</v>
      </c>
      <c r="L7113" s="246" t="s">
        <v>22280</v>
      </c>
    </row>
    <row r="7114" spans="1:12" ht="84" customHeight="1" x14ac:dyDescent="0.3">
      <c r="A7114" s="2">
        <v>7110</v>
      </c>
      <c r="B7114" s="66" t="s">
        <v>8365</v>
      </c>
      <c r="C7114" s="66" t="s">
        <v>8370</v>
      </c>
      <c r="D7114" s="11">
        <v>5569.2</v>
      </c>
      <c r="E7114" s="11">
        <v>5569.2</v>
      </c>
      <c r="F7114" s="3">
        <v>39052</v>
      </c>
      <c r="G7114" s="2"/>
      <c r="H7114" s="2"/>
      <c r="I7114" s="2"/>
      <c r="J7114" s="2" t="s">
        <v>13904</v>
      </c>
      <c r="K7114" s="2" t="s">
        <v>5657</v>
      </c>
      <c r="L7114" s="246" t="s">
        <v>22280</v>
      </c>
    </row>
    <row r="7115" spans="1:12" ht="84" customHeight="1" x14ac:dyDescent="0.3">
      <c r="A7115" s="2">
        <v>7111</v>
      </c>
      <c r="B7115" s="66" t="s">
        <v>8365</v>
      </c>
      <c r="C7115" s="66" t="s">
        <v>8371</v>
      </c>
      <c r="D7115" s="11">
        <v>5569.2</v>
      </c>
      <c r="E7115" s="11">
        <v>5569.2</v>
      </c>
      <c r="F7115" s="3">
        <v>39052</v>
      </c>
      <c r="G7115" s="2"/>
      <c r="H7115" s="2"/>
      <c r="I7115" s="2"/>
      <c r="J7115" s="2" t="s">
        <v>13904</v>
      </c>
      <c r="K7115" s="2" t="s">
        <v>5657</v>
      </c>
      <c r="L7115" s="246" t="s">
        <v>22280</v>
      </c>
    </row>
    <row r="7116" spans="1:12" ht="84" customHeight="1" x14ac:dyDescent="0.3">
      <c r="A7116" s="2">
        <v>7112</v>
      </c>
      <c r="B7116" s="66" t="s">
        <v>8365</v>
      </c>
      <c r="C7116" s="66" t="s">
        <v>8372</v>
      </c>
      <c r="D7116" s="11">
        <v>5569.2</v>
      </c>
      <c r="E7116" s="11">
        <v>5569.2</v>
      </c>
      <c r="F7116" s="3">
        <v>39052</v>
      </c>
      <c r="G7116" s="2"/>
      <c r="H7116" s="2"/>
      <c r="I7116" s="2"/>
      <c r="J7116" s="2" t="s">
        <v>13904</v>
      </c>
      <c r="K7116" s="2" t="s">
        <v>5657</v>
      </c>
      <c r="L7116" s="246" t="s">
        <v>22280</v>
      </c>
    </row>
    <row r="7117" spans="1:12" ht="84" customHeight="1" x14ac:dyDescent="0.3">
      <c r="A7117" s="2">
        <v>7113</v>
      </c>
      <c r="B7117" s="66" t="s">
        <v>8365</v>
      </c>
      <c r="C7117" s="66" t="s">
        <v>8373</v>
      </c>
      <c r="D7117" s="11">
        <v>5569.2</v>
      </c>
      <c r="E7117" s="11">
        <v>5569.2</v>
      </c>
      <c r="F7117" s="3">
        <v>39052</v>
      </c>
      <c r="G7117" s="2"/>
      <c r="H7117" s="2"/>
      <c r="I7117" s="2"/>
      <c r="J7117" s="2" t="s">
        <v>13904</v>
      </c>
      <c r="K7117" s="2" t="s">
        <v>5657</v>
      </c>
      <c r="L7117" s="246" t="s">
        <v>22280</v>
      </c>
    </row>
    <row r="7118" spans="1:12" ht="84" customHeight="1" x14ac:dyDescent="0.3">
      <c r="A7118" s="2">
        <v>7114</v>
      </c>
      <c r="B7118" s="66" t="s">
        <v>8365</v>
      </c>
      <c r="C7118" s="66" t="s">
        <v>8374</v>
      </c>
      <c r="D7118" s="11">
        <v>5569.2</v>
      </c>
      <c r="E7118" s="11">
        <v>5569.2</v>
      </c>
      <c r="F7118" s="3">
        <v>39052</v>
      </c>
      <c r="G7118" s="2"/>
      <c r="H7118" s="2"/>
      <c r="I7118" s="2"/>
      <c r="J7118" s="2" t="s">
        <v>13904</v>
      </c>
      <c r="K7118" s="2" t="s">
        <v>5657</v>
      </c>
      <c r="L7118" s="246" t="s">
        <v>22280</v>
      </c>
    </row>
    <row r="7119" spans="1:12" ht="84" customHeight="1" x14ac:dyDescent="0.3">
      <c r="A7119" s="2">
        <v>7115</v>
      </c>
      <c r="B7119" s="66" t="s">
        <v>8365</v>
      </c>
      <c r="C7119" s="66" t="s">
        <v>8375</v>
      </c>
      <c r="D7119" s="11">
        <v>5569.2</v>
      </c>
      <c r="E7119" s="11">
        <v>5569.2</v>
      </c>
      <c r="F7119" s="3">
        <v>39052</v>
      </c>
      <c r="G7119" s="2"/>
      <c r="H7119" s="2"/>
      <c r="I7119" s="2"/>
      <c r="J7119" s="2" t="s">
        <v>13904</v>
      </c>
      <c r="K7119" s="2" t="s">
        <v>5657</v>
      </c>
      <c r="L7119" s="246" t="s">
        <v>22280</v>
      </c>
    </row>
    <row r="7120" spans="1:12" ht="84" customHeight="1" x14ac:dyDescent="0.3">
      <c r="A7120" s="2">
        <v>7116</v>
      </c>
      <c r="B7120" s="66" t="s">
        <v>8365</v>
      </c>
      <c r="C7120" s="66" t="s">
        <v>8376</v>
      </c>
      <c r="D7120" s="11">
        <v>5569.2</v>
      </c>
      <c r="E7120" s="11">
        <v>5569.2</v>
      </c>
      <c r="F7120" s="3">
        <v>39052</v>
      </c>
      <c r="G7120" s="2"/>
      <c r="H7120" s="2"/>
      <c r="I7120" s="2"/>
      <c r="J7120" s="2" t="s">
        <v>13904</v>
      </c>
      <c r="K7120" s="2" t="s">
        <v>5657</v>
      </c>
      <c r="L7120" s="246" t="s">
        <v>22280</v>
      </c>
    </row>
    <row r="7121" spans="1:12" ht="84" customHeight="1" x14ac:dyDescent="0.3">
      <c r="A7121" s="2">
        <v>7117</v>
      </c>
      <c r="B7121" s="66" t="s">
        <v>8365</v>
      </c>
      <c r="C7121" s="66" t="s">
        <v>8377</v>
      </c>
      <c r="D7121" s="11">
        <v>5569.2</v>
      </c>
      <c r="E7121" s="11">
        <v>5569.2</v>
      </c>
      <c r="F7121" s="3">
        <v>39052</v>
      </c>
      <c r="G7121" s="2"/>
      <c r="H7121" s="2"/>
      <c r="I7121" s="2"/>
      <c r="J7121" s="2" t="s">
        <v>13904</v>
      </c>
      <c r="K7121" s="2" t="s">
        <v>5657</v>
      </c>
      <c r="L7121" s="246" t="s">
        <v>22280</v>
      </c>
    </row>
    <row r="7122" spans="1:12" ht="84" customHeight="1" x14ac:dyDescent="0.3">
      <c r="A7122" s="2">
        <v>7118</v>
      </c>
      <c r="B7122" s="66" t="s">
        <v>8365</v>
      </c>
      <c r="C7122" s="66" t="s">
        <v>8378</v>
      </c>
      <c r="D7122" s="11">
        <v>5569.2</v>
      </c>
      <c r="E7122" s="11">
        <v>5569.2</v>
      </c>
      <c r="F7122" s="3">
        <v>39052</v>
      </c>
      <c r="G7122" s="2"/>
      <c r="H7122" s="2"/>
      <c r="I7122" s="2"/>
      <c r="J7122" s="2" t="s">
        <v>13904</v>
      </c>
      <c r="K7122" s="2" t="s">
        <v>5657</v>
      </c>
      <c r="L7122" s="246" t="s">
        <v>22280</v>
      </c>
    </row>
    <row r="7123" spans="1:12" ht="84" customHeight="1" x14ac:dyDescent="0.3">
      <c r="A7123" s="2">
        <v>7119</v>
      </c>
      <c r="B7123" s="66" t="s">
        <v>8379</v>
      </c>
      <c r="C7123" s="66" t="s">
        <v>8380</v>
      </c>
      <c r="D7123" s="11">
        <v>4831.1899999999996</v>
      </c>
      <c r="E7123" s="11">
        <v>4831.1899999999996</v>
      </c>
      <c r="F7123" s="3">
        <v>39052</v>
      </c>
      <c r="G7123" s="2"/>
      <c r="H7123" s="2"/>
      <c r="I7123" s="2"/>
      <c r="J7123" s="2" t="s">
        <v>13904</v>
      </c>
      <c r="K7123" s="2" t="s">
        <v>5657</v>
      </c>
      <c r="L7123" s="246" t="s">
        <v>22280</v>
      </c>
    </row>
    <row r="7124" spans="1:12" ht="84" customHeight="1" x14ac:dyDescent="0.3">
      <c r="A7124" s="2">
        <v>7120</v>
      </c>
      <c r="B7124" s="66" t="s">
        <v>8381</v>
      </c>
      <c r="C7124" s="66" t="s">
        <v>8382</v>
      </c>
      <c r="D7124" s="11">
        <v>8093.94</v>
      </c>
      <c r="E7124" s="11">
        <v>8093.94</v>
      </c>
      <c r="F7124" s="3">
        <v>39052</v>
      </c>
      <c r="G7124" s="2"/>
      <c r="H7124" s="2"/>
      <c r="I7124" s="2"/>
      <c r="J7124" s="2" t="s">
        <v>13904</v>
      </c>
      <c r="K7124" s="2" t="s">
        <v>5657</v>
      </c>
      <c r="L7124" s="246" t="s">
        <v>22280</v>
      </c>
    </row>
    <row r="7125" spans="1:12" ht="84" customHeight="1" x14ac:dyDescent="0.3">
      <c r="A7125" s="2">
        <v>7121</v>
      </c>
      <c r="B7125" s="66" t="s">
        <v>8383</v>
      </c>
      <c r="C7125" s="66" t="s">
        <v>8384</v>
      </c>
      <c r="D7125" s="11">
        <v>7298.34</v>
      </c>
      <c r="E7125" s="11">
        <v>7298.34</v>
      </c>
      <c r="F7125" s="3">
        <v>39052</v>
      </c>
      <c r="G7125" s="2"/>
      <c r="H7125" s="2"/>
      <c r="I7125" s="2"/>
      <c r="J7125" s="2" t="s">
        <v>13904</v>
      </c>
      <c r="K7125" s="2" t="s">
        <v>5657</v>
      </c>
      <c r="L7125" s="246" t="s">
        <v>22280</v>
      </c>
    </row>
    <row r="7126" spans="1:12" ht="84" customHeight="1" x14ac:dyDescent="0.3">
      <c r="A7126" s="2">
        <v>7122</v>
      </c>
      <c r="B7126" s="66" t="s">
        <v>6952</v>
      </c>
      <c r="C7126" s="66" t="s">
        <v>8385</v>
      </c>
      <c r="D7126" s="11">
        <v>7298.34</v>
      </c>
      <c r="E7126" s="11">
        <v>7298.34</v>
      </c>
      <c r="F7126" s="3">
        <v>39052</v>
      </c>
      <c r="G7126" s="2"/>
      <c r="H7126" s="2"/>
      <c r="I7126" s="2"/>
      <c r="J7126" s="2" t="s">
        <v>13904</v>
      </c>
      <c r="K7126" s="2" t="s">
        <v>5657</v>
      </c>
      <c r="L7126" s="246" t="s">
        <v>22280</v>
      </c>
    </row>
    <row r="7127" spans="1:12" ht="84" customHeight="1" x14ac:dyDescent="0.3">
      <c r="A7127" s="2">
        <v>7123</v>
      </c>
      <c r="B7127" s="66" t="s">
        <v>8078</v>
      </c>
      <c r="C7127" s="66" t="s">
        <v>8386</v>
      </c>
      <c r="D7127" s="11">
        <v>5456.52</v>
      </c>
      <c r="E7127" s="11">
        <v>5456.52</v>
      </c>
      <c r="F7127" s="3">
        <v>39052</v>
      </c>
      <c r="G7127" s="2"/>
      <c r="H7127" s="2"/>
      <c r="I7127" s="2"/>
      <c r="J7127" s="2" t="s">
        <v>13904</v>
      </c>
      <c r="K7127" s="2" t="s">
        <v>5657</v>
      </c>
      <c r="L7127" s="246" t="s">
        <v>22280</v>
      </c>
    </row>
    <row r="7128" spans="1:12" ht="84" customHeight="1" x14ac:dyDescent="0.3">
      <c r="A7128" s="2">
        <v>7124</v>
      </c>
      <c r="B7128" s="66" t="s">
        <v>8078</v>
      </c>
      <c r="C7128" s="66" t="s">
        <v>8387</v>
      </c>
      <c r="D7128" s="11">
        <v>5456.52</v>
      </c>
      <c r="E7128" s="11">
        <v>5456.52</v>
      </c>
      <c r="F7128" s="3">
        <v>39052</v>
      </c>
      <c r="G7128" s="2"/>
      <c r="H7128" s="2"/>
      <c r="I7128" s="2"/>
      <c r="J7128" s="2" t="s">
        <v>13904</v>
      </c>
      <c r="K7128" s="2" t="s">
        <v>5657</v>
      </c>
      <c r="L7128" s="246" t="s">
        <v>22280</v>
      </c>
    </row>
    <row r="7129" spans="1:12" ht="84" customHeight="1" x14ac:dyDescent="0.3">
      <c r="A7129" s="2">
        <v>7125</v>
      </c>
      <c r="B7129" s="66" t="s">
        <v>8357</v>
      </c>
      <c r="C7129" s="66" t="s">
        <v>8388</v>
      </c>
      <c r="D7129" s="11">
        <v>3168.8</v>
      </c>
      <c r="E7129" s="11">
        <v>3168.8</v>
      </c>
      <c r="F7129" s="3">
        <v>39052</v>
      </c>
      <c r="G7129" s="2"/>
      <c r="H7129" s="2"/>
      <c r="I7129" s="2"/>
      <c r="J7129" s="2" t="s">
        <v>13904</v>
      </c>
      <c r="K7129" s="2" t="s">
        <v>5657</v>
      </c>
      <c r="L7129" s="246" t="s">
        <v>22280</v>
      </c>
    </row>
    <row r="7130" spans="1:12" ht="84" customHeight="1" x14ac:dyDescent="0.3">
      <c r="A7130" s="2">
        <v>7126</v>
      </c>
      <c r="B7130" s="66" t="s">
        <v>8389</v>
      </c>
      <c r="C7130" s="66" t="s">
        <v>8390</v>
      </c>
      <c r="D7130" s="11">
        <v>5250</v>
      </c>
      <c r="E7130" s="11">
        <v>5250</v>
      </c>
      <c r="F7130" s="3">
        <v>39806</v>
      </c>
      <c r="G7130" s="2"/>
      <c r="H7130" s="2"/>
      <c r="I7130" s="2"/>
      <c r="J7130" s="2" t="s">
        <v>13904</v>
      </c>
      <c r="K7130" s="2" t="s">
        <v>5657</v>
      </c>
      <c r="L7130" s="246" t="s">
        <v>22280</v>
      </c>
    </row>
    <row r="7131" spans="1:12" ht="84" customHeight="1" x14ac:dyDescent="0.3">
      <c r="A7131" s="2">
        <v>7127</v>
      </c>
      <c r="B7131" s="66" t="s">
        <v>8389</v>
      </c>
      <c r="C7131" s="66" t="s">
        <v>8391</v>
      </c>
      <c r="D7131" s="11">
        <v>5250</v>
      </c>
      <c r="E7131" s="11">
        <v>5250</v>
      </c>
      <c r="F7131" s="3">
        <v>39806</v>
      </c>
      <c r="G7131" s="2"/>
      <c r="H7131" s="2"/>
      <c r="I7131" s="2"/>
      <c r="J7131" s="2" t="s">
        <v>13904</v>
      </c>
      <c r="K7131" s="2" t="s">
        <v>5657</v>
      </c>
      <c r="L7131" s="246" t="s">
        <v>22280</v>
      </c>
    </row>
    <row r="7132" spans="1:12" ht="84" customHeight="1" x14ac:dyDescent="0.3">
      <c r="A7132" s="2">
        <v>7128</v>
      </c>
      <c r="B7132" s="66" t="s">
        <v>8389</v>
      </c>
      <c r="C7132" s="66" t="s">
        <v>8392</v>
      </c>
      <c r="D7132" s="11">
        <v>5250</v>
      </c>
      <c r="E7132" s="11">
        <v>5250</v>
      </c>
      <c r="F7132" s="3">
        <v>39806</v>
      </c>
      <c r="G7132" s="2"/>
      <c r="H7132" s="2"/>
      <c r="I7132" s="2"/>
      <c r="J7132" s="2" t="s">
        <v>13904</v>
      </c>
      <c r="K7132" s="2" t="s">
        <v>5657</v>
      </c>
      <c r="L7132" s="246" t="s">
        <v>22280</v>
      </c>
    </row>
    <row r="7133" spans="1:12" ht="84" customHeight="1" x14ac:dyDescent="0.3">
      <c r="A7133" s="2">
        <v>7129</v>
      </c>
      <c r="B7133" s="66" t="s">
        <v>8389</v>
      </c>
      <c r="C7133" s="66" t="s">
        <v>8393</v>
      </c>
      <c r="D7133" s="11">
        <v>5250</v>
      </c>
      <c r="E7133" s="11">
        <v>5250</v>
      </c>
      <c r="F7133" s="3">
        <v>39806</v>
      </c>
      <c r="G7133" s="2"/>
      <c r="H7133" s="2"/>
      <c r="I7133" s="2"/>
      <c r="J7133" s="2" t="s">
        <v>13904</v>
      </c>
      <c r="K7133" s="2" t="s">
        <v>5657</v>
      </c>
      <c r="L7133" s="246" t="s">
        <v>22280</v>
      </c>
    </row>
    <row r="7134" spans="1:12" ht="84" customHeight="1" x14ac:dyDescent="0.3">
      <c r="A7134" s="2">
        <v>7130</v>
      </c>
      <c r="B7134" s="66" t="s">
        <v>8389</v>
      </c>
      <c r="C7134" s="66" t="s">
        <v>8394</v>
      </c>
      <c r="D7134" s="11">
        <v>5250</v>
      </c>
      <c r="E7134" s="11">
        <v>5250</v>
      </c>
      <c r="F7134" s="3">
        <v>39806</v>
      </c>
      <c r="G7134" s="2"/>
      <c r="H7134" s="2"/>
      <c r="I7134" s="2"/>
      <c r="J7134" s="2" t="s">
        <v>13904</v>
      </c>
      <c r="K7134" s="2" t="s">
        <v>5657</v>
      </c>
      <c r="L7134" s="246" t="s">
        <v>22280</v>
      </c>
    </row>
    <row r="7135" spans="1:12" ht="84" customHeight="1" x14ac:dyDescent="0.3">
      <c r="A7135" s="2">
        <v>7131</v>
      </c>
      <c r="B7135" s="66" t="s">
        <v>8389</v>
      </c>
      <c r="C7135" s="66" t="s">
        <v>8395</v>
      </c>
      <c r="D7135" s="11">
        <v>5250</v>
      </c>
      <c r="E7135" s="11">
        <v>5250</v>
      </c>
      <c r="F7135" s="3">
        <v>39806</v>
      </c>
      <c r="G7135" s="2"/>
      <c r="H7135" s="2"/>
      <c r="I7135" s="2"/>
      <c r="J7135" s="2" t="s">
        <v>13904</v>
      </c>
      <c r="K7135" s="2" t="s">
        <v>5657</v>
      </c>
      <c r="L7135" s="246" t="s">
        <v>22280</v>
      </c>
    </row>
    <row r="7136" spans="1:12" ht="84" customHeight="1" x14ac:dyDescent="0.3">
      <c r="A7136" s="2">
        <v>7132</v>
      </c>
      <c r="B7136" s="66" t="s">
        <v>8389</v>
      </c>
      <c r="C7136" s="66" t="s">
        <v>8396</v>
      </c>
      <c r="D7136" s="11">
        <v>5250</v>
      </c>
      <c r="E7136" s="11">
        <v>5250</v>
      </c>
      <c r="F7136" s="3">
        <v>39806</v>
      </c>
      <c r="G7136" s="2"/>
      <c r="H7136" s="2"/>
      <c r="I7136" s="2"/>
      <c r="J7136" s="2" t="s">
        <v>13904</v>
      </c>
      <c r="K7136" s="2" t="s">
        <v>5657</v>
      </c>
      <c r="L7136" s="246" t="s">
        <v>22280</v>
      </c>
    </row>
    <row r="7137" spans="1:12" ht="84" customHeight="1" x14ac:dyDescent="0.3">
      <c r="A7137" s="2">
        <v>7133</v>
      </c>
      <c r="B7137" s="66" t="s">
        <v>8389</v>
      </c>
      <c r="C7137" s="66" t="s">
        <v>8397</v>
      </c>
      <c r="D7137" s="11">
        <v>5250</v>
      </c>
      <c r="E7137" s="11">
        <v>5250</v>
      </c>
      <c r="F7137" s="3">
        <v>39806</v>
      </c>
      <c r="G7137" s="2"/>
      <c r="H7137" s="2"/>
      <c r="I7137" s="2"/>
      <c r="J7137" s="2" t="s">
        <v>13904</v>
      </c>
      <c r="K7137" s="2" t="s">
        <v>5657</v>
      </c>
      <c r="L7137" s="246" t="s">
        <v>22280</v>
      </c>
    </row>
    <row r="7138" spans="1:12" ht="84" customHeight="1" x14ac:dyDescent="0.3">
      <c r="A7138" s="2">
        <v>7134</v>
      </c>
      <c r="B7138" s="66" t="s">
        <v>8389</v>
      </c>
      <c r="C7138" s="66" t="s">
        <v>8398</v>
      </c>
      <c r="D7138" s="11">
        <v>5250</v>
      </c>
      <c r="E7138" s="11">
        <v>5250</v>
      </c>
      <c r="F7138" s="3">
        <v>39806</v>
      </c>
      <c r="G7138" s="2"/>
      <c r="H7138" s="2"/>
      <c r="I7138" s="2"/>
      <c r="J7138" s="2" t="s">
        <v>13904</v>
      </c>
      <c r="K7138" s="2" t="s">
        <v>5657</v>
      </c>
      <c r="L7138" s="246" t="s">
        <v>22280</v>
      </c>
    </row>
    <row r="7139" spans="1:12" ht="84" customHeight="1" x14ac:dyDescent="0.3">
      <c r="A7139" s="2">
        <v>7135</v>
      </c>
      <c r="B7139" s="66" t="s">
        <v>8389</v>
      </c>
      <c r="C7139" s="66" t="s">
        <v>8399</v>
      </c>
      <c r="D7139" s="11">
        <v>5250</v>
      </c>
      <c r="E7139" s="11">
        <v>5250</v>
      </c>
      <c r="F7139" s="3">
        <v>39806</v>
      </c>
      <c r="G7139" s="2"/>
      <c r="H7139" s="2"/>
      <c r="I7139" s="2"/>
      <c r="J7139" s="2" t="s">
        <v>13904</v>
      </c>
      <c r="K7139" s="2" t="s">
        <v>5657</v>
      </c>
      <c r="L7139" s="246" t="s">
        <v>22280</v>
      </c>
    </row>
    <row r="7140" spans="1:12" ht="84" customHeight="1" x14ac:dyDescent="0.3">
      <c r="A7140" s="2">
        <v>7136</v>
      </c>
      <c r="B7140" s="66" t="s">
        <v>8389</v>
      </c>
      <c r="C7140" s="66" t="s">
        <v>8400</v>
      </c>
      <c r="D7140" s="11">
        <v>5250</v>
      </c>
      <c r="E7140" s="11">
        <v>5250</v>
      </c>
      <c r="F7140" s="3">
        <v>39806</v>
      </c>
      <c r="G7140" s="2"/>
      <c r="H7140" s="2"/>
      <c r="I7140" s="2"/>
      <c r="J7140" s="2" t="s">
        <v>13904</v>
      </c>
      <c r="K7140" s="2" t="s">
        <v>5657</v>
      </c>
      <c r="L7140" s="246" t="s">
        <v>22280</v>
      </c>
    </row>
    <row r="7141" spans="1:12" ht="84" customHeight="1" x14ac:dyDescent="0.3">
      <c r="A7141" s="2">
        <v>7137</v>
      </c>
      <c r="B7141" s="66" t="s">
        <v>8389</v>
      </c>
      <c r="C7141" s="66" t="s">
        <v>8401</v>
      </c>
      <c r="D7141" s="11">
        <v>5250</v>
      </c>
      <c r="E7141" s="11">
        <v>5250</v>
      </c>
      <c r="F7141" s="3">
        <v>39806</v>
      </c>
      <c r="G7141" s="2"/>
      <c r="H7141" s="2"/>
      <c r="I7141" s="2"/>
      <c r="J7141" s="2" t="s">
        <v>13904</v>
      </c>
      <c r="K7141" s="2" t="s">
        <v>5657</v>
      </c>
      <c r="L7141" s="246" t="s">
        <v>22280</v>
      </c>
    </row>
    <row r="7142" spans="1:12" ht="84" customHeight="1" x14ac:dyDescent="0.3">
      <c r="A7142" s="2">
        <v>7138</v>
      </c>
      <c r="B7142" s="66" t="s">
        <v>8389</v>
      </c>
      <c r="C7142" s="66" t="s">
        <v>8402</v>
      </c>
      <c r="D7142" s="11">
        <v>5250</v>
      </c>
      <c r="E7142" s="11">
        <v>5250</v>
      </c>
      <c r="F7142" s="3">
        <v>39806</v>
      </c>
      <c r="G7142" s="2"/>
      <c r="H7142" s="2"/>
      <c r="I7142" s="2"/>
      <c r="J7142" s="2" t="s">
        <v>13904</v>
      </c>
      <c r="K7142" s="2" t="s">
        <v>5657</v>
      </c>
      <c r="L7142" s="246" t="s">
        <v>22280</v>
      </c>
    </row>
    <row r="7143" spans="1:12" ht="84" customHeight="1" x14ac:dyDescent="0.3">
      <c r="A7143" s="2">
        <v>7139</v>
      </c>
      <c r="B7143" s="66" t="s">
        <v>8389</v>
      </c>
      <c r="C7143" s="66" t="s">
        <v>8403</v>
      </c>
      <c r="D7143" s="11">
        <v>5250</v>
      </c>
      <c r="E7143" s="11">
        <v>5250</v>
      </c>
      <c r="F7143" s="3">
        <v>39806</v>
      </c>
      <c r="G7143" s="2"/>
      <c r="H7143" s="2"/>
      <c r="I7143" s="2"/>
      <c r="J7143" s="2" t="s">
        <v>13904</v>
      </c>
      <c r="K7143" s="2" t="s">
        <v>5657</v>
      </c>
      <c r="L7143" s="246" t="s">
        <v>22280</v>
      </c>
    </row>
    <row r="7144" spans="1:12" ht="84" customHeight="1" x14ac:dyDescent="0.3">
      <c r="A7144" s="2">
        <v>7140</v>
      </c>
      <c r="B7144" s="66" t="s">
        <v>8389</v>
      </c>
      <c r="C7144" s="66" t="s">
        <v>8404</v>
      </c>
      <c r="D7144" s="11">
        <v>5250</v>
      </c>
      <c r="E7144" s="11">
        <v>5250</v>
      </c>
      <c r="F7144" s="3">
        <v>39806</v>
      </c>
      <c r="G7144" s="2"/>
      <c r="H7144" s="2"/>
      <c r="I7144" s="2"/>
      <c r="J7144" s="2" t="s">
        <v>13904</v>
      </c>
      <c r="K7144" s="2" t="s">
        <v>5657</v>
      </c>
      <c r="L7144" s="246" t="s">
        <v>22280</v>
      </c>
    </row>
    <row r="7145" spans="1:12" ht="84" customHeight="1" x14ac:dyDescent="0.3">
      <c r="A7145" s="2">
        <v>7141</v>
      </c>
      <c r="B7145" s="66" t="s">
        <v>8389</v>
      </c>
      <c r="C7145" s="66" t="s">
        <v>8405</v>
      </c>
      <c r="D7145" s="11">
        <v>5250</v>
      </c>
      <c r="E7145" s="11">
        <v>5250</v>
      </c>
      <c r="F7145" s="3">
        <v>39806</v>
      </c>
      <c r="G7145" s="2"/>
      <c r="H7145" s="2"/>
      <c r="I7145" s="2"/>
      <c r="J7145" s="2" t="s">
        <v>13904</v>
      </c>
      <c r="K7145" s="2" t="s">
        <v>5657</v>
      </c>
      <c r="L7145" s="246" t="s">
        <v>22280</v>
      </c>
    </row>
    <row r="7146" spans="1:12" ht="84" customHeight="1" x14ac:dyDescent="0.3">
      <c r="A7146" s="2">
        <v>7142</v>
      </c>
      <c r="B7146" s="66" t="s">
        <v>8389</v>
      </c>
      <c r="C7146" s="66" t="s">
        <v>8406</v>
      </c>
      <c r="D7146" s="11">
        <v>5250</v>
      </c>
      <c r="E7146" s="11">
        <v>5250</v>
      </c>
      <c r="F7146" s="3">
        <v>39806</v>
      </c>
      <c r="G7146" s="2"/>
      <c r="H7146" s="2"/>
      <c r="I7146" s="2"/>
      <c r="J7146" s="2" t="s">
        <v>13904</v>
      </c>
      <c r="K7146" s="2" t="s">
        <v>5657</v>
      </c>
      <c r="L7146" s="246" t="s">
        <v>22280</v>
      </c>
    </row>
    <row r="7147" spans="1:12" ht="84" customHeight="1" x14ac:dyDescent="0.3">
      <c r="A7147" s="2">
        <v>7143</v>
      </c>
      <c r="B7147" s="66" t="s">
        <v>8389</v>
      </c>
      <c r="C7147" s="66" t="s">
        <v>8407</v>
      </c>
      <c r="D7147" s="11">
        <v>5250</v>
      </c>
      <c r="E7147" s="11">
        <v>5250</v>
      </c>
      <c r="F7147" s="3">
        <v>39806</v>
      </c>
      <c r="G7147" s="2"/>
      <c r="H7147" s="2"/>
      <c r="I7147" s="2"/>
      <c r="J7147" s="2" t="s">
        <v>13904</v>
      </c>
      <c r="K7147" s="2" t="s">
        <v>5657</v>
      </c>
      <c r="L7147" s="246" t="s">
        <v>22280</v>
      </c>
    </row>
    <row r="7148" spans="1:12" ht="84" customHeight="1" x14ac:dyDescent="0.3">
      <c r="A7148" s="2">
        <v>7144</v>
      </c>
      <c r="B7148" s="66" t="s">
        <v>8389</v>
      </c>
      <c r="C7148" s="66" t="s">
        <v>8408</v>
      </c>
      <c r="D7148" s="11">
        <v>5250</v>
      </c>
      <c r="E7148" s="11">
        <v>5250</v>
      </c>
      <c r="F7148" s="3">
        <v>39806</v>
      </c>
      <c r="G7148" s="2"/>
      <c r="H7148" s="2"/>
      <c r="I7148" s="2"/>
      <c r="J7148" s="2" t="s">
        <v>13904</v>
      </c>
      <c r="K7148" s="2" t="s">
        <v>5657</v>
      </c>
      <c r="L7148" s="246" t="s">
        <v>22280</v>
      </c>
    </row>
    <row r="7149" spans="1:12" ht="84" customHeight="1" x14ac:dyDescent="0.3">
      <c r="A7149" s="2">
        <v>7145</v>
      </c>
      <c r="B7149" s="66" t="s">
        <v>8389</v>
      </c>
      <c r="C7149" s="66" t="s">
        <v>8409</v>
      </c>
      <c r="D7149" s="11">
        <v>5250</v>
      </c>
      <c r="E7149" s="11">
        <v>5250</v>
      </c>
      <c r="F7149" s="3">
        <v>39806</v>
      </c>
      <c r="G7149" s="2"/>
      <c r="H7149" s="2"/>
      <c r="I7149" s="2"/>
      <c r="J7149" s="2" t="s">
        <v>13904</v>
      </c>
      <c r="K7149" s="2" t="s">
        <v>5657</v>
      </c>
      <c r="L7149" s="246" t="s">
        <v>22280</v>
      </c>
    </row>
    <row r="7150" spans="1:12" ht="84" customHeight="1" x14ac:dyDescent="0.3">
      <c r="A7150" s="2">
        <v>7146</v>
      </c>
      <c r="B7150" s="66" t="s">
        <v>8389</v>
      </c>
      <c r="C7150" s="66" t="s">
        <v>8410</v>
      </c>
      <c r="D7150" s="11">
        <v>5250</v>
      </c>
      <c r="E7150" s="11">
        <v>5250</v>
      </c>
      <c r="F7150" s="3">
        <v>39806</v>
      </c>
      <c r="G7150" s="2"/>
      <c r="H7150" s="2"/>
      <c r="I7150" s="2"/>
      <c r="J7150" s="2" t="s">
        <v>13904</v>
      </c>
      <c r="K7150" s="2" t="s">
        <v>5657</v>
      </c>
      <c r="L7150" s="246" t="s">
        <v>22280</v>
      </c>
    </row>
    <row r="7151" spans="1:12" ht="84" customHeight="1" x14ac:dyDescent="0.3">
      <c r="A7151" s="2">
        <v>7147</v>
      </c>
      <c r="B7151" s="66" t="s">
        <v>8389</v>
      </c>
      <c r="C7151" s="66" t="s">
        <v>8411</v>
      </c>
      <c r="D7151" s="11">
        <v>5250</v>
      </c>
      <c r="E7151" s="11">
        <v>5250</v>
      </c>
      <c r="F7151" s="3">
        <v>39806</v>
      </c>
      <c r="G7151" s="2"/>
      <c r="H7151" s="2"/>
      <c r="I7151" s="2"/>
      <c r="J7151" s="2" t="s">
        <v>13904</v>
      </c>
      <c r="K7151" s="2" t="s">
        <v>5657</v>
      </c>
      <c r="L7151" s="246" t="s">
        <v>22280</v>
      </c>
    </row>
    <row r="7152" spans="1:12" ht="84" customHeight="1" x14ac:dyDescent="0.3">
      <c r="A7152" s="2">
        <v>7148</v>
      </c>
      <c r="B7152" s="66" t="s">
        <v>8389</v>
      </c>
      <c r="C7152" s="66" t="s">
        <v>8412</v>
      </c>
      <c r="D7152" s="11">
        <v>5250</v>
      </c>
      <c r="E7152" s="11">
        <v>5250</v>
      </c>
      <c r="F7152" s="3">
        <v>39806</v>
      </c>
      <c r="G7152" s="2"/>
      <c r="H7152" s="2"/>
      <c r="I7152" s="2"/>
      <c r="J7152" s="2" t="s">
        <v>13904</v>
      </c>
      <c r="K7152" s="2" t="s">
        <v>5657</v>
      </c>
      <c r="L7152" s="246" t="s">
        <v>22280</v>
      </c>
    </row>
    <row r="7153" spans="1:12" ht="84" customHeight="1" x14ac:dyDescent="0.3">
      <c r="A7153" s="2">
        <v>7149</v>
      </c>
      <c r="B7153" s="66" t="s">
        <v>8389</v>
      </c>
      <c r="C7153" s="66" t="s">
        <v>8413</v>
      </c>
      <c r="D7153" s="11">
        <v>5250</v>
      </c>
      <c r="E7153" s="11">
        <v>5250</v>
      </c>
      <c r="F7153" s="3">
        <v>39806</v>
      </c>
      <c r="G7153" s="2"/>
      <c r="H7153" s="2"/>
      <c r="I7153" s="2"/>
      <c r="J7153" s="2" t="s">
        <v>13904</v>
      </c>
      <c r="K7153" s="2" t="s">
        <v>5657</v>
      </c>
      <c r="L7153" s="246" t="s">
        <v>22280</v>
      </c>
    </row>
    <row r="7154" spans="1:12" ht="84" customHeight="1" x14ac:dyDescent="0.3">
      <c r="A7154" s="2">
        <v>7150</v>
      </c>
      <c r="B7154" s="66" t="s">
        <v>8389</v>
      </c>
      <c r="C7154" s="66" t="s">
        <v>8414</v>
      </c>
      <c r="D7154" s="11">
        <v>5250</v>
      </c>
      <c r="E7154" s="11">
        <v>5250</v>
      </c>
      <c r="F7154" s="3">
        <v>39806</v>
      </c>
      <c r="G7154" s="2"/>
      <c r="H7154" s="2"/>
      <c r="I7154" s="2"/>
      <c r="J7154" s="2" t="s">
        <v>13904</v>
      </c>
      <c r="K7154" s="2" t="s">
        <v>5657</v>
      </c>
      <c r="L7154" s="246" t="s">
        <v>22280</v>
      </c>
    </row>
    <row r="7155" spans="1:12" ht="84" customHeight="1" x14ac:dyDescent="0.3">
      <c r="A7155" s="2">
        <v>7151</v>
      </c>
      <c r="B7155" s="66" t="s">
        <v>8415</v>
      </c>
      <c r="C7155" s="66" t="s">
        <v>8416</v>
      </c>
      <c r="D7155" s="11">
        <v>3096</v>
      </c>
      <c r="E7155" s="11">
        <v>3096</v>
      </c>
      <c r="F7155" s="3">
        <v>37015</v>
      </c>
      <c r="G7155" s="2"/>
      <c r="H7155" s="2"/>
      <c r="I7155" s="2"/>
      <c r="J7155" s="2" t="s">
        <v>13904</v>
      </c>
      <c r="K7155" s="2" t="s">
        <v>5657</v>
      </c>
      <c r="L7155" s="246" t="s">
        <v>22280</v>
      </c>
    </row>
    <row r="7156" spans="1:12" ht="84" customHeight="1" x14ac:dyDescent="0.3">
      <c r="A7156" s="2">
        <v>7152</v>
      </c>
      <c r="B7156" s="66" t="s">
        <v>8417</v>
      </c>
      <c r="C7156" s="66" t="s">
        <v>8418</v>
      </c>
      <c r="D7156" s="11">
        <v>39146</v>
      </c>
      <c r="E7156" s="11">
        <v>39146</v>
      </c>
      <c r="F7156" s="3">
        <v>39052</v>
      </c>
      <c r="G7156" s="2"/>
      <c r="H7156" s="2"/>
      <c r="I7156" s="2"/>
      <c r="J7156" s="2" t="s">
        <v>13904</v>
      </c>
      <c r="K7156" s="2" t="s">
        <v>5657</v>
      </c>
      <c r="L7156" s="246" t="s">
        <v>22280</v>
      </c>
    </row>
    <row r="7157" spans="1:12" ht="84" customHeight="1" x14ac:dyDescent="0.3">
      <c r="A7157" s="2">
        <v>7153</v>
      </c>
      <c r="B7157" s="66" t="s">
        <v>8419</v>
      </c>
      <c r="C7157" s="66" t="s">
        <v>8420</v>
      </c>
      <c r="D7157" s="11">
        <v>9144.07</v>
      </c>
      <c r="E7157" s="11">
        <v>9144.07</v>
      </c>
      <c r="F7157" s="3">
        <v>39052</v>
      </c>
      <c r="G7157" s="2"/>
      <c r="H7157" s="2"/>
      <c r="I7157" s="2"/>
      <c r="J7157" s="2" t="s">
        <v>13904</v>
      </c>
      <c r="K7157" s="2" t="s">
        <v>5657</v>
      </c>
      <c r="L7157" s="246" t="s">
        <v>22280</v>
      </c>
    </row>
    <row r="7158" spans="1:12" ht="84" customHeight="1" x14ac:dyDescent="0.3">
      <c r="A7158" s="2">
        <v>7154</v>
      </c>
      <c r="B7158" s="66" t="s">
        <v>7652</v>
      </c>
      <c r="C7158" s="66" t="s">
        <v>8421</v>
      </c>
      <c r="D7158" s="11">
        <v>5057.37</v>
      </c>
      <c r="E7158" s="11">
        <v>5057.37</v>
      </c>
      <c r="F7158" s="3">
        <v>39052</v>
      </c>
      <c r="G7158" s="2"/>
      <c r="H7158" s="2"/>
      <c r="I7158" s="2"/>
      <c r="J7158" s="2" t="s">
        <v>13904</v>
      </c>
      <c r="K7158" s="2" t="s">
        <v>5657</v>
      </c>
      <c r="L7158" s="246" t="s">
        <v>22280</v>
      </c>
    </row>
    <row r="7159" spans="1:12" ht="84" customHeight="1" x14ac:dyDescent="0.3">
      <c r="A7159" s="2">
        <v>7155</v>
      </c>
      <c r="B7159" s="66" t="s">
        <v>8422</v>
      </c>
      <c r="C7159" s="66" t="s">
        <v>8423</v>
      </c>
      <c r="D7159" s="11">
        <v>12817</v>
      </c>
      <c r="E7159" s="11">
        <v>12817</v>
      </c>
      <c r="F7159" s="3">
        <v>39052</v>
      </c>
      <c r="G7159" s="2"/>
      <c r="H7159" s="2"/>
      <c r="I7159" s="2"/>
      <c r="J7159" s="2" t="s">
        <v>13904</v>
      </c>
      <c r="K7159" s="2" t="s">
        <v>5657</v>
      </c>
      <c r="L7159" s="246" t="s">
        <v>22280</v>
      </c>
    </row>
    <row r="7160" spans="1:12" ht="84" customHeight="1" x14ac:dyDescent="0.3">
      <c r="A7160" s="2">
        <v>7156</v>
      </c>
      <c r="B7160" s="66" t="s">
        <v>8424</v>
      </c>
      <c r="C7160" s="66" t="s">
        <v>8425</v>
      </c>
      <c r="D7160" s="11">
        <v>8979.89</v>
      </c>
      <c r="E7160" s="11">
        <v>8979.89</v>
      </c>
      <c r="F7160" s="3">
        <v>39052</v>
      </c>
      <c r="G7160" s="2"/>
      <c r="H7160" s="2"/>
      <c r="I7160" s="2"/>
      <c r="J7160" s="2" t="s">
        <v>13904</v>
      </c>
      <c r="K7160" s="2" t="s">
        <v>5657</v>
      </c>
      <c r="L7160" s="246" t="s">
        <v>22280</v>
      </c>
    </row>
    <row r="7161" spans="1:12" ht="84" customHeight="1" x14ac:dyDescent="0.3">
      <c r="A7161" s="2">
        <v>7157</v>
      </c>
      <c r="B7161" s="66" t="s">
        <v>8426</v>
      </c>
      <c r="C7161" s="66" t="s">
        <v>8427</v>
      </c>
      <c r="D7161" s="11">
        <v>13245.42</v>
      </c>
      <c r="E7161" s="11">
        <v>13245.42</v>
      </c>
      <c r="F7161" s="3">
        <v>39052</v>
      </c>
      <c r="G7161" s="2"/>
      <c r="H7161" s="2"/>
      <c r="I7161" s="2"/>
      <c r="J7161" s="2" t="s">
        <v>13904</v>
      </c>
      <c r="K7161" s="2" t="s">
        <v>5657</v>
      </c>
      <c r="L7161" s="246" t="s">
        <v>22280</v>
      </c>
    </row>
    <row r="7162" spans="1:12" ht="84" customHeight="1" x14ac:dyDescent="0.3">
      <c r="A7162" s="2">
        <v>7158</v>
      </c>
      <c r="B7162" s="66" t="s">
        <v>6038</v>
      </c>
      <c r="C7162" s="66" t="s">
        <v>8428</v>
      </c>
      <c r="D7162" s="11">
        <v>19570.400000000001</v>
      </c>
      <c r="E7162" s="11">
        <v>19570.400000000001</v>
      </c>
      <c r="F7162" s="3">
        <v>39052</v>
      </c>
      <c r="G7162" s="2"/>
      <c r="H7162" s="2"/>
      <c r="I7162" s="2"/>
      <c r="J7162" s="2" t="s">
        <v>13904</v>
      </c>
      <c r="K7162" s="2" t="s">
        <v>5657</v>
      </c>
      <c r="L7162" s="246" t="s">
        <v>22280</v>
      </c>
    </row>
    <row r="7163" spans="1:12" ht="84" customHeight="1" x14ac:dyDescent="0.3">
      <c r="A7163" s="2">
        <v>7159</v>
      </c>
      <c r="B7163" s="66" t="s">
        <v>6040</v>
      </c>
      <c r="C7163" s="66" t="s">
        <v>8429</v>
      </c>
      <c r="D7163" s="11">
        <v>28013.1</v>
      </c>
      <c r="E7163" s="11">
        <v>28013.1</v>
      </c>
      <c r="F7163" s="3">
        <v>39052</v>
      </c>
      <c r="G7163" s="2"/>
      <c r="H7163" s="2"/>
      <c r="I7163" s="2"/>
      <c r="J7163" s="2" t="s">
        <v>13904</v>
      </c>
      <c r="K7163" s="2" t="s">
        <v>5657</v>
      </c>
      <c r="L7163" s="246" t="s">
        <v>22280</v>
      </c>
    </row>
    <row r="7164" spans="1:12" ht="84" customHeight="1" x14ac:dyDescent="0.3">
      <c r="A7164" s="2">
        <v>7160</v>
      </c>
      <c r="B7164" s="66" t="s">
        <v>8430</v>
      </c>
      <c r="C7164" s="66" t="s">
        <v>3149</v>
      </c>
      <c r="D7164" s="11">
        <v>12911.85</v>
      </c>
      <c r="E7164" s="11">
        <v>12911.85</v>
      </c>
      <c r="F7164" s="3">
        <v>39065</v>
      </c>
      <c r="G7164" s="2"/>
      <c r="H7164" s="2"/>
      <c r="I7164" s="2"/>
      <c r="J7164" s="2" t="s">
        <v>13904</v>
      </c>
      <c r="K7164" s="2" t="s">
        <v>5657</v>
      </c>
      <c r="L7164" s="246" t="s">
        <v>22280</v>
      </c>
    </row>
    <row r="7165" spans="1:12" ht="84" customHeight="1" x14ac:dyDescent="0.3">
      <c r="A7165" s="2">
        <v>7161</v>
      </c>
      <c r="B7165" s="66" t="s">
        <v>8431</v>
      </c>
      <c r="C7165" s="66" t="s">
        <v>8432</v>
      </c>
      <c r="D7165" s="11">
        <v>20000</v>
      </c>
      <c r="E7165" s="11">
        <v>20000</v>
      </c>
      <c r="F7165" s="3">
        <v>40399</v>
      </c>
      <c r="G7165" s="2"/>
      <c r="H7165" s="2"/>
      <c r="I7165" s="2"/>
      <c r="J7165" s="2" t="s">
        <v>13904</v>
      </c>
      <c r="K7165" s="2" t="s">
        <v>5657</v>
      </c>
      <c r="L7165" s="246" t="s">
        <v>22280</v>
      </c>
    </row>
    <row r="7166" spans="1:12" ht="84" customHeight="1" x14ac:dyDescent="0.3">
      <c r="A7166" s="2">
        <v>7162</v>
      </c>
      <c r="B7166" s="66" t="s">
        <v>8433</v>
      </c>
      <c r="C7166" s="66" t="s">
        <v>8434</v>
      </c>
      <c r="D7166" s="11">
        <v>3700</v>
      </c>
      <c r="E7166" s="11">
        <v>3700</v>
      </c>
      <c r="F7166" s="3">
        <v>40177</v>
      </c>
      <c r="G7166" s="2"/>
      <c r="H7166" s="2"/>
      <c r="I7166" s="2"/>
      <c r="J7166" s="2" t="s">
        <v>13904</v>
      </c>
      <c r="K7166" s="2" t="s">
        <v>5657</v>
      </c>
      <c r="L7166" s="246" t="s">
        <v>22280</v>
      </c>
    </row>
    <row r="7167" spans="1:12" ht="84" customHeight="1" x14ac:dyDescent="0.3">
      <c r="A7167" s="2">
        <v>7163</v>
      </c>
      <c r="B7167" s="66" t="s">
        <v>1932</v>
      </c>
      <c r="C7167" s="66" t="s">
        <v>8435</v>
      </c>
      <c r="D7167" s="11">
        <v>4120</v>
      </c>
      <c r="E7167" s="11">
        <v>4120</v>
      </c>
      <c r="F7167" s="3">
        <v>40947</v>
      </c>
      <c r="G7167" s="2"/>
      <c r="H7167" s="2"/>
      <c r="I7167" s="2"/>
      <c r="J7167" s="2" t="s">
        <v>13904</v>
      </c>
      <c r="K7167" s="2" t="s">
        <v>5657</v>
      </c>
      <c r="L7167" s="246" t="s">
        <v>22280</v>
      </c>
    </row>
    <row r="7168" spans="1:12" ht="84" customHeight="1" x14ac:dyDescent="0.3">
      <c r="A7168" s="2">
        <v>7164</v>
      </c>
      <c r="B7168" s="66" t="s">
        <v>1932</v>
      </c>
      <c r="C7168" s="66" t="s">
        <v>8436</v>
      </c>
      <c r="D7168" s="11">
        <v>4120</v>
      </c>
      <c r="E7168" s="11">
        <v>4120</v>
      </c>
      <c r="F7168" s="3">
        <v>40947</v>
      </c>
      <c r="G7168" s="2"/>
      <c r="H7168" s="2"/>
      <c r="I7168" s="2"/>
      <c r="J7168" s="2" t="s">
        <v>13904</v>
      </c>
      <c r="K7168" s="2" t="s">
        <v>5657</v>
      </c>
      <c r="L7168" s="246" t="s">
        <v>22280</v>
      </c>
    </row>
    <row r="7169" spans="1:12" ht="84" customHeight="1" x14ac:dyDescent="0.3">
      <c r="A7169" s="2">
        <v>7165</v>
      </c>
      <c r="B7169" s="66" t="s">
        <v>1932</v>
      </c>
      <c r="C7169" s="66" t="s">
        <v>8437</v>
      </c>
      <c r="D7169" s="11">
        <v>4120</v>
      </c>
      <c r="E7169" s="11">
        <v>4120</v>
      </c>
      <c r="F7169" s="3">
        <v>40947</v>
      </c>
      <c r="G7169" s="2"/>
      <c r="H7169" s="2"/>
      <c r="I7169" s="2"/>
      <c r="J7169" s="2" t="s">
        <v>13904</v>
      </c>
      <c r="K7169" s="2" t="s">
        <v>5657</v>
      </c>
      <c r="L7169" s="246" t="s">
        <v>22280</v>
      </c>
    </row>
    <row r="7170" spans="1:12" ht="84" customHeight="1" x14ac:dyDescent="0.3">
      <c r="A7170" s="2">
        <v>7166</v>
      </c>
      <c r="B7170" s="66" t="s">
        <v>1932</v>
      </c>
      <c r="C7170" s="66" t="s">
        <v>8438</v>
      </c>
      <c r="D7170" s="11">
        <v>4120</v>
      </c>
      <c r="E7170" s="11">
        <v>4120</v>
      </c>
      <c r="F7170" s="3">
        <v>40947</v>
      </c>
      <c r="G7170" s="2"/>
      <c r="H7170" s="2"/>
      <c r="I7170" s="2"/>
      <c r="J7170" s="2" t="s">
        <v>13904</v>
      </c>
      <c r="K7170" s="2" t="s">
        <v>5657</v>
      </c>
      <c r="L7170" s="246" t="s">
        <v>22280</v>
      </c>
    </row>
    <row r="7171" spans="1:12" ht="84" customHeight="1" x14ac:dyDescent="0.3">
      <c r="A7171" s="2">
        <v>7167</v>
      </c>
      <c r="B7171" s="66" t="s">
        <v>8439</v>
      </c>
      <c r="C7171" s="66" t="s">
        <v>8440</v>
      </c>
      <c r="D7171" s="11">
        <v>10900</v>
      </c>
      <c r="E7171" s="11">
        <v>10900</v>
      </c>
      <c r="F7171" s="3">
        <v>40177</v>
      </c>
      <c r="G7171" s="2"/>
      <c r="H7171" s="2"/>
      <c r="I7171" s="2"/>
      <c r="J7171" s="2" t="s">
        <v>13904</v>
      </c>
      <c r="K7171" s="2" t="s">
        <v>5657</v>
      </c>
      <c r="L7171" s="246" t="s">
        <v>22280</v>
      </c>
    </row>
    <row r="7172" spans="1:12" ht="84" customHeight="1" x14ac:dyDescent="0.3">
      <c r="A7172" s="2">
        <v>7168</v>
      </c>
      <c r="B7172" s="66" t="s">
        <v>1932</v>
      </c>
      <c r="C7172" s="66" t="s">
        <v>8441</v>
      </c>
      <c r="D7172" s="11">
        <v>37000</v>
      </c>
      <c r="E7172" s="11">
        <v>37000</v>
      </c>
      <c r="F7172" s="3">
        <v>40177</v>
      </c>
      <c r="G7172" s="2"/>
      <c r="H7172" s="2"/>
      <c r="I7172" s="2"/>
      <c r="J7172" s="2" t="s">
        <v>13904</v>
      </c>
      <c r="K7172" s="2" t="s">
        <v>5657</v>
      </c>
      <c r="L7172" s="246" t="s">
        <v>22280</v>
      </c>
    </row>
    <row r="7173" spans="1:12" ht="84" customHeight="1" x14ac:dyDescent="0.3">
      <c r="A7173" s="2">
        <v>7169</v>
      </c>
      <c r="B7173" s="66" t="s">
        <v>8442</v>
      </c>
      <c r="C7173" s="66" t="s">
        <v>8443</v>
      </c>
      <c r="D7173" s="11">
        <v>20750</v>
      </c>
      <c r="E7173" s="11">
        <v>20750</v>
      </c>
      <c r="F7173" s="3">
        <v>40177</v>
      </c>
      <c r="G7173" s="2"/>
      <c r="H7173" s="2"/>
      <c r="I7173" s="2"/>
      <c r="J7173" s="2" t="s">
        <v>13904</v>
      </c>
      <c r="K7173" s="2" t="s">
        <v>5657</v>
      </c>
      <c r="L7173" s="246" t="s">
        <v>22280</v>
      </c>
    </row>
    <row r="7174" spans="1:12" ht="84" customHeight="1" x14ac:dyDescent="0.3">
      <c r="A7174" s="2">
        <v>7170</v>
      </c>
      <c r="B7174" s="66" t="s">
        <v>8444</v>
      </c>
      <c r="C7174" s="66" t="s">
        <v>8445</v>
      </c>
      <c r="D7174" s="11">
        <v>5100</v>
      </c>
      <c r="E7174" s="11">
        <v>5100</v>
      </c>
      <c r="F7174" s="3">
        <v>39052</v>
      </c>
      <c r="G7174" s="2"/>
      <c r="H7174" s="2"/>
      <c r="I7174" s="2"/>
      <c r="J7174" s="2" t="s">
        <v>13904</v>
      </c>
      <c r="K7174" s="2" t="s">
        <v>5657</v>
      </c>
      <c r="L7174" s="246" t="s">
        <v>22280</v>
      </c>
    </row>
    <row r="7175" spans="1:12" ht="84" customHeight="1" x14ac:dyDescent="0.3">
      <c r="A7175" s="2">
        <v>7171</v>
      </c>
      <c r="B7175" s="66" t="s">
        <v>8446</v>
      </c>
      <c r="C7175" s="66" t="s">
        <v>8447</v>
      </c>
      <c r="D7175" s="11">
        <v>37916.639999999999</v>
      </c>
      <c r="E7175" s="11">
        <v>37916.639999999999</v>
      </c>
      <c r="F7175" s="3">
        <v>39058</v>
      </c>
      <c r="G7175" s="2"/>
      <c r="H7175" s="2"/>
      <c r="I7175" s="2"/>
      <c r="J7175" s="2" t="s">
        <v>13904</v>
      </c>
      <c r="K7175" s="2" t="s">
        <v>5657</v>
      </c>
      <c r="L7175" s="246" t="s">
        <v>22280</v>
      </c>
    </row>
    <row r="7176" spans="1:12" ht="84" customHeight="1" x14ac:dyDescent="0.3">
      <c r="A7176" s="2">
        <v>7172</v>
      </c>
      <c r="B7176" s="66" t="s">
        <v>8448</v>
      </c>
      <c r="C7176" s="66" t="s">
        <v>8449</v>
      </c>
      <c r="D7176" s="11">
        <v>23920</v>
      </c>
      <c r="E7176" s="11">
        <v>23920</v>
      </c>
      <c r="F7176" s="3">
        <v>39142</v>
      </c>
      <c r="G7176" s="2"/>
      <c r="H7176" s="2"/>
      <c r="I7176" s="2"/>
      <c r="J7176" s="2" t="s">
        <v>13904</v>
      </c>
      <c r="K7176" s="2" t="s">
        <v>5657</v>
      </c>
      <c r="L7176" s="246" t="s">
        <v>22280</v>
      </c>
    </row>
    <row r="7177" spans="1:12" ht="84" customHeight="1" x14ac:dyDescent="0.3">
      <c r="A7177" s="2">
        <v>7173</v>
      </c>
      <c r="B7177" s="66" t="s">
        <v>8450</v>
      </c>
      <c r="C7177" s="66" t="s">
        <v>8451</v>
      </c>
      <c r="D7177" s="11">
        <v>9890</v>
      </c>
      <c r="E7177" s="11">
        <v>9890</v>
      </c>
      <c r="F7177" s="3">
        <v>39142</v>
      </c>
      <c r="G7177" s="2"/>
      <c r="H7177" s="2"/>
      <c r="I7177" s="2"/>
      <c r="J7177" s="2" t="s">
        <v>13904</v>
      </c>
      <c r="K7177" s="2" t="s">
        <v>5657</v>
      </c>
      <c r="L7177" s="246" t="s">
        <v>22280</v>
      </c>
    </row>
    <row r="7178" spans="1:12" ht="84" customHeight="1" x14ac:dyDescent="0.3">
      <c r="A7178" s="2">
        <v>7174</v>
      </c>
      <c r="B7178" s="66" t="s">
        <v>8452</v>
      </c>
      <c r="C7178" s="66" t="s">
        <v>8453</v>
      </c>
      <c r="D7178" s="11">
        <v>15340</v>
      </c>
      <c r="E7178" s="11">
        <v>15340</v>
      </c>
      <c r="F7178" s="3">
        <v>39052</v>
      </c>
      <c r="G7178" s="2"/>
      <c r="H7178" s="2"/>
      <c r="I7178" s="2"/>
      <c r="J7178" s="2" t="s">
        <v>13904</v>
      </c>
      <c r="K7178" s="2" t="s">
        <v>5657</v>
      </c>
      <c r="L7178" s="246" t="s">
        <v>22280</v>
      </c>
    </row>
    <row r="7179" spans="1:12" ht="84" customHeight="1" x14ac:dyDescent="0.3">
      <c r="A7179" s="2">
        <v>7175</v>
      </c>
      <c r="B7179" s="66" t="s">
        <v>8454</v>
      </c>
      <c r="C7179" s="66" t="s">
        <v>8455</v>
      </c>
      <c r="D7179" s="11">
        <v>11180</v>
      </c>
      <c r="E7179" s="11">
        <v>11180</v>
      </c>
      <c r="F7179" s="3">
        <v>39052</v>
      </c>
      <c r="G7179" s="2"/>
      <c r="H7179" s="2"/>
      <c r="I7179" s="2"/>
      <c r="J7179" s="2" t="s">
        <v>13904</v>
      </c>
      <c r="K7179" s="2" t="s">
        <v>5657</v>
      </c>
      <c r="L7179" s="246" t="s">
        <v>22280</v>
      </c>
    </row>
    <row r="7180" spans="1:12" ht="84" customHeight="1" x14ac:dyDescent="0.3">
      <c r="A7180" s="2">
        <v>7176</v>
      </c>
      <c r="B7180" s="66" t="s">
        <v>8456</v>
      </c>
      <c r="C7180" s="66" t="s">
        <v>8457</v>
      </c>
      <c r="D7180" s="11">
        <v>11180</v>
      </c>
      <c r="E7180" s="11">
        <v>11180</v>
      </c>
      <c r="F7180" s="3">
        <v>39052</v>
      </c>
      <c r="G7180" s="2"/>
      <c r="H7180" s="2"/>
      <c r="I7180" s="2"/>
      <c r="J7180" s="2" t="s">
        <v>13904</v>
      </c>
      <c r="K7180" s="2" t="s">
        <v>5657</v>
      </c>
      <c r="L7180" s="246" t="s">
        <v>22280</v>
      </c>
    </row>
    <row r="7181" spans="1:12" ht="84" customHeight="1" x14ac:dyDescent="0.3">
      <c r="A7181" s="2">
        <v>7177</v>
      </c>
      <c r="B7181" s="66" t="s">
        <v>8458</v>
      </c>
      <c r="C7181" s="66" t="s">
        <v>8459</v>
      </c>
      <c r="D7181" s="11">
        <v>11180</v>
      </c>
      <c r="E7181" s="11">
        <v>11180</v>
      </c>
      <c r="F7181" s="3">
        <v>39052</v>
      </c>
      <c r="G7181" s="2"/>
      <c r="H7181" s="2"/>
      <c r="I7181" s="2"/>
      <c r="J7181" s="2" t="s">
        <v>13904</v>
      </c>
      <c r="K7181" s="2" t="s">
        <v>5657</v>
      </c>
      <c r="L7181" s="246" t="s">
        <v>22280</v>
      </c>
    </row>
    <row r="7182" spans="1:12" ht="84" customHeight="1" x14ac:dyDescent="0.3">
      <c r="A7182" s="2">
        <v>7178</v>
      </c>
      <c r="B7182" s="66" t="s">
        <v>8460</v>
      </c>
      <c r="C7182" s="66" t="s">
        <v>8461</v>
      </c>
      <c r="D7182" s="11">
        <v>22100</v>
      </c>
      <c r="E7182" s="11">
        <v>22100</v>
      </c>
      <c r="F7182" s="3">
        <v>39052</v>
      </c>
      <c r="G7182" s="2"/>
      <c r="H7182" s="2"/>
      <c r="I7182" s="2"/>
      <c r="J7182" s="2" t="s">
        <v>13904</v>
      </c>
      <c r="K7182" s="2" t="s">
        <v>5657</v>
      </c>
      <c r="L7182" s="246" t="s">
        <v>22280</v>
      </c>
    </row>
    <row r="7183" spans="1:12" ht="84" customHeight="1" x14ac:dyDescent="0.3">
      <c r="A7183" s="2">
        <v>7179</v>
      </c>
      <c r="B7183" s="66" t="s">
        <v>8462</v>
      </c>
      <c r="C7183" s="66" t="s">
        <v>8463</v>
      </c>
      <c r="D7183" s="11">
        <v>11180</v>
      </c>
      <c r="E7183" s="11">
        <v>11180</v>
      </c>
      <c r="F7183" s="3">
        <v>39052</v>
      </c>
      <c r="G7183" s="2"/>
      <c r="H7183" s="2"/>
      <c r="I7183" s="2"/>
      <c r="J7183" s="2" t="s">
        <v>13904</v>
      </c>
      <c r="K7183" s="2" t="s">
        <v>5657</v>
      </c>
      <c r="L7183" s="246" t="s">
        <v>22280</v>
      </c>
    </row>
    <row r="7184" spans="1:12" ht="84" customHeight="1" x14ac:dyDescent="0.3">
      <c r="A7184" s="2">
        <v>7180</v>
      </c>
      <c r="B7184" s="66" t="s">
        <v>8464</v>
      </c>
      <c r="C7184" s="66" t="s">
        <v>8465</v>
      </c>
      <c r="D7184" s="11">
        <v>11180</v>
      </c>
      <c r="E7184" s="11">
        <v>11180</v>
      </c>
      <c r="F7184" s="3">
        <v>39052</v>
      </c>
      <c r="G7184" s="2"/>
      <c r="H7184" s="2"/>
      <c r="I7184" s="2"/>
      <c r="J7184" s="2" t="s">
        <v>13904</v>
      </c>
      <c r="K7184" s="2" t="s">
        <v>5657</v>
      </c>
      <c r="L7184" s="246" t="s">
        <v>22280</v>
      </c>
    </row>
    <row r="7185" spans="1:12" ht="84" customHeight="1" x14ac:dyDescent="0.3">
      <c r="A7185" s="2">
        <v>7181</v>
      </c>
      <c r="B7185" s="66" t="s">
        <v>8466</v>
      </c>
      <c r="C7185" s="66" t="s">
        <v>8467</v>
      </c>
      <c r="D7185" s="11">
        <v>13000</v>
      </c>
      <c r="E7185" s="11">
        <v>13000</v>
      </c>
      <c r="F7185" s="3">
        <v>39052</v>
      </c>
      <c r="G7185" s="2"/>
      <c r="H7185" s="2"/>
      <c r="I7185" s="2"/>
      <c r="J7185" s="2" t="s">
        <v>13904</v>
      </c>
      <c r="K7185" s="2" t="s">
        <v>5657</v>
      </c>
      <c r="L7185" s="246" t="s">
        <v>22280</v>
      </c>
    </row>
    <row r="7186" spans="1:12" ht="84" customHeight="1" x14ac:dyDescent="0.3">
      <c r="A7186" s="2">
        <v>7182</v>
      </c>
      <c r="B7186" s="66" t="s">
        <v>8468</v>
      </c>
      <c r="C7186" s="66" t="s">
        <v>8469</v>
      </c>
      <c r="D7186" s="11">
        <v>11180</v>
      </c>
      <c r="E7186" s="11">
        <v>11180</v>
      </c>
      <c r="F7186" s="3">
        <v>39052</v>
      </c>
      <c r="G7186" s="2"/>
      <c r="H7186" s="2"/>
      <c r="I7186" s="2"/>
      <c r="J7186" s="2" t="s">
        <v>13904</v>
      </c>
      <c r="K7186" s="2" t="s">
        <v>5657</v>
      </c>
      <c r="L7186" s="246" t="s">
        <v>22280</v>
      </c>
    </row>
    <row r="7187" spans="1:12" ht="84" customHeight="1" x14ac:dyDescent="0.3">
      <c r="A7187" s="2">
        <v>7183</v>
      </c>
      <c r="B7187" s="66" t="s">
        <v>8470</v>
      </c>
      <c r="C7187" s="66" t="s">
        <v>8471</v>
      </c>
      <c r="D7187" s="11">
        <v>17680</v>
      </c>
      <c r="E7187" s="11">
        <v>17680</v>
      </c>
      <c r="F7187" s="3">
        <v>39052</v>
      </c>
      <c r="G7187" s="2"/>
      <c r="H7187" s="2"/>
      <c r="I7187" s="2"/>
      <c r="J7187" s="2" t="s">
        <v>13904</v>
      </c>
      <c r="K7187" s="2" t="s">
        <v>5657</v>
      </c>
      <c r="L7187" s="246" t="s">
        <v>22280</v>
      </c>
    </row>
    <row r="7188" spans="1:12" ht="84" customHeight="1" x14ac:dyDescent="0.3">
      <c r="A7188" s="2">
        <v>7184</v>
      </c>
      <c r="B7188" s="66" t="s">
        <v>8472</v>
      </c>
      <c r="C7188" s="66" t="s">
        <v>8473</v>
      </c>
      <c r="D7188" s="11">
        <v>14300</v>
      </c>
      <c r="E7188" s="11">
        <v>14300</v>
      </c>
      <c r="F7188" s="3">
        <v>39052</v>
      </c>
      <c r="G7188" s="2"/>
      <c r="H7188" s="2"/>
      <c r="I7188" s="2"/>
      <c r="J7188" s="2" t="s">
        <v>13904</v>
      </c>
      <c r="K7188" s="2" t="s">
        <v>5657</v>
      </c>
      <c r="L7188" s="246" t="s">
        <v>22280</v>
      </c>
    </row>
    <row r="7189" spans="1:12" ht="84" customHeight="1" x14ac:dyDescent="0.3">
      <c r="A7189" s="2">
        <v>7185</v>
      </c>
      <c r="B7189" s="66" t="s">
        <v>8474</v>
      </c>
      <c r="C7189" s="66" t="s">
        <v>8475</v>
      </c>
      <c r="D7189" s="11">
        <v>13000</v>
      </c>
      <c r="E7189" s="11">
        <v>13000</v>
      </c>
      <c r="F7189" s="3">
        <v>39052</v>
      </c>
      <c r="G7189" s="2"/>
      <c r="H7189" s="2"/>
      <c r="I7189" s="2"/>
      <c r="J7189" s="2" t="s">
        <v>13904</v>
      </c>
      <c r="K7189" s="2" t="s">
        <v>5657</v>
      </c>
      <c r="L7189" s="246" t="s">
        <v>22280</v>
      </c>
    </row>
    <row r="7190" spans="1:12" ht="84" customHeight="1" x14ac:dyDescent="0.3">
      <c r="A7190" s="2">
        <v>7186</v>
      </c>
      <c r="B7190" s="66" t="s">
        <v>8476</v>
      </c>
      <c r="C7190" s="66" t="s">
        <v>8477</v>
      </c>
      <c r="D7190" s="11">
        <v>14300</v>
      </c>
      <c r="E7190" s="11">
        <v>14300</v>
      </c>
      <c r="F7190" s="3">
        <v>39052</v>
      </c>
      <c r="G7190" s="2"/>
      <c r="H7190" s="2"/>
      <c r="I7190" s="2"/>
      <c r="J7190" s="2" t="s">
        <v>13904</v>
      </c>
      <c r="K7190" s="2" t="s">
        <v>5657</v>
      </c>
      <c r="L7190" s="246" t="s">
        <v>22280</v>
      </c>
    </row>
    <row r="7191" spans="1:12" ht="84" customHeight="1" x14ac:dyDescent="0.3">
      <c r="A7191" s="2">
        <v>7187</v>
      </c>
      <c r="B7191" s="66" t="s">
        <v>8478</v>
      </c>
      <c r="C7191" s="66" t="s">
        <v>8479</v>
      </c>
      <c r="D7191" s="11">
        <v>11956</v>
      </c>
      <c r="E7191" s="11">
        <v>11956</v>
      </c>
      <c r="F7191" s="3">
        <v>39052</v>
      </c>
      <c r="G7191" s="2"/>
      <c r="H7191" s="2"/>
      <c r="I7191" s="2"/>
      <c r="J7191" s="2" t="s">
        <v>13904</v>
      </c>
      <c r="K7191" s="2" t="s">
        <v>5657</v>
      </c>
      <c r="L7191" s="246" t="s">
        <v>22280</v>
      </c>
    </row>
    <row r="7192" spans="1:12" ht="84" customHeight="1" x14ac:dyDescent="0.3">
      <c r="A7192" s="2">
        <v>7188</v>
      </c>
      <c r="B7192" s="66" t="s">
        <v>8480</v>
      </c>
      <c r="C7192" s="66" t="s">
        <v>8481</v>
      </c>
      <c r="D7192" s="11">
        <v>11956</v>
      </c>
      <c r="E7192" s="11">
        <v>11956</v>
      </c>
      <c r="F7192" s="3">
        <v>39052</v>
      </c>
      <c r="G7192" s="2"/>
      <c r="H7192" s="2"/>
      <c r="I7192" s="2"/>
      <c r="J7192" s="2" t="s">
        <v>13904</v>
      </c>
      <c r="K7192" s="2" t="s">
        <v>5657</v>
      </c>
      <c r="L7192" s="246" t="s">
        <v>22280</v>
      </c>
    </row>
    <row r="7193" spans="1:12" ht="84" customHeight="1" x14ac:dyDescent="0.3">
      <c r="A7193" s="2">
        <v>7189</v>
      </c>
      <c r="B7193" s="66" t="s">
        <v>8482</v>
      </c>
      <c r="C7193" s="66" t="s">
        <v>8483</v>
      </c>
      <c r="D7193" s="11">
        <v>14300</v>
      </c>
      <c r="E7193" s="11">
        <v>14300</v>
      </c>
      <c r="F7193" s="3">
        <v>39052</v>
      </c>
      <c r="G7193" s="2"/>
      <c r="H7193" s="2"/>
      <c r="I7193" s="2"/>
      <c r="J7193" s="2" t="s">
        <v>13904</v>
      </c>
      <c r="K7193" s="2" t="s">
        <v>5657</v>
      </c>
      <c r="L7193" s="246" t="s">
        <v>22280</v>
      </c>
    </row>
    <row r="7194" spans="1:12" ht="84" customHeight="1" x14ac:dyDescent="0.3">
      <c r="A7194" s="2">
        <v>7190</v>
      </c>
      <c r="B7194" s="66" t="s">
        <v>8484</v>
      </c>
      <c r="C7194" s="66" t="s">
        <v>8485</v>
      </c>
      <c r="D7194" s="11">
        <v>14300</v>
      </c>
      <c r="E7194" s="11">
        <v>14300</v>
      </c>
      <c r="F7194" s="3">
        <v>39052</v>
      </c>
      <c r="G7194" s="2"/>
      <c r="H7194" s="2"/>
      <c r="I7194" s="2"/>
      <c r="J7194" s="2" t="s">
        <v>13904</v>
      </c>
      <c r="K7194" s="2" t="s">
        <v>5657</v>
      </c>
      <c r="L7194" s="246" t="s">
        <v>22280</v>
      </c>
    </row>
    <row r="7195" spans="1:12" ht="84" customHeight="1" x14ac:dyDescent="0.3">
      <c r="A7195" s="2">
        <v>7191</v>
      </c>
      <c r="B7195" s="66" t="s">
        <v>8486</v>
      </c>
      <c r="C7195" s="66" t="s">
        <v>8487</v>
      </c>
      <c r="D7195" s="11">
        <v>14300</v>
      </c>
      <c r="E7195" s="11">
        <v>14300</v>
      </c>
      <c r="F7195" s="3">
        <v>39052</v>
      </c>
      <c r="G7195" s="2"/>
      <c r="H7195" s="2"/>
      <c r="I7195" s="2"/>
      <c r="J7195" s="2" t="s">
        <v>13904</v>
      </c>
      <c r="K7195" s="2" t="s">
        <v>5657</v>
      </c>
      <c r="L7195" s="246" t="s">
        <v>22280</v>
      </c>
    </row>
    <row r="7196" spans="1:12" ht="84" customHeight="1" x14ac:dyDescent="0.3">
      <c r="A7196" s="2">
        <v>7192</v>
      </c>
      <c r="B7196" s="66" t="s">
        <v>8488</v>
      </c>
      <c r="C7196" s="66" t="s">
        <v>8489</v>
      </c>
      <c r="D7196" s="11">
        <v>14300</v>
      </c>
      <c r="E7196" s="11">
        <v>14300</v>
      </c>
      <c r="F7196" s="3">
        <v>39052</v>
      </c>
      <c r="G7196" s="2"/>
      <c r="H7196" s="2"/>
      <c r="I7196" s="2"/>
      <c r="J7196" s="2" t="s">
        <v>13904</v>
      </c>
      <c r="K7196" s="2" t="s">
        <v>5657</v>
      </c>
      <c r="L7196" s="246" t="s">
        <v>22280</v>
      </c>
    </row>
    <row r="7197" spans="1:12" ht="84" customHeight="1" x14ac:dyDescent="0.3">
      <c r="A7197" s="2">
        <v>7193</v>
      </c>
      <c r="B7197" s="66" t="s">
        <v>8488</v>
      </c>
      <c r="C7197" s="66" t="s">
        <v>8490</v>
      </c>
      <c r="D7197" s="11">
        <v>14300</v>
      </c>
      <c r="E7197" s="11">
        <v>14300</v>
      </c>
      <c r="F7197" s="3">
        <v>39052</v>
      </c>
      <c r="G7197" s="2"/>
      <c r="H7197" s="2"/>
      <c r="I7197" s="2"/>
      <c r="J7197" s="2" t="s">
        <v>13904</v>
      </c>
      <c r="K7197" s="2" t="s">
        <v>5657</v>
      </c>
      <c r="L7197" s="246" t="s">
        <v>22280</v>
      </c>
    </row>
    <row r="7198" spans="1:12" ht="84" customHeight="1" x14ac:dyDescent="0.3">
      <c r="A7198" s="2">
        <v>7194</v>
      </c>
      <c r="B7198" s="66" t="s">
        <v>8491</v>
      </c>
      <c r="C7198" s="66" t="s">
        <v>8492</v>
      </c>
      <c r="D7198" s="11">
        <v>14300</v>
      </c>
      <c r="E7198" s="11">
        <v>14300</v>
      </c>
      <c r="F7198" s="3">
        <v>39052</v>
      </c>
      <c r="G7198" s="2"/>
      <c r="H7198" s="2"/>
      <c r="I7198" s="2"/>
      <c r="J7198" s="2" t="s">
        <v>13904</v>
      </c>
      <c r="K7198" s="2" t="s">
        <v>5657</v>
      </c>
      <c r="L7198" s="246" t="s">
        <v>22280</v>
      </c>
    </row>
    <row r="7199" spans="1:12" ht="84" customHeight="1" x14ac:dyDescent="0.3">
      <c r="A7199" s="2">
        <v>7195</v>
      </c>
      <c r="B7199" s="66" t="s">
        <v>8493</v>
      </c>
      <c r="C7199" s="66" t="s">
        <v>8494</v>
      </c>
      <c r="D7199" s="11">
        <v>14300</v>
      </c>
      <c r="E7199" s="11">
        <v>14300</v>
      </c>
      <c r="F7199" s="3">
        <v>39052</v>
      </c>
      <c r="G7199" s="2"/>
      <c r="H7199" s="2"/>
      <c r="I7199" s="2"/>
      <c r="J7199" s="2" t="s">
        <v>13904</v>
      </c>
      <c r="K7199" s="2" t="s">
        <v>5657</v>
      </c>
      <c r="L7199" s="246" t="s">
        <v>22280</v>
      </c>
    </row>
    <row r="7200" spans="1:12" ht="84" customHeight="1" x14ac:dyDescent="0.3">
      <c r="A7200" s="2">
        <v>7196</v>
      </c>
      <c r="B7200" s="66" t="s">
        <v>8493</v>
      </c>
      <c r="C7200" s="66" t="s">
        <v>8495</v>
      </c>
      <c r="D7200" s="11">
        <v>14300</v>
      </c>
      <c r="E7200" s="11">
        <v>14300</v>
      </c>
      <c r="F7200" s="3">
        <v>39052</v>
      </c>
      <c r="G7200" s="2"/>
      <c r="H7200" s="2"/>
      <c r="I7200" s="2"/>
      <c r="J7200" s="2" t="s">
        <v>13904</v>
      </c>
      <c r="K7200" s="2" t="s">
        <v>5657</v>
      </c>
      <c r="L7200" s="246" t="s">
        <v>22280</v>
      </c>
    </row>
    <row r="7201" spans="1:12" ht="84" customHeight="1" x14ac:dyDescent="0.3">
      <c r="A7201" s="2">
        <v>7197</v>
      </c>
      <c r="B7201" s="66" t="s">
        <v>8493</v>
      </c>
      <c r="C7201" s="66" t="s">
        <v>8496</v>
      </c>
      <c r="D7201" s="11">
        <v>14300</v>
      </c>
      <c r="E7201" s="11">
        <v>14300</v>
      </c>
      <c r="F7201" s="3">
        <v>39052</v>
      </c>
      <c r="G7201" s="2"/>
      <c r="H7201" s="2"/>
      <c r="I7201" s="2"/>
      <c r="J7201" s="2" t="s">
        <v>13904</v>
      </c>
      <c r="K7201" s="2" t="s">
        <v>5657</v>
      </c>
      <c r="L7201" s="246" t="s">
        <v>22280</v>
      </c>
    </row>
    <row r="7202" spans="1:12" ht="84" customHeight="1" x14ac:dyDescent="0.3">
      <c r="A7202" s="2">
        <v>7198</v>
      </c>
      <c r="B7202" s="66" t="s">
        <v>8497</v>
      </c>
      <c r="C7202" s="66" t="s">
        <v>8498</v>
      </c>
      <c r="D7202" s="11">
        <v>11956</v>
      </c>
      <c r="E7202" s="11">
        <v>11956</v>
      </c>
      <c r="F7202" s="3">
        <v>39052</v>
      </c>
      <c r="G7202" s="2"/>
      <c r="H7202" s="2"/>
      <c r="I7202" s="2"/>
      <c r="J7202" s="2" t="s">
        <v>13904</v>
      </c>
      <c r="K7202" s="2" t="s">
        <v>5657</v>
      </c>
      <c r="L7202" s="246" t="s">
        <v>22280</v>
      </c>
    </row>
    <row r="7203" spans="1:12" ht="84" customHeight="1" x14ac:dyDescent="0.3">
      <c r="A7203" s="2">
        <v>7199</v>
      </c>
      <c r="B7203" s="66" t="s">
        <v>8499</v>
      </c>
      <c r="C7203" s="66" t="s">
        <v>8500</v>
      </c>
      <c r="D7203" s="11">
        <v>11956</v>
      </c>
      <c r="E7203" s="11">
        <v>11956</v>
      </c>
      <c r="F7203" s="3">
        <v>39052</v>
      </c>
      <c r="G7203" s="2"/>
      <c r="H7203" s="2"/>
      <c r="I7203" s="2"/>
      <c r="J7203" s="2" t="s">
        <v>13904</v>
      </c>
      <c r="K7203" s="2" t="s">
        <v>5657</v>
      </c>
      <c r="L7203" s="246" t="s">
        <v>22280</v>
      </c>
    </row>
    <row r="7204" spans="1:12" ht="84" customHeight="1" x14ac:dyDescent="0.3">
      <c r="A7204" s="2">
        <v>7200</v>
      </c>
      <c r="B7204" s="66" t="s">
        <v>8501</v>
      </c>
      <c r="C7204" s="66" t="s">
        <v>8502</v>
      </c>
      <c r="D7204" s="11">
        <v>11956</v>
      </c>
      <c r="E7204" s="11">
        <v>11956</v>
      </c>
      <c r="F7204" s="3">
        <v>39052</v>
      </c>
      <c r="G7204" s="2"/>
      <c r="H7204" s="2"/>
      <c r="I7204" s="2"/>
      <c r="J7204" s="2" t="s">
        <v>13904</v>
      </c>
      <c r="K7204" s="2" t="s">
        <v>5657</v>
      </c>
      <c r="L7204" s="246" t="s">
        <v>22280</v>
      </c>
    </row>
    <row r="7205" spans="1:12" ht="84" customHeight="1" x14ac:dyDescent="0.3">
      <c r="A7205" s="2">
        <v>7201</v>
      </c>
      <c r="B7205" s="66" t="s">
        <v>8503</v>
      </c>
      <c r="C7205" s="66" t="s">
        <v>8504</v>
      </c>
      <c r="D7205" s="11">
        <v>11956</v>
      </c>
      <c r="E7205" s="11">
        <v>11956</v>
      </c>
      <c r="F7205" s="3">
        <v>39052</v>
      </c>
      <c r="G7205" s="2"/>
      <c r="H7205" s="2"/>
      <c r="I7205" s="2"/>
      <c r="J7205" s="2" t="s">
        <v>13904</v>
      </c>
      <c r="K7205" s="2" t="s">
        <v>5657</v>
      </c>
      <c r="L7205" s="246" t="s">
        <v>22280</v>
      </c>
    </row>
    <row r="7206" spans="1:12" ht="84" customHeight="1" x14ac:dyDescent="0.3">
      <c r="A7206" s="2">
        <v>7202</v>
      </c>
      <c r="B7206" s="66" t="s">
        <v>8503</v>
      </c>
      <c r="C7206" s="66" t="s">
        <v>8505</v>
      </c>
      <c r="D7206" s="11">
        <v>11956</v>
      </c>
      <c r="E7206" s="11">
        <v>11956</v>
      </c>
      <c r="F7206" s="3">
        <v>39052</v>
      </c>
      <c r="G7206" s="2"/>
      <c r="H7206" s="2"/>
      <c r="I7206" s="2"/>
      <c r="J7206" s="2" t="s">
        <v>13904</v>
      </c>
      <c r="K7206" s="2" t="s">
        <v>5657</v>
      </c>
      <c r="L7206" s="246" t="s">
        <v>22280</v>
      </c>
    </row>
    <row r="7207" spans="1:12" ht="84" customHeight="1" x14ac:dyDescent="0.3">
      <c r="A7207" s="2">
        <v>7203</v>
      </c>
      <c r="B7207" s="66" t="s">
        <v>8506</v>
      </c>
      <c r="C7207" s="66" t="s">
        <v>8507</v>
      </c>
      <c r="D7207" s="11">
        <v>11956</v>
      </c>
      <c r="E7207" s="11">
        <v>11956</v>
      </c>
      <c r="F7207" s="3">
        <v>39052</v>
      </c>
      <c r="G7207" s="2"/>
      <c r="H7207" s="2"/>
      <c r="I7207" s="2"/>
      <c r="J7207" s="2" t="s">
        <v>13904</v>
      </c>
      <c r="K7207" s="2" t="s">
        <v>5657</v>
      </c>
      <c r="L7207" s="246" t="s">
        <v>22280</v>
      </c>
    </row>
    <row r="7208" spans="1:12" ht="84" customHeight="1" x14ac:dyDescent="0.3">
      <c r="A7208" s="2">
        <v>7204</v>
      </c>
      <c r="B7208" s="66" t="s">
        <v>8506</v>
      </c>
      <c r="C7208" s="66" t="s">
        <v>8508</v>
      </c>
      <c r="D7208" s="11">
        <v>11956</v>
      </c>
      <c r="E7208" s="11">
        <v>11956</v>
      </c>
      <c r="F7208" s="3">
        <v>39052</v>
      </c>
      <c r="G7208" s="2"/>
      <c r="H7208" s="2"/>
      <c r="I7208" s="2"/>
      <c r="J7208" s="2" t="s">
        <v>13904</v>
      </c>
      <c r="K7208" s="2" t="s">
        <v>5657</v>
      </c>
      <c r="L7208" s="246" t="s">
        <v>22280</v>
      </c>
    </row>
    <row r="7209" spans="1:12" ht="84" customHeight="1" x14ac:dyDescent="0.3">
      <c r="A7209" s="2">
        <v>7205</v>
      </c>
      <c r="B7209" s="66" t="s">
        <v>8509</v>
      </c>
      <c r="C7209" s="66" t="s">
        <v>8510</v>
      </c>
      <c r="D7209" s="11">
        <v>11956</v>
      </c>
      <c r="E7209" s="11">
        <v>11956</v>
      </c>
      <c r="F7209" s="3">
        <v>39052</v>
      </c>
      <c r="G7209" s="2"/>
      <c r="H7209" s="2"/>
      <c r="I7209" s="2"/>
      <c r="J7209" s="2" t="s">
        <v>13904</v>
      </c>
      <c r="K7209" s="2" t="s">
        <v>5657</v>
      </c>
      <c r="L7209" s="246" t="s">
        <v>22280</v>
      </c>
    </row>
    <row r="7210" spans="1:12" ht="84" customHeight="1" x14ac:dyDescent="0.3">
      <c r="A7210" s="2">
        <v>7206</v>
      </c>
      <c r="B7210" s="66" t="s">
        <v>8511</v>
      </c>
      <c r="C7210" s="66" t="s">
        <v>8512</v>
      </c>
      <c r="D7210" s="11">
        <v>3304.3</v>
      </c>
      <c r="E7210" s="11">
        <v>3304.3</v>
      </c>
      <c r="F7210" s="3">
        <v>39065</v>
      </c>
      <c r="G7210" s="2"/>
      <c r="H7210" s="2"/>
      <c r="I7210" s="2"/>
      <c r="J7210" s="2" t="s">
        <v>13904</v>
      </c>
      <c r="K7210" s="2" t="s">
        <v>5657</v>
      </c>
      <c r="L7210" s="246" t="s">
        <v>22280</v>
      </c>
    </row>
    <row r="7211" spans="1:12" ht="84" customHeight="1" x14ac:dyDescent="0.3">
      <c r="A7211" s="2">
        <v>7207</v>
      </c>
      <c r="B7211" s="66" t="s">
        <v>8513</v>
      </c>
      <c r="C7211" s="66" t="s">
        <v>8514</v>
      </c>
      <c r="D7211" s="11">
        <v>29099.040000000001</v>
      </c>
      <c r="E7211" s="11">
        <v>29099.040000000001</v>
      </c>
      <c r="F7211" s="3">
        <v>39058</v>
      </c>
      <c r="G7211" s="2"/>
      <c r="H7211" s="2"/>
      <c r="I7211" s="2"/>
      <c r="J7211" s="2" t="s">
        <v>13904</v>
      </c>
      <c r="K7211" s="2" t="s">
        <v>5657</v>
      </c>
      <c r="L7211" s="246" t="s">
        <v>22280</v>
      </c>
    </row>
    <row r="7212" spans="1:12" ht="84" customHeight="1" x14ac:dyDescent="0.3">
      <c r="A7212" s="2">
        <v>7208</v>
      </c>
      <c r="B7212" s="66" t="s">
        <v>8515</v>
      </c>
      <c r="C7212" s="66" t="s">
        <v>8516</v>
      </c>
      <c r="D7212" s="11">
        <v>29669.61</v>
      </c>
      <c r="E7212" s="11">
        <v>26257.439999999999</v>
      </c>
      <c r="F7212" s="3">
        <v>39057</v>
      </c>
      <c r="G7212" s="2"/>
      <c r="H7212" s="2"/>
      <c r="I7212" s="2"/>
      <c r="J7212" s="2" t="s">
        <v>13904</v>
      </c>
      <c r="K7212" s="2" t="s">
        <v>5657</v>
      </c>
      <c r="L7212" s="246" t="s">
        <v>22280</v>
      </c>
    </row>
    <row r="7213" spans="1:12" ht="84" customHeight="1" x14ac:dyDescent="0.3">
      <c r="A7213" s="2">
        <v>7209</v>
      </c>
      <c r="B7213" s="66" t="s">
        <v>8517</v>
      </c>
      <c r="C7213" s="66" t="s">
        <v>8518</v>
      </c>
      <c r="D7213" s="11">
        <v>3263.9</v>
      </c>
      <c r="E7213" s="11">
        <v>3263.9</v>
      </c>
      <c r="F7213" s="3">
        <v>39052</v>
      </c>
      <c r="G7213" s="2"/>
      <c r="H7213" s="2"/>
      <c r="I7213" s="2"/>
      <c r="J7213" s="2" t="s">
        <v>13904</v>
      </c>
      <c r="K7213" s="2" t="s">
        <v>5657</v>
      </c>
      <c r="L7213" s="246" t="s">
        <v>22280</v>
      </c>
    </row>
    <row r="7214" spans="1:12" ht="84" customHeight="1" x14ac:dyDescent="0.3">
      <c r="A7214" s="2">
        <v>7210</v>
      </c>
      <c r="B7214" s="66" t="s">
        <v>8519</v>
      </c>
      <c r="C7214" s="66" t="s">
        <v>8520</v>
      </c>
      <c r="D7214" s="11">
        <v>13223</v>
      </c>
      <c r="E7214" s="11">
        <v>13223</v>
      </c>
      <c r="F7214" s="3">
        <v>39052</v>
      </c>
      <c r="G7214" s="2"/>
      <c r="H7214" s="2"/>
      <c r="I7214" s="2"/>
      <c r="J7214" s="2" t="s">
        <v>13904</v>
      </c>
      <c r="K7214" s="2" t="s">
        <v>5657</v>
      </c>
      <c r="L7214" s="246" t="s">
        <v>22280</v>
      </c>
    </row>
    <row r="7215" spans="1:12" ht="84" customHeight="1" x14ac:dyDescent="0.3">
      <c r="A7215" s="2">
        <v>7211</v>
      </c>
      <c r="B7215" s="66" t="s">
        <v>8521</v>
      </c>
      <c r="C7215" s="66" t="s">
        <v>8522</v>
      </c>
      <c r="D7215" s="11">
        <v>13223</v>
      </c>
      <c r="E7215" s="11">
        <v>13223</v>
      </c>
      <c r="F7215" s="3">
        <v>39052</v>
      </c>
      <c r="G7215" s="2"/>
      <c r="H7215" s="2"/>
      <c r="I7215" s="2"/>
      <c r="J7215" s="2" t="s">
        <v>13904</v>
      </c>
      <c r="K7215" s="2" t="s">
        <v>5657</v>
      </c>
      <c r="L7215" s="246" t="s">
        <v>22280</v>
      </c>
    </row>
    <row r="7216" spans="1:12" ht="84" customHeight="1" x14ac:dyDescent="0.3">
      <c r="A7216" s="2">
        <v>7212</v>
      </c>
      <c r="B7216" s="66" t="s">
        <v>8521</v>
      </c>
      <c r="C7216" s="66" t="s">
        <v>8523</v>
      </c>
      <c r="D7216" s="11">
        <v>13223</v>
      </c>
      <c r="E7216" s="11">
        <v>13223</v>
      </c>
      <c r="F7216" s="3">
        <v>39052</v>
      </c>
      <c r="G7216" s="2"/>
      <c r="H7216" s="2"/>
      <c r="I7216" s="2"/>
      <c r="J7216" s="2" t="s">
        <v>13904</v>
      </c>
      <c r="K7216" s="2" t="s">
        <v>5657</v>
      </c>
      <c r="L7216" s="246" t="s">
        <v>22280</v>
      </c>
    </row>
    <row r="7217" spans="1:12" ht="84" customHeight="1" x14ac:dyDescent="0.3">
      <c r="A7217" s="2">
        <v>7213</v>
      </c>
      <c r="B7217" s="66" t="s">
        <v>8521</v>
      </c>
      <c r="C7217" s="66" t="s">
        <v>8524</v>
      </c>
      <c r="D7217" s="11">
        <v>13223</v>
      </c>
      <c r="E7217" s="11">
        <v>13223</v>
      </c>
      <c r="F7217" s="3">
        <v>39052</v>
      </c>
      <c r="G7217" s="2"/>
      <c r="H7217" s="2"/>
      <c r="I7217" s="2"/>
      <c r="J7217" s="2" t="s">
        <v>13904</v>
      </c>
      <c r="K7217" s="2" t="s">
        <v>5657</v>
      </c>
      <c r="L7217" s="246" t="s">
        <v>22280</v>
      </c>
    </row>
    <row r="7218" spans="1:12" ht="84" customHeight="1" x14ac:dyDescent="0.3">
      <c r="A7218" s="2">
        <v>7214</v>
      </c>
      <c r="B7218" s="66" t="s">
        <v>8525</v>
      </c>
      <c r="C7218" s="66" t="s">
        <v>8526</v>
      </c>
      <c r="D7218" s="11">
        <v>13223</v>
      </c>
      <c r="E7218" s="11">
        <v>13223</v>
      </c>
      <c r="F7218" s="3">
        <v>39052</v>
      </c>
      <c r="G7218" s="2"/>
      <c r="H7218" s="2"/>
      <c r="I7218" s="2"/>
      <c r="J7218" s="2" t="s">
        <v>13904</v>
      </c>
      <c r="K7218" s="2" t="s">
        <v>5657</v>
      </c>
      <c r="L7218" s="246" t="s">
        <v>22280</v>
      </c>
    </row>
    <row r="7219" spans="1:12" ht="84" customHeight="1" x14ac:dyDescent="0.3">
      <c r="A7219" s="2">
        <v>7215</v>
      </c>
      <c r="B7219" s="66" t="s">
        <v>8527</v>
      </c>
      <c r="C7219" s="66" t="s">
        <v>8528</v>
      </c>
      <c r="D7219" s="11">
        <v>3734.81</v>
      </c>
      <c r="E7219" s="11">
        <v>3734.81</v>
      </c>
      <c r="F7219" s="3">
        <v>37014</v>
      </c>
      <c r="G7219" s="2"/>
      <c r="H7219" s="2"/>
      <c r="I7219" s="2"/>
      <c r="J7219" s="2" t="s">
        <v>13904</v>
      </c>
      <c r="K7219" s="2" t="s">
        <v>5657</v>
      </c>
      <c r="L7219" s="246" t="s">
        <v>22280</v>
      </c>
    </row>
    <row r="7220" spans="1:12" ht="84" customHeight="1" x14ac:dyDescent="0.3">
      <c r="A7220" s="2">
        <v>7216</v>
      </c>
      <c r="B7220" s="66" t="s">
        <v>8517</v>
      </c>
      <c r="C7220" s="66" t="s">
        <v>8529</v>
      </c>
      <c r="D7220" s="11">
        <v>3263.9</v>
      </c>
      <c r="E7220" s="11">
        <v>3263.9</v>
      </c>
      <c r="F7220" s="3">
        <v>39052</v>
      </c>
      <c r="G7220" s="2"/>
      <c r="H7220" s="2"/>
      <c r="I7220" s="2"/>
      <c r="J7220" s="2" t="s">
        <v>13904</v>
      </c>
      <c r="K7220" s="2" t="s">
        <v>5657</v>
      </c>
      <c r="L7220" s="246" t="s">
        <v>22280</v>
      </c>
    </row>
    <row r="7221" spans="1:12" ht="84" customHeight="1" x14ac:dyDescent="0.3">
      <c r="A7221" s="2">
        <v>7217</v>
      </c>
      <c r="B7221" s="66" t="s">
        <v>8530</v>
      </c>
      <c r="C7221" s="66" t="s">
        <v>8531</v>
      </c>
      <c r="D7221" s="11">
        <v>18360</v>
      </c>
      <c r="E7221" s="11">
        <v>18360</v>
      </c>
      <c r="F7221" s="3">
        <v>39052</v>
      </c>
      <c r="G7221" s="2"/>
      <c r="H7221" s="2"/>
      <c r="I7221" s="2"/>
      <c r="J7221" s="2" t="s">
        <v>13904</v>
      </c>
      <c r="K7221" s="2" t="s">
        <v>5657</v>
      </c>
      <c r="L7221" s="246" t="s">
        <v>22280</v>
      </c>
    </row>
    <row r="7222" spans="1:12" ht="84" customHeight="1" x14ac:dyDescent="0.3">
      <c r="A7222" s="2">
        <v>7218</v>
      </c>
      <c r="B7222" s="66" t="s">
        <v>8532</v>
      </c>
      <c r="C7222" s="66" t="s">
        <v>8533</v>
      </c>
      <c r="D7222" s="11">
        <v>18360</v>
      </c>
      <c r="E7222" s="11">
        <v>18360</v>
      </c>
      <c r="F7222" s="3">
        <v>39052</v>
      </c>
      <c r="G7222" s="2"/>
      <c r="H7222" s="2"/>
      <c r="I7222" s="2"/>
      <c r="J7222" s="2" t="s">
        <v>13904</v>
      </c>
      <c r="K7222" s="2" t="s">
        <v>5657</v>
      </c>
      <c r="L7222" s="246" t="s">
        <v>22280</v>
      </c>
    </row>
    <row r="7223" spans="1:12" ht="84" customHeight="1" x14ac:dyDescent="0.3">
      <c r="A7223" s="2">
        <v>7219</v>
      </c>
      <c r="B7223" s="66" t="s">
        <v>8534</v>
      </c>
      <c r="C7223" s="66" t="s">
        <v>8535</v>
      </c>
      <c r="D7223" s="11">
        <v>18600.580000000002</v>
      </c>
      <c r="E7223" s="11">
        <v>18600.580000000002</v>
      </c>
      <c r="F7223" s="3">
        <v>39052</v>
      </c>
      <c r="G7223" s="2"/>
      <c r="H7223" s="2"/>
      <c r="I7223" s="2"/>
      <c r="J7223" s="2" t="s">
        <v>13904</v>
      </c>
      <c r="K7223" s="2" t="s">
        <v>5657</v>
      </c>
      <c r="L7223" s="246" t="s">
        <v>22280</v>
      </c>
    </row>
    <row r="7224" spans="1:12" ht="84" customHeight="1" x14ac:dyDescent="0.3">
      <c r="A7224" s="2">
        <v>7220</v>
      </c>
      <c r="B7224" s="66" t="s">
        <v>8536</v>
      </c>
      <c r="C7224" s="66" t="s">
        <v>8537</v>
      </c>
      <c r="D7224" s="11">
        <v>3119.63</v>
      </c>
      <c r="E7224" s="11">
        <v>3119.63</v>
      </c>
      <c r="F7224" s="3">
        <v>36670</v>
      </c>
      <c r="G7224" s="2"/>
      <c r="H7224" s="2"/>
      <c r="I7224" s="2"/>
      <c r="J7224" s="2" t="s">
        <v>13904</v>
      </c>
      <c r="K7224" s="2" t="s">
        <v>5657</v>
      </c>
      <c r="L7224" s="246" t="s">
        <v>22280</v>
      </c>
    </row>
    <row r="7225" spans="1:12" ht="84" customHeight="1" x14ac:dyDescent="0.3">
      <c r="A7225" s="2">
        <v>7221</v>
      </c>
      <c r="B7225" s="66" t="s">
        <v>8536</v>
      </c>
      <c r="C7225" s="66" t="s">
        <v>8538</v>
      </c>
      <c r="D7225" s="11">
        <v>3118.92</v>
      </c>
      <c r="E7225" s="11">
        <v>3118.92</v>
      </c>
      <c r="F7225" s="3">
        <v>37384</v>
      </c>
      <c r="G7225" s="2"/>
      <c r="H7225" s="2"/>
      <c r="I7225" s="2"/>
      <c r="J7225" s="2" t="s">
        <v>13904</v>
      </c>
      <c r="K7225" s="2" t="s">
        <v>5657</v>
      </c>
      <c r="L7225" s="246" t="s">
        <v>22280</v>
      </c>
    </row>
    <row r="7226" spans="1:12" ht="84" customHeight="1" x14ac:dyDescent="0.3">
      <c r="A7226" s="2">
        <v>7222</v>
      </c>
      <c r="B7226" s="66" t="s">
        <v>8539</v>
      </c>
      <c r="C7226" s="66" t="s">
        <v>8540</v>
      </c>
      <c r="D7226" s="11">
        <v>29015.9</v>
      </c>
      <c r="E7226" s="11">
        <v>29015.9</v>
      </c>
      <c r="F7226" s="3">
        <v>39052</v>
      </c>
      <c r="G7226" s="2"/>
      <c r="H7226" s="2"/>
      <c r="I7226" s="2"/>
      <c r="J7226" s="2" t="s">
        <v>13904</v>
      </c>
      <c r="K7226" s="2" t="s">
        <v>5657</v>
      </c>
      <c r="L7226" s="246" t="s">
        <v>22280</v>
      </c>
    </row>
    <row r="7227" spans="1:12" ht="84" customHeight="1" x14ac:dyDescent="0.3">
      <c r="A7227" s="2">
        <v>7223</v>
      </c>
      <c r="B7227" s="66" t="s">
        <v>8541</v>
      </c>
      <c r="C7227" s="66" t="s">
        <v>8542</v>
      </c>
      <c r="D7227" s="11">
        <v>8734.9500000000007</v>
      </c>
      <c r="E7227" s="11">
        <v>8734.9500000000007</v>
      </c>
      <c r="F7227" s="3">
        <v>37392</v>
      </c>
      <c r="G7227" s="2"/>
      <c r="H7227" s="2"/>
      <c r="I7227" s="2"/>
      <c r="J7227" s="2" t="s">
        <v>13904</v>
      </c>
      <c r="K7227" s="2" t="s">
        <v>5657</v>
      </c>
      <c r="L7227" s="246" t="s">
        <v>22280</v>
      </c>
    </row>
    <row r="7228" spans="1:12" ht="84" customHeight="1" x14ac:dyDescent="0.3">
      <c r="A7228" s="2">
        <v>7224</v>
      </c>
      <c r="B7228" s="66" t="s">
        <v>8543</v>
      </c>
      <c r="C7228" s="66" t="s">
        <v>8544</v>
      </c>
      <c r="D7228" s="11">
        <v>3275.43</v>
      </c>
      <c r="E7228" s="11">
        <v>3275.43</v>
      </c>
      <c r="F7228" s="3">
        <v>36663</v>
      </c>
      <c r="G7228" s="2"/>
      <c r="H7228" s="2"/>
      <c r="I7228" s="2"/>
      <c r="J7228" s="2" t="s">
        <v>13904</v>
      </c>
      <c r="K7228" s="2" t="s">
        <v>5657</v>
      </c>
      <c r="L7228" s="246" t="s">
        <v>22280</v>
      </c>
    </row>
    <row r="7229" spans="1:12" ht="84" customHeight="1" x14ac:dyDescent="0.3">
      <c r="A7229" s="2">
        <v>7225</v>
      </c>
      <c r="B7229" s="66" t="s">
        <v>8545</v>
      </c>
      <c r="C7229" s="66" t="s">
        <v>8546</v>
      </c>
      <c r="D7229" s="11">
        <v>8089.4</v>
      </c>
      <c r="E7229" s="11">
        <v>8089.4</v>
      </c>
      <c r="F7229" s="3">
        <v>36671</v>
      </c>
      <c r="G7229" s="2"/>
      <c r="H7229" s="2"/>
      <c r="I7229" s="2"/>
      <c r="J7229" s="2" t="s">
        <v>13904</v>
      </c>
      <c r="K7229" s="2" t="s">
        <v>5657</v>
      </c>
      <c r="L7229" s="246" t="s">
        <v>22280</v>
      </c>
    </row>
    <row r="7230" spans="1:12" ht="84" customHeight="1" x14ac:dyDescent="0.3">
      <c r="A7230" s="2">
        <v>7226</v>
      </c>
      <c r="B7230" s="66" t="s">
        <v>8547</v>
      </c>
      <c r="C7230" s="66" t="s">
        <v>8548</v>
      </c>
      <c r="D7230" s="11">
        <v>3316.32</v>
      </c>
      <c r="E7230" s="11">
        <v>3316.32</v>
      </c>
      <c r="F7230" s="3">
        <v>36284</v>
      </c>
      <c r="G7230" s="2"/>
      <c r="H7230" s="2"/>
      <c r="I7230" s="2"/>
      <c r="J7230" s="2" t="s">
        <v>13904</v>
      </c>
      <c r="K7230" s="2" t="s">
        <v>5657</v>
      </c>
      <c r="L7230" s="246" t="s">
        <v>22280</v>
      </c>
    </row>
    <row r="7231" spans="1:12" ht="84" customHeight="1" x14ac:dyDescent="0.3">
      <c r="A7231" s="2">
        <v>7227</v>
      </c>
      <c r="B7231" s="66" t="s">
        <v>8549</v>
      </c>
      <c r="C7231" s="66" t="s">
        <v>8550</v>
      </c>
      <c r="D7231" s="11">
        <v>690024.19</v>
      </c>
      <c r="E7231" s="11">
        <v>690024.19</v>
      </c>
      <c r="F7231" s="3">
        <v>39783</v>
      </c>
      <c r="G7231" s="2"/>
      <c r="H7231" s="2"/>
      <c r="I7231" s="2"/>
      <c r="J7231" s="2" t="s">
        <v>13904</v>
      </c>
      <c r="K7231" s="2" t="s">
        <v>5657</v>
      </c>
      <c r="L7231" s="82" t="s">
        <v>18773</v>
      </c>
    </row>
    <row r="7232" spans="1:12" ht="84" customHeight="1" x14ac:dyDescent="0.3">
      <c r="A7232" s="2">
        <v>7228</v>
      </c>
      <c r="B7232" s="66" t="s">
        <v>8551</v>
      </c>
      <c r="C7232" s="66" t="s">
        <v>8552</v>
      </c>
      <c r="D7232" s="11">
        <v>5194.4399999999996</v>
      </c>
      <c r="E7232" s="11">
        <v>5194.4399999999996</v>
      </c>
      <c r="F7232" s="3">
        <v>36685</v>
      </c>
      <c r="G7232" s="2"/>
      <c r="H7232" s="2"/>
      <c r="I7232" s="2"/>
      <c r="J7232" s="2" t="s">
        <v>13904</v>
      </c>
      <c r="K7232" s="2" t="s">
        <v>5657</v>
      </c>
      <c r="L7232" s="246" t="s">
        <v>22280</v>
      </c>
    </row>
    <row r="7233" spans="1:12" ht="84" customHeight="1" x14ac:dyDescent="0.3">
      <c r="A7233" s="2">
        <v>7229</v>
      </c>
      <c r="B7233" s="66" t="s">
        <v>8553</v>
      </c>
      <c r="C7233" s="66" t="s">
        <v>8554</v>
      </c>
      <c r="D7233" s="11">
        <v>16125</v>
      </c>
      <c r="E7233" s="11">
        <v>16125</v>
      </c>
      <c r="F7233" s="3">
        <v>39142</v>
      </c>
      <c r="G7233" s="2"/>
      <c r="H7233" s="2"/>
      <c r="I7233" s="2"/>
      <c r="J7233" s="2" t="s">
        <v>13904</v>
      </c>
      <c r="K7233" s="2" t="s">
        <v>5657</v>
      </c>
      <c r="L7233" s="246" t="s">
        <v>22280</v>
      </c>
    </row>
    <row r="7234" spans="1:12" ht="84" customHeight="1" x14ac:dyDescent="0.3">
      <c r="A7234" s="2">
        <v>7230</v>
      </c>
      <c r="B7234" s="66" t="s">
        <v>8555</v>
      </c>
      <c r="C7234" s="66" t="s">
        <v>8556</v>
      </c>
      <c r="D7234" s="11">
        <v>11702.3</v>
      </c>
      <c r="E7234" s="11">
        <v>11702.3</v>
      </c>
      <c r="F7234" s="3">
        <v>39601</v>
      </c>
      <c r="G7234" s="2"/>
      <c r="H7234" s="2"/>
      <c r="I7234" s="2"/>
      <c r="J7234" s="2" t="s">
        <v>13904</v>
      </c>
      <c r="K7234" s="2" t="s">
        <v>5657</v>
      </c>
      <c r="L7234" s="246" t="s">
        <v>22280</v>
      </c>
    </row>
    <row r="7235" spans="1:12" ht="84" customHeight="1" x14ac:dyDescent="0.3">
      <c r="A7235" s="2">
        <v>7231</v>
      </c>
      <c r="B7235" s="66" t="s">
        <v>8557</v>
      </c>
      <c r="C7235" s="66" t="s">
        <v>8558</v>
      </c>
      <c r="D7235" s="11">
        <v>16390</v>
      </c>
      <c r="E7235" s="11">
        <v>16390</v>
      </c>
      <c r="F7235" s="3">
        <v>39142</v>
      </c>
      <c r="G7235" s="2"/>
      <c r="H7235" s="2"/>
      <c r="I7235" s="2"/>
      <c r="J7235" s="2" t="s">
        <v>13904</v>
      </c>
      <c r="K7235" s="2" t="s">
        <v>5657</v>
      </c>
      <c r="L7235" s="246" t="s">
        <v>22280</v>
      </c>
    </row>
    <row r="7236" spans="1:12" ht="84" customHeight="1" x14ac:dyDescent="0.3">
      <c r="A7236" s="2">
        <v>7232</v>
      </c>
      <c r="B7236" s="66" t="s">
        <v>8559</v>
      </c>
      <c r="C7236" s="66" t="s">
        <v>8560</v>
      </c>
      <c r="D7236" s="11">
        <v>12750</v>
      </c>
      <c r="E7236" s="11">
        <v>12750</v>
      </c>
      <c r="F7236" s="3">
        <v>39142</v>
      </c>
      <c r="G7236" s="2"/>
      <c r="H7236" s="2"/>
      <c r="I7236" s="2"/>
      <c r="J7236" s="2" t="s">
        <v>13904</v>
      </c>
      <c r="K7236" s="2" t="s">
        <v>5657</v>
      </c>
      <c r="L7236" s="246" t="s">
        <v>22280</v>
      </c>
    </row>
    <row r="7237" spans="1:12" ht="84" customHeight="1" x14ac:dyDescent="0.3">
      <c r="A7237" s="2">
        <v>7233</v>
      </c>
      <c r="B7237" s="66" t="s">
        <v>8561</v>
      </c>
      <c r="C7237" s="66" t="s">
        <v>8562</v>
      </c>
      <c r="D7237" s="11">
        <v>19945.21</v>
      </c>
      <c r="E7237" s="11">
        <v>19945.21</v>
      </c>
      <c r="F7237" s="3">
        <v>39052</v>
      </c>
      <c r="G7237" s="2"/>
      <c r="H7237" s="2"/>
      <c r="I7237" s="2"/>
      <c r="J7237" s="2" t="s">
        <v>13904</v>
      </c>
      <c r="K7237" s="2" t="s">
        <v>5657</v>
      </c>
      <c r="L7237" s="246" t="s">
        <v>22280</v>
      </c>
    </row>
    <row r="7238" spans="1:12" ht="84" customHeight="1" x14ac:dyDescent="0.3">
      <c r="A7238" s="2">
        <v>7234</v>
      </c>
      <c r="B7238" s="66" t="s">
        <v>8563</v>
      </c>
      <c r="C7238" s="66" t="s">
        <v>8564</v>
      </c>
      <c r="D7238" s="11">
        <v>12750</v>
      </c>
      <c r="E7238" s="11">
        <v>12750</v>
      </c>
      <c r="F7238" s="3">
        <v>39142</v>
      </c>
      <c r="G7238" s="2"/>
      <c r="H7238" s="2"/>
      <c r="I7238" s="2"/>
      <c r="J7238" s="2" t="s">
        <v>13904</v>
      </c>
      <c r="K7238" s="2" t="s">
        <v>5657</v>
      </c>
      <c r="L7238" s="246" t="s">
        <v>22280</v>
      </c>
    </row>
    <row r="7239" spans="1:12" ht="84" customHeight="1" x14ac:dyDescent="0.3">
      <c r="A7239" s="2">
        <v>7235</v>
      </c>
      <c r="B7239" s="66" t="s">
        <v>8565</v>
      </c>
      <c r="C7239" s="66" t="s">
        <v>8566</v>
      </c>
      <c r="D7239" s="11">
        <v>19945.400000000001</v>
      </c>
      <c r="E7239" s="11">
        <v>19945.400000000001</v>
      </c>
      <c r="F7239" s="3">
        <v>39052</v>
      </c>
      <c r="G7239" s="2"/>
      <c r="H7239" s="2"/>
      <c r="I7239" s="2"/>
      <c r="J7239" s="2" t="s">
        <v>13904</v>
      </c>
      <c r="K7239" s="2" t="s">
        <v>5657</v>
      </c>
      <c r="L7239" s="246" t="s">
        <v>22280</v>
      </c>
    </row>
    <row r="7240" spans="1:12" ht="84" customHeight="1" x14ac:dyDescent="0.3">
      <c r="A7240" s="2">
        <v>7236</v>
      </c>
      <c r="B7240" s="66" t="s">
        <v>8567</v>
      </c>
      <c r="C7240" s="66" t="s">
        <v>8568</v>
      </c>
      <c r="D7240" s="11">
        <v>19945.21</v>
      </c>
      <c r="E7240" s="11">
        <v>19945.21</v>
      </c>
      <c r="F7240" s="3">
        <v>39052</v>
      </c>
      <c r="G7240" s="2"/>
      <c r="H7240" s="2"/>
      <c r="I7240" s="2"/>
      <c r="J7240" s="2" t="s">
        <v>13904</v>
      </c>
      <c r="K7240" s="2" t="s">
        <v>5657</v>
      </c>
      <c r="L7240" s="246" t="s">
        <v>22280</v>
      </c>
    </row>
    <row r="7241" spans="1:12" ht="84" customHeight="1" x14ac:dyDescent="0.3">
      <c r="A7241" s="2">
        <v>7237</v>
      </c>
      <c r="B7241" s="66" t="s">
        <v>8569</v>
      </c>
      <c r="C7241" s="66" t="s">
        <v>8570</v>
      </c>
      <c r="D7241" s="11">
        <v>27040</v>
      </c>
      <c r="E7241" s="11">
        <v>22983.7</v>
      </c>
      <c r="F7241" s="3">
        <v>39052</v>
      </c>
      <c r="G7241" s="2"/>
      <c r="H7241" s="2"/>
      <c r="I7241" s="2"/>
      <c r="J7241" s="2" t="s">
        <v>13904</v>
      </c>
      <c r="K7241" s="2" t="s">
        <v>5657</v>
      </c>
      <c r="L7241" s="246" t="s">
        <v>22280</v>
      </c>
    </row>
    <row r="7242" spans="1:12" ht="84" customHeight="1" x14ac:dyDescent="0.3">
      <c r="A7242" s="2">
        <v>7238</v>
      </c>
      <c r="B7242" s="66" t="s">
        <v>8571</v>
      </c>
      <c r="C7242" s="66" t="s">
        <v>8572</v>
      </c>
      <c r="D7242" s="11">
        <v>54825.1</v>
      </c>
      <c r="E7242" s="11">
        <v>54825.1</v>
      </c>
      <c r="F7242" s="3">
        <v>39052</v>
      </c>
      <c r="G7242" s="2"/>
      <c r="H7242" s="2"/>
      <c r="I7242" s="2"/>
      <c r="J7242" s="2" t="s">
        <v>13904</v>
      </c>
      <c r="K7242" s="2" t="s">
        <v>5657</v>
      </c>
      <c r="L7242" s="82" t="s">
        <v>18773</v>
      </c>
    </row>
    <row r="7243" spans="1:12" ht="84" customHeight="1" x14ac:dyDescent="0.3">
      <c r="A7243" s="2">
        <v>7239</v>
      </c>
      <c r="B7243" s="66" t="s">
        <v>8573</v>
      </c>
      <c r="C7243" s="66" t="s">
        <v>8574</v>
      </c>
      <c r="D7243" s="11">
        <v>3172.4</v>
      </c>
      <c r="E7243" s="11">
        <v>3172.4</v>
      </c>
      <c r="F7243" s="3">
        <v>39052</v>
      </c>
      <c r="G7243" s="2"/>
      <c r="H7243" s="2"/>
      <c r="I7243" s="2"/>
      <c r="J7243" s="2" t="s">
        <v>13904</v>
      </c>
      <c r="K7243" s="2" t="s">
        <v>5657</v>
      </c>
      <c r="L7243" s="246" t="s">
        <v>22280</v>
      </c>
    </row>
    <row r="7244" spans="1:12" ht="84" customHeight="1" x14ac:dyDescent="0.3">
      <c r="A7244" s="2">
        <v>7240</v>
      </c>
      <c r="B7244" s="66" t="s">
        <v>8573</v>
      </c>
      <c r="C7244" s="66" t="s">
        <v>8575</v>
      </c>
      <c r="D7244" s="11">
        <v>3172.4</v>
      </c>
      <c r="E7244" s="11">
        <v>3172.4</v>
      </c>
      <c r="F7244" s="3">
        <v>39052</v>
      </c>
      <c r="G7244" s="2"/>
      <c r="H7244" s="2"/>
      <c r="I7244" s="2"/>
      <c r="J7244" s="2" t="s">
        <v>13904</v>
      </c>
      <c r="K7244" s="2" t="s">
        <v>5657</v>
      </c>
      <c r="L7244" s="246" t="s">
        <v>22280</v>
      </c>
    </row>
    <row r="7245" spans="1:12" ht="84" customHeight="1" x14ac:dyDescent="0.3">
      <c r="A7245" s="2">
        <v>7241</v>
      </c>
      <c r="B7245" s="66" t="s">
        <v>8576</v>
      </c>
      <c r="C7245" s="66" t="s">
        <v>8577</v>
      </c>
      <c r="D7245" s="11">
        <v>33286.97</v>
      </c>
      <c r="E7245" s="11">
        <v>33286.97</v>
      </c>
      <c r="F7245" s="3">
        <v>39790</v>
      </c>
      <c r="G7245" s="2"/>
      <c r="H7245" s="2"/>
      <c r="I7245" s="2"/>
      <c r="J7245" s="2" t="s">
        <v>13904</v>
      </c>
      <c r="K7245" s="2" t="s">
        <v>5657</v>
      </c>
      <c r="L7245" s="246" t="s">
        <v>22280</v>
      </c>
    </row>
    <row r="7246" spans="1:12" ht="84" customHeight="1" x14ac:dyDescent="0.3">
      <c r="A7246" s="2">
        <v>7242</v>
      </c>
      <c r="B7246" s="66" t="s">
        <v>8578</v>
      </c>
      <c r="C7246" s="66" t="s">
        <v>8579</v>
      </c>
      <c r="D7246" s="11">
        <v>16074.44</v>
      </c>
      <c r="E7246" s="11">
        <v>16074.44</v>
      </c>
      <c r="F7246" s="3">
        <v>39052</v>
      </c>
      <c r="G7246" s="2"/>
      <c r="H7246" s="2"/>
      <c r="I7246" s="2"/>
      <c r="J7246" s="2" t="s">
        <v>13904</v>
      </c>
      <c r="K7246" s="2" t="s">
        <v>5657</v>
      </c>
      <c r="L7246" s="246" t="s">
        <v>22280</v>
      </c>
    </row>
    <row r="7247" spans="1:12" ht="84" customHeight="1" x14ac:dyDescent="0.3">
      <c r="A7247" s="2">
        <v>7243</v>
      </c>
      <c r="B7247" s="66" t="s">
        <v>8580</v>
      </c>
      <c r="C7247" s="66" t="s">
        <v>8581</v>
      </c>
      <c r="D7247" s="11">
        <v>99551.12</v>
      </c>
      <c r="E7247" s="11">
        <v>99551.12</v>
      </c>
      <c r="F7247" s="3">
        <v>39052</v>
      </c>
      <c r="G7247" s="2"/>
      <c r="H7247" s="2"/>
      <c r="I7247" s="2"/>
      <c r="J7247" s="2" t="s">
        <v>13904</v>
      </c>
      <c r="K7247" s="2" t="s">
        <v>5657</v>
      </c>
      <c r="L7247" s="82" t="s">
        <v>18773</v>
      </c>
    </row>
    <row r="7248" spans="1:12" ht="84" customHeight="1" x14ac:dyDescent="0.3">
      <c r="A7248" s="2">
        <v>7244</v>
      </c>
      <c r="B7248" s="66" t="s">
        <v>8582</v>
      </c>
      <c r="C7248" s="66" t="s">
        <v>8583</v>
      </c>
      <c r="D7248" s="11">
        <v>17136</v>
      </c>
      <c r="E7248" s="11">
        <v>17136</v>
      </c>
      <c r="F7248" s="3">
        <v>39052</v>
      </c>
      <c r="G7248" s="2"/>
      <c r="H7248" s="2"/>
      <c r="I7248" s="2"/>
      <c r="J7248" s="2" t="s">
        <v>13904</v>
      </c>
      <c r="K7248" s="2" t="s">
        <v>5657</v>
      </c>
      <c r="L7248" s="246" t="s">
        <v>22280</v>
      </c>
    </row>
    <row r="7249" spans="1:12" ht="84" customHeight="1" x14ac:dyDescent="0.3">
      <c r="A7249" s="2">
        <v>7245</v>
      </c>
      <c r="B7249" s="66" t="s">
        <v>8584</v>
      </c>
      <c r="C7249" s="66" t="s">
        <v>8585</v>
      </c>
      <c r="D7249" s="11">
        <v>17136</v>
      </c>
      <c r="E7249" s="11">
        <v>17136</v>
      </c>
      <c r="F7249" s="3">
        <v>39052</v>
      </c>
      <c r="G7249" s="2"/>
      <c r="H7249" s="2"/>
      <c r="I7249" s="2"/>
      <c r="J7249" s="2" t="s">
        <v>13904</v>
      </c>
      <c r="K7249" s="2" t="s">
        <v>5657</v>
      </c>
      <c r="L7249" s="246" t="s">
        <v>22280</v>
      </c>
    </row>
    <row r="7250" spans="1:12" ht="84" customHeight="1" x14ac:dyDescent="0.3">
      <c r="A7250" s="2">
        <v>7246</v>
      </c>
      <c r="B7250" s="66" t="s">
        <v>8586</v>
      </c>
      <c r="C7250" s="66" t="s">
        <v>8587</v>
      </c>
      <c r="D7250" s="11">
        <v>39984</v>
      </c>
      <c r="E7250" s="11">
        <v>39984</v>
      </c>
      <c r="F7250" s="3">
        <v>39052</v>
      </c>
      <c r="G7250" s="2"/>
      <c r="H7250" s="2"/>
      <c r="I7250" s="2"/>
      <c r="J7250" s="2" t="s">
        <v>13904</v>
      </c>
      <c r="K7250" s="2" t="s">
        <v>5657</v>
      </c>
      <c r="L7250" s="246" t="s">
        <v>22280</v>
      </c>
    </row>
    <row r="7251" spans="1:12" ht="84" customHeight="1" x14ac:dyDescent="0.3">
      <c r="A7251" s="2">
        <v>7247</v>
      </c>
      <c r="B7251" s="66" t="s">
        <v>8588</v>
      </c>
      <c r="C7251" s="66" t="s">
        <v>8589</v>
      </c>
      <c r="D7251" s="11">
        <v>39984</v>
      </c>
      <c r="E7251" s="11">
        <v>39984</v>
      </c>
      <c r="F7251" s="3">
        <v>39052</v>
      </c>
      <c r="G7251" s="2"/>
      <c r="H7251" s="2"/>
      <c r="I7251" s="2"/>
      <c r="J7251" s="2" t="s">
        <v>13904</v>
      </c>
      <c r="K7251" s="2" t="s">
        <v>5657</v>
      </c>
      <c r="L7251" s="246" t="s">
        <v>22280</v>
      </c>
    </row>
    <row r="7252" spans="1:12" ht="84" customHeight="1" x14ac:dyDescent="0.3">
      <c r="A7252" s="2">
        <v>7248</v>
      </c>
      <c r="B7252" s="66" t="s">
        <v>8590</v>
      </c>
      <c r="C7252" s="66" t="s">
        <v>8591</v>
      </c>
      <c r="D7252" s="11">
        <v>7237.14</v>
      </c>
      <c r="E7252" s="11">
        <v>7237.14</v>
      </c>
      <c r="F7252" s="3">
        <v>39052</v>
      </c>
      <c r="G7252" s="2"/>
      <c r="H7252" s="2"/>
      <c r="I7252" s="2"/>
      <c r="J7252" s="2" t="s">
        <v>13904</v>
      </c>
      <c r="K7252" s="2" t="s">
        <v>5657</v>
      </c>
      <c r="L7252" s="246" t="s">
        <v>22280</v>
      </c>
    </row>
    <row r="7253" spans="1:12" ht="84" customHeight="1" x14ac:dyDescent="0.3">
      <c r="A7253" s="2">
        <v>7249</v>
      </c>
      <c r="B7253" s="66" t="s">
        <v>8592</v>
      </c>
      <c r="C7253" s="66" t="s">
        <v>8593</v>
      </c>
      <c r="D7253" s="11">
        <v>5997.6</v>
      </c>
      <c r="E7253" s="11">
        <v>5997.6</v>
      </c>
      <c r="F7253" s="3">
        <v>39052</v>
      </c>
      <c r="G7253" s="2"/>
      <c r="H7253" s="2"/>
      <c r="I7253" s="2"/>
      <c r="J7253" s="2" t="s">
        <v>13904</v>
      </c>
      <c r="K7253" s="2" t="s">
        <v>5657</v>
      </c>
      <c r="L7253" s="246" t="s">
        <v>22280</v>
      </c>
    </row>
    <row r="7254" spans="1:12" ht="84" customHeight="1" x14ac:dyDescent="0.3">
      <c r="A7254" s="2">
        <v>7250</v>
      </c>
      <c r="B7254" s="66" t="s">
        <v>8592</v>
      </c>
      <c r="C7254" s="66" t="s">
        <v>8594</v>
      </c>
      <c r="D7254" s="11">
        <v>5997.6</v>
      </c>
      <c r="E7254" s="11">
        <v>5997.6</v>
      </c>
      <c r="F7254" s="3">
        <v>39052</v>
      </c>
      <c r="G7254" s="2"/>
      <c r="H7254" s="2"/>
      <c r="I7254" s="2"/>
      <c r="J7254" s="2" t="s">
        <v>13904</v>
      </c>
      <c r="K7254" s="2" t="s">
        <v>5657</v>
      </c>
      <c r="L7254" s="246" t="s">
        <v>22280</v>
      </c>
    </row>
    <row r="7255" spans="1:12" ht="84" customHeight="1" x14ac:dyDescent="0.3">
      <c r="A7255" s="2">
        <v>7251</v>
      </c>
      <c r="B7255" s="66" t="s">
        <v>8592</v>
      </c>
      <c r="C7255" s="66" t="s">
        <v>8595</v>
      </c>
      <c r="D7255" s="11">
        <v>5997.6</v>
      </c>
      <c r="E7255" s="11">
        <v>5997.6</v>
      </c>
      <c r="F7255" s="3">
        <v>39052</v>
      </c>
      <c r="G7255" s="2"/>
      <c r="H7255" s="2"/>
      <c r="I7255" s="2"/>
      <c r="J7255" s="2" t="s">
        <v>13904</v>
      </c>
      <c r="K7255" s="2" t="s">
        <v>5657</v>
      </c>
      <c r="L7255" s="246" t="s">
        <v>22280</v>
      </c>
    </row>
    <row r="7256" spans="1:12" ht="84" customHeight="1" x14ac:dyDescent="0.3">
      <c r="A7256" s="2">
        <v>7252</v>
      </c>
      <c r="B7256" s="66" t="s">
        <v>8592</v>
      </c>
      <c r="C7256" s="66" t="s">
        <v>8596</v>
      </c>
      <c r="D7256" s="11">
        <v>5997.6</v>
      </c>
      <c r="E7256" s="11">
        <v>5997.6</v>
      </c>
      <c r="F7256" s="3">
        <v>39052</v>
      </c>
      <c r="G7256" s="2"/>
      <c r="H7256" s="2"/>
      <c r="I7256" s="2"/>
      <c r="J7256" s="2" t="s">
        <v>13904</v>
      </c>
      <c r="K7256" s="2" t="s">
        <v>5657</v>
      </c>
      <c r="L7256" s="246" t="s">
        <v>22280</v>
      </c>
    </row>
    <row r="7257" spans="1:12" ht="84" customHeight="1" x14ac:dyDescent="0.3">
      <c r="A7257" s="2">
        <v>7253</v>
      </c>
      <c r="B7257" s="66" t="s">
        <v>8597</v>
      </c>
      <c r="C7257" s="66" t="s">
        <v>8598</v>
      </c>
      <c r="D7257" s="11">
        <v>3894</v>
      </c>
      <c r="E7257" s="11">
        <v>3894</v>
      </c>
      <c r="F7257" s="3">
        <v>39143</v>
      </c>
      <c r="G7257" s="2"/>
      <c r="H7257" s="2"/>
      <c r="I7257" s="2"/>
      <c r="J7257" s="2" t="s">
        <v>13904</v>
      </c>
      <c r="K7257" s="2" t="s">
        <v>5657</v>
      </c>
      <c r="L7257" s="246" t="s">
        <v>22280</v>
      </c>
    </row>
    <row r="7258" spans="1:12" ht="84" customHeight="1" x14ac:dyDescent="0.3">
      <c r="A7258" s="2">
        <v>7254</v>
      </c>
      <c r="B7258" s="66" t="s">
        <v>8599</v>
      </c>
      <c r="C7258" s="66" t="s">
        <v>8600</v>
      </c>
      <c r="D7258" s="11">
        <v>11702.3</v>
      </c>
      <c r="E7258" s="11">
        <v>11702.3</v>
      </c>
      <c r="F7258" s="3">
        <v>39601</v>
      </c>
      <c r="G7258" s="2"/>
      <c r="H7258" s="2"/>
      <c r="I7258" s="2"/>
      <c r="J7258" s="2" t="s">
        <v>13904</v>
      </c>
      <c r="K7258" s="2" t="s">
        <v>5657</v>
      </c>
      <c r="L7258" s="246" t="s">
        <v>22280</v>
      </c>
    </row>
    <row r="7259" spans="1:12" ht="84" customHeight="1" x14ac:dyDescent="0.3">
      <c r="A7259" s="2">
        <v>7255</v>
      </c>
      <c r="B7259" s="66" t="s">
        <v>8601</v>
      </c>
      <c r="C7259" s="66" t="s">
        <v>8602</v>
      </c>
      <c r="D7259" s="11">
        <v>11702.3</v>
      </c>
      <c r="E7259" s="11">
        <v>11702.3</v>
      </c>
      <c r="F7259" s="3">
        <v>39601</v>
      </c>
      <c r="G7259" s="2"/>
      <c r="H7259" s="2"/>
      <c r="I7259" s="2"/>
      <c r="J7259" s="2" t="s">
        <v>13904</v>
      </c>
      <c r="K7259" s="2" t="s">
        <v>5657</v>
      </c>
      <c r="L7259" s="246" t="s">
        <v>22280</v>
      </c>
    </row>
    <row r="7260" spans="1:12" ht="84" customHeight="1" x14ac:dyDescent="0.3">
      <c r="A7260" s="2">
        <v>7256</v>
      </c>
      <c r="B7260" s="66" t="s">
        <v>8555</v>
      </c>
      <c r="C7260" s="66" t="s">
        <v>8603</v>
      </c>
      <c r="D7260" s="11">
        <v>11702.3</v>
      </c>
      <c r="E7260" s="11">
        <v>11702.3</v>
      </c>
      <c r="F7260" s="3">
        <v>39601</v>
      </c>
      <c r="G7260" s="2"/>
      <c r="H7260" s="2"/>
      <c r="I7260" s="2"/>
      <c r="J7260" s="2" t="s">
        <v>13904</v>
      </c>
      <c r="K7260" s="2" t="s">
        <v>5657</v>
      </c>
      <c r="L7260" s="246" t="s">
        <v>22280</v>
      </c>
    </row>
    <row r="7261" spans="1:12" ht="84" customHeight="1" x14ac:dyDescent="0.3">
      <c r="A7261" s="2">
        <v>7257</v>
      </c>
      <c r="B7261" s="66" t="s">
        <v>8555</v>
      </c>
      <c r="C7261" s="66" t="s">
        <v>8604</v>
      </c>
      <c r="D7261" s="11">
        <v>11702.3</v>
      </c>
      <c r="E7261" s="11">
        <v>11702.3</v>
      </c>
      <c r="F7261" s="3">
        <v>39601</v>
      </c>
      <c r="G7261" s="2"/>
      <c r="H7261" s="2"/>
      <c r="I7261" s="2"/>
      <c r="J7261" s="2" t="s">
        <v>13904</v>
      </c>
      <c r="K7261" s="2" t="s">
        <v>5657</v>
      </c>
      <c r="L7261" s="246" t="s">
        <v>22280</v>
      </c>
    </row>
    <row r="7262" spans="1:12" ht="84" customHeight="1" x14ac:dyDescent="0.3">
      <c r="A7262" s="2">
        <v>7258</v>
      </c>
      <c r="B7262" s="66" t="s">
        <v>8555</v>
      </c>
      <c r="C7262" s="66" t="s">
        <v>8605</v>
      </c>
      <c r="D7262" s="11">
        <v>11702.3</v>
      </c>
      <c r="E7262" s="11">
        <v>11702.3</v>
      </c>
      <c r="F7262" s="3">
        <v>39601</v>
      </c>
      <c r="G7262" s="2"/>
      <c r="H7262" s="2"/>
      <c r="I7262" s="2"/>
      <c r="J7262" s="2" t="s">
        <v>13904</v>
      </c>
      <c r="K7262" s="2" t="s">
        <v>5657</v>
      </c>
      <c r="L7262" s="246" t="s">
        <v>22280</v>
      </c>
    </row>
    <row r="7263" spans="1:12" ht="84" customHeight="1" x14ac:dyDescent="0.3">
      <c r="A7263" s="2">
        <v>7259</v>
      </c>
      <c r="B7263" s="66" t="s">
        <v>8555</v>
      </c>
      <c r="C7263" s="66" t="s">
        <v>8606</v>
      </c>
      <c r="D7263" s="11">
        <v>11702.3</v>
      </c>
      <c r="E7263" s="11">
        <v>11702.3</v>
      </c>
      <c r="F7263" s="3">
        <v>39601</v>
      </c>
      <c r="G7263" s="2"/>
      <c r="H7263" s="2"/>
      <c r="I7263" s="2"/>
      <c r="J7263" s="2" t="s">
        <v>13904</v>
      </c>
      <c r="K7263" s="2" t="s">
        <v>5657</v>
      </c>
      <c r="L7263" s="246" t="s">
        <v>22280</v>
      </c>
    </row>
    <row r="7264" spans="1:12" ht="84" customHeight="1" x14ac:dyDescent="0.3">
      <c r="A7264" s="2">
        <v>7260</v>
      </c>
      <c r="B7264" s="66" t="s">
        <v>8555</v>
      </c>
      <c r="C7264" s="66" t="s">
        <v>8607</v>
      </c>
      <c r="D7264" s="11">
        <v>11702.3</v>
      </c>
      <c r="E7264" s="11">
        <v>11702.3</v>
      </c>
      <c r="F7264" s="3">
        <v>39601</v>
      </c>
      <c r="G7264" s="2"/>
      <c r="H7264" s="2"/>
      <c r="I7264" s="2"/>
      <c r="J7264" s="2" t="s">
        <v>13904</v>
      </c>
      <c r="K7264" s="2" t="s">
        <v>5657</v>
      </c>
      <c r="L7264" s="246" t="s">
        <v>22280</v>
      </c>
    </row>
    <row r="7265" spans="1:12" ht="84" customHeight="1" x14ac:dyDescent="0.3">
      <c r="A7265" s="2">
        <v>7261</v>
      </c>
      <c r="B7265" s="66" t="s">
        <v>8555</v>
      </c>
      <c r="C7265" s="66" t="s">
        <v>8608</v>
      </c>
      <c r="D7265" s="11">
        <v>11702.22</v>
      </c>
      <c r="E7265" s="11">
        <v>11702.22</v>
      </c>
      <c r="F7265" s="3">
        <v>39601</v>
      </c>
      <c r="G7265" s="2"/>
      <c r="H7265" s="2"/>
      <c r="I7265" s="2"/>
      <c r="J7265" s="2" t="s">
        <v>13904</v>
      </c>
      <c r="K7265" s="2" t="s">
        <v>5657</v>
      </c>
      <c r="L7265" s="246" t="s">
        <v>22280</v>
      </c>
    </row>
    <row r="7266" spans="1:12" ht="84" customHeight="1" x14ac:dyDescent="0.3">
      <c r="A7266" s="2">
        <v>7262</v>
      </c>
      <c r="B7266" s="66" t="s">
        <v>8555</v>
      </c>
      <c r="C7266" s="66" t="s">
        <v>8609</v>
      </c>
      <c r="D7266" s="11">
        <v>11702.32</v>
      </c>
      <c r="E7266" s="11">
        <v>11702.32</v>
      </c>
      <c r="F7266" s="3">
        <v>39601</v>
      </c>
      <c r="G7266" s="2"/>
      <c r="H7266" s="2"/>
      <c r="I7266" s="2"/>
      <c r="J7266" s="2" t="s">
        <v>13904</v>
      </c>
      <c r="K7266" s="2" t="s">
        <v>5657</v>
      </c>
      <c r="L7266" s="246" t="s">
        <v>22280</v>
      </c>
    </row>
    <row r="7267" spans="1:12" ht="84" customHeight="1" x14ac:dyDescent="0.3">
      <c r="A7267" s="2">
        <v>7263</v>
      </c>
      <c r="B7267" s="66" t="s">
        <v>8555</v>
      </c>
      <c r="C7267" s="66" t="s">
        <v>8610</v>
      </c>
      <c r="D7267" s="11">
        <v>11702.32</v>
      </c>
      <c r="E7267" s="11">
        <v>11702.32</v>
      </c>
      <c r="F7267" s="3">
        <v>39601</v>
      </c>
      <c r="G7267" s="2"/>
      <c r="H7267" s="2"/>
      <c r="I7267" s="2"/>
      <c r="J7267" s="2" t="s">
        <v>13904</v>
      </c>
      <c r="K7267" s="2" t="s">
        <v>5657</v>
      </c>
      <c r="L7267" s="246" t="s">
        <v>22280</v>
      </c>
    </row>
    <row r="7268" spans="1:12" ht="84" customHeight="1" x14ac:dyDescent="0.3">
      <c r="A7268" s="2">
        <v>7264</v>
      </c>
      <c r="B7268" s="66" t="s">
        <v>8555</v>
      </c>
      <c r="C7268" s="66" t="s">
        <v>8611</v>
      </c>
      <c r="D7268" s="11">
        <v>11702.32</v>
      </c>
      <c r="E7268" s="11">
        <v>11702.32</v>
      </c>
      <c r="F7268" s="3">
        <v>39601</v>
      </c>
      <c r="G7268" s="2"/>
      <c r="H7268" s="2"/>
      <c r="I7268" s="2"/>
      <c r="J7268" s="2" t="s">
        <v>13904</v>
      </c>
      <c r="K7268" s="2" t="s">
        <v>5657</v>
      </c>
      <c r="L7268" s="246" t="s">
        <v>22280</v>
      </c>
    </row>
    <row r="7269" spans="1:12" ht="84" customHeight="1" x14ac:dyDescent="0.3">
      <c r="A7269" s="2">
        <v>7265</v>
      </c>
      <c r="B7269" s="66" t="s">
        <v>8555</v>
      </c>
      <c r="C7269" s="66" t="s">
        <v>8612</v>
      </c>
      <c r="D7269" s="11">
        <v>11702.3</v>
      </c>
      <c r="E7269" s="11">
        <v>11702.3</v>
      </c>
      <c r="F7269" s="3">
        <v>39601</v>
      </c>
      <c r="G7269" s="2"/>
      <c r="H7269" s="2"/>
      <c r="I7269" s="2"/>
      <c r="J7269" s="2" t="s">
        <v>13904</v>
      </c>
      <c r="K7269" s="2" t="s">
        <v>5657</v>
      </c>
      <c r="L7269" s="246" t="s">
        <v>22280</v>
      </c>
    </row>
    <row r="7270" spans="1:12" ht="84" customHeight="1" x14ac:dyDescent="0.3">
      <c r="A7270" s="2">
        <v>7266</v>
      </c>
      <c r="B7270" s="66" t="s">
        <v>8555</v>
      </c>
      <c r="C7270" s="66" t="s">
        <v>8613</v>
      </c>
      <c r="D7270" s="11">
        <v>11702.3</v>
      </c>
      <c r="E7270" s="11">
        <v>11702.3</v>
      </c>
      <c r="F7270" s="3">
        <v>39601</v>
      </c>
      <c r="G7270" s="2"/>
      <c r="H7270" s="2"/>
      <c r="I7270" s="2"/>
      <c r="J7270" s="2" t="s">
        <v>13904</v>
      </c>
      <c r="K7270" s="2" t="s">
        <v>5657</v>
      </c>
      <c r="L7270" s="246" t="s">
        <v>22280</v>
      </c>
    </row>
    <row r="7271" spans="1:12" ht="84" customHeight="1" x14ac:dyDescent="0.3">
      <c r="A7271" s="2">
        <v>7267</v>
      </c>
      <c r="B7271" s="66" t="s">
        <v>8555</v>
      </c>
      <c r="C7271" s="66" t="s">
        <v>8614</v>
      </c>
      <c r="D7271" s="11">
        <v>11702.3</v>
      </c>
      <c r="E7271" s="11">
        <v>11702.3</v>
      </c>
      <c r="F7271" s="3">
        <v>39601</v>
      </c>
      <c r="G7271" s="2"/>
      <c r="H7271" s="2"/>
      <c r="I7271" s="2"/>
      <c r="J7271" s="2" t="s">
        <v>13904</v>
      </c>
      <c r="K7271" s="2" t="s">
        <v>5657</v>
      </c>
      <c r="L7271" s="246" t="s">
        <v>22280</v>
      </c>
    </row>
    <row r="7272" spans="1:12" ht="84" customHeight="1" x14ac:dyDescent="0.3">
      <c r="A7272" s="2">
        <v>7268</v>
      </c>
      <c r="B7272" s="66" t="s">
        <v>8555</v>
      </c>
      <c r="C7272" s="66" t="s">
        <v>8615</v>
      </c>
      <c r="D7272" s="11">
        <v>11702.3</v>
      </c>
      <c r="E7272" s="11">
        <v>11702.3</v>
      </c>
      <c r="F7272" s="3">
        <v>39601</v>
      </c>
      <c r="G7272" s="2"/>
      <c r="H7272" s="2"/>
      <c r="I7272" s="2"/>
      <c r="J7272" s="2" t="s">
        <v>13904</v>
      </c>
      <c r="K7272" s="2" t="s">
        <v>5657</v>
      </c>
      <c r="L7272" s="246" t="s">
        <v>22280</v>
      </c>
    </row>
    <row r="7273" spans="1:12" ht="84" customHeight="1" x14ac:dyDescent="0.3">
      <c r="A7273" s="2">
        <v>7269</v>
      </c>
      <c r="B7273" s="66" t="s">
        <v>8555</v>
      </c>
      <c r="C7273" s="66" t="s">
        <v>8616</v>
      </c>
      <c r="D7273" s="11">
        <v>11702.3</v>
      </c>
      <c r="E7273" s="11">
        <v>11702.3</v>
      </c>
      <c r="F7273" s="3">
        <v>39601</v>
      </c>
      <c r="G7273" s="2"/>
      <c r="H7273" s="2"/>
      <c r="I7273" s="2"/>
      <c r="J7273" s="2" t="s">
        <v>13904</v>
      </c>
      <c r="K7273" s="2" t="s">
        <v>5657</v>
      </c>
      <c r="L7273" s="246" t="s">
        <v>22280</v>
      </c>
    </row>
    <row r="7274" spans="1:12" ht="84" customHeight="1" x14ac:dyDescent="0.3">
      <c r="A7274" s="2">
        <v>7270</v>
      </c>
      <c r="B7274" s="66" t="s">
        <v>8555</v>
      </c>
      <c r="C7274" s="66" t="s">
        <v>8617</v>
      </c>
      <c r="D7274" s="11">
        <v>11702.3</v>
      </c>
      <c r="E7274" s="11">
        <v>11702.3</v>
      </c>
      <c r="F7274" s="3">
        <v>39601</v>
      </c>
      <c r="G7274" s="2"/>
      <c r="H7274" s="2"/>
      <c r="I7274" s="2"/>
      <c r="J7274" s="2" t="s">
        <v>13904</v>
      </c>
      <c r="K7274" s="2" t="s">
        <v>5657</v>
      </c>
      <c r="L7274" s="246" t="s">
        <v>22280</v>
      </c>
    </row>
    <row r="7275" spans="1:12" ht="84" customHeight="1" x14ac:dyDescent="0.3">
      <c r="A7275" s="2">
        <v>7271</v>
      </c>
      <c r="B7275" s="66" t="s">
        <v>8555</v>
      </c>
      <c r="C7275" s="66" t="s">
        <v>8618</v>
      </c>
      <c r="D7275" s="11">
        <v>11702.3</v>
      </c>
      <c r="E7275" s="11">
        <v>11702.3</v>
      </c>
      <c r="F7275" s="3">
        <v>39601</v>
      </c>
      <c r="G7275" s="2"/>
      <c r="H7275" s="2"/>
      <c r="I7275" s="2"/>
      <c r="J7275" s="2" t="s">
        <v>13904</v>
      </c>
      <c r="K7275" s="2" t="s">
        <v>5657</v>
      </c>
      <c r="L7275" s="246" t="s">
        <v>22280</v>
      </c>
    </row>
    <row r="7276" spans="1:12" ht="84" customHeight="1" x14ac:dyDescent="0.3">
      <c r="A7276" s="2">
        <v>7272</v>
      </c>
      <c r="B7276" s="66" t="s">
        <v>8555</v>
      </c>
      <c r="C7276" s="66" t="s">
        <v>8619</v>
      </c>
      <c r="D7276" s="11">
        <v>11702.3</v>
      </c>
      <c r="E7276" s="11">
        <v>11702.3</v>
      </c>
      <c r="F7276" s="3">
        <v>39601</v>
      </c>
      <c r="G7276" s="2"/>
      <c r="H7276" s="2"/>
      <c r="I7276" s="2"/>
      <c r="J7276" s="2" t="s">
        <v>13904</v>
      </c>
      <c r="K7276" s="2" t="s">
        <v>5657</v>
      </c>
      <c r="L7276" s="246" t="s">
        <v>22280</v>
      </c>
    </row>
    <row r="7277" spans="1:12" ht="84" customHeight="1" x14ac:dyDescent="0.3">
      <c r="A7277" s="2">
        <v>7273</v>
      </c>
      <c r="B7277" s="66" t="s">
        <v>8555</v>
      </c>
      <c r="C7277" s="66" t="s">
        <v>8620</v>
      </c>
      <c r="D7277" s="11">
        <v>11702.3</v>
      </c>
      <c r="E7277" s="11">
        <v>11702.3</v>
      </c>
      <c r="F7277" s="3">
        <v>39601</v>
      </c>
      <c r="G7277" s="2"/>
      <c r="H7277" s="2"/>
      <c r="I7277" s="2"/>
      <c r="J7277" s="2" t="s">
        <v>13904</v>
      </c>
      <c r="K7277" s="2" t="s">
        <v>5657</v>
      </c>
      <c r="L7277" s="246" t="s">
        <v>22280</v>
      </c>
    </row>
    <row r="7278" spans="1:12" ht="84" customHeight="1" x14ac:dyDescent="0.3">
      <c r="A7278" s="2">
        <v>7274</v>
      </c>
      <c r="B7278" s="66" t="s">
        <v>8555</v>
      </c>
      <c r="C7278" s="66" t="s">
        <v>8621</v>
      </c>
      <c r="D7278" s="11">
        <v>11702.3</v>
      </c>
      <c r="E7278" s="11">
        <v>11702.3</v>
      </c>
      <c r="F7278" s="3">
        <v>39601</v>
      </c>
      <c r="G7278" s="2"/>
      <c r="H7278" s="2"/>
      <c r="I7278" s="2"/>
      <c r="J7278" s="2" t="s">
        <v>13904</v>
      </c>
      <c r="K7278" s="2" t="s">
        <v>5657</v>
      </c>
      <c r="L7278" s="246" t="s">
        <v>22280</v>
      </c>
    </row>
    <row r="7279" spans="1:12" ht="84" customHeight="1" x14ac:dyDescent="0.3">
      <c r="A7279" s="2">
        <v>7275</v>
      </c>
      <c r="B7279" s="66" t="s">
        <v>8555</v>
      </c>
      <c r="C7279" s="66" t="s">
        <v>8622</v>
      </c>
      <c r="D7279" s="11">
        <v>11702.3</v>
      </c>
      <c r="E7279" s="11">
        <v>11702.3</v>
      </c>
      <c r="F7279" s="3">
        <v>39601</v>
      </c>
      <c r="G7279" s="2"/>
      <c r="H7279" s="2"/>
      <c r="I7279" s="2"/>
      <c r="J7279" s="2" t="s">
        <v>13904</v>
      </c>
      <c r="K7279" s="2" t="s">
        <v>5657</v>
      </c>
      <c r="L7279" s="246" t="s">
        <v>22280</v>
      </c>
    </row>
    <row r="7280" spans="1:12" ht="84" customHeight="1" x14ac:dyDescent="0.3">
      <c r="A7280" s="2">
        <v>7276</v>
      </c>
      <c r="B7280" s="66" t="s">
        <v>8555</v>
      </c>
      <c r="C7280" s="66" t="s">
        <v>8623</v>
      </c>
      <c r="D7280" s="11">
        <v>11702.3</v>
      </c>
      <c r="E7280" s="11">
        <v>11702.3</v>
      </c>
      <c r="F7280" s="3">
        <v>39601</v>
      </c>
      <c r="G7280" s="2"/>
      <c r="H7280" s="2"/>
      <c r="I7280" s="2"/>
      <c r="J7280" s="2" t="s">
        <v>13904</v>
      </c>
      <c r="K7280" s="2" t="s">
        <v>5657</v>
      </c>
      <c r="L7280" s="246" t="s">
        <v>22280</v>
      </c>
    </row>
    <row r="7281" spans="1:12" ht="84" customHeight="1" x14ac:dyDescent="0.3">
      <c r="A7281" s="2">
        <v>7277</v>
      </c>
      <c r="B7281" s="66" t="s">
        <v>8555</v>
      </c>
      <c r="C7281" s="66" t="s">
        <v>8624</v>
      </c>
      <c r="D7281" s="11">
        <v>11702.3</v>
      </c>
      <c r="E7281" s="11">
        <v>11702.3</v>
      </c>
      <c r="F7281" s="3">
        <v>39601</v>
      </c>
      <c r="G7281" s="2"/>
      <c r="H7281" s="2"/>
      <c r="I7281" s="2"/>
      <c r="J7281" s="2" t="s">
        <v>13904</v>
      </c>
      <c r="K7281" s="2" t="s">
        <v>5657</v>
      </c>
      <c r="L7281" s="246" t="s">
        <v>22280</v>
      </c>
    </row>
    <row r="7282" spans="1:12" ht="84" customHeight="1" x14ac:dyDescent="0.3">
      <c r="A7282" s="2">
        <v>7278</v>
      </c>
      <c r="B7282" s="66" t="s">
        <v>8555</v>
      </c>
      <c r="C7282" s="66" t="s">
        <v>8625</v>
      </c>
      <c r="D7282" s="11">
        <v>11702.3</v>
      </c>
      <c r="E7282" s="11">
        <v>11702.3</v>
      </c>
      <c r="F7282" s="3">
        <v>39601</v>
      </c>
      <c r="G7282" s="2"/>
      <c r="H7282" s="2"/>
      <c r="I7282" s="2"/>
      <c r="J7282" s="2" t="s">
        <v>13904</v>
      </c>
      <c r="K7282" s="2" t="s">
        <v>5657</v>
      </c>
      <c r="L7282" s="246" t="s">
        <v>22280</v>
      </c>
    </row>
    <row r="7283" spans="1:12" ht="84" customHeight="1" x14ac:dyDescent="0.3">
      <c r="A7283" s="2">
        <v>7279</v>
      </c>
      <c r="B7283" s="66" t="s">
        <v>8555</v>
      </c>
      <c r="C7283" s="66" t="s">
        <v>8626</v>
      </c>
      <c r="D7283" s="11">
        <v>11702.3</v>
      </c>
      <c r="E7283" s="11">
        <v>11702.3</v>
      </c>
      <c r="F7283" s="3">
        <v>39601</v>
      </c>
      <c r="G7283" s="2"/>
      <c r="H7283" s="2"/>
      <c r="I7283" s="2"/>
      <c r="J7283" s="2" t="s">
        <v>13904</v>
      </c>
      <c r="K7283" s="2" t="s">
        <v>5657</v>
      </c>
      <c r="L7283" s="246" t="s">
        <v>22280</v>
      </c>
    </row>
    <row r="7284" spans="1:12" ht="84" customHeight="1" x14ac:dyDescent="0.3">
      <c r="A7284" s="2">
        <v>7280</v>
      </c>
      <c r="B7284" s="66" t="s">
        <v>8627</v>
      </c>
      <c r="C7284" s="66" t="s">
        <v>8628</v>
      </c>
      <c r="D7284" s="11">
        <v>81120</v>
      </c>
      <c r="E7284" s="11">
        <v>81120</v>
      </c>
      <c r="F7284" s="3">
        <v>39052</v>
      </c>
      <c r="G7284" s="2"/>
      <c r="H7284" s="3">
        <v>43097</v>
      </c>
      <c r="I7284" s="2" t="s">
        <v>19862</v>
      </c>
      <c r="J7284" s="2" t="s">
        <v>13904</v>
      </c>
      <c r="K7284" s="2" t="s">
        <v>5657</v>
      </c>
      <c r="L7284" s="82"/>
    </row>
    <row r="7285" spans="1:12" ht="84" customHeight="1" x14ac:dyDescent="0.3">
      <c r="A7285" s="2">
        <v>7281</v>
      </c>
      <c r="B7285" s="66" t="s">
        <v>8627</v>
      </c>
      <c r="C7285" s="66" t="s">
        <v>8629</v>
      </c>
      <c r="D7285" s="11">
        <v>81120</v>
      </c>
      <c r="E7285" s="11">
        <v>81120</v>
      </c>
      <c r="F7285" s="3">
        <v>39052</v>
      </c>
      <c r="G7285" s="2"/>
      <c r="H7285" s="3"/>
      <c r="I7285" s="2"/>
      <c r="J7285" s="2" t="s">
        <v>13904</v>
      </c>
      <c r="K7285" s="2" t="s">
        <v>5657</v>
      </c>
      <c r="L7285" s="82" t="s">
        <v>18773</v>
      </c>
    </row>
    <row r="7286" spans="1:12" ht="84" customHeight="1" x14ac:dyDescent="0.3">
      <c r="A7286" s="2">
        <v>7282</v>
      </c>
      <c r="B7286" s="66" t="s">
        <v>8630</v>
      </c>
      <c r="C7286" s="66" t="s">
        <v>8631</v>
      </c>
      <c r="D7286" s="11">
        <v>42365.55</v>
      </c>
      <c r="E7286" s="11">
        <v>42365.55</v>
      </c>
      <c r="F7286" s="3">
        <v>39052</v>
      </c>
      <c r="G7286" s="2"/>
      <c r="H7286" s="2"/>
      <c r="I7286" s="2"/>
      <c r="J7286" s="2" t="s">
        <v>13904</v>
      </c>
      <c r="K7286" s="2" t="s">
        <v>5657</v>
      </c>
      <c r="L7286" s="246" t="s">
        <v>22280</v>
      </c>
    </row>
    <row r="7287" spans="1:12" ht="84" customHeight="1" x14ac:dyDescent="0.3">
      <c r="A7287" s="2">
        <v>7283</v>
      </c>
      <c r="B7287" s="66" t="s">
        <v>8632</v>
      </c>
      <c r="C7287" s="66" t="s">
        <v>8633</v>
      </c>
      <c r="D7287" s="11">
        <v>128524.77</v>
      </c>
      <c r="E7287" s="11">
        <v>128524.77</v>
      </c>
      <c r="F7287" s="3">
        <v>39052</v>
      </c>
      <c r="G7287" s="2"/>
      <c r="H7287" s="2"/>
      <c r="I7287" s="2"/>
      <c r="J7287" s="2" t="s">
        <v>13904</v>
      </c>
      <c r="K7287" s="2" t="s">
        <v>5657</v>
      </c>
      <c r="L7287" s="82" t="s">
        <v>18773</v>
      </c>
    </row>
    <row r="7288" spans="1:12" ht="84" customHeight="1" x14ac:dyDescent="0.3">
      <c r="A7288" s="2">
        <v>7284</v>
      </c>
      <c r="B7288" s="66" t="s">
        <v>8634</v>
      </c>
      <c r="C7288" s="66" t="s">
        <v>8635</v>
      </c>
      <c r="D7288" s="11">
        <v>93088.44</v>
      </c>
      <c r="E7288" s="11">
        <v>93088.44</v>
      </c>
      <c r="F7288" s="3">
        <v>39052</v>
      </c>
      <c r="G7288" s="2"/>
      <c r="H7288" s="2"/>
      <c r="I7288" s="2"/>
      <c r="J7288" s="2" t="s">
        <v>13904</v>
      </c>
      <c r="K7288" s="2" t="s">
        <v>5657</v>
      </c>
      <c r="L7288" s="82" t="s">
        <v>18773</v>
      </c>
    </row>
    <row r="7289" spans="1:12" ht="84" customHeight="1" x14ac:dyDescent="0.3">
      <c r="A7289" s="2">
        <v>7285</v>
      </c>
      <c r="B7289" s="66" t="s">
        <v>8636</v>
      </c>
      <c r="C7289" s="66" t="s">
        <v>8637</v>
      </c>
      <c r="D7289" s="11">
        <v>27209.86</v>
      </c>
      <c r="E7289" s="11">
        <v>23154.05</v>
      </c>
      <c r="F7289" s="3">
        <v>39052</v>
      </c>
      <c r="G7289" s="2"/>
      <c r="H7289" s="2"/>
      <c r="I7289" s="2"/>
      <c r="J7289" s="2" t="s">
        <v>13904</v>
      </c>
      <c r="K7289" s="2" t="s">
        <v>5657</v>
      </c>
      <c r="L7289" s="246" t="s">
        <v>22280</v>
      </c>
    </row>
    <row r="7290" spans="1:12" ht="84" customHeight="1" x14ac:dyDescent="0.3">
      <c r="A7290" s="2">
        <v>7286</v>
      </c>
      <c r="B7290" s="66" t="s">
        <v>8636</v>
      </c>
      <c r="C7290" s="66" t="s">
        <v>8638</v>
      </c>
      <c r="D7290" s="11">
        <v>27209.86</v>
      </c>
      <c r="E7290" s="11">
        <v>23154.05</v>
      </c>
      <c r="F7290" s="3">
        <v>39052</v>
      </c>
      <c r="G7290" s="2"/>
      <c r="H7290" s="2"/>
      <c r="I7290" s="2"/>
      <c r="J7290" s="2" t="s">
        <v>13904</v>
      </c>
      <c r="K7290" s="2" t="s">
        <v>5657</v>
      </c>
      <c r="L7290" s="246" t="s">
        <v>22280</v>
      </c>
    </row>
    <row r="7291" spans="1:12" ht="84" customHeight="1" x14ac:dyDescent="0.3">
      <c r="A7291" s="2">
        <v>7287</v>
      </c>
      <c r="B7291" s="66" t="s">
        <v>8636</v>
      </c>
      <c r="C7291" s="66" t="s">
        <v>8639</v>
      </c>
      <c r="D7291" s="11">
        <v>27209.86</v>
      </c>
      <c r="E7291" s="11">
        <v>23154.05</v>
      </c>
      <c r="F7291" s="3">
        <v>39052</v>
      </c>
      <c r="G7291" s="2"/>
      <c r="H7291" s="2"/>
      <c r="I7291" s="2"/>
      <c r="J7291" s="2" t="s">
        <v>13904</v>
      </c>
      <c r="K7291" s="2" t="s">
        <v>5657</v>
      </c>
      <c r="L7291" s="246" t="s">
        <v>22280</v>
      </c>
    </row>
    <row r="7292" spans="1:12" ht="84" customHeight="1" x14ac:dyDescent="0.3">
      <c r="A7292" s="2">
        <v>7288</v>
      </c>
      <c r="B7292" s="66" t="s">
        <v>8640</v>
      </c>
      <c r="C7292" s="66" t="s">
        <v>8641</v>
      </c>
      <c r="D7292" s="11">
        <v>4163.96</v>
      </c>
      <c r="E7292" s="11">
        <v>4163.96</v>
      </c>
      <c r="F7292" s="3">
        <v>39052</v>
      </c>
      <c r="G7292" s="2"/>
      <c r="H7292" s="2"/>
      <c r="I7292" s="2"/>
      <c r="J7292" s="2" t="s">
        <v>13904</v>
      </c>
      <c r="K7292" s="2" t="s">
        <v>5657</v>
      </c>
      <c r="L7292" s="246" t="s">
        <v>22280</v>
      </c>
    </row>
    <row r="7293" spans="1:12" ht="84" customHeight="1" x14ac:dyDescent="0.3">
      <c r="A7293" s="2">
        <v>7289</v>
      </c>
      <c r="B7293" s="66" t="s">
        <v>8642</v>
      </c>
      <c r="C7293" s="66" t="s">
        <v>8643</v>
      </c>
      <c r="D7293" s="11">
        <v>5980</v>
      </c>
      <c r="E7293" s="11">
        <v>5980</v>
      </c>
      <c r="F7293" s="3">
        <v>39052</v>
      </c>
      <c r="G7293" s="2"/>
      <c r="H7293" s="2"/>
      <c r="I7293" s="2"/>
      <c r="J7293" s="2" t="s">
        <v>13904</v>
      </c>
      <c r="K7293" s="2" t="s">
        <v>5657</v>
      </c>
      <c r="L7293" s="246" t="s">
        <v>22280</v>
      </c>
    </row>
    <row r="7294" spans="1:12" ht="84" customHeight="1" x14ac:dyDescent="0.3">
      <c r="A7294" s="2">
        <v>7290</v>
      </c>
      <c r="B7294" s="66" t="s">
        <v>8644</v>
      </c>
      <c r="C7294" s="66" t="s">
        <v>8645</v>
      </c>
      <c r="D7294" s="11">
        <v>5980</v>
      </c>
      <c r="E7294" s="11">
        <v>5980</v>
      </c>
      <c r="F7294" s="3">
        <v>39052</v>
      </c>
      <c r="G7294" s="2"/>
      <c r="H7294" s="2"/>
      <c r="I7294" s="2"/>
      <c r="J7294" s="2" t="s">
        <v>13904</v>
      </c>
      <c r="K7294" s="2" t="s">
        <v>5657</v>
      </c>
      <c r="L7294" s="246" t="s">
        <v>22280</v>
      </c>
    </row>
    <row r="7295" spans="1:12" ht="84" customHeight="1" x14ac:dyDescent="0.3">
      <c r="A7295" s="2">
        <v>7291</v>
      </c>
      <c r="B7295" s="66" t="s">
        <v>8646</v>
      </c>
      <c r="C7295" s="66" t="s">
        <v>8647</v>
      </c>
      <c r="D7295" s="11">
        <v>22127.52</v>
      </c>
      <c r="E7295" s="11">
        <v>22127.52</v>
      </c>
      <c r="F7295" s="3">
        <v>39052</v>
      </c>
      <c r="G7295" s="2"/>
      <c r="H7295" s="2"/>
      <c r="I7295" s="2"/>
      <c r="J7295" s="2" t="s">
        <v>13904</v>
      </c>
      <c r="K7295" s="2" t="s">
        <v>5657</v>
      </c>
      <c r="L7295" s="246" t="s">
        <v>22280</v>
      </c>
    </row>
    <row r="7296" spans="1:12" ht="84" customHeight="1" x14ac:dyDescent="0.3">
      <c r="A7296" s="2">
        <v>7292</v>
      </c>
      <c r="B7296" s="66" t="s">
        <v>8648</v>
      </c>
      <c r="C7296" s="66" t="s">
        <v>8649</v>
      </c>
      <c r="D7296" s="11">
        <v>8367.43</v>
      </c>
      <c r="E7296" s="11">
        <v>8367.43</v>
      </c>
      <c r="F7296" s="3">
        <v>39052</v>
      </c>
      <c r="G7296" s="2"/>
      <c r="H7296" s="2"/>
      <c r="I7296" s="2"/>
      <c r="J7296" s="2" t="s">
        <v>13904</v>
      </c>
      <c r="K7296" s="2" t="s">
        <v>5657</v>
      </c>
      <c r="L7296" s="246" t="s">
        <v>22280</v>
      </c>
    </row>
    <row r="7297" spans="1:12" ht="84" customHeight="1" x14ac:dyDescent="0.3">
      <c r="A7297" s="2">
        <v>7293</v>
      </c>
      <c r="B7297" s="66" t="s">
        <v>8650</v>
      </c>
      <c r="C7297" s="66" t="s">
        <v>8651</v>
      </c>
      <c r="D7297" s="11">
        <v>5712</v>
      </c>
      <c r="E7297" s="11">
        <v>5712</v>
      </c>
      <c r="F7297" s="3">
        <v>39052</v>
      </c>
      <c r="G7297" s="2"/>
      <c r="H7297" s="2"/>
      <c r="I7297" s="2"/>
      <c r="J7297" s="2" t="s">
        <v>13904</v>
      </c>
      <c r="K7297" s="2" t="s">
        <v>5657</v>
      </c>
      <c r="L7297" s="246" t="s">
        <v>22280</v>
      </c>
    </row>
    <row r="7298" spans="1:12" ht="84" customHeight="1" x14ac:dyDescent="0.3">
      <c r="A7298" s="2">
        <v>7294</v>
      </c>
      <c r="B7298" s="66" t="s">
        <v>8652</v>
      </c>
      <c r="C7298" s="66" t="s">
        <v>8653</v>
      </c>
      <c r="D7298" s="11">
        <v>205508.1</v>
      </c>
      <c r="E7298" s="11">
        <v>205508.1</v>
      </c>
      <c r="F7298" s="3">
        <v>39052</v>
      </c>
      <c r="G7298" s="2"/>
      <c r="H7298" s="2"/>
      <c r="I7298" s="2"/>
      <c r="J7298" s="2" t="s">
        <v>13904</v>
      </c>
      <c r="K7298" s="2" t="s">
        <v>5657</v>
      </c>
      <c r="L7298" s="82" t="s">
        <v>18773</v>
      </c>
    </row>
    <row r="7299" spans="1:12" ht="84" customHeight="1" x14ac:dyDescent="0.3">
      <c r="A7299" s="2">
        <v>7295</v>
      </c>
      <c r="B7299" s="66" t="s">
        <v>8654</v>
      </c>
      <c r="C7299" s="66" t="s">
        <v>8655</v>
      </c>
      <c r="D7299" s="11">
        <v>10711.4</v>
      </c>
      <c r="E7299" s="11">
        <v>10711.4</v>
      </c>
      <c r="F7299" s="3">
        <v>39601</v>
      </c>
      <c r="G7299" s="2"/>
      <c r="H7299" s="2"/>
      <c r="I7299" s="2"/>
      <c r="J7299" s="2" t="s">
        <v>13904</v>
      </c>
      <c r="K7299" s="2" t="s">
        <v>5657</v>
      </c>
      <c r="L7299" s="246" t="s">
        <v>22280</v>
      </c>
    </row>
    <row r="7300" spans="1:12" ht="84" customHeight="1" x14ac:dyDescent="0.3">
      <c r="A7300" s="2">
        <v>7296</v>
      </c>
      <c r="B7300" s="66" t="s">
        <v>8656</v>
      </c>
      <c r="C7300" s="66" t="s">
        <v>8657</v>
      </c>
      <c r="D7300" s="11">
        <v>17655.900000000001</v>
      </c>
      <c r="E7300" s="11">
        <v>17655.900000000001</v>
      </c>
      <c r="F7300" s="3">
        <v>39601</v>
      </c>
      <c r="G7300" s="2"/>
      <c r="H7300" s="2"/>
      <c r="I7300" s="2"/>
      <c r="J7300" s="2" t="s">
        <v>13904</v>
      </c>
      <c r="K7300" s="2" t="s">
        <v>5657</v>
      </c>
      <c r="L7300" s="246" t="s">
        <v>22280</v>
      </c>
    </row>
    <row r="7301" spans="1:12" ht="84" customHeight="1" x14ac:dyDescent="0.3">
      <c r="A7301" s="2">
        <v>7297</v>
      </c>
      <c r="B7301" s="66" t="s">
        <v>5688</v>
      </c>
      <c r="C7301" s="66" t="s">
        <v>8658</v>
      </c>
      <c r="D7301" s="11">
        <v>45868.9</v>
      </c>
      <c r="E7301" s="11">
        <v>45868.9</v>
      </c>
      <c r="F7301" s="3">
        <v>39052</v>
      </c>
      <c r="G7301" s="2"/>
      <c r="H7301" s="2"/>
      <c r="I7301" s="2"/>
      <c r="J7301" s="2" t="s">
        <v>13904</v>
      </c>
      <c r="K7301" s="2" t="s">
        <v>5657</v>
      </c>
      <c r="L7301" s="246" t="s">
        <v>22280</v>
      </c>
    </row>
    <row r="7302" spans="1:12" ht="84" customHeight="1" x14ac:dyDescent="0.3">
      <c r="A7302" s="2">
        <v>7298</v>
      </c>
      <c r="B7302" s="66" t="s">
        <v>5688</v>
      </c>
      <c r="C7302" s="66" t="s">
        <v>8659</v>
      </c>
      <c r="D7302" s="11">
        <v>57538.7</v>
      </c>
      <c r="E7302" s="11">
        <v>57538.7</v>
      </c>
      <c r="F7302" s="3">
        <v>39052</v>
      </c>
      <c r="G7302" s="2"/>
      <c r="H7302" s="3">
        <v>43097</v>
      </c>
      <c r="I7302" s="2" t="s">
        <v>19862</v>
      </c>
      <c r="J7302" s="2" t="s">
        <v>13904</v>
      </c>
      <c r="K7302" s="2" t="s">
        <v>5657</v>
      </c>
      <c r="L7302" s="82"/>
    </row>
    <row r="7303" spans="1:12" ht="84" customHeight="1" x14ac:dyDescent="0.3">
      <c r="A7303" s="2">
        <v>7299</v>
      </c>
      <c r="B7303" s="66" t="s">
        <v>8660</v>
      </c>
      <c r="C7303" s="66" t="s">
        <v>8661</v>
      </c>
      <c r="D7303" s="11">
        <v>11995.2</v>
      </c>
      <c r="E7303" s="11">
        <v>11995.2</v>
      </c>
      <c r="F7303" s="3">
        <v>39052</v>
      </c>
      <c r="G7303" s="2"/>
      <c r="H7303" s="2"/>
      <c r="I7303" s="2"/>
      <c r="J7303" s="2" t="s">
        <v>13904</v>
      </c>
      <c r="K7303" s="2" t="s">
        <v>5657</v>
      </c>
      <c r="L7303" s="246" t="s">
        <v>22280</v>
      </c>
    </row>
    <row r="7304" spans="1:12" ht="84" customHeight="1" x14ac:dyDescent="0.3">
      <c r="A7304" s="2">
        <v>7300</v>
      </c>
      <c r="B7304" s="66" t="s">
        <v>8660</v>
      </c>
      <c r="C7304" s="66" t="s">
        <v>8662</v>
      </c>
      <c r="D7304" s="11">
        <v>11995.2</v>
      </c>
      <c r="E7304" s="11">
        <v>11995.2</v>
      </c>
      <c r="F7304" s="3">
        <v>39052</v>
      </c>
      <c r="G7304" s="2"/>
      <c r="H7304" s="2"/>
      <c r="I7304" s="2"/>
      <c r="J7304" s="2" t="s">
        <v>13904</v>
      </c>
      <c r="K7304" s="2" t="s">
        <v>5657</v>
      </c>
      <c r="L7304" s="246" t="s">
        <v>22280</v>
      </c>
    </row>
    <row r="7305" spans="1:12" ht="84" customHeight="1" x14ac:dyDescent="0.3">
      <c r="A7305" s="2">
        <v>7301</v>
      </c>
      <c r="B7305" s="66" t="s">
        <v>8663</v>
      </c>
      <c r="C7305" s="66" t="s">
        <v>8664</v>
      </c>
      <c r="D7305" s="11">
        <v>47164.66</v>
      </c>
      <c r="E7305" s="11">
        <v>47164.66</v>
      </c>
      <c r="F7305" s="3">
        <v>39052</v>
      </c>
      <c r="G7305" s="2"/>
      <c r="H7305" s="2"/>
      <c r="I7305" s="2"/>
      <c r="J7305" s="2" t="s">
        <v>13904</v>
      </c>
      <c r="K7305" s="2" t="s">
        <v>5657</v>
      </c>
      <c r="L7305" s="246" t="s">
        <v>22280</v>
      </c>
    </row>
    <row r="7306" spans="1:12" ht="84" customHeight="1" x14ac:dyDescent="0.3">
      <c r="A7306" s="2">
        <v>7302</v>
      </c>
      <c r="B7306" s="66" t="s">
        <v>8663</v>
      </c>
      <c r="C7306" s="66" t="s">
        <v>8665</v>
      </c>
      <c r="D7306" s="11">
        <v>47164.66</v>
      </c>
      <c r="E7306" s="11">
        <v>47164.66</v>
      </c>
      <c r="F7306" s="3">
        <v>39052</v>
      </c>
      <c r="G7306" s="2"/>
      <c r="H7306" s="2"/>
      <c r="I7306" s="2"/>
      <c r="J7306" s="2" t="s">
        <v>13904</v>
      </c>
      <c r="K7306" s="2" t="s">
        <v>5657</v>
      </c>
      <c r="L7306" s="246" t="s">
        <v>22280</v>
      </c>
    </row>
    <row r="7307" spans="1:12" ht="84" customHeight="1" x14ac:dyDescent="0.3">
      <c r="A7307" s="2">
        <v>7303</v>
      </c>
      <c r="B7307" s="66" t="s">
        <v>8666</v>
      </c>
      <c r="C7307" s="66" t="s">
        <v>8667</v>
      </c>
      <c r="D7307" s="11">
        <v>22172.81</v>
      </c>
      <c r="E7307" s="11">
        <v>20457.3</v>
      </c>
      <c r="F7307" s="3">
        <v>38762</v>
      </c>
      <c r="G7307" s="2"/>
      <c r="H7307" s="2"/>
      <c r="I7307" s="2"/>
      <c r="J7307" s="2" t="s">
        <v>13904</v>
      </c>
      <c r="K7307" s="2" t="s">
        <v>5657</v>
      </c>
      <c r="L7307" s="246" t="s">
        <v>22280</v>
      </c>
    </row>
    <row r="7308" spans="1:12" ht="84" customHeight="1" x14ac:dyDescent="0.3">
      <c r="A7308" s="2">
        <v>7304</v>
      </c>
      <c r="B7308" s="66" t="s">
        <v>8668</v>
      </c>
      <c r="C7308" s="66" t="s">
        <v>8669</v>
      </c>
      <c r="D7308" s="11">
        <v>9547.2000000000007</v>
      </c>
      <c r="E7308" s="11">
        <v>9547.2000000000007</v>
      </c>
      <c r="F7308" s="3">
        <v>39052</v>
      </c>
      <c r="G7308" s="2"/>
      <c r="H7308" s="2"/>
      <c r="I7308" s="2"/>
      <c r="J7308" s="2" t="s">
        <v>13904</v>
      </c>
      <c r="K7308" s="2" t="s">
        <v>5657</v>
      </c>
      <c r="L7308" s="246" t="s">
        <v>22280</v>
      </c>
    </row>
    <row r="7309" spans="1:12" ht="84" customHeight="1" x14ac:dyDescent="0.3">
      <c r="A7309" s="2">
        <v>7305</v>
      </c>
      <c r="B7309" s="66" t="s">
        <v>8670</v>
      </c>
      <c r="C7309" s="66" t="s">
        <v>8671</v>
      </c>
      <c r="D7309" s="11">
        <v>5810</v>
      </c>
      <c r="E7309" s="11">
        <v>5810</v>
      </c>
      <c r="F7309" s="3">
        <v>39142</v>
      </c>
      <c r="G7309" s="2"/>
      <c r="H7309" s="2"/>
      <c r="I7309" s="2"/>
      <c r="J7309" s="2" t="s">
        <v>13904</v>
      </c>
      <c r="K7309" s="2" t="s">
        <v>5657</v>
      </c>
      <c r="L7309" s="246" t="s">
        <v>22280</v>
      </c>
    </row>
    <row r="7310" spans="1:12" ht="84" customHeight="1" x14ac:dyDescent="0.3">
      <c r="A7310" s="2">
        <v>7306</v>
      </c>
      <c r="B7310" s="66" t="s">
        <v>8670</v>
      </c>
      <c r="C7310" s="66" t="s">
        <v>8672</v>
      </c>
      <c r="D7310" s="11">
        <v>5810</v>
      </c>
      <c r="E7310" s="11">
        <v>5810</v>
      </c>
      <c r="F7310" s="3">
        <v>39142</v>
      </c>
      <c r="G7310" s="2"/>
      <c r="H7310" s="2"/>
      <c r="I7310" s="2"/>
      <c r="J7310" s="2" t="s">
        <v>13904</v>
      </c>
      <c r="K7310" s="2" t="s">
        <v>5657</v>
      </c>
      <c r="L7310" s="246" t="s">
        <v>22280</v>
      </c>
    </row>
    <row r="7311" spans="1:12" ht="84" customHeight="1" x14ac:dyDescent="0.3">
      <c r="A7311" s="2">
        <v>7307</v>
      </c>
      <c r="B7311" s="66" t="s">
        <v>8670</v>
      </c>
      <c r="C7311" s="66" t="s">
        <v>8673</v>
      </c>
      <c r="D7311" s="11">
        <v>5810</v>
      </c>
      <c r="E7311" s="11">
        <v>5810</v>
      </c>
      <c r="F7311" s="3">
        <v>39142</v>
      </c>
      <c r="G7311" s="2"/>
      <c r="H7311" s="2"/>
      <c r="I7311" s="2"/>
      <c r="J7311" s="2" t="s">
        <v>13904</v>
      </c>
      <c r="K7311" s="2" t="s">
        <v>5657</v>
      </c>
      <c r="L7311" s="246" t="s">
        <v>22280</v>
      </c>
    </row>
    <row r="7312" spans="1:12" ht="84" customHeight="1" x14ac:dyDescent="0.3">
      <c r="A7312" s="2">
        <v>7308</v>
      </c>
      <c r="B7312" s="66" t="s">
        <v>8674</v>
      </c>
      <c r="C7312" s="66" t="s">
        <v>8675</v>
      </c>
      <c r="D7312" s="11">
        <v>5810</v>
      </c>
      <c r="E7312" s="11">
        <v>5810</v>
      </c>
      <c r="F7312" s="3">
        <v>39142</v>
      </c>
      <c r="G7312" s="2"/>
      <c r="H7312" s="2"/>
      <c r="I7312" s="2"/>
      <c r="J7312" s="2" t="s">
        <v>13904</v>
      </c>
      <c r="K7312" s="2" t="s">
        <v>5657</v>
      </c>
      <c r="L7312" s="246" t="s">
        <v>22280</v>
      </c>
    </row>
    <row r="7313" spans="1:12" ht="84" customHeight="1" x14ac:dyDescent="0.3">
      <c r="A7313" s="2">
        <v>7309</v>
      </c>
      <c r="B7313" s="66" t="s">
        <v>8676</v>
      </c>
      <c r="C7313" s="66" t="s">
        <v>8677</v>
      </c>
      <c r="D7313" s="11">
        <v>3034.08</v>
      </c>
      <c r="E7313" s="11">
        <v>3034.08</v>
      </c>
      <c r="F7313" s="3">
        <v>39142</v>
      </c>
      <c r="G7313" s="2"/>
      <c r="H7313" s="2"/>
      <c r="I7313" s="2"/>
      <c r="J7313" s="2" t="s">
        <v>13904</v>
      </c>
      <c r="K7313" s="2" t="s">
        <v>5657</v>
      </c>
      <c r="L7313" s="246" t="s">
        <v>22280</v>
      </c>
    </row>
    <row r="7314" spans="1:12" ht="84" customHeight="1" x14ac:dyDescent="0.3">
      <c r="A7314" s="2">
        <v>7310</v>
      </c>
      <c r="B7314" s="66" t="s">
        <v>8676</v>
      </c>
      <c r="C7314" s="66" t="s">
        <v>8678</v>
      </c>
      <c r="D7314" s="11">
        <v>3034.08</v>
      </c>
      <c r="E7314" s="11">
        <v>3034.08</v>
      </c>
      <c r="F7314" s="3">
        <v>39142</v>
      </c>
      <c r="G7314" s="2"/>
      <c r="H7314" s="2"/>
      <c r="I7314" s="2"/>
      <c r="J7314" s="2" t="s">
        <v>13904</v>
      </c>
      <c r="K7314" s="2" t="s">
        <v>5657</v>
      </c>
      <c r="L7314" s="246" t="s">
        <v>22280</v>
      </c>
    </row>
    <row r="7315" spans="1:12" ht="84" customHeight="1" x14ac:dyDescent="0.3">
      <c r="A7315" s="2">
        <v>7311</v>
      </c>
      <c r="B7315" s="66" t="s">
        <v>8679</v>
      </c>
      <c r="C7315" s="66" t="s">
        <v>8680</v>
      </c>
      <c r="D7315" s="11">
        <v>3034.08</v>
      </c>
      <c r="E7315" s="11">
        <v>3034.08</v>
      </c>
      <c r="F7315" s="3">
        <v>39142</v>
      </c>
      <c r="G7315" s="2"/>
      <c r="H7315" s="2"/>
      <c r="I7315" s="2"/>
      <c r="J7315" s="2" t="s">
        <v>13904</v>
      </c>
      <c r="K7315" s="2" t="s">
        <v>5657</v>
      </c>
      <c r="L7315" s="246" t="s">
        <v>22280</v>
      </c>
    </row>
    <row r="7316" spans="1:12" ht="84" customHeight="1" x14ac:dyDescent="0.3">
      <c r="A7316" s="2">
        <v>7312</v>
      </c>
      <c r="B7316" s="66" t="s">
        <v>8681</v>
      </c>
      <c r="C7316" s="66" t="s">
        <v>8682</v>
      </c>
      <c r="D7316" s="11">
        <v>3034.08</v>
      </c>
      <c r="E7316" s="11">
        <v>3034.08</v>
      </c>
      <c r="F7316" s="3">
        <v>39142</v>
      </c>
      <c r="G7316" s="2"/>
      <c r="H7316" s="2"/>
      <c r="I7316" s="2"/>
      <c r="J7316" s="2" t="s">
        <v>13904</v>
      </c>
      <c r="K7316" s="2" t="s">
        <v>5657</v>
      </c>
      <c r="L7316" s="246" t="s">
        <v>22280</v>
      </c>
    </row>
    <row r="7317" spans="1:12" ht="84" customHeight="1" x14ac:dyDescent="0.3">
      <c r="A7317" s="2">
        <v>7313</v>
      </c>
      <c r="B7317" s="66" t="s">
        <v>8683</v>
      </c>
      <c r="C7317" s="66" t="s">
        <v>8684</v>
      </c>
      <c r="D7317" s="11">
        <v>3034.08</v>
      </c>
      <c r="E7317" s="11">
        <v>3034.08</v>
      </c>
      <c r="F7317" s="3">
        <v>39142</v>
      </c>
      <c r="G7317" s="2"/>
      <c r="H7317" s="2"/>
      <c r="I7317" s="2"/>
      <c r="J7317" s="2" t="s">
        <v>13904</v>
      </c>
      <c r="K7317" s="2" t="s">
        <v>5657</v>
      </c>
      <c r="L7317" s="246" t="s">
        <v>22280</v>
      </c>
    </row>
    <row r="7318" spans="1:12" ht="84" customHeight="1" x14ac:dyDescent="0.3">
      <c r="A7318" s="2">
        <v>7314</v>
      </c>
      <c r="B7318" s="66" t="s">
        <v>8683</v>
      </c>
      <c r="C7318" s="66" t="s">
        <v>8685</v>
      </c>
      <c r="D7318" s="11">
        <v>3034.08</v>
      </c>
      <c r="E7318" s="11">
        <v>3034.08</v>
      </c>
      <c r="F7318" s="3">
        <v>39142</v>
      </c>
      <c r="G7318" s="2"/>
      <c r="H7318" s="2"/>
      <c r="I7318" s="2"/>
      <c r="J7318" s="2" t="s">
        <v>13904</v>
      </c>
      <c r="K7318" s="2" t="s">
        <v>5657</v>
      </c>
      <c r="L7318" s="246" t="s">
        <v>22280</v>
      </c>
    </row>
    <row r="7319" spans="1:12" ht="84" customHeight="1" x14ac:dyDescent="0.3">
      <c r="A7319" s="2">
        <v>7315</v>
      </c>
      <c r="B7319" s="66" t="s">
        <v>8686</v>
      </c>
      <c r="C7319" s="66" t="s">
        <v>8687</v>
      </c>
      <c r="D7319" s="11">
        <v>3872.76</v>
      </c>
      <c r="E7319" s="11">
        <v>3872.76</v>
      </c>
      <c r="F7319" s="3">
        <v>39052</v>
      </c>
      <c r="G7319" s="2"/>
      <c r="H7319" s="2"/>
      <c r="I7319" s="2"/>
      <c r="J7319" s="2" t="s">
        <v>13904</v>
      </c>
      <c r="K7319" s="2" t="s">
        <v>5657</v>
      </c>
      <c r="L7319" s="246" t="s">
        <v>22280</v>
      </c>
    </row>
    <row r="7320" spans="1:12" ht="84" customHeight="1" x14ac:dyDescent="0.3">
      <c r="A7320" s="2">
        <v>7316</v>
      </c>
      <c r="B7320" s="66" t="s">
        <v>8688</v>
      </c>
      <c r="C7320" s="66" t="s">
        <v>8689</v>
      </c>
      <c r="D7320" s="11">
        <v>27924.880000000001</v>
      </c>
      <c r="E7320" s="11">
        <v>27924.880000000001</v>
      </c>
      <c r="F7320" s="3">
        <v>39052</v>
      </c>
      <c r="G7320" s="2"/>
      <c r="H7320" s="2"/>
      <c r="I7320" s="2"/>
      <c r="J7320" s="2" t="s">
        <v>13904</v>
      </c>
      <c r="K7320" s="2" t="s">
        <v>5657</v>
      </c>
      <c r="L7320" s="246" t="s">
        <v>22280</v>
      </c>
    </row>
    <row r="7321" spans="1:12" ht="84" customHeight="1" x14ac:dyDescent="0.3">
      <c r="A7321" s="2">
        <v>7317</v>
      </c>
      <c r="B7321" s="66" t="s">
        <v>8690</v>
      </c>
      <c r="C7321" s="66" t="s">
        <v>8691</v>
      </c>
      <c r="D7321" s="11">
        <v>27924.880000000001</v>
      </c>
      <c r="E7321" s="11">
        <v>27924.880000000001</v>
      </c>
      <c r="F7321" s="3">
        <v>39052</v>
      </c>
      <c r="G7321" s="2"/>
      <c r="H7321" s="2"/>
      <c r="I7321" s="2"/>
      <c r="J7321" s="2" t="s">
        <v>13904</v>
      </c>
      <c r="K7321" s="2" t="s">
        <v>5657</v>
      </c>
      <c r="L7321" s="246" t="s">
        <v>22280</v>
      </c>
    </row>
    <row r="7322" spans="1:12" ht="84" customHeight="1" x14ac:dyDescent="0.3">
      <c r="A7322" s="2">
        <v>7318</v>
      </c>
      <c r="B7322" s="66" t="s">
        <v>8688</v>
      </c>
      <c r="C7322" s="66" t="s">
        <v>8692</v>
      </c>
      <c r="D7322" s="11">
        <v>27924.880000000001</v>
      </c>
      <c r="E7322" s="11">
        <v>27924.880000000001</v>
      </c>
      <c r="F7322" s="3">
        <v>39052</v>
      </c>
      <c r="G7322" s="2"/>
      <c r="H7322" s="2"/>
      <c r="I7322" s="2"/>
      <c r="J7322" s="2" t="s">
        <v>13904</v>
      </c>
      <c r="K7322" s="2" t="s">
        <v>5657</v>
      </c>
      <c r="L7322" s="246" t="s">
        <v>22280</v>
      </c>
    </row>
    <row r="7323" spans="1:12" ht="84" customHeight="1" x14ac:dyDescent="0.3">
      <c r="A7323" s="2">
        <v>7319</v>
      </c>
      <c r="B7323" s="66" t="s">
        <v>8693</v>
      </c>
      <c r="C7323" s="66" t="s">
        <v>8694</v>
      </c>
      <c r="D7323" s="11">
        <v>27924.880000000001</v>
      </c>
      <c r="E7323" s="11">
        <v>27924.880000000001</v>
      </c>
      <c r="F7323" s="3">
        <v>39052</v>
      </c>
      <c r="G7323" s="2"/>
      <c r="H7323" s="2"/>
      <c r="I7323" s="2"/>
      <c r="J7323" s="2" t="s">
        <v>13904</v>
      </c>
      <c r="K7323" s="2" t="s">
        <v>5657</v>
      </c>
      <c r="L7323" s="246" t="s">
        <v>22280</v>
      </c>
    </row>
    <row r="7324" spans="1:12" ht="84" customHeight="1" x14ac:dyDescent="0.3">
      <c r="A7324" s="2">
        <v>7320</v>
      </c>
      <c r="B7324" s="66" t="s">
        <v>8693</v>
      </c>
      <c r="C7324" s="66" t="s">
        <v>8695</v>
      </c>
      <c r="D7324" s="11">
        <v>27924.880000000001</v>
      </c>
      <c r="E7324" s="11">
        <v>27924.880000000001</v>
      </c>
      <c r="F7324" s="3">
        <v>39052</v>
      </c>
      <c r="G7324" s="2"/>
      <c r="H7324" s="2"/>
      <c r="I7324" s="2"/>
      <c r="J7324" s="2" t="s">
        <v>13904</v>
      </c>
      <c r="K7324" s="2" t="s">
        <v>5657</v>
      </c>
      <c r="L7324" s="246" t="s">
        <v>22280</v>
      </c>
    </row>
    <row r="7325" spans="1:12" ht="84" customHeight="1" x14ac:dyDescent="0.3">
      <c r="A7325" s="2">
        <v>7321</v>
      </c>
      <c r="B7325" s="66" t="s">
        <v>8696</v>
      </c>
      <c r="C7325" s="66" t="s">
        <v>8697</v>
      </c>
      <c r="D7325" s="11">
        <v>43398.41</v>
      </c>
      <c r="E7325" s="11">
        <v>43398.41</v>
      </c>
      <c r="F7325" s="3">
        <v>39052</v>
      </c>
      <c r="G7325" s="2"/>
      <c r="H7325" s="2"/>
      <c r="I7325" s="2"/>
      <c r="J7325" s="2" t="s">
        <v>13904</v>
      </c>
      <c r="K7325" s="2" t="s">
        <v>5657</v>
      </c>
      <c r="L7325" s="246" t="s">
        <v>22280</v>
      </c>
    </row>
    <row r="7326" spans="1:12" ht="84" customHeight="1" x14ac:dyDescent="0.3">
      <c r="A7326" s="2">
        <v>7322</v>
      </c>
      <c r="B7326" s="66" t="s">
        <v>8698</v>
      </c>
      <c r="C7326" s="66" t="s">
        <v>8699</v>
      </c>
      <c r="D7326" s="11">
        <v>9767.7199999999993</v>
      </c>
      <c r="E7326" s="11">
        <v>9767.7199999999993</v>
      </c>
      <c r="F7326" s="3">
        <v>39052</v>
      </c>
      <c r="G7326" s="2"/>
      <c r="H7326" s="2"/>
      <c r="I7326" s="2"/>
      <c r="J7326" s="2" t="s">
        <v>13904</v>
      </c>
      <c r="K7326" s="2" t="s">
        <v>5657</v>
      </c>
      <c r="L7326" s="246" t="s">
        <v>22280</v>
      </c>
    </row>
    <row r="7327" spans="1:12" ht="84" customHeight="1" x14ac:dyDescent="0.3">
      <c r="A7327" s="2">
        <v>7323</v>
      </c>
      <c r="B7327" s="66" t="s">
        <v>8700</v>
      </c>
      <c r="C7327" s="66" t="s">
        <v>8701</v>
      </c>
      <c r="D7327" s="11">
        <v>3191.94</v>
      </c>
      <c r="E7327" s="11">
        <v>3191.94</v>
      </c>
      <c r="F7327" s="3">
        <v>39052</v>
      </c>
      <c r="G7327" s="2"/>
      <c r="H7327" s="2"/>
      <c r="I7327" s="2"/>
      <c r="J7327" s="2" t="s">
        <v>13904</v>
      </c>
      <c r="K7327" s="2" t="s">
        <v>5657</v>
      </c>
      <c r="L7327" s="246" t="s">
        <v>22280</v>
      </c>
    </row>
    <row r="7328" spans="1:12" ht="84" customHeight="1" x14ac:dyDescent="0.3">
      <c r="A7328" s="2">
        <v>7324</v>
      </c>
      <c r="B7328" s="66" t="s">
        <v>8702</v>
      </c>
      <c r="C7328" s="66" t="s">
        <v>8703</v>
      </c>
      <c r="D7328" s="11">
        <v>6950</v>
      </c>
      <c r="E7328" s="11">
        <v>6950</v>
      </c>
      <c r="F7328" s="3">
        <v>39142</v>
      </c>
      <c r="G7328" s="2"/>
      <c r="H7328" s="2"/>
      <c r="I7328" s="2"/>
      <c r="J7328" s="2" t="s">
        <v>13904</v>
      </c>
      <c r="K7328" s="2" t="s">
        <v>5657</v>
      </c>
      <c r="L7328" s="246" t="s">
        <v>22280</v>
      </c>
    </row>
    <row r="7329" spans="1:12" ht="84" customHeight="1" x14ac:dyDescent="0.3">
      <c r="A7329" s="2">
        <v>7325</v>
      </c>
      <c r="B7329" s="66" t="s">
        <v>8704</v>
      </c>
      <c r="C7329" s="66" t="s">
        <v>8705</v>
      </c>
      <c r="D7329" s="11">
        <v>3536.95</v>
      </c>
      <c r="E7329" s="11">
        <v>3536.95</v>
      </c>
      <c r="F7329" s="3">
        <v>39059</v>
      </c>
      <c r="G7329" s="2"/>
      <c r="H7329" s="2"/>
      <c r="I7329" s="2"/>
      <c r="J7329" s="2" t="s">
        <v>13904</v>
      </c>
      <c r="K7329" s="2" t="s">
        <v>5657</v>
      </c>
      <c r="L7329" s="246" t="s">
        <v>22280</v>
      </c>
    </row>
    <row r="7330" spans="1:12" ht="84" customHeight="1" x14ac:dyDescent="0.3">
      <c r="A7330" s="2">
        <v>7326</v>
      </c>
      <c r="B7330" s="66" t="s">
        <v>8706</v>
      </c>
      <c r="C7330" s="66" t="s">
        <v>8707</v>
      </c>
      <c r="D7330" s="11">
        <v>3417</v>
      </c>
      <c r="E7330" s="11">
        <v>3417</v>
      </c>
      <c r="F7330" s="3">
        <v>39065</v>
      </c>
      <c r="G7330" s="2"/>
      <c r="H7330" s="2"/>
      <c r="I7330" s="2"/>
      <c r="J7330" s="2" t="s">
        <v>13904</v>
      </c>
      <c r="K7330" s="2" t="s">
        <v>5657</v>
      </c>
      <c r="L7330" s="246" t="s">
        <v>22280</v>
      </c>
    </row>
    <row r="7331" spans="1:12" ht="84" customHeight="1" x14ac:dyDescent="0.3">
      <c r="A7331" s="2">
        <v>7327</v>
      </c>
      <c r="B7331" s="66" t="s">
        <v>8708</v>
      </c>
      <c r="C7331" s="66" t="s">
        <v>8709</v>
      </c>
      <c r="D7331" s="11">
        <v>3417</v>
      </c>
      <c r="E7331" s="11">
        <v>3417</v>
      </c>
      <c r="F7331" s="3">
        <v>39052</v>
      </c>
      <c r="G7331" s="2"/>
      <c r="H7331" s="2"/>
      <c r="I7331" s="2"/>
      <c r="J7331" s="2" t="s">
        <v>13904</v>
      </c>
      <c r="K7331" s="2" t="s">
        <v>5657</v>
      </c>
      <c r="L7331" s="246" t="s">
        <v>22280</v>
      </c>
    </row>
    <row r="7332" spans="1:12" ht="84" customHeight="1" x14ac:dyDescent="0.3">
      <c r="A7332" s="2">
        <v>7328</v>
      </c>
      <c r="B7332" s="66" t="s">
        <v>8710</v>
      </c>
      <c r="C7332" s="66" t="s">
        <v>8711</v>
      </c>
      <c r="D7332" s="11">
        <v>3417</v>
      </c>
      <c r="E7332" s="11">
        <v>3417</v>
      </c>
      <c r="F7332" s="3">
        <v>39052</v>
      </c>
      <c r="G7332" s="2"/>
      <c r="H7332" s="2"/>
      <c r="I7332" s="2"/>
      <c r="J7332" s="2" t="s">
        <v>13904</v>
      </c>
      <c r="K7332" s="2" t="s">
        <v>5657</v>
      </c>
      <c r="L7332" s="246" t="s">
        <v>22280</v>
      </c>
    </row>
    <row r="7333" spans="1:12" ht="84" customHeight="1" x14ac:dyDescent="0.3">
      <c r="A7333" s="2">
        <v>7329</v>
      </c>
      <c r="B7333" s="66" t="s">
        <v>8712</v>
      </c>
      <c r="C7333" s="66" t="s">
        <v>8713</v>
      </c>
      <c r="D7333" s="11">
        <v>3417</v>
      </c>
      <c r="E7333" s="11">
        <v>3417</v>
      </c>
      <c r="F7333" s="3">
        <v>39052</v>
      </c>
      <c r="G7333" s="2"/>
      <c r="H7333" s="2"/>
      <c r="I7333" s="2"/>
      <c r="J7333" s="2" t="s">
        <v>13904</v>
      </c>
      <c r="K7333" s="2" t="s">
        <v>5657</v>
      </c>
      <c r="L7333" s="246" t="s">
        <v>22280</v>
      </c>
    </row>
    <row r="7334" spans="1:12" ht="84" customHeight="1" x14ac:dyDescent="0.3">
      <c r="A7334" s="2">
        <v>7330</v>
      </c>
      <c r="B7334" s="66" t="s">
        <v>8714</v>
      </c>
      <c r="C7334" s="66" t="s">
        <v>8715</v>
      </c>
      <c r="D7334" s="11">
        <v>3417</v>
      </c>
      <c r="E7334" s="11">
        <v>3417</v>
      </c>
      <c r="F7334" s="3">
        <v>39052</v>
      </c>
      <c r="G7334" s="2"/>
      <c r="H7334" s="2"/>
      <c r="I7334" s="2"/>
      <c r="J7334" s="2" t="s">
        <v>13904</v>
      </c>
      <c r="K7334" s="2" t="s">
        <v>5657</v>
      </c>
      <c r="L7334" s="246" t="s">
        <v>22280</v>
      </c>
    </row>
    <row r="7335" spans="1:12" ht="84" customHeight="1" x14ac:dyDescent="0.3">
      <c r="A7335" s="2">
        <v>7331</v>
      </c>
      <c r="B7335" s="66" t="s">
        <v>8714</v>
      </c>
      <c r="C7335" s="66" t="s">
        <v>8716</v>
      </c>
      <c r="D7335" s="11">
        <v>3417</v>
      </c>
      <c r="E7335" s="11">
        <v>3417</v>
      </c>
      <c r="F7335" s="3">
        <v>39052</v>
      </c>
      <c r="G7335" s="2"/>
      <c r="H7335" s="2"/>
      <c r="I7335" s="2"/>
      <c r="J7335" s="2" t="s">
        <v>13904</v>
      </c>
      <c r="K7335" s="2" t="s">
        <v>5657</v>
      </c>
      <c r="L7335" s="246" t="s">
        <v>22280</v>
      </c>
    </row>
    <row r="7336" spans="1:12" ht="84" customHeight="1" x14ac:dyDescent="0.3">
      <c r="A7336" s="2">
        <v>7332</v>
      </c>
      <c r="B7336" s="66" t="s">
        <v>8714</v>
      </c>
      <c r="C7336" s="66" t="s">
        <v>8717</v>
      </c>
      <c r="D7336" s="11">
        <v>3417</v>
      </c>
      <c r="E7336" s="11">
        <v>3417</v>
      </c>
      <c r="F7336" s="3">
        <v>39052</v>
      </c>
      <c r="G7336" s="2"/>
      <c r="H7336" s="2"/>
      <c r="I7336" s="2"/>
      <c r="J7336" s="2" t="s">
        <v>13904</v>
      </c>
      <c r="K7336" s="2" t="s">
        <v>5657</v>
      </c>
      <c r="L7336" s="246" t="s">
        <v>22280</v>
      </c>
    </row>
    <row r="7337" spans="1:12" ht="84" customHeight="1" x14ac:dyDescent="0.3">
      <c r="A7337" s="2">
        <v>7333</v>
      </c>
      <c r="B7337" s="66" t="s">
        <v>8714</v>
      </c>
      <c r="C7337" s="66" t="s">
        <v>8718</v>
      </c>
      <c r="D7337" s="11">
        <v>3417</v>
      </c>
      <c r="E7337" s="11">
        <v>3417</v>
      </c>
      <c r="F7337" s="3">
        <v>39052</v>
      </c>
      <c r="G7337" s="2"/>
      <c r="H7337" s="2"/>
      <c r="I7337" s="2"/>
      <c r="J7337" s="2" t="s">
        <v>13904</v>
      </c>
      <c r="K7337" s="2" t="s">
        <v>5657</v>
      </c>
      <c r="L7337" s="246" t="s">
        <v>22280</v>
      </c>
    </row>
    <row r="7338" spans="1:12" ht="84" customHeight="1" x14ac:dyDescent="0.3">
      <c r="A7338" s="2">
        <v>7334</v>
      </c>
      <c r="B7338" s="66" t="s">
        <v>8714</v>
      </c>
      <c r="C7338" s="66" t="s">
        <v>8719</v>
      </c>
      <c r="D7338" s="11">
        <v>3417</v>
      </c>
      <c r="E7338" s="11">
        <v>3417</v>
      </c>
      <c r="F7338" s="3">
        <v>39052</v>
      </c>
      <c r="G7338" s="2"/>
      <c r="H7338" s="2"/>
      <c r="I7338" s="2"/>
      <c r="J7338" s="2" t="s">
        <v>13904</v>
      </c>
      <c r="K7338" s="2" t="s">
        <v>5657</v>
      </c>
      <c r="L7338" s="246" t="s">
        <v>22280</v>
      </c>
    </row>
    <row r="7339" spans="1:12" ht="84" customHeight="1" x14ac:dyDescent="0.3">
      <c r="A7339" s="2">
        <v>7335</v>
      </c>
      <c r="B7339" s="66" t="s">
        <v>8714</v>
      </c>
      <c r="C7339" s="66" t="s">
        <v>8720</v>
      </c>
      <c r="D7339" s="11">
        <v>3417</v>
      </c>
      <c r="E7339" s="11">
        <v>3417</v>
      </c>
      <c r="F7339" s="3">
        <v>39052</v>
      </c>
      <c r="G7339" s="2"/>
      <c r="H7339" s="2"/>
      <c r="I7339" s="2"/>
      <c r="J7339" s="2" t="s">
        <v>13904</v>
      </c>
      <c r="K7339" s="2" t="s">
        <v>5657</v>
      </c>
      <c r="L7339" s="246" t="s">
        <v>22280</v>
      </c>
    </row>
    <row r="7340" spans="1:12" ht="84" customHeight="1" x14ac:dyDescent="0.3">
      <c r="A7340" s="2">
        <v>7336</v>
      </c>
      <c r="B7340" s="66" t="s">
        <v>8714</v>
      </c>
      <c r="C7340" s="66" t="s">
        <v>8721</v>
      </c>
      <c r="D7340" s="11">
        <v>3417</v>
      </c>
      <c r="E7340" s="11">
        <v>3417</v>
      </c>
      <c r="F7340" s="3">
        <v>39052</v>
      </c>
      <c r="G7340" s="2"/>
      <c r="H7340" s="2"/>
      <c r="I7340" s="2"/>
      <c r="J7340" s="2" t="s">
        <v>13904</v>
      </c>
      <c r="K7340" s="2" t="s">
        <v>5657</v>
      </c>
      <c r="L7340" s="246" t="s">
        <v>22280</v>
      </c>
    </row>
    <row r="7341" spans="1:12" ht="84" customHeight="1" x14ac:dyDescent="0.3">
      <c r="A7341" s="2">
        <v>7337</v>
      </c>
      <c r="B7341" s="66" t="s">
        <v>8714</v>
      </c>
      <c r="C7341" s="66" t="s">
        <v>8722</v>
      </c>
      <c r="D7341" s="11">
        <v>3417</v>
      </c>
      <c r="E7341" s="11">
        <v>3417</v>
      </c>
      <c r="F7341" s="3">
        <v>39052</v>
      </c>
      <c r="G7341" s="2"/>
      <c r="H7341" s="2"/>
      <c r="I7341" s="2"/>
      <c r="J7341" s="2" t="s">
        <v>13904</v>
      </c>
      <c r="K7341" s="2" t="s">
        <v>5657</v>
      </c>
      <c r="L7341" s="246" t="s">
        <v>22280</v>
      </c>
    </row>
    <row r="7342" spans="1:12" ht="84" customHeight="1" x14ac:dyDescent="0.3">
      <c r="A7342" s="2">
        <v>7338</v>
      </c>
      <c r="B7342" s="66" t="s">
        <v>8714</v>
      </c>
      <c r="C7342" s="66" t="s">
        <v>8723</v>
      </c>
      <c r="D7342" s="11">
        <v>3417</v>
      </c>
      <c r="E7342" s="11">
        <v>3417</v>
      </c>
      <c r="F7342" s="3">
        <v>39052</v>
      </c>
      <c r="G7342" s="2"/>
      <c r="H7342" s="2"/>
      <c r="I7342" s="2"/>
      <c r="J7342" s="2" t="s">
        <v>13904</v>
      </c>
      <c r="K7342" s="2" t="s">
        <v>5657</v>
      </c>
      <c r="L7342" s="246" t="s">
        <v>22280</v>
      </c>
    </row>
    <row r="7343" spans="1:12" ht="84" customHeight="1" x14ac:dyDescent="0.3">
      <c r="A7343" s="2">
        <v>7339</v>
      </c>
      <c r="B7343" s="66" t="s">
        <v>8714</v>
      </c>
      <c r="C7343" s="66" t="s">
        <v>8724</v>
      </c>
      <c r="D7343" s="11">
        <v>3417</v>
      </c>
      <c r="E7343" s="11">
        <v>3417</v>
      </c>
      <c r="F7343" s="3">
        <v>39052</v>
      </c>
      <c r="G7343" s="2"/>
      <c r="H7343" s="2"/>
      <c r="I7343" s="2"/>
      <c r="J7343" s="2" t="s">
        <v>13904</v>
      </c>
      <c r="K7343" s="2" t="s">
        <v>5657</v>
      </c>
      <c r="L7343" s="246" t="s">
        <v>22280</v>
      </c>
    </row>
    <row r="7344" spans="1:12" ht="84" customHeight="1" x14ac:dyDescent="0.3">
      <c r="A7344" s="2">
        <v>7340</v>
      </c>
      <c r="B7344" s="66" t="s">
        <v>8714</v>
      </c>
      <c r="C7344" s="66" t="s">
        <v>8725</v>
      </c>
      <c r="D7344" s="11">
        <v>3417</v>
      </c>
      <c r="E7344" s="11">
        <v>3417</v>
      </c>
      <c r="F7344" s="3">
        <v>39052</v>
      </c>
      <c r="G7344" s="2"/>
      <c r="H7344" s="2"/>
      <c r="I7344" s="2"/>
      <c r="J7344" s="2" t="s">
        <v>13904</v>
      </c>
      <c r="K7344" s="2" t="s">
        <v>5657</v>
      </c>
      <c r="L7344" s="246" t="s">
        <v>22280</v>
      </c>
    </row>
    <row r="7345" spans="1:12" ht="84" customHeight="1" x14ac:dyDescent="0.3">
      <c r="A7345" s="2">
        <v>7341</v>
      </c>
      <c r="B7345" s="66" t="s">
        <v>8714</v>
      </c>
      <c r="C7345" s="66" t="s">
        <v>8726</v>
      </c>
      <c r="D7345" s="11">
        <v>3417</v>
      </c>
      <c r="E7345" s="11">
        <v>3417</v>
      </c>
      <c r="F7345" s="3">
        <v>39052</v>
      </c>
      <c r="G7345" s="2"/>
      <c r="H7345" s="2"/>
      <c r="I7345" s="2"/>
      <c r="J7345" s="2" t="s">
        <v>13904</v>
      </c>
      <c r="K7345" s="2" t="s">
        <v>5657</v>
      </c>
      <c r="L7345" s="246" t="s">
        <v>22280</v>
      </c>
    </row>
    <row r="7346" spans="1:12" ht="84" customHeight="1" x14ac:dyDescent="0.3">
      <c r="A7346" s="2">
        <v>7342</v>
      </c>
      <c r="B7346" s="66" t="s">
        <v>8714</v>
      </c>
      <c r="C7346" s="66" t="s">
        <v>8727</v>
      </c>
      <c r="D7346" s="11">
        <v>3417</v>
      </c>
      <c r="E7346" s="11">
        <v>3417</v>
      </c>
      <c r="F7346" s="3">
        <v>39052</v>
      </c>
      <c r="G7346" s="2"/>
      <c r="H7346" s="2"/>
      <c r="I7346" s="2"/>
      <c r="J7346" s="2" t="s">
        <v>13904</v>
      </c>
      <c r="K7346" s="2" t="s">
        <v>5657</v>
      </c>
      <c r="L7346" s="246" t="s">
        <v>22280</v>
      </c>
    </row>
    <row r="7347" spans="1:12" ht="84" customHeight="1" x14ac:dyDescent="0.3">
      <c r="A7347" s="2">
        <v>7343</v>
      </c>
      <c r="B7347" s="66" t="s">
        <v>8714</v>
      </c>
      <c r="C7347" s="66"/>
      <c r="D7347" s="11">
        <v>3417</v>
      </c>
      <c r="E7347" s="11">
        <v>3417</v>
      </c>
      <c r="F7347" s="3">
        <v>39052</v>
      </c>
      <c r="G7347" s="2"/>
      <c r="H7347" s="2"/>
      <c r="I7347" s="2"/>
      <c r="J7347" s="2" t="s">
        <v>13904</v>
      </c>
      <c r="K7347" s="2" t="s">
        <v>5657</v>
      </c>
      <c r="L7347" s="246" t="s">
        <v>22280</v>
      </c>
    </row>
    <row r="7348" spans="1:12" ht="84" customHeight="1" x14ac:dyDescent="0.3">
      <c r="A7348" s="2">
        <v>7344</v>
      </c>
      <c r="B7348" s="66" t="s">
        <v>8728</v>
      </c>
      <c r="C7348" s="66" t="s">
        <v>8729</v>
      </c>
      <c r="D7348" s="11">
        <v>3417</v>
      </c>
      <c r="E7348" s="11">
        <v>3417</v>
      </c>
      <c r="F7348" s="3">
        <v>39052</v>
      </c>
      <c r="G7348" s="2"/>
      <c r="H7348" s="2"/>
      <c r="I7348" s="2"/>
      <c r="J7348" s="2" t="s">
        <v>13904</v>
      </c>
      <c r="K7348" s="2" t="s">
        <v>5657</v>
      </c>
      <c r="L7348" s="246" t="s">
        <v>22280</v>
      </c>
    </row>
    <row r="7349" spans="1:12" ht="84" customHeight="1" x14ac:dyDescent="0.3">
      <c r="A7349" s="2">
        <v>7345</v>
      </c>
      <c r="B7349" s="66" t="s">
        <v>8728</v>
      </c>
      <c r="C7349" s="66" t="s">
        <v>8730</v>
      </c>
      <c r="D7349" s="11">
        <v>3417</v>
      </c>
      <c r="E7349" s="11">
        <v>3417</v>
      </c>
      <c r="F7349" s="3">
        <v>39052</v>
      </c>
      <c r="G7349" s="2"/>
      <c r="H7349" s="2"/>
      <c r="I7349" s="2"/>
      <c r="J7349" s="2" t="s">
        <v>13904</v>
      </c>
      <c r="K7349" s="2" t="s">
        <v>5657</v>
      </c>
      <c r="L7349" s="246" t="s">
        <v>22280</v>
      </c>
    </row>
    <row r="7350" spans="1:12" ht="84" customHeight="1" x14ac:dyDescent="0.3">
      <c r="A7350" s="2">
        <v>7346</v>
      </c>
      <c r="B7350" s="66" t="s">
        <v>8728</v>
      </c>
      <c r="C7350" s="66" t="s">
        <v>8731</v>
      </c>
      <c r="D7350" s="11">
        <v>3417</v>
      </c>
      <c r="E7350" s="11">
        <v>3417</v>
      </c>
      <c r="F7350" s="3">
        <v>39052</v>
      </c>
      <c r="G7350" s="2"/>
      <c r="H7350" s="2"/>
      <c r="I7350" s="2"/>
      <c r="J7350" s="2" t="s">
        <v>13904</v>
      </c>
      <c r="K7350" s="2" t="s">
        <v>5657</v>
      </c>
      <c r="L7350" s="246" t="s">
        <v>22280</v>
      </c>
    </row>
    <row r="7351" spans="1:12" ht="84" customHeight="1" x14ac:dyDescent="0.3">
      <c r="A7351" s="2">
        <v>7347</v>
      </c>
      <c r="B7351" s="66" t="s">
        <v>8728</v>
      </c>
      <c r="C7351" s="66" t="s">
        <v>8732</v>
      </c>
      <c r="D7351" s="11">
        <v>3417</v>
      </c>
      <c r="E7351" s="11">
        <v>3417</v>
      </c>
      <c r="F7351" s="3">
        <v>39052</v>
      </c>
      <c r="G7351" s="2"/>
      <c r="H7351" s="2"/>
      <c r="I7351" s="2"/>
      <c r="J7351" s="2" t="s">
        <v>13904</v>
      </c>
      <c r="K7351" s="2" t="s">
        <v>5657</v>
      </c>
      <c r="L7351" s="246" t="s">
        <v>22280</v>
      </c>
    </row>
    <row r="7352" spans="1:12" ht="84" customHeight="1" x14ac:dyDescent="0.3">
      <c r="A7352" s="2">
        <v>7348</v>
      </c>
      <c r="B7352" s="66" t="s">
        <v>8733</v>
      </c>
      <c r="C7352" s="66" t="s">
        <v>8734</v>
      </c>
      <c r="D7352" s="11">
        <v>3417</v>
      </c>
      <c r="E7352" s="11">
        <v>3417</v>
      </c>
      <c r="F7352" s="3">
        <v>39052</v>
      </c>
      <c r="G7352" s="2"/>
      <c r="H7352" s="2"/>
      <c r="I7352" s="2"/>
      <c r="J7352" s="2" t="s">
        <v>13904</v>
      </c>
      <c r="K7352" s="2" t="s">
        <v>5657</v>
      </c>
      <c r="L7352" s="246" t="s">
        <v>22280</v>
      </c>
    </row>
    <row r="7353" spans="1:12" ht="84" customHeight="1" x14ac:dyDescent="0.3">
      <c r="A7353" s="2">
        <v>7349</v>
      </c>
      <c r="B7353" s="66" t="s">
        <v>8733</v>
      </c>
      <c r="C7353" s="66" t="s">
        <v>8735</v>
      </c>
      <c r="D7353" s="11">
        <v>3417</v>
      </c>
      <c r="E7353" s="11">
        <v>3417</v>
      </c>
      <c r="F7353" s="3">
        <v>39059</v>
      </c>
      <c r="G7353" s="2"/>
      <c r="H7353" s="2"/>
      <c r="I7353" s="2"/>
      <c r="J7353" s="2" t="s">
        <v>13904</v>
      </c>
      <c r="K7353" s="2" t="s">
        <v>5657</v>
      </c>
      <c r="L7353" s="246" t="s">
        <v>22280</v>
      </c>
    </row>
    <row r="7354" spans="1:12" ht="84" customHeight="1" x14ac:dyDescent="0.3">
      <c r="A7354" s="2">
        <v>7350</v>
      </c>
      <c r="B7354" s="66" t="s">
        <v>8733</v>
      </c>
      <c r="C7354" s="66" t="s">
        <v>8736</v>
      </c>
      <c r="D7354" s="11">
        <v>3417</v>
      </c>
      <c r="E7354" s="11">
        <v>3417</v>
      </c>
      <c r="F7354" s="3">
        <v>39052</v>
      </c>
      <c r="G7354" s="2"/>
      <c r="H7354" s="2"/>
      <c r="I7354" s="2"/>
      <c r="J7354" s="2" t="s">
        <v>13904</v>
      </c>
      <c r="K7354" s="2" t="s">
        <v>5657</v>
      </c>
      <c r="L7354" s="246" t="s">
        <v>22280</v>
      </c>
    </row>
    <row r="7355" spans="1:12" ht="84" customHeight="1" x14ac:dyDescent="0.3">
      <c r="A7355" s="2">
        <v>7351</v>
      </c>
      <c r="B7355" s="66" t="s">
        <v>8733</v>
      </c>
      <c r="C7355" s="66" t="s">
        <v>8737</v>
      </c>
      <c r="D7355" s="11">
        <v>3417</v>
      </c>
      <c r="E7355" s="11">
        <v>3417</v>
      </c>
      <c r="F7355" s="3">
        <v>39052</v>
      </c>
      <c r="G7355" s="2"/>
      <c r="H7355" s="2"/>
      <c r="I7355" s="2"/>
      <c r="J7355" s="2" t="s">
        <v>13904</v>
      </c>
      <c r="K7355" s="2" t="s">
        <v>5657</v>
      </c>
      <c r="L7355" s="246" t="s">
        <v>22280</v>
      </c>
    </row>
    <row r="7356" spans="1:12" ht="84" customHeight="1" x14ac:dyDescent="0.3">
      <c r="A7356" s="2">
        <v>7352</v>
      </c>
      <c r="B7356" s="66" t="s">
        <v>8733</v>
      </c>
      <c r="C7356" s="66" t="s">
        <v>8738</v>
      </c>
      <c r="D7356" s="11">
        <v>3417</v>
      </c>
      <c r="E7356" s="11">
        <v>3417</v>
      </c>
      <c r="F7356" s="3">
        <v>39052</v>
      </c>
      <c r="G7356" s="2"/>
      <c r="H7356" s="2"/>
      <c r="I7356" s="2"/>
      <c r="J7356" s="2" t="s">
        <v>13904</v>
      </c>
      <c r="K7356" s="2" t="s">
        <v>5657</v>
      </c>
      <c r="L7356" s="246" t="s">
        <v>22280</v>
      </c>
    </row>
    <row r="7357" spans="1:12" ht="84" customHeight="1" x14ac:dyDescent="0.3">
      <c r="A7357" s="2">
        <v>7353</v>
      </c>
      <c r="B7357" s="66" t="s">
        <v>8733</v>
      </c>
      <c r="C7357" s="66" t="s">
        <v>8739</v>
      </c>
      <c r="D7357" s="11">
        <v>3417</v>
      </c>
      <c r="E7357" s="11">
        <v>3417</v>
      </c>
      <c r="F7357" s="3">
        <v>39052</v>
      </c>
      <c r="G7357" s="2"/>
      <c r="H7357" s="2"/>
      <c r="I7357" s="2"/>
      <c r="J7357" s="2" t="s">
        <v>13904</v>
      </c>
      <c r="K7357" s="2" t="s">
        <v>5657</v>
      </c>
      <c r="L7357" s="246" t="s">
        <v>22280</v>
      </c>
    </row>
    <row r="7358" spans="1:12" ht="84" customHeight="1" x14ac:dyDescent="0.3">
      <c r="A7358" s="2">
        <v>7354</v>
      </c>
      <c r="B7358" s="66" t="s">
        <v>8733</v>
      </c>
      <c r="C7358" s="66" t="s">
        <v>8740</v>
      </c>
      <c r="D7358" s="11">
        <v>3417</v>
      </c>
      <c r="E7358" s="11">
        <v>3417</v>
      </c>
      <c r="F7358" s="3">
        <v>39052</v>
      </c>
      <c r="G7358" s="2"/>
      <c r="H7358" s="2"/>
      <c r="I7358" s="2"/>
      <c r="J7358" s="2" t="s">
        <v>13904</v>
      </c>
      <c r="K7358" s="2" t="s">
        <v>5657</v>
      </c>
      <c r="L7358" s="246" t="s">
        <v>22280</v>
      </c>
    </row>
    <row r="7359" spans="1:12" ht="84" customHeight="1" x14ac:dyDescent="0.3">
      <c r="A7359" s="2">
        <v>7355</v>
      </c>
      <c r="B7359" s="66" t="s">
        <v>8733</v>
      </c>
      <c r="C7359" s="66" t="s">
        <v>8741</v>
      </c>
      <c r="D7359" s="11">
        <v>3417</v>
      </c>
      <c r="E7359" s="11">
        <v>3417</v>
      </c>
      <c r="F7359" s="3">
        <v>39052</v>
      </c>
      <c r="G7359" s="2"/>
      <c r="H7359" s="2"/>
      <c r="I7359" s="2"/>
      <c r="J7359" s="2" t="s">
        <v>13904</v>
      </c>
      <c r="K7359" s="2" t="s">
        <v>5657</v>
      </c>
      <c r="L7359" s="246" t="s">
        <v>22280</v>
      </c>
    </row>
    <row r="7360" spans="1:12" ht="84" customHeight="1" x14ac:dyDescent="0.3">
      <c r="A7360" s="2">
        <v>7356</v>
      </c>
      <c r="B7360" s="66" t="s">
        <v>8733</v>
      </c>
      <c r="C7360" s="66" t="s">
        <v>8742</v>
      </c>
      <c r="D7360" s="11">
        <v>3417</v>
      </c>
      <c r="E7360" s="11">
        <v>3417</v>
      </c>
      <c r="F7360" s="3">
        <v>39052</v>
      </c>
      <c r="G7360" s="2"/>
      <c r="H7360" s="2"/>
      <c r="I7360" s="2"/>
      <c r="J7360" s="2" t="s">
        <v>13904</v>
      </c>
      <c r="K7360" s="2" t="s">
        <v>5657</v>
      </c>
      <c r="L7360" s="246" t="s">
        <v>22280</v>
      </c>
    </row>
    <row r="7361" spans="1:12" ht="84" customHeight="1" x14ac:dyDescent="0.3">
      <c r="A7361" s="2">
        <v>7357</v>
      </c>
      <c r="B7361" s="66" t="s">
        <v>8733</v>
      </c>
      <c r="C7361" s="66" t="s">
        <v>8743</v>
      </c>
      <c r="D7361" s="11">
        <v>3417</v>
      </c>
      <c r="E7361" s="11">
        <v>3417</v>
      </c>
      <c r="F7361" s="3">
        <v>39052</v>
      </c>
      <c r="G7361" s="2"/>
      <c r="H7361" s="2"/>
      <c r="I7361" s="2"/>
      <c r="J7361" s="2" t="s">
        <v>13904</v>
      </c>
      <c r="K7361" s="2" t="s">
        <v>5657</v>
      </c>
      <c r="L7361" s="246" t="s">
        <v>22280</v>
      </c>
    </row>
    <row r="7362" spans="1:12" ht="84" customHeight="1" x14ac:dyDescent="0.3">
      <c r="A7362" s="2">
        <v>7358</v>
      </c>
      <c r="B7362" s="66" t="s">
        <v>8744</v>
      </c>
      <c r="C7362" s="66" t="s">
        <v>8745</v>
      </c>
      <c r="D7362" s="11">
        <v>13498.2</v>
      </c>
      <c r="E7362" s="11">
        <v>13498.2</v>
      </c>
      <c r="F7362" s="3">
        <v>39601</v>
      </c>
      <c r="G7362" s="2"/>
      <c r="H7362" s="2"/>
      <c r="I7362" s="2"/>
      <c r="J7362" s="2" t="s">
        <v>13904</v>
      </c>
      <c r="K7362" s="2" t="s">
        <v>5657</v>
      </c>
      <c r="L7362" s="246" t="s">
        <v>22280</v>
      </c>
    </row>
    <row r="7363" spans="1:12" ht="84" customHeight="1" x14ac:dyDescent="0.3">
      <c r="A7363" s="2">
        <v>7359</v>
      </c>
      <c r="B7363" s="66" t="s">
        <v>8746</v>
      </c>
      <c r="C7363" s="66" t="s">
        <v>8747</v>
      </c>
      <c r="D7363" s="11">
        <v>116646.1</v>
      </c>
      <c r="E7363" s="11">
        <v>116646.1</v>
      </c>
      <c r="F7363" s="3">
        <v>39052</v>
      </c>
      <c r="G7363" s="2"/>
      <c r="H7363" s="2"/>
      <c r="I7363" s="2"/>
      <c r="J7363" s="2" t="s">
        <v>13904</v>
      </c>
      <c r="K7363" s="2" t="s">
        <v>5657</v>
      </c>
      <c r="L7363" s="82" t="s">
        <v>18773</v>
      </c>
    </row>
    <row r="7364" spans="1:12" ht="84" customHeight="1" x14ac:dyDescent="0.3">
      <c r="A7364" s="2">
        <v>7360</v>
      </c>
      <c r="B7364" s="66" t="s">
        <v>8748</v>
      </c>
      <c r="C7364" s="66" t="s">
        <v>8749</v>
      </c>
      <c r="D7364" s="11">
        <v>11702.3</v>
      </c>
      <c r="E7364" s="11">
        <v>11702.3</v>
      </c>
      <c r="F7364" s="3">
        <v>39601</v>
      </c>
      <c r="G7364" s="2"/>
      <c r="H7364" s="2"/>
      <c r="I7364" s="2"/>
      <c r="J7364" s="2" t="s">
        <v>13904</v>
      </c>
      <c r="K7364" s="2" t="s">
        <v>5657</v>
      </c>
      <c r="L7364" s="246" t="s">
        <v>22280</v>
      </c>
    </row>
    <row r="7365" spans="1:12" ht="84" customHeight="1" x14ac:dyDescent="0.3">
      <c r="A7365" s="2">
        <v>7361</v>
      </c>
      <c r="B7365" s="66" t="s">
        <v>8750</v>
      </c>
      <c r="C7365" s="66" t="s">
        <v>8751</v>
      </c>
      <c r="D7365" s="11">
        <v>11702.3</v>
      </c>
      <c r="E7365" s="11">
        <v>11702.3</v>
      </c>
      <c r="F7365" s="3">
        <v>39601</v>
      </c>
      <c r="G7365" s="2"/>
      <c r="H7365" s="2"/>
      <c r="I7365" s="2"/>
      <c r="J7365" s="2" t="s">
        <v>13904</v>
      </c>
      <c r="K7365" s="2" t="s">
        <v>5657</v>
      </c>
      <c r="L7365" s="246" t="s">
        <v>22280</v>
      </c>
    </row>
    <row r="7366" spans="1:12" ht="84" customHeight="1" x14ac:dyDescent="0.3">
      <c r="A7366" s="2">
        <v>7362</v>
      </c>
      <c r="B7366" s="66" t="s">
        <v>8752</v>
      </c>
      <c r="C7366" s="66" t="s">
        <v>8753</v>
      </c>
      <c r="D7366" s="11">
        <v>11702.3</v>
      </c>
      <c r="E7366" s="11">
        <v>11702.3</v>
      </c>
      <c r="F7366" s="3">
        <v>39601</v>
      </c>
      <c r="G7366" s="2"/>
      <c r="H7366" s="2"/>
      <c r="I7366" s="2"/>
      <c r="J7366" s="2" t="s">
        <v>13904</v>
      </c>
      <c r="K7366" s="2" t="s">
        <v>5657</v>
      </c>
      <c r="L7366" s="246" t="s">
        <v>22280</v>
      </c>
    </row>
    <row r="7367" spans="1:12" ht="84" customHeight="1" x14ac:dyDescent="0.3">
      <c r="A7367" s="2">
        <v>7363</v>
      </c>
      <c r="B7367" s="66" t="s">
        <v>8754</v>
      </c>
      <c r="C7367" s="66" t="s">
        <v>8755</v>
      </c>
      <c r="D7367" s="11">
        <v>11702.3</v>
      </c>
      <c r="E7367" s="11">
        <v>11702.3</v>
      </c>
      <c r="F7367" s="3">
        <v>39601</v>
      </c>
      <c r="G7367" s="2"/>
      <c r="H7367" s="2"/>
      <c r="I7367" s="2"/>
      <c r="J7367" s="2" t="s">
        <v>13904</v>
      </c>
      <c r="K7367" s="2" t="s">
        <v>5657</v>
      </c>
      <c r="L7367" s="246" t="s">
        <v>22280</v>
      </c>
    </row>
    <row r="7368" spans="1:12" ht="84" customHeight="1" x14ac:dyDescent="0.3">
      <c r="A7368" s="2">
        <v>7364</v>
      </c>
      <c r="B7368" s="66" t="s">
        <v>8756</v>
      </c>
      <c r="C7368" s="66" t="s">
        <v>8757</v>
      </c>
      <c r="D7368" s="11">
        <v>17136</v>
      </c>
      <c r="E7368" s="11">
        <v>17136</v>
      </c>
      <c r="F7368" s="3">
        <v>39052</v>
      </c>
      <c r="G7368" s="2"/>
      <c r="H7368" s="2"/>
      <c r="I7368" s="2"/>
      <c r="J7368" s="2" t="s">
        <v>13904</v>
      </c>
      <c r="K7368" s="2" t="s">
        <v>5657</v>
      </c>
      <c r="L7368" s="246" t="s">
        <v>22280</v>
      </c>
    </row>
    <row r="7369" spans="1:12" ht="84" customHeight="1" x14ac:dyDescent="0.3">
      <c r="A7369" s="2">
        <v>7365</v>
      </c>
      <c r="B7369" s="66" t="s">
        <v>8758</v>
      </c>
      <c r="C7369" s="66" t="s">
        <v>8759</v>
      </c>
      <c r="D7369" s="11">
        <v>16390</v>
      </c>
      <c r="E7369" s="11">
        <v>16390</v>
      </c>
      <c r="F7369" s="3">
        <v>39142</v>
      </c>
      <c r="G7369" s="2"/>
      <c r="H7369" s="2"/>
      <c r="I7369" s="2"/>
      <c r="J7369" s="2" t="s">
        <v>13904</v>
      </c>
      <c r="K7369" s="2" t="s">
        <v>5657</v>
      </c>
      <c r="L7369" s="246" t="s">
        <v>22280</v>
      </c>
    </row>
    <row r="7370" spans="1:12" ht="84" customHeight="1" x14ac:dyDescent="0.3">
      <c r="A7370" s="2">
        <v>7366</v>
      </c>
      <c r="B7370" s="66" t="s">
        <v>8760</v>
      </c>
      <c r="C7370" s="66" t="s">
        <v>8761</v>
      </c>
      <c r="D7370" s="11">
        <v>16390</v>
      </c>
      <c r="E7370" s="11">
        <v>16390</v>
      </c>
      <c r="F7370" s="3">
        <v>39142</v>
      </c>
      <c r="G7370" s="2"/>
      <c r="H7370" s="2"/>
      <c r="I7370" s="2"/>
      <c r="J7370" s="2" t="s">
        <v>13904</v>
      </c>
      <c r="K7370" s="2" t="s">
        <v>5657</v>
      </c>
      <c r="L7370" s="246" t="s">
        <v>22280</v>
      </c>
    </row>
    <row r="7371" spans="1:12" ht="84" customHeight="1" x14ac:dyDescent="0.3">
      <c r="A7371" s="2">
        <v>7367</v>
      </c>
      <c r="B7371" s="66" t="s">
        <v>8762</v>
      </c>
      <c r="C7371" s="66" t="s">
        <v>8763</v>
      </c>
      <c r="D7371" s="11">
        <v>16390</v>
      </c>
      <c r="E7371" s="11">
        <v>16390</v>
      </c>
      <c r="F7371" s="3">
        <v>39142</v>
      </c>
      <c r="G7371" s="2"/>
      <c r="H7371" s="2"/>
      <c r="I7371" s="2"/>
      <c r="J7371" s="2" t="s">
        <v>13904</v>
      </c>
      <c r="K7371" s="2" t="s">
        <v>5657</v>
      </c>
      <c r="L7371" s="246" t="s">
        <v>22280</v>
      </c>
    </row>
    <row r="7372" spans="1:12" ht="84" customHeight="1" x14ac:dyDescent="0.3">
      <c r="A7372" s="2">
        <v>7368</v>
      </c>
      <c r="B7372" s="66" t="s">
        <v>8764</v>
      </c>
      <c r="C7372" s="66" t="s">
        <v>8765</v>
      </c>
      <c r="D7372" s="11">
        <v>16390</v>
      </c>
      <c r="E7372" s="11">
        <v>16390</v>
      </c>
      <c r="F7372" s="3">
        <v>39142</v>
      </c>
      <c r="G7372" s="2"/>
      <c r="H7372" s="2"/>
      <c r="I7372" s="2"/>
      <c r="J7372" s="2" t="s">
        <v>13904</v>
      </c>
      <c r="K7372" s="2" t="s">
        <v>5657</v>
      </c>
      <c r="L7372" s="246" t="s">
        <v>22280</v>
      </c>
    </row>
    <row r="7373" spans="1:12" ht="84" customHeight="1" x14ac:dyDescent="0.3">
      <c r="A7373" s="2">
        <v>7369</v>
      </c>
      <c r="B7373" s="66" t="s">
        <v>8766</v>
      </c>
      <c r="C7373" s="66" t="s">
        <v>8767</v>
      </c>
      <c r="D7373" s="11">
        <v>16390</v>
      </c>
      <c r="E7373" s="11">
        <v>16390</v>
      </c>
      <c r="F7373" s="3">
        <v>39142</v>
      </c>
      <c r="G7373" s="2"/>
      <c r="H7373" s="2"/>
      <c r="I7373" s="2"/>
      <c r="J7373" s="2" t="s">
        <v>13904</v>
      </c>
      <c r="K7373" s="2" t="s">
        <v>5657</v>
      </c>
      <c r="L7373" s="246" t="s">
        <v>22280</v>
      </c>
    </row>
    <row r="7374" spans="1:12" ht="84" customHeight="1" x14ac:dyDescent="0.3">
      <c r="A7374" s="2">
        <v>7370</v>
      </c>
      <c r="B7374" s="66" t="s">
        <v>8768</v>
      </c>
      <c r="C7374" s="66" t="s">
        <v>8769</v>
      </c>
      <c r="D7374" s="11">
        <v>16390</v>
      </c>
      <c r="E7374" s="11">
        <v>16390</v>
      </c>
      <c r="F7374" s="3">
        <v>39142</v>
      </c>
      <c r="G7374" s="2"/>
      <c r="H7374" s="2"/>
      <c r="I7374" s="2"/>
      <c r="J7374" s="2" t="s">
        <v>13904</v>
      </c>
      <c r="K7374" s="2" t="s">
        <v>5657</v>
      </c>
      <c r="L7374" s="246" t="s">
        <v>22280</v>
      </c>
    </row>
    <row r="7375" spans="1:12" ht="84" customHeight="1" x14ac:dyDescent="0.3">
      <c r="A7375" s="2">
        <v>7371</v>
      </c>
      <c r="B7375" s="66" t="s">
        <v>8768</v>
      </c>
      <c r="C7375" s="66" t="s">
        <v>8770</v>
      </c>
      <c r="D7375" s="11">
        <v>16390</v>
      </c>
      <c r="E7375" s="11">
        <v>16390</v>
      </c>
      <c r="F7375" s="3">
        <v>39142</v>
      </c>
      <c r="G7375" s="2"/>
      <c r="H7375" s="2"/>
      <c r="I7375" s="2"/>
      <c r="J7375" s="2" t="s">
        <v>13904</v>
      </c>
      <c r="K7375" s="2" t="s">
        <v>5657</v>
      </c>
      <c r="L7375" s="246" t="s">
        <v>22280</v>
      </c>
    </row>
    <row r="7376" spans="1:12" ht="84" customHeight="1" x14ac:dyDescent="0.3">
      <c r="A7376" s="2">
        <v>7372</v>
      </c>
      <c r="B7376" s="66" t="s">
        <v>8771</v>
      </c>
      <c r="C7376" s="66" t="s">
        <v>8772</v>
      </c>
      <c r="D7376" s="11">
        <v>16390</v>
      </c>
      <c r="E7376" s="11">
        <v>16390</v>
      </c>
      <c r="F7376" s="3">
        <v>39142</v>
      </c>
      <c r="G7376" s="2"/>
      <c r="H7376" s="2"/>
      <c r="I7376" s="2"/>
      <c r="J7376" s="2" t="s">
        <v>13904</v>
      </c>
      <c r="K7376" s="2" t="s">
        <v>5657</v>
      </c>
      <c r="L7376" s="246" t="s">
        <v>22280</v>
      </c>
    </row>
    <row r="7377" spans="1:12" ht="84" customHeight="1" x14ac:dyDescent="0.3">
      <c r="A7377" s="2">
        <v>7373</v>
      </c>
      <c r="B7377" s="66" t="s">
        <v>8773</v>
      </c>
      <c r="C7377" s="66" t="s">
        <v>8774</v>
      </c>
      <c r="D7377" s="11">
        <v>16390</v>
      </c>
      <c r="E7377" s="11">
        <v>16390</v>
      </c>
      <c r="F7377" s="3">
        <v>39142</v>
      </c>
      <c r="G7377" s="2"/>
      <c r="H7377" s="2"/>
      <c r="I7377" s="2"/>
      <c r="J7377" s="2" t="s">
        <v>13904</v>
      </c>
      <c r="K7377" s="2" t="s">
        <v>5657</v>
      </c>
      <c r="L7377" s="246" t="s">
        <v>22280</v>
      </c>
    </row>
    <row r="7378" spans="1:12" ht="84" customHeight="1" x14ac:dyDescent="0.3">
      <c r="A7378" s="2">
        <v>7374</v>
      </c>
      <c r="B7378" s="66" t="s">
        <v>8775</v>
      </c>
      <c r="C7378" s="66" t="s">
        <v>8776</v>
      </c>
      <c r="D7378" s="11">
        <v>16390</v>
      </c>
      <c r="E7378" s="11">
        <v>16390</v>
      </c>
      <c r="F7378" s="3">
        <v>39142</v>
      </c>
      <c r="G7378" s="2"/>
      <c r="H7378" s="2"/>
      <c r="I7378" s="2"/>
      <c r="J7378" s="2" t="s">
        <v>13904</v>
      </c>
      <c r="K7378" s="2" t="s">
        <v>5657</v>
      </c>
      <c r="L7378" s="246" t="s">
        <v>22280</v>
      </c>
    </row>
    <row r="7379" spans="1:12" ht="84" customHeight="1" x14ac:dyDescent="0.3">
      <c r="A7379" s="2">
        <v>7375</v>
      </c>
      <c r="B7379" s="66" t="s">
        <v>8775</v>
      </c>
      <c r="C7379" s="66" t="s">
        <v>8777</v>
      </c>
      <c r="D7379" s="11">
        <v>16390</v>
      </c>
      <c r="E7379" s="11">
        <v>16390</v>
      </c>
      <c r="F7379" s="3">
        <v>39142</v>
      </c>
      <c r="G7379" s="2"/>
      <c r="H7379" s="2"/>
      <c r="I7379" s="2"/>
      <c r="J7379" s="2" t="s">
        <v>13904</v>
      </c>
      <c r="K7379" s="2" t="s">
        <v>5657</v>
      </c>
      <c r="L7379" s="246" t="s">
        <v>22280</v>
      </c>
    </row>
    <row r="7380" spans="1:12" ht="84" customHeight="1" x14ac:dyDescent="0.3">
      <c r="A7380" s="2">
        <v>7376</v>
      </c>
      <c r="B7380" s="66" t="s">
        <v>8775</v>
      </c>
      <c r="C7380" s="66" t="s">
        <v>8778</v>
      </c>
      <c r="D7380" s="11">
        <v>16390</v>
      </c>
      <c r="E7380" s="11">
        <v>16390</v>
      </c>
      <c r="F7380" s="3">
        <v>39142</v>
      </c>
      <c r="G7380" s="2"/>
      <c r="H7380" s="2"/>
      <c r="I7380" s="2"/>
      <c r="J7380" s="2" t="s">
        <v>13904</v>
      </c>
      <c r="K7380" s="2" t="s">
        <v>5657</v>
      </c>
      <c r="L7380" s="246" t="s">
        <v>22280</v>
      </c>
    </row>
    <row r="7381" spans="1:12" ht="84" customHeight="1" x14ac:dyDescent="0.3">
      <c r="A7381" s="2">
        <v>7377</v>
      </c>
      <c r="B7381" s="66" t="s">
        <v>8775</v>
      </c>
      <c r="C7381" s="66" t="s">
        <v>8779</v>
      </c>
      <c r="D7381" s="11">
        <v>16390</v>
      </c>
      <c r="E7381" s="11">
        <v>16390</v>
      </c>
      <c r="F7381" s="3">
        <v>39142</v>
      </c>
      <c r="G7381" s="2"/>
      <c r="H7381" s="2"/>
      <c r="I7381" s="2"/>
      <c r="J7381" s="2" t="s">
        <v>13904</v>
      </c>
      <c r="K7381" s="2" t="s">
        <v>5657</v>
      </c>
      <c r="L7381" s="246" t="s">
        <v>22280</v>
      </c>
    </row>
    <row r="7382" spans="1:12" ht="84" customHeight="1" x14ac:dyDescent="0.3">
      <c r="A7382" s="2">
        <v>7378</v>
      </c>
      <c r="B7382" s="66" t="s">
        <v>8775</v>
      </c>
      <c r="C7382" s="66" t="s">
        <v>8780</v>
      </c>
      <c r="D7382" s="11">
        <v>16390</v>
      </c>
      <c r="E7382" s="11">
        <v>16390</v>
      </c>
      <c r="F7382" s="3">
        <v>39447</v>
      </c>
      <c r="G7382" s="2"/>
      <c r="H7382" s="2"/>
      <c r="I7382" s="2"/>
      <c r="J7382" s="2" t="s">
        <v>13904</v>
      </c>
      <c r="K7382" s="2" t="s">
        <v>5657</v>
      </c>
      <c r="L7382" s="246" t="s">
        <v>22280</v>
      </c>
    </row>
    <row r="7383" spans="1:12" ht="84" customHeight="1" x14ac:dyDescent="0.3">
      <c r="A7383" s="2">
        <v>7379</v>
      </c>
      <c r="B7383" s="66" t="s">
        <v>8775</v>
      </c>
      <c r="C7383" s="66" t="s">
        <v>8781</v>
      </c>
      <c r="D7383" s="11">
        <v>16390</v>
      </c>
      <c r="E7383" s="11">
        <v>16390</v>
      </c>
      <c r="F7383" s="3">
        <v>39142</v>
      </c>
      <c r="G7383" s="2"/>
      <c r="H7383" s="2"/>
      <c r="I7383" s="2"/>
      <c r="J7383" s="2" t="s">
        <v>13904</v>
      </c>
      <c r="K7383" s="2" t="s">
        <v>5657</v>
      </c>
      <c r="L7383" s="246" t="s">
        <v>22280</v>
      </c>
    </row>
    <row r="7384" spans="1:12" ht="84" customHeight="1" x14ac:dyDescent="0.3">
      <c r="A7384" s="2">
        <v>7380</v>
      </c>
      <c r="B7384" s="66" t="s">
        <v>8782</v>
      </c>
      <c r="C7384" s="66" t="s">
        <v>8783</v>
      </c>
      <c r="D7384" s="11">
        <v>16390</v>
      </c>
      <c r="E7384" s="11">
        <v>16390</v>
      </c>
      <c r="F7384" s="3">
        <v>39142</v>
      </c>
      <c r="G7384" s="2"/>
      <c r="H7384" s="2"/>
      <c r="I7384" s="2"/>
      <c r="J7384" s="2" t="s">
        <v>13904</v>
      </c>
      <c r="K7384" s="2" t="s">
        <v>5657</v>
      </c>
      <c r="L7384" s="246" t="s">
        <v>22280</v>
      </c>
    </row>
    <row r="7385" spans="1:12" ht="84" customHeight="1" x14ac:dyDescent="0.3">
      <c r="A7385" s="2">
        <v>7381</v>
      </c>
      <c r="B7385" s="66" t="s">
        <v>8784</v>
      </c>
      <c r="C7385" s="66" t="s">
        <v>8785</v>
      </c>
      <c r="D7385" s="11">
        <v>16390</v>
      </c>
      <c r="E7385" s="11">
        <v>16390</v>
      </c>
      <c r="F7385" s="3">
        <v>39142</v>
      </c>
      <c r="G7385" s="2"/>
      <c r="H7385" s="2"/>
      <c r="I7385" s="2"/>
      <c r="J7385" s="2" t="s">
        <v>13904</v>
      </c>
      <c r="K7385" s="2" t="s">
        <v>5657</v>
      </c>
      <c r="L7385" s="246" t="s">
        <v>22280</v>
      </c>
    </row>
    <row r="7386" spans="1:12" ht="84" customHeight="1" x14ac:dyDescent="0.3">
      <c r="A7386" s="2">
        <v>7382</v>
      </c>
      <c r="B7386" s="66" t="s">
        <v>8784</v>
      </c>
      <c r="C7386" s="66" t="s">
        <v>8786</v>
      </c>
      <c r="D7386" s="11">
        <v>16390</v>
      </c>
      <c r="E7386" s="11">
        <v>16390</v>
      </c>
      <c r="F7386" s="3">
        <v>39142</v>
      </c>
      <c r="G7386" s="2"/>
      <c r="H7386" s="2"/>
      <c r="I7386" s="2"/>
      <c r="J7386" s="2" t="s">
        <v>13904</v>
      </c>
      <c r="K7386" s="2" t="s">
        <v>5657</v>
      </c>
      <c r="L7386" s="246" t="s">
        <v>22280</v>
      </c>
    </row>
    <row r="7387" spans="1:12" ht="84" customHeight="1" x14ac:dyDescent="0.3">
      <c r="A7387" s="2">
        <v>7383</v>
      </c>
      <c r="B7387" s="66" t="s">
        <v>8784</v>
      </c>
      <c r="C7387" s="66" t="s">
        <v>8787</v>
      </c>
      <c r="D7387" s="11">
        <v>16390</v>
      </c>
      <c r="E7387" s="11">
        <v>16390</v>
      </c>
      <c r="F7387" s="3">
        <v>39142</v>
      </c>
      <c r="G7387" s="2"/>
      <c r="H7387" s="2"/>
      <c r="I7387" s="2"/>
      <c r="J7387" s="2" t="s">
        <v>13904</v>
      </c>
      <c r="K7387" s="2" t="s">
        <v>5657</v>
      </c>
      <c r="L7387" s="246" t="s">
        <v>22280</v>
      </c>
    </row>
    <row r="7388" spans="1:12" ht="84" customHeight="1" x14ac:dyDescent="0.3">
      <c r="A7388" s="2">
        <v>7384</v>
      </c>
      <c r="B7388" s="66" t="s">
        <v>8784</v>
      </c>
      <c r="C7388" s="66" t="s">
        <v>8788</v>
      </c>
      <c r="D7388" s="11">
        <v>16390</v>
      </c>
      <c r="E7388" s="11">
        <v>16390</v>
      </c>
      <c r="F7388" s="3">
        <v>39142</v>
      </c>
      <c r="G7388" s="2"/>
      <c r="H7388" s="2"/>
      <c r="I7388" s="2"/>
      <c r="J7388" s="2" t="s">
        <v>13904</v>
      </c>
      <c r="K7388" s="2" t="s">
        <v>5657</v>
      </c>
      <c r="L7388" s="246" t="s">
        <v>22280</v>
      </c>
    </row>
    <row r="7389" spans="1:12" ht="84" customHeight="1" x14ac:dyDescent="0.3">
      <c r="A7389" s="2">
        <v>7385</v>
      </c>
      <c r="B7389" s="66" t="s">
        <v>8784</v>
      </c>
      <c r="C7389" s="66" t="s">
        <v>8789</v>
      </c>
      <c r="D7389" s="11">
        <v>16390</v>
      </c>
      <c r="E7389" s="11">
        <v>16390</v>
      </c>
      <c r="F7389" s="3">
        <v>39142</v>
      </c>
      <c r="G7389" s="2"/>
      <c r="H7389" s="2"/>
      <c r="I7389" s="2"/>
      <c r="J7389" s="2" t="s">
        <v>13904</v>
      </c>
      <c r="K7389" s="2" t="s">
        <v>5657</v>
      </c>
      <c r="L7389" s="246" t="s">
        <v>22280</v>
      </c>
    </row>
    <row r="7390" spans="1:12" ht="84" customHeight="1" x14ac:dyDescent="0.3">
      <c r="A7390" s="2">
        <v>7386</v>
      </c>
      <c r="B7390" s="66" t="s">
        <v>8784</v>
      </c>
      <c r="C7390" s="66" t="s">
        <v>8790</v>
      </c>
      <c r="D7390" s="11">
        <v>16390</v>
      </c>
      <c r="E7390" s="11">
        <v>16390</v>
      </c>
      <c r="F7390" s="3">
        <v>39142</v>
      </c>
      <c r="G7390" s="2"/>
      <c r="H7390" s="2"/>
      <c r="I7390" s="2"/>
      <c r="J7390" s="2" t="s">
        <v>13904</v>
      </c>
      <c r="K7390" s="2" t="s">
        <v>5657</v>
      </c>
      <c r="L7390" s="246" t="s">
        <v>22280</v>
      </c>
    </row>
    <row r="7391" spans="1:12" ht="84" customHeight="1" x14ac:dyDescent="0.3">
      <c r="A7391" s="2">
        <v>7387</v>
      </c>
      <c r="B7391" s="66" t="s">
        <v>8791</v>
      </c>
      <c r="C7391" s="66" t="s">
        <v>8792</v>
      </c>
      <c r="D7391" s="11">
        <v>16390</v>
      </c>
      <c r="E7391" s="11">
        <v>16390</v>
      </c>
      <c r="F7391" s="3">
        <v>39142</v>
      </c>
      <c r="G7391" s="2"/>
      <c r="H7391" s="2"/>
      <c r="I7391" s="2"/>
      <c r="J7391" s="2" t="s">
        <v>13904</v>
      </c>
      <c r="K7391" s="2" t="s">
        <v>5657</v>
      </c>
      <c r="L7391" s="246" t="s">
        <v>22280</v>
      </c>
    </row>
    <row r="7392" spans="1:12" ht="84" customHeight="1" x14ac:dyDescent="0.3">
      <c r="A7392" s="2">
        <v>7388</v>
      </c>
      <c r="B7392" s="66" t="s">
        <v>8793</v>
      </c>
      <c r="C7392" s="66" t="s">
        <v>8794</v>
      </c>
      <c r="D7392" s="11">
        <v>16390</v>
      </c>
      <c r="E7392" s="11">
        <v>16390</v>
      </c>
      <c r="F7392" s="3">
        <v>39142</v>
      </c>
      <c r="G7392" s="2"/>
      <c r="H7392" s="2"/>
      <c r="I7392" s="2"/>
      <c r="J7392" s="2" t="s">
        <v>13904</v>
      </c>
      <c r="K7392" s="2" t="s">
        <v>5657</v>
      </c>
      <c r="L7392" s="246" t="s">
        <v>22280</v>
      </c>
    </row>
    <row r="7393" spans="1:12" ht="84" customHeight="1" x14ac:dyDescent="0.3">
      <c r="A7393" s="2">
        <v>7389</v>
      </c>
      <c r="B7393" s="66" t="s">
        <v>8795</v>
      </c>
      <c r="C7393" s="66" t="s">
        <v>8796</v>
      </c>
      <c r="D7393" s="11">
        <v>29638.65</v>
      </c>
      <c r="E7393" s="11">
        <v>29638.65</v>
      </c>
      <c r="F7393" s="3">
        <v>39052</v>
      </c>
      <c r="G7393" s="2"/>
      <c r="H7393" s="2"/>
      <c r="I7393" s="2"/>
      <c r="J7393" s="2" t="s">
        <v>13904</v>
      </c>
      <c r="K7393" s="2" t="s">
        <v>5657</v>
      </c>
      <c r="L7393" s="246" t="s">
        <v>22280</v>
      </c>
    </row>
    <row r="7394" spans="1:12" ht="84" customHeight="1" x14ac:dyDescent="0.3">
      <c r="A7394" s="2">
        <v>7390</v>
      </c>
      <c r="B7394" s="66" t="s">
        <v>8797</v>
      </c>
      <c r="C7394" s="66" t="s">
        <v>8798</v>
      </c>
      <c r="D7394" s="11">
        <v>9914.39</v>
      </c>
      <c r="E7394" s="11">
        <v>9914.39</v>
      </c>
      <c r="F7394" s="3">
        <v>39052</v>
      </c>
      <c r="G7394" s="2"/>
      <c r="H7394" s="2"/>
      <c r="I7394" s="2"/>
      <c r="J7394" s="2" t="s">
        <v>13904</v>
      </c>
      <c r="K7394" s="2" t="s">
        <v>5657</v>
      </c>
      <c r="L7394" s="246" t="s">
        <v>22280</v>
      </c>
    </row>
    <row r="7395" spans="1:12" ht="84" customHeight="1" x14ac:dyDescent="0.3">
      <c r="A7395" s="2">
        <v>7391</v>
      </c>
      <c r="B7395" s="66" t="s">
        <v>8799</v>
      </c>
      <c r="C7395" s="66" t="s">
        <v>8800</v>
      </c>
      <c r="D7395" s="11">
        <v>16390</v>
      </c>
      <c r="E7395" s="11">
        <v>16390</v>
      </c>
      <c r="F7395" s="3">
        <v>39142</v>
      </c>
      <c r="G7395" s="2"/>
      <c r="H7395" s="2"/>
      <c r="I7395" s="2"/>
      <c r="J7395" s="2" t="s">
        <v>13904</v>
      </c>
      <c r="K7395" s="2" t="s">
        <v>5657</v>
      </c>
      <c r="L7395" s="246" t="s">
        <v>22280</v>
      </c>
    </row>
    <row r="7396" spans="1:12" ht="84" customHeight="1" x14ac:dyDescent="0.3">
      <c r="A7396" s="2">
        <v>7392</v>
      </c>
      <c r="B7396" s="66" t="s">
        <v>8801</v>
      </c>
      <c r="C7396" s="66" t="s">
        <v>8802</v>
      </c>
      <c r="D7396" s="11">
        <v>25117.5</v>
      </c>
      <c r="E7396" s="11">
        <v>25117.5</v>
      </c>
      <c r="F7396" s="3">
        <v>39052</v>
      </c>
      <c r="G7396" s="2"/>
      <c r="H7396" s="2"/>
      <c r="I7396" s="2"/>
      <c r="J7396" s="2" t="s">
        <v>13904</v>
      </c>
      <c r="K7396" s="2" t="s">
        <v>5657</v>
      </c>
      <c r="L7396" s="246" t="s">
        <v>22280</v>
      </c>
    </row>
    <row r="7397" spans="1:12" ht="84" customHeight="1" x14ac:dyDescent="0.3">
      <c r="A7397" s="2">
        <v>7393</v>
      </c>
      <c r="B7397" s="66" t="s">
        <v>8803</v>
      </c>
      <c r="C7397" s="66" t="s">
        <v>8804</v>
      </c>
      <c r="D7397" s="11">
        <v>25117.5</v>
      </c>
      <c r="E7397" s="11">
        <v>25117.5</v>
      </c>
      <c r="F7397" s="3">
        <v>39052</v>
      </c>
      <c r="G7397" s="2"/>
      <c r="H7397" s="2"/>
      <c r="I7397" s="2"/>
      <c r="J7397" s="2" t="s">
        <v>13904</v>
      </c>
      <c r="K7397" s="2" t="s">
        <v>5657</v>
      </c>
      <c r="L7397" s="246" t="s">
        <v>22280</v>
      </c>
    </row>
    <row r="7398" spans="1:12" ht="84" customHeight="1" x14ac:dyDescent="0.3">
      <c r="A7398" s="2">
        <v>7394</v>
      </c>
      <c r="B7398" s="66" t="s">
        <v>8805</v>
      </c>
      <c r="C7398" s="66" t="s">
        <v>8806</v>
      </c>
      <c r="D7398" s="11">
        <v>25117.5</v>
      </c>
      <c r="E7398" s="11">
        <v>25117.5</v>
      </c>
      <c r="F7398" s="3">
        <v>39052</v>
      </c>
      <c r="G7398" s="2"/>
      <c r="H7398" s="2"/>
      <c r="I7398" s="2"/>
      <c r="J7398" s="2" t="s">
        <v>13904</v>
      </c>
      <c r="K7398" s="2" t="s">
        <v>5657</v>
      </c>
      <c r="L7398" s="246" t="s">
        <v>22280</v>
      </c>
    </row>
    <row r="7399" spans="1:12" ht="84" customHeight="1" x14ac:dyDescent="0.3">
      <c r="A7399" s="2">
        <v>7395</v>
      </c>
      <c r="B7399" s="66" t="s">
        <v>8805</v>
      </c>
      <c r="C7399" s="66" t="s">
        <v>8807</v>
      </c>
      <c r="D7399" s="11">
        <v>25117.5</v>
      </c>
      <c r="E7399" s="11">
        <v>25117.5</v>
      </c>
      <c r="F7399" s="3">
        <v>39052</v>
      </c>
      <c r="G7399" s="2"/>
      <c r="H7399" s="2"/>
      <c r="I7399" s="2"/>
      <c r="J7399" s="2" t="s">
        <v>13904</v>
      </c>
      <c r="K7399" s="2" t="s">
        <v>5657</v>
      </c>
      <c r="L7399" s="246" t="s">
        <v>22280</v>
      </c>
    </row>
    <row r="7400" spans="1:12" ht="84" customHeight="1" x14ac:dyDescent="0.3">
      <c r="A7400" s="2">
        <v>7396</v>
      </c>
      <c r="B7400" s="66" t="s">
        <v>8805</v>
      </c>
      <c r="C7400" s="66" t="s">
        <v>8808</v>
      </c>
      <c r="D7400" s="11">
        <v>25117.5</v>
      </c>
      <c r="E7400" s="11">
        <v>25117.5</v>
      </c>
      <c r="F7400" s="3">
        <v>39052</v>
      </c>
      <c r="G7400" s="2"/>
      <c r="H7400" s="2"/>
      <c r="I7400" s="2"/>
      <c r="J7400" s="2" t="s">
        <v>13904</v>
      </c>
      <c r="K7400" s="2" t="s">
        <v>5657</v>
      </c>
      <c r="L7400" s="246" t="s">
        <v>22280</v>
      </c>
    </row>
    <row r="7401" spans="1:12" ht="84" customHeight="1" x14ac:dyDescent="0.3">
      <c r="A7401" s="2">
        <v>7397</v>
      </c>
      <c r="B7401" s="66" t="s">
        <v>8805</v>
      </c>
      <c r="C7401" s="66" t="s">
        <v>8809</v>
      </c>
      <c r="D7401" s="11">
        <v>25117.5</v>
      </c>
      <c r="E7401" s="11">
        <v>25117.5</v>
      </c>
      <c r="F7401" s="3">
        <v>39052</v>
      </c>
      <c r="G7401" s="2"/>
      <c r="H7401" s="2"/>
      <c r="I7401" s="2"/>
      <c r="J7401" s="2" t="s">
        <v>13904</v>
      </c>
      <c r="K7401" s="2" t="s">
        <v>5657</v>
      </c>
      <c r="L7401" s="246" t="s">
        <v>22280</v>
      </c>
    </row>
    <row r="7402" spans="1:12" ht="84" customHeight="1" x14ac:dyDescent="0.3">
      <c r="A7402" s="2">
        <v>7398</v>
      </c>
      <c r="B7402" s="66" t="s">
        <v>8805</v>
      </c>
      <c r="C7402" s="66" t="s">
        <v>8810</v>
      </c>
      <c r="D7402" s="11">
        <v>25117.5</v>
      </c>
      <c r="E7402" s="11">
        <v>25117.5</v>
      </c>
      <c r="F7402" s="3">
        <v>39052</v>
      </c>
      <c r="G7402" s="2"/>
      <c r="H7402" s="2"/>
      <c r="I7402" s="2"/>
      <c r="J7402" s="2" t="s">
        <v>13904</v>
      </c>
      <c r="K7402" s="2" t="s">
        <v>5657</v>
      </c>
      <c r="L7402" s="246" t="s">
        <v>22280</v>
      </c>
    </row>
    <row r="7403" spans="1:12" ht="84" customHeight="1" x14ac:dyDescent="0.3">
      <c r="A7403" s="2">
        <v>7399</v>
      </c>
      <c r="B7403" s="66" t="s">
        <v>8805</v>
      </c>
      <c r="C7403" s="66" t="s">
        <v>8811</v>
      </c>
      <c r="D7403" s="11">
        <v>25117.5</v>
      </c>
      <c r="E7403" s="11">
        <v>25117.5</v>
      </c>
      <c r="F7403" s="3">
        <v>39052</v>
      </c>
      <c r="G7403" s="2"/>
      <c r="H7403" s="2"/>
      <c r="I7403" s="2"/>
      <c r="J7403" s="2" t="s">
        <v>13904</v>
      </c>
      <c r="K7403" s="2" t="s">
        <v>5657</v>
      </c>
      <c r="L7403" s="246" t="s">
        <v>22280</v>
      </c>
    </row>
    <row r="7404" spans="1:12" ht="84" customHeight="1" x14ac:dyDescent="0.3">
      <c r="A7404" s="2">
        <v>7400</v>
      </c>
      <c r="B7404" s="66" t="s">
        <v>8805</v>
      </c>
      <c r="C7404" s="66" t="s">
        <v>8812</v>
      </c>
      <c r="D7404" s="11">
        <v>25117.5</v>
      </c>
      <c r="E7404" s="11">
        <v>25117.5</v>
      </c>
      <c r="F7404" s="3">
        <v>39052</v>
      </c>
      <c r="G7404" s="2"/>
      <c r="H7404" s="2"/>
      <c r="I7404" s="2"/>
      <c r="J7404" s="2" t="s">
        <v>13904</v>
      </c>
      <c r="K7404" s="2" t="s">
        <v>5657</v>
      </c>
      <c r="L7404" s="246" t="s">
        <v>22280</v>
      </c>
    </row>
    <row r="7405" spans="1:12" ht="84" customHeight="1" x14ac:dyDescent="0.3">
      <c r="A7405" s="2">
        <v>7401</v>
      </c>
      <c r="B7405" s="66" t="s">
        <v>8805</v>
      </c>
      <c r="C7405" s="66" t="s">
        <v>8813</v>
      </c>
      <c r="D7405" s="11">
        <v>25117.5</v>
      </c>
      <c r="E7405" s="11">
        <v>25117.5</v>
      </c>
      <c r="F7405" s="3">
        <v>39052</v>
      </c>
      <c r="G7405" s="2"/>
      <c r="H7405" s="2"/>
      <c r="I7405" s="2"/>
      <c r="J7405" s="2" t="s">
        <v>13904</v>
      </c>
      <c r="K7405" s="2" t="s">
        <v>5657</v>
      </c>
      <c r="L7405" s="246" t="s">
        <v>22280</v>
      </c>
    </row>
    <row r="7406" spans="1:12" ht="84" customHeight="1" x14ac:dyDescent="0.3">
      <c r="A7406" s="2">
        <v>7402</v>
      </c>
      <c r="B7406" s="66" t="s">
        <v>8805</v>
      </c>
      <c r="C7406" s="66" t="s">
        <v>8814</v>
      </c>
      <c r="D7406" s="11">
        <v>25117.5</v>
      </c>
      <c r="E7406" s="11">
        <v>25117.5</v>
      </c>
      <c r="F7406" s="3">
        <v>39052</v>
      </c>
      <c r="G7406" s="2"/>
      <c r="H7406" s="2"/>
      <c r="I7406" s="2"/>
      <c r="J7406" s="2" t="s">
        <v>13904</v>
      </c>
      <c r="K7406" s="2" t="s">
        <v>5657</v>
      </c>
      <c r="L7406" s="246" t="s">
        <v>22280</v>
      </c>
    </row>
    <row r="7407" spans="1:12" ht="84" customHeight="1" x14ac:dyDescent="0.3">
      <c r="A7407" s="2">
        <v>7403</v>
      </c>
      <c r="B7407" s="66" t="s">
        <v>8805</v>
      </c>
      <c r="C7407" s="66" t="s">
        <v>8815</v>
      </c>
      <c r="D7407" s="11">
        <v>25117.5</v>
      </c>
      <c r="E7407" s="11">
        <v>25117.5</v>
      </c>
      <c r="F7407" s="3">
        <v>39052</v>
      </c>
      <c r="G7407" s="2"/>
      <c r="H7407" s="2"/>
      <c r="I7407" s="2"/>
      <c r="J7407" s="2" t="s">
        <v>13904</v>
      </c>
      <c r="K7407" s="2" t="s">
        <v>5657</v>
      </c>
      <c r="L7407" s="246" t="s">
        <v>22280</v>
      </c>
    </row>
    <row r="7408" spans="1:12" ht="84" customHeight="1" x14ac:dyDescent="0.3">
      <c r="A7408" s="2">
        <v>7404</v>
      </c>
      <c r="B7408" s="66" t="s">
        <v>8805</v>
      </c>
      <c r="C7408" s="66" t="s">
        <v>8816</v>
      </c>
      <c r="D7408" s="11">
        <v>25117.5</v>
      </c>
      <c r="E7408" s="11">
        <v>25117.5</v>
      </c>
      <c r="F7408" s="3">
        <v>39052</v>
      </c>
      <c r="G7408" s="2"/>
      <c r="H7408" s="2"/>
      <c r="I7408" s="2"/>
      <c r="J7408" s="2" t="s">
        <v>13904</v>
      </c>
      <c r="K7408" s="2" t="s">
        <v>5657</v>
      </c>
      <c r="L7408" s="246" t="s">
        <v>22280</v>
      </c>
    </row>
    <row r="7409" spans="1:12" ht="84" customHeight="1" x14ac:dyDescent="0.3">
      <c r="A7409" s="2">
        <v>7405</v>
      </c>
      <c r="B7409" s="66" t="s">
        <v>8805</v>
      </c>
      <c r="C7409" s="66" t="s">
        <v>8817</v>
      </c>
      <c r="D7409" s="11">
        <v>25117.5</v>
      </c>
      <c r="E7409" s="11">
        <v>25117.5</v>
      </c>
      <c r="F7409" s="3">
        <v>39052</v>
      </c>
      <c r="G7409" s="2"/>
      <c r="H7409" s="2"/>
      <c r="I7409" s="2"/>
      <c r="J7409" s="2" t="s">
        <v>13904</v>
      </c>
      <c r="K7409" s="2" t="s">
        <v>5657</v>
      </c>
      <c r="L7409" s="246" t="s">
        <v>22280</v>
      </c>
    </row>
    <row r="7410" spans="1:12" ht="84" customHeight="1" x14ac:dyDescent="0.3">
      <c r="A7410" s="2">
        <v>7406</v>
      </c>
      <c r="B7410" s="66" t="s">
        <v>8805</v>
      </c>
      <c r="C7410" s="66" t="s">
        <v>8818</v>
      </c>
      <c r="D7410" s="11">
        <v>25117.5</v>
      </c>
      <c r="E7410" s="11">
        <v>25117.5</v>
      </c>
      <c r="F7410" s="3">
        <v>39052</v>
      </c>
      <c r="G7410" s="2"/>
      <c r="H7410" s="2"/>
      <c r="I7410" s="2"/>
      <c r="J7410" s="2" t="s">
        <v>13904</v>
      </c>
      <c r="K7410" s="2" t="s">
        <v>5657</v>
      </c>
      <c r="L7410" s="246" t="s">
        <v>22280</v>
      </c>
    </row>
    <row r="7411" spans="1:12" ht="84" customHeight="1" x14ac:dyDescent="0.3">
      <c r="A7411" s="2">
        <v>7407</v>
      </c>
      <c r="B7411" s="66" t="s">
        <v>8805</v>
      </c>
      <c r="C7411" s="66" t="s">
        <v>8819</v>
      </c>
      <c r="D7411" s="11">
        <v>25117.5</v>
      </c>
      <c r="E7411" s="11">
        <v>25117.5</v>
      </c>
      <c r="F7411" s="3">
        <v>39052</v>
      </c>
      <c r="G7411" s="2"/>
      <c r="H7411" s="2"/>
      <c r="I7411" s="2"/>
      <c r="J7411" s="2" t="s">
        <v>13904</v>
      </c>
      <c r="K7411" s="2" t="s">
        <v>5657</v>
      </c>
      <c r="L7411" s="246" t="s">
        <v>22280</v>
      </c>
    </row>
    <row r="7412" spans="1:12" ht="84" customHeight="1" x14ac:dyDescent="0.3">
      <c r="A7412" s="2">
        <v>7408</v>
      </c>
      <c r="B7412" s="66" t="s">
        <v>8805</v>
      </c>
      <c r="C7412" s="66" t="s">
        <v>8820</v>
      </c>
      <c r="D7412" s="11">
        <v>25117.5</v>
      </c>
      <c r="E7412" s="11">
        <v>25117.5</v>
      </c>
      <c r="F7412" s="3">
        <v>39052</v>
      </c>
      <c r="G7412" s="2"/>
      <c r="H7412" s="2"/>
      <c r="I7412" s="2"/>
      <c r="J7412" s="2" t="s">
        <v>13904</v>
      </c>
      <c r="K7412" s="2" t="s">
        <v>5657</v>
      </c>
      <c r="L7412" s="246" t="s">
        <v>22280</v>
      </c>
    </row>
    <row r="7413" spans="1:12" ht="84" customHeight="1" x14ac:dyDescent="0.3">
      <c r="A7413" s="2">
        <v>7409</v>
      </c>
      <c r="B7413" s="66" t="s">
        <v>8805</v>
      </c>
      <c r="C7413" s="66" t="s">
        <v>8821</v>
      </c>
      <c r="D7413" s="11">
        <v>25117.5</v>
      </c>
      <c r="E7413" s="11">
        <v>25117.5</v>
      </c>
      <c r="F7413" s="3">
        <v>39052</v>
      </c>
      <c r="G7413" s="2"/>
      <c r="H7413" s="2"/>
      <c r="I7413" s="2"/>
      <c r="J7413" s="2" t="s">
        <v>13904</v>
      </c>
      <c r="K7413" s="2" t="s">
        <v>5657</v>
      </c>
      <c r="L7413" s="246" t="s">
        <v>22280</v>
      </c>
    </row>
    <row r="7414" spans="1:12" ht="84" customHeight="1" x14ac:dyDescent="0.3">
      <c r="A7414" s="2">
        <v>7410</v>
      </c>
      <c r="B7414" s="66" t="s">
        <v>8805</v>
      </c>
      <c r="C7414" s="66" t="s">
        <v>8822</v>
      </c>
      <c r="D7414" s="11">
        <v>25117.5</v>
      </c>
      <c r="E7414" s="11">
        <v>25117.5</v>
      </c>
      <c r="F7414" s="3">
        <v>39052</v>
      </c>
      <c r="G7414" s="2"/>
      <c r="H7414" s="2"/>
      <c r="I7414" s="2"/>
      <c r="J7414" s="2" t="s">
        <v>13904</v>
      </c>
      <c r="K7414" s="2" t="s">
        <v>5657</v>
      </c>
      <c r="L7414" s="246" t="s">
        <v>22280</v>
      </c>
    </row>
    <row r="7415" spans="1:12" ht="84" customHeight="1" x14ac:dyDescent="0.3">
      <c r="A7415" s="2">
        <v>7411</v>
      </c>
      <c r="B7415" s="66" t="s">
        <v>8805</v>
      </c>
      <c r="C7415" s="66" t="s">
        <v>8823</v>
      </c>
      <c r="D7415" s="11">
        <v>25117.5</v>
      </c>
      <c r="E7415" s="11">
        <v>25117.5</v>
      </c>
      <c r="F7415" s="3">
        <v>39052</v>
      </c>
      <c r="G7415" s="2"/>
      <c r="H7415" s="2"/>
      <c r="I7415" s="2"/>
      <c r="J7415" s="2" t="s">
        <v>13904</v>
      </c>
      <c r="K7415" s="2" t="s">
        <v>5657</v>
      </c>
      <c r="L7415" s="246" t="s">
        <v>22280</v>
      </c>
    </row>
    <row r="7416" spans="1:12" ht="84" customHeight="1" x14ac:dyDescent="0.3">
      <c r="A7416" s="2">
        <v>7412</v>
      </c>
      <c r="B7416" s="66" t="s">
        <v>8805</v>
      </c>
      <c r="C7416" s="66" t="s">
        <v>8824</v>
      </c>
      <c r="D7416" s="11">
        <v>25117.5</v>
      </c>
      <c r="E7416" s="11">
        <v>25117.5</v>
      </c>
      <c r="F7416" s="3">
        <v>39052</v>
      </c>
      <c r="G7416" s="2"/>
      <c r="H7416" s="2"/>
      <c r="I7416" s="2"/>
      <c r="J7416" s="2" t="s">
        <v>13904</v>
      </c>
      <c r="K7416" s="2" t="s">
        <v>5657</v>
      </c>
      <c r="L7416" s="246" t="s">
        <v>22280</v>
      </c>
    </row>
    <row r="7417" spans="1:12" ht="84" customHeight="1" x14ac:dyDescent="0.3">
      <c r="A7417" s="2">
        <v>7413</v>
      </c>
      <c r="B7417" s="66" t="s">
        <v>8805</v>
      </c>
      <c r="C7417" s="66" t="s">
        <v>8825</v>
      </c>
      <c r="D7417" s="11">
        <v>25117.5</v>
      </c>
      <c r="E7417" s="11">
        <v>25117.5</v>
      </c>
      <c r="F7417" s="3">
        <v>39052</v>
      </c>
      <c r="G7417" s="2"/>
      <c r="H7417" s="2"/>
      <c r="I7417" s="2"/>
      <c r="J7417" s="2" t="s">
        <v>13904</v>
      </c>
      <c r="K7417" s="2" t="s">
        <v>5657</v>
      </c>
      <c r="L7417" s="246" t="s">
        <v>22280</v>
      </c>
    </row>
    <row r="7418" spans="1:12" ht="84" customHeight="1" x14ac:dyDescent="0.3">
      <c r="A7418" s="2">
        <v>7414</v>
      </c>
      <c r="B7418" s="66" t="s">
        <v>8805</v>
      </c>
      <c r="C7418" s="66" t="s">
        <v>8826</v>
      </c>
      <c r="D7418" s="11">
        <v>25117.5</v>
      </c>
      <c r="E7418" s="11">
        <v>25117.5</v>
      </c>
      <c r="F7418" s="3">
        <v>39052</v>
      </c>
      <c r="G7418" s="2"/>
      <c r="H7418" s="2"/>
      <c r="I7418" s="2"/>
      <c r="J7418" s="2" t="s">
        <v>13904</v>
      </c>
      <c r="K7418" s="2" t="s">
        <v>5657</v>
      </c>
      <c r="L7418" s="246" t="s">
        <v>22280</v>
      </c>
    </row>
    <row r="7419" spans="1:12" ht="84" customHeight="1" x14ac:dyDescent="0.3">
      <c r="A7419" s="2">
        <v>7415</v>
      </c>
      <c r="B7419" s="66" t="s">
        <v>8805</v>
      </c>
      <c r="C7419" s="66" t="s">
        <v>8827</v>
      </c>
      <c r="D7419" s="11">
        <v>25117.5</v>
      </c>
      <c r="E7419" s="11">
        <v>25117.5</v>
      </c>
      <c r="F7419" s="3">
        <v>39052</v>
      </c>
      <c r="G7419" s="2"/>
      <c r="H7419" s="2"/>
      <c r="I7419" s="2"/>
      <c r="J7419" s="2" t="s">
        <v>13904</v>
      </c>
      <c r="K7419" s="2" t="s">
        <v>5657</v>
      </c>
      <c r="L7419" s="246" t="s">
        <v>22280</v>
      </c>
    </row>
    <row r="7420" spans="1:12" ht="84" customHeight="1" x14ac:dyDescent="0.3">
      <c r="A7420" s="2">
        <v>7416</v>
      </c>
      <c r="B7420" s="66" t="s">
        <v>8805</v>
      </c>
      <c r="C7420" s="66" t="s">
        <v>8828</v>
      </c>
      <c r="D7420" s="11">
        <v>25117.5</v>
      </c>
      <c r="E7420" s="11">
        <v>25117.5</v>
      </c>
      <c r="F7420" s="3">
        <v>39052</v>
      </c>
      <c r="G7420" s="2"/>
      <c r="H7420" s="2"/>
      <c r="I7420" s="2"/>
      <c r="J7420" s="2" t="s">
        <v>13904</v>
      </c>
      <c r="K7420" s="2" t="s">
        <v>5657</v>
      </c>
      <c r="L7420" s="246" t="s">
        <v>22280</v>
      </c>
    </row>
    <row r="7421" spans="1:12" ht="84" customHeight="1" x14ac:dyDescent="0.3">
      <c r="A7421" s="2">
        <v>7417</v>
      </c>
      <c r="B7421" s="66" t="s">
        <v>8805</v>
      </c>
      <c r="C7421" s="66" t="s">
        <v>8829</v>
      </c>
      <c r="D7421" s="11">
        <v>25117.5</v>
      </c>
      <c r="E7421" s="11">
        <v>25117.5</v>
      </c>
      <c r="F7421" s="3">
        <v>39052</v>
      </c>
      <c r="G7421" s="2"/>
      <c r="H7421" s="2"/>
      <c r="I7421" s="2"/>
      <c r="J7421" s="2" t="s">
        <v>13904</v>
      </c>
      <c r="K7421" s="2" t="s">
        <v>5657</v>
      </c>
      <c r="L7421" s="246" t="s">
        <v>22280</v>
      </c>
    </row>
    <row r="7422" spans="1:12" ht="84" customHeight="1" x14ac:dyDescent="0.3">
      <c r="A7422" s="2">
        <v>7418</v>
      </c>
      <c r="B7422" s="66" t="s">
        <v>8805</v>
      </c>
      <c r="C7422" s="66" t="s">
        <v>8830</v>
      </c>
      <c r="D7422" s="11">
        <v>25117.5</v>
      </c>
      <c r="E7422" s="11">
        <v>25117.5</v>
      </c>
      <c r="F7422" s="3">
        <v>39052</v>
      </c>
      <c r="G7422" s="2"/>
      <c r="H7422" s="2"/>
      <c r="I7422" s="2"/>
      <c r="J7422" s="2" t="s">
        <v>13904</v>
      </c>
      <c r="K7422" s="2" t="s">
        <v>5657</v>
      </c>
      <c r="L7422" s="246" t="s">
        <v>22280</v>
      </c>
    </row>
    <row r="7423" spans="1:12" ht="84" customHeight="1" x14ac:dyDescent="0.3">
      <c r="A7423" s="2">
        <v>7419</v>
      </c>
      <c r="B7423" s="66" t="s">
        <v>8805</v>
      </c>
      <c r="C7423" s="66" t="s">
        <v>8831</v>
      </c>
      <c r="D7423" s="11">
        <v>25117.5</v>
      </c>
      <c r="E7423" s="11">
        <v>25117.5</v>
      </c>
      <c r="F7423" s="3">
        <v>39052</v>
      </c>
      <c r="G7423" s="2"/>
      <c r="H7423" s="2"/>
      <c r="I7423" s="2"/>
      <c r="J7423" s="2" t="s">
        <v>13904</v>
      </c>
      <c r="K7423" s="2" t="s">
        <v>5657</v>
      </c>
      <c r="L7423" s="246" t="s">
        <v>22280</v>
      </c>
    </row>
    <row r="7424" spans="1:12" ht="84" customHeight="1" x14ac:dyDescent="0.3">
      <c r="A7424" s="2">
        <v>7420</v>
      </c>
      <c r="B7424" s="66" t="s">
        <v>8805</v>
      </c>
      <c r="C7424" s="66" t="s">
        <v>8832</v>
      </c>
      <c r="D7424" s="11">
        <v>25117.5</v>
      </c>
      <c r="E7424" s="11">
        <v>25117.5</v>
      </c>
      <c r="F7424" s="3">
        <v>39052</v>
      </c>
      <c r="G7424" s="2"/>
      <c r="H7424" s="2"/>
      <c r="I7424" s="2"/>
      <c r="J7424" s="2" t="s">
        <v>13904</v>
      </c>
      <c r="K7424" s="2" t="s">
        <v>5657</v>
      </c>
      <c r="L7424" s="246" t="s">
        <v>22280</v>
      </c>
    </row>
    <row r="7425" spans="1:12" ht="84" customHeight="1" x14ac:dyDescent="0.3">
      <c r="A7425" s="2">
        <v>7421</v>
      </c>
      <c r="B7425" s="66" t="s">
        <v>8805</v>
      </c>
      <c r="C7425" s="66" t="s">
        <v>8833</v>
      </c>
      <c r="D7425" s="11">
        <v>25117.5</v>
      </c>
      <c r="E7425" s="11">
        <v>25117.5</v>
      </c>
      <c r="F7425" s="3">
        <v>39052</v>
      </c>
      <c r="G7425" s="2"/>
      <c r="H7425" s="2"/>
      <c r="I7425" s="2"/>
      <c r="J7425" s="2" t="s">
        <v>13904</v>
      </c>
      <c r="K7425" s="2" t="s">
        <v>5657</v>
      </c>
      <c r="L7425" s="246" t="s">
        <v>22280</v>
      </c>
    </row>
    <row r="7426" spans="1:12" ht="84" customHeight="1" x14ac:dyDescent="0.3">
      <c r="A7426" s="2">
        <v>7422</v>
      </c>
      <c r="B7426" s="66" t="s">
        <v>8805</v>
      </c>
      <c r="C7426" s="66" t="s">
        <v>8834</v>
      </c>
      <c r="D7426" s="11">
        <v>25117.5</v>
      </c>
      <c r="E7426" s="11">
        <v>25117.5</v>
      </c>
      <c r="F7426" s="3">
        <v>39052</v>
      </c>
      <c r="G7426" s="2"/>
      <c r="H7426" s="2"/>
      <c r="I7426" s="2"/>
      <c r="J7426" s="2" t="s">
        <v>13904</v>
      </c>
      <c r="K7426" s="2" t="s">
        <v>5657</v>
      </c>
      <c r="L7426" s="246" t="s">
        <v>22280</v>
      </c>
    </row>
    <row r="7427" spans="1:12" ht="84" customHeight="1" x14ac:dyDescent="0.3">
      <c r="A7427" s="2">
        <v>7423</v>
      </c>
      <c r="B7427" s="66" t="s">
        <v>8805</v>
      </c>
      <c r="C7427" s="66" t="s">
        <v>8835</v>
      </c>
      <c r="D7427" s="11">
        <v>25117.5</v>
      </c>
      <c r="E7427" s="11">
        <v>25117.5</v>
      </c>
      <c r="F7427" s="3">
        <v>39052</v>
      </c>
      <c r="G7427" s="2"/>
      <c r="H7427" s="2"/>
      <c r="I7427" s="2"/>
      <c r="J7427" s="2" t="s">
        <v>13904</v>
      </c>
      <c r="K7427" s="2" t="s">
        <v>5657</v>
      </c>
      <c r="L7427" s="246" t="s">
        <v>22280</v>
      </c>
    </row>
    <row r="7428" spans="1:12" ht="84" customHeight="1" x14ac:dyDescent="0.3">
      <c r="A7428" s="2">
        <v>7424</v>
      </c>
      <c r="B7428" s="66" t="s">
        <v>8836</v>
      </c>
      <c r="C7428" s="66" t="s">
        <v>8837</v>
      </c>
      <c r="D7428" s="11">
        <v>25117.5</v>
      </c>
      <c r="E7428" s="11">
        <v>25117.5</v>
      </c>
      <c r="F7428" s="3">
        <v>39052</v>
      </c>
      <c r="G7428" s="2"/>
      <c r="H7428" s="2"/>
      <c r="I7428" s="2"/>
      <c r="J7428" s="2" t="s">
        <v>13904</v>
      </c>
      <c r="K7428" s="2" t="s">
        <v>5657</v>
      </c>
      <c r="L7428" s="246" t="s">
        <v>22280</v>
      </c>
    </row>
    <row r="7429" spans="1:12" ht="84" customHeight="1" x14ac:dyDescent="0.3">
      <c r="A7429" s="2">
        <v>7425</v>
      </c>
      <c r="B7429" s="66" t="s">
        <v>8838</v>
      </c>
      <c r="C7429" s="66" t="s">
        <v>8839</v>
      </c>
      <c r="D7429" s="11">
        <v>3315</v>
      </c>
      <c r="E7429" s="11">
        <v>3315</v>
      </c>
      <c r="F7429" s="3">
        <v>39052</v>
      </c>
      <c r="G7429" s="2"/>
      <c r="H7429" s="2"/>
      <c r="I7429" s="2"/>
      <c r="J7429" s="2" t="s">
        <v>13904</v>
      </c>
      <c r="K7429" s="2" t="s">
        <v>5657</v>
      </c>
      <c r="L7429" s="246" t="s">
        <v>22280</v>
      </c>
    </row>
    <row r="7430" spans="1:12" ht="84" customHeight="1" x14ac:dyDescent="0.3">
      <c r="A7430" s="2">
        <v>7426</v>
      </c>
      <c r="B7430" s="66" t="s">
        <v>8840</v>
      </c>
      <c r="C7430" s="66" t="s">
        <v>8841</v>
      </c>
      <c r="D7430" s="11">
        <v>22500</v>
      </c>
      <c r="E7430" s="11">
        <v>22500</v>
      </c>
      <c r="F7430" s="3">
        <v>39601</v>
      </c>
      <c r="G7430" s="2"/>
      <c r="H7430" s="2"/>
      <c r="I7430" s="2"/>
      <c r="J7430" s="2" t="s">
        <v>13904</v>
      </c>
      <c r="K7430" s="2" t="s">
        <v>5657</v>
      </c>
      <c r="L7430" s="246" t="s">
        <v>22280</v>
      </c>
    </row>
    <row r="7431" spans="1:12" ht="84" customHeight="1" x14ac:dyDescent="0.3">
      <c r="A7431" s="2">
        <v>7427</v>
      </c>
      <c r="B7431" s="66" t="s">
        <v>8840</v>
      </c>
      <c r="C7431" s="66" t="s">
        <v>8842</v>
      </c>
      <c r="D7431" s="11">
        <v>22500</v>
      </c>
      <c r="E7431" s="11">
        <v>22500</v>
      </c>
      <c r="F7431" s="3">
        <v>39601</v>
      </c>
      <c r="G7431" s="2"/>
      <c r="H7431" s="2"/>
      <c r="I7431" s="2"/>
      <c r="J7431" s="2" t="s">
        <v>13904</v>
      </c>
      <c r="K7431" s="2" t="s">
        <v>5657</v>
      </c>
      <c r="L7431" s="246" t="s">
        <v>22280</v>
      </c>
    </row>
    <row r="7432" spans="1:12" ht="84" customHeight="1" x14ac:dyDescent="0.3">
      <c r="A7432" s="2">
        <v>7428</v>
      </c>
      <c r="B7432" s="66" t="s">
        <v>8840</v>
      </c>
      <c r="C7432" s="66" t="s">
        <v>8843</v>
      </c>
      <c r="D7432" s="11">
        <v>22500</v>
      </c>
      <c r="E7432" s="11">
        <v>22500</v>
      </c>
      <c r="F7432" s="3">
        <v>39601</v>
      </c>
      <c r="G7432" s="2"/>
      <c r="H7432" s="2"/>
      <c r="I7432" s="2"/>
      <c r="J7432" s="2" t="s">
        <v>13904</v>
      </c>
      <c r="K7432" s="2" t="s">
        <v>5657</v>
      </c>
      <c r="L7432" s="246" t="s">
        <v>22280</v>
      </c>
    </row>
    <row r="7433" spans="1:12" ht="84" customHeight="1" x14ac:dyDescent="0.3">
      <c r="A7433" s="2">
        <v>7429</v>
      </c>
      <c r="B7433" s="66" t="s">
        <v>8844</v>
      </c>
      <c r="C7433" s="66" t="s">
        <v>8845</v>
      </c>
      <c r="D7433" s="11">
        <v>22500</v>
      </c>
      <c r="E7433" s="11">
        <v>22500</v>
      </c>
      <c r="F7433" s="3">
        <v>39601</v>
      </c>
      <c r="G7433" s="2"/>
      <c r="H7433" s="2"/>
      <c r="I7433" s="2"/>
      <c r="J7433" s="2" t="s">
        <v>13904</v>
      </c>
      <c r="K7433" s="2" t="s">
        <v>5657</v>
      </c>
      <c r="L7433" s="246" t="s">
        <v>22280</v>
      </c>
    </row>
    <row r="7434" spans="1:12" ht="84" customHeight="1" x14ac:dyDescent="0.3">
      <c r="A7434" s="2">
        <v>7430</v>
      </c>
      <c r="B7434" s="66" t="s">
        <v>8846</v>
      </c>
      <c r="C7434" s="66" t="s">
        <v>8847</v>
      </c>
      <c r="D7434" s="11">
        <v>4200</v>
      </c>
      <c r="E7434" s="11">
        <v>4200</v>
      </c>
      <c r="F7434" s="3">
        <v>39142</v>
      </c>
      <c r="G7434" s="2"/>
      <c r="H7434" s="2"/>
      <c r="I7434" s="2"/>
      <c r="J7434" s="2" t="s">
        <v>13904</v>
      </c>
      <c r="K7434" s="2" t="s">
        <v>5657</v>
      </c>
      <c r="L7434" s="246" t="s">
        <v>22280</v>
      </c>
    </row>
    <row r="7435" spans="1:12" ht="84" customHeight="1" x14ac:dyDescent="0.3">
      <c r="A7435" s="2">
        <v>7431</v>
      </c>
      <c r="B7435" s="66" t="s">
        <v>8848</v>
      </c>
      <c r="C7435" s="66" t="s">
        <v>8849</v>
      </c>
      <c r="D7435" s="11">
        <v>3945</v>
      </c>
      <c r="E7435" s="11">
        <v>3945</v>
      </c>
      <c r="F7435" s="3">
        <v>39142</v>
      </c>
      <c r="G7435" s="2"/>
      <c r="H7435" s="2"/>
      <c r="I7435" s="2"/>
      <c r="J7435" s="2" t="s">
        <v>13904</v>
      </c>
      <c r="K7435" s="2" t="s">
        <v>5657</v>
      </c>
      <c r="L7435" s="246" t="s">
        <v>22280</v>
      </c>
    </row>
    <row r="7436" spans="1:12" ht="84" customHeight="1" x14ac:dyDescent="0.3">
      <c r="A7436" s="2">
        <v>7432</v>
      </c>
      <c r="B7436" s="66" t="s">
        <v>8850</v>
      </c>
      <c r="C7436" s="66" t="s">
        <v>8851</v>
      </c>
      <c r="D7436" s="11">
        <v>4191.93</v>
      </c>
      <c r="E7436" s="11">
        <v>4191.93</v>
      </c>
      <c r="F7436" s="3">
        <v>37384</v>
      </c>
      <c r="G7436" s="2"/>
      <c r="H7436" s="2"/>
      <c r="I7436" s="2"/>
      <c r="J7436" s="2" t="s">
        <v>13904</v>
      </c>
      <c r="K7436" s="2" t="s">
        <v>5657</v>
      </c>
      <c r="L7436" s="246" t="s">
        <v>22280</v>
      </c>
    </row>
    <row r="7437" spans="1:12" ht="84" customHeight="1" x14ac:dyDescent="0.3">
      <c r="A7437" s="2">
        <v>7433</v>
      </c>
      <c r="B7437" s="66" t="s">
        <v>8852</v>
      </c>
      <c r="C7437" s="66" t="s">
        <v>8853</v>
      </c>
      <c r="D7437" s="11">
        <v>3051.24</v>
      </c>
      <c r="E7437" s="11">
        <v>3051.24</v>
      </c>
      <c r="F7437" s="3">
        <v>37049</v>
      </c>
      <c r="G7437" s="2"/>
      <c r="H7437" s="2"/>
      <c r="I7437" s="2"/>
      <c r="J7437" s="2" t="s">
        <v>13904</v>
      </c>
      <c r="K7437" s="2" t="s">
        <v>5657</v>
      </c>
      <c r="L7437" s="246" t="s">
        <v>22280</v>
      </c>
    </row>
    <row r="7438" spans="1:12" ht="84" customHeight="1" x14ac:dyDescent="0.3">
      <c r="A7438" s="2">
        <v>7434</v>
      </c>
      <c r="B7438" s="66" t="s">
        <v>8854</v>
      </c>
      <c r="C7438" s="66" t="s">
        <v>8855</v>
      </c>
      <c r="D7438" s="11">
        <v>4979.1099999999997</v>
      </c>
      <c r="E7438" s="11">
        <v>4979.1099999999997</v>
      </c>
      <c r="F7438" s="3">
        <v>39052</v>
      </c>
      <c r="G7438" s="2"/>
      <c r="H7438" s="2"/>
      <c r="I7438" s="2"/>
      <c r="J7438" s="2" t="s">
        <v>13904</v>
      </c>
      <c r="K7438" s="2" t="s">
        <v>5657</v>
      </c>
      <c r="L7438" s="246" t="s">
        <v>22280</v>
      </c>
    </row>
    <row r="7439" spans="1:12" ht="84" customHeight="1" x14ac:dyDescent="0.3">
      <c r="A7439" s="2">
        <v>7435</v>
      </c>
      <c r="B7439" s="66" t="s">
        <v>8856</v>
      </c>
      <c r="C7439" s="66" t="s">
        <v>8857</v>
      </c>
      <c r="D7439" s="11">
        <v>22127.52</v>
      </c>
      <c r="E7439" s="11">
        <v>22127.52</v>
      </c>
      <c r="F7439" s="3">
        <v>39052</v>
      </c>
      <c r="G7439" s="2"/>
      <c r="H7439" s="2"/>
      <c r="I7439" s="2"/>
      <c r="J7439" s="2" t="s">
        <v>13904</v>
      </c>
      <c r="K7439" s="2" t="s">
        <v>5657</v>
      </c>
      <c r="L7439" s="246" t="s">
        <v>22280</v>
      </c>
    </row>
    <row r="7440" spans="1:12" ht="84" customHeight="1" x14ac:dyDescent="0.3">
      <c r="A7440" s="2">
        <v>7436</v>
      </c>
      <c r="B7440" s="66" t="s">
        <v>8858</v>
      </c>
      <c r="C7440" s="66" t="s">
        <v>8859</v>
      </c>
      <c r="D7440" s="11">
        <v>28266.55</v>
      </c>
      <c r="E7440" s="11">
        <v>28266.55</v>
      </c>
      <c r="F7440" s="3">
        <v>39052</v>
      </c>
      <c r="G7440" s="2"/>
      <c r="H7440" s="2"/>
      <c r="I7440" s="2"/>
      <c r="J7440" s="2" t="s">
        <v>13904</v>
      </c>
      <c r="K7440" s="2" t="s">
        <v>5657</v>
      </c>
      <c r="L7440" s="246" t="s">
        <v>22280</v>
      </c>
    </row>
    <row r="7441" spans="1:12" ht="84" customHeight="1" x14ac:dyDescent="0.3">
      <c r="A7441" s="2">
        <v>7437</v>
      </c>
      <c r="B7441" s="66" t="s">
        <v>8860</v>
      </c>
      <c r="C7441" s="66" t="s">
        <v>8861</v>
      </c>
      <c r="D7441" s="11">
        <v>3284.4</v>
      </c>
      <c r="E7441" s="11">
        <v>3284.4</v>
      </c>
      <c r="F7441" s="3">
        <v>39052</v>
      </c>
      <c r="G7441" s="2"/>
      <c r="H7441" s="2"/>
      <c r="I7441" s="2"/>
      <c r="J7441" s="2" t="s">
        <v>13904</v>
      </c>
      <c r="K7441" s="2" t="s">
        <v>5657</v>
      </c>
      <c r="L7441" s="246" t="s">
        <v>22280</v>
      </c>
    </row>
    <row r="7442" spans="1:12" ht="84" customHeight="1" x14ac:dyDescent="0.3">
      <c r="A7442" s="2">
        <v>7438</v>
      </c>
      <c r="B7442" s="66" t="s">
        <v>8862</v>
      </c>
      <c r="C7442" s="66" t="s">
        <v>8863</v>
      </c>
      <c r="D7442" s="11">
        <v>3284.4</v>
      </c>
      <c r="E7442" s="11">
        <v>3284.4</v>
      </c>
      <c r="F7442" s="3">
        <v>39052</v>
      </c>
      <c r="G7442" s="2"/>
      <c r="H7442" s="2"/>
      <c r="I7442" s="2"/>
      <c r="J7442" s="2" t="s">
        <v>13904</v>
      </c>
      <c r="K7442" s="2" t="s">
        <v>5657</v>
      </c>
      <c r="L7442" s="246" t="s">
        <v>22280</v>
      </c>
    </row>
    <row r="7443" spans="1:12" ht="84" customHeight="1" x14ac:dyDescent="0.3">
      <c r="A7443" s="2">
        <v>7439</v>
      </c>
      <c r="B7443" s="66" t="s">
        <v>1953</v>
      </c>
      <c r="C7443" s="66" t="s">
        <v>8864</v>
      </c>
      <c r="D7443" s="11">
        <v>4141.2</v>
      </c>
      <c r="E7443" s="11">
        <v>4141.2</v>
      </c>
      <c r="F7443" s="3">
        <v>39052</v>
      </c>
      <c r="G7443" s="2"/>
      <c r="H7443" s="2"/>
      <c r="I7443" s="2"/>
      <c r="J7443" s="2" t="s">
        <v>13904</v>
      </c>
      <c r="K7443" s="2" t="s">
        <v>5657</v>
      </c>
      <c r="L7443" s="246" t="s">
        <v>22280</v>
      </c>
    </row>
    <row r="7444" spans="1:12" ht="84" customHeight="1" x14ac:dyDescent="0.3">
      <c r="A7444" s="2">
        <v>7440</v>
      </c>
      <c r="B7444" s="66" t="s">
        <v>8865</v>
      </c>
      <c r="C7444" s="66" t="s">
        <v>8866</v>
      </c>
      <c r="D7444" s="11">
        <v>5055.3100000000004</v>
      </c>
      <c r="E7444" s="11">
        <v>5055.3100000000004</v>
      </c>
      <c r="F7444" s="3">
        <v>39052</v>
      </c>
      <c r="G7444" s="2"/>
      <c r="H7444" s="2"/>
      <c r="I7444" s="2"/>
      <c r="J7444" s="2" t="s">
        <v>13904</v>
      </c>
      <c r="K7444" s="2" t="s">
        <v>5657</v>
      </c>
      <c r="L7444" s="246" t="s">
        <v>22280</v>
      </c>
    </row>
    <row r="7445" spans="1:12" ht="84" customHeight="1" x14ac:dyDescent="0.3">
      <c r="A7445" s="2">
        <v>7441</v>
      </c>
      <c r="B7445" s="66" t="s">
        <v>8867</v>
      </c>
      <c r="C7445" s="66" t="s">
        <v>8868</v>
      </c>
      <c r="D7445" s="11">
        <v>4141.2</v>
      </c>
      <c r="E7445" s="11">
        <v>4141.2</v>
      </c>
      <c r="F7445" s="3">
        <v>39057</v>
      </c>
      <c r="G7445" s="2"/>
      <c r="H7445" s="2"/>
      <c r="I7445" s="2"/>
      <c r="J7445" s="2" t="s">
        <v>13904</v>
      </c>
      <c r="K7445" s="2" t="s">
        <v>5657</v>
      </c>
      <c r="L7445" s="246" t="s">
        <v>22280</v>
      </c>
    </row>
    <row r="7446" spans="1:12" ht="84" customHeight="1" x14ac:dyDescent="0.3">
      <c r="A7446" s="2">
        <v>7442</v>
      </c>
      <c r="B7446" s="66" t="s">
        <v>8869</v>
      </c>
      <c r="C7446" s="66" t="s">
        <v>8870</v>
      </c>
      <c r="D7446" s="11">
        <v>3672</v>
      </c>
      <c r="E7446" s="11">
        <v>3672</v>
      </c>
      <c r="F7446" s="3">
        <v>39052</v>
      </c>
      <c r="G7446" s="2"/>
      <c r="H7446" s="2"/>
      <c r="I7446" s="2"/>
      <c r="J7446" s="2" t="s">
        <v>13904</v>
      </c>
      <c r="K7446" s="2" t="s">
        <v>5657</v>
      </c>
      <c r="L7446" s="246" t="s">
        <v>22280</v>
      </c>
    </row>
    <row r="7447" spans="1:12" ht="84" customHeight="1" x14ac:dyDescent="0.3">
      <c r="A7447" s="2">
        <v>7443</v>
      </c>
      <c r="B7447" s="66" t="s">
        <v>8869</v>
      </c>
      <c r="C7447" s="66" t="s">
        <v>8871</v>
      </c>
      <c r="D7447" s="11">
        <v>3672</v>
      </c>
      <c r="E7447" s="11">
        <v>3672</v>
      </c>
      <c r="F7447" s="3">
        <v>39052</v>
      </c>
      <c r="G7447" s="2"/>
      <c r="H7447" s="2"/>
      <c r="I7447" s="2"/>
      <c r="J7447" s="2" t="s">
        <v>13904</v>
      </c>
      <c r="K7447" s="2" t="s">
        <v>5657</v>
      </c>
      <c r="L7447" s="246" t="s">
        <v>22280</v>
      </c>
    </row>
    <row r="7448" spans="1:12" ht="84" customHeight="1" x14ac:dyDescent="0.3">
      <c r="A7448" s="2">
        <v>7444</v>
      </c>
      <c r="B7448" s="66" t="s">
        <v>8872</v>
      </c>
      <c r="C7448" s="66" t="s">
        <v>8873</v>
      </c>
      <c r="D7448" s="11">
        <v>3672</v>
      </c>
      <c r="E7448" s="11">
        <v>3672</v>
      </c>
      <c r="F7448" s="3">
        <v>39052</v>
      </c>
      <c r="G7448" s="2"/>
      <c r="H7448" s="2"/>
      <c r="I7448" s="2"/>
      <c r="J7448" s="2" t="s">
        <v>13904</v>
      </c>
      <c r="K7448" s="2" t="s">
        <v>5657</v>
      </c>
      <c r="L7448" s="246" t="s">
        <v>22280</v>
      </c>
    </row>
    <row r="7449" spans="1:12" ht="84" customHeight="1" x14ac:dyDescent="0.3">
      <c r="A7449" s="2">
        <v>7445</v>
      </c>
      <c r="B7449" s="66" t="s">
        <v>8874</v>
      </c>
      <c r="C7449" s="66" t="s">
        <v>8875</v>
      </c>
      <c r="D7449" s="11">
        <v>7000</v>
      </c>
      <c r="E7449" s="11">
        <v>7000</v>
      </c>
      <c r="F7449" s="3">
        <v>39601</v>
      </c>
      <c r="G7449" s="2"/>
      <c r="H7449" s="2"/>
      <c r="I7449" s="2"/>
      <c r="J7449" s="2" t="s">
        <v>13904</v>
      </c>
      <c r="K7449" s="2" t="s">
        <v>5657</v>
      </c>
      <c r="L7449" s="246" t="s">
        <v>22280</v>
      </c>
    </row>
    <row r="7450" spans="1:12" ht="84" customHeight="1" x14ac:dyDescent="0.3">
      <c r="A7450" s="2">
        <v>7446</v>
      </c>
      <c r="B7450" s="66" t="s">
        <v>8874</v>
      </c>
      <c r="C7450" s="66" t="s">
        <v>8876</v>
      </c>
      <c r="D7450" s="11">
        <v>7000</v>
      </c>
      <c r="E7450" s="11">
        <v>7000</v>
      </c>
      <c r="F7450" s="3">
        <v>39601</v>
      </c>
      <c r="G7450" s="2"/>
      <c r="H7450" s="2"/>
      <c r="I7450" s="2"/>
      <c r="J7450" s="2" t="s">
        <v>13904</v>
      </c>
      <c r="K7450" s="2" t="s">
        <v>5657</v>
      </c>
      <c r="L7450" s="246" t="s">
        <v>22280</v>
      </c>
    </row>
    <row r="7451" spans="1:12" ht="84" customHeight="1" x14ac:dyDescent="0.3">
      <c r="A7451" s="2">
        <v>7447</v>
      </c>
      <c r="B7451" s="66" t="s">
        <v>8874</v>
      </c>
      <c r="C7451" s="66" t="s">
        <v>8877</v>
      </c>
      <c r="D7451" s="11">
        <v>7000</v>
      </c>
      <c r="E7451" s="11">
        <v>7000</v>
      </c>
      <c r="F7451" s="3">
        <v>39601</v>
      </c>
      <c r="G7451" s="2"/>
      <c r="H7451" s="2"/>
      <c r="I7451" s="2"/>
      <c r="J7451" s="2" t="s">
        <v>13904</v>
      </c>
      <c r="K7451" s="2" t="s">
        <v>5657</v>
      </c>
      <c r="L7451" s="246" t="s">
        <v>22280</v>
      </c>
    </row>
    <row r="7452" spans="1:12" ht="84" customHeight="1" x14ac:dyDescent="0.3">
      <c r="A7452" s="2">
        <v>7448</v>
      </c>
      <c r="B7452" s="66" t="s">
        <v>8878</v>
      </c>
      <c r="C7452" s="66" t="s">
        <v>8879</v>
      </c>
      <c r="D7452" s="11">
        <v>7000</v>
      </c>
      <c r="E7452" s="11">
        <v>7000</v>
      </c>
      <c r="F7452" s="3">
        <v>39601</v>
      </c>
      <c r="G7452" s="2"/>
      <c r="H7452" s="2"/>
      <c r="I7452" s="2"/>
      <c r="J7452" s="2" t="s">
        <v>13904</v>
      </c>
      <c r="K7452" s="2" t="s">
        <v>5657</v>
      </c>
      <c r="L7452" s="246" t="s">
        <v>22280</v>
      </c>
    </row>
    <row r="7453" spans="1:12" ht="84" customHeight="1" x14ac:dyDescent="0.3">
      <c r="A7453" s="2">
        <v>7449</v>
      </c>
      <c r="B7453" s="66" t="s">
        <v>8880</v>
      </c>
      <c r="C7453" s="66" t="s">
        <v>8881</v>
      </c>
      <c r="D7453" s="11">
        <v>7000</v>
      </c>
      <c r="E7453" s="11">
        <v>7000</v>
      </c>
      <c r="F7453" s="3">
        <v>39601</v>
      </c>
      <c r="G7453" s="2"/>
      <c r="H7453" s="2"/>
      <c r="I7453" s="2"/>
      <c r="J7453" s="2" t="s">
        <v>13904</v>
      </c>
      <c r="K7453" s="2" t="s">
        <v>5657</v>
      </c>
      <c r="L7453" s="246" t="s">
        <v>22280</v>
      </c>
    </row>
    <row r="7454" spans="1:12" ht="84" customHeight="1" x14ac:dyDescent="0.3">
      <c r="A7454" s="2">
        <v>7450</v>
      </c>
      <c r="B7454" s="66" t="s">
        <v>8882</v>
      </c>
      <c r="C7454" s="66" t="s">
        <v>8883</v>
      </c>
      <c r="D7454" s="11">
        <v>8000</v>
      </c>
      <c r="E7454" s="11">
        <v>8000</v>
      </c>
      <c r="F7454" s="3">
        <v>39601</v>
      </c>
      <c r="G7454" s="2"/>
      <c r="H7454" s="2"/>
      <c r="I7454" s="2"/>
      <c r="J7454" s="2" t="s">
        <v>13904</v>
      </c>
      <c r="K7454" s="2" t="s">
        <v>5657</v>
      </c>
      <c r="L7454" s="246" t="s">
        <v>22280</v>
      </c>
    </row>
    <row r="7455" spans="1:12" ht="84" customHeight="1" x14ac:dyDescent="0.3">
      <c r="A7455" s="2">
        <v>7451</v>
      </c>
      <c r="B7455" s="66" t="s">
        <v>8884</v>
      </c>
      <c r="C7455" s="66" t="s">
        <v>8885</v>
      </c>
      <c r="D7455" s="11">
        <v>7000</v>
      </c>
      <c r="E7455" s="11">
        <v>7000</v>
      </c>
      <c r="F7455" s="3">
        <v>39601</v>
      </c>
      <c r="G7455" s="2"/>
      <c r="H7455" s="2"/>
      <c r="I7455" s="2"/>
      <c r="J7455" s="2" t="s">
        <v>13904</v>
      </c>
      <c r="K7455" s="2" t="s">
        <v>5657</v>
      </c>
      <c r="L7455" s="246" t="s">
        <v>22280</v>
      </c>
    </row>
    <row r="7456" spans="1:12" ht="84" customHeight="1" x14ac:dyDescent="0.3">
      <c r="A7456" s="2">
        <v>7452</v>
      </c>
      <c r="B7456" s="66" t="s">
        <v>8886</v>
      </c>
      <c r="C7456" s="66" t="s">
        <v>8887</v>
      </c>
      <c r="D7456" s="11">
        <v>7000</v>
      </c>
      <c r="E7456" s="11">
        <v>7000</v>
      </c>
      <c r="F7456" s="3">
        <v>39601</v>
      </c>
      <c r="G7456" s="2"/>
      <c r="H7456" s="2"/>
      <c r="I7456" s="2"/>
      <c r="J7456" s="2" t="s">
        <v>13904</v>
      </c>
      <c r="K7456" s="2" t="s">
        <v>5657</v>
      </c>
      <c r="L7456" s="246" t="s">
        <v>22280</v>
      </c>
    </row>
    <row r="7457" spans="1:12" ht="84" customHeight="1" x14ac:dyDescent="0.3">
      <c r="A7457" s="2">
        <v>7453</v>
      </c>
      <c r="B7457" s="66" t="s">
        <v>8884</v>
      </c>
      <c r="C7457" s="66" t="s">
        <v>8888</v>
      </c>
      <c r="D7457" s="11">
        <v>7000</v>
      </c>
      <c r="E7457" s="11">
        <v>7000</v>
      </c>
      <c r="F7457" s="3">
        <v>39601</v>
      </c>
      <c r="G7457" s="2"/>
      <c r="H7457" s="2"/>
      <c r="I7457" s="2"/>
      <c r="J7457" s="2" t="s">
        <v>13904</v>
      </c>
      <c r="K7457" s="2" t="s">
        <v>5657</v>
      </c>
      <c r="L7457" s="246" t="s">
        <v>22280</v>
      </c>
    </row>
    <row r="7458" spans="1:12" ht="84" customHeight="1" x14ac:dyDescent="0.3">
      <c r="A7458" s="2">
        <v>7454</v>
      </c>
      <c r="B7458" s="66" t="s">
        <v>8884</v>
      </c>
      <c r="C7458" s="66" t="s">
        <v>8889</v>
      </c>
      <c r="D7458" s="11">
        <v>7000</v>
      </c>
      <c r="E7458" s="11">
        <v>7000</v>
      </c>
      <c r="F7458" s="3">
        <v>39601</v>
      </c>
      <c r="G7458" s="2"/>
      <c r="H7458" s="2"/>
      <c r="I7458" s="2"/>
      <c r="J7458" s="2" t="s">
        <v>13904</v>
      </c>
      <c r="K7458" s="2" t="s">
        <v>5657</v>
      </c>
      <c r="L7458" s="246" t="s">
        <v>22280</v>
      </c>
    </row>
    <row r="7459" spans="1:12" ht="84" customHeight="1" x14ac:dyDescent="0.3">
      <c r="A7459" s="2">
        <v>7455</v>
      </c>
      <c r="B7459" s="66" t="s">
        <v>8884</v>
      </c>
      <c r="C7459" s="66" t="s">
        <v>8890</v>
      </c>
      <c r="D7459" s="11">
        <v>7000</v>
      </c>
      <c r="E7459" s="11">
        <v>7000</v>
      </c>
      <c r="F7459" s="3">
        <v>39601</v>
      </c>
      <c r="G7459" s="2"/>
      <c r="H7459" s="2"/>
      <c r="I7459" s="2"/>
      <c r="J7459" s="2" t="s">
        <v>13904</v>
      </c>
      <c r="K7459" s="2" t="s">
        <v>5657</v>
      </c>
      <c r="L7459" s="246" t="s">
        <v>22280</v>
      </c>
    </row>
    <row r="7460" spans="1:12" ht="84" customHeight="1" x14ac:dyDescent="0.3">
      <c r="A7460" s="2">
        <v>7456</v>
      </c>
      <c r="B7460" s="66" t="s">
        <v>8884</v>
      </c>
      <c r="C7460" s="66" t="s">
        <v>8891</v>
      </c>
      <c r="D7460" s="11">
        <v>7000</v>
      </c>
      <c r="E7460" s="11">
        <v>7000</v>
      </c>
      <c r="F7460" s="3">
        <v>39601</v>
      </c>
      <c r="G7460" s="2"/>
      <c r="H7460" s="2"/>
      <c r="I7460" s="2"/>
      <c r="J7460" s="2" t="s">
        <v>13904</v>
      </c>
      <c r="K7460" s="2" t="s">
        <v>5657</v>
      </c>
      <c r="L7460" s="246" t="s">
        <v>22280</v>
      </c>
    </row>
    <row r="7461" spans="1:12" ht="84" customHeight="1" x14ac:dyDescent="0.3">
      <c r="A7461" s="2">
        <v>7457</v>
      </c>
      <c r="B7461" s="66" t="s">
        <v>8892</v>
      </c>
      <c r="C7461" s="66" t="s">
        <v>8893</v>
      </c>
      <c r="D7461" s="11">
        <v>7000</v>
      </c>
      <c r="E7461" s="11">
        <v>7000</v>
      </c>
      <c r="F7461" s="3">
        <v>39601</v>
      </c>
      <c r="G7461" s="2"/>
      <c r="H7461" s="2"/>
      <c r="I7461" s="2"/>
      <c r="J7461" s="2" t="s">
        <v>13904</v>
      </c>
      <c r="K7461" s="2" t="s">
        <v>5657</v>
      </c>
      <c r="L7461" s="246" t="s">
        <v>22280</v>
      </c>
    </row>
    <row r="7462" spans="1:12" ht="84" customHeight="1" x14ac:dyDescent="0.3">
      <c r="A7462" s="2">
        <v>7458</v>
      </c>
      <c r="B7462" s="66" t="s">
        <v>8894</v>
      </c>
      <c r="C7462" s="66" t="s">
        <v>8895</v>
      </c>
      <c r="D7462" s="11">
        <v>8000</v>
      </c>
      <c r="E7462" s="11">
        <v>8000</v>
      </c>
      <c r="F7462" s="3">
        <v>39601</v>
      </c>
      <c r="G7462" s="2"/>
      <c r="H7462" s="2"/>
      <c r="I7462" s="2"/>
      <c r="J7462" s="2" t="s">
        <v>13904</v>
      </c>
      <c r="K7462" s="2" t="s">
        <v>5657</v>
      </c>
      <c r="L7462" s="246" t="s">
        <v>22280</v>
      </c>
    </row>
    <row r="7463" spans="1:12" ht="84" customHeight="1" x14ac:dyDescent="0.3">
      <c r="A7463" s="2">
        <v>7459</v>
      </c>
      <c r="B7463" s="66" t="s">
        <v>8896</v>
      </c>
      <c r="C7463" s="66" t="s">
        <v>8897</v>
      </c>
      <c r="D7463" s="11">
        <v>7000</v>
      </c>
      <c r="E7463" s="11">
        <v>7000</v>
      </c>
      <c r="F7463" s="3">
        <v>39601</v>
      </c>
      <c r="G7463" s="2"/>
      <c r="H7463" s="2"/>
      <c r="I7463" s="2"/>
      <c r="J7463" s="2" t="s">
        <v>13904</v>
      </c>
      <c r="K7463" s="2" t="s">
        <v>5657</v>
      </c>
      <c r="L7463" s="246" t="s">
        <v>22280</v>
      </c>
    </row>
    <row r="7464" spans="1:12" ht="84" customHeight="1" x14ac:dyDescent="0.3">
      <c r="A7464" s="2">
        <v>7460</v>
      </c>
      <c r="B7464" s="66" t="s">
        <v>8898</v>
      </c>
      <c r="C7464" s="66" t="s">
        <v>8899</v>
      </c>
      <c r="D7464" s="11">
        <v>7000</v>
      </c>
      <c r="E7464" s="11">
        <v>7000</v>
      </c>
      <c r="F7464" s="3">
        <v>39601</v>
      </c>
      <c r="G7464" s="2"/>
      <c r="H7464" s="2"/>
      <c r="I7464" s="2"/>
      <c r="J7464" s="2" t="s">
        <v>13904</v>
      </c>
      <c r="K7464" s="2" t="s">
        <v>5657</v>
      </c>
      <c r="L7464" s="246" t="s">
        <v>22280</v>
      </c>
    </row>
    <row r="7465" spans="1:12" ht="84" customHeight="1" x14ac:dyDescent="0.3">
      <c r="A7465" s="2">
        <v>7461</v>
      </c>
      <c r="B7465" s="66" t="s">
        <v>8900</v>
      </c>
      <c r="C7465" s="66" t="s">
        <v>8901</v>
      </c>
      <c r="D7465" s="11">
        <v>7000</v>
      </c>
      <c r="E7465" s="11">
        <v>7000</v>
      </c>
      <c r="F7465" s="3">
        <v>39601</v>
      </c>
      <c r="G7465" s="2"/>
      <c r="H7465" s="2"/>
      <c r="I7465" s="2"/>
      <c r="J7465" s="2" t="s">
        <v>13904</v>
      </c>
      <c r="K7465" s="2" t="s">
        <v>5657</v>
      </c>
      <c r="L7465" s="246" t="s">
        <v>22280</v>
      </c>
    </row>
    <row r="7466" spans="1:12" ht="84" customHeight="1" x14ac:dyDescent="0.3">
      <c r="A7466" s="2">
        <v>7462</v>
      </c>
      <c r="B7466" s="66" t="s">
        <v>8902</v>
      </c>
      <c r="C7466" s="66" t="s">
        <v>8903</v>
      </c>
      <c r="D7466" s="11">
        <v>8441</v>
      </c>
      <c r="E7466" s="11">
        <v>8441</v>
      </c>
      <c r="F7466" s="3">
        <v>39601</v>
      </c>
      <c r="G7466" s="2"/>
      <c r="H7466" s="2"/>
      <c r="I7466" s="2"/>
      <c r="J7466" s="2" t="s">
        <v>13904</v>
      </c>
      <c r="K7466" s="2" t="s">
        <v>5657</v>
      </c>
      <c r="L7466" s="246" t="s">
        <v>22280</v>
      </c>
    </row>
    <row r="7467" spans="1:12" ht="84" customHeight="1" x14ac:dyDescent="0.3">
      <c r="A7467" s="2">
        <v>7463</v>
      </c>
      <c r="B7467" s="66" t="s">
        <v>8904</v>
      </c>
      <c r="C7467" s="66" t="s">
        <v>8905</v>
      </c>
      <c r="D7467" s="11">
        <v>5049.45</v>
      </c>
      <c r="E7467" s="11">
        <v>5049.45</v>
      </c>
      <c r="F7467" s="3">
        <v>39052</v>
      </c>
      <c r="G7467" s="2"/>
      <c r="H7467" s="2"/>
      <c r="I7467" s="2"/>
      <c r="J7467" s="2" t="s">
        <v>13904</v>
      </c>
      <c r="K7467" s="2" t="s">
        <v>5657</v>
      </c>
      <c r="L7467" s="246" t="s">
        <v>22280</v>
      </c>
    </row>
    <row r="7468" spans="1:12" ht="84" customHeight="1" x14ac:dyDescent="0.3">
      <c r="A7468" s="2">
        <v>7464</v>
      </c>
      <c r="B7468" s="66" t="s">
        <v>8906</v>
      </c>
      <c r="C7468" s="66" t="s">
        <v>8907</v>
      </c>
      <c r="D7468" s="11">
        <v>6256.27</v>
      </c>
      <c r="E7468" s="11">
        <v>6256.27</v>
      </c>
      <c r="F7468" s="3">
        <v>39052</v>
      </c>
      <c r="G7468" s="2"/>
      <c r="H7468" s="2"/>
      <c r="I7468" s="2"/>
      <c r="J7468" s="2" t="s">
        <v>13904</v>
      </c>
      <c r="K7468" s="2" t="s">
        <v>5657</v>
      </c>
      <c r="L7468" s="246" t="s">
        <v>22280</v>
      </c>
    </row>
    <row r="7469" spans="1:12" ht="84" customHeight="1" x14ac:dyDescent="0.3">
      <c r="A7469" s="2">
        <v>7465</v>
      </c>
      <c r="B7469" s="66" t="s">
        <v>8908</v>
      </c>
      <c r="C7469" s="66" t="s">
        <v>8909</v>
      </c>
      <c r="D7469" s="11">
        <v>5997.6</v>
      </c>
      <c r="E7469" s="11">
        <v>5997.6</v>
      </c>
      <c r="F7469" s="3">
        <v>39052</v>
      </c>
      <c r="G7469" s="2"/>
      <c r="H7469" s="2"/>
      <c r="I7469" s="2"/>
      <c r="J7469" s="2" t="s">
        <v>13904</v>
      </c>
      <c r="K7469" s="2" t="s">
        <v>5657</v>
      </c>
      <c r="L7469" s="246" t="s">
        <v>22280</v>
      </c>
    </row>
    <row r="7470" spans="1:12" ht="84" customHeight="1" x14ac:dyDescent="0.3">
      <c r="A7470" s="2">
        <v>7466</v>
      </c>
      <c r="B7470" s="66" t="s">
        <v>8910</v>
      </c>
      <c r="C7470" s="66" t="s">
        <v>8911</v>
      </c>
      <c r="D7470" s="11">
        <v>8025</v>
      </c>
      <c r="E7470" s="11">
        <v>8025</v>
      </c>
      <c r="F7470" s="3">
        <v>39052</v>
      </c>
      <c r="G7470" s="2"/>
      <c r="H7470" s="2"/>
      <c r="I7470" s="2"/>
      <c r="J7470" s="2" t="s">
        <v>13904</v>
      </c>
      <c r="K7470" s="2" t="s">
        <v>5657</v>
      </c>
      <c r="L7470" s="246" t="s">
        <v>22280</v>
      </c>
    </row>
    <row r="7471" spans="1:12" ht="84" customHeight="1" x14ac:dyDescent="0.3">
      <c r="A7471" s="2">
        <v>7467</v>
      </c>
      <c r="B7471" s="66" t="s">
        <v>8912</v>
      </c>
      <c r="C7471" s="66" t="s">
        <v>3744</v>
      </c>
      <c r="D7471" s="11">
        <v>3589.56</v>
      </c>
      <c r="E7471" s="11">
        <v>3589.56</v>
      </c>
      <c r="F7471" s="3">
        <v>41992</v>
      </c>
      <c r="G7471" s="2"/>
      <c r="H7471" s="2"/>
      <c r="I7471" s="2"/>
      <c r="J7471" s="2" t="s">
        <v>13904</v>
      </c>
      <c r="K7471" s="2" t="s">
        <v>5657</v>
      </c>
      <c r="L7471" s="246" t="s">
        <v>22280</v>
      </c>
    </row>
    <row r="7472" spans="1:12" ht="84" customHeight="1" x14ac:dyDescent="0.3">
      <c r="A7472" s="2">
        <v>7468</v>
      </c>
      <c r="B7472" s="66" t="s">
        <v>8867</v>
      </c>
      <c r="C7472" s="66" t="s">
        <v>8913</v>
      </c>
      <c r="D7472" s="11">
        <v>4141.2</v>
      </c>
      <c r="E7472" s="11">
        <v>4141.2</v>
      </c>
      <c r="F7472" s="3">
        <v>39057</v>
      </c>
      <c r="G7472" s="2"/>
      <c r="H7472" s="2"/>
      <c r="I7472" s="2"/>
      <c r="J7472" s="2" t="s">
        <v>13904</v>
      </c>
      <c r="K7472" s="2" t="s">
        <v>5657</v>
      </c>
      <c r="L7472" s="246" t="s">
        <v>22280</v>
      </c>
    </row>
    <row r="7473" spans="1:12" ht="84" customHeight="1" x14ac:dyDescent="0.3">
      <c r="A7473" s="2">
        <v>7469</v>
      </c>
      <c r="B7473" s="66" t="s">
        <v>8708</v>
      </c>
      <c r="C7473" s="66" t="s">
        <v>8914</v>
      </c>
      <c r="D7473" s="11">
        <v>3417</v>
      </c>
      <c r="E7473" s="11">
        <v>3417</v>
      </c>
      <c r="F7473" s="3">
        <v>39052</v>
      </c>
      <c r="G7473" s="2"/>
      <c r="H7473" s="2"/>
      <c r="I7473" s="2"/>
      <c r="J7473" s="2" t="s">
        <v>13904</v>
      </c>
      <c r="K7473" s="2" t="s">
        <v>5657</v>
      </c>
      <c r="L7473" s="246" t="s">
        <v>22280</v>
      </c>
    </row>
    <row r="7474" spans="1:12" ht="84" customHeight="1" x14ac:dyDescent="0.3">
      <c r="A7474" s="2">
        <v>7470</v>
      </c>
      <c r="B7474" s="66" t="s">
        <v>8710</v>
      </c>
      <c r="C7474" s="66" t="s">
        <v>8915</v>
      </c>
      <c r="D7474" s="11">
        <v>3417</v>
      </c>
      <c r="E7474" s="11">
        <v>3417</v>
      </c>
      <c r="F7474" s="3">
        <v>39052</v>
      </c>
      <c r="G7474" s="2"/>
      <c r="H7474" s="2"/>
      <c r="I7474" s="2"/>
      <c r="J7474" s="2" t="s">
        <v>13904</v>
      </c>
      <c r="K7474" s="2" t="s">
        <v>5657</v>
      </c>
      <c r="L7474" s="246" t="s">
        <v>22280</v>
      </c>
    </row>
    <row r="7475" spans="1:12" ht="84" customHeight="1" x14ac:dyDescent="0.3">
      <c r="A7475" s="2">
        <v>7471</v>
      </c>
      <c r="B7475" s="66" t="s">
        <v>8733</v>
      </c>
      <c r="C7475" s="66" t="s">
        <v>8916</v>
      </c>
      <c r="D7475" s="11">
        <v>3417</v>
      </c>
      <c r="E7475" s="11">
        <v>3417</v>
      </c>
      <c r="F7475" s="3">
        <v>39059</v>
      </c>
      <c r="G7475" s="2"/>
      <c r="H7475" s="2"/>
      <c r="I7475" s="2"/>
      <c r="J7475" s="2" t="s">
        <v>13904</v>
      </c>
      <c r="K7475" s="2" t="s">
        <v>5657</v>
      </c>
      <c r="L7475" s="246" t="s">
        <v>22280</v>
      </c>
    </row>
    <row r="7476" spans="1:12" ht="84" customHeight="1" x14ac:dyDescent="0.3">
      <c r="A7476" s="2">
        <v>7472</v>
      </c>
      <c r="B7476" s="66" t="s">
        <v>8917</v>
      </c>
      <c r="C7476" s="66" t="s">
        <v>8716</v>
      </c>
      <c r="D7476" s="11">
        <v>3417</v>
      </c>
      <c r="E7476" s="11">
        <v>3417</v>
      </c>
      <c r="F7476" s="3">
        <v>39052</v>
      </c>
      <c r="G7476" s="2"/>
      <c r="H7476" s="2"/>
      <c r="I7476" s="2"/>
      <c r="J7476" s="2" t="s">
        <v>13904</v>
      </c>
      <c r="K7476" s="2" t="s">
        <v>5657</v>
      </c>
      <c r="L7476" s="246" t="s">
        <v>22280</v>
      </c>
    </row>
    <row r="7477" spans="1:12" ht="84" customHeight="1" x14ac:dyDescent="0.3">
      <c r="A7477" s="2">
        <v>7473</v>
      </c>
      <c r="B7477" s="66" t="s">
        <v>8733</v>
      </c>
      <c r="C7477" s="66" t="s">
        <v>8918</v>
      </c>
      <c r="D7477" s="11">
        <v>3417</v>
      </c>
      <c r="E7477" s="11">
        <v>3417</v>
      </c>
      <c r="F7477" s="3">
        <v>39052</v>
      </c>
      <c r="G7477" s="2"/>
      <c r="H7477" s="2"/>
      <c r="I7477" s="2"/>
      <c r="J7477" s="2" t="s">
        <v>13904</v>
      </c>
      <c r="K7477" s="2" t="s">
        <v>5657</v>
      </c>
      <c r="L7477" s="246" t="s">
        <v>22280</v>
      </c>
    </row>
    <row r="7478" spans="1:12" ht="84" customHeight="1" x14ac:dyDescent="0.3">
      <c r="A7478" s="2">
        <v>7474</v>
      </c>
      <c r="B7478" s="66" t="s">
        <v>8728</v>
      </c>
      <c r="C7478" s="66" t="s">
        <v>8919</v>
      </c>
      <c r="D7478" s="11">
        <v>3417</v>
      </c>
      <c r="E7478" s="11">
        <v>3417</v>
      </c>
      <c r="F7478" s="3">
        <v>39052</v>
      </c>
      <c r="G7478" s="2"/>
      <c r="H7478" s="2"/>
      <c r="I7478" s="2"/>
      <c r="J7478" s="2" t="s">
        <v>13904</v>
      </c>
      <c r="K7478" s="2" t="s">
        <v>5657</v>
      </c>
      <c r="L7478" s="246" t="s">
        <v>22280</v>
      </c>
    </row>
    <row r="7479" spans="1:12" ht="84" customHeight="1" x14ac:dyDescent="0.3">
      <c r="A7479" s="2">
        <v>7475</v>
      </c>
      <c r="B7479" s="66" t="s">
        <v>8733</v>
      </c>
      <c r="C7479" s="66" t="s">
        <v>8920</v>
      </c>
      <c r="D7479" s="11">
        <v>3417</v>
      </c>
      <c r="E7479" s="11">
        <v>3417</v>
      </c>
      <c r="F7479" s="3">
        <v>39052</v>
      </c>
      <c r="G7479" s="2"/>
      <c r="H7479" s="2"/>
      <c r="I7479" s="2"/>
      <c r="J7479" s="2" t="s">
        <v>13904</v>
      </c>
      <c r="K7479" s="2" t="s">
        <v>5657</v>
      </c>
      <c r="L7479" s="246" t="s">
        <v>22280</v>
      </c>
    </row>
    <row r="7480" spans="1:12" ht="84" customHeight="1" x14ac:dyDescent="0.3">
      <c r="A7480" s="2">
        <v>7476</v>
      </c>
      <c r="B7480" s="66" t="s">
        <v>8728</v>
      </c>
      <c r="C7480" s="66" t="s">
        <v>8921</v>
      </c>
      <c r="D7480" s="11">
        <v>3417</v>
      </c>
      <c r="E7480" s="11">
        <v>3417</v>
      </c>
      <c r="F7480" s="3">
        <v>39052</v>
      </c>
      <c r="G7480" s="2"/>
      <c r="H7480" s="2"/>
      <c r="I7480" s="2"/>
      <c r="J7480" s="2" t="s">
        <v>13904</v>
      </c>
      <c r="K7480" s="2" t="s">
        <v>5657</v>
      </c>
      <c r="L7480" s="246" t="s">
        <v>22280</v>
      </c>
    </row>
    <row r="7481" spans="1:12" ht="84" customHeight="1" x14ac:dyDescent="0.3">
      <c r="A7481" s="2">
        <v>7477</v>
      </c>
      <c r="B7481" s="66" t="s">
        <v>8733</v>
      </c>
      <c r="C7481" s="66" t="s">
        <v>8922</v>
      </c>
      <c r="D7481" s="11">
        <v>3417</v>
      </c>
      <c r="E7481" s="11">
        <v>3417</v>
      </c>
      <c r="F7481" s="3">
        <v>39052</v>
      </c>
      <c r="G7481" s="2"/>
      <c r="H7481" s="2"/>
      <c r="I7481" s="2"/>
      <c r="J7481" s="2" t="s">
        <v>13904</v>
      </c>
      <c r="K7481" s="2" t="s">
        <v>5657</v>
      </c>
      <c r="L7481" s="246" t="s">
        <v>22280</v>
      </c>
    </row>
    <row r="7482" spans="1:12" ht="84" customHeight="1" x14ac:dyDescent="0.3">
      <c r="A7482" s="2">
        <v>7478</v>
      </c>
      <c r="B7482" s="66" t="s">
        <v>8733</v>
      </c>
      <c r="C7482" s="66" t="s">
        <v>8923</v>
      </c>
      <c r="D7482" s="11">
        <v>3417</v>
      </c>
      <c r="E7482" s="11">
        <v>3417</v>
      </c>
      <c r="F7482" s="3">
        <v>39052</v>
      </c>
      <c r="G7482" s="2"/>
      <c r="H7482" s="2"/>
      <c r="I7482" s="2"/>
      <c r="J7482" s="2" t="s">
        <v>13904</v>
      </c>
      <c r="K7482" s="2" t="s">
        <v>5657</v>
      </c>
      <c r="L7482" s="246" t="s">
        <v>22280</v>
      </c>
    </row>
    <row r="7483" spans="1:12" ht="84" customHeight="1" x14ac:dyDescent="0.3">
      <c r="A7483" s="2">
        <v>7479</v>
      </c>
      <c r="B7483" s="66" t="s">
        <v>8712</v>
      </c>
      <c r="C7483" s="66" t="s">
        <v>8924</v>
      </c>
      <c r="D7483" s="11">
        <v>3417</v>
      </c>
      <c r="E7483" s="11">
        <v>3417</v>
      </c>
      <c r="F7483" s="3">
        <v>39052</v>
      </c>
      <c r="G7483" s="2"/>
      <c r="H7483" s="2"/>
      <c r="I7483" s="2"/>
      <c r="J7483" s="2" t="s">
        <v>13904</v>
      </c>
      <c r="K7483" s="2" t="s">
        <v>5657</v>
      </c>
      <c r="L7483" s="246" t="s">
        <v>22280</v>
      </c>
    </row>
    <row r="7484" spans="1:12" ht="84" customHeight="1" x14ac:dyDescent="0.3">
      <c r="A7484" s="2">
        <v>7480</v>
      </c>
      <c r="B7484" s="66" t="s">
        <v>8733</v>
      </c>
      <c r="C7484" s="66" t="s">
        <v>8925</v>
      </c>
      <c r="D7484" s="11">
        <v>3417</v>
      </c>
      <c r="E7484" s="11">
        <v>3417</v>
      </c>
      <c r="F7484" s="3">
        <v>39052</v>
      </c>
      <c r="G7484" s="2"/>
      <c r="H7484" s="2"/>
      <c r="I7484" s="2"/>
      <c r="J7484" s="2" t="s">
        <v>13904</v>
      </c>
      <c r="K7484" s="2" t="s">
        <v>5657</v>
      </c>
      <c r="L7484" s="246" t="s">
        <v>22280</v>
      </c>
    </row>
    <row r="7485" spans="1:12" ht="84" customHeight="1" x14ac:dyDescent="0.3">
      <c r="A7485" s="2">
        <v>7481</v>
      </c>
      <c r="B7485" s="66" t="s">
        <v>8733</v>
      </c>
      <c r="C7485" s="66" t="s">
        <v>8926</v>
      </c>
      <c r="D7485" s="11">
        <v>3417</v>
      </c>
      <c r="E7485" s="11">
        <v>3417</v>
      </c>
      <c r="F7485" s="3">
        <v>39052</v>
      </c>
      <c r="G7485" s="2"/>
      <c r="H7485" s="2"/>
      <c r="I7485" s="2"/>
      <c r="J7485" s="2" t="s">
        <v>13904</v>
      </c>
      <c r="K7485" s="2" t="s">
        <v>5657</v>
      </c>
      <c r="L7485" s="246" t="s">
        <v>22280</v>
      </c>
    </row>
    <row r="7486" spans="1:12" ht="84" customHeight="1" x14ac:dyDescent="0.3">
      <c r="A7486" s="2">
        <v>7482</v>
      </c>
      <c r="B7486" s="66" t="s">
        <v>8728</v>
      </c>
      <c r="C7486" s="66" t="s">
        <v>8927</v>
      </c>
      <c r="D7486" s="11">
        <v>3417</v>
      </c>
      <c r="E7486" s="11">
        <v>3417</v>
      </c>
      <c r="F7486" s="3">
        <v>39052</v>
      </c>
      <c r="G7486" s="2"/>
      <c r="H7486" s="2"/>
      <c r="I7486" s="2"/>
      <c r="J7486" s="2" t="s">
        <v>13904</v>
      </c>
      <c r="K7486" s="2" t="s">
        <v>5657</v>
      </c>
      <c r="L7486" s="246" t="s">
        <v>22280</v>
      </c>
    </row>
    <row r="7487" spans="1:12" ht="84" customHeight="1" x14ac:dyDescent="0.3">
      <c r="A7487" s="2">
        <v>7483</v>
      </c>
      <c r="B7487" s="66" t="s">
        <v>8733</v>
      </c>
      <c r="C7487" s="66" t="s">
        <v>8928</v>
      </c>
      <c r="D7487" s="11">
        <v>3417</v>
      </c>
      <c r="E7487" s="11">
        <v>3417</v>
      </c>
      <c r="F7487" s="3">
        <v>39052</v>
      </c>
      <c r="G7487" s="2"/>
      <c r="H7487" s="2"/>
      <c r="I7487" s="2"/>
      <c r="J7487" s="2" t="s">
        <v>13904</v>
      </c>
      <c r="K7487" s="2" t="s">
        <v>5657</v>
      </c>
      <c r="L7487" s="246" t="s">
        <v>22280</v>
      </c>
    </row>
    <row r="7488" spans="1:12" ht="84" customHeight="1" x14ac:dyDescent="0.3">
      <c r="A7488" s="2">
        <v>7484</v>
      </c>
      <c r="B7488" s="66" t="s">
        <v>8714</v>
      </c>
      <c r="C7488" s="66" t="s">
        <v>8929</v>
      </c>
      <c r="D7488" s="11">
        <v>3417</v>
      </c>
      <c r="E7488" s="11">
        <v>3417</v>
      </c>
      <c r="F7488" s="3">
        <v>39052</v>
      </c>
      <c r="G7488" s="2"/>
      <c r="H7488" s="2"/>
      <c r="I7488" s="2"/>
      <c r="J7488" s="2" t="s">
        <v>13904</v>
      </c>
      <c r="K7488" s="2" t="s">
        <v>5657</v>
      </c>
      <c r="L7488" s="246" t="s">
        <v>22280</v>
      </c>
    </row>
    <row r="7489" spans="1:12" ht="84" customHeight="1" x14ac:dyDescent="0.3">
      <c r="A7489" s="2">
        <v>7485</v>
      </c>
      <c r="B7489" s="66" t="s">
        <v>8728</v>
      </c>
      <c r="C7489" s="66" t="s">
        <v>8930</v>
      </c>
      <c r="D7489" s="11">
        <v>3417</v>
      </c>
      <c r="E7489" s="11">
        <v>3417</v>
      </c>
      <c r="F7489" s="3">
        <v>39052</v>
      </c>
      <c r="G7489" s="2"/>
      <c r="H7489" s="2"/>
      <c r="I7489" s="2"/>
      <c r="J7489" s="2" t="s">
        <v>13904</v>
      </c>
      <c r="K7489" s="2" t="s">
        <v>5657</v>
      </c>
      <c r="L7489" s="246" t="s">
        <v>22280</v>
      </c>
    </row>
    <row r="7490" spans="1:12" ht="84" customHeight="1" x14ac:dyDescent="0.3">
      <c r="A7490" s="2">
        <v>7486</v>
      </c>
      <c r="B7490" s="66" t="s">
        <v>8733</v>
      </c>
      <c r="C7490" s="66" t="s">
        <v>8931</v>
      </c>
      <c r="D7490" s="11">
        <v>3417</v>
      </c>
      <c r="E7490" s="11">
        <v>3417</v>
      </c>
      <c r="F7490" s="3">
        <v>39052</v>
      </c>
      <c r="G7490" s="2"/>
      <c r="H7490" s="2"/>
      <c r="I7490" s="2"/>
      <c r="J7490" s="2" t="s">
        <v>13904</v>
      </c>
      <c r="K7490" s="2" t="s">
        <v>5657</v>
      </c>
      <c r="L7490" s="246" t="s">
        <v>22280</v>
      </c>
    </row>
    <row r="7491" spans="1:12" ht="84" customHeight="1" x14ac:dyDescent="0.3">
      <c r="A7491" s="2">
        <v>7487</v>
      </c>
      <c r="B7491" s="66" t="s">
        <v>8733</v>
      </c>
      <c r="C7491" s="66" t="s">
        <v>8932</v>
      </c>
      <c r="D7491" s="11">
        <v>3417</v>
      </c>
      <c r="E7491" s="11">
        <v>3417</v>
      </c>
      <c r="F7491" s="3">
        <v>39052</v>
      </c>
      <c r="G7491" s="2"/>
      <c r="H7491" s="2"/>
      <c r="I7491" s="2"/>
      <c r="J7491" s="2" t="s">
        <v>13904</v>
      </c>
      <c r="K7491" s="2" t="s">
        <v>5657</v>
      </c>
      <c r="L7491" s="246" t="s">
        <v>22280</v>
      </c>
    </row>
    <row r="7492" spans="1:12" ht="84" customHeight="1" x14ac:dyDescent="0.3">
      <c r="A7492" s="2">
        <v>7488</v>
      </c>
      <c r="B7492" s="66" t="s">
        <v>8681</v>
      </c>
      <c r="C7492" s="66" t="s">
        <v>8933</v>
      </c>
      <c r="D7492" s="11">
        <v>3034.08</v>
      </c>
      <c r="E7492" s="11">
        <v>3034.08</v>
      </c>
      <c r="F7492" s="3">
        <v>39142</v>
      </c>
      <c r="G7492" s="2"/>
      <c r="H7492" s="2"/>
      <c r="I7492" s="2"/>
      <c r="J7492" s="2" t="s">
        <v>13904</v>
      </c>
      <c r="K7492" s="2" t="s">
        <v>5657</v>
      </c>
      <c r="L7492" s="246" t="s">
        <v>22280</v>
      </c>
    </row>
    <row r="7493" spans="1:12" ht="84" customHeight="1" x14ac:dyDescent="0.3">
      <c r="A7493" s="2">
        <v>7489</v>
      </c>
      <c r="B7493" s="66" t="s">
        <v>8681</v>
      </c>
      <c r="C7493" s="66" t="s">
        <v>8934</v>
      </c>
      <c r="D7493" s="11">
        <v>3034.08</v>
      </c>
      <c r="E7493" s="11">
        <v>3034.08</v>
      </c>
      <c r="F7493" s="3">
        <v>39142</v>
      </c>
      <c r="G7493" s="2"/>
      <c r="H7493" s="2"/>
      <c r="I7493" s="2"/>
      <c r="J7493" s="2" t="s">
        <v>13904</v>
      </c>
      <c r="K7493" s="2" t="s">
        <v>5657</v>
      </c>
      <c r="L7493" s="246" t="s">
        <v>22280</v>
      </c>
    </row>
    <row r="7494" spans="1:12" ht="84" customHeight="1" x14ac:dyDescent="0.3">
      <c r="A7494" s="2">
        <v>7490</v>
      </c>
      <c r="B7494" s="66" t="s">
        <v>8683</v>
      </c>
      <c r="C7494" s="66" t="s">
        <v>8935</v>
      </c>
      <c r="D7494" s="11">
        <v>3034.08</v>
      </c>
      <c r="E7494" s="11">
        <v>3034.08</v>
      </c>
      <c r="F7494" s="3">
        <v>39142</v>
      </c>
      <c r="G7494" s="2"/>
      <c r="H7494" s="2"/>
      <c r="I7494" s="2"/>
      <c r="J7494" s="2" t="s">
        <v>13904</v>
      </c>
      <c r="K7494" s="2" t="s">
        <v>5657</v>
      </c>
      <c r="L7494" s="246" t="s">
        <v>22280</v>
      </c>
    </row>
    <row r="7495" spans="1:12" ht="84" customHeight="1" x14ac:dyDescent="0.3">
      <c r="A7495" s="2">
        <v>7491</v>
      </c>
      <c r="B7495" s="66" t="s">
        <v>8683</v>
      </c>
      <c r="C7495" s="66" t="s">
        <v>8936</v>
      </c>
      <c r="D7495" s="11">
        <v>3034.08</v>
      </c>
      <c r="E7495" s="11">
        <v>3034.08</v>
      </c>
      <c r="F7495" s="3">
        <v>39142</v>
      </c>
      <c r="G7495" s="2"/>
      <c r="H7495" s="2"/>
      <c r="I7495" s="2"/>
      <c r="J7495" s="2" t="s">
        <v>13904</v>
      </c>
      <c r="K7495" s="2" t="s">
        <v>5657</v>
      </c>
      <c r="L7495" s="246" t="s">
        <v>22280</v>
      </c>
    </row>
    <row r="7496" spans="1:12" ht="84" customHeight="1" x14ac:dyDescent="0.3">
      <c r="A7496" s="2">
        <v>7492</v>
      </c>
      <c r="B7496" s="66" t="s">
        <v>8679</v>
      </c>
      <c r="C7496" s="66" t="s">
        <v>8937</v>
      </c>
      <c r="D7496" s="11">
        <v>3034.08</v>
      </c>
      <c r="E7496" s="11">
        <v>3034.08</v>
      </c>
      <c r="F7496" s="3">
        <v>39142</v>
      </c>
      <c r="G7496" s="2"/>
      <c r="H7496" s="2"/>
      <c r="I7496" s="2"/>
      <c r="J7496" s="2" t="s">
        <v>13904</v>
      </c>
      <c r="K7496" s="2" t="s">
        <v>5657</v>
      </c>
      <c r="L7496" s="246" t="s">
        <v>22280</v>
      </c>
    </row>
    <row r="7497" spans="1:12" ht="84" customHeight="1" x14ac:dyDescent="0.3">
      <c r="A7497" s="2">
        <v>7493</v>
      </c>
      <c r="B7497" s="66" t="s">
        <v>8676</v>
      </c>
      <c r="C7497" s="66" t="s">
        <v>8938</v>
      </c>
      <c r="D7497" s="11">
        <v>3034.08</v>
      </c>
      <c r="E7497" s="11">
        <v>3034.08</v>
      </c>
      <c r="F7497" s="3">
        <v>39142</v>
      </c>
      <c r="G7497" s="2"/>
      <c r="H7497" s="2"/>
      <c r="I7497" s="2"/>
      <c r="J7497" s="2" t="s">
        <v>13904</v>
      </c>
      <c r="K7497" s="2" t="s">
        <v>5657</v>
      </c>
      <c r="L7497" s="246" t="s">
        <v>22280</v>
      </c>
    </row>
    <row r="7498" spans="1:12" ht="84" customHeight="1" x14ac:dyDescent="0.3">
      <c r="A7498" s="2">
        <v>7494</v>
      </c>
      <c r="B7498" s="66" t="s">
        <v>8676</v>
      </c>
      <c r="C7498" s="66" t="s">
        <v>8939</v>
      </c>
      <c r="D7498" s="11">
        <v>3034.08</v>
      </c>
      <c r="E7498" s="11">
        <v>3034.08</v>
      </c>
      <c r="F7498" s="3">
        <v>39142</v>
      </c>
      <c r="G7498" s="2"/>
      <c r="H7498" s="2"/>
      <c r="I7498" s="2"/>
      <c r="J7498" s="2" t="s">
        <v>13904</v>
      </c>
      <c r="K7498" s="2" t="s">
        <v>5657</v>
      </c>
      <c r="L7498" s="246" t="s">
        <v>22280</v>
      </c>
    </row>
    <row r="7499" spans="1:12" ht="84" customHeight="1" x14ac:dyDescent="0.3">
      <c r="A7499" s="2">
        <v>7495</v>
      </c>
      <c r="B7499" s="66" t="s">
        <v>8683</v>
      </c>
      <c r="C7499" s="66" t="s">
        <v>8940</v>
      </c>
      <c r="D7499" s="11">
        <v>3034.08</v>
      </c>
      <c r="E7499" s="11">
        <v>3034.08</v>
      </c>
      <c r="F7499" s="3">
        <v>39142</v>
      </c>
      <c r="G7499" s="2"/>
      <c r="H7499" s="2"/>
      <c r="I7499" s="2"/>
      <c r="J7499" s="2" t="s">
        <v>13904</v>
      </c>
      <c r="K7499" s="2" t="s">
        <v>5657</v>
      </c>
      <c r="L7499" s="246" t="s">
        <v>22280</v>
      </c>
    </row>
    <row r="7500" spans="1:12" ht="84" customHeight="1" x14ac:dyDescent="0.3">
      <c r="A7500" s="2">
        <v>7496</v>
      </c>
      <c r="B7500" s="66" t="s">
        <v>8683</v>
      </c>
      <c r="C7500" s="66" t="s">
        <v>8941</v>
      </c>
      <c r="D7500" s="11">
        <v>3034.08</v>
      </c>
      <c r="E7500" s="11">
        <v>3034.08</v>
      </c>
      <c r="F7500" s="3">
        <v>39142</v>
      </c>
      <c r="G7500" s="2"/>
      <c r="H7500" s="2"/>
      <c r="I7500" s="2"/>
      <c r="J7500" s="2" t="s">
        <v>13904</v>
      </c>
      <c r="K7500" s="2" t="s">
        <v>5657</v>
      </c>
      <c r="L7500" s="246" t="s">
        <v>22280</v>
      </c>
    </row>
    <row r="7501" spans="1:12" ht="84" customHeight="1" x14ac:dyDescent="0.3">
      <c r="A7501" s="2">
        <v>7497</v>
      </c>
      <c r="B7501" s="66" t="s">
        <v>8942</v>
      </c>
      <c r="C7501" s="66" t="s">
        <v>8943</v>
      </c>
      <c r="D7501" s="11">
        <v>3191.95</v>
      </c>
      <c r="E7501" s="11">
        <v>3191.95</v>
      </c>
      <c r="F7501" s="3">
        <v>39052</v>
      </c>
      <c r="G7501" s="2"/>
      <c r="H7501" s="2"/>
      <c r="I7501" s="2"/>
      <c r="J7501" s="2" t="s">
        <v>13904</v>
      </c>
      <c r="K7501" s="2" t="s">
        <v>5657</v>
      </c>
      <c r="L7501" s="246" t="s">
        <v>22280</v>
      </c>
    </row>
    <row r="7502" spans="1:12" ht="84" customHeight="1" x14ac:dyDescent="0.3">
      <c r="A7502" s="2">
        <v>7498</v>
      </c>
      <c r="B7502" s="66" t="s">
        <v>8944</v>
      </c>
      <c r="C7502" s="66" t="s">
        <v>3155</v>
      </c>
      <c r="D7502" s="11">
        <v>14200</v>
      </c>
      <c r="E7502" s="11">
        <v>14200</v>
      </c>
      <c r="F7502" s="3">
        <v>41941</v>
      </c>
      <c r="G7502" s="2"/>
      <c r="H7502" s="2"/>
      <c r="I7502" s="2"/>
      <c r="J7502" s="2" t="s">
        <v>13904</v>
      </c>
      <c r="K7502" s="2" t="s">
        <v>5657</v>
      </c>
      <c r="L7502" s="246" t="s">
        <v>22280</v>
      </c>
    </row>
    <row r="7503" spans="1:12" ht="84" customHeight="1" x14ac:dyDescent="0.3">
      <c r="A7503" s="2">
        <v>7499</v>
      </c>
      <c r="B7503" s="66" t="s">
        <v>1938</v>
      </c>
      <c r="C7503" s="66" t="s">
        <v>3751</v>
      </c>
      <c r="D7503" s="11">
        <v>5800</v>
      </c>
      <c r="E7503" s="11">
        <v>5800</v>
      </c>
      <c r="F7503" s="3">
        <v>41941</v>
      </c>
      <c r="G7503" s="2"/>
      <c r="H7503" s="2"/>
      <c r="I7503" s="2"/>
      <c r="J7503" s="2" t="s">
        <v>13904</v>
      </c>
      <c r="K7503" s="2" t="s">
        <v>5657</v>
      </c>
      <c r="L7503" s="246" t="s">
        <v>22280</v>
      </c>
    </row>
    <row r="7504" spans="1:12" ht="84" customHeight="1" x14ac:dyDescent="0.3">
      <c r="A7504" s="2">
        <v>7500</v>
      </c>
      <c r="B7504" s="66" t="s">
        <v>8945</v>
      </c>
      <c r="C7504" s="66" t="s">
        <v>8946</v>
      </c>
      <c r="D7504" s="11">
        <v>3562.66</v>
      </c>
      <c r="E7504" s="11">
        <v>3562.66</v>
      </c>
      <c r="F7504" s="3">
        <v>39052</v>
      </c>
      <c r="G7504" s="2"/>
      <c r="H7504" s="2"/>
      <c r="I7504" s="2"/>
      <c r="J7504" s="2" t="s">
        <v>13904</v>
      </c>
      <c r="K7504" s="2" t="s">
        <v>5657</v>
      </c>
      <c r="L7504" s="246" t="s">
        <v>22280</v>
      </c>
    </row>
    <row r="7505" spans="1:12" ht="84" customHeight="1" x14ac:dyDescent="0.3">
      <c r="A7505" s="2">
        <v>7501</v>
      </c>
      <c r="B7505" s="66" t="s">
        <v>8947</v>
      </c>
      <c r="C7505" s="66" t="s">
        <v>8948</v>
      </c>
      <c r="D7505" s="11">
        <v>3002.98</v>
      </c>
      <c r="E7505" s="11">
        <v>3002.98</v>
      </c>
      <c r="F7505" s="3">
        <v>39052</v>
      </c>
      <c r="G7505" s="2"/>
      <c r="H7505" s="2"/>
      <c r="I7505" s="2"/>
      <c r="J7505" s="2" t="s">
        <v>13904</v>
      </c>
      <c r="K7505" s="2" t="s">
        <v>5657</v>
      </c>
      <c r="L7505" s="246" t="s">
        <v>22280</v>
      </c>
    </row>
    <row r="7506" spans="1:12" ht="84" customHeight="1" x14ac:dyDescent="0.3">
      <c r="A7506" s="2">
        <v>7502</v>
      </c>
      <c r="B7506" s="66" t="s">
        <v>8949</v>
      </c>
      <c r="C7506" s="66" t="s">
        <v>8950</v>
      </c>
      <c r="D7506" s="11">
        <v>4170.47</v>
      </c>
      <c r="E7506" s="11">
        <v>4170.47</v>
      </c>
      <c r="F7506" s="3">
        <v>39052</v>
      </c>
      <c r="G7506" s="2"/>
      <c r="H7506" s="2"/>
      <c r="I7506" s="2"/>
      <c r="J7506" s="2" t="s">
        <v>13904</v>
      </c>
      <c r="K7506" s="2" t="s">
        <v>5657</v>
      </c>
      <c r="L7506" s="246" t="s">
        <v>22280</v>
      </c>
    </row>
    <row r="7507" spans="1:12" ht="84" customHeight="1" x14ac:dyDescent="0.3">
      <c r="A7507" s="2">
        <v>7503</v>
      </c>
      <c r="B7507" s="66" t="s">
        <v>8951</v>
      </c>
      <c r="C7507" s="66" t="s">
        <v>8952</v>
      </c>
      <c r="D7507" s="11">
        <v>4316.1099999999997</v>
      </c>
      <c r="E7507" s="11">
        <v>4316.1099999999997</v>
      </c>
      <c r="F7507" s="3">
        <v>39052</v>
      </c>
      <c r="G7507" s="2"/>
      <c r="H7507" s="2"/>
      <c r="I7507" s="2"/>
      <c r="J7507" s="2" t="s">
        <v>13904</v>
      </c>
      <c r="K7507" s="2" t="s">
        <v>5657</v>
      </c>
      <c r="L7507" s="246" t="s">
        <v>22280</v>
      </c>
    </row>
    <row r="7508" spans="1:12" ht="84" customHeight="1" x14ac:dyDescent="0.3">
      <c r="A7508" s="2">
        <v>7504</v>
      </c>
      <c r="B7508" s="66" t="s">
        <v>8953</v>
      </c>
      <c r="C7508" s="66" t="s">
        <v>8954</v>
      </c>
      <c r="D7508" s="11">
        <v>8375</v>
      </c>
      <c r="E7508" s="11">
        <v>8375</v>
      </c>
      <c r="F7508" s="3">
        <v>39142</v>
      </c>
      <c r="G7508" s="2"/>
      <c r="H7508" s="2"/>
      <c r="I7508" s="2"/>
      <c r="J7508" s="2" t="s">
        <v>13904</v>
      </c>
      <c r="K7508" s="2" t="s">
        <v>5657</v>
      </c>
      <c r="L7508" s="246" t="s">
        <v>22280</v>
      </c>
    </row>
    <row r="7509" spans="1:12" ht="84" customHeight="1" x14ac:dyDescent="0.3">
      <c r="A7509" s="2">
        <v>7505</v>
      </c>
      <c r="B7509" s="66" t="s">
        <v>8955</v>
      </c>
      <c r="C7509" s="66" t="s">
        <v>8956</v>
      </c>
      <c r="D7509" s="11">
        <v>5050</v>
      </c>
      <c r="E7509" s="11">
        <v>5050</v>
      </c>
      <c r="F7509" s="3">
        <v>39142</v>
      </c>
      <c r="G7509" s="2"/>
      <c r="H7509" s="2"/>
      <c r="I7509" s="2"/>
      <c r="J7509" s="2" t="s">
        <v>13904</v>
      </c>
      <c r="K7509" s="2" t="s">
        <v>5657</v>
      </c>
      <c r="L7509" s="246" t="s">
        <v>22280</v>
      </c>
    </row>
    <row r="7510" spans="1:12" ht="84" customHeight="1" x14ac:dyDescent="0.3">
      <c r="A7510" s="2">
        <v>7506</v>
      </c>
      <c r="B7510" s="66" t="s">
        <v>8957</v>
      </c>
      <c r="C7510" s="66" t="s">
        <v>8958</v>
      </c>
      <c r="D7510" s="11">
        <v>5800</v>
      </c>
      <c r="E7510" s="11">
        <v>5800</v>
      </c>
      <c r="F7510" s="3">
        <v>39142</v>
      </c>
      <c r="G7510" s="2"/>
      <c r="H7510" s="2"/>
      <c r="I7510" s="2"/>
      <c r="J7510" s="2" t="s">
        <v>13904</v>
      </c>
      <c r="K7510" s="2" t="s">
        <v>5657</v>
      </c>
      <c r="L7510" s="246" t="s">
        <v>22280</v>
      </c>
    </row>
    <row r="7511" spans="1:12" ht="84" customHeight="1" x14ac:dyDescent="0.3">
      <c r="A7511" s="2">
        <v>7507</v>
      </c>
      <c r="B7511" s="66" t="s">
        <v>8959</v>
      </c>
      <c r="C7511" s="66" t="s">
        <v>8960</v>
      </c>
      <c r="D7511" s="11">
        <v>5400</v>
      </c>
      <c r="E7511" s="11">
        <v>5400</v>
      </c>
      <c r="F7511" s="3">
        <v>39142</v>
      </c>
      <c r="G7511" s="2"/>
      <c r="H7511" s="2"/>
      <c r="I7511" s="2"/>
      <c r="J7511" s="2" t="s">
        <v>13904</v>
      </c>
      <c r="K7511" s="2" t="s">
        <v>5657</v>
      </c>
      <c r="L7511" s="246" t="s">
        <v>22280</v>
      </c>
    </row>
    <row r="7512" spans="1:12" ht="84" customHeight="1" x14ac:dyDescent="0.3">
      <c r="A7512" s="2">
        <v>7508</v>
      </c>
      <c r="B7512" s="66" t="s">
        <v>8961</v>
      </c>
      <c r="C7512" s="66" t="s">
        <v>8962</v>
      </c>
      <c r="D7512" s="11">
        <v>7550.01</v>
      </c>
      <c r="E7512" s="11">
        <v>7550.01</v>
      </c>
      <c r="F7512" s="3">
        <v>39142</v>
      </c>
      <c r="G7512" s="2"/>
      <c r="H7512" s="2"/>
      <c r="I7512" s="2"/>
      <c r="J7512" s="2" t="s">
        <v>13904</v>
      </c>
      <c r="K7512" s="2" t="s">
        <v>5657</v>
      </c>
      <c r="L7512" s="246" t="s">
        <v>22280</v>
      </c>
    </row>
    <row r="7513" spans="1:12" ht="84" customHeight="1" x14ac:dyDescent="0.3">
      <c r="A7513" s="2">
        <v>7509</v>
      </c>
      <c r="B7513" s="66" t="s">
        <v>8963</v>
      </c>
      <c r="C7513" s="66" t="s">
        <v>8964</v>
      </c>
      <c r="D7513" s="11">
        <v>4225</v>
      </c>
      <c r="E7513" s="11">
        <v>4225</v>
      </c>
      <c r="F7513" s="3">
        <v>39142</v>
      </c>
      <c r="G7513" s="2"/>
      <c r="H7513" s="2"/>
      <c r="I7513" s="2"/>
      <c r="J7513" s="2" t="s">
        <v>13904</v>
      </c>
      <c r="K7513" s="2" t="s">
        <v>5657</v>
      </c>
      <c r="L7513" s="246" t="s">
        <v>22280</v>
      </c>
    </row>
    <row r="7514" spans="1:12" ht="84" customHeight="1" x14ac:dyDescent="0.3">
      <c r="A7514" s="2">
        <v>7510</v>
      </c>
      <c r="B7514" s="66" t="s">
        <v>8965</v>
      </c>
      <c r="C7514" s="66" t="s">
        <v>8966</v>
      </c>
      <c r="D7514" s="11">
        <v>3525</v>
      </c>
      <c r="E7514" s="11">
        <v>3525</v>
      </c>
      <c r="F7514" s="3">
        <v>39142</v>
      </c>
      <c r="G7514" s="2"/>
      <c r="H7514" s="2"/>
      <c r="I7514" s="2"/>
      <c r="J7514" s="2" t="s">
        <v>13904</v>
      </c>
      <c r="K7514" s="2" t="s">
        <v>5657</v>
      </c>
      <c r="L7514" s="246" t="s">
        <v>22280</v>
      </c>
    </row>
    <row r="7515" spans="1:12" ht="84" customHeight="1" x14ac:dyDescent="0.3">
      <c r="A7515" s="2">
        <v>7511</v>
      </c>
      <c r="B7515" s="66" t="s">
        <v>8967</v>
      </c>
      <c r="C7515" s="66" t="s">
        <v>8968</v>
      </c>
      <c r="D7515" s="11">
        <v>6800</v>
      </c>
      <c r="E7515" s="11">
        <v>6800</v>
      </c>
      <c r="F7515" s="3">
        <v>39142</v>
      </c>
      <c r="G7515" s="2"/>
      <c r="H7515" s="2"/>
      <c r="I7515" s="2"/>
      <c r="J7515" s="2" t="s">
        <v>13904</v>
      </c>
      <c r="K7515" s="2" t="s">
        <v>5657</v>
      </c>
      <c r="L7515" s="246" t="s">
        <v>22280</v>
      </c>
    </row>
    <row r="7516" spans="1:12" ht="84" customHeight="1" x14ac:dyDescent="0.3">
      <c r="A7516" s="2">
        <v>7512</v>
      </c>
      <c r="B7516" s="66" t="s">
        <v>8969</v>
      </c>
      <c r="C7516" s="66" t="s">
        <v>8970</v>
      </c>
      <c r="D7516" s="11">
        <v>35800</v>
      </c>
      <c r="E7516" s="11">
        <v>35800</v>
      </c>
      <c r="F7516" s="3">
        <v>39142</v>
      </c>
      <c r="G7516" s="2"/>
      <c r="H7516" s="2"/>
      <c r="I7516" s="2"/>
      <c r="J7516" s="2" t="s">
        <v>13904</v>
      </c>
      <c r="K7516" s="2" t="s">
        <v>5657</v>
      </c>
      <c r="L7516" s="246" t="s">
        <v>22280</v>
      </c>
    </row>
    <row r="7517" spans="1:12" ht="84" customHeight="1" x14ac:dyDescent="0.3">
      <c r="A7517" s="2">
        <v>7513</v>
      </c>
      <c r="B7517" s="66" t="s">
        <v>8971</v>
      </c>
      <c r="C7517" s="66" t="s">
        <v>8972</v>
      </c>
      <c r="D7517" s="11">
        <v>3316.76</v>
      </c>
      <c r="E7517" s="11">
        <v>3316.76</v>
      </c>
      <c r="F7517" s="3">
        <v>39052</v>
      </c>
      <c r="G7517" s="2"/>
      <c r="H7517" s="2"/>
      <c r="I7517" s="2"/>
      <c r="J7517" s="2" t="s">
        <v>13904</v>
      </c>
      <c r="K7517" s="2" t="s">
        <v>5657</v>
      </c>
      <c r="L7517" s="246" t="s">
        <v>22280</v>
      </c>
    </row>
    <row r="7518" spans="1:12" ht="84" customHeight="1" x14ac:dyDescent="0.3">
      <c r="A7518" s="2">
        <v>7514</v>
      </c>
      <c r="B7518" s="66" t="s">
        <v>8973</v>
      </c>
      <c r="C7518" s="66" t="s">
        <v>8974</v>
      </c>
      <c r="D7518" s="11">
        <v>4475</v>
      </c>
      <c r="E7518" s="11">
        <v>4475</v>
      </c>
      <c r="F7518" s="3">
        <v>39142</v>
      </c>
      <c r="G7518" s="2"/>
      <c r="H7518" s="2"/>
      <c r="I7518" s="2"/>
      <c r="J7518" s="2" t="s">
        <v>13904</v>
      </c>
      <c r="K7518" s="2" t="s">
        <v>5657</v>
      </c>
      <c r="L7518" s="246" t="s">
        <v>22280</v>
      </c>
    </row>
    <row r="7519" spans="1:12" ht="84" customHeight="1" x14ac:dyDescent="0.3">
      <c r="A7519" s="2">
        <v>7515</v>
      </c>
      <c r="B7519" s="66" t="s">
        <v>8975</v>
      </c>
      <c r="C7519" s="66" t="s">
        <v>8976</v>
      </c>
      <c r="D7519" s="11">
        <v>5525</v>
      </c>
      <c r="E7519" s="11">
        <v>5525</v>
      </c>
      <c r="F7519" s="3">
        <v>39142</v>
      </c>
      <c r="G7519" s="2"/>
      <c r="H7519" s="2"/>
      <c r="I7519" s="2"/>
      <c r="J7519" s="2" t="s">
        <v>13904</v>
      </c>
      <c r="K7519" s="2" t="s">
        <v>5657</v>
      </c>
      <c r="L7519" s="246" t="s">
        <v>22280</v>
      </c>
    </row>
    <row r="7520" spans="1:12" ht="84" customHeight="1" x14ac:dyDescent="0.3">
      <c r="A7520" s="2">
        <v>7516</v>
      </c>
      <c r="B7520" s="66" t="s">
        <v>8977</v>
      </c>
      <c r="C7520" s="66" t="s">
        <v>8978</v>
      </c>
      <c r="D7520" s="11">
        <v>4562.5200000000004</v>
      </c>
      <c r="E7520" s="11">
        <v>4562.5200000000004</v>
      </c>
      <c r="F7520" s="3">
        <v>39142</v>
      </c>
      <c r="G7520" s="2"/>
      <c r="H7520" s="2"/>
      <c r="I7520" s="2"/>
      <c r="J7520" s="2" t="s">
        <v>13904</v>
      </c>
      <c r="K7520" s="2" t="s">
        <v>5657</v>
      </c>
      <c r="L7520" s="246" t="s">
        <v>22280</v>
      </c>
    </row>
    <row r="7521" spans="1:15" ht="84" customHeight="1" x14ac:dyDescent="0.3">
      <c r="A7521" s="2">
        <v>7517</v>
      </c>
      <c r="B7521" s="66" t="s">
        <v>8979</v>
      </c>
      <c r="C7521" s="66" t="s">
        <v>8980</v>
      </c>
      <c r="D7521" s="11">
        <v>4125</v>
      </c>
      <c r="E7521" s="11">
        <v>4125</v>
      </c>
      <c r="F7521" s="3">
        <v>39142</v>
      </c>
      <c r="G7521" s="2"/>
      <c r="H7521" s="2"/>
      <c r="I7521" s="2"/>
      <c r="J7521" s="2" t="s">
        <v>13904</v>
      </c>
      <c r="K7521" s="2" t="s">
        <v>5657</v>
      </c>
      <c r="L7521" s="246" t="s">
        <v>22280</v>
      </c>
    </row>
    <row r="7522" spans="1:15" ht="84" customHeight="1" x14ac:dyDescent="0.3">
      <c r="A7522" s="2">
        <v>7518</v>
      </c>
      <c r="B7522" s="66" t="s">
        <v>8981</v>
      </c>
      <c r="C7522" s="66" t="s">
        <v>8982</v>
      </c>
      <c r="D7522" s="11">
        <v>4562.5</v>
      </c>
      <c r="E7522" s="11">
        <v>4562.5</v>
      </c>
      <c r="F7522" s="3">
        <v>39142</v>
      </c>
      <c r="G7522" s="2"/>
      <c r="H7522" s="2"/>
      <c r="I7522" s="2"/>
      <c r="J7522" s="2" t="s">
        <v>13904</v>
      </c>
      <c r="K7522" s="2" t="s">
        <v>5657</v>
      </c>
      <c r="L7522" s="246" t="s">
        <v>22280</v>
      </c>
    </row>
    <row r="7523" spans="1:15" ht="84" customHeight="1" x14ac:dyDescent="0.3">
      <c r="A7523" s="2">
        <v>7519</v>
      </c>
      <c r="B7523" s="66" t="s">
        <v>8983</v>
      </c>
      <c r="C7523" s="66" t="s">
        <v>8984</v>
      </c>
      <c r="D7523" s="11">
        <v>3451.5</v>
      </c>
      <c r="E7523" s="11">
        <v>3451.5</v>
      </c>
      <c r="F7523" s="3">
        <v>39142</v>
      </c>
      <c r="G7523" s="2"/>
      <c r="H7523" s="2"/>
      <c r="I7523" s="2"/>
      <c r="J7523" s="2" t="s">
        <v>13904</v>
      </c>
      <c r="K7523" s="2" t="s">
        <v>5657</v>
      </c>
      <c r="L7523" s="246" t="s">
        <v>22280</v>
      </c>
    </row>
    <row r="7524" spans="1:15" ht="84" customHeight="1" x14ac:dyDescent="0.3">
      <c r="A7524" s="2">
        <v>7520</v>
      </c>
      <c r="B7524" s="66" t="s">
        <v>8985</v>
      </c>
      <c r="C7524" s="66" t="s">
        <v>8986</v>
      </c>
      <c r="D7524" s="11">
        <v>6556.64</v>
      </c>
      <c r="E7524" s="11">
        <v>6556.64</v>
      </c>
      <c r="F7524" s="3">
        <v>36705</v>
      </c>
      <c r="G7524" s="2"/>
      <c r="H7524" s="2"/>
      <c r="I7524" s="2"/>
      <c r="J7524" s="2" t="s">
        <v>13904</v>
      </c>
      <c r="K7524" s="2" t="s">
        <v>5657</v>
      </c>
      <c r="L7524" s="246" t="s">
        <v>22280</v>
      </c>
    </row>
    <row r="7525" spans="1:15" ht="84" customHeight="1" x14ac:dyDescent="0.3">
      <c r="A7525" s="2">
        <v>7521</v>
      </c>
      <c r="B7525" s="66" t="s">
        <v>8987</v>
      </c>
      <c r="C7525" s="66" t="s">
        <v>8988</v>
      </c>
      <c r="D7525" s="11">
        <v>5400</v>
      </c>
      <c r="E7525" s="11">
        <v>5400</v>
      </c>
      <c r="F7525" s="3">
        <v>39142</v>
      </c>
      <c r="G7525" s="2"/>
      <c r="H7525" s="2"/>
      <c r="I7525" s="2"/>
      <c r="J7525" s="2" t="s">
        <v>13904</v>
      </c>
      <c r="K7525" s="2" t="s">
        <v>5657</v>
      </c>
      <c r="L7525" s="246" t="s">
        <v>22280</v>
      </c>
    </row>
    <row r="7526" spans="1:15" ht="84" customHeight="1" x14ac:dyDescent="0.3">
      <c r="A7526" s="2">
        <v>7522</v>
      </c>
      <c r="B7526" s="66" t="s">
        <v>8989</v>
      </c>
      <c r="C7526" s="66" t="s">
        <v>8990</v>
      </c>
      <c r="D7526" s="11">
        <v>5400</v>
      </c>
      <c r="E7526" s="11">
        <v>5400</v>
      </c>
      <c r="F7526" s="3">
        <v>39142</v>
      </c>
      <c r="G7526" s="2"/>
      <c r="H7526" s="2"/>
      <c r="I7526" s="2"/>
      <c r="J7526" s="2" t="s">
        <v>13904</v>
      </c>
      <c r="K7526" s="2" t="s">
        <v>5657</v>
      </c>
      <c r="L7526" s="246" t="s">
        <v>22280</v>
      </c>
    </row>
    <row r="7527" spans="1:15" ht="84" customHeight="1" x14ac:dyDescent="0.3">
      <c r="A7527" s="2">
        <v>7523</v>
      </c>
      <c r="B7527" s="66" t="s">
        <v>8989</v>
      </c>
      <c r="C7527" s="66" t="s">
        <v>8991</v>
      </c>
      <c r="D7527" s="11">
        <v>5400</v>
      </c>
      <c r="E7527" s="11">
        <v>5400</v>
      </c>
      <c r="F7527" s="3">
        <v>39142</v>
      </c>
      <c r="G7527" s="2"/>
      <c r="H7527" s="2"/>
      <c r="I7527" s="2"/>
      <c r="J7527" s="2" t="s">
        <v>13904</v>
      </c>
      <c r="K7527" s="2" t="s">
        <v>5657</v>
      </c>
      <c r="L7527" s="246" t="s">
        <v>22280</v>
      </c>
    </row>
    <row r="7528" spans="1:15" ht="84" customHeight="1" x14ac:dyDescent="0.3">
      <c r="A7528" s="2">
        <v>7524</v>
      </c>
      <c r="B7528" s="66" t="s">
        <v>8989</v>
      </c>
      <c r="C7528" s="66" t="s">
        <v>8992</v>
      </c>
      <c r="D7528" s="11">
        <v>5400</v>
      </c>
      <c r="E7528" s="11">
        <v>5400</v>
      </c>
      <c r="F7528" s="3">
        <v>39142</v>
      </c>
      <c r="G7528" s="2"/>
      <c r="H7528" s="2"/>
      <c r="I7528" s="2"/>
      <c r="J7528" s="2" t="s">
        <v>13904</v>
      </c>
      <c r="K7528" s="2" t="s">
        <v>5657</v>
      </c>
      <c r="L7528" s="246" t="s">
        <v>22280</v>
      </c>
    </row>
    <row r="7529" spans="1:15" ht="84" customHeight="1" x14ac:dyDescent="0.3">
      <c r="A7529" s="2">
        <v>7525</v>
      </c>
      <c r="B7529" s="66" t="s">
        <v>8989</v>
      </c>
      <c r="C7529" s="66" t="s">
        <v>8993</v>
      </c>
      <c r="D7529" s="11">
        <v>5400</v>
      </c>
      <c r="E7529" s="11">
        <v>5400</v>
      </c>
      <c r="F7529" s="3">
        <v>39142</v>
      </c>
      <c r="G7529" s="2"/>
      <c r="H7529" s="2"/>
      <c r="I7529" s="2"/>
      <c r="J7529" s="2" t="s">
        <v>13904</v>
      </c>
      <c r="K7529" s="2" t="s">
        <v>5657</v>
      </c>
      <c r="L7529" s="246" t="s">
        <v>22280</v>
      </c>
    </row>
    <row r="7530" spans="1:15" ht="84" customHeight="1" x14ac:dyDescent="0.3">
      <c r="A7530" s="2">
        <v>7526</v>
      </c>
      <c r="B7530" s="66" t="s">
        <v>8989</v>
      </c>
      <c r="C7530" s="66" t="s">
        <v>8994</v>
      </c>
      <c r="D7530" s="11">
        <v>5400</v>
      </c>
      <c r="E7530" s="11">
        <v>5400</v>
      </c>
      <c r="F7530" s="3">
        <v>39142</v>
      </c>
      <c r="G7530" s="2"/>
      <c r="H7530" s="2"/>
      <c r="I7530" s="2"/>
      <c r="J7530" s="2" t="s">
        <v>13904</v>
      </c>
      <c r="K7530" s="2" t="s">
        <v>5657</v>
      </c>
      <c r="L7530" s="246" t="s">
        <v>22280</v>
      </c>
    </row>
    <row r="7531" spans="1:15" ht="84" customHeight="1" x14ac:dyDescent="0.3">
      <c r="A7531" s="2">
        <v>7527</v>
      </c>
      <c r="B7531" s="66" t="s">
        <v>8989</v>
      </c>
      <c r="C7531" s="66" t="s">
        <v>8995</v>
      </c>
      <c r="D7531" s="11">
        <v>5400</v>
      </c>
      <c r="E7531" s="11">
        <v>5400</v>
      </c>
      <c r="F7531" s="3">
        <v>39142</v>
      </c>
      <c r="G7531" s="2"/>
      <c r="H7531" s="2"/>
      <c r="I7531" s="2"/>
      <c r="J7531" s="2" t="s">
        <v>13904</v>
      </c>
      <c r="K7531" s="2" t="s">
        <v>5657</v>
      </c>
      <c r="L7531" s="246" t="s">
        <v>22280</v>
      </c>
    </row>
    <row r="7532" spans="1:15" ht="84" customHeight="1" x14ac:dyDescent="0.3">
      <c r="A7532" s="2">
        <v>7528</v>
      </c>
      <c r="B7532" s="66" t="s">
        <v>8989</v>
      </c>
      <c r="C7532" s="66" t="s">
        <v>8996</v>
      </c>
      <c r="D7532" s="11">
        <v>5400</v>
      </c>
      <c r="E7532" s="11">
        <v>5400</v>
      </c>
      <c r="F7532" s="3">
        <v>39142</v>
      </c>
      <c r="G7532" s="2"/>
      <c r="H7532" s="2"/>
      <c r="I7532" s="2"/>
      <c r="J7532" s="2" t="s">
        <v>13904</v>
      </c>
      <c r="K7532" s="2" t="s">
        <v>5657</v>
      </c>
      <c r="L7532" s="246" t="s">
        <v>22280</v>
      </c>
    </row>
    <row r="7533" spans="1:15" ht="84" customHeight="1" x14ac:dyDescent="0.3">
      <c r="A7533" s="2">
        <v>7529</v>
      </c>
      <c r="B7533" s="66" t="s">
        <v>8989</v>
      </c>
      <c r="C7533" s="66" t="s">
        <v>8997</v>
      </c>
      <c r="D7533" s="11">
        <v>5400</v>
      </c>
      <c r="E7533" s="11">
        <v>5400</v>
      </c>
      <c r="F7533" s="3">
        <v>39142</v>
      </c>
      <c r="G7533" s="2"/>
      <c r="H7533" s="2"/>
      <c r="I7533" s="2"/>
      <c r="J7533" s="2" t="s">
        <v>13904</v>
      </c>
      <c r="K7533" s="2" t="s">
        <v>5657</v>
      </c>
      <c r="L7533" s="246" t="s">
        <v>22280</v>
      </c>
    </row>
    <row r="7534" spans="1:15" ht="84" customHeight="1" x14ac:dyDescent="0.3">
      <c r="A7534" s="2">
        <v>7530</v>
      </c>
      <c r="B7534" s="66" t="s">
        <v>8989</v>
      </c>
      <c r="C7534" s="66" t="s">
        <v>8998</v>
      </c>
      <c r="D7534" s="11">
        <v>5400</v>
      </c>
      <c r="E7534" s="11">
        <v>5400</v>
      </c>
      <c r="F7534" s="3">
        <v>39142</v>
      </c>
      <c r="G7534" s="2"/>
      <c r="H7534" s="2"/>
      <c r="I7534" s="2"/>
      <c r="J7534" s="2" t="s">
        <v>13904</v>
      </c>
      <c r="K7534" s="2" t="s">
        <v>5657</v>
      </c>
      <c r="L7534" s="246" t="s">
        <v>22280</v>
      </c>
    </row>
    <row r="7535" spans="1:15" ht="84" customHeight="1" x14ac:dyDescent="0.3">
      <c r="A7535" s="2">
        <v>7531</v>
      </c>
      <c r="B7535" s="66" t="s">
        <v>8989</v>
      </c>
      <c r="C7535" s="66" t="s">
        <v>8999</v>
      </c>
      <c r="D7535" s="11">
        <v>5400</v>
      </c>
      <c r="E7535" s="11">
        <v>5400</v>
      </c>
      <c r="F7535" s="3">
        <v>39142</v>
      </c>
      <c r="G7535" s="2"/>
      <c r="H7535" s="2"/>
      <c r="I7535" s="2"/>
      <c r="J7535" s="2" t="s">
        <v>13904</v>
      </c>
      <c r="K7535" s="2" t="s">
        <v>5657</v>
      </c>
      <c r="L7535" s="246" t="s">
        <v>22280</v>
      </c>
      <c r="M7535" s="18"/>
      <c r="N7535" s="18"/>
      <c r="O7535" s="18"/>
    </row>
    <row r="7536" spans="1:15" ht="84" customHeight="1" x14ac:dyDescent="0.3">
      <c r="A7536" s="2">
        <v>7532</v>
      </c>
      <c r="B7536" s="66" t="s">
        <v>8989</v>
      </c>
      <c r="C7536" s="66" t="s">
        <v>9000</v>
      </c>
      <c r="D7536" s="11">
        <v>5400</v>
      </c>
      <c r="E7536" s="11">
        <v>5400</v>
      </c>
      <c r="F7536" s="3">
        <v>39142</v>
      </c>
      <c r="G7536" s="2"/>
      <c r="H7536" s="2"/>
      <c r="I7536" s="2"/>
      <c r="J7536" s="2" t="s">
        <v>13904</v>
      </c>
      <c r="K7536" s="2" t="s">
        <v>5657</v>
      </c>
      <c r="L7536" s="246" t="s">
        <v>22280</v>
      </c>
    </row>
    <row r="7537" spans="1:12" ht="84" customHeight="1" x14ac:dyDescent="0.3">
      <c r="A7537" s="2">
        <v>7533</v>
      </c>
      <c r="B7537" s="66" t="s">
        <v>8989</v>
      </c>
      <c r="C7537" s="66" t="s">
        <v>9001</v>
      </c>
      <c r="D7537" s="11">
        <v>5400</v>
      </c>
      <c r="E7537" s="11">
        <v>5400</v>
      </c>
      <c r="F7537" s="3">
        <v>39142</v>
      </c>
      <c r="G7537" s="2"/>
      <c r="H7537" s="2"/>
      <c r="I7537" s="2"/>
      <c r="J7537" s="2" t="s">
        <v>13904</v>
      </c>
      <c r="K7537" s="2" t="s">
        <v>5657</v>
      </c>
      <c r="L7537" s="246" t="s">
        <v>22280</v>
      </c>
    </row>
    <row r="7538" spans="1:12" ht="84" customHeight="1" x14ac:dyDescent="0.3">
      <c r="A7538" s="2">
        <v>7534</v>
      </c>
      <c r="B7538" s="66" t="s">
        <v>8989</v>
      </c>
      <c r="C7538" s="66" t="s">
        <v>9002</v>
      </c>
      <c r="D7538" s="11">
        <v>5400</v>
      </c>
      <c r="E7538" s="11">
        <v>5400</v>
      </c>
      <c r="F7538" s="3">
        <v>39142</v>
      </c>
      <c r="G7538" s="2"/>
      <c r="H7538" s="2"/>
      <c r="I7538" s="2"/>
      <c r="J7538" s="2" t="s">
        <v>13904</v>
      </c>
      <c r="K7538" s="2" t="s">
        <v>5657</v>
      </c>
      <c r="L7538" s="246" t="s">
        <v>22280</v>
      </c>
    </row>
    <row r="7539" spans="1:12" ht="84" customHeight="1" x14ac:dyDescent="0.3">
      <c r="A7539" s="2">
        <v>7535</v>
      </c>
      <c r="B7539" s="66" t="s">
        <v>8989</v>
      </c>
      <c r="C7539" s="66" t="s">
        <v>9003</v>
      </c>
      <c r="D7539" s="11">
        <v>5400</v>
      </c>
      <c r="E7539" s="11">
        <v>5400</v>
      </c>
      <c r="F7539" s="3">
        <v>39142</v>
      </c>
      <c r="G7539" s="2"/>
      <c r="H7539" s="2"/>
      <c r="I7539" s="2"/>
      <c r="J7539" s="2" t="s">
        <v>13904</v>
      </c>
      <c r="K7539" s="2" t="s">
        <v>5657</v>
      </c>
      <c r="L7539" s="246" t="s">
        <v>22280</v>
      </c>
    </row>
    <row r="7540" spans="1:12" ht="84" customHeight="1" x14ac:dyDescent="0.3">
      <c r="A7540" s="2">
        <v>7536</v>
      </c>
      <c r="B7540" s="66" t="s">
        <v>8989</v>
      </c>
      <c r="C7540" s="66" t="s">
        <v>9004</v>
      </c>
      <c r="D7540" s="11">
        <v>5400</v>
      </c>
      <c r="E7540" s="11">
        <v>5400</v>
      </c>
      <c r="F7540" s="3">
        <v>39142</v>
      </c>
      <c r="G7540" s="2"/>
      <c r="H7540" s="2"/>
      <c r="I7540" s="2"/>
      <c r="J7540" s="2" t="s">
        <v>13904</v>
      </c>
      <c r="K7540" s="2" t="s">
        <v>5657</v>
      </c>
      <c r="L7540" s="246" t="s">
        <v>22280</v>
      </c>
    </row>
    <row r="7541" spans="1:12" ht="84" customHeight="1" x14ac:dyDescent="0.3">
      <c r="A7541" s="2">
        <v>7537</v>
      </c>
      <c r="B7541" s="66" t="s">
        <v>8989</v>
      </c>
      <c r="C7541" s="66" t="s">
        <v>9005</v>
      </c>
      <c r="D7541" s="11">
        <v>5400</v>
      </c>
      <c r="E7541" s="11">
        <v>5400</v>
      </c>
      <c r="F7541" s="3">
        <v>39142</v>
      </c>
      <c r="G7541" s="2"/>
      <c r="H7541" s="2"/>
      <c r="I7541" s="2"/>
      <c r="J7541" s="2" t="s">
        <v>13904</v>
      </c>
      <c r="K7541" s="2" t="s">
        <v>5657</v>
      </c>
      <c r="L7541" s="246" t="s">
        <v>22280</v>
      </c>
    </row>
    <row r="7542" spans="1:12" ht="84" customHeight="1" x14ac:dyDescent="0.3">
      <c r="A7542" s="2">
        <v>7538</v>
      </c>
      <c r="B7542" s="66" t="s">
        <v>8989</v>
      </c>
      <c r="C7542" s="66" t="s">
        <v>9006</v>
      </c>
      <c r="D7542" s="11">
        <v>5400</v>
      </c>
      <c r="E7542" s="11">
        <v>5400</v>
      </c>
      <c r="F7542" s="3">
        <v>39142</v>
      </c>
      <c r="G7542" s="2"/>
      <c r="H7542" s="2"/>
      <c r="I7542" s="2"/>
      <c r="J7542" s="2" t="s">
        <v>13904</v>
      </c>
      <c r="K7542" s="2" t="s">
        <v>5657</v>
      </c>
      <c r="L7542" s="246" t="s">
        <v>22280</v>
      </c>
    </row>
    <row r="7543" spans="1:12" ht="84" customHeight="1" x14ac:dyDescent="0.3">
      <c r="A7543" s="2">
        <v>7539</v>
      </c>
      <c r="B7543" s="66" t="s">
        <v>9007</v>
      </c>
      <c r="C7543" s="66" t="s">
        <v>9008</v>
      </c>
      <c r="D7543" s="11">
        <v>3379.08</v>
      </c>
      <c r="E7543" s="11">
        <v>3379.08</v>
      </c>
      <c r="F7543" s="3">
        <v>39142</v>
      </c>
      <c r="G7543" s="2"/>
      <c r="H7543" s="2"/>
      <c r="I7543" s="2"/>
      <c r="J7543" s="2" t="s">
        <v>13904</v>
      </c>
      <c r="K7543" s="2" t="s">
        <v>5657</v>
      </c>
      <c r="L7543" s="246" t="s">
        <v>22280</v>
      </c>
    </row>
    <row r="7544" spans="1:12" ht="84" customHeight="1" x14ac:dyDescent="0.3">
      <c r="A7544" s="2">
        <v>7540</v>
      </c>
      <c r="B7544" s="66" t="s">
        <v>9009</v>
      </c>
      <c r="C7544" s="66" t="s">
        <v>9010</v>
      </c>
      <c r="D7544" s="11">
        <v>5427.83</v>
      </c>
      <c r="E7544" s="11">
        <v>5427.83</v>
      </c>
      <c r="F7544" s="3">
        <v>39142</v>
      </c>
      <c r="G7544" s="2"/>
      <c r="H7544" s="2"/>
      <c r="I7544" s="2"/>
      <c r="J7544" s="2" t="s">
        <v>13904</v>
      </c>
      <c r="K7544" s="2" t="s">
        <v>5657</v>
      </c>
      <c r="L7544" s="246" t="s">
        <v>22280</v>
      </c>
    </row>
    <row r="7545" spans="1:12" ht="84" customHeight="1" x14ac:dyDescent="0.3">
      <c r="A7545" s="2">
        <v>7541</v>
      </c>
      <c r="B7545" s="66" t="s">
        <v>9011</v>
      </c>
      <c r="C7545" s="66" t="s">
        <v>9012</v>
      </c>
      <c r="D7545" s="11">
        <v>4503.13</v>
      </c>
      <c r="E7545" s="11">
        <v>4503.13</v>
      </c>
      <c r="F7545" s="3">
        <v>39142</v>
      </c>
      <c r="G7545" s="2"/>
      <c r="H7545" s="2"/>
      <c r="I7545" s="2"/>
      <c r="J7545" s="2" t="s">
        <v>13904</v>
      </c>
      <c r="K7545" s="2" t="s">
        <v>5657</v>
      </c>
      <c r="L7545" s="246" t="s">
        <v>22280</v>
      </c>
    </row>
    <row r="7546" spans="1:12" ht="84" customHeight="1" x14ac:dyDescent="0.3">
      <c r="A7546" s="2">
        <v>7542</v>
      </c>
      <c r="B7546" s="66" t="s">
        <v>9013</v>
      </c>
      <c r="C7546" s="66" t="s">
        <v>9014</v>
      </c>
      <c r="D7546" s="11">
        <v>4056.25</v>
      </c>
      <c r="E7546" s="11">
        <v>4056.25</v>
      </c>
      <c r="F7546" s="3">
        <v>39142</v>
      </c>
      <c r="G7546" s="2"/>
      <c r="H7546" s="2"/>
      <c r="I7546" s="2"/>
      <c r="J7546" s="2" t="s">
        <v>13904</v>
      </c>
      <c r="K7546" s="2" t="s">
        <v>5657</v>
      </c>
      <c r="L7546" s="246" t="s">
        <v>22280</v>
      </c>
    </row>
    <row r="7547" spans="1:12" ht="84" customHeight="1" x14ac:dyDescent="0.3">
      <c r="A7547" s="2">
        <v>7543</v>
      </c>
      <c r="B7547" s="66" t="s">
        <v>9015</v>
      </c>
      <c r="C7547" s="66" t="s">
        <v>9016</v>
      </c>
      <c r="D7547" s="11">
        <v>26161.87</v>
      </c>
      <c r="E7547" s="11">
        <v>26161.87</v>
      </c>
      <c r="F7547" s="3">
        <v>39142</v>
      </c>
      <c r="G7547" s="2"/>
      <c r="H7547" s="2"/>
      <c r="I7547" s="2"/>
      <c r="J7547" s="2" t="s">
        <v>13904</v>
      </c>
      <c r="K7547" s="2" t="s">
        <v>5657</v>
      </c>
      <c r="L7547" s="246" t="s">
        <v>22280</v>
      </c>
    </row>
    <row r="7548" spans="1:12" ht="84" customHeight="1" x14ac:dyDescent="0.3">
      <c r="A7548" s="2">
        <v>7544</v>
      </c>
      <c r="B7548" s="66" t="s">
        <v>9017</v>
      </c>
      <c r="C7548" s="66" t="s">
        <v>9018</v>
      </c>
      <c r="D7548" s="11">
        <v>620285.05000000005</v>
      </c>
      <c r="E7548" s="11">
        <v>620285.05000000005</v>
      </c>
      <c r="F7548" s="3">
        <v>39058</v>
      </c>
      <c r="G7548" s="2"/>
      <c r="H7548" s="2"/>
      <c r="I7548" s="2"/>
      <c r="J7548" s="2" t="s">
        <v>13904</v>
      </c>
      <c r="K7548" s="2" t="s">
        <v>5657</v>
      </c>
      <c r="L7548" s="82" t="s">
        <v>18773</v>
      </c>
    </row>
    <row r="7549" spans="1:12" ht="84" customHeight="1" x14ac:dyDescent="0.3">
      <c r="A7549" s="2">
        <v>7545</v>
      </c>
      <c r="B7549" s="66" t="s">
        <v>9019</v>
      </c>
      <c r="C7549" s="66" t="s">
        <v>9020</v>
      </c>
      <c r="D7549" s="11">
        <v>7483.63</v>
      </c>
      <c r="E7549" s="11">
        <v>7483.63</v>
      </c>
      <c r="F7549" s="3">
        <v>39142</v>
      </c>
      <c r="G7549" s="2"/>
      <c r="H7549" s="2"/>
      <c r="I7549" s="2"/>
      <c r="J7549" s="2" t="s">
        <v>13904</v>
      </c>
      <c r="K7549" s="2" t="s">
        <v>5657</v>
      </c>
      <c r="L7549" s="246" t="s">
        <v>22280</v>
      </c>
    </row>
    <row r="7550" spans="1:12" ht="84" customHeight="1" x14ac:dyDescent="0.3">
      <c r="A7550" s="2">
        <v>7546</v>
      </c>
      <c r="B7550" s="66" t="s">
        <v>9021</v>
      </c>
      <c r="C7550" s="66" t="s">
        <v>9022</v>
      </c>
      <c r="D7550" s="11">
        <v>10212.5</v>
      </c>
      <c r="E7550" s="11">
        <v>10212.5</v>
      </c>
      <c r="F7550" s="3">
        <v>39142</v>
      </c>
      <c r="G7550" s="2"/>
      <c r="H7550" s="2"/>
      <c r="I7550" s="2"/>
      <c r="J7550" s="2" t="s">
        <v>13904</v>
      </c>
      <c r="K7550" s="2" t="s">
        <v>5657</v>
      </c>
      <c r="L7550" s="246" t="s">
        <v>22280</v>
      </c>
    </row>
    <row r="7551" spans="1:12" ht="84" customHeight="1" x14ac:dyDescent="0.3">
      <c r="A7551" s="2">
        <v>7547</v>
      </c>
      <c r="B7551" s="66" t="s">
        <v>9023</v>
      </c>
      <c r="C7551" s="66" t="s">
        <v>9024</v>
      </c>
      <c r="D7551" s="11">
        <v>7350</v>
      </c>
      <c r="E7551" s="11">
        <v>7350</v>
      </c>
      <c r="F7551" s="3">
        <v>39142</v>
      </c>
      <c r="G7551" s="2"/>
      <c r="H7551" s="2"/>
      <c r="I7551" s="2"/>
      <c r="J7551" s="2" t="s">
        <v>13904</v>
      </c>
      <c r="K7551" s="2" t="s">
        <v>5657</v>
      </c>
      <c r="L7551" s="246" t="s">
        <v>22280</v>
      </c>
    </row>
    <row r="7552" spans="1:12" ht="84" customHeight="1" x14ac:dyDescent="0.3">
      <c r="A7552" s="2">
        <v>7548</v>
      </c>
      <c r="B7552" s="66" t="s">
        <v>9025</v>
      </c>
      <c r="C7552" s="66" t="s">
        <v>9026</v>
      </c>
      <c r="D7552" s="11">
        <v>5850</v>
      </c>
      <c r="E7552" s="11">
        <v>5850</v>
      </c>
      <c r="F7552" s="3">
        <v>39142</v>
      </c>
      <c r="G7552" s="2"/>
      <c r="H7552" s="2"/>
      <c r="I7552" s="2"/>
      <c r="J7552" s="2" t="s">
        <v>13904</v>
      </c>
      <c r="K7552" s="2" t="s">
        <v>5657</v>
      </c>
      <c r="L7552" s="246" t="s">
        <v>22280</v>
      </c>
    </row>
    <row r="7553" spans="1:12" ht="84" customHeight="1" x14ac:dyDescent="0.3">
      <c r="A7553" s="2">
        <v>7549</v>
      </c>
      <c r="B7553" s="66" t="s">
        <v>9027</v>
      </c>
      <c r="C7553" s="66" t="s">
        <v>9028</v>
      </c>
      <c r="D7553" s="11">
        <v>8850</v>
      </c>
      <c r="E7553" s="11">
        <v>8850</v>
      </c>
      <c r="F7553" s="3">
        <v>39142</v>
      </c>
      <c r="G7553" s="2"/>
      <c r="H7553" s="2"/>
      <c r="I7553" s="2"/>
      <c r="J7553" s="2" t="s">
        <v>13904</v>
      </c>
      <c r="K7553" s="2" t="s">
        <v>5657</v>
      </c>
      <c r="L7553" s="246" t="s">
        <v>22280</v>
      </c>
    </row>
    <row r="7554" spans="1:12" ht="84" customHeight="1" x14ac:dyDescent="0.3">
      <c r="A7554" s="2">
        <v>7550</v>
      </c>
      <c r="B7554" s="66" t="s">
        <v>8981</v>
      </c>
      <c r="C7554" s="66" t="s">
        <v>9029</v>
      </c>
      <c r="D7554" s="11">
        <v>4562.5</v>
      </c>
      <c r="E7554" s="11">
        <v>4562.5</v>
      </c>
      <c r="F7554" s="3">
        <v>39142</v>
      </c>
      <c r="G7554" s="2"/>
      <c r="H7554" s="2"/>
      <c r="I7554" s="2"/>
      <c r="J7554" s="2" t="s">
        <v>13904</v>
      </c>
      <c r="K7554" s="2" t="s">
        <v>5657</v>
      </c>
      <c r="L7554" s="246" t="s">
        <v>22280</v>
      </c>
    </row>
    <row r="7555" spans="1:12" ht="84" customHeight="1" x14ac:dyDescent="0.3">
      <c r="A7555" s="2">
        <v>7551</v>
      </c>
      <c r="B7555" s="66" t="s">
        <v>8979</v>
      </c>
      <c r="C7555" s="66" t="s">
        <v>9030</v>
      </c>
      <c r="D7555" s="11">
        <v>4125</v>
      </c>
      <c r="E7555" s="11">
        <v>4125</v>
      </c>
      <c r="F7555" s="3">
        <v>39142</v>
      </c>
      <c r="G7555" s="2"/>
      <c r="H7555" s="2"/>
      <c r="I7555" s="2"/>
      <c r="J7555" s="2" t="s">
        <v>13904</v>
      </c>
      <c r="K7555" s="2" t="s">
        <v>5657</v>
      </c>
      <c r="L7555" s="246" t="s">
        <v>22280</v>
      </c>
    </row>
    <row r="7556" spans="1:12" ht="84" customHeight="1" x14ac:dyDescent="0.3">
      <c r="A7556" s="2">
        <v>7552</v>
      </c>
      <c r="B7556" s="66" t="s">
        <v>8983</v>
      </c>
      <c r="C7556" s="66" t="s">
        <v>9031</v>
      </c>
      <c r="D7556" s="11">
        <v>3451.5</v>
      </c>
      <c r="E7556" s="11">
        <v>3451.5</v>
      </c>
      <c r="F7556" s="3">
        <v>39142</v>
      </c>
      <c r="G7556" s="2"/>
      <c r="H7556" s="2"/>
      <c r="I7556" s="2"/>
      <c r="J7556" s="2" t="s">
        <v>13904</v>
      </c>
      <c r="K7556" s="2" t="s">
        <v>5657</v>
      </c>
      <c r="L7556" s="246" t="s">
        <v>22280</v>
      </c>
    </row>
    <row r="7557" spans="1:12" ht="84" customHeight="1" x14ac:dyDescent="0.3">
      <c r="A7557" s="2">
        <v>7553</v>
      </c>
      <c r="B7557" s="66" t="s">
        <v>9032</v>
      </c>
      <c r="C7557" s="66" t="s">
        <v>9033</v>
      </c>
      <c r="D7557" s="11">
        <v>3080.74</v>
      </c>
      <c r="E7557" s="11">
        <v>3080.74</v>
      </c>
      <c r="F7557" s="3">
        <v>39058</v>
      </c>
      <c r="G7557" s="2"/>
      <c r="H7557" s="2"/>
      <c r="I7557" s="2"/>
      <c r="J7557" s="2" t="s">
        <v>13904</v>
      </c>
      <c r="K7557" s="2" t="s">
        <v>5657</v>
      </c>
      <c r="L7557" s="246" t="s">
        <v>22280</v>
      </c>
    </row>
    <row r="7558" spans="1:12" ht="84" customHeight="1" x14ac:dyDescent="0.3">
      <c r="A7558" s="2">
        <v>7554</v>
      </c>
      <c r="B7558" s="66" t="s">
        <v>9034</v>
      </c>
      <c r="C7558" s="66" t="s">
        <v>9035</v>
      </c>
      <c r="D7558" s="11">
        <v>4137.5</v>
      </c>
      <c r="E7558" s="11">
        <v>4137.5</v>
      </c>
      <c r="F7558" s="3">
        <v>39142</v>
      </c>
      <c r="G7558" s="2"/>
      <c r="H7558" s="2"/>
      <c r="I7558" s="2"/>
      <c r="J7558" s="2" t="s">
        <v>13904</v>
      </c>
      <c r="K7558" s="2" t="s">
        <v>5657</v>
      </c>
      <c r="L7558" s="246" t="s">
        <v>22280</v>
      </c>
    </row>
    <row r="7559" spans="1:12" ht="84" customHeight="1" x14ac:dyDescent="0.3">
      <c r="A7559" s="2">
        <v>7555</v>
      </c>
      <c r="B7559" s="66" t="s">
        <v>9036</v>
      </c>
      <c r="C7559" s="66" t="s">
        <v>9037</v>
      </c>
      <c r="D7559" s="11">
        <v>8463.9599999999991</v>
      </c>
      <c r="E7559" s="11">
        <v>8463.9599999999991</v>
      </c>
      <c r="F7559" s="3">
        <v>39065</v>
      </c>
      <c r="G7559" s="2"/>
      <c r="H7559" s="2"/>
      <c r="I7559" s="2"/>
      <c r="J7559" s="2" t="s">
        <v>13904</v>
      </c>
      <c r="K7559" s="2" t="s">
        <v>5657</v>
      </c>
      <c r="L7559" s="246" t="s">
        <v>22280</v>
      </c>
    </row>
    <row r="7560" spans="1:12" ht="84" customHeight="1" x14ac:dyDescent="0.3">
      <c r="A7560" s="2">
        <v>7556</v>
      </c>
      <c r="B7560" s="66" t="s">
        <v>9038</v>
      </c>
      <c r="C7560" s="66" t="s">
        <v>9039</v>
      </c>
      <c r="D7560" s="11">
        <v>4490.6400000000003</v>
      </c>
      <c r="E7560" s="11">
        <v>4490.6400000000003</v>
      </c>
      <c r="F7560" s="3">
        <v>39065</v>
      </c>
      <c r="G7560" s="2"/>
      <c r="H7560" s="2"/>
      <c r="I7560" s="2"/>
      <c r="J7560" s="2" t="s">
        <v>13904</v>
      </c>
      <c r="K7560" s="2" t="s">
        <v>5657</v>
      </c>
      <c r="L7560" s="246" t="s">
        <v>22280</v>
      </c>
    </row>
    <row r="7561" spans="1:12" ht="84" customHeight="1" x14ac:dyDescent="0.3">
      <c r="A7561" s="2">
        <v>7557</v>
      </c>
      <c r="B7561" s="66" t="s">
        <v>9038</v>
      </c>
      <c r="C7561" s="66" t="s">
        <v>9040</v>
      </c>
      <c r="D7561" s="11">
        <v>4490.6400000000003</v>
      </c>
      <c r="E7561" s="11">
        <v>4490.6400000000003</v>
      </c>
      <c r="F7561" s="3">
        <v>39065</v>
      </c>
      <c r="G7561" s="2"/>
      <c r="H7561" s="2"/>
      <c r="I7561" s="2"/>
      <c r="J7561" s="2" t="s">
        <v>13904</v>
      </c>
      <c r="K7561" s="2" t="s">
        <v>5657</v>
      </c>
      <c r="L7561" s="246" t="s">
        <v>22280</v>
      </c>
    </row>
    <row r="7562" spans="1:12" ht="84" customHeight="1" x14ac:dyDescent="0.3">
      <c r="A7562" s="2">
        <v>7558</v>
      </c>
      <c r="B7562" s="66" t="s">
        <v>9038</v>
      </c>
      <c r="C7562" s="66" t="s">
        <v>9041</v>
      </c>
      <c r="D7562" s="11">
        <v>4490.6400000000003</v>
      </c>
      <c r="E7562" s="11">
        <v>4490.6400000000003</v>
      </c>
      <c r="F7562" s="3">
        <v>39065</v>
      </c>
      <c r="G7562" s="2"/>
      <c r="H7562" s="2"/>
      <c r="I7562" s="2"/>
      <c r="J7562" s="2" t="s">
        <v>13904</v>
      </c>
      <c r="K7562" s="2" t="s">
        <v>5657</v>
      </c>
      <c r="L7562" s="246" t="s">
        <v>22280</v>
      </c>
    </row>
    <row r="7563" spans="1:12" ht="84" customHeight="1" x14ac:dyDescent="0.3">
      <c r="A7563" s="2">
        <v>7559</v>
      </c>
      <c r="B7563" s="66" t="s">
        <v>9038</v>
      </c>
      <c r="C7563" s="66" t="s">
        <v>9042</v>
      </c>
      <c r="D7563" s="11">
        <v>4490.6400000000003</v>
      </c>
      <c r="E7563" s="11">
        <v>4490.6400000000003</v>
      </c>
      <c r="F7563" s="3">
        <v>39065</v>
      </c>
      <c r="G7563" s="2"/>
      <c r="H7563" s="2"/>
      <c r="I7563" s="2"/>
      <c r="J7563" s="2" t="s">
        <v>13904</v>
      </c>
      <c r="K7563" s="2" t="s">
        <v>5657</v>
      </c>
      <c r="L7563" s="246" t="s">
        <v>22280</v>
      </c>
    </row>
    <row r="7564" spans="1:12" ht="84" customHeight="1" x14ac:dyDescent="0.3">
      <c r="A7564" s="2">
        <v>7560</v>
      </c>
      <c r="B7564" s="66" t="s">
        <v>9036</v>
      </c>
      <c r="C7564" s="66" t="s">
        <v>9043</v>
      </c>
      <c r="D7564" s="11">
        <v>8463.9599999999991</v>
      </c>
      <c r="E7564" s="11">
        <v>8463.9599999999991</v>
      </c>
      <c r="F7564" s="3">
        <v>39065</v>
      </c>
      <c r="G7564" s="2"/>
      <c r="H7564" s="2"/>
      <c r="I7564" s="2"/>
      <c r="J7564" s="2" t="s">
        <v>13904</v>
      </c>
      <c r="K7564" s="2" t="s">
        <v>5657</v>
      </c>
      <c r="L7564" s="246" t="s">
        <v>22280</v>
      </c>
    </row>
    <row r="7565" spans="1:12" ht="84" customHeight="1" x14ac:dyDescent="0.3">
      <c r="A7565" s="2">
        <v>7561</v>
      </c>
      <c r="B7565" s="66" t="s">
        <v>9044</v>
      </c>
      <c r="C7565" s="66" t="s">
        <v>9045</v>
      </c>
      <c r="D7565" s="11">
        <v>20800</v>
      </c>
      <c r="E7565" s="11">
        <v>20800</v>
      </c>
      <c r="F7565" s="3">
        <v>39052</v>
      </c>
      <c r="G7565" s="2"/>
      <c r="H7565" s="2"/>
      <c r="I7565" s="2"/>
      <c r="J7565" s="2" t="s">
        <v>13904</v>
      </c>
      <c r="K7565" s="2" t="s">
        <v>5657</v>
      </c>
      <c r="L7565" s="246" t="s">
        <v>22280</v>
      </c>
    </row>
    <row r="7566" spans="1:12" ht="84" customHeight="1" x14ac:dyDescent="0.3">
      <c r="A7566" s="2">
        <v>7562</v>
      </c>
      <c r="B7566" s="66" t="s">
        <v>9046</v>
      </c>
      <c r="C7566" s="66" t="s">
        <v>9047</v>
      </c>
      <c r="D7566" s="11">
        <v>4253.88</v>
      </c>
      <c r="E7566" s="11">
        <v>4253.88</v>
      </c>
      <c r="F7566" s="3">
        <v>39052</v>
      </c>
      <c r="G7566" s="2"/>
      <c r="H7566" s="2"/>
      <c r="I7566" s="2"/>
      <c r="J7566" s="2" t="s">
        <v>13904</v>
      </c>
      <c r="K7566" s="2" t="s">
        <v>5657</v>
      </c>
      <c r="L7566" s="246" t="s">
        <v>22280</v>
      </c>
    </row>
    <row r="7567" spans="1:12" ht="84" customHeight="1" x14ac:dyDescent="0.3">
      <c r="A7567" s="2">
        <v>7563</v>
      </c>
      <c r="B7567" s="66" t="s">
        <v>9048</v>
      </c>
      <c r="C7567" s="66" t="s">
        <v>9049</v>
      </c>
      <c r="D7567" s="11">
        <v>5942186.46</v>
      </c>
      <c r="E7567" s="11">
        <v>3886001.37</v>
      </c>
      <c r="F7567" s="3">
        <v>39052</v>
      </c>
      <c r="G7567" s="2"/>
      <c r="H7567" s="2"/>
      <c r="I7567" s="2"/>
      <c r="J7567" s="2" t="s">
        <v>13904</v>
      </c>
      <c r="K7567" s="2" t="s">
        <v>5657</v>
      </c>
      <c r="L7567" s="82" t="s">
        <v>18773</v>
      </c>
    </row>
    <row r="7568" spans="1:12" ht="84" customHeight="1" x14ac:dyDescent="0.3">
      <c r="A7568" s="2">
        <v>7564</v>
      </c>
      <c r="B7568" s="66" t="s">
        <v>9050</v>
      </c>
      <c r="C7568" s="66" t="s">
        <v>9051</v>
      </c>
      <c r="D7568" s="11">
        <v>25257.14</v>
      </c>
      <c r="E7568" s="11">
        <v>25257.14</v>
      </c>
      <c r="F7568" s="3">
        <v>39059</v>
      </c>
      <c r="G7568" s="2"/>
      <c r="H7568" s="2"/>
      <c r="I7568" s="2"/>
      <c r="J7568" s="2" t="s">
        <v>13904</v>
      </c>
      <c r="K7568" s="2" t="s">
        <v>5657</v>
      </c>
      <c r="L7568" s="246" t="s">
        <v>22280</v>
      </c>
    </row>
    <row r="7569" spans="1:15" ht="84" customHeight="1" x14ac:dyDescent="0.3">
      <c r="A7569" s="2">
        <v>7565</v>
      </c>
      <c r="B7569" s="66" t="s">
        <v>9052</v>
      </c>
      <c r="C7569" s="66" t="s">
        <v>9053</v>
      </c>
      <c r="D7569" s="11">
        <v>3018.76</v>
      </c>
      <c r="E7569" s="11">
        <v>3018.76</v>
      </c>
      <c r="F7569" s="3">
        <v>39052</v>
      </c>
      <c r="G7569" s="2"/>
      <c r="H7569" s="2"/>
      <c r="I7569" s="2"/>
      <c r="J7569" s="2" t="s">
        <v>13904</v>
      </c>
      <c r="K7569" s="2" t="s">
        <v>5657</v>
      </c>
      <c r="L7569" s="246" t="s">
        <v>22280</v>
      </c>
    </row>
    <row r="7570" spans="1:15" ht="84" customHeight="1" x14ac:dyDescent="0.3">
      <c r="A7570" s="2">
        <v>7566</v>
      </c>
      <c r="B7570" s="66" t="s">
        <v>9054</v>
      </c>
      <c r="C7570" s="66" t="s">
        <v>9055</v>
      </c>
      <c r="D7570" s="11">
        <v>11510.7</v>
      </c>
      <c r="E7570" s="11">
        <v>11510.7</v>
      </c>
      <c r="F7570" s="3">
        <v>39052</v>
      </c>
      <c r="G7570" s="2"/>
      <c r="H7570" s="2"/>
      <c r="I7570" s="2"/>
      <c r="J7570" s="2" t="s">
        <v>13904</v>
      </c>
      <c r="K7570" s="2" t="s">
        <v>5657</v>
      </c>
      <c r="L7570" s="246" t="s">
        <v>22280</v>
      </c>
    </row>
    <row r="7571" spans="1:15" ht="84" customHeight="1" x14ac:dyDescent="0.3">
      <c r="A7571" s="2">
        <v>7567</v>
      </c>
      <c r="B7571" s="66" t="s">
        <v>2935</v>
      </c>
      <c r="C7571" s="66" t="s">
        <v>9056</v>
      </c>
      <c r="D7571" s="11">
        <v>3511.55</v>
      </c>
      <c r="E7571" s="11">
        <v>3511.55</v>
      </c>
      <c r="F7571" s="3">
        <v>36683</v>
      </c>
      <c r="G7571" s="2"/>
      <c r="H7571" s="2"/>
      <c r="I7571" s="2"/>
      <c r="J7571" s="2" t="s">
        <v>13904</v>
      </c>
      <c r="K7571" s="2" t="s">
        <v>5657</v>
      </c>
      <c r="L7571" s="246" t="s">
        <v>22280</v>
      </c>
    </row>
    <row r="7572" spans="1:15" ht="84" customHeight="1" x14ac:dyDescent="0.3">
      <c r="A7572" s="2">
        <v>7568</v>
      </c>
      <c r="B7572" s="66" t="s">
        <v>9057</v>
      </c>
      <c r="C7572" s="66" t="s">
        <v>9058</v>
      </c>
      <c r="D7572" s="11">
        <v>9900</v>
      </c>
      <c r="E7572" s="11">
        <v>9900</v>
      </c>
      <c r="F7572" s="3">
        <v>39142</v>
      </c>
      <c r="G7572" s="2"/>
      <c r="H7572" s="2"/>
      <c r="I7572" s="2"/>
      <c r="J7572" s="2" t="s">
        <v>13904</v>
      </c>
      <c r="K7572" s="2" t="s">
        <v>5657</v>
      </c>
      <c r="L7572" s="246" t="s">
        <v>22280</v>
      </c>
    </row>
    <row r="7573" spans="1:15" ht="84" customHeight="1" x14ac:dyDescent="0.3">
      <c r="A7573" s="2">
        <v>7569</v>
      </c>
      <c r="B7573" s="66" t="s">
        <v>9059</v>
      </c>
      <c r="C7573" s="66" t="s">
        <v>9060</v>
      </c>
      <c r="D7573" s="11">
        <v>5400</v>
      </c>
      <c r="E7573" s="11">
        <v>5400</v>
      </c>
      <c r="F7573" s="3">
        <v>39142</v>
      </c>
      <c r="G7573" s="2"/>
      <c r="H7573" s="2"/>
      <c r="I7573" s="2"/>
      <c r="J7573" s="2" t="s">
        <v>13904</v>
      </c>
      <c r="K7573" s="2" t="s">
        <v>5657</v>
      </c>
      <c r="L7573" s="246" t="s">
        <v>22280</v>
      </c>
      <c r="M7573" s="18"/>
      <c r="N7573" s="18"/>
      <c r="O7573" s="18"/>
    </row>
    <row r="7574" spans="1:15" ht="84" customHeight="1" x14ac:dyDescent="0.3">
      <c r="A7574" s="2">
        <v>7570</v>
      </c>
      <c r="B7574" s="66" t="s">
        <v>9061</v>
      </c>
      <c r="C7574" s="66" t="s">
        <v>9062</v>
      </c>
      <c r="D7574" s="11">
        <v>515561.26</v>
      </c>
      <c r="E7574" s="11">
        <v>515561.26</v>
      </c>
      <c r="F7574" s="3">
        <v>39058</v>
      </c>
      <c r="G7574" s="2"/>
      <c r="H7574" s="2"/>
      <c r="I7574" s="2"/>
      <c r="J7574" s="2" t="s">
        <v>13904</v>
      </c>
      <c r="K7574" s="2" t="s">
        <v>5657</v>
      </c>
      <c r="L7574" s="82" t="s">
        <v>18773</v>
      </c>
    </row>
    <row r="7575" spans="1:15" ht="84" customHeight="1" x14ac:dyDescent="0.3">
      <c r="A7575" s="2">
        <v>7571</v>
      </c>
      <c r="B7575" s="66" t="s">
        <v>9063</v>
      </c>
      <c r="C7575" s="66" t="s">
        <v>9064</v>
      </c>
      <c r="D7575" s="11">
        <v>7140</v>
      </c>
      <c r="E7575" s="11">
        <v>7140</v>
      </c>
      <c r="F7575" s="3">
        <v>39142</v>
      </c>
      <c r="G7575" s="2"/>
      <c r="H7575" s="2"/>
      <c r="I7575" s="2"/>
      <c r="J7575" s="2" t="s">
        <v>13904</v>
      </c>
      <c r="K7575" s="2" t="s">
        <v>5657</v>
      </c>
      <c r="L7575" s="246" t="s">
        <v>22280</v>
      </c>
    </row>
    <row r="7576" spans="1:15" ht="84" customHeight="1" x14ac:dyDescent="0.3">
      <c r="A7576" s="2">
        <v>7572</v>
      </c>
      <c r="B7576" s="66" t="s">
        <v>9065</v>
      </c>
      <c r="C7576" s="66" t="s">
        <v>9066</v>
      </c>
      <c r="D7576" s="11">
        <v>11700</v>
      </c>
      <c r="E7576" s="11">
        <v>11700</v>
      </c>
      <c r="F7576" s="3">
        <v>39142</v>
      </c>
      <c r="G7576" s="2"/>
      <c r="H7576" s="2"/>
      <c r="I7576" s="2"/>
      <c r="J7576" s="2" t="s">
        <v>13904</v>
      </c>
      <c r="K7576" s="2" t="s">
        <v>5657</v>
      </c>
      <c r="L7576" s="246" t="s">
        <v>22280</v>
      </c>
    </row>
    <row r="7577" spans="1:15" ht="84" customHeight="1" x14ac:dyDescent="0.3">
      <c r="A7577" s="2">
        <v>7573</v>
      </c>
      <c r="B7577" s="66" t="s">
        <v>9067</v>
      </c>
      <c r="C7577" s="66" t="s">
        <v>9068</v>
      </c>
      <c r="D7577" s="11">
        <v>11700</v>
      </c>
      <c r="E7577" s="11">
        <v>11700</v>
      </c>
      <c r="F7577" s="3">
        <v>39142</v>
      </c>
      <c r="G7577" s="2"/>
      <c r="H7577" s="2"/>
      <c r="I7577" s="2"/>
      <c r="J7577" s="2" t="s">
        <v>13904</v>
      </c>
      <c r="K7577" s="2" t="s">
        <v>5657</v>
      </c>
      <c r="L7577" s="246" t="s">
        <v>22280</v>
      </c>
    </row>
    <row r="7578" spans="1:15" ht="84" customHeight="1" x14ac:dyDescent="0.3">
      <c r="A7578" s="2">
        <v>7574</v>
      </c>
      <c r="B7578" s="66" t="s">
        <v>9069</v>
      </c>
      <c r="C7578" s="66" t="s">
        <v>9070</v>
      </c>
      <c r="D7578" s="11">
        <v>11700</v>
      </c>
      <c r="E7578" s="11">
        <v>11700</v>
      </c>
      <c r="F7578" s="3">
        <v>39142</v>
      </c>
      <c r="G7578" s="2"/>
      <c r="H7578" s="2"/>
      <c r="I7578" s="2"/>
      <c r="J7578" s="2" t="s">
        <v>13904</v>
      </c>
      <c r="K7578" s="2" t="s">
        <v>5657</v>
      </c>
      <c r="L7578" s="246" t="s">
        <v>22280</v>
      </c>
    </row>
    <row r="7579" spans="1:15" ht="84" customHeight="1" x14ac:dyDescent="0.3">
      <c r="A7579" s="2">
        <v>7575</v>
      </c>
      <c r="B7579" s="66" t="s">
        <v>9071</v>
      </c>
      <c r="C7579" s="66" t="s">
        <v>9072</v>
      </c>
      <c r="D7579" s="11">
        <v>11700</v>
      </c>
      <c r="E7579" s="11">
        <v>11700</v>
      </c>
      <c r="F7579" s="3">
        <v>39142</v>
      </c>
      <c r="G7579" s="2"/>
      <c r="H7579" s="2"/>
      <c r="I7579" s="2"/>
      <c r="J7579" s="2" t="s">
        <v>13904</v>
      </c>
      <c r="K7579" s="2" t="s">
        <v>5657</v>
      </c>
      <c r="L7579" s="246" t="s">
        <v>22280</v>
      </c>
    </row>
    <row r="7580" spans="1:15" ht="84" customHeight="1" x14ac:dyDescent="0.3">
      <c r="A7580" s="2">
        <v>7576</v>
      </c>
      <c r="B7580" s="66" t="s">
        <v>9073</v>
      </c>
      <c r="C7580" s="66" t="s">
        <v>9074</v>
      </c>
      <c r="D7580" s="11">
        <v>25020</v>
      </c>
      <c r="E7580" s="11">
        <v>25020</v>
      </c>
      <c r="F7580" s="3">
        <v>39142</v>
      </c>
      <c r="G7580" s="2"/>
      <c r="H7580" s="2"/>
      <c r="I7580" s="2"/>
      <c r="J7580" s="2" t="s">
        <v>13904</v>
      </c>
      <c r="K7580" s="2" t="s">
        <v>5657</v>
      </c>
      <c r="L7580" s="246" t="s">
        <v>22280</v>
      </c>
    </row>
    <row r="7581" spans="1:15" ht="84" customHeight="1" x14ac:dyDescent="0.3">
      <c r="A7581" s="2">
        <v>7577</v>
      </c>
      <c r="B7581" s="66" t="s">
        <v>9075</v>
      </c>
      <c r="C7581" s="66" t="s">
        <v>9076</v>
      </c>
      <c r="D7581" s="11">
        <v>9779.99</v>
      </c>
      <c r="E7581" s="11">
        <v>9779.99</v>
      </c>
      <c r="F7581" s="3">
        <v>39142</v>
      </c>
      <c r="G7581" s="2"/>
      <c r="H7581" s="2"/>
      <c r="I7581" s="2"/>
      <c r="J7581" s="2" t="s">
        <v>13904</v>
      </c>
      <c r="K7581" s="2" t="s">
        <v>5657</v>
      </c>
      <c r="L7581" s="246" t="s">
        <v>22280</v>
      </c>
    </row>
    <row r="7582" spans="1:15" ht="84" customHeight="1" x14ac:dyDescent="0.3">
      <c r="A7582" s="2">
        <v>7578</v>
      </c>
      <c r="B7582" s="66" t="s">
        <v>9077</v>
      </c>
      <c r="C7582" s="66" t="s">
        <v>9078</v>
      </c>
      <c r="D7582" s="11">
        <v>12180</v>
      </c>
      <c r="E7582" s="11">
        <v>12180</v>
      </c>
      <c r="F7582" s="3">
        <v>39142</v>
      </c>
      <c r="G7582" s="2"/>
      <c r="H7582" s="2"/>
      <c r="I7582" s="2"/>
      <c r="J7582" s="2" t="s">
        <v>13904</v>
      </c>
      <c r="K7582" s="2" t="s">
        <v>5657</v>
      </c>
      <c r="L7582" s="246" t="s">
        <v>22280</v>
      </c>
    </row>
    <row r="7583" spans="1:15" ht="84" customHeight="1" x14ac:dyDescent="0.3">
      <c r="A7583" s="2">
        <v>7579</v>
      </c>
      <c r="B7583" s="66" t="s">
        <v>9079</v>
      </c>
      <c r="C7583" s="66" t="s">
        <v>9080</v>
      </c>
      <c r="D7583" s="11">
        <v>4191.93</v>
      </c>
      <c r="E7583" s="11">
        <v>4191.93</v>
      </c>
      <c r="F7583" s="3">
        <v>36292</v>
      </c>
      <c r="G7583" s="2"/>
      <c r="H7583" s="2"/>
      <c r="I7583" s="2"/>
      <c r="J7583" s="2" t="s">
        <v>13904</v>
      </c>
      <c r="K7583" s="2" t="s">
        <v>5657</v>
      </c>
      <c r="L7583" s="246" t="s">
        <v>22280</v>
      </c>
    </row>
    <row r="7584" spans="1:15" ht="84" customHeight="1" x14ac:dyDescent="0.3">
      <c r="A7584" s="2">
        <v>7580</v>
      </c>
      <c r="B7584" s="66" t="s">
        <v>9081</v>
      </c>
      <c r="C7584" s="66" t="s">
        <v>9082</v>
      </c>
      <c r="D7584" s="11">
        <v>3080.74</v>
      </c>
      <c r="E7584" s="11">
        <v>3080.74</v>
      </c>
      <c r="F7584" s="3">
        <v>39058</v>
      </c>
      <c r="G7584" s="2"/>
      <c r="H7584" s="2"/>
      <c r="I7584" s="2"/>
      <c r="J7584" s="2" t="s">
        <v>13904</v>
      </c>
      <c r="K7584" s="2" t="s">
        <v>5657</v>
      </c>
      <c r="L7584" s="246" t="s">
        <v>22280</v>
      </c>
    </row>
    <row r="7585" spans="1:15" ht="84" customHeight="1" x14ac:dyDescent="0.3">
      <c r="A7585" s="2">
        <v>7581</v>
      </c>
      <c r="B7585" s="66" t="s">
        <v>9083</v>
      </c>
      <c r="C7585" s="66" t="s">
        <v>9084</v>
      </c>
      <c r="D7585" s="11">
        <v>3349.17</v>
      </c>
      <c r="E7585" s="11">
        <v>3349.17</v>
      </c>
      <c r="F7585" s="3">
        <v>39052</v>
      </c>
      <c r="G7585" s="2"/>
      <c r="H7585" s="2"/>
      <c r="I7585" s="2"/>
      <c r="J7585" s="2" t="s">
        <v>13904</v>
      </c>
      <c r="K7585" s="2" t="s">
        <v>5657</v>
      </c>
      <c r="L7585" s="246" t="s">
        <v>22280</v>
      </c>
    </row>
    <row r="7586" spans="1:15" ht="84" customHeight="1" x14ac:dyDescent="0.3">
      <c r="A7586" s="2">
        <v>7582</v>
      </c>
      <c r="B7586" s="66" t="s">
        <v>9085</v>
      </c>
      <c r="C7586" s="66" t="s">
        <v>9086</v>
      </c>
      <c r="D7586" s="11">
        <v>17477.48</v>
      </c>
      <c r="E7586" s="11">
        <v>17477.48</v>
      </c>
      <c r="F7586" s="3">
        <v>39052</v>
      </c>
      <c r="G7586" s="2"/>
      <c r="H7586" s="2"/>
      <c r="I7586" s="2"/>
      <c r="J7586" s="2" t="s">
        <v>13904</v>
      </c>
      <c r="K7586" s="2" t="s">
        <v>5657</v>
      </c>
      <c r="L7586" s="246" t="s">
        <v>22280</v>
      </c>
    </row>
    <row r="7587" spans="1:15" ht="84" customHeight="1" x14ac:dyDescent="0.3">
      <c r="A7587" s="2">
        <v>7583</v>
      </c>
      <c r="B7587" s="66" t="s">
        <v>9087</v>
      </c>
      <c r="C7587" s="66" t="s">
        <v>9088</v>
      </c>
      <c r="D7587" s="11">
        <v>3304.31</v>
      </c>
      <c r="E7587" s="11">
        <v>3304.31</v>
      </c>
      <c r="F7587" s="3">
        <v>39052</v>
      </c>
      <c r="G7587" s="2"/>
      <c r="H7587" s="2"/>
      <c r="I7587" s="2"/>
      <c r="J7587" s="2" t="s">
        <v>13904</v>
      </c>
      <c r="K7587" s="2" t="s">
        <v>5657</v>
      </c>
      <c r="L7587" s="246" t="s">
        <v>22280</v>
      </c>
    </row>
    <row r="7588" spans="1:15" ht="84" customHeight="1" x14ac:dyDescent="0.3">
      <c r="A7588" s="2">
        <v>7584</v>
      </c>
      <c r="B7588" s="66" t="s">
        <v>9089</v>
      </c>
      <c r="C7588" s="66" t="s">
        <v>9090</v>
      </c>
      <c r="D7588" s="11">
        <v>4689.2299999999996</v>
      </c>
      <c r="E7588" s="11">
        <v>4689.2299999999996</v>
      </c>
      <c r="F7588" s="3">
        <v>39052</v>
      </c>
      <c r="G7588" s="2"/>
      <c r="H7588" s="2"/>
      <c r="I7588" s="2"/>
      <c r="J7588" s="2" t="s">
        <v>13904</v>
      </c>
      <c r="K7588" s="2" t="s">
        <v>5657</v>
      </c>
      <c r="L7588" s="246" t="s">
        <v>22280</v>
      </c>
    </row>
    <row r="7589" spans="1:15" ht="84" customHeight="1" x14ac:dyDescent="0.3">
      <c r="A7589" s="2">
        <v>7585</v>
      </c>
      <c r="B7589" s="66" t="s">
        <v>9091</v>
      </c>
      <c r="C7589" s="66" t="s">
        <v>9092</v>
      </c>
      <c r="D7589" s="11">
        <v>3297.65</v>
      </c>
      <c r="E7589" s="11">
        <v>3297.65</v>
      </c>
      <c r="F7589" s="3">
        <v>39052</v>
      </c>
      <c r="G7589" s="2"/>
      <c r="H7589" s="2"/>
      <c r="I7589" s="2"/>
      <c r="J7589" s="2" t="s">
        <v>13904</v>
      </c>
      <c r="K7589" s="2" t="s">
        <v>5657</v>
      </c>
      <c r="L7589" s="246" t="s">
        <v>22280</v>
      </c>
    </row>
    <row r="7590" spans="1:15" ht="84" customHeight="1" x14ac:dyDescent="0.3">
      <c r="A7590" s="2">
        <v>7586</v>
      </c>
      <c r="B7590" s="66" t="s">
        <v>9093</v>
      </c>
      <c r="C7590" s="66" t="s">
        <v>9094</v>
      </c>
      <c r="D7590" s="11">
        <v>3850</v>
      </c>
      <c r="E7590" s="11">
        <v>3850</v>
      </c>
      <c r="F7590" s="3">
        <v>39052</v>
      </c>
      <c r="G7590" s="2"/>
      <c r="H7590" s="2"/>
      <c r="I7590" s="2"/>
      <c r="J7590" s="2" t="s">
        <v>13904</v>
      </c>
      <c r="K7590" s="2" t="s">
        <v>5657</v>
      </c>
      <c r="L7590" s="246" t="s">
        <v>22280</v>
      </c>
    </row>
    <row r="7591" spans="1:15" ht="84" customHeight="1" x14ac:dyDescent="0.3">
      <c r="A7591" s="2">
        <v>7587</v>
      </c>
      <c r="B7591" s="66" t="s">
        <v>9095</v>
      </c>
      <c r="C7591" s="66" t="s">
        <v>9096</v>
      </c>
      <c r="D7591" s="11">
        <v>3869.57</v>
      </c>
      <c r="E7591" s="11">
        <v>3869.57</v>
      </c>
      <c r="F7591" s="3">
        <v>39052</v>
      </c>
      <c r="G7591" s="2"/>
      <c r="H7591" s="2"/>
      <c r="I7591" s="2"/>
      <c r="J7591" s="2" t="s">
        <v>13904</v>
      </c>
      <c r="K7591" s="2" t="s">
        <v>5657</v>
      </c>
      <c r="L7591" s="246" t="s">
        <v>22280</v>
      </c>
    </row>
    <row r="7592" spans="1:15" ht="84" customHeight="1" x14ac:dyDescent="0.3">
      <c r="A7592" s="2">
        <v>7588</v>
      </c>
      <c r="B7592" s="66" t="s">
        <v>9097</v>
      </c>
      <c r="C7592" s="66" t="s">
        <v>9098</v>
      </c>
      <c r="D7592" s="11">
        <v>3080.74</v>
      </c>
      <c r="E7592" s="11">
        <v>3080.74</v>
      </c>
      <c r="F7592" s="3">
        <v>39058</v>
      </c>
      <c r="G7592" s="2"/>
      <c r="H7592" s="2"/>
      <c r="I7592" s="2"/>
      <c r="J7592" s="2" t="s">
        <v>13904</v>
      </c>
      <c r="K7592" s="2" t="s">
        <v>5657</v>
      </c>
      <c r="L7592" s="246" t="s">
        <v>22280</v>
      </c>
    </row>
    <row r="7593" spans="1:15" ht="84" customHeight="1" x14ac:dyDescent="0.3">
      <c r="A7593" s="2">
        <v>7589</v>
      </c>
      <c r="B7593" s="66" t="s">
        <v>9099</v>
      </c>
      <c r="C7593" s="66" t="s">
        <v>9100</v>
      </c>
      <c r="D7593" s="11">
        <v>4191.93</v>
      </c>
      <c r="E7593" s="11">
        <v>4191.93</v>
      </c>
      <c r="F7593" s="3">
        <v>37021</v>
      </c>
      <c r="G7593" s="2"/>
      <c r="H7593" s="2"/>
      <c r="I7593" s="2"/>
      <c r="J7593" s="2" t="s">
        <v>13904</v>
      </c>
      <c r="K7593" s="2" t="s">
        <v>5657</v>
      </c>
      <c r="L7593" s="246" t="s">
        <v>22280</v>
      </c>
    </row>
    <row r="7594" spans="1:15" ht="84" customHeight="1" x14ac:dyDescent="0.3">
      <c r="A7594" s="2">
        <v>7590</v>
      </c>
      <c r="B7594" s="66" t="s">
        <v>9101</v>
      </c>
      <c r="C7594" s="66" t="s">
        <v>9102</v>
      </c>
      <c r="D7594" s="11">
        <v>85003</v>
      </c>
      <c r="E7594" s="11">
        <v>85003</v>
      </c>
      <c r="F7594" s="3">
        <v>39941</v>
      </c>
      <c r="G7594" s="2"/>
      <c r="H7594" s="2"/>
      <c r="I7594" s="2"/>
      <c r="J7594" s="2" t="s">
        <v>13904</v>
      </c>
      <c r="K7594" s="2" t="s">
        <v>5657</v>
      </c>
      <c r="L7594" s="82" t="s">
        <v>18773</v>
      </c>
      <c r="M7594" s="18"/>
      <c r="N7594" s="18"/>
      <c r="O7594" s="18"/>
    </row>
    <row r="7595" spans="1:15" ht="84" customHeight="1" x14ac:dyDescent="0.3">
      <c r="A7595" s="2">
        <v>7591</v>
      </c>
      <c r="B7595" s="66" t="s">
        <v>9103</v>
      </c>
      <c r="C7595" s="66" t="s">
        <v>9104</v>
      </c>
      <c r="D7595" s="11">
        <v>3080.74</v>
      </c>
      <c r="E7595" s="11">
        <v>3080.74</v>
      </c>
      <c r="F7595" s="3">
        <v>39058</v>
      </c>
      <c r="G7595" s="2"/>
      <c r="H7595" s="2"/>
      <c r="I7595" s="2"/>
      <c r="J7595" s="2" t="s">
        <v>13904</v>
      </c>
      <c r="K7595" s="2" t="s">
        <v>5657</v>
      </c>
      <c r="L7595" s="246" t="s">
        <v>22280</v>
      </c>
    </row>
    <row r="7596" spans="1:15" ht="84" customHeight="1" x14ac:dyDescent="0.3">
      <c r="A7596" s="2">
        <v>7592</v>
      </c>
      <c r="B7596" s="66" t="s">
        <v>9105</v>
      </c>
      <c r="C7596" s="66" t="s">
        <v>9106</v>
      </c>
      <c r="D7596" s="11">
        <v>85003</v>
      </c>
      <c r="E7596" s="11">
        <v>63752.4</v>
      </c>
      <c r="F7596" s="3">
        <v>39941</v>
      </c>
      <c r="G7596" s="2"/>
      <c r="H7596" s="2"/>
      <c r="I7596" s="2"/>
      <c r="J7596" s="2" t="s">
        <v>13904</v>
      </c>
      <c r="K7596" s="2" t="s">
        <v>5657</v>
      </c>
      <c r="L7596" s="82" t="s">
        <v>18773</v>
      </c>
    </row>
    <row r="7597" spans="1:15" ht="84" customHeight="1" x14ac:dyDescent="0.3">
      <c r="A7597" s="2">
        <v>7593</v>
      </c>
      <c r="B7597" s="66" t="s">
        <v>9107</v>
      </c>
      <c r="C7597" s="66" t="s">
        <v>9108</v>
      </c>
      <c r="D7597" s="11">
        <v>4453.32</v>
      </c>
      <c r="E7597" s="11">
        <v>4453.32</v>
      </c>
      <c r="F7597" s="3">
        <v>39052</v>
      </c>
      <c r="G7597" s="2"/>
      <c r="H7597" s="2"/>
      <c r="I7597" s="2"/>
      <c r="J7597" s="2" t="s">
        <v>13904</v>
      </c>
      <c r="K7597" s="2" t="s">
        <v>5657</v>
      </c>
      <c r="L7597" s="246" t="s">
        <v>22280</v>
      </c>
    </row>
    <row r="7598" spans="1:15" ht="84" customHeight="1" x14ac:dyDescent="0.3">
      <c r="A7598" s="2">
        <v>7594</v>
      </c>
      <c r="B7598" s="66" t="s">
        <v>9109</v>
      </c>
      <c r="C7598" s="66" t="s">
        <v>9110</v>
      </c>
      <c r="D7598" s="11">
        <v>3088.25</v>
      </c>
      <c r="E7598" s="11">
        <v>3088.25</v>
      </c>
      <c r="F7598" s="3">
        <v>39052</v>
      </c>
      <c r="G7598" s="2"/>
      <c r="H7598" s="2"/>
      <c r="I7598" s="2"/>
      <c r="J7598" s="2" t="s">
        <v>13904</v>
      </c>
      <c r="K7598" s="2" t="s">
        <v>5657</v>
      </c>
      <c r="L7598" s="246" t="s">
        <v>22280</v>
      </c>
    </row>
    <row r="7599" spans="1:15" ht="84" customHeight="1" x14ac:dyDescent="0.3">
      <c r="A7599" s="2">
        <v>7595</v>
      </c>
      <c r="B7599" s="66" t="s">
        <v>9111</v>
      </c>
      <c r="C7599" s="66" t="s">
        <v>9112</v>
      </c>
      <c r="D7599" s="11">
        <v>3304.3</v>
      </c>
      <c r="E7599" s="11">
        <v>3304.3</v>
      </c>
      <c r="F7599" s="3">
        <v>39065</v>
      </c>
      <c r="G7599" s="2"/>
      <c r="H7599" s="2"/>
      <c r="I7599" s="2"/>
      <c r="J7599" s="2" t="s">
        <v>13904</v>
      </c>
      <c r="K7599" s="2" t="s">
        <v>5657</v>
      </c>
      <c r="L7599" s="246" t="s">
        <v>22280</v>
      </c>
    </row>
    <row r="7600" spans="1:15" ht="84" customHeight="1" x14ac:dyDescent="0.3">
      <c r="A7600" s="2">
        <v>7596</v>
      </c>
      <c r="B7600" s="66" t="s">
        <v>9113</v>
      </c>
      <c r="C7600" s="66" t="s">
        <v>9114</v>
      </c>
      <c r="D7600" s="11">
        <v>5118.5600000000004</v>
      </c>
      <c r="E7600" s="11">
        <v>5118.5600000000004</v>
      </c>
      <c r="F7600" s="3">
        <v>39052</v>
      </c>
      <c r="G7600" s="2"/>
      <c r="H7600" s="2"/>
      <c r="I7600" s="2"/>
      <c r="J7600" s="2" t="s">
        <v>13904</v>
      </c>
      <c r="K7600" s="2" t="s">
        <v>5657</v>
      </c>
      <c r="L7600" s="246" t="s">
        <v>22280</v>
      </c>
    </row>
    <row r="7601" spans="1:12" ht="84" customHeight="1" x14ac:dyDescent="0.3">
      <c r="A7601" s="2">
        <v>7597</v>
      </c>
      <c r="B7601" s="66" t="s">
        <v>9115</v>
      </c>
      <c r="C7601" s="66" t="s">
        <v>9116</v>
      </c>
      <c r="D7601" s="11">
        <v>10761.08</v>
      </c>
      <c r="E7601" s="11">
        <v>10761.08</v>
      </c>
      <c r="F7601" s="3">
        <v>39052</v>
      </c>
      <c r="G7601" s="2"/>
      <c r="H7601" s="2"/>
      <c r="I7601" s="2"/>
      <c r="J7601" s="2" t="s">
        <v>13904</v>
      </c>
      <c r="K7601" s="2" t="s">
        <v>5657</v>
      </c>
      <c r="L7601" s="246" t="s">
        <v>22280</v>
      </c>
    </row>
    <row r="7602" spans="1:12" ht="84" customHeight="1" x14ac:dyDescent="0.3">
      <c r="A7602" s="2">
        <v>7598</v>
      </c>
      <c r="B7602" s="66" t="s">
        <v>9117</v>
      </c>
      <c r="C7602" s="66" t="s">
        <v>9118</v>
      </c>
      <c r="D7602" s="11">
        <v>4128.8999999999996</v>
      </c>
      <c r="E7602" s="11">
        <v>4128.8999999999996</v>
      </c>
      <c r="F7602" s="3">
        <v>39142</v>
      </c>
      <c r="G7602" s="2"/>
      <c r="H7602" s="2"/>
      <c r="I7602" s="2"/>
      <c r="J7602" s="2" t="s">
        <v>13904</v>
      </c>
      <c r="K7602" s="2" t="s">
        <v>5657</v>
      </c>
      <c r="L7602" s="246" t="s">
        <v>22280</v>
      </c>
    </row>
    <row r="7603" spans="1:12" ht="84" customHeight="1" x14ac:dyDescent="0.3">
      <c r="A7603" s="2">
        <v>7599</v>
      </c>
      <c r="B7603" s="66" t="s">
        <v>9119</v>
      </c>
      <c r="C7603" s="66" t="s">
        <v>9120</v>
      </c>
      <c r="D7603" s="11">
        <v>5592.15</v>
      </c>
      <c r="E7603" s="11">
        <v>5592.15</v>
      </c>
      <c r="F7603" s="3">
        <v>35566</v>
      </c>
      <c r="G7603" s="2"/>
      <c r="H7603" s="2"/>
      <c r="I7603" s="2"/>
      <c r="J7603" s="2" t="s">
        <v>13904</v>
      </c>
      <c r="K7603" s="2" t="s">
        <v>5657</v>
      </c>
      <c r="L7603" s="246" t="s">
        <v>22280</v>
      </c>
    </row>
    <row r="7604" spans="1:12" ht="84" customHeight="1" x14ac:dyDescent="0.3">
      <c r="A7604" s="2">
        <v>7600</v>
      </c>
      <c r="B7604" s="66" t="s">
        <v>9121</v>
      </c>
      <c r="C7604" s="66" t="s">
        <v>9122</v>
      </c>
      <c r="D7604" s="11">
        <v>5232.5</v>
      </c>
      <c r="E7604" s="11">
        <v>5232.5</v>
      </c>
      <c r="F7604" s="3">
        <v>39142</v>
      </c>
      <c r="G7604" s="2"/>
      <c r="H7604" s="2"/>
      <c r="I7604" s="2"/>
      <c r="J7604" s="2" t="s">
        <v>13904</v>
      </c>
      <c r="K7604" s="2" t="s">
        <v>5657</v>
      </c>
      <c r="L7604" s="246" t="s">
        <v>22280</v>
      </c>
    </row>
    <row r="7605" spans="1:12" ht="84" customHeight="1" x14ac:dyDescent="0.3">
      <c r="A7605" s="2">
        <v>7601</v>
      </c>
      <c r="B7605" s="66" t="s">
        <v>9123</v>
      </c>
      <c r="C7605" s="66" t="s">
        <v>9124</v>
      </c>
      <c r="D7605" s="11">
        <v>4641</v>
      </c>
      <c r="E7605" s="11">
        <v>4641</v>
      </c>
      <c r="F7605" s="3">
        <v>39142</v>
      </c>
      <c r="G7605" s="2"/>
      <c r="H7605" s="2"/>
      <c r="I7605" s="2"/>
      <c r="J7605" s="2" t="s">
        <v>13904</v>
      </c>
      <c r="K7605" s="2" t="s">
        <v>5657</v>
      </c>
      <c r="L7605" s="246" t="s">
        <v>22280</v>
      </c>
    </row>
    <row r="7606" spans="1:12" ht="84" customHeight="1" x14ac:dyDescent="0.3">
      <c r="A7606" s="2">
        <v>7602</v>
      </c>
      <c r="B7606" s="66" t="s">
        <v>9125</v>
      </c>
      <c r="C7606" s="66" t="s">
        <v>9126</v>
      </c>
      <c r="D7606" s="11">
        <v>4124.66</v>
      </c>
      <c r="E7606" s="11">
        <v>4124.66</v>
      </c>
      <c r="F7606" s="3">
        <v>39142</v>
      </c>
      <c r="G7606" s="2"/>
      <c r="H7606" s="2"/>
      <c r="I7606" s="2"/>
      <c r="J7606" s="2" t="s">
        <v>13904</v>
      </c>
      <c r="K7606" s="2" t="s">
        <v>5657</v>
      </c>
      <c r="L7606" s="246" t="s">
        <v>22280</v>
      </c>
    </row>
    <row r="7607" spans="1:12" ht="84" customHeight="1" x14ac:dyDescent="0.3">
      <c r="A7607" s="2">
        <v>7603</v>
      </c>
      <c r="B7607" s="66" t="s">
        <v>9127</v>
      </c>
      <c r="C7607" s="66" t="s">
        <v>9128</v>
      </c>
      <c r="D7607" s="11">
        <v>4273.75</v>
      </c>
      <c r="E7607" s="11">
        <v>4273.75</v>
      </c>
      <c r="F7607" s="3">
        <v>39142</v>
      </c>
      <c r="G7607" s="2"/>
      <c r="H7607" s="2"/>
      <c r="I7607" s="2"/>
      <c r="J7607" s="2" t="s">
        <v>13904</v>
      </c>
      <c r="K7607" s="2" t="s">
        <v>5657</v>
      </c>
      <c r="L7607" s="246" t="s">
        <v>22280</v>
      </c>
    </row>
    <row r="7608" spans="1:12" ht="84" customHeight="1" x14ac:dyDescent="0.3">
      <c r="A7608" s="2">
        <v>7604</v>
      </c>
      <c r="B7608" s="66" t="s">
        <v>9129</v>
      </c>
      <c r="C7608" s="66" t="s">
        <v>9130</v>
      </c>
      <c r="D7608" s="11">
        <v>3451.5</v>
      </c>
      <c r="E7608" s="11">
        <v>3451.5</v>
      </c>
      <c r="F7608" s="3">
        <v>39142</v>
      </c>
      <c r="G7608" s="2"/>
      <c r="H7608" s="2"/>
      <c r="I7608" s="2"/>
      <c r="J7608" s="2" t="s">
        <v>13904</v>
      </c>
      <c r="K7608" s="2" t="s">
        <v>5657</v>
      </c>
      <c r="L7608" s="246" t="s">
        <v>22280</v>
      </c>
    </row>
    <row r="7609" spans="1:12" ht="84" customHeight="1" x14ac:dyDescent="0.3">
      <c r="A7609" s="2">
        <v>7605</v>
      </c>
      <c r="B7609" s="66" t="s">
        <v>8989</v>
      </c>
      <c r="C7609" s="66" t="s">
        <v>9131</v>
      </c>
      <c r="D7609" s="11">
        <v>5400</v>
      </c>
      <c r="E7609" s="11">
        <v>5400</v>
      </c>
      <c r="F7609" s="3">
        <v>39142</v>
      </c>
      <c r="G7609" s="2"/>
      <c r="H7609" s="2"/>
      <c r="I7609" s="2"/>
      <c r="J7609" s="2" t="s">
        <v>13904</v>
      </c>
      <c r="K7609" s="2" t="s">
        <v>5657</v>
      </c>
      <c r="L7609" s="246" t="s">
        <v>22280</v>
      </c>
    </row>
    <row r="7610" spans="1:12" ht="84" customHeight="1" x14ac:dyDescent="0.3">
      <c r="A7610" s="2">
        <v>7606</v>
      </c>
      <c r="B7610" s="66" t="s">
        <v>8989</v>
      </c>
      <c r="C7610" s="66" t="s">
        <v>9132</v>
      </c>
      <c r="D7610" s="11">
        <v>5400</v>
      </c>
      <c r="E7610" s="11">
        <v>5400</v>
      </c>
      <c r="F7610" s="3">
        <v>39142</v>
      </c>
      <c r="G7610" s="2"/>
      <c r="H7610" s="2"/>
      <c r="I7610" s="2"/>
      <c r="J7610" s="2" t="s">
        <v>13904</v>
      </c>
      <c r="K7610" s="2" t="s">
        <v>5657</v>
      </c>
      <c r="L7610" s="246" t="s">
        <v>22280</v>
      </c>
    </row>
    <row r="7611" spans="1:12" ht="84" customHeight="1" x14ac:dyDescent="0.3">
      <c r="A7611" s="2">
        <v>7607</v>
      </c>
      <c r="B7611" s="66" t="s">
        <v>8989</v>
      </c>
      <c r="C7611" s="66" t="s">
        <v>9133</v>
      </c>
      <c r="D7611" s="11">
        <v>5400</v>
      </c>
      <c r="E7611" s="11">
        <v>5400</v>
      </c>
      <c r="F7611" s="3">
        <v>39142</v>
      </c>
      <c r="G7611" s="2"/>
      <c r="H7611" s="2"/>
      <c r="I7611" s="2"/>
      <c r="J7611" s="2" t="s">
        <v>13904</v>
      </c>
      <c r="K7611" s="2" t="s">
        <v>5657</v>
      </c>
      <c r="L7611" s="246" t="s">
        <v>22280</v>
      </c>
    </row>
    <row r="7612" spans="1:12" ht="84" customHeight="1" x14ac:dyDescent="0.3">
      <c r="A7612" s="2">
        <v>7608</v>
      </c>
      <c r="B7612" s="66" t="s">
        <v>8989</v>
      </c>
      <c r="C7612" s="66" t="s">
        <v>9134</v>
      </c>
      <c r="D7612" s="11">
        <v>5400</v>
      </c>
      <c r="E7612" s="11">
        <v>5400</v>
      </c>
      <c r="F7612" s="3">
        <v>39142</v>
      </c>
      <c r="G7612" s="2"/>
      <c r="H7612" s="2"/>
      <c r="I7612" s="2"/>
      <c r="J7612" s="2" t="s">
        <v>13904</v>
      </c>
      <c r="K7612" s="2" t="s">
        <v>5657</v>
      </c>
      <c r="L7612" s="246" t="s">
        <v>22280</v>
      </c>
    </row>
    <row r="7613" spans="1:12" ht="84" customHeight="1" x14ac:dyDescent="0.3">
      <c r="A7613" s="2">
        <v>7609</v>
      </c>
      <c r="B7613" s="66" t="s">
        <v>8989</v>
      </c>
      <c r="C7613" s="66" t="s">
        <v>9135</v>
      </c>
      <c r="D7613" s="11">
        <v>5400</v>
      </c>
      <c r="E7613" s="11">
        <v>5400</v>
      </c>
      <c r="F7613" s="3">
        <v>39142</v>
      </c>
      <c r="G7613" s="2"/>
      <c r="H7613" s="2"/>
      <c r="I7613" s="2"/>
      <c r="J7613" s="2" t="s">
        <v>13904</v>
      </c>
      <c r="K7613" s="2" t="s">
        <v>5657</v>
      </c>
      <c r="L7613" s="246" t="s">
        <v>22280</v>
      </c>
    </row>
    <row r="7614" spans="1:12" ht="84" customHeight="1" x14ac:dyDescent="0.3">
      <c r="A7614" s="2">
        <v>7610</v>
      </c>
      <c r="B7614" s="66" t="s">
        <v>8989</v>
      </c>
      <c r="C7614" s="66" t="s">
        <v>9136</v>
      </c>
      <c r="D7614" s="11">
        <v>5400</v>
      </c>
      <c r="E7614" s="11">
        <v>5400</v>
      </c>
      <c r="F7614" s="3">
        <v>39142</v>
      </c>
      <c r="G7614" s="2"/>
      <c r="H7614" s="2"/>
      <c r="I7614" s="2"/>
      <c r="J7614" s="2" t="s">
        <v>13904</v>
      </c>
      <c r="K7614" s="2" t="s">
        <v>5657</v>
      </c>
      <c r="L7614" s="246" t="s">
        <v>22280</v>
      </c>
    </row>
    <row r="7615" spans="1:12" ht="84" customHeight="1" x14ac:dyDescent="0.3">
      <c r="A7615" s="2">
        <v>7611</v>
      </c>
      <c r="B7615" s="66" t="s">
        <v>8989</v>
      </c>
      <c r="C7615" s="66" t="s">
        <v>9137</v>
      </c>
      <c r="D7615" s="11">
        <v>5400</v>
      </c>
      <c r="E7615" s="11">
        <v>5400</v>
      </c>
      <c r="F7615" s="3">
        <v>39142</v>
      </c>
      <c r="G7615" s="2"/>
      <c r="H7615" s="2"/>
      <c r="I7615" s="2"/>
      <c r="J7615" s="2" t="s">
        <v>13904</v>
      </c>
      <c r="K7615" s="2" t="s">
        <v>5657</v>
      </c>
      <c r="L7615" s="246" t="s">
        <v>22280</v>
      </c>
    </row>
    <row r="7616" spans="1:12" ht="84" customHeight="1" x14ac:dyDescent="0.3">
      <c r="A7616" s="2">
        <v>7612</v>
      </c>
      <c r="B7616" s="66" t="s">
        <v>8989</v>
      </c>
      <c r="C7616" s="66" t="s">
        <v>9138</v>
      </c>
      <c r="D7616" s="11">
        <v>5400</v>
      </c>
      <c r="E7616" s="11">
        <v>5400</v>
      </c>
      <c r="F7616" s="3">
        <v>39142</v>
      </c>
      <c r="G7616" s="2"/>
      <c r="H7616" s="2"/>
      <c r="I7616" s="2"/>
      <c r="J7616" s="2" t="s">
        <v>13904</v>
      </c>
      <c r="K7616" s="2" t="s">
        <v>5657</v>
      </c>
      <c r="L7616" s="246" t="s">
        <v>22280</v>
      </c>
    </row>
    <row r="7617" spans="1:12" ht="84" customHeight="1" x14ac:dyDescent="0.3">
      <c r="A7617" s="2">
        <v>7613</v>
      </c>
      <c r="B7617" s="66" t="s">
        <v>8989</v>
      </c>
      <c r="C7617" s="66" t="s">
        <v>9139</v>
      </c>
      <c r="D7617" s="11">
        <v>5400</v>
      </c>
      <c r="E7617" s="11">
        <v>5400</v>
      </c>
      <c r="F7617" s="3">
        <v>39142</v>
      </c>
      <c r="G7617" s="2"/>
      <c r="H7617" s="2"/>
      <c r="I7617" s="2"/>
      <c r="J7617" s="2" t="s">
        <v>13904</v>
      </c>
      <c r="K7617" s="2" t="s">
        <v>5657</v>
      </c>
      <c r="L7617" s="246" t="s">
        <v>22280</v>
      </c>
    </row>
    <row r="7618" spans="1:12" ht="84" customHeight="1" x14ac:dyDescent="0.3">
      <c r="A7618" s="2">
        <v>7614</v>
      </c>
      <c r="B7618" s="66" t="s">
        <v>8989</v>
      </c>
      <c r="C7618" s="66" t="s">
        <v>9140</v>
      </c>
      <c r="D7618" s="11">
        <v>5400</v>
      </c>
      <c r="E7618" s="11">
        <v>5400</v>
      </c>
      <c r="F7618" s="3">
        <v>39142</v>
      </c>
      <c r="G7618" s="2"/>
      <c r="H7618" s="2"/>
      <c r="I7618" s="2"/>
      <c r="J7618" s="2" t="s">
        <v>13904</v>
      </c>
      <c r="K7618" s="2" t="s">
        <v>5657</v>
      </c>
      <c r="L7618" s="246" t="s">
        <v>22280</v>
      </c>
    </row>
    <row r="7619" spans="1:12" ht="84" customHeight="1" x14ac:dyDescent="0.3">
      <c r="A7619" s="2">
        <v>7615</v>
      </c>
      <c r="B7619" s="66" t="s">
        <v>8989</v>
      </c>
      <c r="C7619" s="66" t="s">
        <v>9141</v>
      </c>
      <c r="D7619" s="11">
        <v>5400</v>
      </c>
      <c r="E7619" s="11">
        <v>5400</v>
      </c>
      <c r="F7619" s="3">
        <v>39142</v>
      </c>
      <c r="G7619" s="2"/>
      <c r="H7619" s="2"/>
      <c r="I7619" s="2"/>
      <c r="J7619" s="2" t="s">
        <v>13904</v>
      </c>
      <c r="K7619" s="2" t="s">
        <v>5657</v>
      </c>
      <c r="L7619" s="246" t="s">
        <v>22280</v>
      </c>
    </row>
    <row r="7620" spans="1:12" ht="84" customHeight="1" x14ac:dyDescent="0.3">
      <c r="A7620" s="2">
        <v>7616</v>
      </c>
      <c r="B7620" s="66" t="s">
        <v>8989</v>
      </c>
      <c r="C7620" s="66" t="s">
        <v>9142</v>
      </c>
      <c r="D7620" s="11">
        <v>5400</v>
      </c>
      <c r="E7620" s="11">
        <v>5400</v>
      </c>
      <c r="F7620" s="3">
        <v>39142</v>
      </c>
      <c r="G7620" s="2"/>
      <c r="H7620" s="2"/>
      <c r="I7620" s="2"/>
      <c r="J7620" s="2" t="s">
        <v>13904</v>
      </c>
      <c r="K7620" s="2" t="s">
        <v>5657</v>
      </c>
      <c r="L7620" s="246" t="s">
        <v>22280</v>
      </c>
    </row>
    <row r="7621" spans="1:12" ht="84" customHeight="1" x14ac:dyDescent="0.3">
      <c r="A7621" s="2">
        <v>7617</v>
      </c>
      <c r="B7621" s="66" t="s">
        <v>8989</v>
      </c>
      <c r="C7621" s="66" t="s">
        <v>9143</v>
      </c>
      <c r="D7621" s="11">
        <v>5400</v>
      </c>
      <c r="E7621" s="11">
        <v>5400</v>
      </c>
      <c r="F7621" s="3">
        <v>39142</v>
      </c>
      <c r="G7621" s="2"/>
      <c r="H7621" s="2"/>
      <c r="I7621" s="2"/>
      <c r="J7621" s="2" t="s">
        <v>13904</v>
      </c>
      <c r="K7621" s="2" t="s">
        <v>5657</v>
      </c>
      <c r="L7621" s="246" t="s">
        <v>22280</v>
      </c>
    </row>
    <row r="7622" spans="1:12" ht="84" customHeight="1" x14ac:dyDescent="0.3">
      <c r="A7622" s="2">
        <v>7618</v>
      </c>
      <c r="B7622" s="66" t="s">
        <v>8989</v>
      </c>
      <c r="C7622" s="66" t="s">
        <v>9144</v>
      </c>
      <c r="D7622" s="11">
        <v>5400</v>
      </c>
      <c r="E7622" s="11">
        <v>5400</v>
      </c>
      <c r="F7622" s="3">
        <v>39142</v>
      </c>
      <c r="G7622" s="2"/>
      <c r="H7622" s="2"/>
      <c r="I7622" s="2"/>
      <c r="J7622" s="2" t="s">
        <v>13904</v>
      </c>
      <c r="K7622" s="2" t="s">
        <v>5657</v>
      </c>
      <c r="L7622" s="246" t="s">
        <v>22280</v>
      </c>
    </row>
    <row r="7623" spans="1:12" ht="84" customHeight="1" x14ac:dyDescent="0.3">
      <c r="A7623" s="2">
        <v>7619</v>
      </c>
      <c r="B7623" s="66" t="s">
        <v>8989</v>
      </c>
      <c r="C7623" s="66" t="s">
        <v>9145</v>
      </c>
      <c r="D7623" s="11">
        <v>5400</v>
      </c>
      <c r="E7623" s="11">
        <v>5400</v>
      </c>
      <c r="F7623" s="3">
        <v>39142</v>
      </c>
      <c r="G7623" s="2"/>
      <c r="H7623" s="2"/>
      <c r="I7623" s="2"/>
      <c r="J7623" s="2" t="s">
        <v>13904</v>
      </c>
      <c r="K7623" s="2" t="s">
        <v>5657</v>
      </c>
      <c r="L7623" s="246" t="s">
        <v>22280</v>
      </c>
    </row>
    <row r="7624" spans="1:12" ht="84" customHeight="1" x14ac:dyDescent="0.3">
      <c r="A7624" s="2">
        <v>7620</v>
      </c>
      <c r="B7624" s="66" t="s">
        <v>8989</v>
      </c>
      <c r="C7624" s="66" t="s">
        <v>9146</v>
      </c>
      <c r="D7624" s="11">
        <v>5400</v>
      </c>
      <c r="E7624" s="11">
        <v>5400</v>
      </c>
      <c r="F7624" s="3">
        <v>39142</v>
      </c>
      <c r="G7624" s="2"/>
      <c r="H7624" s="2"/>
      <c r="I7624" s="2"/>
      <c r="J7624" s="2" t="s">
        <v>13904</v>
      </c>
      <c r="K7624" s="2" t="s">
        <v>5657</v>
      </c>
      <c r="L7624" s="246" t="s">
        <v>22280</v>
      </c>
    </row>
    <row r="7625" spans="1:12" ht="84" customHeight="1" x14ac:dyDescent="0.3">
      <c r="A7625" s="2">
        <v>7621</v>
      </c>
      <c r="B7625" s="66" t="s">
        <v>8989</v>
      </c>
      <c r="C7625" s="66" t="s">
        <v>9147</v>
      </c>
      <c r="D7625" s="11">
        <v>5400</v>
      </c>
      <c r="E7625" s="11">
        <v>5400</v>
      </c>
      <c r="F7625" s="3">
        <v>39142</v>
      </c>
      <c r="G7625" s="2"/>
      <c r="H7625" s="2"/>
      <c r="I7625" s="2"/>
      <c r="J7625" s="2" t="s">
        <v>13904</v>
      </c>
      <c r="K7625" s="2" t="s">
        <v>5657</v>
      </c>
      <c r="L7625" s="246" t="s">
        <v>22280</v>
      </c>
    </row>
    <row r="7626" spans="1:12" ht="84" customHeight="1" x14ac:dyDescent="0.3">
      <c r="A7626" s="2">
        <v>7622</v>
      </c>
      <c r="B7626" s="66" t="s">
        <v>9148</v>
      </c>
      <c r="C7626" s="66" t="s">
        <v>9149</v>
      </c>
      <c r="D7626" s="11">
        <v>5190.63</v>
      </c>
      <c r="E7626" s="11">
        <v>5190.63</v>
      </c>
      <c r="F7626" s="3">
        <v>39142</v>
      </c>
      <c r="G7626" s="2"/>
      <c r="H7626" s="2"/>
      <c r="I7626" s="2"/>
      <c r="J7626" s="2" t="s">
        <v>13904</v>
      </c>
      <c r="K7626" s="2" t="s">
        <v>5657</v>
      </c>
      <c r="L7626" s="246" t="s">
        <v>22280</v>
      </c>
    </row>
    <row r="7627" spans="1:12" ht="84" customHeight="1" x14ac:dyDescent="0.3">
      <c r="A7627" s="2">
        <v>7623</v>
      </c>
      <c r="B7627" s="66" t="s">
        <v>9150</v>
      </c>
      <c r="C7627" s="66" t="s">
        <v>9151</v>
      </c>
      <c r="D7627" s="11">
        <v>4030</v>
      </c>
      <c r="E7627" s="11">
        <v>4030</v>
      </c>
      <c r="F7627" s="3">
        <v>39142</v>
      </c>
      <c r="G7627" s="2"/>
      <c r="H7627" s="2"/>
      <c r="I7627" s="2"/>
      <c r="J7627" s="2" t="s">
        <v>13904</v>
      </c>
      <c r="K7627" s="2" t="s">
        <v>5657</v>
      </c>
      <c r="L7627" s="246" t="s">
        <v>22280</v>
      </c>
    </row>
    <row r="7628" spans="1:12" ht="84" customHeight="1" x14ac:dyDescent="0.3">
      <c r="A7628" s="2">
        <v>7624</v>
      </c>
      <c r="B7628" s="66" t="s">
        <v>9152</v>
      </c>
      <c r="C7628" s="66" t="s">
        <v>9153</v>
      </c>
      <c r="D7628" s="11">
        <v>3509.7</v>
      </c>
      <c r="E7628" s="11">
        <v>3509.7</v>
      </c>
      <c r="F7628" s="3">
        <v>39142</v>
      </c>
      <c r="G7628" s="2"/>
      <c r="H7628" s="2"/>
      <c r="I7628" s="2"/>
      <c r="J7628" s="2" t="s">
        <v>13904</v>
      </c>
      <c r="K7628" s="2" t="s">
        <v>5657</v>
      </c>
      <c r="L7628" s="246" t="s">
        <v>22280</v>
      </c>
    </row>
    <row r="7629" spans="1:12" ht="84" customHeight="1" x14ac:dyDescent="0.3">
      <c r="A7629" s="2">
        <v>7625</v>
      </c>
      <c r="B7629" s="66" t="s">
        <v>9154</v>
      </c>
      <c r="C7629" s="66" t="s">
        <v>9155</v>
      </c>
      <c r="D7629" s="11">
        <v>3630</v>
      </c>
      <c r="E7629" s="11">
        <v>3630</v>
      </c>
      <c r="F7629" s="3">
        <v>39142</v>
      </c>
      <c r="G7629" s="2"/>
      <c r="H7629" s="2"/>
      <c r="I7629" s="2"/>
      <c r="J7629" s="2" t="s">
        <v>13904</v>
      </c>
      <c r="K7629" s="2" t="s">
        <v>5657</v>
      </c>
      <c r="L7629" s="246" t="s">
        <v>22280</v>
      </c>
    </row>
    <row r="7630" spans="1:12" ht="84" customHeight="1" x14ac:dyDescent="0.3">
      <c r="A7630" s="2">
        <v>7626</v>
      </c>
      <c r="B7630" s="66" t="s">
        <v>9156</v>
      </c>
      <c r="C7630" s="66" t="s">
        <v>9157</v>
      </c>
      <c r="D7630" s="11">
        <v>5850.63</v>
      </c>
      <c r="E7630" s="11">
        <v>5850.63</v>
      </c>
      <c r="F7630" s="3">
        <v>39142</v>
      </c>
      <c r="G7630" s="2"/>
      <c r="H7630" s="2"/>
      <c r="I7630" s="2"/>
      <c r="J7630" s="2" t="s">
        <v>13904</v>
      </c>
      <c r="K7630" s="2" t="s">
        <v>5657</v>
      </c>
      <c r="L7630" s="246" t="s">
        <v>22280</v>
      </c>
    </row>
    <row r="7631" spans="1:12" ht="84" customHeight="1" x14ac:dyDescent="0.3">
      <c r="A7631" s="2">
        <v>7627</v>
      </c>
      <c r="B7631" s="66" t="s">
        <v>9158</v>
      </c>
      <c r="C7631" s="66" t="s">
        <v>9159</v>
      </c>
      <c r="D7631" s="11">
        <v>6656</v>
      </c>
      <c r="E7631" s="11">
        <v>6656</v>
      </c>
      <c r="F7631" s="3">
        <v>39142</v>
      </c>
      <c r="G7631" s="2"/>
      <c r="H7631" s="2"/>
      <c r="I7631" s="2"/>
      <c r="J7631" s="2" t="s">
        <v>13904</v>
      </c>
      <c r="K7631" s="2" t="s">
        <v>5657</v>
      </c>
      <c r="L7631" s="246" t="s">
        <v>22280</v>
      </c>
    </row>
    <row r="7632" spans="1:12" ht="84" customHeight="1" x14ac:dyDescent="0.3">
      <c r="A7632" s="2">
        <v>7628</v>
      </c>
      <c r="B7632" s="66" t="s">
        <v>9160</v>
      </c>
      <c r="C7632" s="66" t="s">
        <v>9161</v>
      </c>
      <c r="D7632" s="11">
        <v>4802.2</v>
      </c>
      <c r="E7632" s="11">
        <v>4802.2</v>
      </c>
      <c r="F7632" s="3">
        <v>39142</v>
      </c>
      <c r="G7632" s="2"/>
      <c r="H7632" s="2"/>
      <c r="I7632" s="2"/>
      <c r="J7632" s="2" t="s">
        <v>13904</v>
      </c>
      <c r="K7632" s="2" t="s">
        <v>5657</v>
      </c>
      <c r="L7632" s="246" t="s">
        <v>22280</v>
      </c>
    </row>
    <row r="7633" spans="1:12" ht="84" customHeight="1" x14ac:dyDescent="0.3">
      <c r="A7633" s="2">
        <v>7629</v>
      </c>
      <c r="B7633" s="66" t="s">
        <v>9162</v>
      </c>
      <c r="C7633" s="66" t="s">
        <v>9163</v>
      </c>
      <c r="D7633" s="11">
        <v>4338.1499999999996</v>
      </c>
      <c r="E7633" s="11">
        <v>4338.1499999999996</v>
      </c>
      <c r="F7633" s="3">
        <v>39142</v>
      </c>
      <c r="G7633" s="2"/>
      <c r="H7633" s="2"/>
      <c r="I7633" s="2"/>
      <c r="J7633" s="2" t="s">
        <v>13904</v>
      </c>
      <c r="K7633" s="2" t="s">
        <v>5657</v>
      </c>
      <c r="L7633" s="246" t="s">
        <v>22280</v>
      </c>
    </row>
    <row r="7634" spans="1:12" ht="84" customHeight="1" x14ac:dyDescent="0.3">
      <c r="A7634" s="2">
        <v>7630</v>
      </c>
      <c r="B7634" s="66" t="s">
        <v>9164</v>
      </c>
      <c r="C7634" s="66" t="s">
        <v>9165</v>
      </c>
      <c r="D7634" s="11">
        <v>3415.63</v>
      </c>
      <c r="E7634" s="11">
        <v>3415.63</v>
      </c>
      <c r="F7634" s="3">
        <v>39142</v>
      </c>
      <c r="G7634" s="2"/>
      <c r="H7634" s="2"/>
      <c r="I7634" s="2"/>
      <c r="J7634" s="2" t="s">
        <v>13904</v>
      </c>
      <c r="K7634" s="2" t="s">
        <v>5657</v>
      </c>
      <c r="L7634" s="246" t="s">
        <v>22280</v>
      </c>
    </row>
    <row r="7635" spans="1:12" ht="84" customHeight="1" x14ac:dyDescent="0.3">
      <c r="A7635" s="2">
        <v>7631</v>
      </c>
      <c r="B7635" s="66" t="s">
        <v>9166</v>
      </c>
      <c r="C7635" s="66" t="s">
        <v>9167</v>
      </c>
      <c r="D7635" s="11">
        <v>6912</v>
      </c>
      <c r="E7635" s="11">
        <v>6912</v>
      </c>
      <c r="F7635" s="3">
        <v>39142</v>
      </c>
      <c r="G7635" s="2"/>
      <c r="H7635" s="2"/>
      <c r="I7635" s="2"/>
      <c r="J7635" s="2" t="s">
        <v>13904</v>
      </c>
      <c r="K7635" s="2" t="s">
        <v>5657</v>
      </c>
      <c r="L7635" s="246" t="s">
        <v>22280</v>
      </c>
    </row>
    <row r="7636" spans="1:12" ht="84" customHeight="1" x14ac:dyDescent="0.3">
      <c r="A7636" s="2">
        <v>7632</v>
      </c>
      <c r="B7636" s="66" t="s">
        <v>9168</v>
      </c>
      <c r="C7636" s="66" t="s">
        <v>9169</v>
      </c>
      <c r="D7636" s="11">
        <v>3513.5</v>
      </c>
      <c r="E7636" s="11">
        <v>3513.5</v>
      </c>
      <c r="F7636" s="3">
        <v>39142</v>
      </c>
      <c r="G7636" s="2"/>
      <c r="H7636" s="2"/>
      <c r="I7636" s="2"/>
      <c r="J7636" s="2" t="s">
        <v>13904</v>
      </c>
      <c r="K7636" s="2" t="s">
        <v>5657</v>
      </c>
      <c r="L7636" s="246" t="s">
        <v>22280</v>
      </c>
    </row>
    <row r="7637" spans="1:12" ht="84" customHeight="1" x14ac:dyDescent="0.3">
      <c r="A7637" s="2">
        <v>7633</v>
      </c>
      <c r="B7637" s="66" t="s">
        <v>9170</v>
      </c>
      <c r="C7637" s="66" t="s">
        <v>9171</v>
      </c>
      <c r="D7637" s="11">
        <v>6175</v>
      </c>
      <c r="E7637" s="11">
        <v>6175</v>
      </c>
      <c r="F7637" s="3">
        <v>39142</v>
      </c>
      <c r="G7637" s="2"/>
      <c r="H7637" s="2"/>
      <c r="I7637" s="2"/>
      <c r="J7637" s="2" t="s">
        <v>13904</v>
      </c>
      <c r="K7637" s="2" t="s">
        <v>5657</v>
      </c>
      <c r="L7637" s="246" t="s">
        <v>22280</v>
      </c>
    </row>
    <row r="7638" spans="1:12" ht="84" customHeight="1" x14ac:dyDescent="0.3">
      <c r="A7638" s="2">
        <v>7634</v>
      </c>
      <c r="B7638" s="66" t="s">
        <v>9172</v>
      </c>
      <c r="C7638" s="66" t="s">
        <v>9173</v>
      </c>
      <c r="D7638" s="11">
        <v>6175</v>
      </c>
      <c r="E7638" s="11">
        <v>6175</v>
      </c>
      <c r="F7638" s="3">
        <v>39142</v>
      </c>
      <c r="G7638" s="2"/>
      <c r="H7638" s="2"/>
      <c r="I7638" s="2"/>
      <c r="J7638" s="2" t="s">
        <v>13904</v>
      </c>
      <c r="K7638" s="2" t="s">
        <v>5657</v>
      </c>
      <c r="L7638" s="246" t="s">
        <v>22280</v>
      </c>
    </row>
    <row r="7639" spans="1:12" ht="84" customHeight="1" x14ac:dyDescent="0.3">
      <c r="A7639" s="2">
        <v>7635</v>
      </c>
      <c r="B7639" s="66" t="s">
        <v>9174</v>
      </c>
      <c r="C7639" s="66" t="s">
        <v>9175</v>
      </c>
      <c r="D7639" s="11">
        <v>6175</v>
      </c>
      <c r="E7639" s="11">
        <v>6175</v>
      </c>
      <c r="F7639" s="3">
        <v>39142</v>
      </c>
      <c r="G7639" s="2"/>
      <c r="H7639" s="2"/>
      <c r="I7639" s="2"/>
      <c r="J7639" s="2" t="s">
        <v>13904</v>
      </c>
      <c r="K7639" s="2" t="s">
        <v>5657</v>
      </c>
      <c r="L7639" s="246" t="s">
        <v>22280</v>
      </c>
    </row>
    <row r="7640" spans="1:12" ht="84" customHeight="1" x14ac:dyDescent="0.3">
      <c r="A7640" s="2">
        <v>7636</v>
      </c>
      <c r="B7640" s="66" t="s">
        <v>9176</v>
      </c>
      <c r="C7640" s="66" t="s">
        <v>9177</v>
      </c>
      <c r="D7640" s="11">
        <v>6175</v>
      </c>
      <c r="E7640" s="11">
        <v>6175</v>
      </c>
      <c r="F7640" s="3">
        <v>39142</v>
      </c>
      <c r="G7640" s="2"/>
      <c r="H7640" s="2"/>
      <c r="I7640" s="2"/>
      <c r="J7640" s="2" t="s">
        <v>13904</v>
      </c>
      <c r="K7640" s="2" t="s">
        <v>5657</v>
      </c>
      <c r="L7640" s="246" t="s">
        <v>22280</v>
      </c>
    </row>
    <row r="7641" spans="1:12" ht="84" customHeight="1" x14ac:dyDescent="0.3">
      <c r="A7641" s="2">
        <v>7637</v>
      </c>
      <c r="B7641" s="66" t="s">
        <v>9178</v>
      </c>
      <c r="C7641" s="66" t="s">
        <v>9179</v>
      </c>
      <c r="D7641" s="11">
        <v>6175</v>
      </c>
      <c r="E7641" s="11">
        <v>6175</v>
      </c>
      <c r="F7641" s="3">
        <v>39142</v>
      </c>
      <c r="G7641" s="2"/>
      <c r="H7641" s="2"/>
      <c r="I7641" s="2"/>
      <c r="J7641" s="2" t="s">
        <v>13904</v>
      </c>
      <c r="K7641" s="2" t="s">
        <v>5657</v>
      </c>
      <c r="L7641" s="246" t="s">
        <v>22280</v>
      </c>
    </row>
    <row r="7642" spans="1:12" ht="84" customHeight="1" x14ac:dyDescent="0.3">
      <c r="A7642" s="2">
        <v>7638</v>
      </c>
      <c r="B7642" s="66" t="s">
        <v>9180</v>
      </c>
      <c r="C7642" s="66" t="s">
        <v>9181</v>
      </c>
      <c r="D7642" s="11">
        <v>6175</v>
      </c>
      <c r="E7642" s="11">
        <v>6175</v>
      </c>
      <c r="F7642" s="3">
        <v>39142</v>
      </c>
      <c r="G7642" s="2"/>
      <c r="H7642" s="2"/>
      <c r="I7642" s="2"/>
      <c r="J7642" s="2" t="s">
        <v>13904</v>
      </c>
      <c r="K7642" s="2" t="s">
        <v>5657</v>
      </c>
      <c r="L7642" s="246" t="s">
        <v>22280</v>
      </c>
    </row>
    <row r="7643" spans="1:12" ht="84" customHeight="1" x14ac:dyDescent="0.3">
      <c r="A7643" s="2">
        <v>7639</v>
      </c>
      <c r="B7643" s="66" t="s">
        <v>9182</v>
      </c>
      <c r="C7643" s="66" t="s">
        <v>9183</v>
      </c>
      <c r="D7643" s="11">
        <v>6175</v>
      </c>
      <c r="E7643" s="11">
        <v>6175</v>
      </c>
      <c r="F7643" s="3">
        <v>39142</v>
      </c>
      <c r="G7643" s="2"/>
      <c r="H7643" s="2"/>
      <c r="I7643" s="2"/>
      <c r="J7643" s="2" t="s">
        <v>13904</v>
      </c>
      <c r="K7643" s="2" t="s">
        <v>5657</v>
      </c>
      <c r="L7643" s="246" t="s">
        <v>22280</v>
      </c>
    </row>
    <row r="7644" spans="1:12" ht="84" customHeight="1" x14ac:dyDescent="0.3">
      <c r="A7644" s="2">
        <v>7640</v>
      </c>
      <c r="B7644" s="66" t="s">
        <v>9182</v>
      </c>
      <c r="C7644" s="66" t="s">
        <v>9184</v>
      </c>
      <c r="D7644" s="11">
        <v>6175</v>
      </c>
      <c r="E7644" s="11">
        <v>6175</v>
      </c>
      <c r="F7644" s="3">
        <v>39142</v>
      </c>
      <c r="G7644" s="2"/>
      <c r="H7644" s="2"/>
      <c r="I7644" s="2"/>
      <c r="J7644" s="2" t="s">
        <v>13904</v>
      </c>
      <c r="K7644" s="2" t="s">
        <v>5657</v>
      </c>
      <c r="L7644" s="246" t="s">
        <v>22280</v>
      </c>
    </row>
    <row r="7645" spans="1:12" ht="84" customHeight="1" x14ac:dyDescent="0.3">
      <c r="A7645" s="2">
        <v>7641</v>
      </c>
      <c r="B7645" s="66" t="s">
        <v>9182</v>
      </c>
      <c r="C7645" s="66" t="s">
        <v>9185</v>
      </c>
      <c r="D7645" s="11">
        <v>6175</v>
      </c>
      <c r="E7645" s="11">
        <v>6175</v>
      </c>
      <c r="F7645" s="3">
        <v>39142</v>
      </c>
      <c r="G7645" s="2"/>
      <c r="H7645" s="2"/>
      <c r="I7645" s="2"/>
      <c r="J7645" s="2" t="s">
        <v>13904</v>
      </c>
      <c r="K7645" s="2" t="s">
        <v>5657</v>
      </c>
      <c r="L7645" s="246" t="s">
        <v>22280</v>
      </c>
    </row>
    <row r="7646" spans="1:12" ht="84" customHeight="1" x14ac:dyDescent="0.3">
      <c r="A7646" s="2">
        <v>7642</v>
      </c>
      <c r="B7646" s="66" t="s">
        <v>9186</v>
      </c>
      <c r="C7646" s="66" t="s">
        <v>9187</v>
      </c>
      <c r="D7646" s="11">
        <v>6175</v>
      </c>
      <c r="E7646" s="11">
        <v>6175</v>
      </c>
      <c r="F7646" s="3">
        <v>39142</v>
      </c>
      <c r="G7646" s="2"/>
      <c r="H7646" s="2"/>
      <c r="I7646" s="2"/>
      <c r="J7646" s="2" t="s">
        <v>13904</v>
      </c>
      <c r="K7646" s="2" t="s">
        <v>5657</v>
      </c>
      <c r="L7646" s="246" t="s">
        <v>22280</v>
      </c>
    </row>
    <row r="7647" spans="1:12" ht="84" customHeight="1" x14ac:dyDescent="0.3">
      <c r="A7647" s="2">
        <v>7643</v>
      </c>
      <c r="B7647" s="66" t="s">
        <v>9188</v>
      </c>
      <c r="C7647" s="66" t="s">
        <v>9189</v>
      </c>
      <c r="D7647" s="11">
        <v>6175</v>
      </c>
      <c r="E7647" s="11">
        <v>6175</v>
      </c>
      <c r="F7647" s="3">
        <v>39142</v>
      </c>
      <c r="G7647" s="2"/>
      <c r="H7647" s="2"/>
      <c r="I7647" s="2"/>
      <c r="J7647" s="2" t="s">
        <v>13904</v>
      </c>
      <c r="K7647" s="2" t="s">
        <v>5657</v>
      </c>
      <c r="L7647" s="246" t="s">
        <v>22280</v>
      </c>
    </row>
    <row r="7648" spans="1:12" ht="84" customHeight="1" x14ac:dyDescent="0.3">
      <c r="A7648" s="2">
        <v>7644</v>
      </c>
      <c r="B7648" s="66" t="s">
        <v>9188</v>
      </c>
      <c r="C7648" s="66" t="s">
        <v>9190</v>
      </c>
      <c r="D7648" s="11">
        <v>6175</v>
      </c>
      <c r="E7648" s="11">
        <v>6175</v>
      </c>
      <c r="F7648" s="3">
        <v>39142</v>
      </c>
      <c r="G7648" s="2"/>
      <c r="H7648" s="2"/>
      <c r="I7648" s="2"/>
      <c r="J7648" s="2" t="s">
        <v>13904</v>
      </c>
      <c r="K7648" s="2" t="s">
        <v>5657</v>
      </c>
      <c r="L7648" s="246" t="s">
        <v>22280</v>
      </c>
    </row>
    <row r="7649" spans="1:12" ht="84" customHeight="1" x14ac:dyDescent="0.3">
      <c r="A7649" s="2">
        <v>7645</v>
      </c>
      <c r="B7649" s="66" t="s">
        <v>9188</v>
      </c>
      <c r="C7649" s="66" t="s">
        <v>9191</v>
      </c>
      <c r="D7649" s="11">
        <v>6175</v>
      </c>
      <c r="E7649" s="11">
        <v>6175</v>
      </c>
      <c r="F7649" s="3">
        <v>39142</v>
      </c>
      <c r="G7649" s="2"/>
      <c r="H7649" s="2"/>
      <c r="I7649" s="2"/>
      <c r="J7649" s="2" t="s">
        <v>13904</v>
      </c>
      <c r="K7649" s="2" t="s">
        <v>5657</v>
      </c>
      <c r="L7649" s="246" t="s">
        <v>22280</v>
      </c>
    </row>
    <row r="7650" spans="1:12" ht="84" customHeight="1" x14ac:dyDescent="0.3">
      <c r="A7650" s="2">
        <v>7646</v>
      </c>
      <c r="B7650" s="66" t="s">
        <v>9192</v>
      </c>
      <c r="C7650" s="66" t="s">
        <v>9193</v>
      </c>
      <c r="D7650" s="11">
        <v>6175</v>
      </c>
      <c r="E7650" s="11">
        <v>6175</v>
      </c>
      <c r="F7650" s="3">
        <v>39142</v>
      </c>
      <c r="G7650" s="2"/>
      <c r="H7650" s="2"/>
      <c r="I7650" s="2"/>
      <c r="J7650" s="2" t="s">
        <v>13904</v>
      </c>
      <c r="K7650" s="2" t="s">
        <v>5657</v>
      </c>
      <c r="L7650" s="246" t="s">
        <v>22280</v>
      </c>
    </row>
    <row r="7651" spans="1:12" ht="84" customHeight="1" x14ac:dyDescent="0.3">
      <c r="A7651" s="2">
        <v>7647</v>
      </c>
      <c r="B7651" s="66" t="s">
        <v>9194</v>
      </c>
      <c r="C7651" s="66" t="s">
        <v>9195</v>
      </c>
      <c r="D7651" s="11">
        <v>17531.25</v>
      </c>
      <c r="E7651" s="11">
        <v>17531.25</v>
      </c>
      <c r="F7651" s="3">
        <v>39142</v>
      </c>
      <c r="G7651" s="2"/>
      <c r="H7651" s="2"/>
      <c r="I7651" s="2"/>
      <c r="J7651" s="2" t="s">
        <v>13904</v>
      </c>
      <c r="K7651" s="2" t="s">
        <v>5657</v>
      </c>
      <c r="L7651" s="246" t="s">
        <v>22280</v>
      </c>
    </row>
    <row r="7652" spans="1:12" ht="84" customHeight="1" x14ac:dyDescent="0.3">
      <c r="A7652" s="2">
        <v>7648</v>
      </c>
      <c r="B7652" s="66" t="s">
        <v>9196</v>
      </c>
      <c r="C7652" s="66" t="s">
        <v>9197</v>
      </c>
      <c r="D7652" s="11">
        <v>6175</v>
      </c>
      <c r="E7652" s="11">
        <v>6175</v>
      </c>
      <c r="F7652" s="3">
        <v>39142</v>
      </c>
      <c r="G7652" s="2"/>
      <c r="H7652" s="2"/>
      <c r="I7652" s="2"/>
      <c r="J7652" s="2" t="s">
        <v>13904</v>
      </c>
      <c r="K7652" s="2" t="s">
        <v>5657</v>
      </c>
      <c r="L7652" s="246" t="s">
        <v>22280</v>
      </c>
    </row>
    <row r="7653" spans="1:12" ht="84" customHeight="1" x14ac:dyDescent="0.3">
      <c r="A7653" s="2">
        <v>7649</v>
      </c>
      <c r="B7653" s="66" t="s">
        <v>9198</v>
      </c>
      <c r="C7653" s="66" t="s">
        <v>9199</v>
      </c>
      <c r="D7653" s="11">
        <v>654209</v>
      </c>
      <c r="E7653" s="11">
        <v>654209</v>
      </c>
      <c r="F7653" s="3">
        <v>39058</v>
      </c>
      <c r="G7653" s="2"/>
      <c r="H7653" s="2"/>
      <c r="I7653" s="2"/>
      <c r="J7653" s="2" t="s">
        <v>13904</v>
      </c>
      <c r="K7653" s="2" t="s">
        <v>5657</v>
      </c>
      <c r="L7653" s="82" t="s">
        <v>18773</v>
      </c>
    </row>
    <row r="7654" spans="1:12" ht="84" customHeight="1" x14ac:dyDescent="0.3">
      <c r="A7654" s="2">
        <v>7650</v>
      </c>
      <c r="B7654" s="66" t="s">
        <v>9200</v>
      </c>
      <c r="C7654" s="66" t="s">
        <v>9201</v>
      </c>
      <c r="D7654" s="11">
        <v>654209</v>
      </c>
      <c r="E7654" s="11">
        <v>654209</v>
      </c>
      <c r="F7654" s="3">
        <v>39058</v>
      </c>
      <c r="G7654" s="2"/>
      <c r="H7654" s="2"/>
      <c r="I7654" s="2"/>
      <c r="J7654" s="2" t="s">
        <v>13904</v>
      </c>
      <c r="K7654" s="2" t="s">
        <v>5657</v>
      </c>
      <c r="L7654" s="82" t="s">
        <v>18773</v>
      </c>
    </row>
    <row r="7655" spans="1:12" ht="84" customHeight="1" x14ac:dyDescent="0.3">
      <c r="A7655" s="2">
        <v>7651</v>
      </c>
      <c r="B7655" s="66" t="s">
        <v>9202</v>
      </c>
      <c r="C7655" s="66" t="s">
        <v>9203</v>
      </c>
      <c r="D7655" s="11">
        <v>10415.64</v>
      </c>
      <c r="E7655" s="11">
        <v>10415.64</v>
      </c>
      <c r="F7655" s="3">
        <v>39142</v>
      </c>
      <c r="G7655" s="2"/>
      <c r="H7655" s="2"/>
      <c r="I7655" s="2"/>
      <c r="J7655" s="2" t="s">
        <v>13904</v>
      </c>
      <c r="K7655" s="2" t="s">
        <v>5657</v>
      </c>
      <c r="L7655" s="246" t="s">
        <v>22280</v>
      </c>
    </row>
    <row r="7656" spans="1:12" ht="84" customHeight="1" x14ac:dyDescent="0.3">
      <c r="A7656" s="2">
        <v>7652</v>
      </c>
      <c r="B7656" s="66" t="s">
        <v>9204</v>
      </c>
      <c r="C7656" s="66" t="s">
        <v>9205</v>
      </c>
      <c r="D7656" s="11">
        <v>30385.5</v>
      </c>
      <c r="E7656" s="11">
        <v>30385.5</v>
      </c>
      <c r="F7656" s="3">
        <v>39052</v>
      </c>
      <c r="G7656" s="2"/>
      <c r="H7656" s="2"/>
      <c r="I7656" s="2"/>
      <c r="J7656" s="2" t="s">
        <v>13904</v>
      </c>
      <c r="K7656" s="2" t="s">
        <v>5657</v>
      </c>
      <c r="L7656" s="246" t="s">
        <v>22280</v>
      </c>
    </row>
    <row r="7657" spans="1:12" ht="84" customHeight="1" x14ac:dyDescent="0.3">
      <c r="A7657" s="2">
        <v>7653</v>
      </c>
      <c r="B7657" s="66" t="s">
        <v>9206</v>
      </c>
      <c r="C7657" s="66" t="s">
        <v>9207</v>
      </c>
      <c r="D7657" s="11">
        <v>7483.63</v>
      </c>
      <c r="E7657" s="11">
        <v>7483.63</v>
      </c>
      <c r="F7657" s="3">
        <v>39142</v>
      </c>
      <c r="G7657" s="2"/>
      <c r="H7657" s="2"/>
      <c r="I7657" s="2"/>
      <c r="J7657" s="2" t="s">
        <v>13904</v>
      </c>
      <c r="K7657" s="2" t="s">
        <v>5657</v>
      </c>
      <c r="L7657" s="246" t="s">
        <v>22280</v>
      </c>
    </row>
    <row r="7658" spans="1:12" ht="84" customHeight="1" x14ac:dyDescent="0.3">
      <c r="A7658" s="2">
        <v>7654</v>
      </c>
      <c r="B7658" s="66" t="s">
        <v>9208</v>
      </c>
      <c r="C7658" s="66" t="s">
        <v>9209</v>
      </c>
      <c r="D7658" s="11">
        <v>3225.7</v>
      </c>
      <c r="E7658" s="11">
        <v>3225.7</v>
      </c>
      <c r="F7658" s="3">
        <v>39142</v>
      </c>
      <c r="G7658" s="2"/>
      <c r="H7658" s="2"/>
      <c r="I7658" s="2"/>
      <c r="J7658" s="2" t="s">
        <v>13904</v>
      </c>
      <c r="K7658" s="2" t="s">
        <v>5657</v>
      </c>
      <c r="L7658" s="246" t="s">
        <v>22280</v>
      </c>
    </row>
    <row r="7659" spans="1:12" ht="84" customHeight="1" x14ac:dyDescent="0.3">
      <c r="A7659" s="2">
        <v>7655</v>
      </c>
      <c r="B7659" s="66" t="s">
        <v>9210</v>
      </c>
      <c r="C7659" s="66" t="s">
        <v>9211</v>
      </c>
      <c r="D7659" s="11">
        <v>4224.99</v>
      </c>
      <c r="E7659" s="11">
        <v>4224.99</v>
      </c>
      <c r="F7659" s="3">
        <v>39142</v>
      </c>
      <c r="G7659" s="2"/>
      <c r="H7659" s="2"/>
      <c r="I7659" s="2"/>
      <c r="J7659" s="2" t="s">
        <v>13904</v>
      </c>
      <c r="K7659" s="2" t="s">
        <v>5657</v>
      </c>
      <c r="L7659" s="246" t="s">
        <v>22280</v>
      </c>
    </row>
    <row r="7660" spans="1:12" ht="84" customHeight="1" x14ac:dyDescent="0.3">
      <c r="A7660" s="2">
        <v>7656</v>
      </c>
      <c r="B7660" s="66" t="s">
        <v>9129</v>
      </c>
      <c r="C7660" s="66" t="s">
        <v>9212</v>
      </c>
      <c r="D7660" s="11">
        <v>3451.5</v>
      </c>
      <c r="E7660" s="11">
        <v>3451.5</v>
      </c>
      <c r="F7660" s="3">
        <v>39142</v>
      </c>
      <c r="G7660" s="2"/>
      <c r="H7660" s="2"/>
      <c r="I7660" s="2"/>
      <c r="J7660" s="2" t="s">
        <v>13904</v>
      </c>
      <c r="K7660" s="2" t="s">
        <v>5657</v>
      </c>
      <c r="L7660" s="246" t="s">
        <v>22280</v>
      </c>
    </row>
    <row r="7661" spans="1:12" ht="84" customHeight="1" x14ac:dyDescent="0.3">
      <c r="A7661" s="2">
        <v>7657</v>
      </c>
      <c r="B7661" s="66" t="s">
        <v>8517</v>
      </c>
      <c r="C7661" s="66" t="s">
        <v>9213</v>
      </c>
      <c r="D7661" s="11">
        <v>3263.9</v>
      </c>
      <c r="E7661" s="11">
        <v>3263.9</v>
      </c>
      <c r="F7661" s="3">
        <v>39052</v>
      </c>
      <c r="G7661" s="2"/>
      <c r="H7661" s="2"/>
      <c r="I7661" s="2"/>
      <c r="J7661" s="2" t="s">
        <v>13904</v>
      </c>
      <c r="K7661" s="2" t="s">
        <v>5657</v>
      </c>
      <c r="L7661" s="246" t="s">
        <v>22280</v>
      </c>
    </row>
    <row r="7662" spans="1:12" ht="84" customHeight="1" x14ac:dyDescent="0.3">
      <c r="A7662" s="2">
        <v>7658</v>
      </c>
      <c r="B7662" s="66" t="s">
        <v>9214</v>
      </c>
      <c r="C7662" s="66" t="s">
        <v>9215</v>
      </c>
      <c r="D7662" s="11">
        <v>30385.5</v>
      </c>
      <c r="E7662" s="11">
        <v>30385.5</v>
      </c>
      <c r="F7662" s="3">
        <v>39052</v>
      </c>
      <c r="G7662" s="2"/>
      <c r="H7662" s="2"/>
      <c r="I7662" s="2"/>
      <c r="J7662" s="2" t="s">
        <v>13904</v>
      </c>
      <c r="K7662" s="2" t="s">
        <v>5657</v>
      </c>
      <c r="L7662" s="246" t="s">
        <v>22280</v>
      </c>
    </row>
    <row r="7663" spans="1:12" ht="84" customHeight="1" x14ac:dyDescent="0.3">
      <c r="A7663" s="2">
        <v>7659</v>
      </c>
      <c r="B7663" s="66" t="s">
        <v>9216</v>
      </c>
      <c r="C7663" s="66" t="s">
        <v>9217</v>
      </c>
      <c r="D7663" s="11">
        <v>5980</v>
      </c>
      <c r="E7663" s="11">
        <v>5980</v>
      </c>
      <c r="F7663" s="3">
        <v>39052</v>
      </c>
      <c r="G7663" s="2"/>
      <c r="H7663" s="2"/>
      <c r="I7663" s="2"/>
      <c r="J7663" s="2" t="s">
        <v>13904</v>
      </c>
      <c r="K7663" s="2" t="s">
        <v>5657</v>
      </c>
      <c r="L7663" s="246" t="s">
        <v>22280</v>
      </c>
    </row>
    <row r="7664" spans="1:12" ht="84" customHeight="1" x14ac:dyDescent="0.3">
      <c r="A7664" s="2">
        <v>7660</v>
      </c>
      <c r="B7664" s="66" t="s">
        <v>6002</v>
      </c>
      <c r="C7664" s="66" t="s">
        <v>9218</v>
      </c>
      <c r="D7664" s="11">
        <v>21970</v>
      </c>
      <c r="E7664" s="11">
        <v>7469.5</v>
      </c>
      <c r="F7664" s="3">
        <v>39052</v>
      </c>
      <c r="G7664" s="2"/>
      <c r="H7664" s="2"/>
      <c r="I7664" s="2"/>
      <c r="J7664" s="2" t="s">
        <v>13904</v>
      </c>
      <c r="K7664" s="2" t="s">
        <v>5657</v>
      </c>
      <c r="L7664" s="246" t="s">
        <v>22280</v>
      </c>
    </row>
    <row r="7665" spans="1:15" ht="84" customHeight="1" x14ac:dyDescent="0.3">
      <c r="A7665" s="2">
        <v>7661</v>
      </c>
      <c r="B7665" s="66" t="s">
        <v>9219</v>
      </c>
      <c r="C7665" s="66" t="s">
        <v>9220</v>
      </c>
      <c r="D7665" s="11">
        <v>6024.88</v>
      </c>
      <c r="E7665" s="11">
        <v>6024.88</v>
      </c>
      <c r="F7665" s="3">
        <v>37411</v>
      </c>
      <c r="G7665" s="2"/>
      <c r="H7665" s="2"/>
      <c r="I7665" s="2"/>
      <c r="J7665" s="2" t="s">
        <v>13904</v>
      </c>
      <c r="K7665" s="2" t="s">
        <v>5657</v>
      </c>
      <c r="L7665" s="246" t="s">
        <v>22280</v>
      </c>
    </row>
    <row r="7666" spans="1:15" ht="84" customHeight="1" x14ac:dyDescent="0.3">
      <c r="A7666" s="2">
        <v>7662</v>
      </c>
      <c r="B7666" s="66" t="s">
        <v>9221</v>
      </c>
      <c r="C7666" s="66" t="s">
        <v>9222</v>
      </c>
      <c r="D7666" s="11">
        <v>87018.75</v>
      </c>
      <c r="E7666" s="11">
        <v>87018.75</v>
      </c>
      <c r="F7666" s="3">
        <v>39052</v>
      </c>
      <c r="G7666" s="2"/>
      <c r="H7666" s="2"/>
      <c r="I7666" s="2"/>
      <c r="J7666" s="2" t="s">
        <v>13904</v>
      </c>
      <c r="K7666" s="2" t="s">
        <v>5657</v>
      </c>
      <c r="L7666" s="82" t="s">
        <v>18773</v>
      </c>
    </row>
    <row r="7667" spans="1:15" ht="84" customHeight="1" x14ac:dyDescent="0.3">
      <c r="A7667" s="2">
        <v>7663</v>
      </c>
      <c r="B7667" s="66" t="s">
        <v>9223</v>
      </c>
      <c r="C7667" s="66" t="s">
        <v>9224</v>
      </c>
      <c r="D7667" s="11">
        <v>139841</v>
      </c>
      <c r="E7667" s="11">
        <v>139841</v>
      </c>
      <c r="F7667" s="3">
        <v>39058</v>
      </c>
      <c r="G7667" s="2"/>
      <c r="H7667" s="2"/>
      <c r="I7667" s="2"/>
      <c r="J7667" s="2" t="s">
        <v>13904</v>
      </c>
      <c r="K7667" s="2" t="s">
        <v>5657</v>
      </c>
      <c r="L7667" s="82" t="s">
        <v>18773</v>
      </c>
    </row>
    <row r="7668" spans="1:15" ht="84" customHeight="1" x14ac:dyDescent="0.3">
      <c r="A7668" s="2">
        <v>7664</v>
      </c>
      <c r="B7668" s="66" t="s">
        <v>9225</v>
      </c>
      <c r="C7668" s="66" t="s">
        <v>9226</v>
      </c>
      <c r="D7668" s="11">
        <v>140846.21</v>
      </c>
      <c r="E7668" s="11">
        <v>135768</v>
      </c>
      <c r="F7668" s="3">
        <v>39057</v>
      </c>
      <c r="G7668" s="2"/>
      <c r="H7668" s="2"/>
      <c r="I7668" s="2"/>
      <c r="J7668" s="2" t="s">
        <v>13904</v>
      </c>
      <c r="K7668" s="2" t="s">
        <v>5657</v>
      </c>
      <c r="L7668" s="82" t="s">
        <v>18773</v>
      </c>
    </row>
    <row r="7669" spans="1:15" ht="84" customHeight="1" x14ac:dyDescent="0.3">
      <c r="A7669" s="2">
        <v>7665</v>
      </c>
      <c r="B7669" s="66" t="s">
        <v>8511</v>
      </c>
      <c r="C7669" s="66" t="s">
        <v>9227</v>
      </c>
      <c r="D7669" s="11">
        <v>3304.3</v>
      </c>
      <c r="E7669" s="11">
        <v>3304.3</v>
      </c>
      <c r="F7669" s="3">
        <v>39065</v>
      </c>
      <c r="G7669" s="2"/>
      <c r="H7669" s="2"/>
      <c r="I7669" s="2"/>
      <c r="J7669" s="2" t="s">
        <v>13904</v>
      </c>
      <c r="K7669" s="2" t="s">
        <v>5657</v>
      </c>
      <c r="L7669" s="246" t="s">
        <v>22280</v>
      </c>
    </row>
    <row r="7670" spans="1:15" ht="84" customHeight="1" x14ac:dyDescent="0.3">
      <c r="A7670" s="2">
        <v>7666</v>
      </c>
      <c r="B7670" s="66" t="s">
        <v>9228</v>
      </c>
      <c r="C7670" s="66" t="s">
        <v>9229</v>
      </c>
      <c r="D7670" s="11">
        <v>3080.74</v>
      </c>
      <c r="E7670" s="11">
        <v>3080.74</v>
      </c>
      <c r="F7670" s="3">
        <v>39058</v>
      </c>
      <c r="G7670" s="2"/>
      <c r="H7670" s="2"/>
      <c r="I7670" s="2"/>
      <c r="J7670" s="2" t="s">
        <v>13904</v>
      </c>
      <c r="K7670" s="2" t="s">
        <v>5657</v>
      </c>
      <c r="L7670" s="246" t="s">
        <v>22280</v>
      </c>
    </row>
    <row r="7671" spans="1:15" ht="84" customHeight="1" x14ac:dyDescent="0.3">
      <c r="A7671" s="2">
        <v>7667</v>
      </c>
      <c r="B7671" s="66" t="s">
        <v>9079</v>
      </c>
      <c r="C7671" s="66" t="s">
        <v>9230</v>
      </c>
      <c r="D7671" s="11">
        <v>3092.54</v>
      </c>
      <c r="E7671" s="11">
        <v>3092.54</v>
      </c>
      <c r="F7671" s="3">
        <v>39066</v>
      </c>
      <c r="G7671" s="2"/>
      <c r="H7671" s="2"/>
      <c r="I7671" s="2"/>
      <c r="J7671" s="2" t="s">
        <v>13904</v>
      </c>
      <c r="K7671" s="2" t="s">
        <v>5657</v>
      </c>
      <c r="L7671" s="246" t="s">
        <v>22280</v>
      </c>
    </row>
    <row r="7672" spans="1:15" ht="84" customHeight="1" x14ac:dyDescent="0.3">
      <c r="A7672" s="2">
        <v>7668</v>
      </c>
      <c r="B7672" s="66" t="s">
        <v>9231</v>
      </c>
      <c r="C7672" s="66" t="s">
        <v>9232</v>
      </c>
      <c r="D7672" s="11">
        <v>3051.24</v>
      </c>
      <c r="E7672" s="11">
        <v>3051.24</v>
      </c>
      <c r="F7672" s="3">
        <v>36308</v>
      </c>
      <c r="G7672" s="2"/>
      <c r="H7672" s="2"/>
      <c r="I7672" s="2"/>
      <c r="J7672" s="2" t="s">
        <v>13904</v>
      </c>
      <c r="K7672" s="2" t="s">
        <v>5657</v>
      </c>
      <c r="L7672" s="246" t="s">
        <v>22280</v>
      </c>
    </row>
    <row r="7673" spans="1:15" s="19" customFormat="1" ht="84" customHeight="1" x14ac:dyDescent="0.3">
      <c r="A7673" s="2">
        <v>7669</v>
      </c>
      <c r="B7673" s="66" t="s">
        <v>5660</v>
      </c>
      <c r="C7673" s="66" t="s">
        <v>9233</v>
      </c>
      <c r="D7673" s="11">
        <v>2400000</v>
      </c>
      <c r="E7673" s="11">
        <v>2400000</v>
      </c>
      <c r="F7673" s="3">
        <v>39429</v>
      </c>
      <c r="G7673" s="2" t="s">
        <v>14104</v>
      </c>
      <c r="H7673" s="2"/>
      <c r="I7673" s="2"/>
      <c r="J7673" s="2" t="s">
        <v>13904</v>
      </c>
      <c r="K7673" s="2" t="s">
        <v>19218</v>
      </c>
      <c r="L7673" s="2" t="s">
        <v>18781</v>
      </c>
      <c r="M7673" s="18"/>
      <c r="N7673" s="18"/>
      <c r="O7673" s="18"/>
    </row>
    <row r="7674" spans="1:15" ht="84" customHeight="1" x14ac:dyDescent="0.3">
      <c r="A7674" s="2">
        <v>7670</v>
      </c>
      <c r="B7674" s="66" t="s">
        <v>9234</v>
      </c>
      <c r="C7674" s="66" t="s">
        <v>9235</v>
      </c>
      <c r="D7674" s="11">
        <v>50999.8</v>
      </c>
      <c r="E7674" s="11">
        <v>28050</v>
      </c>
      <c r="F7674" s="3">
        <v>41625</v>
      </c>
      <c r="G7674" s="2" t="s">
        <v>14104</v>
      </c>
      <c r="H7674" s="2"/>
      <c r="I7674" s="2"/>
      <c r="J7674" s="2" t="s">
        <v>13904</v>
      </c>
      <c r="K7674" s="2" t="s">
        <v>19218</v>
      </c>
      <c r="L7674" s="82" t="s">
        <v>18781</v>
      </c>
    </row>
    <row r="7675" spans="1:15" ht="84" customHeight="1" x14ac:dyDescent="0.3">
      <c r="A7675" s="2">
        <v>7671</v>
      </c>
      <c r="B7675" s="66" t="s">
        <v>4820</v>
      </c>
      <c r="C7675" s="66" t="s">
        <v>3298</v>
      </c>
      <c r="D7675" s="11">
        <v>74180.83</v>
      </c>
      <c r="E7675" s="11">
        <v>74180.83</v>
      </c>
      <c r="F7675" s="3">
        <v>39058</v>
      </c>
      <c r="G7675" s="2" t="s">
        <v>14104</v>
      </c>
      <c r="H7675" s="2"/>
      <c r="I7675" s="2"/>
      <c r="J7675" s="2" t="s">
        <v>13904</v>
      </c>
      <c r="K7675" s="2" t="s">
        <v>19218</v>
      </c>
      <c r="L7675" s="82" t="s">
        <v>18781</v>
      </c>
    </row>
    <row r="7676" spans="1:15" ht="84" customHeight="1" x14ac:dyDescent="0.3">
      <c r="A7676" s="2">
        <v>7672</v>
      </c>
      <c r="B7676" s="66" t="s">
        <v>9236</v>
      </c>
      <c r="C7676" s="66" t="s">
        <v>9237</v>
      </c>
      <c r="D7676" s="11">
        <v>359998</v>
      </c>
      <c r="E7676" s="11">
        <v>278998.14</v>
      </c>
      <c r="F7676" s="3">
        <v>39806</v>
      </c>
      <c r="G7676" s="2" t="s">
        <v>14104</v>
      </c>
      <c r="H7676" s="2"/>
      <c r="I7676" s="2"/>
      <c r="J7676" s="2" t="s">
        <v>13904</v>
      </c>
      <c r="K7676" s="2" t="s">
        <v>19218</v>
      </c>
      <c r="L7676" s="82" t="s">
        <v>18781</v>
      </c>
    </row>
    <row r="7677" spans="1:15" ht="84" customHeight="1" x14ac:dyDescent="0.3">
      <c r="A7677" s="2">
        <v>7673</v>
      </c>
      <c r="B7677" s="66" t="s">
        <v>4820</v>
      </c>
      <c r="C7677" s="66" t="s">
        <v>9238</v>
      </c>
      <c r="D7677" s="11">
        <v>65500</v>
      </c>
      <c r="E7677" s="11">
        <v>65500</v>
      </c>
      <c r="F7677" s="3">
        <v>39755</v>
      </c>
      <c r="G7677" s="2" t="s">
        <v>14104</v>
      </c>
      <c r="H7677" s="2"/>
      <c r="I7677" s="2"/>
      <c r="J7677" s="2" t="s">
        <v>13904</v>
      </c>
      <c r="K7677" s="2" t="s">
        <v>19218</v>
      </c>
      <c r="L7677" s="82" t="s">
        <v>18781</v>
      </c>
    </row>
    <row r="7678" spans="1:15" ht="84" customHeight="1" x14ac:dyDescent="0.3">
      <c r="A7678" s="2">
        <v>7674</v>
      </c>
      <c r="B7678" s="66" t="s">
        <v>9239</v>
      </c>
      <c r="C7678" s="66" t="s">
        <v>4600</v>
      </c>
      <c r="D7678" s="11">
        <v>415520.81</v>
      </c>
      <c r="E7678" s="11">
        <v>415520.81</v>
      </c>
      <c r="F7678" s="3">
        <v>39079</v>
      </c>
      <c r="G7678" s="2" t="s">
        <v>14104</v>
      </c>
      <c r="H7678" s="2"/>
      <c r="I7678" s="2"/>
      <c r="J7678" s="2" t="s">
        <v>13904</v>
      </c>
      <c r="K7678" s="2" t="s">
        <v>19218</v>
      </c>
      <c r="L7678" s="82" t="s">
        <v>18781</v>
      </c>
    </row>
    <row r="7679" spans="1:15" ht="84" customHeight="1" x14ac:dyDescent="0.3">
      <c r="A7679" s="2">
        <v>7675</v>
      </c>
      <c r="B7679" s="66" t="s">
        <v>9240</v>
      </c>
      <c r="C7679" s="66" t="s">
        <v>9241</v>
      </c>
      <c r="D7679" s="11">
        <v>431726.22</v>
      </c>
      <c r="E7679" s="11">
        <v>431726.22</v>
      </c>
      <c r="F7679" s="3">
        <v>39079</v>
      </c>
      <c r="G7679" s="2" t="s">
        <v>14104</v>
      </c>
      <c r="H7679" s="2"/>
      <c r="I7679" s="2"/>
      <c r="J7679" s="2" t="s">
        <v>13904</v>
      </c>
      <c r="K7679" s="2" t="s">
        <v>19218</v>
      </c>
      <c r="L7679" s="82" t="s">
        <v>18781</v>
      </c>
    </row>
    <row r="7680" spans="1:15" ht="96" customHeight="1" x14ac:dyDescent="0.3">
      <c r="A7680" s="2">
        <v>7676</v>
      </c>
      <c r="B7680" s="66" t="s">
        <v>22222</v>
      </c>
      <c r="C7680" s="66">
        <v>4101240086</v>
      </c>
      <c r="D7680" s="11">
        <v>69331.16</v>
      </c>
      <c r="E7680" s="11">
        <v>13886.24</v>
      </c>
      <c r="F7680" s="3" t="s">
        <v>22223</v>
      </c>
      <c r="G7680" s="2" t="s">
        <v>22224</v>
      </c>
      <c r="H7680" s="3"/>
      <c r="I7680" s="2"/>
      <c r="J7680" s="2" t="s">
        <v>13904</v>
      </c>
      <c r="K7680" s="2" t="s">
        <v>22221</v>
      </c>
      <c r="L7680" s="82" t="s">
        <v>23001</v>
      </c>
    </row>
    <row r="7681" spans="1:12" ht="96" customHeight="1" x14ac:dyDescent="0.3">
      <c r="A7681" s="2">
        <v>7677</v>
      </c>
      <c r="B7681" s="66" t="s">
        <v>22226</v>
      </c>
      <c r="C7681" s="66">
        <v>4101240087</v>
      </c>
      <c r="D7681" s="11">
        <v>59515.42</v>
      </c>
      <c r="E7681" s="11">
        <v>11903.04</v>
      </c>
      <c r="F7681" s="3" t="s">
        <v>22223</v>
      </c>
      <c r="G7681" s="2" t="s">
        <v>22225</v>
      </c>
      <c r="H7681" s="3"/>
      <c r="I7681" s="2"/>
      <c r="J7681" s="2" t="s">
        <v>13904</v>
      </c>
      <c r="K7681" s="2" t="s">
        <v>22221</v>
      </c>
      <c r="L7681" s="246" t="s">
        <v>23001</v>
      </c>
    </row>
    <row r="7682" spans="1:12" ht="84" customHeight="1" x14ac:dyDescent="0.3">
      <c r="A7682" s="2">
        <v>7678</v>
      </c>
      <c r="B7682" s="66" t="s">
        <v>4972</v>
      </c>
      <c r="C7682" s="66" t="s">
        <v>9242</v>
      </c>
      <c r="D7682" s="11">
        <v>61000</v>
      </c>
      <c r="E7682" s="11">
        <v>61000</v>
      </c>
      <c r="F7682" s="3">
        <v>39755</v>
      </c>
      <c r="G7682" s="2" t="s">
        <v>14104</v>
      </c>
      <c r="H7682" s="2"/>
      <c r="I7682" s="2"/>
      <c r="J7682" s="2" t="s">
        <v>13904</v>
      </c>
      <c r="K7682" s="2" t="s">
        <v>19218</v>
      </c>
      <c r="L7682" s="82" t="s">
        <v>18781</v>
      </c>
    </row>
    <row r="7683" spans="1:12" ht="84" customHeight="1" x14ac:dyDescent="0.3">
      <c r="A7683" s="2">
        <v>7679</v>
      </c>
      <c r="B7683" s="66" t="s">
        <v>4974</v>
      </c>
      <c r="C7683" s="66" t="s">
        <v>9243</v>
      </c>
      <c r="D7683" s="11">
        <v>56900</v>
      </c>
      <c r="E7683" s="11">
        <v>56900</v>
      </c>
      <c r="F7683" s="3">
        <v>39755</v>
      </c>
      <c r="G7683" s="2" t="s">
        <v>14104</v>
      </c>
      <c r="H7683" s="2"/>
      <c r="I7683" s="2"/>
      <c r="J7683" s="2" t="s">
        <v>13904</v>
      </c>
      <c r="K7683" s="2" t="s">
        <v>19218</v>
      </c>
      <c r="L7683" s="82" t="s">
        <v>18781</v>
      </c>
    </row>
    <row r="7684" spans="1:12" ht="84" customHeight="1" x14ac:dyDescent="0.3">
      <c r="A7684" s="2">
        <v>7680</v>
      </c>
      <c r="B7684" s="66" t="s">
        <v>9244</v>
      </c>
      <c r="C7684" s="66" t="s">
        <v>9245</v>
      </c>
      <c r="D7684" s="11">
        <v>511900</v>
      </c>
      <c r="E7684" s="11">
        <v>511900</v>
      </c>
      <c r="F7684" s="3">
        <v>39431</v>
      </c>
      <c r="G7684" s="2" t="s">
        <v>14104</v>
      </c>
      <c r="H7684" s="2"/>
      <c r="I7684" s="2"/>
      <c r="J7684" s="2" t="s">
        <v>13904</v>
      </c>
      <c r="K7684" s="2" t="s">
        <v>19218</v>
      </c>
      <c r="L7684" s="82" t="s">
        <v>18781</v>
      </c>
    </row>
    <row r="7685" spans="1:12" ht="96" customHeight="1" x14ac:dyDescent="0.3">
      <c r="A7685" s="2">
        <v>7681</v>
      </c>
      <c r="B7685" s="66" t="s">
        <v>19777</v>
      </c>
      <c r="C7685" s="66">
        <v>4101240084</v>
      </c>
      <c r="D7685" s="11">
        <v>80605.990000000005</v>
      </c>
      <c r="E7685" s="11">
        <v>32242.44</v>
      </c>
      <c r="F7685" s="3" t="s">
        <v>22223</v>
      </c>
      <c r="G7685" s="2" t="s">
        <v>22227</v>
      </c>
      <c r="H7685" s="3"/>
      <c r="I7685" s="2"/>
      <c r="J7685" s="2" t="s">
        <v>13904</v>
      </c>
      <c r="K7685" s="2" t="s">
        <v>22221</v>
      </c>
      <c r="L7685" s="246" t="s">
        <v>23001</v>
      </c>
    </row>
    <row r="7686" spans="1:12" ht="84" customHeight="1" x14ac:dyDescent="0.3">
      <c r="A7686" s="2">
        <v>7682</v>
      </c>
      <c r="B7686" s="66" t="s">
        <v>9246</v>
      </c>
      <c r="C7686" s="66" t="s">
        <v>9247</v>
      </c>
      <c r="D7686" s="11">
        <v>70125</v>
      </c>
      <c r="E7686" s="11">
        <v>66618.75</v>
      </c>
      <c r="F7686" s="3">
        <v>37232</v>
      </c>
      <c r="G7686" s="2" t="s">
        <v>14104</v>
      </c>
      <c r="H7686" s="2"/>
      <c r="I7686" s="2"/>
      <c r="J7686" s="2" t="s">
        <v>13904</v>
      </c>
      <c r="K7686" s="2" t="s">
        <v>19218</v>
      </c>
      <c r="L7686" s="82" t="s">
        <v>18781</v>
      </c>
    </row>
    <row r="7687" spans="1:12" ht="96" customHeight="1" x14ac:dyDescent="0.3">
      <c r="A7687" s="2">
        <v>7683</v>
      </c>
      <c r="B7687" s="66" t="s">
        <v>19777</v>
      </c>
      <c r="C7687" s="66">
        <v>4101240085</v>
      </c>
      <c r="D7687" s="11">
        <v>80605.990000000005</v>
      </c>
      <c r="E7687" s="11">
        <v>32242.44</v>
      </c>
      <c r="F7687" s="3" t="s">
        <v>22223</v>
      </c>
      <c r="G7687" s="2" t="s">
        <v>22227</v>
      </c>
      <c r="H7687" s="3"/>
      <c r="I7687" s="2"/>
      <c r="J7687" s="2" t="s">
        <v>13904</v>
      </c>
      <c r="K7687" s="2" t="s">
        <v>22221</v>
      </c>
      <c r="L7687" s="246" t="s">
        <v>23001</v>
      </c>
    </row>
    <row r="7688" spans="1:12" ht="96" customHeight="1" x14ac:dyDescent="0.3">
      <c r="A7688" s="2">
        <v>7684</v>
      </c>
      <c r="B7688" s="66" t="s">
        <v>19774</v>
      </c>
      <c r="C7688" s="66">
        <v>4101240076</v>
      </c>
      <c r="D7688" s="11">
        <v>133377.43</v>
      </c>
      <c r="E7688" s="11">
        <v>53350.92</v>
      </c>
      <c r="F7688" s="3" t="s">
        <v>22223</v>
      </c>
      <c r="G7688" s="2" t="s">
        <v>22228</v>
      </c>
      <c r="H7688" s="3"/>
      <c r="I7688" s="2"/>
      <c r="J7688" s="2" t="s">
        <v>13904</v>
      </c>
      <c r="K7688" s="2" t="s">
        <v>22221</v>
      </c>
      <c r="L7688" s="246" t="s">
        <v>23001</v>
      </c>
    </row>
    <row r="7689" spans="1:12" ht="84" customHeight="1" x14ac:dyDescent="0.3">
      <c r="A7689" s="2">
        <v>7685</v>
      </c>
      <c r="B7689" s="66" t="s">
        <v>9248</v>
      </c>
      <c r="C7689" s="66" t="s">
        <v>9249</v>
      </c>
      <c r="D7689" s="11">
        <v>208451.61</v>
      </c>
      <c r="E7689" s="11">
        <v>198028.83</v>
      </c>
      <c r="F7689" s="3">
        <v>37246</v>
      </c>
      <c r="G7689" s="2" t="s">
        <v>14104</v>
      </c>
      <c r="H7689" s="2"/>
      <c r="I7689" s="2"/>
      <c r="J7689" s="2" t="s">
        <v>13904</v>
      </c>
      <c r="K7689" s="2" t="s">
        <v>19218</v>
      </c>
      <c r="L7689" s="82" t="s">
        <v>18781</v>
      </c>
    </row>
    <row r="7690" spans="1:12" ht="84" customHeight="1" x14ac:dyDescent="0.3">
      <c r="A7690" s="2">
        <v>7686</v>
      </c>
      <c r="B7690" s="66" t="s">
        <v>9250</v>
      </c>
      <c r="C7690" s="66" t="s">
        <v>9251</v>
      </c>
      <c r="D7690" s="11">
        <v>80610.28</v>
      </c>
      <c r="E7690" s="11">
        <v>76579.5</v>
      </c>
      <c r="F7690" s="3">
        <v>37246</v>
      </c>
      <c r="G7690" s="2" t="s">
        <v>14104</v>
      </c>
      <c r="H7690" s="2"/>
      <c r="I7690" s="2"/>
      <c r="J7690" s="2" t="s">
        <v>13904</v>
      </c>
      <c r="K7690" s="2" t="s">
        <v>19218</v>
      </c>
      <c r="L7690" s="82" t="s">
        <v>18781</v>
      </c>
    </row>
    <row r="7691" spans="1:12" ht="84" customHeight="1" x14ac:dyDescent="0.3">
      <c r="A7691" s="2">
        <v>7687</v>
      </c>
      <c r="B7691" s="66" t="s">
        <v>9252</v>
      </c>
      <c r="C7691" s="66" t="s">
        <v>9253</v>
      </c>
      <c r="D7691" s="11">
        <v>80610.28</v>
      </c>
      <c r="E7691" s="11">
        <v>76579.5</v>
      </c>
      <c r="F7691" s="3">
        <v>37246</v>
      </c>
      <c r="G7691" s="2" t="s">
        <v>14104</v>
      </c>
      <c r="H7691" s="2"/>
      <c r="I7691" s="2"/>
      <c r="J7691" s="2" t="s">
        <v>13904</v>
      </c>
      <c r="K7691" s="2" t="s">
        <v>19218</v>
      </c>
      <c r="L7691" s="82" t="s">
        <v>18781</v>
      </c>
    </row>
    <row r="7692" spans="1:12" ht="84" customHeight="1" x14ac:dyDescent="0.3">
      <c r="A7692" s="2">
        <v>7688</v>
      </c>
      <c r="B7692" s="66" t="s">
        <v>9254</v>
      </c>
      <c r="C7692" s="66" t="s">
        <v>9255</v>
      </c>
      <c r="D7692" s="11">
        <v>70051.13</v>
      </c>
      <c r="E7692" s="11">
        <v>66548.639999999999</v>
      </c>
      <c r="F7692" s="3">
        <v>37246</v>
      </c>
      <c r="G7692" s="2" t="s">
        <v>14104</v>
      </c>
      <c r="H7692" s="2"/>
      <c r="I7692" s="2"/>
      <c r="J7692" s="2" t="s">
        <v>13904</v>
      </c>
      <c r="K7692" s="2" t="s">
        <v>19218</v>
      </c>
      <c r="L7692" s="82" t="s">
        <v>18781</v>
      </c>
    </row>
    <row r="7693" spans="1:12" ht="84" customHeight="1" x14ac:dyDescent="0.3">
      <c r="A7693" s="2">
        <v>7689</v>
      </c>
      <c r="B7693" s="66" t="s">
        <v>9256</v>
      </c>
      <c r="C7693" s="66" t="s">
        <v>9257</v>
      </c>
      <c r="D7693" s="11">
        <v>53666.81</v>
      </c>
      <c r="E7693" s="11">
        <v>50983.65</v>
      </c>
      <c r="F7693" s="3">
        <v>37246</v>
      </c>
      <c r="G7693" s="2" t="s">
        <v>14104</v>
      </c>
      <c r="H7693" s="2"/>
      <c r="I7693" s="2"/>
      <c r="J7693" s="2" t="s">
        <v>13904</v>
      </c>
      <c r="K7693" s="2" t="s">
        <v>19218</v>
      </c>
      <c r="L7693" s="82" t="s">
        <v>18781</v>
      </c>
    </row>
    <row r="7694" spans="1:12" ht="84" customHeight="1" x14ac:dyDescent="0.3">
      <c r="A7694" s="2">
        <v>7690</v>
      </c>
      <c r="B7694" s="66" t="s">
        <v>9258</v>
      </c>
      <c r="C7694" s="66" t="s">
        <v>9259</v>
      </c>
      <c r="D7694" s="11">
        <v>53666.81</v>
      </c>
      <c r="E7694" s="11">
        <v>37566.9</v>
      </c>
      <c r="F7694" s="3">
        <v>37246</v>
      </c>
      <c r="G7694" s="2" t="s">
        <v>14104</v>
      </c>
      <c r="H7694" s="2"/>
      <c r="I7694" s="2"/>
      <c r="J7694" s="2" t="s">
        <v>13904</v>
      </c>
      <c r="K7694" s="2" t="s">
        <v>19218</v>
      </c>
      <c r="L7694" s="82" t="s">
        <v>18781</v>
      </c>
    </row>
    <row r="7695" spans="1:12" ht="84" customHeight="1" x14ac:dyDescent="0.3">
      <c r="A7695" s="2">
        <v>7691</v>
      </c>
      <c r="B7695" s="66" t="s">
        <v>9260</v>
      </c>
      <c r="C7695" s="66" t="s">
        <v>9261</v>
      </c>
      <c r="D7695" s="11">
        <v>53666.81</v>
      </c>
      <c r="E7695" s="11">
        <v>53666.81</v>
      </c>
      <c r="F7695" s="3">
        <v>37246</v>
      </c>
      <c r="G7695" s="2" t="s">
        <v>14104</v>
      </c>
      <c r="H7695" s="2"/>
      <c r="I7695" s="2"/>
      <c r="J7695" s="2" t="s">
        <v>13904</v>
      </c>
      <c r="K7695" s="2" t="s">
        <v>19218</v>
      </c>
      <c r="L7695" s="82" t="s">
        <v>18781</v>
      </c>
    </row>
    <row r="7696" spans="1:12" ht="84" customHeight="1" x14ac:dyDescent="0.3">
      <c r="A7696" s="2">
        <v>7692</v>
      </c>
      <c r="B7696" s="66" t="s">
        <v>9262</v>
      </c>
      <c r="C7696" s="66" t="s">
        <v>9263</v>
      </c>
      <c r="D7696" s="11">
        <v>72330.31</v>
      </c>
      <c r="E7696" s="11">
        <v>54247.95</v>
      </c>
      <c r="F7696" s="3">
        <v>37246</v>
      </c>
      <c r="G7696" s="2" t="s">
        <v>14104</v>
      </c>
      <c r="H7696" s="2"/>
      <c r="I7696" s="2"/>
      <c r="J7696" s="2" t="s">
        <v>13904</v>
      </c>
      <c r="K7696" s="2" t="s">
        <v>19218</v>
      </c>
      <c r="L7696" s="82" t="s">
        <v>18781</v>
      </c>
    </row>
    <row r="7697" spans="1:12" ht="84" customHeight="1" x14ac:dyDescent="0.3">
      <c r="A7697" s="2">
        <v>7693</v>
      </c>
      <c r="B7697" s="66" t="s">
        <v>9264</v>
      </c>
      <c r="C7697" s="66" t="s">
        <v>9265</v>
      </c>
      <c r="D7697" s="11">
        <v>72330.31</v>
      </c>
      <c r="E7697" s="11">
        <v>68714.070000000007</v>
      </c>
      <c r="F7697" s="3">
        <v>37246</v>
      </c>
      <c r="G7697" s="2" t="s">
        <v>14104</v>
      </c>
      <c r="H7697" s="2"/>
      <c r="I7697" s="2"/>
      <c r="J7697" s="2" t="s">
        <v>13904</v>
      </c>
      <c r="K7697" s="2" t="s">
        <v>19218</v>
      </c>
      <c r="L7697" s="82" t="s">
        <v>18781</v>
      </c>
    </row>
    <row r="7698" spans="1:12" ht="96" customHeight="1" x14ac:dyDescent="0.3">
      <c r="A7698" s="2">
        <v>7694</v>
      </c>
      <c r="B7698" s="66" t="s">
        <v>19774</v>
      </c>
      <c r="C7698" s="66">
        <v>4101240077</v>
      </c>
      <c r="D7698" s="11">
        <v>133377.43</v>
      </c>
      <c r="E7698" s="11">
        <v>53350.92</v>
      </c>
      <c r="F7698" s="3" t="s">
        <v>22223</v>
      </c>
      <c r="G7698" s="2" t="s">
        <v>22228</v>
      </c>
      <c r="H7698" s="3"/>
      <c r="I7698" s="2"/>
      <c r="J7698" s="2" t="s">
        <v>13904</v>
      </c>
      <c r="K7698" s="2" t="s">
        <v>22221</v>
      </c>
      <c r="L7698" s="246" t="s">
        <v>23001</v>
      </c>
    </row>
    <row r="7699" spans="1:12" ht="84" customHeight="1" x14ac:dyDescent="0.3">
      <c r="A7699" s="2">
        <v>7695</v>
      </c>
      <c r="B7699" s="66" t="s">
        <v>9266</v>
      </c>
      <c r="C7699" s="66" t="s">
        <v>5482</v>
      </c>
      <c r="D7699" s="11">
        <v>131722.15</v>
      </c>
      <c r="E7699" s="11">
        <v>131722.15</v>
      </c>
      <c r="F7699" s="3">
        <v>39057</v>
      </c>
      <c r="G7699" s="2" t="s">
        <v>14104</v>
      </c>
      <c r="H7699" s="2"/>
      <c r="I7699" s="2"/>
      <c r="J7699" s="2" t="s">
        <v>13904</v>
      </c>
      <c r="K7699" s="2" t="s">
        <v>19218</v>
      </c>
      <c r="L7699" s="82" t="s">
        <v>18781</v>
      </c>
    </row>
    <row r="7700" spans="1:12" ht="84" customHeight="1" x14ac:dyDescent="0.3">
      <c r="A7700" s="2">
        <v>7696</v>
      </c>
      <c r="B7700" s="66" t="s">
        <v>4531</v>
      </c>
      <c r="C7700" s="66" t="s">
        <v>23159</v>
      </c>
      <c r="D7700" s="11">
        <v>58850</v>
      </c>
      <c r="E7700" s="11">
        <v>58850</v>
      </c>
      <c r="F7700" s="3">
        <v>38701</v>
      </c>
      <c r="G7700" s="2" t="s">
        <v>14104</v>
      </c>
      <c r="H7700" s="243">
        <v>43648</v>
      </c>
      <c r="I7700" s="2" t="s">
        <v>23158</v>
      </c>
      <c r="J7700" s="2" t="s">
        <v>13904</v>
      </c>
      <c r="K7700" s="2" t="s">
        <v>19218</v>
      </c>
      <c r="L7700" s="82" t="s">
        <v>18781</v>
      </c>
    </row>
    <row r="7701" spans="1:12" ht="96" customHeight="1" x14ac:dyDescent="0.3">
      <c r="A7701" s="2">
        <v>7697</v>
      </c>
      <c r="B7701" s="66" t="s">
        <v>19776</v>
      </c>
      <c r="C7701" s="66">
        <v>4101240080</v>
      </c>
      <c r="D7701" s="11">
        <v>141905.54</v>
      </c>
      <c r="E7701" s="11">
        <v>56762.16</v>
      </c>
      <c r="F7701" s="3" t="s">
        <v>22223</v>
      </c>
      <c r="G7701" s="2" t="s">
        <v>22229</v>
      </c>
      <c r="H7701" s="3"/>
      <c r="I7701" s="2"/>
      <c r="J7701" s="2" t="s">
        <v>13904</v>
      </c>
      <c r="K7701" s="2" t="s">
        <v>22221</v>
      </c>
      <c r="L7701" s="246" t="s">
        <v>23001</v>
      </c>
    </row>
    <row r="7702" spans="1:12" ht="96" customHeight="1" x14ac:dyDescent="0.3">
      <c r="A7702" s="2">
        <v>7698</v>
      </c>
      <c r="B7702" s="66" t="s">
        <v>19776</v>
      </c>
      <c r="C7702" s="66">
        <v>4101240081</v>
      </c>
      <c r="D7702" s="11">
        <v>141905.54</v>
      </c>
      <c r="E7702" s="11">
        <v>56762.16</v>
      </c>
      <c r="F7702" s="3" t="s">
        <v>22223</v>
      </c>
      <c r="G7702" s="2" t="s">
        <v>22229</v>
      </c>
      <c r="H7702" s="3"/>
      <c r="I7702" s="2"/>
      <c r="J7702" s="2" t="s">
        <v>13904</v>
      </c>
      <c r="K7702" s="2" t="s">
        <v>22221</v>
      </c>
      <c r="L7702" s="246" t="s">
        <v>23001</v>
      </c>
    </row>
    <row r="7703" spans="1:12" ht="96" customHeight="1" x14ac:dyDescent="0.3">
      <c r="A7703" s="2">
        <v>7699</v>
      </c>
      <c r="B7703" s="66" t="s">
        <v>19775</v>
      </c>
      <c r="C7703" s="66">
        <v>4101240082</v>
      </c>
      <c r="D7703" s="11">
        <v>133262.96</v>
      </c>
      <c r="E7703" s="11">
        <v>53305.2</v>
      </c>
      <c r="F7703" s="3" t="s">
        <v>22223</v>
      </c>
      <c r="G7703" s="2" t="s">
        <v>22230</v>
      </c>
      <c r="H7703" s="3"/>
      <c r="I7703" s="2"/>
      <c r="J7703" s="2" t="s">
        <v>13904</v>
      </c>
      <c r="K7703" s="2" t="s">
        <v>22221</v>
      </c>
      <c r="L7703" s="246" t="s">
        <v>23001</v>
      </c>
    </row>
    <row r="7704" spans="1:12" ht="96" customHeight="1" x14ac:dyDescent="0.3">
      <c r="A7704" s="2">
        <v>7700</v>
      </c>
      <c r="B7704" s="66" t="s">
        <v>19775</v>
      </c>
      <c r="C7704" s="66">
        <v>4101240083</v>
      </c>
      <c r="D7704" s="11">
        <v>133262.96</v>
      </c>
      <c r="E7704" s="11">
        <v>53305.2</v>
      </c>
      <c r="F7704" s="3" t="s">
        <v>22223</v>
      </c>
      <c r="G7704" s="2" t="s">
        <v>22230</v>
      </c>
      <c r="H7704" s="3"/>
      <c r="I7704" s="2"/>
      <c r="J7704" s="2" t="s">
        <v>13904</v>
      </c>
      <c r="K7704" s="2" t="s">
        <v>22221</v>
      </c>
      <c r="L7704" s="246" t="s">
        <v>23001</v>
      </c>
    </row>
    <row r="7705" spans="1:12" ht="96" customHeight="1" x14ac:dyDescent="0.3">
      <c r="A7705" s="2">
        <v>7701</v>
      </c>
      <c r="B7705" s="66" t="s">
        <v>19773</v>
      </c>
      <c r="C7705" s="66">
        <v>4101240078</v>
      </c>
      <c r="D7705" s="11">
        <v>74348.070000000007</v>
      </c>
      <c r="E7705" s="11">
        <v>29739.24</v>
      </c>
      <c r="F7705" s="3" t="s">
        <v>22223</v>
      </c>
      <c r="G7705" s="2" t="s">
        <v>22231</v>
      </c>
      <c r="H7705" s="3"/>
      <c r="I7705" s="2"/>
      <c r="J7705" s="2" t="s">
        <v>13904</v>
      </c>
      <c r="K7705" s="2" t="s">
        <v>22221</v>
      </c>
      <c r="L7705" s="246" t="s">
        <v>23001</v>
      </c>
    </row>
    <row r="7706" spans="1:12" ht="96" customHeight="1" x14ac:dyDescent="0.3">
      <c r="A7706" s="2">
        <v>7702</v>
      </c>
      <c r="B7706" s="66" t="s">
        <v>19773</v>
      </c>
      <c r="C7706" s="66">
        <v>4101240079</v>
      </c>
      <c r="D7706" s="11">
        <v>74348.070000000007</v>
      </c>
      <c r="E7706" s="11">
        <v>29739.24</v>
      </c>
      <c r="F7706" s="3" t="s">
        <v>22223</v>
      </c>
      <c r="G7706" s="2" t="s">
        <v>22231</v>
      </c>
      <c r="H7706" s="3"/>
      <c r="I7706" s="2"/>
      <c r="J7706" s="2" t="s">
        <v>13904</v>
      </c>
      <c r="K7706" s="2" t="s">
        <v>22221</v>
      </c>
      <c r="L7706" s="246" t="s">
        <v>23001</v>
      </c>
    </row>
    <row r="7707" spans="1:12" ht="84" customHeight="1" x14ac:dyDescent="0.3">
      <c r="A7707" s="2">
        <v>7703</v>
      </c>
      <c r="B7707" s="66" t="s">
        <v>22204</v>
      </c>
      <c r="C7707" s="66">
        <v>4101240088</v>
      </c>
      <c r="D7707" s="11">
        <v>50210</v>
      </c>
      <c r="E7707" s="11">
        <v>9250.1299999999992</v>
      </c>
      <c r="F7707" s="3" t="s">
        <v>20110</v>
      </c>
      <c r="G7707" s="2" t="s">
        <v>22232</v>
      </c>
      <c r="H7707" s="3"/>
      <c r="I7707" s="2"/>
      <c r="J7707" s="2" t="s">
        <v>13904</v>
      </c>
      <c r="K7707" s="2" t="s">
        <v>22221</v>
      </c>
      <c r="L7707" s="246" t="s">
        <v>23001</v>
      </c>
    </row>
    <row r="7708" spans="1:12" ht="84" customHeight="1" x14ac:dyDescent="0.3">
      <c r="A7708" s="2">
        <v>7704</v>
      </c>
      <c r="B7708" s="66" t="s">
        <v>9268</v>
      </c>
      <c r="C7708" s="66" t="s">
        <v>4923</v>
      </c>
      <c r="D7708" s="11">
        <v>92553.78</v>
      </c>
      <c r="E7708" s="11">
        <v>92553.78</v>
      </c>
      <c r="F7708" s="3">
        <v>39058</v>
      </c>
      <c r="G7708" s="2" t="s">
        <v>14104</v>
      </c>
      <c r="H7708" s="2"/>
      <c r="I7708" s="2"/>
      <c r="J7708" s="2" t="s">
        <v>13904</v>
      </c>
      <c r="K7708" s="2" t="s">
        <v>19218</v>
      </c>
      <c r="L7708" s="82" t="s">
        <v>18781</v>
      </c>
    </row>
    <row r="7709" spans="1:12" ht="84" customHeight="1" x14ac:dyDescent="0.3">
      <c r="A7709" s="2">
        <v>7705</v>
      </c>
      <c r="B7709" s="66" t="s">
        <v>9269</v>
      </c>
      <c r="C7709" s="66" t="s">
        <v>5564</v>
      </c>
      <c r="D7709" s="11">
        <v>81630</v>
      </c>
      <c r="E7709" s="11">
        <v>81630</v>
      </c>
      <c r="F7709" s="3">
        <v>39417</v>
      </c>
      <c r="G7709" s="2" t="s">
        <v>14104</v>
      </c>
      <c r="H7709" s="2"/>
      <c r="I7709" s="2"/>
      <c r="J7709" s="2" t="s">
        <v>13904</v>
      </c>
      <c r="K7709" s="2" t="s">
        <v>19218</v>
      </c>
      <c r="L7709" s="82" t="s">
        <v>18781</v>
      </c>
    </row>
    <row r="7710" spans="1:12" ht="84" customHeight="1" x14ac:dyDescent="0.3">
      <c r="A7710" s="2">
        <v>7706</v>
      </c>
      <c r="B7710" s="66" t="s">
        <v>22961</v>
      </c>
      <c r="C7710" s="66">
        <v>4101240090</v>
      </c>
      <c r="D7710" s="11">
        <v>51346.879999999997</v>
      </c>
      <c r="E7710" s="11">
        <v>51346.879999999997</v>
      </c>
      <c r="F7710" s="3" t="s">
        <v>22958</v>
      </c>
      <c r="G7710" s="2" t="s">
        <v>22960</v>
      </c>
      <c r="H7710" s="3"/>
      <c r="I7710" s="2"/>
      <c r="J7710" s="2" t="s">
        <v>13904</v>
      </c>
      <c r="K7710" s="2" t="s">
        <v>22956</v>
      </c>
      <c r="L7710" s="82" t="s">
        <v>22959</v>
      </c>
    </row>
    <row r="7711" spans="1:12" ht="84" customHeight="1" x14ac:dyDescent="0.3">
      <c r="A7711" s="2">
        <v>7707</v>
      </c>
      <c r="B7711" s="66" t="s">
        <v>22957</v>
      </c>
      <c r="C7711" s="66">
        <v>4101240089</v>
      </c>
      <c r="D7711" s="11">
        <v>64348.57</v>
      </c>
      <c r="E7711" s="11">
        <v>64348.57</v>
      </c>
      <c r="F7711" s="3" t="s">
        <v>22958</v>
      </c>
      <c r="G7711" s="242" t="s">
        <v>22960</v>
      </c>
      <c r="H7711" s="3"/>
      <c r="I7711" s="2"/>
      <c r="J7711" s="2" t="s">
        <v>13904</v>
      </c>
      <c r="K7711" s="242" t="s">
        <v>22956</v>
      </c>
      <c r="L7711" s="246" t="s">
        <v>22959</v>
      </c>
    </row>
    <row r="7712" spans="1:12" ht="84" customHeight="1" x14ac:dyDescent="0.3">
      <c r="A7712" s="2">
        <v>7708</v>
      </c>
      <c r="B7712" s="66" t="s">
        <v>9270</v>
      </c>
      <c r="C7712" s="66" t="s">
        <v>9271</v>
      </c>
      <c r="D7712" s="11">
        <v>51547</v>
      </c>
      <c r="E7712" s="11">
        <v>51547</v>
      </c>
      <c r="F7712" s="3">
        <v>40870</v>
      </c>
      <c r="G7712" s="2" t="s">
        <v>14104</v>
      </c>
      <c r="H7712" s="2"/>
      <c r="I7712" s="2"/>
      <c r="J7712" s="2" t="s">
        <v>13904</v>
      </c>
      <c r="K7712" s="2" t="s">
        <v>19218</v>
      </c>
      <c r="L7712" s="82" t="s">
        <v>18781</v>
      </c>
    </row>
    <row r="7713" spans="1:15" s="19" customFormat="1" ht="84" customHeight="1" x14ac:dyDescent="0.3">
      <c r="A7713" s="2">
        <v>7709</v>
      </c>
      <c r="B7713" s="66" t="s">
        <v>9272</v>
      </c>
      <c r="C7713" s="66" t="s">
        <v>3824</v>
      </c>
      <c r="D7713" s="11">
        <v>600000</v>
      </c>
      <c r="E7713" s="11">
        <v>410000</v>
      </c>
      <c r="F7713" s="3">
        <v>40877</v>
      </c>
      <c r="G7713" s="2" t="s">
        <v>14104</v>
      </c>
      <c r="H7713" s="2"/>
      <c r="I7713" s="2"/>
      <c r="J7713" s="2" t="s">
        <v>13904</v>
      </c>
      <c r="K7713" s="2" t="s">
        <v>19218</v>
      </c>
      <c r="L7713" s="82" t="s">
        <v>18781</v>
      </c>
      <c r="M7713" s="16"/>
      <c r="N7713" s="16"/>
      <c r="O7713" s="16"/>
    </row>
    <row r="7714" spans="1:15" ht="84" customHeight="1" x14ac:dyDescent="0.3">
      <c r="A7714" s="2">
        <v>7710</v>
      </c>
      <c r="B7714" s="66" t="s">
        <v>9273</v>
      </c>
      <c r="C7714" s="66" t="s">
        <v>9274</v>
      </c>
      <c r="D7714" s="11">
        <v>185510</v>
      </c>
      <c r="E7714" s="11">
        <v>86184.84</v>
      </c>
      <c r="F7714" s="3">
        <v>41617</v>
      </c>
      <c r="G7714" s="2" t="s">
        <v>14104</v>
      </c>
      <c r="H7714" s="2"/>
      <c r="I7714" s="2"/>
      <c r="J7714" s="2" t="s">
        <v>13904</v>
      </c>
      <c r="K7714" s="2" t="s">
        <v>19218</v>
      </c>
      <c r="L7714" s="82" t="s">
        <v>18781</v>
      </c>
    </row>
    <row r="7715" spans="1:15" ht="84" customHeight="1" x14ac:dyDescent="0.3">
      <c r="A7715" s="2">
        <v>7711</v>
      </c>
      <c r="B7715" s="66" t="s">
        <v>9275</v>
      </c>
      <c r="C7715" s="66" t="s">
        <v>9276</v>
      </c>
      <c r="D7715" s="11">
        <v>213375</v>
      </c>
      <c r="E7715" s="11">
        <v>93055.27</v>
      </c>
      <c r="F7715" s="3">
        <v>41617</v>
      </c>
      <c r="G7715" s="2" t="s">
        <v>14104</v>
      </c>
      <c r="H7715" s="2"/>
      <c r="I7715" s="2"/>
      <c r="J7715" s="2" t="s">
        <v>13904</v>
      </c>
      <c r="K7715" s="2" t="s">
        <v>19218</v>
      </c>
      <c r="L7715" s="82" t="s">
        <v>18781</v>
      </c>
    </row>
    <row r="7716" spans="1:15" ht="84" customHeight="1" x14ac:dyDescent="0.3">
      <c r="A7716" s="2">
        <v>7712</v>
      </c>
      <c r="B7716" s="66" t="s">
        <v>9277</v>
      </c>
      <c r="C7716" s="66" t="s">
        <v>9278</v>
      </c>
      <c r="D7716" s="11">
        <v>69679.5</v>
      </c>
      <c r="E7716" s="11">
        <v>63872.82</v>
      </c>
      <c r="F7716" s="3">
        <v>41624</v>
      </c>
      <c r="G7716" s="2" t="s">
        <v>14104</v>
      </c>
      <c r="H7716" s="2"/>
      <c r="I7716" s="2"/>
      <c r="J7716" s="2" t="s">
        <v>13904</v>
      </c>
      <c r="K7716" s="2" t="s">
        <v>19218</v>
      </c>
      <c r="L7716" s="82" t="s">
        <v>18781</v>
      </c>
    </row>
    <row r="7717" spans="1:15" ht="84" customHeight="1" x14ac:dyDescent="0.3">
      <c r="A7717" s="2">
        <v>7713</v>
      </c>
      <c r="B7717" s="66" t="s">
        <v>9279</v>
      </c>
      <c r="C7717" s="66" t="s">
        <v>9280</v>
      </c>
      <c r="D7717" s="11">
        <v>65590.649999999994</v>
      </c>
      <c r="E7717" s="11">
        <v>60124.68</v>
      </c>
      <c r="F7717" s="3">
        <v>41624</v>
      </c>
      <c r="G7717" s="2" t="s">
        <v>14104</v>
      </c>
      <c r="H7717" s="2"/>
      <c r="I7717" s="2"/>
      <c r="J7717" s="2" t="s">
        <v>13904</v>
      </c>
      <c r="K7717" s="2" t="s">
        <v>19218</v>
      </c>
      <c r="L7717" s="82" t="s">
        <v>18781</v>
      </c>
    </row>
    <row r="7718" spans="1:15" ht="84" customHeight="1" x14ac:dyDescent="0.3">
      <c r="A7718" s="2">
        <v>7714</v>
      </c>
      <c r="B7718" s="66" t="s">
        <v>5167</v>
      </c>
      <c r="C7718" s="66" t="s">
        <v>9281</v>
      </c>
      <c r="D7718" s="11">
        <v>73813</v>
      </c>
      <c r="E7718" s="11">
        <v>67661.88</v>
      </c>
      <c r="F7718" s="3">
        <v>41624</v>
      </c>
      <c r="G7718" s="2" t="s">
        <v>14104</v>
      </c>
      <c r="H7718" s="2"/>
      <c r="I7718" s="2"/>
      <c r="J7718" s="2" t="s">
        <v>13904</v>
      </c>
      <c r="K7718" s="2" t="s">
        <v>19218</v>
      </c>
      <c r="L7718" s="82" t="s">
        <v>18781</v>
      </c>
    </row>
    <row r="7719" spans="1:15" ht="84" customHeight="1" x14ac:dyDescent="0.3">
      <c r="A7719" s="2">
        <v>7715</v>
      </c>
      <c r="B7719" s="66" t="s">
        <v>9282</v>
      </c>
      <c r="C7719" s="66" t="s">
        <v>9283</v>
      </c>
      <c r="D7719" s="11">
        <v>192411</v>
      </c>
      <c r="E7719" s="11">
        <v>176376.75</v>
      </c>
      <c r="F7719" s="3">
        <v>41624</v>
      </c>
      <c r="G7719" s="2" t="s">
        <v>14104</v>
      </c>
      <c r="H7719" s="2"/>
      <c r="I7719" s="2"/>
      <c r="J7719" s="2" t="s">
        <v>13904</v>
      </c>
      <c r="K7719" s="2" t="s">
        <v>19218</v>
      </c>
      <c r="L7719" s="82" t="s">
        <v>18780</v>
      </c>
    </row>
    <row r="7720" spans="1:15" ht="84" customHeight="1" x14ac:dyDescent="0.3">
      <c r="A7720" s="2">
        <v>7716</v>
      </c>
      <c r="B7720" s="66" t="s">
        <v>5169</v>
      </c>
      <c r="C7720" s="66" t="s">
        <v>9284</v>
      </c>
      <c r="D7720" s="11">
        <v>145013.70000000001</v>
      </c>
      <c r="E7720" s="11">
        <v>132929.28</v>
      </c>
      <c r="F7720" s="3">
        <v>41624</v>
      </c>
      <c r="G7720" s="2" t="s">
        <v>14104</v>
      </c>
      <c r="H7720" s="2"/>
      <c r="I7720" s="2"/>
      <c r="J7720" s="2" t="s">
        <v>13904</v>
      </c>
      <c r="K7720" s="2" t="s">
        <v>19218</v>
      </c>
      <c r="L7720" s="82" t="s">
        <v>18782</v>
      </c>
    </row>
    <row r="7721" spans="1:15" ht="84" customHeight="1" x14ac:dyDescent="0.3">
      <c r="A7721" s="2">
        <v>7717</v>
      </c>
      <c r="B7721" s="66" t="s">
        <v>5171</v>
      </c>
      <c r="C7721" s="66" t="s">
        <v>9285</v>
      </c>
      <c r="D7721" s="11">
        <v>188204.5</v>
      </c>
      <c r="E7721" s="11">
        <v>172520.7</v>
      </c>
      <c r="F7721" s="3">
        <v>41624</v>
      </c>
      <c r="G7721" s="2" t="s">
        <v>14104</v>
      </c>
      <c r="H7721" s="2"/>
      <c r="I7721" s="2"/>
      <c r="J7721" s="2" t="s">
        <v>13904</v>
      </c>
      <c r="K7721" s="2" t="s">
        <v>19218</v>
      </c>
      <c r="L7721" s="82" t="s">
        <v>18781</v>
      </c>
    </row>
    <row r="7722" spans="1:15" ht="84" customHeight="1" x14ac:dyDescent="0.3">
      <c r="A7722" s="2">
        <v>7718</v>
      </c>
      <c r="B7722" s="66" t="s">
        <v>5173</v>
      </c>
      <c r="C7722" s="66" t="s">
        <v>9286</v>
      </c>
      <c r="D7722" s="11">
        <v>113034.6</v>
      </c>
      <c r="E7722" s="11">
        <v>50983.65</v>
      </c>
      <c r="F7722" s="3">
        <v>41624</v>
      </c>
      <c r="G7722" s="2" t="s">
        <v>14104</v>
      </c>
      <c r="H7722" s="2"/>
      <c r="I7722" s="2"/>
      <c r="J7722" s="2" t="s">
        <v>13904</v>
      </c>
      <c r="K7722" s="2" t="s">
        <v>19218</v>
      </c>
      <c r="L7722" s="82" t="s">
        <v>19201</v>
      </c>
    </row>
    <row r="7723" spans="1:15" ht="84" customHeight="1" x14ac:dyDescent="0.3">
      <c r="A7723" s="2">
        <v>7719</v>
      </c>
      <c r="B7723" s="66" t="s">
        <v>5175</v>
      </c>
      <c r="C7723" s="66" t="s">
        <v>9287</v>
      </c>
      <c r="D7723" s="11">
        <v>64016.57</v>
      </c>
      <c r="E7723" s="11">
        <v>58681.919999999998</v>
      </c>
      <c r="F7723" s="3">
        <v>41624</v>
      </c>
      <c r="G7723" s="2" t="s">
        <v>14104</v>
      </c>
      <c r="H7723" s="2"/>
      <c r="I7723" s="2"/>
      <c r="J7723" s="2" t="s">
        <v>13904</v>
      </c>
      <c r="K7723" s="2" t="s">
        <v>19218</v>
      </c>
      <c r="L7723" s="82" t="s">
        <v>18783</v>
      </c>
    </row>
    <row r="7724" spans="1:15" ht="84" customHeight="1" x14ac:dyDescent="0.3">
      <c r="A7724" s="2">
        <v>7720</v>
      </c>
      <c r="B7724" s="66" t="s">
        <v>5175</v>
      </c>
      <c r="C7724" s="66" t="s">
        <v>9288</v>
      </c>
      <c r="D7724" s="11">
        <v>64016.57</v>
      </c>
      <c r="E7724" s="11">
        <v>58681.919999999998</v>
      </c>
      <c r="F7724" s="3">
        <v>41624</v>
      </c>
      <c r="G7724" s="2" t="s">
        <v>14104</v>
      </c>
      <c r="H7724" s="2"/>
      <c r="I7724" s="2"/>
      <c r="J7724" s="2" t="s">
        <v>13904</v>
      </c>
      <c r="K7724" s="2" t="s">
        <v>19218</v>
      </c>
      <c r="L7724" s="82" t="s">
        <v>18783</v>
      </c>
    </row>
    <row r="7725" spans="1:15" ht="84" customHeight="1" x14ac:dyDescent="0.3">
      <c r="A7725" s="2">
        <v>7721</v>
      </c>
      <c r="B7725" s="66" t="s">
        <v>5179</v>
      </c>
      <c r="C7725" s="66" t="s">
        <v>9289</v>
      </c>
      <c r="D7725" s="11">
        <v>57942.48</v>
      </c>
      <c r="E7725" s="11">
        <v>53113.83</v>
      </c>
      <c r="F7725" s="3">
        <v>41624</v>
      </c>
      <c r="G7725" s="2" t="s">
        <v>14104</v>
      </c>
      <c r="H7725" s="2"/>
      <c r="I7725" s="2"/>
      <c r="J7725" s="2" t="s">
        <v>13904</v>
      </c>
      <c r="K7725" s="2" t="s">
        <v>19218</v>
      </c>
      <c r="L7725" s="82" t="s">
        <v>18781</v>
      </c>
    </row>
    <row r="7726" spans="1:15" ht="84" customHeight="1" x14ac:dyDescent="0.3">
      <c r="A7726" s="2">
        <v>7722</v>
      </c>
      <c r="B7726" s="66" t="s">
        <v>5179</v>
      </c>
      <c r="C7726" s="66" t="s">
        <v>9290</v>
      </c>
      <c r="D7726" s="11">
        <v>57942.48</v>
      </c>
      <c r="E7726" s="11">
        <v>53113.83</v>
      </c>
      <c r="F7726" s="3">
        <v>41624</v>
      </c>
      <c r="G7726" s="2" t="s">
        <v>14104</v>
      </c>
      <c r="H7726" s="2"/>
      <c r="I7726" s="2"/>
      <c r="J7726" s="2" t="s">
        <v>13904</v>
      </c>
      <c r="K7726" s="2" t="s">
        <v>19218</v>
      </c>
      <c r="L7726" s="82" t="s">
        <v>18781</v>
      </c>
    </row>
    <row r="7727" spans="1:15" ht="84" customHeight="1" x14ac:dyDescent="0.3">
      <c r="A7727" s="2">
        <v>7723</v>
      </c>
      <c r="B7727" s="66" t="s">
        <v>5133</v>
      </c>
      <c r="C7727" s="66" t="s">
        <v>9291</v>
      </c>
      <c r="D7727" s="11">
        <v>52279.6</v>
      </c>
      <c r="E7727" s="11">
        <v>47922.93</v>
      </c>
      <c r="F7727" s="3">
        <v>41624</v>
      </c>
      <c r="G7727" s="2" t="s">
        <v>14104</v>
      </c>
      <c r="H7727" s="2"/>
      <c r="I7727" s="2"/>
      <c r="J7727" s="2" t="s">
        <v>13904</v>
      </c>
      <c r="K7727" s="2" t="s">
        <v>19218</v>
      </c>
      <c r="L7727" s="82" t="s">
        <v>18781</v>
      </c>
    </row>
    <row r="7728" spans="1:15" ht="84" customHeight="1" x14ac:dyDescent="0.3">
      <c r="A7728" s="2">
        <v>7724</v>
      </c>
      <c r="B7728" s="66" t="s">
        <v>5133</v>
      </c>
      <c r="C7728" s="66" t="s">
        <v>9292</v>
      </c>
      <c r="D7728" s="11">
        <v>52279.6</v>
      </c>
      <c r="E7728" s="11">
        <v>47922.93</v>
      </c>
      <c r="F7728" s="3">
        <v>41624</v>
      </c>
      <c r="G7728" s="2" t="s">
        <v>14104</v>
      </c>
      <c r="H7728" s="2"/>
      <c r="I7728" s="2"/>
      <c r="J7728" s="2" t="s">
        <v>13904</v>
      </c>
      <c r="K7728" s="2" t="s">
        <v>19218</v>
      </c>
      <c r="L7728" s="82" t="s">
        <v>18781</v>
      </c>
    </row>
    <row r="7729" spans="1:12" ht="84" customHeight="1" x14ac:dyDescent="0.3">
      <c r="A7729" s="2">
        <v>7725</v>
      </c>
      <c r="B7729" s="66" t="s">
        <v>5137</v>
      </c>
      <c r="C7729" s="66" t="s">
        <v>9293</v>
      </c>
      <c r="D7729" s="11">
        <v>67494.59</v>
      </c>
      <c r="E7729" s="11">
        <v>61870.05</v>
      </c>
      <c r="F7729" s="3">
        <v>41624</v>
      </c>
      <c r="G7729" s="2" t="s">
        <v>14104</v>
      </c>
      <c r="H7729" s="2"/>
      <c r="I7729" s="2"/>
      <c r="J7729" s="2" t="s">
        <v>13904</v>
      </c>
      <c r="K7729" s="2" t="s">
        <v>19218</v>
      </c>
      <c r="L7729" s="82" t="s">
        <v>18781</v>
      </c>
    </row>
    <row r="7730" spans="1:12" ht="84" customHeight="1" x14ac:dyDescent="0.3">
      <c r="A7730" s="2">
        <v>7726</v>
      </c>
      <c r="B7730" s="66" t="s">
        <v>5137</v>
      </c>
      <c r="C7730" s="66" t="s">
        <v>9294</v>
      </c>
      <c r="D7730" s="11">
        <v>67494.59</v>
      </c>
      <c r="E7730" s="11">
        <v>61870.05</v>
      </c>
      <c r="F7730" s="3">
        <v>41624</v>
      </c>
      <c r="G7730" s="2" t="s">
        <v>14104</v>
      </c>
      <c r="H7730" s="2"/>
      <c r="I7730" s="2"/>
      <c r="J7730" s="2" t="s">
        <v>13904</v>
      </c>
      <c r="K7730" s="2" t="s">
        <v>19218</v>
      </c>
      <c r="L7730" s="82" t="s">
        <v>18781</v>
      </c>
    </row>
    <row r="7731" spans="1:12" ht="84" customHeight="1" x14ac:dyDescent="0.3">
      <c r="A7731" s="2">
        <v>7727</v>
      </c>
      <c r="B7731" s="245" t="s">
        <v>22962</v>
      </c>
      <c r="C7731" s="245">
        <v>4101240091</v>
      </c>
      <c r="D7731" s="244">
        <v>51346.879999999997</v>
      </c>
      <c r="E7731" s="244">
        <v>51346.879999999997</v>
      </c>
      <c r="F7731" s="243" t="s">
        <v>22958</v>
      </c>
      <c r="G7731" s="242" t="s">
        <v>22960</v>
      </c>
      <c r="H7731" s="3"/>
      <c r="I7731" s="2"/>
      <c r="J7731" s="2" t="s">
        <v>13904</v>
      </c>
      <c r="K7731" s="242" t="s">
        <v>22956</v>
      </c>
      <c r="L7731" s="246" t="s">
        <v>22959</v>
      </c>
    </row>
    <row r="7732" spans="1:12" ht="84" customHeight="1" x14ac:dyDescent="0.3">
      <c r="A7732" s="2">
        <v>7728</v>
      </c>
      <c r="B7732" s="245" t="s">
        <v>22962</v>
      </c>
      <c r="C7732" s="245">
        <v>4101240092</v>
      </c>
      <c r="D7732" s="244">
        <v>51346.879999999997</v>
      </c>
      <c r="E7732" s="244">
        <v>51346.879999999997</v>
      </c>
      <c r="F7732" s="243" t="s">
        <v>22958</v>
      </c>
      <c r="G7732" s="242" t="s">
        <v>22960</v>
      </c>
      <c r="H7732" s="3"/>
      <c r="I7732" s="2"/>
      <c r="J7732" s="2" t="s">
        <v>13904</v>
      </c>
      <c r="K7732" s="242" t="s">
        <v>22956</v>
      </c>
      <c r="L7732" s="246" t="s">
        <v>22959</v>
      </c>
    </row>
    <row r="7733" spans="1:12" ht="84" customHeight="1" x14ac:dyDescent="0.3">
      <c r="A7733" s="2">
        <v>7729</v>
      </c>
      <c r="B7733" s="66" t="s">
        <v>5145</v>
      </c>
      <c r="C7733" s="66" t="s">
        <v>9295</v>
      </c>
      <c r="D7733" s="11">
        <v>46117.760000000002</v>
      </c>
      <c r="E7733" s="11">
        <v>23058.9</v>
      </c>
      <c r="F7733" s="3">
        <v>41624</v>
      </c>
      <c r="G7733" s="2" t="s">
        <v>14104</v>
      </c>
      <c r="H7733" s="3">
        <v>43053</v>
      </c>
      <c r="I7733" s="2" t="s">
        <v>19506</v>
      </c>
      <c r="J7733" s="2" t="s">
        <v>13904</v>
      </c>
      <c r="K7733" s="2" t="s">
        <v>19218</v>
      </c>
      <c r="L7733" s="82" t="s">
        <v>19512</v>
      </c>
    </row>
    <row r="7734" spans="1:12" ht="84" customHeight="1" x14ac:dyDescent="0.3">
      <c r="A7734" s="2">
        <v>7730</v>
      </c>
      <c r="B7734" s="66" t="s">
        <v>5145</v>
      </c>
      <c r="C7734" s="66" t="s">
        <v>9296</v>
      </c>
      <c r="D7734" s="11">
        <v>46117.760000000002</v>
      </c>
      <c r="E7734" s="11">
        <v>23058.9</v>
      </c>
      <c r="F7734" s="3">
        <v>41624</v>
      </c>
      <c r="G7734" s="2" t="s">
        <v>14104</v>
      </c>
      <c r="H7734" s="3">
        <v>43053</v>
      </c>
      <c r="I7734" s="2" t="s">
        <v>19506</v>
      </c>
      <c r="J7734" s="2" t="s">
        <v>13904</v>
      </c>
      <c r="K7734" s="2" t="s">
        <v>19218</v>
      </c>
      <c r="L7734" s="82" t="s">
        <v>19512</v>
      </c>
    </row>
    <row r="7735" spans="1:12" ht="84" customHeight="1" x14ac:dyDescent="0.3">
      <c r="A7735" s="2">
        <v>7731</v>
      </c>
      <c r="B7735" s="66" t="s">
        <v>5149</v>
      </c>
      <c r="C7735" s="66" t="s">
        <v>9297</v>
      </c>
      <c r="D7735" s="11">
        <v>58451.09</v>
      </c>
      <c r="E7735" s="11">
        <v>53580.12</v>
      </c>
      <c r="F7735" s="3">
        <v>41624</v>
      </c>
      <c r="G7735" s="2" t="s">
        <v>14104</v>
      </c>
      <c r="H7735" s="2"/>
      <c r="I7735" s="2"/>
      <c r="J7735" s="2" t="s">
        <v>13904</v>
      </c>
      <c r="K7735" s="2" t="s">
        <v>19218</v>
      </c>
      <c r="L7735" s="82" t="s">
        <v>18781</v>
      </c>
    </row>
    <row r="7736" spans="1:12" ht="84" customHeight="1" x14ac:dyDescent="0.3">
      <c r="A7736" s="2">
        <v>7732</v>
      </c>
      <c r="B7736" s="66" t="s">
        <v>5149</v>
      </c>
      <c r="C7736" s="66" t="s">
        <v>9298</v>
      </c>
      <c r="D7736" s="11">
        <v>58451.09</v>
      </c>
      <c r="E7736" s="11">
        <v>53580.12</v>
      </c>
      <c r="F7736" s="3">
        <v>41624</v>
      </c>
      <c r="G7736" s="2" t="s">
        <v>14104</v>
      </c>
      <c r="H7736" s="2"/>
      <c r="I7736" s="2"/>
      <c r="J7736" s="2" t="s">
        <v>13904</v>
      </c>
      <c r="K7736" s="2" t="s">
        <v>19218</v>
      </c>
      <c r="L7736" s="82" t="s">
        <v>18781</v>
      </c>
    </row>
    <row r="7737" spans="1:12" ht="84" customHeight="1" x14ac:dyDescent="0.3">
      <c r="A7737" s="2">
        <v>7733</v>
      </c>
      <c r="B7737" s="66" t="s">
        <v>5153</v>
      </c>
      <c r="C7737" s="66" t="s">
        <v>9299</v>
      </c>
      <c r="D7737" s="11">
        <v>55032.9</v>
      </c>
      <c r="E7737" s="11">
        <v>50446.77</v>
      </c>
      <c r="F7737" s="3">
        <v>41624</v>
      </c>
      <c r="G7737" s="2" t="s">
        <v>14104</v>
      </c>
      <c r="H7737" s="2"/>
      <c r="I7737" s="2"/>
      <c r="J7737" s="2" t="s">
        <v>13904</v>
      </c>
      <c r="K7737" s="2" t="s">
        <v>19218</v>
      </c>
      <c r="L7737" s="82" t="s">
        <v>18781</v>
      </c>
    </row>
    <row r="7738" spans="1:12" ht="84" customHeight="1" x14ac:dyDescent="0.3">
      <c r="A7738" s="2">
        <v>7734</v>
      </c>
      <c r="B7738" s="66" t="s">
        <v>5153</v>
      </c>
      <c r="C7738" s="66" t="s">
        <v>9300</v>
      </c>
      <c r="D7738" s="11">
        <v>55032.9</v>
      </c>
      <c r="E7738" s="11">
        <v>50446.77</v>
      </c>
      <c r="F7738" s="3">
        <v>41624</v>
      </c>
      <c r="G7738" s="2" t="s">
        <v>14104</v>
      </c>
      <c r="H7738" s="2"/>
      <c r="I7738" s="2"/>
      <c r="J7738" s="2" t="s">
        <v>13904</v>
      </c>
      <c r="K7738" s="2" t="s">
        <v>19218</v>
      </c>
      <c r="L7738" s="82" t="s">
        <v>18781</v>
      </c>
    </row>
    <row r="7739" spans="1:12" ht="84" customHeight="1" x14ac:dyDescent="0.3">
      <c r="A7739" s="2">
        <v>7735</v>
      </c>
      <c r="B7739" s="66" t="s">
        <v>5153</v>
      </c>
      <c r="C7739" s="66" t="s">
        <v>9301</v>
      </c>
      <c r="D7739" s="11">
        <v>55032.9</v>
      </c>
      <c r="E7739" s="11">
        <v>50446.77</v>
      </c>
      <c r="F7739" s="3">
        <v>41624</v>
      </c>
      <c r="G7739" s="2" t="s">
        <v>14104</v>
      </c>
      <c r="H7739" s="2"/>
      <c r="I7739" s="2"/>
      <c r="J7739" s="2" t="s">
        <v>13904</v>
      </c>
      <c r="K7739" s="2" t="s">
        <v>19218</v>
      </c>
      <c r="L7739" s="82" t="s">
        <v>18781</v>
      </c>
    </row>
    <row r="7740" spans="1:12" ht="84" customHeight="1" x14ac:dyDescent="0.3">
      <c r="A7740" s="2">
        <v>7736</v>
      </c>
      <c r="B7740" s="66" t="s">
        <v>5157</v>
      </c>
      <c r="C7740" s="66" t="s">
        <v>9302</v>
      </c>
      <c r="D7740" s="11">
        <v>262947</v>
      </c>
      <c r="E7740" s="11">
        <v>241034.64</v>
      </c>
      <c r="F7740" s="3">
        <v>41624</v>
      </c>
      <c r="G7740" s="2" t="s">
        <v>14104</v>
      </c>
      <c r="H7740" s="2"/>
      <c r="I7740" s="2"/>
      <c r="J7740" s="2" t="s">
        <v>13904</v>
      </c>
      <c r="K7740" s="2" t="s">
        <v>19218</v>
      </c>
      <c r="L7740" s="82" t="s">
        <v>18780</v>
      </c>
    </row>
    <row r="7741" spans="1:12" ht="84" customHeight="1" x14ac:dyDescent="0.3">
      <c r="A7741" s="2">
        <v>7737</v>
      </c>
      <c r="B7741" s="66" t="s">
        <v>5159</v>
      </c>
      <c r="C7741" s="66" t="s">
        <v>9303</v>
      </c>
      <c r="D7741" s="11">
        <v>210783.31</v>
      </c>
      <c r="E7741" s="11">
        <v>193217.97</v>
      </c>
      <c r="F7741" s="3">
        <v>41624</v>
      </c>
      <c r="G7741" s="2" t="s">
        <v>14104</v>
      </c>
      <c r="H7741" s="2"/>
      <c r="I7741" s="2"/>
      <c r="J7741" s="2" t="s">
        <v>13904</v>
      </c>
      <c r="K7741" s="2" t="s">
        <v>19218</v>
      </c>
      <c r="L7741" s="82" t="s">
        <v>18781</v>
      </c>
    </row>
    <row r="7742" spans="1:12" ht="84" customHeight="1" x14ac:dyDescent="0.3">
      <c r="A7742" s="2">
        <v>7738</v>
      </c>
      <c r="B7742" s="66" t="s">
        <v>5161</v>
      </c>
      <c r="C7742" s="66" t="s">
        <v>9304</v>
      </c>
      <c r="D7742" s="11">
        <v>81661</v>
      </c>
      <c r="E7742" s="11">
        <v>74855.88</v>
      </c>
      <c r="F7742" s="3">
        <v>41624</v>
      </c>
      <c r="G7742" s="2" t="s">
        <v>14104</v>
      </c>
      <c r="H7742" s="2"/>
      <c r="I7742" s="2"/>
      <c r="J7742" s="2" t="s">
        <v>13904</v>
      </c>
      <c r="K7742" s="2" t="s">
        <v>19218</v>
      </c>
      <c r="L7742" s="82" t="s">
        <v>18781</v>
      </c>
    </row>
    <row r="7743" spans="1:12" ht="84" customHeight="1" x14ac:dyDescent="0.3">
      <c r="A7743" s="2">
        <v>7739</v>
      </c>
      <c r="B7743" s="66" t="s">
        <v>9305</v>
      </c>
      <c r="C7743" s="66" t="s">
        <v>9306</v>
      </c>
      <c r="D7743" s="11">
        <v>339514</v>
      </c>
      <c r="E7743" s="11">
        <v>311221.02</v>
      </c>
      <c r="F7743" s="3">
        <v>41624</v>
      </c>
      <c r="G7743" s="2" t="s">
        <v>14104</v>
      </c>
      <c r="H7743" s="2"/>
      <c r="I7743" s="2"/>
      <c r="J7743" s="2" t="s">
        <v>13904</v>
      </c>
      <c r="K7743" s="2" t="s">
        <v>19218</v>
      </c>
      <c r="L7743" s="82" t="s">
        <v>18781</v>
      </c>
    </row>
    <row r="7744" spans="1:12" ht="84" customHeight="1" x14ac:dyDescent="0.3">
      <c r="A7744" s="2">
        <v>7740</v>
      </c>
      <c r="B7744" s="66" t="s">
        <v>9307</v>
      </c>
      <c r="C7744" s="66" t="s">
        <v>9308</v>
      </c>
      <c r="D7744" s="11">
        <v>81000</v>
      </c>
      <c r="E7744" s="11">
        <v>81000</v>
      </c>
      <c r="F7744" s="3">
        <v>41226</v>
      </c>
      <c r="G7744" s="2" t="s">
        <v>14104</v>
      </c>
      <c r="H7744" s="2"/>
      <c r="I7744" s="2"/>
      <c r="J7744" s="2" t="s">
        <v>13904</v>
      </c>
      <c r="K7744" s="2" t="s">
        <v>19218</v>
      </c>
      <c r="L7744" s="82" t="s">
        <v>18781</v>
      </c>
    </row>
    <row r="7745" spans="1:15" ht="84" customHeight="1" x14ac:dyDescent="0.3">
      <c r="A7745" s="2">
        <v>7741</v>
      </c>
      <c r="B7745" s="66" t="s">
        <v>9307</v>
      </c>
      <c r="C7745" s="66" t="s">
        <v>9309</v>
      </c>
      <c r="D7745" s="11">
        <v>81000</v>
      </c>
      <c r="E7745" s="11">
        <v>81000</v>
      </c>
      <c r="F7745" s="3">
        <v>41226</v>
      </c>
      <c r="G7745" s="2" t="s">
        <v>14104</v>
      </c>
      <c r="H7745" s="2"/>
      <c r="I7745" s="2"/>
      <c r="J7745" s="2" t="s">
        <v>13904</v>
      </c>
      <c r="K7745" s="2" t="s">
        <v>19218</v>
      </c>
      <c r="L7745" s="82" t="s">
        <v>18781</v>
      </c>
    </row>
    <row r="7746" spans="1:15" ht="84" customHeight="1" x14ac:dyDescent="0.3">
      <c r="A7746" s="2">
        <v>7742</v>
      </c>
      <c r="B7746" s="66" t="s">
        <v>9310</v>
      </c>
      <c r="C7746" s="66" t="s">
        <v>9311</v>
      </c>
      <c r="D7746" s="11">
        <v>60000</v>
      </c>
      <c r="E7746" s="11">
        <v>60000</v>
      </c>
      <c r="F7746" s="3">
        <v>41226</v>
      </c>
      <c r="G7746" s="2" t="s">
        <v>14104</v>
      </c>
      <c r="H7746" s="2"/>
      <c r="I7746" s="2"/>
      <c r="J7746" s="2" t="s">
        <v>13904</v>
      </c>
      <c r="K7746" s="2" t="s">
        <v>19218</v>
      </c>
      <c r="L7746" s="82" t="s">
        <v>18781</v>
      </c>
    </row>
    <row r="7747" spans="1:15" ht="84" customHeight="1" x14ac:dyDescent="0.3">
      <c r="A7747" s="2">
        <v>7743</v>
      </c>
      <c r="B7747" s="66" t="s">
        <v>9310</v>
      </c>
      <c r="C7747" s="66" t="s">
        <v>9312</v>
      </c>
      <c r="D7747" s="11">
        <v>60000</v>
      </c>
      <c r="E7747" s="11">
        <v>60000</v>
      </c>
      <c r="F7747" s="3">
        <v>41226</v>
      </c>
      <c r="G7747" s="2" t="s">
        <v>14104</v>
      </c>
      <c r="H7747" s="2"/>
      <c r="I7747" s="2"/>
      <c r="J7747" s="2" t="s">
        <v>13904</v>
      </c>
      <c r="K7747" s="2" t="s">
        <v>19218</v>
      </c>
      <c r="L7747" s="82" t="s">
        <v>18781</v>
      </c>
    </row>
    <row r="7748" spans="1:15" ht="84" customHeight="1" x14ac:dyDescent="0.3">
      <c r="A7748" s="2">
        <v>7744</v>
      </c>
      <c r="B7748" s="66" t="s">
        <v>23247</v>
      </c>
      <c r="C7748" s="66">
        <v>4101240093</v>
      </c>
      <c r="D7748" s="11">
        <v>81988.97</v>
      </c>
      <c r="E7748" s="11">
        <v>81988.97</v>
      </c>
      <c r="F7748" s="3">
        <v>43654</v>
      </c>
      <c r="G7748" s="2" t="s">
        <v>23248</v>
      </c>
      <c r="H7748" s="3"/>
      <c r="I7748" s="2"/>
      <c r="J7748" s="2" t="s">
        <v>13904</v>
      </c>
      <c r="K7748" s="2" t="s">
        <v>23249</v>
      </c>
      <c r="L7748" s="246" t="s">
        <v>23250</v>
      </c>
    </row>
    <row r="7749" spans="1:15" ht="84" customHeight="1" x14ac:dyDescent="0.3">
      <c r="A7749" s="2">
        <v>7745</v>
      </c>
      <c r="B7749" s="245" t="s">
        <v>23247</v>
      </c>
      <c r="C7749" s="245">
        <v>4101240093</v>
      </c>
      <c r="D7749" s="244">
        <v>81988.97</v>
      </c>
      <c r="E7749" s="244">
        <v>81988.97</v>
      </c>
      <c r="F7749" s="243">
        <v>43654</v>
      </c>
      <c r="G7749" s="242" t="s">
        <v>23248</v>
      </c>
      <c r="H7749" s="3"/>
      <c r="I7749" s="2"/>
      <c r="J7749" s="2" t="s">
        <v>13904</v>
      </c>
      <c r="K7749" s="242" t="s">
        <v>23249</v>
      </c>
      <c r="L7749" s="246" t="s">
        <v>23250</v>
      </c>
    </row>
    <row r="7750" spans="1:15" ht="84" customHeight="1" x14ac:dyDescent="0.3">
      <c r="A7750" s="2">
        <v>7746</v>
      </c>
      <c r="B7750" s="66" t="s">
        <v>9313</v>
      </c>
      <c r="C7750" s="66" t="s">
        <v>3344</v>
      </c>
      <c r="D7750" s="11">
        <v>98300</v>
      </c>
      <c r="E7750" s="11">
        <v>34404.93</v>
      </c>
      <c r="F7750" s="3">
        <v>41988</v>
      </c>
      <c r="G7750" s="2" t="s">
        <v>14104</v>
      </c>
      <c r="H7750" s="2"/>
      <c r="I7750" s="2"/>
      <c r="J7750" s="2" t="s">
        <v>13904</v>
      </c>
      <c r="K7750" s="2" t="s">
        <v>19218</v>
      </c>
      <c r="L7750" s="82" t="s">
        <v>18782</v>
      </c>
    </row>
    <row r="7751" spans="1:15" s="19" customFormat="1" ht="84" customHeight="1" x14ac:dyDescent="0.3">
      <c r="A7751" s="2">
        <v>7747</v>
      </c>
      <c r="B7751" s="66" t="s">
        <v>9314</v>
      </c>
      <c r="C7751" s="66" t="s">
        <v>9315</v>
      </c>
      <c r="D7751" s="11">
        <v>359998</v>
      </c>
      <c r="E7751" s="11">
        <v>278998.14</v>
      </c>
      <c r="F7751" s="3">
        <v>39806</v>
      </c>
      <c r="G7751" s="2" t="s">
        <v>14104</v>
      </c>
      <c r="H7751" s="2"/>
      <c r="I7751" s="2"/>
      <c r="J7751" s="2" t="s">
        <v>13904</v>
      </c>
      <c r="K7751" s="2" t="s">
        <v>19218</v>
      </c>
      <c r="L7751" s="82" t="s">
        <v>18781</v>
      </c>
      <c r="M7751" s="16"/>
      <c r="N7751" s="16"/>
      <c r="O7751" s="16"/>
    </row>
    <row r="7752" spans="1:15" ht="84" customHeight="1" x14ac:dyDescent="0.3">
      <c r="A7752" s="2">
        <v>7748</v>
      </c>
      <c r="B7752" s="66" t="s">
        <v>9316</v>
      </c>
      <c r="C7752" s="66" t="s">
        <v>9317</v>
      </c>
      <c r="D7752" s="11">
        <v>311369</v>
      </c>
      <c r="E7752" s="11">
        <v>311369</v>
      </c>
      <c r="F7752" s="3">
        <v>38581</v>
      </c>
      <c r="G7752" s="2" t="s">
        <v>14104</v>
      </c>
      <c r="H7752" s="2"/>
      <c r="I7752" s="2"/>
      <c r="J7752" s="2" t="s">
        <v>13904</v>
      </c>
      <c r="K7752" s="2" t="s">
        <v>19218</v>
      </c>
      <c r="L7752" s="82" t="s">
        <v>18781</v>
      </c>
    </row>
    <row r="7753" spans="1:15" ht="84" customHeight="1" x14ac:dyDescent="0.3">
      <c r="A7753" s="2">
        <v>7749</v>
      </c>
      <c r="B7753" s="66" t="s">
        <v>9318</v>
      </c>
      <c r="C7753" s="66" t="s">
        <v>9319</v>
      </c>
      <c r="D7753" s="11">
        <v>166800.26</v>
      </c>
      <c r="E7753" s="11">
        <v>166800.26</v>
      </c>
      <c r="F7753" s="3">
        <v>37806</v>
      </c>
      <c r="G7753" s="2" t="s">
        <v>14104</v>
      </c>
      <c r="H7753" s="3">
        <v>42850</v>
      </c>
      <c r="I7753" s="2" t="s">
        <v>18688</v>
      </c>
      <c r="J7753" s="2" t="s">
        <v>13904</v>
      </c>
      <c r="K7753" s="2" t="s">
        <v>18569</v>
      </c>
      <c r="L7753" s="82" t="s">
        <v>18781</v>
      </c>
    </row>
    <row r="7754" spans="1:15" ht="84" customHeight="1" x14ac:dyDescent="0.3">
      <c r="A7754" s="2">
        <v>7750</v>
      </c>
      <c r="B7754" s="66" t="s">
        <v>9320</v>
      </c>
      <c r="C7754" s="66" t="s">
        <v>9321</v>
      </c>
      <c r="D7754" s="11">
        <v>581239.30000000005</v>
      </c>
      <c r="E7754" s="11">
        <v>581239.30000000005</v>
      </c>
      <c r="F7754" s="3">
        <v>34310</v>
      </c>
      <c r="G7754" s="2" t="s">
        <v>14104</v>
      </c>
      <c r="H7754" s="3">
        <v>42734</v>
      </c>
      <c r="I7754" s="2" t="s">
        <v>18570</v>
      </c>
      <c r="J7754" s="2" t="s">
        <v>13904</v>
      </c>
      <c r="K7754" s="2" t="s">
        <v>18569</v>
      </c>
      <c r="L7754" s="82" t="s">
        <v>18781</v>
      </c>
    </row>
    <row r="7755" spans="1:15" ht="84" customHeight="1" x14ac:dyDescent="0.3">
      <c r="A7755" s="2">
        <v>7751</v>
      </c>
      <c r="B7755" s="66" t="s">
        <v>9322</v>
      </c>
      <c r="C7755" s="66" t="s">
        <v>9323</v>
      </c>
      <c r="D7755" s="11">
        <v>52206.58</v>
      </c>
      <c r="E7755" s="11">
        <v>52206.58</v>
      </c>
      <c r="F7755" s="3">
        <v>38799</v>
      </c>
      <c r="G7755" s="2" t="s">
        <v>14104</v>
      </c>
      <c r="H7755" s="3">
        <v>42734</v>
      </c>
      <c r="I7755" s="2" t="s">
        <v>18570</v>
      </c>
      <c r="J7755" s="2" t="s">
        <v>13904</v>
      </c>
      <c r="K7755" s="2" t="s">
        <v>18569</v>
      </c>
      <c r="L7755" s="82" t="s">
        <v>18782</v>
      </c>
    </row>
    <row r="7756" spans="1:15" ht="84" customHeight="1" x14ac:dyDescent="0.3">
      <c r="A7756" s="2">
        <v>7752</v>
      </c>
      <c r="B7756" s="66" t="s">
        <v>9324</v>
      </c>
      <c r="C7756" s="66" t="s">
        <v>9325</v>
      </c>
      <c r="D7756" s="11">
        <v>365650</v>
      </c>
      <c r="E7756" s="11">
        <v>365650</v>
      </c>
      <c r="F7756" s="3">
        <v>38231</v>
      </c>
      <c r="G7756" s="2" t="s">
        <v>14104</v>
      </c>
      <c r="H7756" s="2"/>
      <c r="I7756" s="2"/>
      <c r="J7756" s="2" t="s">
        <v>13904</v>
      </c>
      <c r="K7756" s="2" t="s">
        <v>19218</v>
      </c>
      <c r="L7756" s="82" t="s">
        <v>18781</v>
      </c>
    </row>
    <row r="7757" spans="1:15" ht="84" customHeight="1" x14ac:dyDescent="0.3">
      <c r="A7757" s="2">
        <v>7753</v>
      </c>
      <c r="B7757" s="66" t="s">
        <v>9326</v>
      </c>
      <c r="C7757" s="66" t="s">
        <v>9327</v>
      </c>
      <c r="D7757" s="11">
        <v>188304.6</v>
      </c>
      <c r="E7757" s="11">
        <v>188304.6</v>
      </c>
      <c r="F7757" s="3">
        <v>33772</v>
      </c>
      <c r="G7757" s="2" t="s">
        <v>14104</v>
      </c>
      <c r="H7757" s="3">
        <v>42734</v>
      </c>
      <c r="I7757" s="2" t="s">
        <v>18570</v>
      </c>
      <c r="J7757" s="2" t="s">
        <v>13904</v>
      </c>
      <c r="K7757" s="2" t="s">
        <v>18569</v>
      </c>
      <c r="L7757" s="82" t="s">
        <v>18781</v>
      </c>
    </row>
    <row r="7758" spans="1:15" ht="84" customHeight="1" x14ac:dyDescent="0.3">
      <c r="A7758" s="2">
        <v>7754</v>
      </c>
      <c r="B7758" s="66" t="s">
        <v>9328</v>
      </c>
      <c r="C7758" s="66" t="s">
        <v>9329</v>
      </c>
      <c r="D7758" s="11">
        <v>311194.93</v>
      </c>
      <c r="E7758" s="11">
        <v>311194.93</v>
      </c>
      <c r="F7758" s="3">
        <v>35880</v>
      </c>
      <c r="G7758" s="2" t="s">
        <v>14104</v>
      </c>
      <c r="H7758" s="3">
        <v>42734</v>
      </c>
      <c r="I7758" s="2" t="s">
        <v>18570</v>
      </c>
      <c r="J7758" s="2" t="s">
        <v>13904</v>
      </c>
      <c r="K7758" s="2" t="s">
        <v>18569</v>
      </c>
      <c r="L7758" s="82" t="s">
        <v>18781</v>
      </c>
    </row>
    <row r="7759" spans="1:15" ht="84" customHeight="1" x14ac:dyDescent="0.3">
      <c r="A7759" s="2">
        <v>7755</v>
      </c>
      <c r="B7759" s="66" t="s">
        <v>9330</v>
      </c>
      <c r="C7759" s="66" t="s">
        <v>9331</v>
      </c>
      <c r="D7759" s="11">
        <v>79684.92</v>
      </c>
      <c r="E7759" s="11">
        <v>79684.92</v>
      </c>
      <c r="F7759" s="3">
        <v>38730</v>
      </c>
      <c r="G7759" s="2" t="s">
        <v>14104</v>
      </c>
      <c r="H7759" s="3">
        <v>42850</v>
      </c>
      <c r="I7759" s="2" t="s">
        <v>18688</v>
      </c>
      <c r="J7759" s="2" t="s">
        <v>13904</v>
      </c>
      <c r="K7759" s="2" t="s">
        <v>18569</v>
      </c>
      <c r="L7759" s="82" t="s">
        <v>18781</v>
      </c>
    </row>
    <row r="7760" spans="1:15" ht="84" customHeight="1" x14ac:dyDescent="0.3">
      <c r="A7760" s="2">
        <v>7756</v>
      </c>
      <c r="B7760" s="66" t="s">
        <v>9332</v>
      </c>
      <c r="C7760" s="66" t="s">
        <v>9333</v>
      </c>
      <c r="D7760" s="11">
        <v>298782.40000000002</v>
      </c>
      <c r="E7760" s="11">
        <v>298782.40000000002</v>
      </c>
      <c r="F7760" s="3">
        <v>38246</v>
      </c>
      <c r="G7760" s="2" t="s">
        <v>14104</v>
      </c>
      <c r="H7760" s="3">
        <v>42850</v>
      </c>
      <c r="I7760" s="2" t="s">
        <v>18688</v>
      </c>
      <c r="J7760" s="2" t="s">
        <v>13904</v>
      </c>
      <c r="K7760" s="2" t="s">
        <v>18569</v>
      </c>
      <c r="L7760" s="82" t="s">
        <v>18781</v>
      </c>
    </row>
    <row r="7761" spans="1:15" ht="84" customHeight="1" x14ac:dyDescent="0.3">
      <c r="A7761" s="2">
        <v>7757</v>
      </c>
      <c r="B7761" s="66" t="s">
        <v>9334</v>
      </c>
      <c r="C7761" s="66" t="s">
        <v>9335</v>
      </c>
      <c r="D7761" s="11">
        <v>203631</v>
      </c>
      <c r="E7761" s="11">
        <v>203631</v>
      </c>
      <c r="F7761" s="3">
        <v>38622</v>
      </c>
      <c r="G7761" s="2" t="s">
        <v>14104</v>
      </c>
      <c r="H7761" s="2"/>
      <c r="I7761" s="2"/>
      <c r="J7761" s="2" t="s">
        <v>13904</v>
      </c>
      <c r="K7761" s="2" t="s">
        <v>19218</v>
      </c>
      <c r="L7761" s="82" t="s">
        <v>18781</v>
      </c>
    </row>
    <row r="7762" spans="1:15" ht="84" customHeight="1" x14ac:dyDescent="0.3">
      <c r="A7762" s="2">
        <v>7758</v>
      </c>
      <c r="B7762" s="66" t="s">
        <v>9336</v>
      </c>
      <c r="C7762" s="66" t="s">
        <v>9337</v>
      </c>
      <c r="D7762" s="11">
        <v>1492500</v>
      </c>
      <c r="E7762" s="11">
        <v>1169125</v>
      </c>
      <c r="F7762" s="3">
        <v>41194</v>
      </c>
      <c r="G7762" s="2" t="s">
        <v>14104</v>
      </c>
      <c r="H7762" s="2"/>
      <c r="I7762" s="2"/>
      <c r="J7762" s="2" t="s">
        <v>13904</v>
      </c>
      <c r="K7762" s="2" t="s">
        <v>19218</v>
      </c>
      <c r="L7762" s="82" t="s">
        <v>18781</v>
      </c>
    </row>
    <row r="7763" spans="1:15" ht="84" customHeight="1" x14ac:dyDescent="0.3">
      <c r="A7763" s="2">
        <v>7759</v>
      </c>
      <c r="B7763" s="66" t="s">
        <v>23251</v>
      </c>
      <c r="C7763" s="66">
        <v>4101240095</v>
      </c>
      <c r="D7763" s="11">
        <v>53680.51</v>
      </c>
      <c r="E7763" s="11">
        <v>536803.51</v>
      </c>
      <c r="F7763" s="3">
        <v>43654</v>
      </c>
      <c r="G7763" s="2" t="s">
        <v>23254</v>
      </c>
      <c r="H7763" s="2"/>
      <c r="I7763" s="2"/>
      <c r="J7763" s="2" t="s">
        <v>13904</v>
      </c>
      <c r="K7763" s="2" t="s">
        <v>23252</v>
      </c>
      <c r="L7763" s="82" t="s">
        <v>23253</v>
      </c>
    </row>
    <row r="7764" spans="1:15" ht="84" customHeight="1" x14ac:dyDescent="0.3">
      <c r="A7764" s="2">
        <v>7760</v>
      </c>
      <c r="B7764" s="245" t="s">
        <v>23251</v>
      </c>
      <c r="C7764" s="245">
        <v>4101240096</v>
      </c>
      <c r="D7764" s="244">
        <v>53680.51</v>
      </c>
      <c r="E7764" s="244">
        <v>536803.51</v>
      </c>
      <c r="F7764" s="243">
        <v>43654</v>
      </c>
      <c r="G7764" s="242" t="s">
        <v>23254</v>
      </c>
      <c r="H7764" s="2"/>
      <c r="I7764" s="2"/>
      <c r="J7764" s="2" t="s">
        <v>13904</v>
      </c>
      <c r="K7764" s="242" t="s">
        <v>23252</v>
      </c>
      <c r="L7764" s="246" t="s">
        <v>23253</v>
      </c>
    </row>
    <row r="7765" spans="1:15" ht="84" customHeight="1" x14ac:dyDescent="0.3">
      <c r="A7765" s="2">
        <v>7761</v>
      </c>
      <c r="B7765" s="66" t="s">
        <v>9338</v>
      </c>
      <c r="C7765" s="66" t="s">
        <v>9339</v>
      </c>
      <c r="D7765" s="11">
        <v>120143.64</v>
      </c>
      <c r="E7765" s="11">
        <v>114136.23</v>
      </c>
      <c r="F7765" s="3" t="s">
        <v>11173</v>
      </c>
      <c r="G7765" s="2" t="s">
        <v>14104</v>
      </c>
      <c r="H7765" s="2"/>
      <c r="I7765" s="2"/>
      <c r="J7765" s="2" t="s">
        <v>13904</v>
      </c>
      <c r="K7765" s="2" t="s">
        <v>19218</v>
      </c>
      <c r="L7765" s="82" t="s">
        <v>18780</v>
      </c>
    </row>
    <row r="7766" spans="1:15" ht="84" customHeight="1" x14ac:dyDescent="0.3">
      <c r="A7766" s="2">
        <v>7762</v>
      </c>
      <c r="B7766" s="245" t="s">
        <v>23251</v>
      </c>
      <c r="C7766" s="245">
        <v>4101240097</v>
      </c>
      <c r="D7766" s="244">
        <v>53680.51</v>
      </c>
      <c r="E7766" s="244">
        <v>536803.51</v>
      </c>
      <c r="F7766" s="243">
        <v>43654</v>
      </c>
      <c r="G7766" s="242" t="s">
        <v>23254</v>
      </c>
      <c r="H7766" s="242"/>
      <c r="I7766" s="242"/>
      <c r="J7766" s="242" t="s">
        <v>13904</v>
      </c>
      <c r="K7766" s="242" t="s">
        <v>23252</v>
      </c>
      <c r="L7766" s="246" t="s">
        <v>23253</v>
      </c>
    </row>
    <row r="7767" spans="1:15" ht="84" customHeight="1" x14ac:dyDescent="0.3">
      <c r="A7767" s="2">
        <v>7763</v>
      </c>
      <c r="B7767" s="66" t="s">
        <v>9340</v>
      </c>
      <c r="C7767" s="66" t="s">
        <v>3632</v>
      </c>
      <c r="D7767" s="11">
        <v>41780</v>
      </c>
      <c r="E7767" s="11">
        <v>41780</v>
      </c>
      <c r="F7767" s="3">
        <v>39422</v>
      </c>
      <c r="G7767" s="2" t="s">
        <v>14104</v>
      </c>
      <c r="H7767" s="3">
        <v>43053</v>
      </c>
      <c r="I7767" s="2" t="s">
        <v>19506</v>
      </c>
      <c r="J7767" s="2" t="s">
        <v>13904</v>
      </c>
      <c r="K7767" s="2" t="s">
        <v>19218</v>
      </c>
      <c r="L7767" s="82" t="s">
        <v>19512</v>
      </c>
    </row>
    <row r="7768" spans="1:15" ht="84" customHeight="1" x14ac:dyDescent="0.3">
      <c r="A7768" s="2">
        <v>7764</v>
      </c>
      <c r="B7768" s="66" t="s">
        <v>9341</v>
      </c>
      <c r="C7768" s="66" t="s">
        <v>9342</v>
      </c>
      <c r="D7768" s="11">
        <v>114640</v>
      </c>
      <c r="E7768" s="11">
        <v>114640</v>
      </c>
      <c r="F7768" s="3">
        <v>39431</v>
      </c>
      <c r="G7768" s="2" t="s">
        <v>14104</v>
      </c>
      <c r="H7768" s="2"/>
      <c r="I7768" s="2"/>
      <c r="J7768" s="2" t="s">
        <v>13904</v>
      </c>
      <c r="K7768" s="2" t="s">
        <v>19218</v>
      </c>
      <c r="L7768" s="82" t="s">
        <v>18781</v>
      </c>
    </row>
    <row r="7769" spans="1:15" ht="84" customHeight="1" x14ac:dyDescent="0.3">
      <c r="A7769" s="2">
        <v>7765</v>
      </c>
      <c r="B7769" s="66" t="s">
        <v>9343</v>
      </c>
      <c r="C7769" s="66" t="s">
        <v>9344</v>
      </c>
      <c r="D7769" s="11">
        <v>32324.82</v>
      </c>
      <c r="E7769" s="11">
        <v>32324.82</v>
      </c>
      <c r="F7769" s="3">
        <v>32394</v>
      </c>
      <c r="G7769" s="2" t="s">
        <v>14104</v>
      </c>
      <c r="H7769" s="3">
        <v>43053</v>
      </c>
      <c r="I7769" s="2" t="s">
        <v>19506</v>
      </c>
      <c r="J7769" s="2" t="s">
        <v>13904</v>
      </c>
      <c r="K7769" s="2" t="s">
        <v>19218</v>
      </c>
      <c r="L7769" s="82" t="s">
        <v>19512</v>
      </c>
    </row>
    <row r="7770" spans="1:15" ht="84" customHeight="1" x14ac:dyDescent="0.3">
      <c r="A7770" s="2">
        <v>7766</v>
      </c>
      <c r="B7770" s="66" t="s">
        <v>9345</v>
      </c>
      <c r="C7770" s="66" t="s">
        <v>9346</v>
      </c>
      <c r="D7770" s="11">
        <v>29383.56</v>
      </c>
      <c r="E7770" s="11">
        <v>24894.63</v>
      </c>
      <c r="F7770" s="3">
        <v>39063</v>
      </c>
      <c r="G7770" s="2" t="s">
        <v>14104</v>
      </c>
      <c r="H7770" s="3">
        <v>43053</v>
      </c>
      <c r="I7770" s="2" t="s">
        <v>19506</v>
      </c>
      <c r="J7770" s="2" t="s">
        <v>13904</v>
      </c>
      <c r="K7770" s="2" t="s">
        <v>19218</v>
      </c>
      <c r="L7770" s="82" t="s">
        <v>19512</v>
      </c>
    </row>
    <row r="7771" spans="1:15" ht="84" customHeight="1" x14ac:dyDescent="0.3">
      <c r="A7771" s="2">
        <v>7767</v>
      </c>
      <c r="B7771" s="66" t="s">
        <v>9347</v>
      </c>
      <c r="C7771" s="66" t="s">
        <v>9348</v>
      </c>
      <c r="D7771" s="11">
        <v>30000</v>
      </c>
      <c r="E7771" s="11">
        <v>28571.200000000001</v>
      </c>
      <c r="F7771" s="3">
        <v>39728</v>
      </c>
      <c r="G7771" s="2" t="s">
        <v>14104</v>
      </c>
      <c r="H7771" s="3">
        <v>43053</v>
      </c>
      <c r="I7771" s="2" t="s">
        <v>19506</v>
      </c>
      <c r="J7771" s="2" t="s">
        <v>13904</v>
      </c>
      <c r="K7771" s="2" t="s">
        <v>19218</v>
      </c>
      <c r="L7771" s="82" t="s">
        <v>19512</v>
      </c>
    </row>
    <row r="7772" spans="1:15" s="19" customFormat="1" ht="84" customHeight="1" x14ac:dyDescent="0.3">
      <c r="A7772" s="2">
        <v>7768</v>
      </c>
      <c r="B7772" s="66" t="s">
        <v>9349</v>
      </c>
      <c r="C7772" s="66" t="s">
        <v>9350</v>
      </c>
      <c r="D7772" s="11">
        <v>40000</v>
      </c>
      <c r="E7772" s="11">
        <v>38095.199999999997</v>
      </c>
      <c r="F7772" s="3">
        <v>39728</v>
      </c>
      <c r="G7772" s="2" t="s">
        <v>14104</v>
      </c>
      <c r="H7772" s="3">
        <v>43053</v>
      </c>
      <c r="I7772" s="2" t="s">
        <v>19506</v>
      </c>
      <c r="J7772" s="2" t="s">
        <v>13904</v>
      </c>
      <c r="K7772" s="2" t="s">
        <v>19218</v>
      </c>
      <c r="L7772" s="82" t="s">
        <v>19512</v>
      </c>
      <c r="M7772" s="16"/>
      <c r="N7772" s="16"/>
      <c r="O7772" s="16"/>
    </row>
    <row r="7773" spans="1:15" ht="84" customHeight="1" x14ac:dyDescent="0.3">
      <c r="A7773" s="2">
        <v>7769</v>
      </c>
      <c r="B7773" s="66" t="s">
        <v>9351</v>
      </c>
      <c r="C7773" s="66" t="s">
        <v>9352</v>
      </c>
      <c r="D7773" s="11">
        <v>29097.45</v>
      </c>
      <c r="E7773" s="11">
        <v>29097.45</v>
      </c>
      <c r="F7773" s="3">
        <v>39616</v>
      </c>
      <c r="G7773" s="2" t="s">
        <v>14104</v>
      </c>
      <c r="H7773" s="3">
        <v>43053</v>
      </c>
      <c r="I7773" s="2" t="s">
        <v>19506</v>
      </c>
      <c r="J7773" s="2" t="s">
        <v>13904</v>
      </c>
      <c r="K7773" s="2" t="s">
        <v>19218</v>
      </c>
      <c r="L7773" s="82" t="s">
        <v>19512</v>
      </c>
    </row>
    <row r="7774" spans="1:15" ht="84" customHeight="1" x14ac:dyDescent="0.3">
      <c r="A7774" s="2">
        <v>7770</v>
      </c>
      <c r="B7774" s="66" t="s">
        <v>9353</v>
      </c>
      <c r="C7774" s="66" t="s">
        <v>9354</v>
      </c>
      <c r="D7774" s="11">
        <v>17591.02</v>
      </c>
      <c r="E7774" s="11">
        <v>17591.02</v>
      </c>
      <c r="F7774" s="3">
        <v>39616</v>
      </c>
      <c r="G7774" s="2" t="s">
        <v>14104</v>
      </c>
      <c r="H7774" s="3">
        <v>43053</v>
      </c>
      <c r="I7774" s="2" t="s">
        <v>19506</v>
      </c>
      <c r="J7774" s="2" t="s">
        <v>13904</v>
      </c>
      <c r="K7774" s="2" t="s">
        <v>19218</v>
      </c>
      <c r="L7774" s="82" t="s">
        <v>19512</v>
      </c>
    </row>
    <row r="7775" spans="1:15" ht="84" customHeight="1" x14ac:dyDescent="0.3">
      <c r="A7775" s="2">
        <v>7771</v>
      </c>
      <c r="B7775" s="66" t="s">
        <v>4544</v>
      </c>
      <c r="C7775" s="66"/>
      <c r="D7775" s="11">
        <v>16447.97</v>
      </c>
      <c r="E7775" s="11">
        <v>16447.97</v>
      </c>
      <c r="F7775" s="3">
        <v>40674</v>
      </c>
      <c r="G7775" s="2" t="s">
        <v>14104</v>
      </c>
      <c r="H7775" s="3">
        <v>43053</v>
      </c>
      <c r="I7775" s="2" t="s">
        <v>19506</v>
      </c>
      <c r="J7775" s="2" t="s">
        <v>13904</v>
      </c>
      <c r="K7775" s="2" t="s">
        <v>19218</v>
      </c>
      <c r="L7775" s="82" t="s">
        <v>19512</v>
      </c>
    </row>
    <row r="7776" spans="1:15" ht="84" customHeight="1" x14ac:dyDescent="0.3">
      <c r="A7776" s="2">
        <v>7772</v>
      </c>
      <c r="B7776" s="66" t="s">
        <v>4547</v>
      </c>
      <c r="C7776" s="66"/>
      <c r="D7776" s="11">
        <v>69532.5</v>
      </c>
      <c r="E7776" s="11">
        <v>69532.5</v>
      </c>
      <c r="F7776" s="3">
        <v>40459</v>
      </c>
      <c r="G7776" s="2" t="s">
        <v>14104</v>
      </c>
      <c r="H7776" s="3">
        <v>43053</v>
      </c>
      <c r="I7776" s="2" t="s">
        <v>19506</v>
      </c>
      <c r="J7776" s="2" t="s">
        <v>13904</v>
      </c>
      <c r="K7776" s="2" t="s">
        <v>19218</v>
      </c>
      <c r="L7776" s="82" t="s">
        <v>19512</v>
      </c>
    </row>
    <row r="7777" spans="1:12" ht="84" customHeight="1" x14ac:dyDescent="0.3">
      <c r="A7777" s="2">
        <v>7773</v>
      </c>
      <c r="B7777" s="66" t="s">
        <v>4548</v>
      </c>
      <c r="C7777" s="66"/>
      <c r="D7777" s="11">
        <v>92434.64</v>
      </c>
      <c r="E7777" s="11">
        <v>92434.64</v>
      </c>
      <c r="F7777" s="3">
        <v>40877</v>
      </c>
      <c r="G7777" s="2" t="s">
        <v>14104</v>
      </c>
      <c r="H7777" s="3">
        <v>43053</v>
      </c>
      <c r="I7777" s="2" t="s">
        <v>19506</v>
      </c>
      <c r="J7777" s="2" t="s">
        <v>13904</v>
      </c>
      <c r="K7777" s="2" t="s">
        <v>19218</v>
      </c>
      <c r="L7777" s="82" t="s">
        <v>19512</v>
      </c>
    </row>
    <row r="7778" spans="1:12" ht="84" customHeight="1" x14ac:dyDescent="0.3">
      <c r="A7778" s="2">
        <v>7774</v>
      </c>
      <c r="B7778" s="66" t="s">
        <v>4551</v>
      </c>
      <c r="C7778" s="66"/>
      <c r="D7778" s="11">
        <v>173552.27</v>
      </c>
      <c r="E7778" s="11">
        <v>173552.27</v>
      </c>
      <c r="F7778" s="3">
        <v>41180</v>
      </c>
      <c r="G7778" s="2" t="s">
        <v>14104</v>
      </c>
      <c r="H7778" s="3">
        <v>43053</v>
      </c>
      <c r="I7778" s="2" t="s">
        <v>19506</v>
      </c>
      <c r="J7778" s="2" t="s">
        <v>13904</v>
      </c>
      <c r="K7778" s="2" t="s">
        <v>19218</v>
      </c>
      <c r="L7778" s="82" t="s">
        <v>19512</v>
      </c>
    </row>
    <row r="7779" spans="1:12" ht="84" customHeight="1" x14ac:dyDescent="0.3">
      <c r="A7779" s="2">
        <v>7775</v>
      </c>
      <c r="B7779" s="66" t="s">
        <v>4552</v>
      </c>
      <c r="C7779" s="66"/>
      <c r="D7779" s="11">
        <v>322436.25</v>
      </c>
      <c r="E7779" s="11">
        <v>322436.25</v>
      </c>
      <c r="F7779" s="3">
        <v>41547</v>
      </c>
      <c r="G7779" s="2" t="s">
        <v>14104</v>
      </c>
      <c r="H7779" s="3">
        <v>43053</v>
      </c>
      <c r="I7779" s="2" t="s">
        <v>19506</v>
      </c>
      <c r="J7779" s="2" t="s">
        <v>13904</v>
      </c>
      <c r="K7779" s="2" t="s">
        <v>19218</v>
      </c>
      <c r="L7779" s="82" t="s">
        <v>19512</v>
      </c>
    </row>
    <row r="7780" spans="1:12" ht="84" customHeight="1" x14ac:dyDescent="0.3">
      <c r="A7780" s="2">
        <v>7776</v>
      </c>
      <c r="B7780" s="66" t="s">
        <v>4834</v>
      </c>
      <c r="C7780" s="66"/>
      <c r="D7780" s="11">
        <v>453054.53</v>
      </c>
      <c r="E7780" s="11">
        <v>453054.53</v>
      </c>
      <c r="F7780" s="3">
        <v>41898</v>
      </c>
      <c r="G7780" s="2" t="s">
        <v>14104</v>
      </c>
      <c r="H7780" s="3">
        <v>43053</v>
      </c>
      <c r="I7780" s="2" t="s">
        <v>19506</v>
      </c>
      <c r="J7780" s="2" t="s">
        <v>13904</v>
      </c>
      <c r="K7780" s="2" t="s">
        <v>19218</v>
      </c>
      <c r="L7780" s="82" t="s">
        <v>19512</v>
      </c>
    </row>
    <row r="7781" spans="1:12" ht="84" customHeight="1" x14ac:dyDescent="0.3">
      <c r="A7781" s="2">
        <v>7777</v>
      </c>
      <c r="B7781" s="66" t="s">
        <v>9355</v>
      </c>
      <c r="C7781" s="66"/>
      <c r="D7781" s="11">
        <v>45160</v>
      </c>
      <c r="E7781" s="11">
        <v>45160</v>
      </c>
      <c r="F7781" s="3">
        <v>42185</v>
      </c>
      <c r="G7781" s="2" t="s">
        <v>14104</v>
      </c>
      <c r="H7781" s="3">
        <v>43053</v>
      </c>
      <c r="I7781" s="2" t="s">
        <v>19506</v>
      </c>
      <c r="J7781" s="2" t="s">
        <v>13904</v>
      </c>
      <c r="K7781" s="2" t="s">
        <v>19218</v>
      </c>
      <c r="L7781" s="82" t="s">
        <v>19512</v>
      </c>
    </row>
    <row r="7782" spans="1:12" ht="84" customHeight="1" x14ac:dyDescent="0.3">
      <c r="A7782" s="2">
        <v>7778</v>
      </c>
      <c r="B7782" s="66" t="s">
        <v>9356</v>
      </c>
      <c r="C7782" s="66"/>
      <c r="D7782" s="11">
        <v>25206.799999999999</v>
      </c>
      <c r="E7782" s="11">
        <v>25206.799999999999</v>
      </c>
      <c r="F7782" s="3">
        <v>42185</v>
      </c>
      <c r="G7782" s="2" t="s">
        <v>14104</v>
      </c>
      <c r="H7782" s="3">
        <v>43053</v>
      </c>
      <c r="I7782" s="2" t="s">
        <v>19506</v>
      </c>
      <c r="J7782" s="2" t="s">
        <v>13904</v>
      </c>
      <c r="K7782" s="2" t="s">
        <v>19218</v>
      </c>
      <c r="L7782" s="82" t="s">
        <v>19512</v>
      </c>
    </row>
    <row r="7783" spans="1:12" ht="84" customHeight="1" x14ac:dyDescent="0.3">
      <c r="A7783" s="2">
        <v>7779</v>
      </c>
      <c r="B7783" s="66" t="s">
        <v>5404</v>
      </c>
      <c r="C7783" s="66"/>
      <c r="D7783" s="11">
        <v>48796</v>
      </c>
      <c r="E7783" s="11">
        <v>48796</v>
      </c>
      <c r="F7783" s="3">
        <v>42185</v>
      </c>
      <c r="G7783" s="2" t="s">
        <v>14104</v>
      </c>
      <c r="H7783" s="3">
        <v>43053</v>
      </c>
      <c r="I7783" s="2" t="s">
        <v>19506</v>
      </c>
      <c r="J7783" s="2" t="s">
        <v>13904</v>
      </c>
      <c r="K7783" s="2" t="s">
        <v>19218</v>
      </c>
      <c r="L7783" s="82" t="s">
        <v>19512</v>
      </c>
    </row>
    <row r="7784" spans="1:12" ht="84" customHeight="1" x14ac:dyDescent="0.3">
      <c r="A7784" s="2">
        <v>7780</v>
      </c>
      <c r="B7784" s="66" t="s">
        <v>9357</v>
      </c>
      <c r="C7784" s="66"/>
      <c r="D7784" s="11">
        <v>18213</v>
      </c>
      <c r="E7784" s="11">
        <v>18213</v>
      </c>
      <c r="F7784" s="3">
        <v>42186</v>
      </c>
      <c r="G7784" s="2" t="s">
        <v>14104</v>
      </c>
      <c r="H7784" s="3">
        <v>43053</v>
      </c>
      <c r="I7784" s="2" t="s">
        <v>19506</v>
      </c>
      <c r="J7784" s="2" t="s">
        <v>13904</v>
      </c>
      <c r="K7784" s="2" t="s">
        <v>19218</v>
      </c>
      <c r="L7784" s="82" t="s">
        <v>19512</v>
      </c>
    </row>
    <row r="7785" spans="1:12" ht="84" customHeight="1" x14ac:dyDescent="0.3">
      <c r="A7785" s="2">
        <v>7781</v>
      </c>
      <c r="B7785" s="66" t="s">
        <v>4553</v>
      </c>
      <c r="C7785" s="66"/>
      <c r="D7785" s="11">
        <v>29394.51</v>
      </c>
      <c r="E7785" s="11">
        <v>29394.51</v>
      </c>
      <c r="F7785" s="3">
        <v>41243</v>
      </c>
      <c r="G7785" s="2" t="s">
        <v>14104</v>
      </c>
      <c r="H7785" s="3">
        <v>43053</v>
      </c>
      <c r="I7785" s="2" t="s">
        <v>19506</v>
      </c>
      <c r="J7785" s="2" t="s">
        <v>13904</v>
      </c>
      <c r="K7785" s="2" t="s">
        <v>19218</v>
      </c>
      <c r="L7785" s="82" t="s">
        <v>19512</v>
      </c>
    </row>
    <row r="7786" spans="1:12" ht="84" customHeight="1" x14ac:dyDescent="0.3">
      <c r="A7786" s="2">
        <v>7782</v>
      </c>
      <c r="B7786" s="66" t="s">
        <v>9358</v>
      </c>
      <c r="C7786" s="66" t="s">
        <v>9359</v>
      </c>
      <c r="D7786" s="11">
        <v>60538.2</v>
      </c>
      <c r="E7786" s="11">
        <v>60538.2</v>
      </c>
      <c r="F7786" s="3">
        <v>39941</v>
      </c>
      <c r="G7786" s="2" t="s">
        <v>14104</v>
      </c>
      <c r="H7786" s="2"/>
      <c r="I7786" s="2"/>
      <c r="J7786" s="2" t="s">
        <v>13904</v>
      </c>
      <c r="K7786" s="2" t="s">
        <v>19218</v>
      </c>
      <c r="L7786" s="82" t="s">
        <v>18781</v>
      </c>
    </row>
    <row r="7787" spans="1:12" ht="84" customHeight="1" x14ac:dyDescent="0.3">
      <c r="A7787" s="2">
        <v>7783</v>
      </c>
      <c r="B7787" s="66" t="s">
        <v>9360</v>
      </c>
      <c r="C7787" s="66" t="s">
        <v>9361</v>
      </c>
      <c r="D7787" s="11">
        <v>72330.37</v>
      </c>
      <c r="E7787" s="11">
        <v>72330.37</v>
      </c>
      <c r="F7787" s="3">
        <v>39394</v>
      </c>
      <c r="G7787" s="2" t="s">
        <v>14104</v>
      </c>
      <c r="H7787" s="2"/>
      <c r="I7787" s="2"/>
      <c r="J7787" s="2" t="s">
        <v>13904</v>
      </c>
      <c r="K7787" s="2" t="s">
        <v>19218</v>
      </c>
      <c r="L7787" s="82" t="s">
        <v>18780</v>
      </c>
    </row>
    <row r="7788" spans="1:12" ht="84" customHeight="1" x14ac:dyDescent="0.3">
      <c r="A7788" s="2">
        <v>7784</v>
      </c>
      <c r="B7788" s="66" t="s">
        <v>9362</v>
      </c>
      <c r="C7788" s="66" t="s">
        <v>9363</v>
      </c>
      <c r="D7788" s="11">
        <v>26010.63</v>
      </c>
      <c r="E7788" s="11">
        <v>26010.63</v>
      </c>
      <c r="F7788" s="3">
        <v>39079</v>
      </c>
      <c r="G7788" s="2" t="s">
        <v>14104</v>
      </c>
      <c r="H7788" s="3">
        <v>43053</v>
      </c>
      <c r="I7788" s="2" t="s">
        <v>19506</v>
      </c>
      <c r="J7788" s="2" t="s">
        <v>13904</v>
      </c>
      <c r="K7788" s="2" t="s">
        <v>19218</v>
      </c>
      <c r="L7788" s="82" t="s">
        <v>19512</v>
      </c>
    </row>
    <row r="7789" spans="1:12" ht="84" customHeight="1" x14ac:dyDescent="0.3">
      <c r="A7789" s="2">
        <v>7785</v>
      </c>
      <c r="B7789" s="66" t="s">
        <v>9364</v>
      </c>
      <c r="C7789" s="66" t="s">
        <v>9365</v>
      </c>
      <c r="D7789" s="11">
        <v>39461.800000000003</v>
      </c>
      <c r="E7789" s="11">
        <v>39461.800000000003</v>
      </c>
      <c r="F7789" s="3">
        <v>39941</v>
      </c>
      <c r="G7789" s="2" t="s">
        <v>14104</v>
      </c>
      <c r="H7789" s="3">
        <v>43053</v>
      </c>
      <c r="I7789" s="2" t="s">
        <v>19506</v>
      </c>
      <c r="J7789" s="2" t="s">
        <v>13904</v>
      </c>
      <c r="K7789" s="2" t="s">
        <v>19218</v>
      </c>
      <c r="L7789" s="82" t="s">
        <v>19512</v>
      </c>
    </row>
    <row r="7790" spans="1:12" ht="84" customHeight="1" x14ac:dyDescent="0.3">
      <c r="A7790" s="2">
        <v>7786</v>
      </c>
      <c r="B7790" s="66" t="s">
        <v>9366</v>
      </c>
      <c r="C7790" s="66" t="s">
        <v>9367</v>
      </c>
      <c r="D7790" s="11">
        <v>4000</v>
      </c>
      <c r="E7790" s="11">
        <v>4000</v>
      </c>
      <c r="F7790" s="3">
        <v>40787</v>
      </c>
      <c r="G7790" s="2" t="s">
        <v>14104</v>
      </c>
      <c r="H7790" s="3">
        <v>43053</v>
      </c>
      <c r="I7790" s="2" t="s">
        <v>19506</v>
      </c>
      <c r="J7790" s="2" t="s">
        <v>13904</v>
      </c>
      <c r="K7790" s="2" t="s">
        <v>19218</v>
      </c>
      <c r="L7790" s="82" t="s">
        <v>19512</v>
      </c>
    </row>
    <row r="7791" spans="1:12" ht="84" customHeight="1" x14ac:dyDescent="0.3">
      <c r="A7791" s="2">
        <v>7787</v>
      </c>
      <c r="B7791" s="66" t="s">
        <v>9368</v>
      </c>
      <c r="C7791" s="66" t="s">
        <v>9369</v>
      </c>
      <c r="D7791" s="11">
        <v>32500</v>
      </c>
      <c r="E7791" s="11">
        <v>32500</v>
      </c>
      <c r="F7791" s="3">
        <v>40787</v>
      </c>
      <c r="G7791" s="2" t="s">
        <v>14104</v>
      </c>
      <c r="H7791" s="3">
        <v>43053</v>
      </c>
      <c r="I7791" s="2" t="s">
        <v>19506</v>
      </c>
      <c r="J7791" s="2" t="s">
        <v>13904</v>
      </c>
      <c r="K7791" s="2" t="s">
        <v>19218</v>
      </c>
      <c r="L7791" s="82" t="s">
        <v>19512</v>
      </c>
    </row>
    <row r="7792" spans="1:12" ht="84" customHeight="1" x14ac:dyDescent="0.3">
      <c r="A7792" s="2">
        <v>7788</v>
      </c>
      <c r="B7792" s="66" t="s">
        <v>9370</v>
      </c>
      <c r="C7792" s="66" t="s">
        <v>9371</v>
      </c>
      <c r="D7792" s="11">
        <v>32500</v>
      </c>
      <c r="E7792" s="11">
        <v>32500</v>
      </c>
      <c r="F7792" s="3">
        <v>40787</v>
      </c>
      <c r="G7792" s="2" t="s">
        <v>14104</v>
      </c>
      <c r="H7792" s="3">
        <v>43053</v>
      </c>
      <c r="I7792" s="2" t="s">
        <v>19506</v>
      </c>
      <c r="J7792" s="2" t="s">
        <v>13904</v>
      </c>
      <c r="K7792" s="2" t="s">
        <v>19218</v>
      </c>
      <c r="L7792" s="82" t="s">
        <v>19512</v>
      </c>
    </row>
    <row r="7793" spans="1:12" ht="84" customHeight="1" x14ac:dyDescent="0.3">
      <c r="A7793" s="2">
        <v>7789</v>
      </c>
      <c r="B7793" s="66" t="s">
        <v>2262</v>
      </c>
      <c r="C7793" s="66" t="s">
        <v>9372</v>
      </c>
      <c r="D7793" s="11">
        <v>4500</v>
      </c>
      <c r="E7793" s="11">
        <v>4500</v>
      </c>
      <c r="F7793" s="3">
        <v>40787</v>
      </c>
      <c r="G7793" s="2" t="s">
        <v>14104</v>
      </c>
      <c r="H7793" s="3">
        <v>43053</v>
      </c>
      <c r="I7793" s="2" t="s">
        <v>19506</v>
      </c>
      <c r="J7793" s="2" t="s">
        <v>13904</v>
      </c>
      <c r="K7793" s="2" t="s">
        <v>19218</v>
      </c>
      <c r="L7793" s="82" t="s">
        <v>19512</v>
      </c>
    </row>
    <row r="7794" spans="1:12" ht="84" customHeight="1" x14ac:dyDescent="0.3">
      <c r="A7794" s="2">
        <v>7790</v>
      </c>
      <c r="B7794" s="66" t="s">
        <v>9373</v>
      </c>
      <c r="C7794" s="66" t="s">
        <v>9374</v>
      </c>
      <c r="D7794" s="11">
        <v>4300</v>
      </c>
      <c r="E7794" s="11">
        <v>4300</v>
      </c>
      <c r="F7794" s="3"/>
      <c r="G7794" s="2" t="s">
        <v>14104</v>
      </c>
      <c r="H7794" s="3">
        <v>43053</v>
      </c>
      <c r="I7794" s="2" t="s">
        <v>19506</v>
      </c>
      <c r="J7794" s="2" t="s">
        <v>13904</v>
      </c>
      <c r="K7794" s="2" t="s">
        <v>19218</v>
      </c>
      <c r="L7794" s="82" t="s">
        <v>19512</v>
      </c>
    </row>
    <row r="7795" spans="1:12" ht="84" customHeight="1" x14ac:dyDescent="0.3">
      <c r="A7795" s="2">
        <v>7791</v>
      </c>
      <c r="B7795" s="66" t="s">
        <v>9375</v>
      </c>
      <c r="C7795" s="66" t="s">
        <v>9376</v>
      </c>
      <c r="D7795" s="11">
        <v>20700.02</v>
      </c>
      <c r="E7795" s="11">
        <v>20700.02</v>
      </c>
      <c r="F7795" s="3">
        <v>41625</v>
      </c>
      <c r="G7795" s="2" t="s">
        <v>14104</v>
      </c>
      <c r="H7795" s="3">
        <v>43053</v>
      </c>
      <c r="I7795" s="2" t="s">
        <v>19506</v>
      </c>
      <c r="J7795" s="2" t="s">
        <v>13904</v>
      </c>
      <c r="K7795" s="2" t="s">
        <v>19218</v>
      </c>
      <c r="L7795" s="82" t="s">
        <v>19512</v>
      </c>
    </row>
    <row r="7796" spans="1:12" ht="84" customHeight="1" x14ac:dyDescent="0.3">
      <c r="A7796" s="2">
        <v>7792</v>
      </c>
      <c r="B7796" s="66" t="s">
        <v>9375</v>
      </c>
      <c r="C7796" s="66" t="s">
        <v>9377</v>
      </c>
      <c r="D7796" s="11">
        <v>20700.02</v>
      </c>
      <c r="E7796" s="11">
        <v>20700.02</v>
      </c>
      <c r="F7796" s="3">
        <v>41625</v>
      </c>
      <c r="G7796" s="2" t="s">
        <v>14104</v>
      </c>
      <c r="H7796" s="3">
        <v>43053</v>
      </c>
      <c r="I7796" s="2" t="s">
        <v>19506</v>
      </c>
      <c r="J7796" s="2" t="s">
        <v>13904</v>
      </c>
      <c r="K7796" s="2" t="s">
        <v>19218</v>
      </c>
      <c r="L7796" s="82" t="s">
        <v>19512</v>
      </c>
    </row>
    <row r="7797" spans="1:12" ht="84" customHeight="1" x14ac:dyDescent="0.3">
      <c r="A7797" s="2">
        <v>7793</v>
      </c>
      <c r="B7797" s="66" t="s">
        <v>9378</v>
      </c>
      <c r="C7797" s="66" t="s">
        <v>6074</v>
      </c>
      <c r="D7797" s="11">
        <v>7600.16</v>
      </c>
      <c r="E7797" s="11">
        <v>7600.16</v>
      </c>
      <c r="F7797" s="3">
        <v>41625</v>
      </c>
      <c r="G7797" s="2" t="s">
        <v>14104</v>
      </c>
      <c r="H7797" s="3">
        <v>43053</v>
      </c>
      <c r="I7797" s="2" t="s">
        <v>19506</v>
      </c>
      <c r="J7797" s="2" t="s">
        <v>13904</v>
      </c>
      <c r="K7797" s="2" t="s">
        <v>19218</v>
      </c>
      <c r="L7797" s="82" t="s">
        <v>19512</v>
      </c>
    </row>
    <row r="7798" spans="1:12" ht="84" customHeight="1" x14ac:dyDescent="0.3">
      <c r="A7798" s="2">
        <v>7794</v>
      </c>
      <c r="B7798" s="66" t="s">
        <v>4556</v>
      </c>
      <c r="C7798" s="66" t="s">
        <v>9379</v>
      </c>
      <c r="D7798" s="11">
        <v>4545</v>
      </c>
      <c r="E7798" s="11">
        <v>4545</v>
      </c>
      <c r="F7798" s="3">
        <v>41736</v>
      </c>
      <c r="G7798" s="2" t="s">
        <v>14104</v>
      </c>
      <c r="H7798" s="3">
        <v>43053</v>
      </c>
      <c r="I7798" s="2" t="s">
        <v>19506</v>
      </c>
      <c r="J7798" s="2" t="s">
        <v>13904</v>
      </c>
      <c r="K7798" s="2" t="s">
        <v>19218</v>
      </c>
      <c r="L7798" s="82" t="s">
        <v>19512</v>
      </c>
    </row>
    <row r="7799" spans="1:12" ht="84" customHeight="1" x14ac:dyDescent="0.3">
      <c r="A7799" s="2">
        <v>7795</v>
      </c>
      <c r="B7799" s="66" t="s">
        <v>4554</v>
      </c>
      <c r="C7799" s="66" t="s">
        <v>9380</v>
      </c>
      <c r="D7799" s="11">
        <v>3980</v>
      </c>
      <c r="E7799" s="11">
        <v>3980</v>
      </c>
      <c r="F7799" s="3">
        <v>41365</v>
      </c>
      <c r="G7799" s="2" t="s">
        <v>14104</v>
      </c>
      <c r="H7799" s="3">
        <v>43053</v>
      </c>
      <c r="I7799" s="2" t="s">
        <v>19506</v>
      </c>
      <c r="J7799" s="2" t="s">
        <v>13904</v>
      </c>
      <c r="K7799" s="2" t="s">
        <v>19218</v>
      </c>
      <c r="L7799" s="82" t="s">
        <v>19512</v>
      </c>
    </row>
    <row r="7800" spans="1:12" ht="84" customHeight="1" x14ac:dyDescent="0.3">
      <c r="A7800" s="2">
        <v>7796</v>
      </c>
      <c r="B7800" s="66" t="s">
        <v>9381</v>
      </c>
      <c r="C7800" s="66" t="s">
        <v>9382</v>
      </c>
      <c r="D7800" s="11">
        <v>4403</v>
      </c>
      <c r="E7800" s="11">
        <v>4403</v>
      </c>
      <c r="F7800" s="3">
        <v>36932</v>
      </c>
      <c r="G7800" s="2" t="s">
        <v>14104</v>
      </c>
      <c r="H7800" s="3">
        <v>43053</v>
      </c>
      <c r="I7800" s="2" t="s">
        <v>19506</v>
      </c>
      <c r="J7800" s="2" t="s">
        <v>13904</v>
      </c>
      <c r="K7800" s="2" t="s">
        <v>19218</v>
      </c>
      <c r="L7800" s="82" t="s">
        <v>19512</v>
      </c>
    </row>
    <row r="7801" spans="1:12" ht="84" customHeight="1" x14ac:dyDescent="0.3">
      <c r="A7801" s="2">
        <v>7797</v>
      </c>
      <c r="B7801" s="66" t="s">
        <v>5662</v>
      </c>
      <c r="C7801" s="66" t="s">
        <v>3618</v>
      </c>
      <c r="D7801" s="11">
        <v>33641.67</v>
      </c>
      <c r="E7801" s="11">
        <v>33641.67</v>
      </c>
      <c r="F7801" s="3">
        <v>39058</v>
      </c>
      <c r="G7801" s="2" t="s">
        <v>14104</v>
      </c>
      <c r="H7801" s="3">
        <v>43053</v>
      </c>
      <c r="I7801" s="2" t="s">
        <v>19506</v>
      </c>
      <c r="J7801" s="2" t="s">
        <v>13904</v>
      </c>
      <c r="K7801" s="2" t="s">
        <v>19218</v>
      </c>
      <c r="L7801" s="82" t="s">
        <v>19512</v>
      </c>
    </row>
    <row r="7802" spans="1:12" ht="84" customHeight="1" x14ac:dyDescent="0.3">
      <c r="A7802" s="2">
        <v>7798</v>
      </c>
      <c r="B7802" s="66" t="s">
        <v>9383</v>
      </c>
      <c r="C7802" s="66" t="s">
        <v>3199</v>
      </c>
      <c r="D7802" s="11">
        <v>43681.55</v>
      </c>
      <c r="E7802" s="11">
        <v>43681.55</v>
      </c>
      <c r="F7802" s="3">
        <v>39064</v>
      </c>
      <c r="G7802" s="2" t="s">
        <v>14104</v>
      </c>
      <c r="H7802" s="3">
        <v>43053</v>
      </c>
      <c r="I7802" s="2" t="s">
        <v>19506</v>
      </c>
      <c r="J7802" s="2" t="s">
        <v>13904</v>
      </c>
      <c r="K7802" s="2" t="s">
        <v>19218</v>
      </c>
      <c r="L7802" s="82" t="s">
        <v>19512</v>
      </c>
    </row>
    <row r="7803" spans="1:12" ht="84" customHeight="1" x14ac:dyDescent="0.3">
      <c r="A7803" s="2">
        <v>7799</v>
      </c>
      <c r="B7803" s="66" t="s">
        <v>9384</v>
      </c>
      <c r="C7803" s="66" t="s">
        <v>9385</v>
      </c>
      <c r="D7803" s="11">
        <v>42053</v>
      </c>
      <c r="E7803" s="11">
        <v>42053</v>
      </c>
      <c r="F7803" s="3">
        <v>39394</v>
      </c>
      <c r="G7803" s="2" t="s">
        <v>14104</v>
      </c>
      <c r="H7803" s="3">
        <v>43053</v>
      </c>
      <c r="I7803" s="2" t="s">
        <v>19506</v>
      </c>
      <c r="J7803" s="2" t="s">
        <v>13904</v>
      </c>
      <c r="K7803" s="2" t="s">
        <v>19218</v>
      </c>
      <c r="L7803" s="82" t="s">
        <v>19512</v>
      </c>
    </row>
    <row r="7804" spans="1:12" ht="84" customHeight="1" x14ac:dyDescent="0.3">
      <c r="A7804" s="2">
        <v>7800</v>
      </c>
      <c r="B7804" s="66" t="s">
        <v>9386</v>
      </c>
      <c r="C7804" s="66" t="s">
        <v>9387</v>
      </c>
      <c r="D7804" s="11">
        <v>4699</v>
      </c>
      <c r="E7804" s="11">
        <v>4699</v>
      </c>
      <c r="F7804" s="3">
        <v>39630</v>
      </c>
      <c r="G7804" s="2" t="s">
        <v>14104</v>
      </c>
      <c r="H7804" s="3">
        <v>43053</v>
      </c>
      <c r="I7804" s="2" t="s">
        <v>19506</v>
      </c>
      <c r="J7804" s="2" t="s">
        <v>13904</v>
      </c>
      <c r="K7804" s="2" t="s">
        <v>19218</v>
      </c>
      <c r="L7804" s="82" t="s">
        <v>19512</v>
      </c>
    </row>
    <row r="7805" spans="1:12" ht="84" customHeight="1" x14ac:dyDescent="0.3">
      <c r="A7805" s="2">
        <v>7801</v>
      </c>
      <c r="B7805" s="66" t="s">
        <v>9388</v>
      </c>
      <c r="C7805" s="66" t="s">
        <v>6371</v>
      </c>
      <c r="D7805" s="11">
        <v>5600</v>
      </c>
      <c r="E7805" s="11">
        <v>5600</v>
      </c>
      <c r="F7805" s="3">
        <v>39773</v>
      </c>
      <c r="G7805" s="2" t="s">
        <v>14104</v>
      </c>
      <c r="H7805" s="3">
        <v>43053</v>
      </c>
      <c r="I7805" s="2" t="s">
        <v>19506</v>
      </c>
      <c r="J7805" s="2" t="s">
        <v>13904</v>
      </c>
      <c r="K7805" s="2" t="s">
        <v>19218</v>
      </c>
      <c r="L7805" s="82" t="s">
        <v>19512</v>
      </c>
    </row>
    <row r="7806" spans="1:12" ht="84" customHeight="1" x14ac:dyDescent="0.3">
      <c r="A7806" s="2">
        <v>7802</v>
      </c>
      <c r="B7806" s="66" t="s">
        <v>9389</v>
      </c>
      <c r="C7806" s="66" t="s">
        <v>9390</v>
      </c>
      <c r="D7806" s="11">
        <v>7737.81</v>
      </c>
      <c r="E7806" s="11">
        <v>7737.81</v>
      </c>
      <c r="F7806" s="3">
        <v>38395</v>
      </c>
      <c r="G7806" s="2" t="s">
        <v>14104</v>
      </c>
      <c r="H7806" s="3">
        <v>43053</v>
      </c>
      <c r="I7806" s="2" t="s">
        <v>19506</v>
      </c>
      <c r="J7806" s="2" t="s">
        <v>13904</v>
      </c>
      <c r="K7806" s="2" t="s">
        <v>19218</v>
      </c>
      <c r="L7806" s="82" t="s">
        <v>19512</v>
      </c>
    </row>
    <row r="7807" spans="1:12" ht="84" customHeight="1" x14ac:dyDescent="0.3">
      <c r="A7807" s="2">
        <v>7803</v>
      </c>
      <c r="B7807" s="66" t="s">
        <v>9391</v>
      </c>
      <c r="C7807" s="66" t="s">
        <v>5691</v>
      </c>
      <c r="D7807" s="11">
        <v>11595.4</v>
      </c>
      <c r="E7807" s="11">
        <v>11595.4</v>
      </c>
      <c r="F7807" s="3">
        <v>39783</v>
      </c>
      <c r="G7807" s="2" t="s">
        <v>14104</v>
      </c>
      <c r="H7807" s="3">
        <v>43053</v>
      </c>
      <c r="I7807" s="2" t="s">
        <v>19506</v>
      </c>
      <c r="J7807" s="2" t="s">
        <v>13904</v>
      </c>
      <c r="K7807" s="2" t="s">
        <v>19218</v>
      </c>
      <c r="L7807" s="82" t="s">
        <v>19512</v>
      </c>
    </row>
    <row r="7808" spans="1:12" ht="84" customHeight="1" x14ac:dyDescent="0.3">
      <c r="A7808" s="2">
        <v>7804</v>
      </c>
      <c r="B7808" s="66" t="s">
        <v>223</v>
      </c>
      <c r="C7808" s="66" t="s">
        <v>9392</v>
      </c>
      <c r="D7808" s="11">
        <v>17953.439999999999</v>
      </c>
      <c r="E7808" s="11">
        <v>17953.439999999999</v>
      </c>
      <c r="F7808" s="3">
        <v>38701</v>
      </c>
      <c r="G7808" s="2" t="s">
        <v>14104</v>
      </c>
      <c r="H7808" s="3">
        <v>43053</v>
      </c>
      <c r="I7808" s="2" t="s">
        <v>19506</v>
      </c>
      <c r="J7808" s="2" t="s">
        <v>13904</v>
      </c>
      <c r="K7808" s="2" t="s">
        <v>19218</v>
      </c>
      <c r="L7808" s="82" t="s">
        <v>19512</v>
      </c>
    </row>
    <row r="7809" spans="1:12" ht="84" customHeight="1" x14ac:dyDescent="0.3">
      <c r="A7809" s="2">
        <v>7805</v>
      </c>
      <c r="B7809" s="66" t="s">
        <v>9393</v>
      </c>
      <c r="C7809" s="66" t="s">
        <v>9394</v>
      </c>
      <c r="D7809" s="11">
        <v>28089.18</v>
      </c>
      <c r="E7809" s="11">
        <v>28089.18</v>
      </c>
      <c r="F7809" s="3">
        <v>39783</v>
      </c>
      <c r="G7809" s="2" t="s">
        <v>14104</v>
      </c>
      <c r="H7809" s="3">
        <v>43053</v>
      </c>
      <c r="I7809" s="2" t="s">
        <v>19506</v>
      </c>
      <c r="J7809" s="2" t="s">
        <v>13904</v>
      </c>
      <c r="K7809" s="2" t="s">
        <v>19218</v>
      </c>
      <c r="L7809" s="82" t="s">
        <v>19512</v>
      </c>
    </row>
    <row r="7810" spans="1:12" ht="84" customHeight="1" x14ac:dyDescent="0.3">
      <c r="A7810" s="2">
        <v>7806</v>
      </c>
      <c r="B7810" s="66" t="s">
        <v>5572</v>
      </c>
      <c r="C7810" s="66" t="s">
        <v>9395</v>
      </c>
      <c r="D7810" s="11">
        <v>3745</v>
      </c>
      <c r="E7810" s="11">
        <v>3745</v>
      </c>
      <c r="F7810" s="3">
        <v>38395</v>
      </c>
      <c r="G7810" s="2" t="s">
        <v>14104</v>
      </c>
      <c r="H7810" s="3">
        <v>43053</v>
      </c>
      <c r="I7810" s="2" t="s">
        <v>19506</v>
      </c>
      <c r="J7810" s="2" t="s">
        <v>13904</v>
      </c>
      <c r="K7810" s="2" t="s">
        <v>19218</v>
      </c>
      <c r="L7810" s="82" t="s">
        <v>19512</v>
      </c>
    </row>
    <row r="7811" spans="1:12" ht="84" customHeight="1" x14ac:dyDescent="0.3">
      <c r="A7811" s="2">
        <v>7807</v>
      </c>
      <c r="B7811" s="66" t="s">
        <v>5016</v>
      </c>
      <c r="C7811" s="66" t="s">
        <v>9396</v>
      </c>
      <c r="D7811" s="11">
        <v>7087.64</v>
      </c>
      <c r="E7811" s="11">
        <v>7087.64</v>
      </c>
      <c r="F7811" s="3">
        <v>38395</v>
      </c>
      <c r="G7811" s="2" t="s">
        <v>14104</v>
      </c>
      <c r="H7811" s="3">
        <v>43053</v>
      </c>
      <c r="I7811" s="2" t="s">
        <v>19506</v>
      </c>
      <c r="J7811" s="2" t="s">
        <v>13904</v>
      </c>
      <c r="K7811" s="2" t="s">
        <v>19218</v>
      </c>
      <c r="L7811" s="82" t="s">
        <v>19512</v>
      </c>
    </row>
    <row r="7812" spans="1:12" ht="84" customHeight="1" x14ac:dyDescent="0.3">
      <c r="A7812" s="2">
        <v>7808</v>
      </c>
      <c r="B7812" s="66" t="s">
        <v>9397</v>
      </c>
      <c r="C7812" s="66" t="s">
        <v>9398</v>
      </c>
      <c r="D7812" s="11">
        <v>42369.21</v>
      </c>
      <c r="E7812" s="11">
        <v>42369.21</v>
      </c>
      <c r="F7812" s="3">
        <v>39783</v>
      </c>
      <c r="G7812" s="2" t="s">
        <v>14104</v>
      </c>
      <c r="H7812" s="3">
        <v>43053</v>
      </c>
      <c r="I7812" s="2" t="s">
        <v>19506</v>
      </c>
      <c r="J7812" s="2" t="s">
        <v>13904</v>
      </c>
      <c r="K7812" s="2" t="s">
        <v>19218</v>
      </c>
      <c r="L7812" s="82" t="s">
        <v>19512</v>
      </c>
    </row>
    <row r="7813" spans="1:12" ht="84" customHeight="1" x14ac:dyDescent="0.3">
      <c r="A7813" s="2">
        <v>7809</v>
      </c>
      <c r="B7813" s="66" t="s">
        <v>9399</v>
      </c>
      <c r="C7813" s="66" t="s">
        <v>9400</v>
      </c>
      <c r="D7813" s="11">
        <v>6666</v>
      </c>
      <c r="E7813" s="11">
        <v>6666</v>
      </c>
      <c r="F7813" s="3">
        <v>39436</v>
      </c>
      <c r="G7813" s="2" t="s">
        <v>14104</v>
      </c>
      <c r="H7813" s="3">
        <v>43053</v>
      </c>
      <c r="I7813" s="2" t="s">
        <v>19506</v>
      </c>
      <c r="J7813" s="2" t="s">
        <v>13904</v>
      </c>
      <c r="K7813" s="2" t="s">
        <v>19218</v>
      </c>
      <c r="L7813" s="82" t="s">
        <v>19512</v>
      </c>
    </row>
    <row r="7814" spans="1:12" ht="84" customHeight="1" x14ac:dyDescent="0.3">
      <c r="A7814" s="2">
        <v>7810</v>
      </c>
      <c r="B7814" s="66" t="s">
        <v>9401</v>
      </c>
      <c r="C7814" s="66" t="s">
        <v>3399</v>
      </c>
      <c r="D7814" s="11">
        <v>22348.54</v>
      </c>
      <c r="E7814" s="11">
        <v>22348.54</v>
      </c>
      <c r="F7814" s="3">
        <v>39773</v>
      </c>
      <c r="G7814" s="2" t="s">
        <v>14104</v>
      </c>
      <c r="H7814" s="3">
        <v>43053</v>
      </c>
      <c r="I7814" s="2" t="s">
        <v>19506</v>
      </c>
      <c r="J7814" s="2" t="s">
        <v>13904</v>
      </c>
      <c r="K7814" s="2" t="s">
        <v>19218</v>
      </c>
      <c r="L7814" s="82" t="s">
        <v>19512</v>
      </c>
    </row>
    <row r="7815" spans="1:12" ht="84" customHeight="1" x14ac:dyDescent="0.3">
      <c r="A7815" s="2">
        <v>7811</v>
      </c>
      <c r="B7815" s="66" t="s">
        <v>9402</v>
      </c>
      <c r="C7815" s="66" t="s">
        <v>9403</v>
      </c>
      <c r="D7815" s="11">
        <v>6599.74</v>
      </c>
      <c r="E7815" s="11">
        <v>6599.74</v>
      </c>
      <c r="F7815" s="3">
        <v>39339</v>
      </c>
      <c r="G7815" s="2" t="s">
        <v>14104</v>
      </c>
      <c r="H7815" s="3">
        <v>43053</v>
      </c>
      <c r="I7815" s="2" t="s">
        <v>19506</v>
      </c>
      <c r="J7815" s="2" t="s">
        <v>13904</v>
      </c>
      <c r="K7815" s="2" t="s">
        <v>19218</v>
      </c>
      <c r="L7815" s="82" t="s">
        <v>19512</v>
      </c>
    </row>
    <row r="7816" spans="1:12" ht="84" customHeight="1" x14ac:dyDescent="0.3">
      <c r="A7816" s="2">
        <v>7812</v>
      </c>
      <c r="B7816" s="66" t="s">
        <v>9404</v>
      </c>
      <c r="C7816" s="66" t="s">
        <v>9405</v>
      </c>
      <c r="D7816" s="11">
        <v>7357.65</v>
      </c>
      <c r="E7816" s="11">
        <v>7357.65</v>
      </c>
      <c r="F7816" s="3">
        <v>39339</v>
      </c>
      <c r="G7816" s="2" t="s">
        <v>14104</v>
      </c>
      <c r="H7816" s="3">
        <v>43053</v>
      </c>
      <c r="I7816" s="2" t="s">
        <v>19506</v>
      </c>
      <c r="J7816" s="2" t="s">
        <v>13904</v>
      </c>
      <c r="K7816" s="2" t="s">
        <v>19218</v>
      </c>
      <c r="L7816" s="82" t="s">
        <v>19512</v>
      </c>
    </row>
    <row r="7817" spans="1:12" ht="84" customHeight="1" x14ac:dyDescent="0.3">
      <c r="A7817" s="2">
        <v>7813</v>
      </c>
      <c r="B7817" s="66" t="s">
        <v>1927</v>
      </c>
      <c r="C7817" s="66" t="s">
        <v>3673</v>
      </c>
      <c r="D7817" s="11">
        <v>11633.1</v>
      </c>
      <c r="E7817" s="11">
        <v>11633.1</v>
      </c>
      <c r="F7817" s="3">
        <v>39058</v>
      </c>
      <c r="G7817" s="2" t="s">
        <v>14104</v>
      </c>
      <c r="H7817" s="3">
        <v>43053</v>
      </c>
      <c r="I7817" s="2" t="s">
        <v>19506</v>
      </c>
      <c r="J7817" s="2" t="s">
        <v>13904</v>
      </c>
      <c r="K7817" s="2" t="s">
        <v>19218</v>
      </c>
      <c r="L7817" s="82" t="s">
        <v>19512</v>
      </c>
    </row>
    <row r="7818" spans="1:12" ht="84" customHeight="1" x14ac:dyDescent="0.3">
      <c r="A7818" s="2">
        <v>7814</v>
      </c>
      <c r="B7818" s="66" t="s">
        <v>9406</v>
      </c>
      <c r="C7818" s="66" t="s">
        <v>9407</v>
      </c>
      <c r="D7818" s="11">
        <v>19752.650000000001</v>
      </c>
      <c r="E7818" s="11">
        <v>19752.650000000001</v>
      </c>
      <c r="F7818" s="3">
        <v>40898</v>
      </c>
      <c r="G7818" s="2" t="s">
        <v>14104</v>
      </c>
      <c r="H7818" s="3">
        <v>43053</v>
      </c>
      <c r="I7818" s="2" t="s">
        <v>19506</v>
      </c>
      <c r="J7818" s="2" t="s">
        <v>13904</v>
      </c>
      <c r="K7818" s="2" t="s">
        <v>19218</v>
      </c>
      <c r="L7818" s="82" t="s">
        <v>19512</v>
      </c>
    </row>
    <row r="7819" spans="1:12" ht="84" customHeight="1" x14ac:dyDescent="0.3">
      <c r="A7819" s="2">
        <v>7815</v>
      </c>
      <c r="B7819" s="66" t="s">
        <v>5756</v>
      </c>
      <c r="C7819" s="66" t="s">
        <v>3204</v>
      </c>
      <c r="D7819" s="11">
        <v>14144</v>
      </c>
      <c r="E7819" s="11">
        <v>14144</v>
      </c>
      <c r="F7819" s="3">
        <v>39064</v>
      </c>
      <c r="G7819" s="2" t="s">
        <v>14104</v>
      </c>
      <c r="H7819" s="3">
        <v>43053</v>
      </c>
      <c r="I7819" s="2" t="s">
        <v>19506</v>
      </c>
      <c r="J7819" s="2" t="s">
        <v>13904</v>
      </c>
      <c r="K7819" s="2" t="s">
        <v>19218</v>
      </c>
      <c r="L7819" s="82" t="s">
        <v>19512</v>
      </c>
    </row>
    <row r="7820" spans="1:12" ht="84" customHeight="1" x14ac:dyDescent="0.3">
      <c r="A7820" s="2">
        <v>7816</v>
      </c>
      <c r="B7820" s="66" t="s">
        <v>9408</v>
      </c>
      <c r="C7820" s="66" t="s">
        <v>9409</v>
      </c>
      <c r="D7820" s="11">
        <v>39121.85</v>
      </c>
      <c r="E7820" s="11">
        <v>39121.85</v>
      </c>
      <c r="F7820" s="3">
        <v>40898</v>
      </c>
      <c r="G7820" s="2" t="s">
        <v>14104</v>
      </c>
      <c r="H7820" s="3">
        <v>43053</v>
      </c>
      <c r="I7820" s="2" t="s">
        <v>19506</v>
      </c>
      <c r="J7820" s="2" t="s">
        <v>13904</v>
      </c>
      <c r="K7820" s="2" t="s">
        <v>19218</v>
      </c>
      <c r="L7820" s="82" t="s">
        <v>19512</v>
      </c>
    </row>
    <row r="7821" spans="1:12" ht="84" customHeight="1" x14ac:dyDescent="0.3">
      <c r="A7821" s="2">
        <v>7817</v>
      </c>
      <c r="B7821" s="66" t="s">
        <v>3404</v>
      </c>
      <c r="C7821" s="66" t="s">
        <v>4744</v>
      </c>
      <c r="D7821" s="11">
        <v>13104</v>
      </c>
      <c r="E7821" s="11">
        <v>13104</v>
      </c>
      <c r="F7821" s="3">
        <v>39073</v>
      </c>
      <c r="G7821" s="2" t="s">
        <v>14104</v>
      </c>
      <c r="H7821" s="3">
        <v>43053</v>
      </c>
      <c r="I7821" s="2" t="s">
        <v>19506</v>
      </c>
      <c r="J7821" s="2" t="s">
        <v>13904</v>
      </c>
      <c r="K7821" s="2" t="s">
        <v>19218</v>
      </c>
      <c r="L7821" s="82" t="s">
        <v>19512</v>
      </c>
    </row>
    <row r="7822" spans="1:12" ht="84" customHeight="1" x14ac:dyDescent="0.3">
      <c r="A7822" s="2">
        <v>7818</v>
      </c>
      <c r="B7822" s="66" t="s">
        <v>3835</v>
      </c>
      <c r="C7822" s="66" t="s">
        <v>9410</v>
      </c>
      <c r="D7822" s="11">
        <v>33458.9</v>
      </c>
      <c r="E7822" s="11">
        <v>33458.9</v>
      </c>
      <c r="F7822" s="3">
        <v>38701</v>
      </c>
      <c r="G7822" s="2" t="s">
        <v>14104</v>
      </c>
      <c r="H7822" s="3">
        <v>43053</v>
      </c>
      <c r="I7822" s="2" t="s">
        <v>19506</v>
      </c>
      <c r="J7822" s="2" t="s">
        <v>13904</v>
      </c>
      <c r="K7822" s="2" t="s">
        <v>19218</v>
      </c>
      <c r="L7822" s="82" t="s">
        <v>19512</v>
      </c>
    </row>
    <row r="7823" spans="1:12" ht="84" customHeight="1" x14ac:dyDescent="0.3">
      <c r="A7823" s="2">
        <v>7819</v>
      </c>
      <c r="B7823" s="66" t="s">
        <v>3835</v>
      </c>
      <c r="C7823" s="66" t="s">
        <v>9411</v>
      </c>
      <c r="D7823" s="11">
        <v>38485.760000000002</v>
      </c>
      <c r="E7823" s="11">
        <v>38485.760000000002</v>
      </c>
      <c r="F7823" s="3">
        <v>38701</v>
      </c>
      <c r="G7823" s="2" t="s">
        <v>14104</v>
      </c>
      <c r="H7823" s="3">
        <v>43053</v>
      </c>
      <c r="I7823" s="2" t="s">
        <v>19506</v>
      </c>
      <c r="J7823" s="2" t="s">
        <v>13904</v>
      </c>
      <c r="K7823" s="2" t="s">
        <v>19218</v>
      </c>
      <c r="L7823" s="82" t="s">
        <v>19512</v>
      </c>
    </row>
    <row r="7824" spans="1:12" ht="84" customHeight="1" x14ac:dyDescent="0.3">
      <c r="A7824" s="2">
        <v>7820</v>
      </c>
      <c r="B7824" s="66" t="s">
        <v>9412</v>
      </c>
      <c r="C7824" s="66" t="s">
        <v>9413</v>
      </c>
      <c r="D7824" s="11">
        <v>14301.55</v>
      </c>
      <c r="E7824" s="11">
        <v>14301.55</v>
      </c>
      <c r="F7824" s="3">
        <v>40898</v>
      </c>
      <c r="G7824" s="2" t="s">
        <v>14104</v>
      </c>
      <c r="H7824" s="3">
        <v>43053</v>
      </c>
      <c r="I7824" s="2" t="s">
        <v>19506</v>
      </c>
      <c r="J7824" s="2" t="s">
        <v>13904</v>
      </c>
      <c r="K7824" s="2" t="s">
        <v>19218</v>
      </c>
      <c r="L7824" s="82" t="s">
        <v>19512</v>
      </c>
    </row>
    <row r="7825" spans="1:12" ht="84" customHeight="1" x14ac:dyDescent="0.3">
      <c r="A7825" s="2">
        <v>7821</v>
      </c>
      <c r="B7825" s="66" t="s">
        <v>9414</v>
      </c>
      <c r="C7825" s="66" t="s">
        <v>9415</v>
      </c>
      <c r="D7825" s="11">
        <v>8303.61</v>
      </c>
      <c r="E7825" s="11">
        <v>8303.61</v>
      </c>
      <c r="F7825" s="3">
        <v>40898</v>
      </c>
      <c r="G7825" s="2" t="s">
        <v>14104</v>
      </c>
      <c r="H7825" s="3">
        <v>43053</v>
      </c>
      <c r="I7825" s="2" t="s">
        <v>19506</v>
      </c>
      <c r="J7825" s="2" t="s">
        <v>13904</v>
      </c>
      <c r="K7825" s="2" t="s">
        <v>19218</v>
      </c>
      <c r="L7825" s="82" t="s">
        <v>19512</v>
      </c>
    </row>
    <row r="7826" spans="1:12" ht="84" customHeight="1" x14ac:dyDescent="0.3">
      <c r="A7826" s="2">
        <v>7822</v>
      </c>
      <c r="B7826" s="66" t="s">
        <v>9416</v>
      </c>
      <c r="C7826" s="66" t="s">
        <v>3960</v>
      </c>
      <c r="D7826" s="11">
        <v>7207.25</v>
      </c>
      <c r="E7826" s="11">
        <v>7207.25</v>
      </c>
      <c r="F7826" s="3">
        <v>27072</v>
      </c>
      <c r="G7826" s="2" t="s">
        <v>14104</v>
      </c>
      <c r="H7826" s="3">
        <v>43053</v>
      </c>
      <c r="I7826" s="2" t="s">
        <v>19506</v>
      </c>
      <c r="J7826" s="2" t="s">
        <v>13904</v>
      </c>
      <c r="K7826" s="2" t="s">
        <v>19218</v>
      </c>
      <c r="L7826" s="82" t="s">
        <v>19512</v>
      </c>
    </row>
    <row r="7827" spans="1:12" ht="84" customHeight="1" x14ac:dyDescent="0.3">
      <c r="A7827" s="2">
        <v>7823</v>
      </c>
      <c r="B7827" s="66" t="s">
        <v>9417</v>
      </c>
      <c r="C7827" s="66" t="s">
        <v>9418</v>
      </c>
      <c r="D7827" s="11">
        <v>18722.419999999998</v>
      </c>
      <c r="E7827" s="11">
        <v>18722.419999999998</v>
      </c>
      <c r="F7827" s="3">
        <v>40898</v>
      </c>
      <c r="G7827" s="2" t="s">
        <v>14104</v>
      </c>
      <c r="H7827" s="3">
        <v>43053</v>
      </c>
      <c r="I7827" s="2" t="s">
        <v>19506</v>
      </c>
      <c r="J7827" s="2" t="s">
        <v>13904</v>
      </c>
      <c r="K7827" s="2" t="s">
        <v>19218</v>
      </c>
      <c r="L7827" s="82" t="s">
        <v>19512</v>
      </c>
    </row>
    <row r="7828" spans="1:12" ht="84" customHeight="1" x14ac:dyDescent="0.3">
      <c r="A7828" s="2">
        <v>7824</v>
      </c>
      <c r="B7828" s="66" t="s">
        <v>9419</v>
      </c>
      <c r="C7828" s="66" t="s">
        <v>6648</v>
      </c>
      <c r="D7828" s="11">
        <v>22000</v>
      </c>
      <c r="E7828" s="11">
        <v>22000</v>
      </c>
      <c r="F7828" s="3">
        <v>42003</v>
      </c>
      <c r="G7828" s="2" t="s">
        <v>14104</v>
      </c>
      <c r="H7828" s="3">
        <v>43053</v>
      </c>
      <c r="I7828" s="2" t="s">
        <v>19506</v>
      </c>
      <c r="J7828" s="2" t="s">
        <v>13904</v>
      </c>
      <c r="K7828" s="2" t="s">
        <v>19218</v>
      </c>
      <c r="L7828" s="82" t="s">
        <v>19512</v>
      </c>
    </row>
    <row r="7829" spans="1:12" ht="84" customHeight="1" x14ac:dyDescent="0.3">
      <c r="A7829" s="2">
        <v>7825</v>
      </c>
      <c r="B7829" s="66" t="s">
        <v>9420</v>
      </c>
      <c r="C7829" s="66" t="s">
        <v>9421</v>
      </c>
      <c r="D7829" s="11">
        <v>49678.62</v>
      </c>
      <c r="E7829" s="11">
        <v>49678.62</v>
      </c>
      <c r="F7829" s="3">
        <v>39394</v>
      </c>
      <c r="G7829" s="2" t="s">
        <v>14104</v>
      </c>
      <c r="H7829" s="3">
        <v>43053</v>
      </c>
      <c r="I7829" s="2" t="s">
        <v>19506</v>
      </c>
      <c r="J7829" s="2" t="s">
        <v>13904</v>
      </c>
      <c r="K7829" s="2" t="s">
        <v>19218</v>
      </c>
      <c r="L7829" s="82" t="s">
        <v>19512</v>
      </c>
    </row>
    <row r="7830" spans="1:12" ht="84" customHeight="1" x14ac:dyDescent="0.3">
      <c r="A7830" s="2">
        <v>7826</v>
      </c>
      <c r="B7830" s="66" t="s">
        <v>9422</v>
      </c>
      <c r="C7830" s="66" t="s">
        <v>9423</v>
      </c>
      <c r="D7830" s="11">
        <v>22348.54</v>
      </c>
      <c r="E7830" s="11">
        <v>22348.54</v>
      </c>
      <c r="F7830" s="3">
        <v>39752</v>
      </c>
      <c r="G7830" s="2" t="s">
        <v>14104</v>
      </c>
      <c r="H7830" s="3">
        <v>43053</v>
      </c>
      <c r="I7830" s="2" t="s">
        <v>19506</v>
      </c>
      <c r="J7830" s="2" t="s">
        <v>13904</v>
      </c>
      <c r="K7830" s="2" t="s">
        <v>19218</v>
      </c>
      <c r="L7830" s="82" t="s">
        <v>19512</v>
      </c>
    </row>
    <row r="7831" spans="1:12" ht="84" customHeight="1" x14ac:dyDescent="0.3">
      <c r="A7831" s="2">
        <v>7827</v>
      </c>
      <c r="B7831" s="66" t="s">
        <v>9424</v>
      </c>
      <c r="C7831" s="66" t="s">
        <v>9425</v>
      </c>
      <c r="D7831" s="11">
        <v>5077.7299999999996</v>
      </c>
      <c r="E7831" s="11">
        <v>5077.7299999999996</v>
      </c>
      <c r="F7831" s="3">
        <v>34742</v>
      </c>
      <c r="G7831" s="2" t="s">
        <v>14104</v>
      </c>
      <c r="H7831" s="3">
        <v>43053</v>
      </c>
      <c r="I7831" s="2" t="s">
        <v>19506</v>
      </c>
      <c r="J7831" s="2" t="s">
        <v>13904</v>
      </c>
      <c r="K7831" s="2" t="s">
        <v>19218</v>
      </c>
      <c r="L7831" s="82" t="s">
        <v>19512</v>
      </c>
    </row>
    <row r="7832" spans="1:12" ht="84" customHeight="1" x14ac:dyDescent="0.3">
      <c r="A7832" s="2">
        <v>7828</v>
      </c>
      <c r="B7832" s="66" t="s">
        <v>9384</v>
      </c>
      <c r="C7832" s="66" t="s">
        <v>9426</v>
      </c>
      <c r="D7832" s="11">
        <v>42055.03</v>
      </c>
      <c r="E7832" s="11">
        <v>42055.03</v>
      </c>
      <c r="F7832" s="3">
        <v>39394</v>
      </c>
      <c r="G7832" s="2" t="s">
        <v>14104</v>
      </c>
      <c r="H7832" s="3">
        <v>43053</v>
      </c>
      <c r="I7832" s="2" t="s">
        <v>19506</v>
      </c>
      <c r="J7832" s="2" t="s">
        <v>13904</v>
      </c>
      <c r="K7832" s="2" t="s">
        <v>19218</v>
      </c>
      <c r="L7832" s="82" t="s">
        <v>19512</v>
      </c>
    </row>
    <row r="7833" spans="1:12" ht="84" customHeight="1" x14ac:dyDescent="0.3">
      <c r="A7833" s="2">
        <v>7829</v>
      </c>
      <c r="B7833" s="66" t="s">
        <v>9427</v>
      </c>
      <c r="C7833" s="66" t="s">
        <v>3201</v>
      </c>
      <c r="D7833" s="11">
        <v>12500</v>
      </c>
      <c r="E7833" s="11">
        <v>12500</v>
      </c>
      <c r="F7833" s="3">
        <v>39888</v>
      </c>
      <c r="G7833" s="2" t="s">
        <v>14104</v>
      </c>
      <c r="H7833" s="3">
        <v>43053</v>
      </c>
      <c r="I7833" s="2" t="s">
        <v>19506</v>
      </c>
      <c r="J7833" s="2" t="s">
        <v>13904</v>
      </c>
      <c r="K7833" s="2" t="s">
        <v>19218</v>
      </c>
      <c r="L7833" s="82" t="s">
        <v>19512</v>
      </c>
    </row>
    <row r="7834" spans="1:12" ht="84" customHeight="1" x14ac:dyDescent="0.3">
      <c r="A7834" s="2">
        <v>7830</v>
      </c>
      <c r="B7834" s="66" t="s">
        <v>9428</v>
      </c>
      <c r="C7834" s="66" t="s">
        <v>9429</v>
      </c>
      <c r="D7834" s="11">
        <v>11595.4</v>
      </c>
      <c r="E7834" s="11">
        <v>11595.4</v>
      </c>
      <c r="F7834" s="3">
        <v>39783</v>
      </c>
      <c r="G7834" s="2" t="s">
        <v>14104</v>
      </c>
      <c r="H7834" s="3">
        <v>43053</v>
      </c>
      <c r="I7834" s="2" t="s">
        <v>19506</v>
      </c>
      <c r="J7834" s="2" t="s">
        <v>13904</v>
      </c>
      <c r="K7834" s="2" t="s">
        <v>19218</v>
      </c>
      <c r="L7834" s="82" t="s">
        <v>19512</v>
      </c>
    </row>
    <row r="7835" spans="1:12" ht="84" customHeight="1" x14ac:dyDescent="0.3">
      <c r="A7835" s="2">
        <v>7831</v>
      </c>
      <c r="B7835" s="66" t="s">
        <v>9430</v>
      </c>
      <c r="C7835" s="66" t="s">
        <v>9431</v>
      </c>
      <c r="D7835" s="11">
        <v>11595.4</v>
      </c>
      <c r="E7835" s="11">
        <v>11595.4</v>
      </c>
      <c r="F7835" s="3">
        <v>39783</v>
      </c>
      <c r="G7835" s="2" t="s">
        <v>14104</v>
      </c>
      <c r="H7835" s="3">
        <v>43053</v>
      </c>
      <c r="I7835" s="2" t="s">
        <v>19506</v>
      </c>
      <c r="J7835" s="2" t="s">
        <v>13904</v>
      </c>
      <c r="K7835" s="2" t="s">
        <v>19218</v>
      </c>
      <c r="L7835" s="82" t="s">
        <v>19512</v>
      </c>
    </row>
    <row r="7836" spans="1:12" ht="84" customHeight="1" x14ac:dyDescent="0.3">
      <c r="A7836" s="2">
        <v>7832</v>
      </c>
      <c r="B7836" s="66" t="s">
        <v>9397</v>
      </c>
      <c r="C7836" s="66" t="s">
        <v>9432</v>
      </c>
      <c r="D7836" s="11">
        <v>42369.21</v>
      </c>
      <c r="E7836" s="11">
        <v>42369.21</v>
      </c>
      <c r="F7836" s="3">
        <v>39783</v>
      </c>
      <c r="G7836" s="2" t="s">
        <v>14104</v>
      </c>
      <c r="H7836" s="3">
        <v>43053</v>
      </c>
      <c r="I7836" s="2" t="s">
        <v>19506</v>
      </c>
      <c r="J7836" s="2" t="s">
        <v>13904</v>
      </c>
      <c r="K7836" s="2" t="s">
        <v>19218</v>
      </c>
      <c r="L7836" s="82" t="s">
        <v>19512</v>
      </c>
    </row>
    <row r="7837" spans="1:12" ht="84" customHeight="1" x14ac:dyDescent="0.3">
      <c r="A7837" s="2">
        <v>7833</v>
      </c>
      <c r="B7837" s="66" t="s">
        <v>9433</v>
      </c>
      <c r="C7837" s="66" t="s">
        <v>9434</v>
      </c>
      <c r="D7837" s="11">
        <v>35300</v>
      </c>
      <c r="E7837" s="11">
        <v>35300</v>
      </c>
      <c r="F7837" s="3">
        <v>39339</v>
      </c>
      <c r="G7837" s="2" t="s">
        <v>14104</v>
      </c>
      <c r="H7837" s="3">
        <v>43053</v>
      </c>
      <c r="I7837" s="2" t="s">
        <v>19506</v>
      </c>
      <c r="J7837" s="2" t="s">
        <v>13904</v>
      </c>
      <c r="K7837" s="2" t="s">
        <v>19218</v>
      </c>
      <c r="L7837" s="82" t="s">
        <v>19512</v>
      </c>
    </row>
    <row r="7838" spans="1:12" ht="84" customHeight="1" x14ac:dyDescent="0.3">
      <c r="A7838" s="2">
        <v>7834</v>
      </c>
      <c r="B7838" s="66" t="s">
        <v>9435</v>
      </c>
      <c r="C7838" s="66" t="s">
        <v>9436</v>
      </c>
      <c r="D7838" s="11">
        <v>35300</v>
      </c>
      <c r="E7838" s="11">
        <v>35300</v>
      </c>
      <c r="F7838" s="3">
        <v>39339</v>
      </c>
      <c r="G7838" s="2" t="s">
        <v>14104</v>
      </c>
      <c r="H7838" s="3">
        <v>43053</v>
      </c>
      <c r="I7838" s="2" t="s">
        <v>19506</v>
      </c>
      <c r="J7838" s="2" t="s">
        <v>13904</v>
      </c>
      <c r="K7838" s="2" t="s">
        <v>19218</v>
      </c>
      <c r="L7838" s="82" t="s">
        <v>19512</v>
      </c>
    </row>
    <row r="7839" spans="1:12" ht="84" customHeight="1" x14ac:dyDescent="0.3">
      <c r="A7839" s="2">
        <v>7835</v>
      </c>
      <c r="B7839" s="66" t="s">
        <v>9437</v>
      </c>
      <c r="C7839" s="66" t="s">
        <v>3774</v>
      </c>
      <c r="D7839" s="11">
        <v>33389.46</v>
      </c>
      <c r="E7839" s="11">
        <v>33389.46</v>
      </c>
      <c r="F7839" s="3">
        <v>39773</v>
      </c>
      <c r="G7839" s="2" t="s">
        <v>14104</v>
      </c>
      <c r="H7839" s="3">
        <v>43053</v>
      </c>
      <c r="I7839" s="2" t="s">
        <v>19506</v>
      </c>
      <c r="J7839" s="2" t="s">
        <v>13904</v>
      </c>
      <c r="K7839" s="2" t="s">
        <v>19218</v>
      </c>
      <c r="L7839" s="82" t="s">
        <v>19512</v>
      </c>
    </row>
    <row r="7840" spans="1:12" ht="84" customHeight="1" x14ac:dyDescent="0.3">
      <c r="A7840" s="2">
        <v>7836</v>
      </c>
      <c r="B7840" s="66" t="s">
        <v>9438</v>
      </c>
      <c r="C7840" s="66" t="s">
        <v>9439</v>
      </c>
      <c r="D7840" s="11">
        <v>8400</v>
      </c>
      <c r="E7840" s="11">
        <v>8400</v>
      </c>
      <c r="F7840" s="3">
        <v>39773</v>
      </c>
      <c r="G7840" s="2" t="s">
        <v>14104</v>
      </c>
      <c r="H7840" s="3">
        <v>43053</v>
      </c>
      <c r="I7840" s="2" t="s">
        <v>19506</v>
      </c>
      <c r="J7840" s="2" t="s">
        <v>13904</v>
      </c>
      <c r="K7840" s="2" t="s">
        <v>19218</v>
      </c>
      <c r="L7840" s="82" t="s">
        <v>19512</v>
      </c>
    </row>
    <row r="7841" spans="1:12" ht="84" customHeight="1" x14ac:dyDescent="0.3">
      <c r="A7841" s="2">
        <v>7837</v>
      </c>
      <c r="B7841" s="66" t="s">
        <v>9393</v>
      </c>
      <c r="C7841" s="66" t="s">
        <v>9440</v>
      </c>
      <c r="D7841" s="11">
        <v>28089.18</v>
      </c>
      <c r="E7841" s="11">
        <v>28089.18</v>
      </c>
      <c r="F7841" s="3">
        <v>39783</v>
      </c>
      <c r="G7841" s="2" t="s">
        <v>14104</v>
      </c>
      <c r="H7841" s="3">
        <v>43053</v>
      </c>
      <c r="I7841" s="2" t="s">
        <v>19506</v>
      </c>
      <c r="J7841" s="2" t="s">
        <v>13904</v>
      </c>
      <c r="K7841" s="2" t="s">
        <v>19218</v>
      </c>
      <c r="L7841" s="82" t="s">
        <v>19512</v>
      </c>
    </row>
    <row r="7842" spans="1:12" ht="84" customHeight="1" x14ac:dyDescent="0.3">
      <c r="A7842" s="2">
        <v>7838</v>
      </c>
      <c r="B7842" s="66" t="s">
        <v>9441</v>
      </c>
      <c r="C7842" s="66" t="s">
        <v>9442</v>
      </c>
      <c r="D7842" s="11">
        <v>28089.18</v>
      </c>
      <c r="E7842" s="11">
        <v>28089.18</v>
      </c>
      <c r="F7842" s="3">
        <v>39783</v>
      </c>
      <c r="G7842" s="2" t="s">
        <v>14104</v>
      </c>
      <c r="H7842" s="3">
        <v>43053</v>
      </c>
      <c r="I7842" s="2" t="s">
        <v>19506</v>
      </c>
      <c r="J7842" s="2" t="s">
        <v>13904</v>
      </c>
      <c r="K7842" s="2" t="s">
        <v>19218</v>
      </c>
      <c r="L7842" s="82" t="s">
        <v>19512</v>
      </c>
    </row>
    <row r="7843" spans="1:12" ht="84" customHeight="1" x14ac:dyDescent="0.3">
      <c r="A7843" s="2">
        <v>7839</v>
      </c>
      <c r="B7843" s="66" t="s">
        <v>9443</v>
      </c>
      <c r="C7843" s="66" t="s">
        <v>9444</v>
      </c>
      <c r="D7843" s="11">
        <v>6445</v>
      </c>
      <c r="E7843" s="11">
        <v>6445</v>
      </c>
      <c r="F7843" s="3">
        <v>39339</v>
      </c>
      <c r="G7843" s="2" t="s">
        <v>14104</v>
      </c>
      <c r="H7843" s="3">
        <v>43053</v>
      </c>
      <c r="I7843" s="2" t="s">
        <v>19506</v>
      </c>
      <c r="J7843" s="2" t="s">
        <v>13904</v>
      </c>
      <c r="K7843" s="2" t="s">
        <v>19218</v>
      </c>
      <c r="L7843" s="82" t="s">
        <v>19512</v>
      </c>
    </row>
    <row r="7844" spans="1:12" ht="84" customHeight="1" x14ac:dyDescent="0.3">
      <c r="A7844" s="2">
        <v>7840</v>
      </c>
      <c r="B7844" s="66" t="s">
        <v>9443</v>
      </c>
      <c r="C7844" s="66" t="s">
        <v>9445</v>
      </c>
      <c r="D7844" s="11">
        <v>6445</v>
      </c>
      <c r="E7844" s="11">
        <v>6445</v>
      </c>
      <c r="F7844" s="3">
        <v>39339</v>
      </c>
      <c r="G7844" s="2" t="s">
        <v>14104</v>
      </c>
      <c r="H7844" s="3">
        <v>43053</v>
      </c>
      <c r="I7844" s="2" t="s">
        <v>19506</v>
      </c>
      <c r="J7844" s="2" t="s">
        <v>13904</v>
      </c>
      <c r="K7844" s="2" t="s">
        <v>19218</v>
      </c>
      <c r="L7844" s="82" t="s">
        <v>19512</v>
      </c>
    </row>
    <row r="7845" spans="1:12" ht="84" customHeight="1" x14ac:dyDescent="0.3">
      <c r="A7845" s="2">
        <v>7841</v>
      </c>
      <c r="B7845" s="66" t="s">
        <v>9443</v>
      </c>
      <c r="C7845" s="66" t="s">
        <v>9446</v>
      </c>
      <c r="D7845" s="11">
        <v>6445</v>
      </c>
      <c r="E7845" s="11">
        <v>6445</v>
      </c>
      <c r="F7845" s="3">
        <v>39339</v>
      </c>
      <c r="G7845" s="2" t="s">
        <v>14104</v>
      </c>
      <c r="H7845" s="3">
        <v>43053</v>
      </c>
      <c r="I7845" s="2" t="s">
        <v>19506</v>
      </c>
      <c r="J7845" s="2" t="s">
        <v>13904</v>
      </c>
      <c r="K7845" s="2" t="s">
        <v>19218</v>
      </c>
      <c r="L7845" s="82" t="s">
        <v>19512</v>
      </c>
    </row>
    <row r="7846" spans="1:12" ht="84" customHeight="1" x14ac:dyDescent="0.3">
      <c r="A7846" s="2">
        <v>7842</v>
      </c>
      <c r="B7846" s="66" t="s">
        <v>9443</v>
      </c>
      <c r="C7846" s="66" t="s">
        <v>9447</v>
      </c>
      <c r="D7846" s="11">
        <v>6445</v>
      </c>
      <c r="E7846" s="11">
        <v>6445</v>
      </c>
      <c r="F7846" s="3">
        <v>39339</v>
      </c>
      <c r="G7846" s="2" t="s">
        <v>14104</v>
      </c>
      <c r="H7846" s="3">
        <v>43053</v>
      </c>
      <c r="I7846" s="2" t="s">
        <v>19506</v>
      </c>
      <c r="J7846" s="2" t="s">
        <v>13904</v>
      </c>
      <c r="K7846" s="2" t="s">
        <v>19218</v>
      </c>
      <c r="L7846" s="82" t="s">
        <v>19512</v>
      </c>
    </row>
    <row r="7847" spans="1:12" ht="84" customHeight="1" x14ac:dyDescent="0.3">
      <c r="A7847" s="2">
        <v>7843</v>
      </c>
      <c r="B7847" s="66" t="s">
        <v>9443</v>
      </c>
      <c r="C7847" s="66" t="s">
        <v>9448</v>
      </c>
      <c r="D7847" s="11">
        <v>6445</v>
      </c>
      <c r="E7847" s="11">
        <v>6445</v>
      </c>
      <c r="F7847" s="3">
        <v>39339</v>
      </c>
      <c r="G7847" s="2" t="s">
        <v>14104</v>
      </c>
      <c r="H7847" s="3">
        <v>43053</v>
      </c>
      <c r="I7847" s="2" t="s">
        <v>19506</v>
      </c>
      <c r="J7847" s="2" t="s">
        <v>13904</v>
      </c>
      <c r="K7847" s="2" t="s">
        <v>19218</v>
      </c>
      <c r="L7847" s="82" t="s">
        <v>19512</v>
      </c>
    </row>
    <row r="7848" spans="1:12" ht="84" customHeight="1" x14ac:dyDescent="0.3">
      <c r="A7848" s="2">
        <v>7844</v>
      </c>
      <c r="B7848" s="66" t="s">
        <v>9443</v>
      </c>
      <c r="C7848" s="66" t="s">
        <v>9449</v>
      </c>
      <c r="D7848" s="11">
        <v>6445</v>
      </c>
      <c r="E7848" s="11">
        <v>6445</v>
      </c>
      <c r="F7848" s="3">
        <v>39339</v>
      </c>
      <c r="G7848" s="2" t="s">
        <v>14104</v>
      </c>
      <c r="H7848" s="3">
        <v>43053</v>
      </c>
      <c r="I7848" s="2" t="s">
        <v>19506</v>
      </c>
      <c r="J7848" s="2" t="s">
        <v>13904</v>
      </c>
      <c r="K7848" s="2" t="s">
        <v>19218</v>
      </c>
      <c r="L7848" s="82" t="s">
        <v>19512</v>
      </c>
    </row>
    <row r="7849" spans="1:12" ht="84" customHeight="1" x14ac:dyDescent="0.3">
      <c r="A7849" s="2">
        <v>7845</v>
      </c>
      <c r="B7849" s="66" t="s">
        <v>9443</v>
      </c>
      <c r="C7849" s="66" t="s">
        <v>9450</v>
      </c>
      <c r="D7849" s="11">
        <v>6445</v>
      </c>
      <c r="E7849" s="11">
        <v>6445</v>
      </c>
      <c r="F7849" s="3">
        <v>39339</v>
      </c>
      <c r="G7849" s="2" t="s">
        <v>14104</v>
      </c>
      <c r="H7849" s="3">
        <v>43053</v>
      </c>
      <c r="I7849" s="2" t="s">
        <v>19506</v>
      </c>
      <c r="J7849" s="2" t="s">
        <v>13904</v>
      </c>
      <c r="K7849" s="2" t="s">
        <v>19218</v>
      </c>
      <c r="L7849" s="82" t="s">
        <v>19512</v>
      </c>
    </row>
    <row r="7850" spans="1:12" ht="84" customHeight="1" x14ac:dyDescent="0.3">
      <c r="A7850" s="2">
        <v>7846</v>
      </c>
      <c r="B7850" s="66" t="s">
        <v>9443</v>
      </c>
      <c r="C7850" s="66" t="s">
        <v>9451</v>
      </c>
      <c r="D7850" s="11">
        <v>6445</v>
      </c>
      <c r="E7850" s="11">
        <v>6445</v>
      </c>
      <c r="F7850" s="3">
        <v>39339</v>
      </c>
      <c r="G7850" s="2" t="s">
        <v>14104</v>
      </c>
      <c r="H7850" s="3">
        <v>43053</v>
      </c>
      <c r="I7850" s="2" t="s">
        <v>19506</v>
      </c>
      <c r="J7850" s="2" t="s">
        <v>13904</v>
      </c>
      <c r="K7850" s="2" t="s">
        <v>19218</v>
      </c>
      <c r="L7850" s="82" t="s">
        <v>19512</v>
      </c>
    </row>
    <row r="7851" spans="1:12" ht="84" customHeight="1" x14ac:dyDescent="0.3">
      <c r="A7851" s="2">
        <v>7847</v>
      </c>
      <c r="B7851" s="66" t="s">
        <v>9443</v>
      </c>
      <c r="C7851" s="66" t="s">
        <v>9452</v>
      </c>
      <c r="D7851" s="11">
        <v>6445</v>
      </c>
      <c r="E7851" s="11">
        <v>6445</v>
      </c>
      <c r="F7851" s="3">
        <v>39339</v>
      </c>
      <c r="G7851" s="2" t="s">
        <v>14104</v>
      </c>
      <c r="H7851" s="3">
        <v>43053</v>
      </c>
      <c r="I7851" s="2" t="s">
        <v>19506</v>
      </c>
      <c r="J7851" s="2" t="s">
        <v>13904</v>
      </c>
      <c r="K7851" s="2" t="s">
        <v>19218</v>
      </c>
      <c r="L7851" s="82" t="s">
        <v>19512</v>
      </c>
    </row>
    <row r="7852" spans="1:12" ht="84" customHeight="1" x14ac:dyDescent="0.3">
      <c r="A7852" s="2">
        <v>7848</v>
      </c>
      <c r="B7852" s="66" t="s">
        <v>9443</v>
      </c>
      <c r="C7852" s="66" t="s">
        <v>9453</v>
      </c>
      <c r="D7852" s="11">
        <v>6445</v>
      </c>
      <c r="E7852" s="11">
        <v>6445</v>
      </c>
      <c r="F7852" s="3">
        <v>39339</v>
      </c>
      <c r="G7852" s="2" t="s">
        <v>14104</v>
      </c>
      <c r="H7852" s="3">
        <v>43053</v>
      </c>
      <c r="I7852" s="2" t="s">
        <v>19506</v>
      </c>
      <c r="J7852" s="2" t="s">
        <v>13904</v>
      </c>
      <c r="K7852" s="2" t="s">
        <v>19218</v>
      </c>
      <c r="L7852" s="82" t="s">
        <v>19512</v>
      </c>
    </row>
    <row r="7853" spans="1:12" ht="84" customHeight="1" x14ac:dyDescent="0.3">
      <c r="A7853" s="2">
        <v>7849</v>
      </c>
      <c r="B7853" s="66" t="s">
        <v>9384</v>
      </c>
      <c r="C7853" s="66" t="s">
        <v>9454</v>
      </c>
      <c r="D7853" s="11">
        <v>42053</v>
      </c>
      <c r="E7853" s="11">
        <v>42053</v>
      </c>
      <c r="F7853" s="3">
        <v>39394</v>
      </c>
      <c r="G7853" s="2" t="s">
        <v>14104</v>
      </c>
      <c r="H7853" s="3">
        <v>43053</v>
      </c>
      <c r="I7853" s="2" t="s">
        <v>19506</v>
      </c>
      <c r="J7853" s="2" t="s">
        <v>13904</v>
      </c>
      <c r="K7853" s="2" t="s">
        <v>19218</v>
      </c>
      <c r="L7853" s="82" t="s">
        <v>19512</v>
      </c>
    </row>
    <row r="7854" spans="1:12" ht="84" customHeight="1" x14ac:dyDescent="0.3">
      <c r="A7854" s="2">
        <v>7850</v>
      </c>
      <c r="B7854" s="66" t="s">
        <v>9455</v>
      </c>
      <c r="C7854" s="66" t="s">
        <v>9456</v>
      </c>
      <c r="D7854" s="11">
        <v>11226.6</v>
      </c>
      <c r="E7854" s="11">
        <v>11226.6</v>
      </c>
      <c r="F7854" s="3">
        <v>38029</v>
      </c>
      <c r="G7854" s="2" t="s">
        <v>14104</v>
      </c>
      <c r="H7854" s="3">
        <v>43053</v>
      </c>
      <c r="I7854" s="2" t="s">
        <v>19506</v>
      </c>
      <c r="J7854" s="2" t="s">
        <v>13904</v>
      </c>
      <c r="K7854" s="2" t="s">
        <v>19218</v>
      </c>
      <c r="L7854" s="82" t="s">
        <v>19512</v>
      </c>
    </row>
    <row r="7855" spans="1:12" ht="84" customHeight="1" x14ac:dyDescent="0.3">
      <c r="A7855" s="2">
        <v>7851</v>
      </c>
      <c r="B7855" s="66" t="s">
        <v>9457</v>
      </c>
      <c r="C7855" s="66" t="s">
        <v>9458</v>
      </c>
      <c r="D7855" s="11">
        <v>8379</v>
      </c>
      <c r="E7855" s="11">
        <v>8379</v>
      </c>
      <c r="F7855" s="3">
        <v>38029</v>
      </c>
      <c r="G7855" s="2" t="s">
        <v>14104</v>
      </c>
      <c r="H7855" s="3">
        <v>43053</v>
      </c>
      <c r="I7855" s="2" t="s">
        <v>19506</v>
      </c>
      <c r="J7855" s="2" t="s">
        <v>13904</v>
      </c>
      <c r="K7855" s="2" t="s">
        <v>19218</v>
      </c>
      <c r="L7855" s="82" t="s">
        <v>19512</v>
      </c>
    </row>
    <row r="7856" spans="1:12" ht="84" customHeight="1" x14ac:dyDescent="0.3">
      <c r="A7856" s="2">
        <v>7852</v>
      </c>
      <c r="B7856" s="66" t="s">
        <v>9459</v>
      </c>
      <c r="C7856" s="66" t="s">
        <v>3606</v>
      </c>
      <c r="D7856" s="11">
        <v>11416.2</v>
      </c>
      <c r="E7856" s="11">
        <v>11416.2</v>
      </c>
      <c r="F7856" s="3">
        <v>39058</v>
      </c>
      <c r="G7856" s="2" t="s">
        <v>14104</v>
      </c>
      <c r="H7856" s="3">
        <v>43053</v>
      </c>
      <c r="I7856" s="2" t="s">
        <v>19506</v>
      </c>
      <c r="J7856" s="2" t="s">
        <v>13904</v>
      </c>
      <c r="K7856" s="2" t="s">
        <v>19218</v>
      </c>
      <c r="L7856" s="82" t="s">
        <v>19512</v>
      </c>
    </row>
    <row r="7857" spans="1:12" ht="84" customHeight="1" x14ac:dyDescent="0.3">
      <c r="A7857" s="2">
        <v>7853</v>
      </c>
      <c r="B7857" s="66" t="s">
        <v>9460</v>
      </c>
      <c r="C7857" s="66" t="s">
        <v>9461</v>
      </c>
      <c r="D7857" s="11">
        <v>22348.54</v>
      </c>
      <c r="E7857" s="11">
        <v>22348.54</v>
      </c>
      <c r="F7857" s="3">
        <v>39752</v>
      </c>
      <c r="G7857" s="2" t="s">
        <v>14104</v>
      </c>
      <c r="H7857" s="3">
        <v>43053</v>
      </c>
      <c r="I7857" s="2" t="s">
        <v>19506</v>
      </c>
      <c r="J7857" s="2" t="s">
        <v>13904</v>
      </c>
      <c r="K7857" s="2" t="s">
        <v>19218</v>
      </c>
      <c r="L7857" s="82" t="s">
        <v>19512</v>
      </c>
    </row>
    <row r="7858" spans="1:12" ht="84" customHeight="1" x14ac:dyDescent="0.3">
      <c r="A7858" s="2">
        <v>7854</v>
      </c>
      <c r="B7858" s="66" t="s">
        <v>4853</v>
      </c>
      <c r="C7858" s="66" t="s">
        <v>4020</v>
      </c>
      <c r="D7858" s="11">
        <v>45381.93</v>
      </c>
      <c r="E7858" s="11">
        <v>45381.93</v>
      </c>
      <c r="F7858" s="3">
        <v>38701</v>
      </c>
      <c r="G7858" s="2" t="s">
        <v>14104</v>
      </c>
      <c r="H7858" s="3">
        <v>43053</v>
      </c>
      <c r="I7858" s="2" t="s">
        <v>19506</v>
      </c>
      <c r="J7858" s="2" t="s">
        <v>13904</v>
      </c>
      <c r="K7858" s="2" t="s">
        <v>18569</v>
      </c>
      <c r="L7858" s="82" t="s">
        <v>19512</v>
      </c>
    </row>
    <row r="7859" spans="1:12" ht="84" customHeight="1" x14ac:dyDescent="0.3">
      <c r="A7859" s="2">
        <v>7855</v>
      </c>
      <c r="B7859" s="66" t="s">
        <v>4853</v>
      </c>
      <c r="C7859" s="66" t="s">
        <v>9462</v>
      </c>
      <c r="D7859" s="11">
        <v>17486.75</v>
      </c>
      <c r="E7859" s="11">
        <v>17486.75</v>
      </c>
      <c r="F7859" s="3">
        <v>38701</v>
      </c>
      <c r="G7859" s="2" t="s">
        <v>14104</v>
      </c>
      <c r="H7859" s="3">
        <v>43053</v>
      </c>
      <c r="I7859" s="2" t="s">
        <v>19506</v>
      </c>
      <c r="J7859" s="2" t="s">
        <v>13904</v>
      </c>
      <c r="K7859" s="2" t="s">
        <v>18569</v>
      </c>
      <c r="L7859" s="82" t="s">
        <v>19512</v>
      </c>
    </row>
    <row r="7860" spans="1:12" ht="84" customHeight="1" x14ac:dyDescent="0.3">
      <c r="A7860" s="2">
        <v>7856</v>
      </c>
      <c r="B7860" s="66" t="s">
        <v>4878</v>
      </c>
      <c r="C7860" s="66" t="s">
        <v>9463</v>
      </c>
      <c r="D7860" s="11">
        <v>12735.18</v>
      </c>
      <c r="E7860" s="11">
        <v>12735.18</v>
      </c>
      <c r="F7860" s="3">
        <v>38027</v>
      </c>
      <c r="G7860" s="2" t="s">
        <v>14104</v>
      </c>
      <c r="H7860" s="3">
        <v>43053</v>
      </c>
      <c r="I7860" s="2" t="s">
        <v>19506</v>
      </c>
      <c r="J7860" s="2" t="s">
        <v>13904</v>
      </c>
      <c r="K7860" s="2" t="s">
        <v>18569</v>
      </c>
      <c r="L7860" s="82" t="s">
        <v>19512</v>
      </c>
    </row>
    <row r="7861" spans="1:12" ht="84" customHeight="1" x14ac:dyDescent="0.3">
      <c r="A7861" s="2">
        <v>7857</v>
      </c>
      <c r="B7861" s="66" t="s">
        <v>9464</v>
      </c>
      <c r="C7861" s="66" t="s">
        <v>9465</v>
      </c>
      <c r="D7861" s="11">
        <v>22353.37</v>
      </c>
      <c r="E7861" s="11">
        <v>22353.37</v>
      </c>
      <c r="F7861" s="3">
        <v>38701</v>
      </c>
      <c r="G7861" s="2" t="s">
        <v>14104</v>
      </c>
      <c r="H7861" s="3">
        <v>43053</v>
      </c>
      <c r="I7861" s="2" t="s">
        <v>19506</v>
      </c>
      <c r="J7861" s="2" t="s">
        <v>13904</v>
      </c>
      <c r="K7861" s="2" t="s">
        <v>19218</v>
      </c>
      <c r="L7861" s="82" t="s">
        <v>19512</v>
      </c>
    </row>
    <row r="7862" spans="1:12" ht="84" customHeight="1" x14ac:dyDescent="0.3">
      <c r="A7862" s="2">
        <v>7858</v>
      </c>
      <c r="B7862" s="66" t="s">
        <v>9466</v>
      </c>
      <c r="C7862" s="66" t="s">
        <v>5780</v>
      </c>
      <c r="D7862" s="11">
        <v>6445</v>
      </c>
      <c r="E7862" s="11">
        <v>6445</v>
      </c>
      <c r="F7862" s="3">
        <v>39773</v>
      </c>
      <c r="G7862" s="2" t="s">
        <v>14104</v>
      </c>
      <c r="H7862" s="3">
        <v>43053</v>
      </c>
      <c r="I7862" s="2" t="s">
        <v>19506</v>
      </c>
      <c r="J7862" s="2" t="s">
        <v>13904</v>
      </c>
      <c r="K7862" s="2" t="s">
        <v>19218</v>
      </c>
      <c r="L7862" s="82" t="s">
        <v>19512</v>
      </c>
    </row>
    <row r="7863" spans="1:12" ht="84" customHeight="1" x14ac:dyDescent="0.3">
      <c r="A7863" s="2">
        <v>7859</v>
      </c>
      <c r="B7863" s="66" t="s">
        <v>2899</v>
      </c>
      <c r="C7863" s="66" t="s">
        <v>9467</v>
      </c>
      <c r="D7863" s="11">
        <v>16318.11</v>
      </c>
      <c r="E7863" s="11">
        <v>16318.11</v>
      </c>
      <c r="F7863" s="3">
        <v>38701</v>
      </c>
      <c r="G7863" s="2" t="s">
        <v>14104</v>
      </c>
      <c r="H7863" s="3">
        <v>43053</v>
      </c>
      <c r="I7863" s="2" t="s">
        <v>19506</v>
      </c>
      <c r="J7863" s="2" t="s">
        <v>13904</v>
      </c>
      <c r="K7863" s="2" t="s">
        <v>19218</v>
      </c>
      <c r="L7863" s="82" t="s">
        <v>19512</v>
      </c>
    </row>
    <row r="7864" spans="1:12" ht="84" customHeight="1" x14ac:dyDescent="0.3">
      <c r="A7864" s="2">
        <v>7860</v>
      </c>
      <c r="B7864" s="66" t="s">
        <v>4882</v>
      </c>
      <c r="C7864" s="66" t="s">
        <v>3456</v>
      </c>
      <c r="D7864" s="11">
        <v>38750.400000000001</v>
      </c>
      <c r="E7864" s="11">
        <v>38750.400000000001</v>
      </c>
      <c r="F7864" s="3">
        <v>38701</v>
      </c>
      <c r="G7864" s="2" t="s">
        <v>14104</v>
      </c>
      <c r="H7864" s="3">
        <v>43053</v>
      </c>
      <c r="I7864" s="2" t="s">
        <v>19506</v>
      </c>
      <c r="J7864" s="2" t="s">
        <v>13904</v>
      </c>
      <c r="K7864" s="2" t="s">
        <v>19218</v>
      </c>
      <c r="L7864" s="82" t="s">
        <v>19512</v>
      </c>
    </row>
    <row r="7865" spans="1:12" ht="84" customHeight="1" x14ac:dyDescent="0.3">
      <c r="A7865" s="2">
        <v>7861</v>
      </c>
      <c r="B7865" s="66" t="s">
        <v>9466</v>
      </c>
      <c r="C7865" s="66" t="s">
        <v>9468</v>
      </c>
      <c r="D7865" s="11">
        <v>6445</v>
      </c>
      <c r="E7865" s="11">
        <v>6445</v>
      </c>
      <c r="F7865" s="3">
        <v>39773</v>
      </c>
      <c r="G7865" s="2" t="s">
        <v>14104</v>
      </c>
      <c r="H7865" s="3">
        <v>43053</v>
      </c>
      <c r="I7865" s="2" t="s">
        <v>19506</v>
      </c>
      <c r="J7865" s="2" t="s">
        <v>13904</v>
      </c>
      <c r="K7865" s="2" t="s">
        <v>19218</v>
      </c>
      <c r="L7865" s="82" t="s">
        <v>19512</v>
      </c>
    </row>
    <row r="7866" spans="1:12" ht="84" customHeight="1" x14ac:dyDescent="0.3">
      <c r="A7866" s="2">
        <v>7862</v>
      </c>
      <c r="B7866" s="66" t="s">
        <v>9469</v>
      </c>
      <c r="C7866" s="66" t="s">
        <v>6789</v>
      </c>
      <c r="D7866" s="11">
        <v>6445</v>
      </c>
      <c r="E7866" s="11">
        <v>6445</v>
      </c>
      <c r="F7866" s="3">
        <v>39773</v>
      </c>
      <c r="G7866" s="2" t="s">
        <v>14104</v>
      </c>
      <c r="H7866" s="3">
        <v>43053</v>
      </c>
      <c r="I7866" s="2" t="s">
        <v>19506</v>
      </c>
      <c r="J7866" s="2" t="s">
        <v>13904</v>
      </c>
      <c r="K7866" s="2" t="s">
        <v>19218</v>
      </c>
      <c r="L7866" s="82" t="s">
        <v>19512</v>
      </c>
    </row>
    <row r="7867" spans="1:12" ht="84" customHeight="1" x14ac:dyDescent="0.3">
      <c r="A7867" s="2">
        <v>7863</v>
      </c>
      <c r="B7867" s="66" t="s">
        <v>9469</v>
      </c>
      <c r="C7867" s="66" t="s">
        <v>5779</v>
      </c>
      <c r="D7867" s="11">
        <v>6445</v>
      </c>
      <c r="E7867" s="11">
        <v>6445</v>
      </c>
      <c r="F7867" s="3">
        <v>39773</v>
      </c>
      <c r="G7867" s="2" t="s">
        <v>14104</v>
      </c>
      <c r="H7867" s="3">
        <v>43053</v>
      </c>
      <c r="I7867" s="2" t="s">
        <v>19506</v>
      </c>
      <c r="J7867" s="2" t="s">
        <v>13904</v>
      </c>
      <c r="K7867" s="2" t="s">
        <v>19218</v>
      </c>
      <c r="L7867" s="82" t="s">
        <v>19512</v>
      </c>
    </row>
    <row r="7868" spans="1:12" ht="84" customHeight="1" x14ac:dyDescent="0.3">
      <c r="A7868" s="2">
        <v>7864</v>
      </c>
      <c r="B7868" s="66" t="s">
        <v>9469</v>
      </c>
      <c r="C7868" s="66" t="s">
        <v>6797</v>
      </c>
      <c r="D7868" s="11">
        <v>6445</v>
      </c>
      <c r="E7868" s="11">
        <v>6445</v>
      </c>
      <c r="F7868" s="3">
        <v>39773</v>
      </c>
      <c r="G7868" s="2" t="s">
        <v>14104</v>
      </c>
      <c r="H7868" s="3">
        <v>43053</v>
      </c>
      <c r="I7868" s="2" t="s">
        <v>19506</v>
      </c>
      <c r="J7868" s="2" t="s">
        <v>13904</v>
      </c>
      <c r="K7868" s="2" t="s">
        <v>19218</v>
      </c>
      <c r="L7868" s="82" t="s">
        <v>19512</v>
      </c>
    </row>
    <row r="7869" spans="1:12" ht="84" customHeight="1" x14ac:dyDescent="0.3">
      <c r="A7869" s="2">
        <v>7865</v>
      </c>
      <c r="B7869" s="66" t="s">
        <v>9469</v>
      </c>
      <c r="C7869" s="66" t="s">
        <v>9470</v>
      </c>
      <c r="D7869" s="11">
        <v>6445</v>
      </c>
      <c r="E7869" s="11">
        <v>6445</v>
      </c>
      <c r="F7869" s="3">
        <v>39773</v>
      </c>
      <c r="G7869" s="2" t="s">
        <v>14104</v>
      </c>
      <c r="H7869" s="3">
        <v>43053</v>
      </c>
      <c r="I7869" s="2" t="s">
        <v>19506</v>
      </c>
      <c r="J7869" s="2" t="s">
        <v>13904</v>
      </c>
      <c r="K7869" s="2" t="s">
        <v>19218</v>
      </c>
      <c r="L7869" s="82" t="s">
        <v>19512</v>
      </c>
    </row>
    <row r="7870" spans="1:12" ht="84" customHeight="1" x14ac:dyDescent="0.3">
      <c r="A7870" s="2">
        <v>7866</v>
      </c>
      <c r="B7870" s="66" t="s">
        <v>9471</v>
      </c>
      <c r="C7870" s="66" t="s">
        <v>9472</v>
      </c>
      <c r="D7870" s="11">
        <v>13083</v>
      </c>
      <c r="E7870" s="11">
        <v>13083</v>
      </c>
      <c r="F7870" s="3">
        <v>40870</v>
      </c>
      <c r="G7870" s="2" t="s">
        <v>14104</v>
      </c>
      <c r="H7870" s="3">
        <v>43053</v>
      </c>
      <c r="I7870" s="2" t="s">
        <v>19506</v>
      </c>
      <c r="J7870" s="2" t="s">
        <v>13904</v>
      </c>
      <c r="K7870" s="2" t="s">
        <v>19218</v>
      </c>
      <c r="L7870" s="82" t="s">
        <v>19512</v>
      </c>
    </row>
    <row r="7871" spans="1:12" ht="84" customHeight="1" x14ac:dyDescent="0.3">
      <c r="A7871" s="2">
        <v>7867</v>
      </c>
      <c r="B7871" s="66" t="s">
        <v>5252</v>
      </c>
      <c r="C7871" s="66" t="s">
        <v>9473</v>
      </c>
      <c r="D7871" s="11">
        <v>22093.5</v>
      </c>
      <c r="E7871" s="11">
        <v>22093.5</v>
      </c>
      <c r="F7871" s="3">
        <v>41624</v>
      </c>
      <c r="G7871" s="2" t="s">
        <v>14104</v>
      </c>
      <c r="H7871" s="3">
        <v>43053</v>
      </c>
      <c r="I7871" s="2" t="s">
        <v>19506</v>
      </c>
      <c r="J7871" s="2" t="s">
        <v>13904</v>
      </c>
      <c r="K7871" s="2" t="s">
        <v>19218</v>
      </c>
      <c r="L7871" s="82" t="s">
        <v>19512</v>
      </c>
    </row>
    <row r="7872" spans="1:12" ht="84" customHeight="1" x14ac:dyDescent="0.3">
      <c r="A7872" s="2">
        <v>7868</v>
      </c>
      <c r="B7872" s="66" t="s">
        <v>9474</v>
      </c>
      <c r="C7872" s="66" t="s">
        <v>9475</v>
      </c>
      <c r="D7872" s="11">
        <v>5724.5</v>
      </c>
      <c r="E7872" s="11">
        <v>5724.5</v>
      </c>
      <c r="F7872" s="3">
        <v>38393</v>
      </c>
      <c r="G7872" s="2" t="s">
        <v>14104</v>
      </c>
      <c r="H7872" s="3">
        <v>43053</v>
      </c>
      <c r="I7872" s="2" t="s">
        <v>19506</v>
      </c>
      <c r="J7872" s="2" t="s">
        <v>13904</v>
      </c>
      <c r="K7872" s="2" t="s">
        <v>19218</v>
      </c>
      <c r="L7872" s="82" t="s">
        <v>19512</v>
      </c>
    </row>
    <row r="7873" spans="1:12" ht="84" customHeight="1" x14ac:dyDescent="0.3">
      <c r="A7873" s="2">
        <v>7869</v>
      </c>
      <c r="B7873" s="66" t="s">
        <v>9476</v>
      </c>
      <c r="C7873" s="66" t="s">
        <v>9477</v>
      </c>
      <c r="D7873" s="11">
        <v>6648.9</v>
      </c>
      <c r="E7873" s="11">
        <v>6648.9</v>
      </c>
      <c r="F7873" s="3">
        <v>38395</v>
      </c>
      <c r="G7873" s="2" t="s">
        <v>14104</v>
      </c>
      <c r="H7873" s="3">
        <v>43053</v>
      </c>
      <c r="I7873" s="2" t="s">
        <v>19506</v>
      </c>
      <c r="J7873" s="2" t="s">
        <v>13904</v>
      </c>
      <c r="K7873" s="2" t="s">
        <v>19218</v>
      </c>
      <c r="L7873" s="82" t="s">
        <v>19512</v>
      </c>
    </row>
    <row r="7874" spans="1:12" ht="84" customHeight="1" x14ac:dyDescent="0.3">
      <c r="A7874" s="2">
        <v>7870</v>
      </c>
      <c r="B7874" s="66" t="s">
        <v>9478</v>
      </c>
      <c r="C7874" s="66" t="s">
        <v>6796</v>
      </c>
      <c r="D7874" s="11">
        <v>5600</v>
      </c>
      <c r="E7874" s="11">
        <v>5600</v>
      </c>
      <c r="F7874" s="3">
        <v>39446</v>
      </c>
      <c r="G7874" s="2" t="s">
        <v>14104</v>
      </c>
      <c r="H7874" s="3">
        <v>43053</v>
      </c>
      <c r="I7874" s="2" t="s">
        <v>19506</v>
      </c>
      <c r="J7874" s="2" t="s">
        <v>13904</v>
      </c>
      <c r="K7874" s="2" t="s">
        <v>19218</v>
      </c>
      <c r="L7874" s="82" t="s">
        <v>19512</v>
      </c>
    </row>
    <row r="7875" spans="1:12" ht="84" customHeight="1" x14ac:dyDescent="0.3">
      <c r="A7875" s="2">
        <v>7871</v>
      </c>
      <c r="B7875" s="66" t="s">
        <v>9479</v>
      </c>
      <c r="C7875" s="66" t="s">
        <v>4360</v>
      </c>
      <c r="D7875" s="11">
        <v>3153.5</v>
      </c>
      <c r="E7875" s="11">
        <v>3153.5</v>
      </c>
      <c r="F7875" s="3">
        <v>36932</v>
      </c>
      <c r="G7875" s="2" t="s">
        <v>14104</v>
      </c>
      <c r="H7875" s="3">
        <v>43053</v>
      </c>
      <c r="I7875" s="2" t="s">
        <v>19506</v>
      </c>
      <c r="J7875" s="2" t="s">
        <v>13904</v>
      </c>
      <c r="K7875" s="2" t="s">
        <v>19218</v>
      </c>
      <c r="L7875" s="82" t="s">
        <v>19512</v>
      </c>
    </row>
    <row r="7876" spans="1:12" ht="84" customHeight="1" x14ac:dyDescent="0.3">
      <c r="A7876" s="2">
        <v>7872</v>
      </c>
      <c r="B7876" s="66" t="s">
        <v>9388</v>
      </c>
      <c r="C7876" s="66" t="s">
        <v>9480</v>
      </c>
      <c r="D7876" s="11">
        <v>5600</v>
      </c>
      <c r="E7876" s="11">
        <v>5600</v>
      </c>
      <c r="F7876" s="3">
        <v>39773</v>
      </c>
      <c r="G7876" s="2" t="s">
        <v>14104</v>
      </c>
      <c r="H7876" s="3">
        <v>43053</v>
      </c>
      <c r="I7876" s="2" t="s">
        <v>19506</v>
      </c>
      <c r="J7876" s="2" t="s">
        <v>13904</v>
      </c>
      <c r="K7876" s="2" t="s">
        <v>19218</v>
      </c>
      <c r="L7876" s="82" t="s">
        <v>19512</v>
      </c>
    </row>
    <row r="7877" spans="1:12" ht="84" customHeight="1" x14ac:dyDescent="0.3">
      <c r="A7877" s="2">
        <v>7873</v>
      </c>
      <c r="B7877" s="66" t="s">
        <v>9481</v>
      </c>
      <c r="C7877" s="66" t="s">
        <v>9482</v>
      </c>
      <c r="D7877" s="11">
        <v>18972</v>
      </c>
      <c r="E7877" s="11">
        <v>18972</v>
      </c>
      <c r="F7877" s="3">
        <v>40870</v>
      </c>
      <c r="G7877" s="2" t="s">
        <v>14104</v>
      </c>
      <c r="H7877" s="3">
        <v>43053</v>
      </c>
      <c r="I7877" s="2" t="s">
        <v>19506</v>
      </c>
      <c r="J7877" s="2" t="s">
        <v>13904</v>
      </c>
      <c r="K7877" s="2" t="s">
        <v>19218</v>
      </c>
      <c r="L7877" s="82" t="s">
        <v>19512</v>
      </c>
    </row>
    <row r="7878" spans="1:12" ht="84" customHeight="1" x14ac:dyDescent="0.3">
      <c r="A7878" s="2">
        <v>7874</v>
      </c>
      <c r="B7878" s="66" t="s">
        <v>9384</v>
      </c>
      <c r="C7878" s="66" t="s">
        <v>9483</v>
      </c>
      <c r="D7878" s="11">
        <v>42053</v>
      </c>
      <c r="E7878" s="11">
        <v>42053</v>
      </c>
      <c r="F7878" s="3">
        <v>39394</v>
      </c>
      <c r="G7878" s="2" t="s">
        <v>14104</v>
      </c>
      <c r="H7878" s="3">
        <v>43053</v>
      </c>
      <c r="I7878" s="2" t="s">
        <v>19506</v>
      </c>
      <c r="J7878" s="2" t="s">
        <v>13904</v>
      </c>
      <c r="K7878" s="2" t="s">
        <v>19218</v>
      </c>
      <c r="L7878" s="82" t="s">
        <v>19512</v>
      </c>
    </row>
    <row r="7879" spans="1:12" ht="84" customHeight="1" x14ac:dyDescent="0.3">
      <c r="A7879" s="2">
        <v>7875</v>
      </c>
      <c r="B7879" s="66" t="s">
        <v>9469</v>
      </c>
      <c r="C7879" s="66" t="s">
        <v>5757</v>
      </c>
      <c r="D7879" s="11">
        <v>6445</v>
      </c>
      <c r="E7879" s="11">
        <v>6445</v>
      </c>
      <c r="F7879" s="3">
        <v>39773</v>
      </c>
      <c r="G7879" s="2" t="s">
        <v>14104</v>
      </c>
      <c r="H7879" s="3">
        <v>43053</v>
      </c>
      <c r="I7879" s="2" t="s">
        <v>19506</v>
      </c>
      <c r="J7879" s="2" t="s">
        <v>13904</v>
      </c>
      <c r="K7879" s="2" t="s">
        <v>19218</v>
      </c>
      <c r="L7879" s="82" t="s">
        <v>19512</v>
      </c>
    </row>
    <row r="7880" spans="1:12" ht="84" customHeight="1" x14ac:dyDescent="0.3">
      <c r="A7880" s="2">
        <v>7876</v>
      </c>
      <c r="B7880" s="66" t="s">
        <v>9484</v>
      </c>
      <c r="C7880" s="66" t="s">
        <v>3300</v>
      </c>
      <c r="D7880" s="11">
        <v>14415.9</v>
      </c>
      <c r="E7880" s="11">
        <v>14415.9</v>
      </c>
      <c r="F7880" s="3">
        <v>34742</v>
      </c>
      <c r="G7880" s="2" t="s">
        <v>14104</v>
      </c>
      <c r="H7880" s="3">
        <v>43053</v>
      </c>
      <c r="I7880" s="2" t="s">
        <v>19506</v>
      </c>
      <c r="J7880" s="2" t="s">
        <v>13904</v>
      </c>
      <c r="K7880" s="2" t="s">
        <v>19218</v>
      </c>
      <c r="L7880" s="82" t="s">
        <v>19512</v>
      </c>
    </row>
    <row r="7881" spans="1:12" ht="84" customHeight="1" x14ac:dyDescent="0.3">
      <c r="A7881" s="2">
        <v>7877</v>
      </c>
      <c r="B7881" s="66" t="s">
        <v>9471</v>
      </c>
      <c r="C7881" s="66" t="s">
        <v>9485</v>
      </c>
      <c r="D7881" s="11">
        <v>13083</v>
      </c>
      <c r="E7881" s="11">
        <v>13083</v>
      </c>
      <c r="F7881" s="3">
        <v>40870</v>
      </c>
      <c r="G7881" s="2" t="s">
        <v>14104</v>
      </c>
      <c r="H7881" s="3">
        <v>43053</v>
      </c>
      <c r="I7881" s="2" t="s">
        <v>19506</v>
      </c>
      <c r="J7881" s="2" t="s">
        <v>13904</v>
      </c>
      <c r="K7881" s="2" t="s">
        <v>19218</v>
      </c>
      <c r="L7881" s="82" t="s">
        <v>19512</v>
      </c>
    </row>
    <row r="7882" spans="1:12" ht="84" customHeight="1" x14ac:dyDescent="0.3">
      <c r="A7882" s="2">
        <v>7878</v>
      </c>
      <c r="B7882" s="66" t="s">
        <v>9471</v>
      </c>
      <c r="C7882" s="66" t="s">
        <v>9486</v>
      </c>
      <c r="D7882" s="11">
        <v>13083</v>
      </c>
      <c r="E7882" s="11">
        <v>13083</v>
      </c>
      <c r="F7882" s="3">
        <v>40870</v>
      </c>
      <c r="G7882" s="2" t="s">
        <v>14104</v>
      </c>
      <c r="H7882" s="3">
        <v>43053</v>
      </c>
      <c r="I7882" s="2" t="s">
        <v>19506</v>
      </c>
      <c r="J7882" s="2" t="s">
        <v>13904</v>
      </c>
      <c r="K7882" s="2" t="s">
        <v>19218</v>
      </c>
      <c r="L7882" s="82" t="s">
        <v>19512</v>
      </c>
    </row>
    <row r="7883" spans="1:12" ht="84" customHeight="1" x14ac:dyDescent="0.3">
      <c r="A7883" s="2">
        <v>7879</v>
      </c>
      <c r="B7883" s="66" t="s">
        <v>9487</v>
      </c>
      <c r="C7883" s="66" t="s">
        <v>9488</v>
      </c>
      <c r="D7883" s="11">
        <v>27691</v>
      </c>
      <c r="E7883" s="11">
        <v>27691</v>
      </c>
      <c r="F7883" s="3">
        <v>40870</v>
      </c>
      <c r="G7883" s="2" t="s">
        <v>14104</v>
      </c>
      <c r="H7883" s="3">
        <v>43053</v>
      </c>
      <c r="I7883" s="2" t="s">
        <v>19506</v>
      </c>
      <c r="J7883" s="2" t="s">
        <v>13904</v>
      </c>
      <c r="K7883" s="2" t="s">
        <v>19218</v>
      </c>
      <c r="L7883" s="82" t="s">
        <v>19512</v>
      </c>
    </row>
    <row r="7884" spans="1:12" ht="84" customHeight="1" x14ac:dyDescent="0.3">
      <c r="A7884" s="2">
        <v>7880</v>
      </c>
      <c r="B7884" s="66" t="s">
        <v>9487</v>
      </c>
      <c r="C7884" s="66" t="s">
        <v>9489</v>
      </c>
      <c r="D7884" s="11">
        <v>27691</v>
      </c>
      <c r="E7884" s="11">
        <v>27691</v>
      </c>
      <c r="F7884" s="3">
        <v>40870</v>
      </c>
      <c r="G7884" s="2" t="s">
        <v>14104</v>
      </c>
      <c r="H7884" s="3">
        <v>43053</v>
      </c>
      <c r="I7884" s="2" t="s">
        <v>19506</v>
      </c>
      <c r="J7884" s="2" t="s">
        <v>13904</v>
      </c>
      <c r="K7884" s="2" t="s">
        <v>19218</v>
      </c>
      <c r="L7884" s="82" t="s">
        <v>19512</v>
      </c>
    </row>
    <row r="7885" spans="1:12" ht="84" customHeight="1" x14ac:dyDescent="0.3">
      <c r="A7885" s="2">
        <v>7881</v>
      </c>
      <c r="B7885" s="66" t="s">
        <v>9487</v>
      </c>
      <c r="C7885" s="66" t="s">
        <v>9490</v>
      </c>
      <c r="D7885" s="11">
        <v>27691</v>
      </c>
      <c r="E7885" s="11">
        <v>27691</v>
      </c>
      <c r="F7885" s="3">
        <v>40870</v>
      </c>
      <c r="G7885" s="2" t="s">
        <v>14104</v>
      </c>
      <c r="H7885" s="3">
        <v>43053</v>
      </c>
      <c r="I7885" s="2" t="s">
        <v>19506</v>
      </c>
      <c r="J7885" s="2" t="s">
        <v>13904</v>
      </c>
      <c r="K7885" s="2" t="s">
        <v>19218</v>
      </c>
      <c r="L7885" s="82" t="s">
        <v>19512</v>
      </c>
    </row>
    <row r="7886" spans="1:12" ht="84" customHeight="1" x14ac:dyDescent="0.3">
      <c r="A7886" s="2">
        <v>7882</v>
      </c>
      <c r="B7886" s="66" t="s">
        <v>9491</v>
      </c>
      <c r="C7886" s="66" t="s">
        <v>9492</v>
      </c>
      <c r="D7886" s="11">
        <v>4000</v>
      </c>
      <c r="E7886" s="11">
        <v>4000</v>
      </c>
      <c r="F7886" s="3">
        <v>39442</v>
      </c>
      <c r="G7886" s="2" t="s">
        <v>14104</v>
      </c>
      <c r="H7886" s="3">
        <v>43053</v>
      </c>
      <c r="I7886" s="2" t="s">
        <v>19506</v>
      </c>
      <c r="J7886" s="2" t="s">
        <v>13904</v>
      </c>
      <c r="K7886" s="2" t="s">
        <v>19218</v>
      </c>
      <c r="L7886" s="82" t="s">
        <v>19512</v>
      </c>
    </row>
    <row r="7887" spans="1:12" ht="84" customHeight="1" x14ac:dyDescent="0.3">
      <c r="A7887" s="2">
        <v>7883</v>
      </c>
      <c r="B7887" s="66" t="s">
        <v>9493</v>
      </c>
      <c r="C7887" s="66" t="s">
        <v>9494</v>
      </c>
      <c r="D7887" s="11">
        <v>10640</v>
      </c>
      <c r="E7887" s="11">
        <v>10640</v>
      </c>
      <c r="F7887" s="3">
        <v>38029</v>
      </c>
      <c r="G7887" s="2" t="s">
        <v>14104</v>
      </c>
      <c r="H7887" s="3">
        <v>43053</v>
      </c>
      <c r="I7887" s="2" t="s">
        <v>19506</v>
      </c>
      <c r="J7887" s="2" t="s">
        <v>13904</v>
      </c>
      <c r="K7887" s="2" t="s">
        <v>19218</v>
      </c>
      <c r="L7887" s="82" t="s">
        <v>19512</v>
      </c>
    </row>
    <row r="7888" spans="1:12" ht="84" customHeight="1" x14ac:dyDescent="0.3">
      <c r="A7888" s="2">
        <v>7884</v>
      </c>
      <c r="B7888" s="66" t="s">
        <v>9495</v>
      </c>
      <c r="C7888" s="66" t="s">
        <v>9496</v>
      </c>
      <c r="D7888" s="11">
        <v>17754.990000000002</v>
      </c>
      <c r="E7888" s="11">
        <v>17754.990000000002</v>
      </c>
      <c r="F7888" s="3">
        <v>40864</v>
      </c>
      <c r="G7888" s="2" t="s">
        <v>14104</v>
      </c>
      <c r="H7888" s="3">
        <v>43053</v>
      </c>
      <c r="I7888" s="2" t="s">
        <v>19506</v>
      </c>
      <c r="J7888" s="2" t="s">
        <v>13904</v>
      </c>
      <c r="K7888" s="2" t="s">
        <v>19218</v>
      </c>
      <c r="L7888" s="82" t="s">
        <v>19512</v>
      </c>
    </row>
    <row r="7889" spans="1:12" ht="84" customHeight="1" x14ac:dyDescent="0.3">
      <c r="A7889" s="2">
        <v>7885</v>
      </c>
      <c r="B7889" s="66" t="s">
        <v>9497</v>
      </c>
      <c r="C7889" s="66" t="s">
        <v>9498</v>
      </c>
      <c r="D7889" s="11">
        <v>11052.23</v>
      </c>
      <c r="E7889" s="11">
        <v>11052.23</v>
      </c>
      <c r="F7889" s="3">
        <v>40864</v>
      </c>
      <c r="G7889" s="2" t="s">
        <v>14104</v>
      </c>
      <c r="H7889" s="3">
        <v>43053</v>
      </c>
      <c r="I7889" s="2" t="s">
        <v>19506</v>
      </c>
      <c r="J7889" s="2" t="s">
        <v>13904</v>
      </c>
      <c r="K7889" s="2" t="s">
        <v>19218</v>
      </c>
      <c r="L7889" s="82" t="s">
        <v>19512</v>
      </c>
    </row>
    <row r="7890" spans="1:12" ht="84" customHeight="1" x14ac:dyDescent="0.3">
      <c r="A7890" s="2">
        <v>7886</v>
      </c>
      <c r="B7890" s="66" t="s">
        <v>9497</v>
      </c>
      <c r="C7890" s="66" t="s">
        <v>9499</v>
      </c>
      <c r="D7890" s="11">
        <v>11052.23</v>
      </c>
      <c r="E7890" s="11">
        <v>11052.23</v>
      </c>
      <c r="F7890" s="3">
        <v>40864</v>
      </c>
      <c r="G7890" s="2" t="s">
        <v>14104</v>
      </c>
      <c r="H7890" s="3">
        <v>43053</v>
      </c>
      <c r="I7890" s="2" t="s">
        <v>19506</v>
      </c>
      <c r="J7890" s="2" t="s">
        <v>13904</v>
      </c>
      <c r="K7890" s="2" t="s">
        <v>19218</v>
      </c>
      <c r="L7890" s="82" t="s">
        <v>19512</v>
      </c>
    </row>
    <row r="7891" spans="1:12" ht="84" customHeight="1" x14ac:dyDescent="0.3">
      <c r="A7891" s="2">
        <v>7887</v>
      </c>
      <c r="B7891" s="66" t="s">
        <v>9497</v>
      </c>
      <c r="C7891" s="66" t="s">
        <v>9500</v>
      </c>
      <c r="D7891" s="11">
        <v>11052.23</v>
      </c>
      <c r="E7891" s="11">
        <v>11052.23</v>
      </c>
      <c r="F7891" s="3">
        <v>40864</v>
      </c>
      <c r="G7891" s="2" t="s">
        <v>14104</v>
      </c>
      <c r="H7891" s="3">
        <v>43053</v>
      </c>
      <c r="I7891" s="2" t="s">
        <v>19506</v>
      </c>
      <c r="J7891" s="2" t="s">
        <v>13904</v>
      </c>
      <c r="K7891" s="2" t="s">
        <v>19218</v>
      </c>
      <c r="L7891" s="82" t="s">
        <v>19512</v>
      </c>
    </row>
    <row r="7892" spans="1:12" ht="84" customHeight="1" x14ac:dyDescent="0.3">
      <c r="A7892" s="2">
        <v>7888</v>
      </c>
      <c r="B7892" s="66" t="s">
        <v>9497</v>
      </c>
      <c r="C7892" s="66" t="s">
        <v>9501</v>
      </c>
      <c r="D7892" s="11">
        <v>11052.23</v>
      </c>
      <c r="E7892" s="11">
        <v>11052.23</v>
      </c>
      <c r="F7892" s="3">
        <v>40864</v>
      </c>
      <c r="G7892" s="2" t="s">
        <v>14104</v>
      </c>
      <c r="H7892" s="3">
        <v>43053</v>
      </c>
      <c r="I7892" s="2" t="s">
        <v>19506</v>
      </c>
      <c r="J7892" s="2" t="s">
        <v>13904</v>
      </c>
      <c r="K7892" s="2" t="s">
        <v>19218</v>
      </c>
      <c r="L7892" s="82" t="s">
        <v>19512</v>
      </c>
    </row>
    <row r="7893" spans="1:12" ht="84" customHeight="1" x14ac:dyDescent="0.3">
      <c r="A7893" s="2">
        <v>7889</v>
      </c>
      <c r="B7893" s="66" t="s">
        <v>9497</v>
      </c>
      <c r="C7893" s="66" t="s">
        <v>9502</v>
      </c>
      <c r="D7893" s="11">
        <v>11052.25</v>
      </c>
      <c r="E7893" s="11">
        <v>11052.25</v>
      </c>
      <c r="F7893" s="3">
        <v>40864</v>
      </c>
      <c r="G7893" s="2" t="s">
        <v>14104</v>
      </c>
      <c r="H7893" s="3">
        <v>43053</v>
      </c>
      <c r="I7893" s="2" t="s">
        <v>19506</v>
      </c>
      <c r="J7893" s="2" t="s">
        <v>13904</v>
      </c>
      <c r="K7893" s="2" t="s">
        <v>19218</v>
      </c>
      <c r="L7893" s="82" t="s">
        <v>19512</v>
      </c>
    </row>
    <row r="7894" spans="1:12" ht="84" customHeight="1" x14ac:dyDescent="0.3">
      <c r="A7894" s="2">
        <v>7890</v>
      </c>
      <c r="B7894" s="66" t="s">
        <v>9503</v>
      </c>
      <c r="C7894" s="66" t="s">
        <v>9504</v>
      </c>
      <c r="D7894" s="11">
        <v>22994</v>
      </c>
      <c r="E7894" s="11">
        <v>22994</v>
      </c>
      <c r="F7894" s="3">
        <v>40870</v>
      </c>
      <c r="G7894" s="2" t="s">
        <v>14104</v>
      </c>
      <c r="H7894" s="3">
        <v>43053</v>
      </c>
      <c r="I7894" s="2" t="s">
        <v>19506</v>
      </c>
      <c r="J7894" s="2" t="s">
        <v>13904</v>
      </c>
      <c r="K7894" s="2" t="s">
        <v>19218</v>
      </c>
      <c r="L7894" s="82" t="s">
        <v>19512</v>
      </c>
    </row>
    <row r="7895" spans="1:12" ht="84" customHeight="1" x14ac:dyDescent="0.3">
      <c r="A7895" s="2">
        <v>7891</v>
      </c>
      <c r="B7895" s="66" t="s">
        <v>9503</v>
      </c>
      <c r="C7895" s="66" t="s">
        <v>9505</v>
      </c>
      <c r="D7895" s="11">
        <v>22994</v>
      </c>
      <c r="E7895" s="11">
        <v>22994</v>
      </c>
      <c r="F7895" s="3">
        <v>40870</v>
      </c>
      <c r="G7895" s="2" t="s">
        <v>14104</v>
      </c>
      <c r="H7895" s="3">
        <v>43053</v>
      </c>
      <c r="I7895" s="2" t="s">
        <v>19506</v>
      </c>
      <c r="J7895" s="2" t="s">
        <v>13904</v>
      </c>
      <c r="K7895" s="2" t="s">
        <v>19218</v>
      </c>
      <c r="L7895" s="82" t="s">
        <v>19512</v>
      </c>
    </row>
    <row r="7896" spans="1:12" ht="84" customHeight="1" x14ac:dyDescent="0.3">
      <c r="A7896" s="2">
        <v>7892</v>
      </c>
      <c r="B7896" s="66" t="s">
        <v>9503</v>
      </c>
      <c r="C7896" s="66" t="s">
        <v>9506</v>
      </c>
      <c r="D7896" s="11">
        <v>22994</v>
      </c>
      <c r="E7896" s="11">
        <v>22994</v>
      </c>
      <c r="F7896" s="3">
        <v>40870</v>
      </c>
      <c r="G7896" s="2" t="s">
        <v>14104</v>
      </c>
      <c r="H7896" s="3">
        <v>43053</v>
      </c>
      <c r="I7896" s="2" t="s">
        <v>19506</v>
      </c>
      <c r="J7896" s="2" t="s">
        <v>13904</v>
      </c>
      <c r="K7896" s="2" t="s">
        <v>19218</v>
      </c>
      <c r="L7896" s="82" t="s">
        <v>19512</v>
      </c>
    </row>
    <row r="7897" spans="1:12" ht="84" customHeight="1" x14ac:dyDescent="0.3">
      <c r="A7897" s="2">
        <v>7893</v>
      </c>
      <c r="B7897" s="66" t="s">
        <v>9503</v>
      </c>
      <c r="C7897" s="66" t="s">
        <v>9507</v>
      </c>
      <c r="D7897" s="11">
        <v>22994</v>
      </c>
      <c r="E7897" s="11">
        <v>22994</v>
      </c>
      <c r="F7897" s="3">
        <v>40870</v>
      </c>
      <c r="G7897" s="2" t="s">
        <v>14104</v>
      </c>
      <c r="H7897" s="3">
        <v>43053</v>
      </c>
      <c r="I7897" s="2" t="s">
        <v>19506</v>
      </c>
      <c r="J7897" s="2" t="s">
        <v>13904</v>
      </c>
      <c r="K7897" s="2" t="s">
        <v>19218</v>
      </c>
      <c r="L7897" s="82" t="s">
        <v>19512</v>
      </c>
    </row>
    <row r="7898" spans="1:12" ht="84" customHeight="1" x14ac:dyDescent="0.3">
      <c r="A7898" s="2">
        <v>7894</v>
      </c>
      <c r="B7898" s="66" t="s">
        <v>9508</v>
      </c>
      <c r="C7898" s="66" t="s">
        <v>9509</v>
      </c>
      <c r="D7898" s="11">
        <v>31027</v>
      </c>
      <c r="E7898" s="11">
        <v>31027</v>
      </c>
      <c r="F7898" s="3">
        <v>40870</v>
      </c>
      <c r="G7898" s="2" t="s">
        <v>14104</v>
      </c>
      <c r="H7898" s="3">
        <v>43053</v>
      </c>
      <c r="I7898" s="2" t="s">
        <v>19506</v>
      </c>
      <c r="J7898" s="2" t="s">
        <v>13904</v>
      </c>
      <c r="K7898" s="2" t="s">
        <v>19218</v>
      </c>
      <c r="L7898" s="82" t="s">
        <v>19512</v>
      </c>
    </row>
    <row r="7899" spans="1:12" ht="84" customHeight="1" x14ac:dyDescent="0.3">
      <c r="A7899" s="2">
        <v>7895</v>
      </c>
      <c r="B7899" s="66" t="s">
        <v>9460</v>
      </c>
      <c r="C7899" s="66" t="s">
        <v>4009</v>
      </c>
      <c r="D7899" s="11">
        <v>22348.54</v>
      </c>
      <c r="E7899" s="11">
        <v>22348.54</v>
      </c>
      <c r="F7899" s="3">
        <v>39752</v>
      </c>
      <c r="G7899" s="2" t="s">
        <v>14104</v>
      </c>
      <c r="H7899" s="3">
        <v>43053</v>
      </c>
      <c r="I7899" s="2" t="s">
        <v>19506</v>
      </c>
      <c r="J7899" s="2" t="s">
        <v>13904</v>
      </c>
      <c r="K7899" s="2" t="s">
        <v>19218</v>
      </c>
      <c r="L7899" s="82" t="s">
        <v>19512</v>
      </c>
    </row>
    <row r="7900" spans="1:12" ht="84" customHeight="1" x14ac:dyDescent="0.3">
      <c r="A7900" s="2">
        <v>7896</v>
      </c>
      <c r="B7900" s="66" t="s">
        <v>9437</v>
      </c>
      <c r="C7900" s="66" t="s">
        <v>4927</v>
      </c>
      <c r="D7900" s="11">
        <v>33389.46</v>
      </c>
      <c r="E7900" s="11">
        <v>33389.46</v>
      </c>
      <c r="F7900" s="3">
        <v>39042</v>
      </c>
      <c r="G7900" s="2" t="s">
        <v>14104</v>
      </c>
      <c r="H7900" s="3">
        <v>43053</v>
      </c>
      <c r="I7900" s="2" t="s">
        <v>19506</v>
      </c>
      <c r="J7900" s="2" t="s">
        <v>13904</v>
      </c>
      <c r="K7900" s="2" t="s">
        <v>19218</v>
      </c>
      <c r="L7900" s="82" t="s">
        <v>19512</v>
      </c>
    </row>
    <row r="7901" spans="1:12" ht="84" customHeight="1" x14ac:dyDescent="0.3">
      <c r="A7901" s="2">
        <v>7897</v>
      </c>
      <c r="B7901" s="66" t="s">
        <v>9510</v>
      </c>
      <c r="C7901" s="66" t="s">
        <v>4886</v>
      </c>
      <c r="D7901" s="11">
        <v>22348.54</v>
      </c>
      <c r="E7901" s="11">
        <v>22348.54</v>
      </c>
      <c r="F7901" s="3">
        <v>39752</v>
      </c>
      <c r="G7901" s="2" t="s">
        <v>14104</v>
      </c>
      <c r="H7901" s="3">
        <v>43053</v>
      </c>
      <c r="I7901" s="2" t="s">
        <v>19506</v>
      </c>
      <c r="J7901" s="2" t="s">
        <v>13904</v>
      </c>
      <c r="K7901" s="2" t="s">
        <v>19218</v>
      </c>
      <c r="L7901" s="82" t="s">
        <v>19512</v>
      </c>
    </row>
    <row r="7902" spans="1:12" ht="84" customHeight="1" x14ac:dyDescent="0.3">
      <c r="A7902" s="2">
        <v>7898</v>
      </c>
      <c r="B7902" s="66" t="s">
        <v>9511</v>
      </c>
      <c r="C7902" s="66" t="s">
        <v>9512</v>
      </c>
      <c r="D7902" s="11">
        <v>7287.44</v>
      </c>
      <c r="E7902" s="11">
        <v>7287.44</v>
      </c>
      <c r="F7902" s="3">
        <v>39339</v>
      </c>
      <c r="G7902" s="2" t="s">
        <v>14104</v>
      </c>
      <c r="H7902" s="3">
        <v>43053</v>
      </c>
      <c r="I7902" s="2" t="s">
        <v>19506</v>
      </c>
      <c r="J7902" s="2" t="s">
        <v>13904</v>
      </c>
      <c r="K7902" s="2" t="s">
        <v>19218</v>
      </c>
      <c r="L7902" s="82" t="s">
        <v>19512</v>
      </c>
    </row>
    <row r="7903" spans="1:12" ht="84" customHeight="1" x14ac:dyDescent="0.3">
      <c r="A7903" s="2">
        <v>7899</v>
      </c>
      <c r="B7903" s="66" t="s">
        <v>9513</v>
      </c>
      <c r="C7903" s="66" t="s">
        <v>3401</v>
      </c>
      <c r="D7903" s="11">
        <v>5000</v>
      </c>
      <c r="E7903" s="11">
        <v>5000</v>
      </c>
      <c r="F7903" s="3">
        <v>40148</v>
      </c>
      <c r="G7903" s="2" t="s">
        <v>14104</v>
      </c>
      <c r="H7903" s="3">
        <v>43053</v>
      </c>
      <c r="I7903" s="2" t="s">
        <v>19506</v>
      </c>
      <c r="J7903" s="2" t="s">
        <v>13904</v>
      </c>
      <c r="K7903" s="2" t="s">
        <v>19218</v>
      </c>
      <c r="L7903" s="82" t="s">
        <v>19512</v>
      </c>
    </row>
    <row r="7904" spans="1:12" ht="84" customHeight="1" x14ac:dyDescent="0.3">
      <c r="A7904" s="2">
        <v>7900</v>
      </c>
      <c r="B7904" s="66" t="s">
        <v>9514</v>
      </c>
      <c r="C7904" s="66" t="s">
        <v>9515</v>
      </c>
      <c r="D7904" s="11">
        <v>37440</v>
      </c>
      <c r="E7904" s="11">
        <v>37440</v>
      </c>
      <c r="F7904" s="3">
        <v>40870</v>
      </c>
      <c r="G7904" s="2" t="s">
        <v>14104</v>
      </c>
      <c r="H7904" s="3">
        <v>43053</v>
      </c>
      <c r="I7904" s="2" t="s">
        <v>19506</v>
      </c>
      <c r="J7904" s="2" t="s">
        <v>13904</v>
      </c>
      <c r="K7904" s="2" t="s">
        <v>19218</v>
      </c>
      <c r="L7904" s="82" t="s">
        <v>19512</v>
      </c>
    </row>
    <row r="7905" spans="1:12" ht="84" customHeight="1" x14ac:dyDescent="0.3">
      <c r="A7905" s="2">
        <v>7901</v>
      </c>
      <c r="B7905" s="66" t="s">
        <v>9516</v>
      </c>
      <c r="C7905" s="66" t="s">
        <v>9517</v>
      </c>
      <c r="D7905" s="11">
        <v>37883</v>
      </c>
      <c r="E7905" s="11">
        <v>37883</v>
      </c>
      <c r="F7905" s="3">
        <v>40870</v>
      </c>
      <c r="G7905" s="2" t="s">
        <v>14104</v>
      </c>
      <c r="H7905" s="3">
        <v>43053</v>
      </c>
      <c r="I7905" s="2" t="s">
        <v>19506</v>
      </c>
      <c r="J7905" s="2" t="s">
        <v>13904</v>
      </c>
      <c r="K7905" s="2" t="s">
        <v>19218</v>
      </c>
      <c r="L7905" s="82" t="s">
        <v>19512</v>
      </c>
    </row>
    <row r="7906" spans="1:12" ht="84" customHeight="1" x14ac:dyDescent="0.3">
      <c r="A7906" s="2">
        <v>7902</v>
      </c>
      <c r="B7906" s="66" t="s">
        <v>1062</v>
      </c>
      <c r="C7906" s="66" t="s">
        <v>19200</v>
      </c>
      <c r="D7906" s="11">
        <v>80000</v>
      </c>
      <c r="E7906" s="11">
        <v>4666.6899999999996</v>
      </c>
      <c r="F7906" s="3">
        <v>42719</v>
      </c>
      <c r="G7906" s="2" t="s">
        <v>14104</v>
      </c>
      <c r="H7906" s="2"/>
      <c r="I7906" s="2"/>
      <c r="J7906" s="2" t="s">
        <v>13904</v>
      </c>
      <c r="K7906" s="2" t="s">
        <v>19218</v>
      </c>
      <c r="L7906" s="82" t="s">
        <v>19201</v>
      </c>
    </row>
    <row r="7907" spans="1:12" ht="84" customHeight="1" x14ac:dyDescent="0.3">
      <c r="A7907" s="2">
        <v>7903</v>
      </c>
      <c r="B7907" s="66" t="s">
        <v>9518</v>
      </c>
      <c r="C7907" s="66" t="s">
        <v>9519</v>
      </c>
      <c r="D7907" s="11">
        <v>7276</v>
      </c>
      <c r="E7907" s="11">
        <v>7276</v>
      </c>
      <c r="F7907" s="3">
        <v>38395</v>
      </c>
      <c r="G7907" s="2" t="s">
        <v>14104</v>
      </c>
      <c r="H7907" s="3">
        <v>43053</v>
      </c>
      <c r="I7907" s="2" t="s">
        <v>19506</v>
      </c>
      <c r="J7907" s="2" t="s">
        <v>13904</v>
      </c>
      <c r="K7907" s="2" t="s">
        <v>19218</v>
      </c>
      <c r="L7907" s="82" t="s">
        <v>19512</v>
      </c>
    </row>
    <row r="7908" spans="1:12" ht="84" customHeight="1" x14ac:dyDescent="0.3">
      <c r="A7908" s="2">
        <v>7904</v>
      </c>
      <c r="B7908" s="66" t="s">
        <v>5572</v>
      </c>
      <c r="C7908" s="66" t="s">
        <v>9520</v>
      </c>
      <c r="D7908" s="11">
        <v>3745</v>
      </c>
      <c r="E7908" s="11">
        <v>3745</v>
      </c>
      <c r="F7908" s="3">
        <v>38395</v>
      </c>
      <c r="G7908" s="2" t="s">
        <v>14104</v>
      </c>
      <c r="H7908" s="3">
        <v>43053</v>
      </c>
      <c r="I7908" s="2" t="s">
        <v>19506</v>
      </c>
      <c r="J7908" s="2" t="s">
        <v>13904</v>
      </c>
      <c r="K7908" s="2" t="s">
        <v>19218</v>
      </c>
      <c r="L7908" s="82" t="s">
        <v>19512</v>
      </c>
    </row>
    <row r="7909" spans="1:12" ht="84" customHeight="1" x14ac:dyDescent="0.3">
      <c r="A7909" s="2">
        <v>7905</v>
      </c>
      <c r="B7909" s="66" t="s">
        <v>5572</v>
      </c>
      <c r="C7909" s="66" t="s">
        <v>9521</v>
      </c>
      <c r="D7909" s="11">
        <v>3745</v>
      </c>
      <c r="E7909" s="11">
        <v>3745</v>
      </c>
      <c r="F7909" s="3">
        <v>38395</v>
      </c>
      <c r="G7909" s="2" t="s">
        <v>14104</v>
      </c>
      <c r="H7909" s="3">
        <v>43053</v>
      </c>
      <c r="I7909" s="2" t="s">
        <v>19506</v>
      </c>
      <c r="J7909" s="2" t="s">
        <v>13904</v>
      </c>
      <c r="K7909" s="2" t="s">
        <v>19218</v>
      </c>
      <c r="L7909" s="82" t="s">
        <v>19512</v>
      </c>
    </row>
    <row r="7910" spans="1:12" ht="84" customHeight="1" x14ac:dyDescent="0.3">
      <c r="A7910" s="2">
        <v>7906</v>
      </c>
      <c r="B7910" s="66" t="s">
        <v>9522</v>
      </c>
      <c r="C7910" s="66" t="s">
        <v>9523</v>
      </c>
      <c r="D7910" s="11">
        <v>7000</v>
      </c>
      <c r="E7910" s="11">
        <v>7000</v>
      </c>
      <c r="F7910" s="3">
        <v>39442</v>
      </c>
      <c r="G7910" s="2" t="s">
        <v>14104</v>
      </c>
      <c r="H7910" s="3">
        <v>43053</v>
      </c>
      <c r="I7910" s="2" t="s">
        <v>19506</v>
      </c>
      <c r="J7910" s="2" t="s">
        <v>13904</v>
      </c>
      <c r="K7910" s="2" t="s">
        <v>19218</v>
      </c>
      <c r="L7910" s="82" t="s">
        <v>19512</v>
      </c>
    </row>
    <row r="7911" spans="1:12" ht="84" customHeight="1" x14ac:dyDescent="0.3">
      <c r="A7911" s="2">
        <v>7907</v>
      </c>
      <c r="B7911" s="66" t="s">
        <v>9524</v>
      </c>
      <c r="C7911" s="66" t="s">
        <v>3457</v>
      </c>
      <c r="D7911" s="11">
        <v>16309.8</v>
      </c>
      <c r="E7911" s="11">
        <v>16309.8</v>
      </c>
      <c r="F7911" s="3">
        <v>39058</v>
      </c>
      <c r="G7911" s="2" t="s">
        <v>14104</v>
      </c>
      <c r="H7911" s="3">
        <v>43053</v>
      </c>
      <c r="I7911" s="2" t="s">
        <v>19506</v>
      </c>
      <c r="J7911" s="2" t="s">
        <v>13904</v>
      </c>
      <c r="K7911" s="2" t="s">
        <v>19218</v>
      </c>
      <c r="L7911" s="82" t="s">
        <v>19512</v>
      </c>
    </row>
    <row r="7912" spans="1:12" ht="84" customHeight="1" x14ac:dyDescent="0.3">
      <c r="A7912" s="2">
        <v>7908</v>
      </c>
      <c r="B7912" s="66" t="s">
        <v>9525</v>
      </c>
      <c r="C7912" s="66" t="s">
        <v>9526</v>
      </c>
      <c r="D7912" s="11">
        <v>8677</v>
      </c>
      <c r="E7912" s="11">
        <v>8677</v>
      </c>
      <c r="F7912" s="3">
        <v>40870</v>
      </c>
      <c r="G7912" s="2" t="s">
        <v>14104</v>
      </c>
      <c r="H7912" s="3">
        <v>43053</v>
      </c>
      <c r="I7912" s="2" t="s">
        <v>19506</v>
      </c>
      <c r="J7912" s="2" t="s">
        <v>13904</v>
      </c>
      <c r="K7912" s="2" t="s">
        <v>19218</v>
      </c>
      <c r="L7912" s="82" t="s">
        <v>19512</v>
      </c>
    </row>
    <row r="7913" spans="1:12" ht="84" customHeight="1" x14ac:dyDescent="0.3">
      <c r="A7913" s="2">
        <v>7909</v>
      </c>
      <c r="B7913" s="66" t="s">
        <v>9527</v>
      </c>
      <c r="C7913" s="66" t="s">
        <v>4563</v>
      </c>
      <c r="D7913" s="11">
        <v>6452.5</v>
      </c>
      <c r="E7913" s="11">
        <v>6452.5</v>
      </c>
      <c r="F7913" s="3">
        <v>36932</v>
      </c>
      <c r="G7913" s="2" t="s">
        <v>14104</v>
      </c>
      <c r="H7913" s="3">
        <v>43053</v>
      </c>
      <c r="I7913" s="2" t="s">
        <v>19506</v>
      </c>
      <c r="J7913" s="2" t="s">
        <v>13904</v>
      </c>
      <c r="K7913" s="2" t="s">
        <v>19218</v>
      </c>
      <c r="L7913" s="82" t="s">
        <v>19512</v>
      </c>
    </row>
    <row r="7914" spans="1:12" ht="84" customHeight="1" x14ac:dyDescent="0.3">
      <c r="A7914" s="2">
        <v>7910</v>
      </c>
      <c r="B7914" s="66" t="s">
        <v>9528</v>
      </c>
      <c r="C7914" s="66" t="s">
        <v>9529</v>
      </c>
      <c r="D7914" s="11">
        <v>11016.6</v>
      </c>
      <c r="E7914" s="11">
        <v>11016.6</v>
      </c>
      <c r="F7914" s="3">
        <v>40787</v>
      </c>
      <c r="G7914" s="2" t="s">
        <v>14104</v>
      </c>
      <c r="H7914" s="3">
        <v>43053</v>
      </c>
      <c r="I7914" s="2" t="s">
        <v>19506</v>
      </c>
      <c r="J7914" s="2" t="s">
        <v>13904</v>
      </c>
      <c r="K7914" s="2" t="s">
        <v>19218</v>
      </c>
      <c r="L7914" s="82" t="s">
        <v>19512</v>
      </c>
    </row>
    <row r="7915" spans="1:12" ht="84" customHeight="1" x14ac:dyDescent="0.3">
      <c r="A7915" s="2">
        <v>7911</v>
      </c>
      <c r="B7915" s="66" t="s">
        <v>9530</v>
      </c>
      <c r="C7915" s="66" t="s">
        <v>9531</v>
      </c>
      <c r="D7915" s="11">
        <v>9702</v>
      </c>
      <c r="E7915" s="11">
        <v>9702</v>
      </c>
      <c r="F7915" s="3">
        <v>39387</v>
      </c>
      <c r="G7915" s="2" t="s">
        <v>14104</v>
      </c>
      <c r="H7915" s="3">
        <v>43053</v>
      </c>
      <c r="I7915" s="2" t="s">
        <v>19506</v>
      </c>
      <c r="J7915" s="2" t="s">
        <v>13904</v>
      </c>
      <c r="K7915" s="2" t="s">
        <v>19218</v>
      </c>
      <c r="L7915" s="82" t="s">
        <v>19512</v>
      </c>
    </row>
    <row r="7916" spans="1:12" ht="84" customHeight="1" x14ac:dyDescent="0.3">
      <c r="A7916" s="2">
        <v>7912</v>
      </c>
      <c r="B7916" s="66" t="s">
        <v>9532</v>
      </c>
      <c r="C7916" s="66" t="s">
        <v>9533</v>
      </c>
      <c r="D7916" s="11">
        <v>6521.33</v>
      </c>
      <c r="E7916" s="11">
        <v>6521.33</v>
      </c>
      <c r="F7916" s="3">
        <v>40870</v>
      </c>
      <c r="G7916" s="2" t="s">
        <v>14104</v>
      </c>
      <c r="H7916" s="3">
        <v>43053</v>
      </c>
      <c r="I7916" s="2" t="s">
        <v>19506</v>
      </c>
      <c r="J7916" s="2" t="s">
        <v>13904</v>
      </c>
      <c r="K7916" s="2" t="s">
        <v>19218</v>
      </c>
      <c r="L7916" s="82" t="s">
        <v>19512</v>
      </c>
    </row>
    <row r="7917" spans="1:12" ht="84" customHeight="1" x14ac:dyDescent="0.3">
      <c r="A7917" s="2">
        <v>7913</v>
      </c>
      <c r="B7917" s="66" t="s">
        <v>9534</v>
      </c>
      <c r="C7917" s="66" t="s">
        <v>9535</v>
      </c>
      <c r="D7917" s="11">
        <v>14791.76</v>
      </c>
      <c r="E7917" s="11">
        <v>14791.76</v>
      </c>
      <c r="F7917" s="3">
        <v>40864</v>
      </c>
      <c r="G7917" s="2" t="s">
        <v>14104</v>
      </c>
      <c r="H7917" s="3">
        <v>43053</v>
      </c>
      <c r="I7917" s="2" t="s">
        <v>19506</v>
      </c>
      <c r="J7917" s="2" t="s">
        <v>13904</v>
      </c>
      <c r="K7917" s="2" t="s">
        <v>19218</v>
      </c>
      <c r="L7917" s="82" t="s">
        <v>19512</v>
      </c>
    </row>
    <row r="7918" spans="1:12" ht="84" customHeight="1" x14ac:dyDescent="0.3">
      <c r="A7918" s="2">
        <v>7914</v>
      </c>
      <c r="B7918" s="66" t="s">
        <v>9536</v>
      </c>
      <c r="C7918" s="66" t="s">
        <v>9537</v>
      </c>
      <c r="D7918" s="11">
        <v>6980</v>
      </c>
      <c r="E7918" s="11">
        <v>6980</v>
      </c>
      <c r="F7918" s="3">
        <v>40015</v>
      </c>
      <c r="G7918" s="2" t="s">
        <v>14104</v>
      </c>
      <c r="H7918" s="3">
        <v>43053</v>
      </c>
      <c r="I7918" s="2" t="s">
        <v>19506</v>
      </c>
      <c r="J7918" s="2" t="s">
        <v>13904</v>
      </c>
      <c r="K7918" s="2" t="s">
        <v>19218</v>
      </c>
      <c r="L7918" s="82" t="s">
        <v>19512</v>
      </c>
    </row>
    <row r="7919" spans="1:12" ht="84" customHeight="1" x14ac:dyDescent="0.3">
      <c r="A7919" s="2">
        <v>7915</v>
      </c>
      <c r="B7919" s="66" t="s">
        <v>9538</v>
      </c>
      <c r="C7919" s="66" t="s">
        <v>9539</v>
      </c>
      <c r="D7919" s="11">
        <v>7650</v>
      </c>
      <c r="E7919" s="11">
        <v>7650</v>
      </c>
      <c r="F7919" s="3">
        <v>41145</v>
      </c>
      <c r="G7919" s="2" t="s">
        <v>14104</v>
      </c>
      <c r="H7919" s="3">
        <v>43053</v>
      </c>
      <c r="I7919" s="2" t="s">
        <v>19506</v>
      </c>
      <c r="J7919" s="2" t="s">
        <v>13904</v>
      </c>
      <c r="K7919" s="2" t="s">
        <v>19218</v>
      </c>
      <c r="L7919" s="82" t="s">
        <v>19512</v>
      </c>
    </row>
    <row r="7920" spans="1:12" ht="84" customHeight="1" x14ac:dyDescent="0.3">
      <c r="A7920" s="2">
        <v>7916</v>
      </c>
      <c r="B7920" s="66" t="s">
        <v>9540</v>
      </c>
      <c r="C7920" s="66" t="s">
        <v>9541</v>
      </c>
      <c r="D7920" s="11">
        <v>21400.01</v>
      </c>
      <c r="E7920" s="11">
        <v>21400.01</v>
      </c>
      <c r="F7920" s="3">
        <v>41145</v>
      </c>
      <c r="G7920" s="2" t="s">
        <v>14104</v>
      </c>
      <c r="H7920" s="3">
        <v>43053</v>
      </c>
      <c r="I7920" s="2" t="s">
        <v>19506</v>
      </c>
      <c r="J7920" s="2" t="s">
        <v>13904</v>
      </c>
      <c r="K7920" s="2" t="s">
        <v>19218</v>
      </c>
      <c r="L7920" s="82" t="s">
        <v>19512</v>
      </c>
    </row>
    <row r="7921" spans="1:12" ht="84" customHeight="1" x14ac:dyDescent="0.3">
      <c r="A7921" s="2">
        <v>7917</v>
      </c>
      <c r="B7921" s="66" t="s">
        <v>9542</v>
      </c>
      <c r="C7921" s="66" t="s">
        <v>9543</v>
      </c>
      <c r="D7921" s="11">
        <v>18100</v>
      </c>
      <c r="E7921" s="11">
        <v>18100</v>
      </c>
      <c r="F7921" s="3">
        <v>41558</v>
      </c>
      <c r="G7921" s="2" t="s">
        <v>14104</v>
      </c>
      <c r="H7921" s="3">
        <v>43053</v>
      </c>
      <c r="I7921" s="2" t="s">
        <v>19506</v>
      </c>
      <c r="J7921" s="2" t="s">
        <v>13904</v>
      </c>
      <c r="K7921" s="2" t="s">
        <v>19218</v>
      </c>
      <c r="L7921" s="82" t="s">
        <v>19512</v>
      </c>
    </row>
    <row r="7922" spans="1:12" ht="84" customHeight="1" x14ac:dyDescent="0.3">
      <c r="A7922" s="2">
        <v>7918</v>
      </c>
      <c r="B7922" s="66" t="s">
        <v>9544</v>
      </c>
      <c r="C7922" s="66" t="s">
        <v>9545</v>
      </c>
      <c r="D7922" s="11">
        <v>27600</v>
      </c>
      <c r="E7922" s="11">
        <v>27600</v>
      </c>
      <c r="F7922" s="3">
        <v>41558</v>
      </c>
      <c r="G7922" s="2" t="s">
        <v>14104</v>
      </c>
      <c r="H7922" s="3">
        <v>43053</v>
      </c>
      <c r="I7922" s="2" t="s">
        <v>19506</v>
      </c>
      <c r="J7922" s="2" t="s">
        <v>13904</v>
      </c>
      <c r="K7922" s="2" t="s">
        <v>19218</v>
      </c>
      <c r="L7922" s="82" t="s">
        <v>19512</v>
      </c>
    </row>
    <row r="7923" spans="1:12" ht="84" customHeight="1" x14ac:dyDescent="0.3">
      <c r="A7923" s="2">
        <v>7919</v>
      </c>
      <c r="B7923" s="66" t="s">
        <v>9399</v>
      </c>
      <c r="C7923" s="66" t="s">
        <v>9546</v>
      </c>
      <c r="D7923" s="11">
        <v>6666</v>
      </c>
      <c r="E7923" s="11">
        <v>6666</v>
      </c>
      <c r="F7923" s="3">
        <v>39436</v>
      </c>
      <c r="G7923" s="2" t="s">
        <v>14104</v>
      </c>
      <c r="H7923" s="3">
        <v>43053</v>
      </c>
      <c r="I7923" s="2" t="s">
        <v>19506</v>
      </c>
      <c r="J7923" s="2" t="s">
        <v>13904</v>
      </c>
      <c r="K7923" s="2" t="s">
        <v>19218</v>
      </c>
      <c r="L7923" s="82" t="s">
        <v>19512</v>
      </c>
    </row>
    <row r="7924" spans="1:12" ht="84" customHeight="1" x14ac:dyDescent="0.3">
      <c r="A7924" s="2">
        <v>7920</v>
      </c>
      <c r="B7924" s="66" t="s">
        <v>5242</v>
      </c>
      <c r="C7924" s="66" t="s">
        <v>9547</v>
      </c>
      <c r="D7924" s="11">
        <v>24720.9</v>
      </c>
      <c r="E7924" s="11">
        <v>24720.9</v>
      </c>
      <c r="F7924" s="3">
        <v>41624</v>
      </c>
      <c r="G7924" s="2" t="s">
        <v>14104</v>
      </c>
      <c r="H7924" s="3">
        <v>43053</v>
      </c>
      <c r="I7924" s="2" t="s">
        <v>19506</v>
      </c>
      <c r="J7924" s="2" t="s">
        <v>13904</v>
      </c>
      <c r="K7924" s="2" t="s">
        <v>19218</v>
      </c>
      <c r="L7924" s="82" t="s">
        <v>19512</v>
      </c>
    </row>
    <row r="7925" spans="1:12" ht="84" customHeight="1" x14ac:dyDescent="0.3">
      <c r="A7925" s="2">
        <v>7921</v>
      </c>
      <c r="B7925" s="66" t="s">
        <v>9548</v>
      </c>
      <c r="C7925" s="66" t="s">
        <v>9549</v>
      </c>
      <c r="D7925" s="11">
        <v>4589</v>
      </c>
      <c r="E7925" s="11">
        <v>4589</v>
      </c>
      <c r="F7925" s="3">
        <v>41624</v>
      </c>
      <c r="G7925" s="2" t="s">
        <v>14104</v>
      </c>
      <c r="H7925" s="3">
        <v>43053</v>
      </c>
      <c r="I7925" s="2" t="s">
        <v>19506</v>
      </c>
      <c r="J7925" s="2" t="s">
        <v>13904</v>
      </c>
      <c r="K7925" s="2" t="s">
        <v>19218</v>
      </c>
      <c r="L7925" s="82" t="s">
        <v>19512</v>
      </c>
    </row>
    <row r="7926" spans="1:12" ht="84" customHeight="1" x14ac:dyDescent="0.3">
      <c r="A7926" s="2">
        <v>7922</v>
      </c>
      <c r="B7926" s="66" t="s">
        <v>9548</v>
      </c>
      <c r="C7926" s="66" t="s">
        <v>9550</v>
      </c>
      <c r="D7926" s="11">
        <v>4589</v>
      </c>
      <c r="E7926" s="11">
        <v>4589</v>
      </c>
      <c r="F7926" s="3">
        <v>41624</v>
      </c>
      <c r="G7926" s="2" t="s">
        <v>14104</v>
      </c>
      <c r="H7926" s="3">
        <v>43053</v>
      </c>
      <c r="I7926" s="2" t="s">
        <v>19506</v>
      </c>
      <c r="J7926" s="2" t="s">
        <v>13904</v>
      </c>
      <c r="K7926" s="2" t="s">
        <v>19218</v>
      </c>
      <c r="L7926" s="82" t="s">
        <v>19512</v>
      </c>
    </row>
    <row r="7927" spans="1:12" ht="84" customHeight="1" x14ac:dyDescent="0.3">
      <c r="A7927" s="2">
        <v>7923</v>
      </c>
      <c r="B7927" s="66" t="s">
        <v>9548</v>
      </c>
      <c r="C7927" s="66" t="s">
        <v>9551</v>
      </c>
      <c r="D7927" s="11">
        <v>4589</v>
      </c>
      <c r="E7927" s="11">
        <v>4589</v>
      </c>
      <c r="F7927" s="3">
        <v>41624</v>
      </c>
      <c r="G7927" s="2" t="s">
        <v>14104</v>
      </c>
      <c r="H7927" s="3">
        <v>43053</v>
      </c>
      <c r="I7927" s="2" t="s">
        <v>19506</v>
      </c>
      <c r="J7927" s="2" t="s">
        <v>13904</v>
      </c>
      <c r="K7927" s="2" t="s">
        <v>19218</v>
      </c>
      <c r="L7927" s="82" t="s">
        <v>19512</v>
      </c>
    </row>
    <row r="7928" spans="1:12" ht="84" customHeight="1" x14ac:dyDescent="0.3">
      <c r="A7928" s="2">
        <v>7924</v>
      </c>
      <c r="B7928" s="66" t="s">
        <v>9548</v>
      </c>
      <c r="C7928" s="66" t="s">
        <v>9552</v>
      </c>
      <c r="D7928" s="11">
        <v>4589</v>
      </c>
      <c r="E7928" s="11">
        <v>4589</v>
      </c>
      <c r="F7928" s="3">
        <v>41624</v>
      </c>
      <c r="G7928" s="2" t="s">
        <v>14104</v>
      </c>
      <c r="H7928" s="3">
        <v>43053</v>
      </c>
      <c r="I7928" s="2" t="s">
        <v>19506</v>
      </c>
      <c r="J7928" s="2" t="s">
        <v>13904</v>
      </c>
      <c r="K7928" s="2" t="s">
        <v>19218</v>
      </c>
      <c r="L7928" s="82" t="s">
        <v>19512</v>
      </c>
    </row>
    <row r="7929" spans="1:12" ht="84" customHeight="1" x14ac:dyDescent="0.3">
      <c r="A7929" s="2">
        <v>7925</v>
      </c>
      <c r="B7929" s="66" t="s">
        <v>9548</v>
      </c>
      <c r="C7929" s="66" t="s">
        <v>9553</v>
      </c>
      <c r="D7929" s="11">
        <v>4589</v>
      </c>
      <c r="E7929" s="11">
        <v>4589</v>
      </c>
      <c r="F7929" s="3">
        <v>41624</v>
      </c>
      <c r="G7929" s="2" t="s">
        <v>14104</v>
      </c>
      <c r="H7929" s="3">
        <v>43053</v>
      </c>
      <c r="I7929" s="2" t="s">
        <v>19506</v>
      </c>
      <c r="J7929" s="2" t="s">
        <v>13904</v>
      </c>
      <c r="K7929" s="2" t="s">
        <v>19218</v>
      </c>
      <c r="L7929" s="82" t="s">
        <v>19512</v>
      </c>
    </row>
    <row r="7930" spans="1:12" ht="84" customHeight="1" x14ac:dyDescent="0.3">
      <c r="A7930" s="2">
        <v>7926</v>
      </c>
      <c r="B7930" s="66" t="s">
        <v>9548</v>
      </c>
      <c r="C7930" s="66" t="s">
        <v>9554</v>
      </c>
      <c r="D7930" s="11">
        <v>4589</v>
      </c>
      <c r="E7930" s="11">
        <v>4589</v>
      </c>
      <c r="F7930" s="3">
        <v>41624</v>
      </c>
      <c r="G7930" s="2" t="s">
        <v>14104</v>
      </c>
      <c r="H7930" s="3">
        <v>43053</v>
      </c>
      <c r="I7930" s="2" t="s">
        <v>19506</v>
      </c>
      <c r="J7930" s="2" t="s">
        <v>13904</v>
      </c>
      <c r="K7930" s="2" t="s">
        <v>19218</v>
      </c>
      <c r="L7930" s="82" t="s">
        <v>19512</v>
      </c>
    </row>
    <row r="7931" spans="1:12" ht="84" customHeight="1" x14ac:dyDescent="0.3">
      <c r="A7931" s="2">
        <v>7927</v>
      </c>
      <c r="B7931" s="66" t="s">
        <v>9548</v>
      </c>
      <c r="C7931" s="66" t="s">
        <v>9555</v>
      </c>
      <c r="D7931" s="11">
        <v>4589</v>
      </c>
      <c r="E7931" s="11">
        <v>4589</v>
      </c>
      <c r="F7931" s="3">
        <v>41624</v>
      </c>
      <c r="G7931" s="2" t="s">
        <v>14104</v>
      </c>
      <c r="H7931" s="3">
        <v>43053</v>
      </c>
      <c r="I7931" s="2" t="s">
        <v>19506</v>
      </c>
      <c r="J7931" s="2" t="s">
        <v>13904</v>
      </c>
      <c r="K7931" s="2" t="s">
        <v>19218</v>
      </c>
      <c r="L7931" s="82" t="s">
        <v>19512</v>
      </c>
    </row>
    <row r="7932" spans="1:12" ht="84" customHeight="1" x14ac:dyDescent="0.3">
      <c r="A7932" s="2">
        <v>7928</v>
      </c>
      <c r="B7932" s="66" t="s">
        <v>9548</v>
      </c>
      <c r="C7932" s="66" t="s">
        <v>9556</v>
      </c>
      <c r="D7932" s="11">
        <v>4589</v>
      </c>
      <c r="E7932" s="11">
        <v>4589</v>
      </c>
      <c r="F7932" s="3">
        <v>41624</v>
      </c>
      <c r="G7932" s="2" t="s">
        <v>14104</v>
      </c>
      <c r="H7932" s="3">
        <v>43053</v>
      </c>
      <c r="I7932" s="2" t="s">
        <v>19506</v>
      </c>
      <c r="J7932" s="2" t="s">
        <v>13904</v>
      </c>
      <c r="K7932" s="2" t="s">
        <v>19218</v>
      </c>
      <c r="L7932" s="82" t="s">
        <v>19512</v>
      </c>
    </row>
    <row r="7933" spans="1:12" ht="84" customHeight="1" x14ac:dyDescent="0.3">
      <c r="A7933" s="2">
        <v>7929</v>
      </c>
      <c r="B7933" s="66" t="s">
        <v>9548</v>
      </c>
      <c r="C7933" s="66" t="s">
        <v>9557</v>
      </c>
      <c r="D7933" s="11">
        <v>4589</v>
      </c>
      <c r="E7933" s="11">
        <v>4589</v>
      </c>
      <c r="F7933" s="3">
        <v>41624</v>
      </c>
      <c r="G7933" s="2" t="s">
        <v>14104</v>
      </c>
      <c r="H7933" s="3">
        <v>43053</v>
      </c>
      <c r="I7933" s="2" t="s">
        <v>19506</v>
      </c>
      <c r="J7933" s="2" t="s">
        <v>13904</v>
      </c>
      <c r="K7933" s="2" t="s">
        <v>19218</v>
      </c>
      <c r="L7933" s="82" t="s">
        <v>19512</v>
      </c>
    </row>
    <row r="7934" spans="1:12" ht="84" customHeight="1" x14ac:dyDescent="0.3">
      <c r="A7934" s="2">
        <v>7930</v>
      </c>
      <c r="B7934" s="66" t="s">
        <v>9548</v>
      </c>
      <c r="C7934" s="66" t="s">
        <v>9558</v>
      </c>
      <c r="D7934" s="11">
        <v>4589</v>
      </c>
      <c r="E7934" s="11">
        <v>4589</v>
      </c>
      <c r="F7934" s="3">
        <v>41624</v>
      </c>
      <c r="G7934" s="2" t="s">
        <v>14104</v>
      </c>
      <c r="H7934" s="3">
        <v>43053</v>
      </c>
      <c r="I7934" s="2" t="s">
        <v>19506</v>
      </c>
      <c r="J7934" s="2" t="s">
        <v>13904</v>
      </c>
      <c r="K7934" s="2" t="s">
        <v>19218</v>
      </c>
      <c r="L7934" s="82" t="s">
        <v>19512</v>
      </c>
    </row>
    <row r="7935" spans="1:12" ht="84" customHeight="1" x14ac:dyDescent="0.3">
      <c r="A7935" s="2">
        <v>7931</v>
      </c>
      <c r="B7935" s="66" t="s">
        <v>9548</v>
      </c>
      <c r="C7935" s="66" t="s">
        <v>9559</v>
      </c>
      <c r="D7935" s="11">
        <v>4589</v>
      </c>
      <c r="E7935" s="11">
        <v>4589</v>
      </c>
      <c r="F7935" s="3">
        <v>41624</v>
      </c>
      <c r="G7935" s="2" t="s">
        <v>14104</v>
      </c>
      <c r="H7935" s="3">
        <v>43053</v>
      </c>
      <c r="I7935" s="2" t="s">
        <v>19506</v>
      </c>
      <c r="J7935" s="2" t="s">
        <v>13904</v>
      </c>
      <c r="K7935" s="2" t="s">
        <v>19218</v>
      </c>
      <c r="L7935" s="82" t="s">
        <v>19512</v>
      </c>
    </row>
    <row r="7936" spans="1:12" ht="84" customHeight="1" x14ac:dyDescent="0.3">
      <c r="A7936" s="2">
        <v>7932</v>
      </c>
      <c r="B7936" s="66" t="s">
        <v>9548</v>
      </c>
      <c r="C7936" s="66" t="s">
        <v>9560</v>
      </c>
      <c r="D7936" s="11">
        <v>4589</v>
      </c>
      <c r="E7936" s="11">
        <v>4589</v>
      </c>
      <c r="F7936" s="3">
        <v>41624</v>
      </c>
      <c r="G7936" s="2" t="s">
        <v>14104</v>
      </c>
      <c r="H7936" s="3">
        <v>43053</v>
      </c>
      <c r="I7936" s="2" t="s">
        <v>19506</v>
      </c>
      <c r="J7936" s="2" t="s">
        <v>13904</v>
      </c>
      <c r="K7936" s="2" t="s">
        <v>19218</v>
      </c>
      <c r="L7936" s="82" t="s">
        <v>19512</v>
      </c>
    </row>
    <row r="7937" spans="1:12" ht="84" customHeight="1" x14ac:dyDescent="0.3">
      <c r="A7937" s="2">
        <v>7933</v>
      </c>
      <c r="B7937" s="66" t="s">
        <v>9548</v>
      </c>
      <c r="C7937" s="66" t="s">
        <v>9561</v>
      </c>
      <c r="D7937" s="11">
        <v>4589</v>
      </c>
      <c r="E7937" s="11">
        <v>4589</v>
      </c>
      <c r="F7937" s="3">
        <v>41624</v>
      </c>
      <c r="G7937" s="2" t="s">
        <v>14104</v>
      </c>
      <c r="H7937" s="3">
        <v>43053</v>
      </c>
      <c r="I7937" s="2" t="s">
        <v>19506</v>
      </c>
      <c r="J7937" s="2" t="s">
        <v>13904</v>
      </c>
      <c r="K7937" s="2" t="s">
        <v>19218</v>
      </c>
      <c r="L7937" s="82" t="s">
        <v>19512</v>
      </c>
    </row>
    <row r="7938" spans="1:12" ht="84" customHeight="1" x14ac:dyDescent="0.3">
      <c r="A7938" s="2">
        <v>7934</v>
      </c>
      <c r="B7938" s="66" t="s">
        <v>9548</v>
      </c>
      <c r="C7938" s="66" t="s">
        <v>9562</v>
      </c>
      <c r="D7938" s="11">
        <v>4589</v>
      </c>
      <c r="E7938" s="11">
        <v>4589</v>
      </c>
      <c r="F7938" s="3">
        <v>41624</v>
      </c>
      <c r="G7938" s="2" t="s">
        <v>14104</v>
      </c>
      <c r="H7938" s="3">
        <v>43053</v>
      </c>
      <c r="I7938" s="2" t="s">
        <v>19506</v>
      </c>
      <c r="J7938" s="2" t="s">
        <v>13904</v>
      </c>
      <c r="K7938" s="2" t="s">
        <v>19218</v>
      </c>
      <c r="L7938" s="82" t="s">
        <v>19512</v>
      </c>
    </row>
    <row r="7939" spans="1:12" ht="84" customHeight="1" x14ac:dyDescent="0.3">
      <c r="A7939" s="2">
        <v>7935</v>
      </c>
      <c r="B7939" s="66" t="s">
        <v>9548</v>
      </c>
      <c r="C7939" s="66" t="s">
        <v>9563</v>
      </c>
      <c r="D7939" s="11">
        <v>4589</v>
      </c>
      <c r="E7939" s="11">
        <v>4589</v>
      </c>
      <c r="F7939" s="3">
        <v>41624</v>
      </c>
      <c r="G7939" s="2" t="s">
        <v>14104</v>
      </c>
      <c r="H7939" s="3">
        <v>43053</v>
      </c>
      <c r="I7939" s="2" t="s">
        <v>19506</v>
      </c>
      <c r="J7939" s="2" t="s">
        <v>13904</v>
      </c>
      <c r="K7939" s="2" t="s">
        <v>19218</v>
      </c>
      <c r="L7939" s="82" t="s">
        <v>19512</v>
      </c>
    </row>
    <row r="7940" spans="1:12" ht="84" customHeight="1" x14ac:dyDescent="0.3">
      <c r="A7940" s="2">
        <v>7936</v>
      </c>
      <c r="B7940" s="66" t="s">
        <v>9548</v>
      </c>
      <c r="C7940" s="66" t="s">
        <v>9564</v>
      </c>
      <c r="D7940" s="11">
        <v>4589</v>
      </c>
      <c r="E7940" s="11">
        <v>4589</v>
      </c>
      <c r="F7940" s="3">
        <v>41624</v>
      </c>
      <c r="G7940" s="2" t="s">
        <v>14104</v>
      </c>
      <c r="H7940" s="3">
        <v>43053</v>
      </c>
      <c r="I7940" s="2" t="s">
        <v>19506</v>
      </c>
      <c r="J7940" s="2" t="s">
        <v>13904</v>
      </c>
      <c r="K7940" s="2" t="s">
        <v>19218</v>
      </c>
      <c r="L7940" s="82" t="s">
        <v>19512</v>
      </c>
    </row>
    <row r="7941" spans="1:12" ht="84" customHeight="1" x14ac:dyDescent="0.3">
      <c r="A7941" s="2">
        <v>7937</v>
      </c>
      <c r="B7941" s="66" t="s">
        <v>9548</v>
      </c>
      <c r="C7941" s="66" t="s">
        <v>9565</v>
      </c>
      <c r="D7941" s="11">
        <v>4589</v>
      </c>
      <c r="E7941" s="11">
        <v>4589</v>
      </c>
      <c r="F7941" s="3">
        <v>41624</v>
      </c>
      <c r="G7941" s="2" t="s">
        <v>14104</v>
      </c>
      <c r="H7941" s="3">
        <v>43053</v>
      </c>
      <c r="I7941" s="2" t="s">
        <v>19506</v>
      </c>
      <c r="J7941" s="2" t="s">
        <v>13904</v>
      </c>
      <c r="K7941" s="2" t="s">
        <v>19218</v>
      </c>
      <c r="L7941" s="82" t="s">
        <v>19512</v>
      </c>
    </row>
    <row r="7942" spans="1:12" ht="84" customHeight="1" x14ac:dyDescent="0.3">
      <c r="A7942" s="2">
        <v>7938</v>
      </c>
      <c r="B7942" s="66" t="s">
        <v>9548</v>
      </c>
      <c r="C7942" s="66" t="s">
        <v>9566</v>
      </c>
      <c r="D7942" s="11">
        <v>4589</v>
      </c>
      <c r="E7942" s="11">
        <v>4589</v>
      </c>
      <c r="F7942" s="3">
        <v>41624</v>
      </c>
      <c r="G7942" s="2" t="s">
        <v>14104</v>
      </c>
      <c r="H7942" s="3">
        <v>43053</v>
      </c>
      <c r="I7942" s="2" t="s">
        <v>19506</v>
      </c>
      <c r="J7942" s="2" t="s">
        <v>13904</v>
      </c>
      <c r="K7942" s="2" t="s">
        <v>19218</v>
      </c>
      <c r="L7942" s="82" t="s">
        <v>19512</v>
      </c>
    </row>
    <row r="7943" spans="1:12" ht="84" customHeight="1" x14ac:dyDescent="0.3">
      <c r="A7943" s="2">
        <v>7939</v>
      </c>
      <c r="B7943" s="66" t="s">
        <v>9548</v>
      </c>
      <c r="C7943" s="66" t="s">
        <v>9567</v>
      </c>
      <c r="D7943" s="11">
        <v>4589</v>
      </c>
      <c r="E7943" s="11">
        <v>4589</v>
      </c>
      <c r="F7943" s="3">
        <v>41624</v>
      </c>
      <c r="G7943" s="2" t="s">
        <v>14104</v>
      </c>
      <c r="H7943" s="3">
        <v>43053</v>
      </c>
      <c r="I7943" s="2" t="s">
        <v>19506</v>
      </c>
      <c r="J7943" s="2" t="s">
        <v>13904</v>
      </c>
      <c r="K7943" s="2" t="s">
        <v>19218</v>
      </c>
      <c r="L7943" s="82" t="s">
        <v>19512</v>
      </c>
    </row>
    <row r="7944" spans="1:12" ht="84" customHeight="1" x14ac:dyDescent="0.3">
      <c r="A7944" s="2">
        <v>7940</v>
      </c>
      <c r="B7944" s="66" t="s">
        <v>9548</v>
      </c>
      <c r="C7944" s="66" t="s">
        <v>9568</v>
      </c>
      <c r="D7944" s="11">
        <v>4589</v>
      </c>
      <c r="E7944" s="11">
        <v>4589</v>
      </c>
      <c r="F7944" s="3">
        <v>41624</v>
      </c>
      <c r="G7944" s="2" t="s">
        <v>14104</v>
      </c>
      <c r="H7944" s="3">
        <v>43053</v>
      </c>
      <c r="I7944" s="2" t="s">
        <v>19506</v>
      </c>
      <c r="J7944" s="2" t="s">
        <v>13904</v>
      </c>
      <c r="K7944" s="2" t="s">
        <v>19218</v>
      </c>
      <c r="L7944" s="82" t="s">
        <v>19512</v>
      </c>
    </row>
    <row r="7945" spans="1:12" ht="84" customHeight="1" x14ac:dyDescent="0.3">
      <c r="A7945" s="2">
        <v>7941</v>
      </c>
      <c r="B7945" s="66" t="s">
        <v>9548</v>
      </c>
      <c r="C7945" s="66" t="s">
        <v>9569</v>
      </c>
      <c r="D7945" s="11">
        <v>4589</v>
      </c>
      <c r="E7945" s="11">
        <v>4589</v>
      </c>
      <c r="F7945" s="3">
        <v>41624</v>
      </c>
      <c r="G7945" s="2" t="s">
        <v>14104</v>
      </c>
      <c r="H7945" s="3">
        <v>43053</v>
      </c>
      <c r="I7945" s="2" t="s">
        <v>19506</v>
      </c>
      <c r="J7945" s="2" t="s">
        <v>13904</v>
      </c>
      <c r="K7945" s="2" t="s">
        <v>19218</v>
      </c>
      <c r="L7945" s="82" t="s">
        <v>19512</v>
      </c>
    </row>
    <row r="7946" spans="1:12" ht="84" customHeight="1" x14ac:dyDescent="0.3">
      <c r="A7946" s="2">
        <v>7942</v>
      </c>
      <c r="B7946" s="66" t="s">
        <v>9548</v>
      </c>
      <c r="C7946" s="66" t="s">
        <v>9570</v>
      </c>
      <c r="D7946" s="11">
        <v>4589</v>
      </c>
      <c r="E7946" s="11">
        <v>4589</v>
      </c>
      <c r="F7946" s="3">
        <v>41624</v>
      </c>
      <c r="G7946" s="2" t="s">
        <v>14104</v>
      </c>
      <c r="H7946" s="3">
        <v>43053</v>
      </c>
      <c r="I7946" s="2" t="s">
        <v>19506</v>
      </c>
      <c r="J7946" s="2" t="s">
        <v>13904</v>
      </c>
      <c r="K7946" s="2" t="s">
        <v>19218</v>
      </c>
      <c r="L7946" s="82" t="s">
        <v>19512</v>
      </c>
    </row>
    <row r="7947" spans="1:12" ht="84" customHeight="1" x14ac:dyDescent="0.3">
      <c r="A7947" s="2">
        <v>7943</v>
      </c>
      <c r="B7947" s="66" t="s">
        <v>9548</v>
      </c>
      <c r="C7947" s="66" t="s">
        <v>9571</v>
      </c>
      <c r="D7947" s="11">
        <v>4589</v>
      </c>
      <c r="E7947" s="11">
        <v>4589</v>
      </c>
      <c r="F7947" s="3">
        <v>41624</v>
      </c>
      <c r="G7947" s="2" t="s">
        <v>14104</v>
      </c>
      <c r="H7947" s="3">
        <v>43053</v>
      </c>
      <c r="I7947" s="2" t="s">
        <v>19506</v>
      </c>
      <c r="J7947" s="2" t="s">
        <v>13904</v>
      </c>
      <c r="K7947" s="2" t="s">
        <v>19218</v>
      </c>
      <c r="L7947" s="82" t="s">
        <v>19512</v>
      </c>
    </row>
    <row r="7948" spans="1:12" ht="84" customHeight="1" x14ac:dyDescent="0.3">
      <c r="A7948" s="2">
        <v>7944</v>
      </c>
      <c r="B7948" s="66" t="s">
        <v>9548</v>
      </c>
      <c r="C7948" s="66" t="s">
        <v>9572</v>
      </c>
      <c r="D7948" s="11">
        <v>4589</v>
      </c>
      <c r="E7948" s="11">
        <v>4589</v>
      </c>
      <c r="F7948" s="3">
        <v>41624</v>
      </c>
      <c r="G7948" s="2" t="s">
        <v>14104</v>
      </c>
      <c r="H7948" s="3">
        <v>43053</v>
      </c>
      <c r="I7948" s="2" t="s">
        <v>19506</v>
      </c>
      <c r="J7948" s="2" t="s">
        <v>13904</v>
      </c>
      <c r="K7948" s="2" t="s">
        <v>19218</v>
      </c>
      <c r="L7948" s="82" t="s">
        <v>19512</v>
      </c>
    </row>
    <row r="7949" spans="1:12" ht="84" customHeight="1" x14ac:dyDescent="0.3">
      <c r="A7949" s="2">
        <v>7945</v>
      </c>
      <c r="B7949" s="66" t="s">
        <v>9548</v>
      </c>
      <c r="C7949" s="66" t="s">
        <v>9573</v>
      </c>
      <c r="D7949" s="11">
        <v>4589</v>
      </c>
      <c r="E7949" s="11">
        <v>4589</v>
      </c>
      <c r="F7949" s="3">
        <v>41624</v>
      </c>
      <c r="G7949" s="2" t="s">
        <v>14104</v>
      </c>
      <c r="H7949" s="3">
        <v>43053</v>
      </c>
      <c r="I7949" s="2" t="s">
        <v>19506</v>
      </c>
      <c r="J7949" s="2" t="s">
        <v>13904</v>
      </c>
      <c r="K7949" s="2" t="s">
        <v>19218</v>
      </c>
      <c r="L7949" s="82" t="s">
        <v>19512</v>
      </c>
    </row>
    <row r="7950" spans="1:12" ht="84" customHeight="1" x14ac:dyDescent="0.3">
      <c r="A7950" s="2">
        <v>7946</v>
      </c>
      <c r="B7950" s="66" t="s">
        <v>9574</v>
      </c>
      <c r="C7950" s="66" t="s">
        <v>9575</v>
      </c>
      <c r="D7950" s="11">
        <v>25198.95</v>
      </c>
      <c r="E7950" s="11">
        <v>25198.95</v>
      </c>
      <c r="F7950" s="3">
        <v>41624</v>
      </c>
      <c r="G7950" s="2" t="s">
        <v>14104</v>
      </c>
      <c r="H7950" s="3">
        <v>43053</v>
      </c>
      <c r="I7950" s="2" t="s">
        <v>19506</v>
      </c>
      <c r="J7950" s="2" t="s">
        <v>13904</v>
      </c>
      <c r="K7950" s="2" t="s">
        <v>19218</v>
      </c>
      <c r="L7950" s="82" t="s">
        <v>19512</v>
      </c>
    </row>
    <row r="7951" spans="1:12" ht="84" customHeight="1" x14ac:dyDescent="0.3">
      <c r="A7951" s="2">
        <v>7947</v>
      </c>
      <c r="B7951" s="66" t="s">
        <v>5262</v>
      </c>
      <c r="C7951" s="66" t="s">
        <v>9576</v>
      </c>
      <c r="D7951" s="11">
        <v>6489</v>
      </c>
      <c r="E7951" s="11">
        <v>6489</v>
      </c>
      <c r="F7951" s="3">
        <v>41624</v>
      </c>
      <c r="G7951" s="2" t="s">
        <v>14104</v>
      </c>
      <c r="H7951" s="3">
        <v>43053</v>
      </c>
      <c r="I7951" s="2" t="s">
        <v>19506</v>
      </c>
      <c r="J7951" s="2" t="s">
        <v>13904</v>
      </c>
      <c r="K7951" s="2" t="s">
        <v>19218</v>
      </c>
      <c r="L7951" s="82" t="s">
        <v>19512</v>
      </c>
    </row>
    <row r="7952" spans="1:12" ht="84" customHeight="1" x14ac:dyDescent="0.3">
      <c r="A7952" s="2">
        <v>7948</v>
      </c>
      <c r="B7952" s="66" t="s">
        <v>5250</v>
      </c>
      <c r="C7952" s="66" t="s">
        <v>9577</v>
      </c>
      <c r="D7952" s="11">
        <v>38101.79</v>
      </c>
      <c r="E7952" s="11">
        <v>38101.79</v>
      </c>
      <c r="F7952" s="3">
        <v>41624</v>
      </c>
      <c r="G7952" s="2" t="s">
        <v>14104</v>
      </c>
      <c r="H7952" s="3">
        <v>43053</v>
      </c>
      <c r="I7952" s="2" t="s">
        <v>19506</v>
      </c>
      <c r="J7952" s="2" t="s">
        <v>13904</v>
      </c>
      <c r="K7952" s="2" t="s">
        <v>19218</v>
      </c>
      <c r="L7952" s="82" t="s">
        <v>19512</v>
      </c>
    </row>
    <row r="7953" spans="1:12" ht="84" customHeight="1" x14ac:dyDescent="0.3">
      <c r="A7953" s="2">
        <v>7949</v>
      </c>
      <c r="B7953" s="66" t="s">
        <v>5254</v>
      </c>
      <c r="C7953" s="66" t="s">
        <v>9578</v>
      </c>
      <c r="D7953" s="11">
        <v>28719.45</v>
      </c>
      <c r="E7953" s="11">
        <v>28719.45</v>
      </c>
      <c r="F7953" s="3">
        <v>41624</v>
      </c>
      <c r="G7953" s="2" t="s">
        <v>14104</v>
      </c>
      <c r="H7953" s="3">
        <v>43053</v>
      </c>
      <c r="I7953" s="2" t="s">
        <v>19506</v>
      </c>
      <c r="J7953" s="2" t="s">
        <v>13904</v>
      </c>
      <c r="K7953" s="2" t="s">
        <v>19218</v>
      </c>
      <c r="L7953" s="82" t="s">
        <v>19512</v>
      </c>
    </row>
    <row r="7954" spans="1:12" ht="84" customHeight="1" x14ac:dyDescent="0.3">
      <c r="A7954" s="2">
        <v>7950</v>
      </c>
      <c r="B7954" s="66" t="s">
        <v>5256</v>
      </c>
      <c r="C7954" s="66" t="s">
        <v>9579</v>
      </c>
      <c r="D7954" s="11">
        <v>5665</v>
      </c>
      <c r="E7954" s="11">
        <v>5665</v>
      </c>
      <c r="F7954" s="3">
        <v>41624</v>
      </c>
      <c r="G7954" s="2" t="s">
        <v>14104</v>
      </c>
      <c r="H7954" s="3">
        <v>43053</v>
      </c>
      <c r="I7954" s="2" t="s">
        <v>19506</v>
      </c>
      <c r="J7954" s="2" t="s">
        <v>13904</v>
      </c>
      <c r="K7954" s="2" t="s">
        <v>19218</v>
      </c>
      <c r="L7954" s="82" t="s">
        <v>19512</v>
      </c>
    </row>
    <row r="7955" spans="1:12" ht="84" customHeight="1" x14ac:dyDescent="0.3">
      <c r="A7955" s="2">
        <v>7951</v>
      </c>
      <c r="B7955" s="66" t="s">
        <v>5258</v>
      </c>
      <c r="C7955" s="66" t="s">
        <v>9580</v>
      </c>
      <c r="D7955" s="11">
        <v>9167</v>
      </c>
      <c r="E7955" s="11">
        <v>9167</v>
      </c>
      <c r="F7955" s="3">
        <v>41624</v>
      </c>
      <c r="G7955" s="2" t="s">
        <v>14104</v>
      </c>
      <c r="H7955" s="3">
        <v>43053</v>
      </c>
      <c r="I7955" s="2" t="s">
        <v>19506</v>
      </c>
      <c r="J7955" s="2" t="s">
        <v>13904</v>
      </c>
      <c r="K7955" s="2" t="s">
        <v>19218</v>
      </c>
      <c r="L7955" s="82" t="s">
        <v>19512</v>
      </c>
    </row>
    <row r="7956" spans="1:12" ht="84" customHeight="1" x14ac:dyDescent="0.3">
      <c r="A7956" s="2">
        <v>7952</v>
      </c>
      <c r="B7956" s="66" t="s">
        <v>5260</v>
      </c>
      <c r="C7956" s="66" t="s">
        <v>9581</v>
      </c>
      <c r="D7956" s="11">
        <v>36153</v>
      </c>
      <c r="E7956" s="11">
        <v>36153</v>
      </c>
      <c r="F7956" s="3">
        <v>41624</v>
      </c>
      <c r="G7956" s="2" t="s">
        <v>14104</v>
      </c>
      <c r="H7956" s="3">
        <v>43053</v>
      </c>
      <c r="I7956" s="2" t="s">
        <v>19506</v>
      </c>
      <c r="J7956" s="2" t="s">
        <v>13904</v>
      </c>
      <c r="K7956" s="2" t="s">
        <v>19218</v>
      </c>
      <c r="L7956" s="82" t="s">
        <v>19512</v>
      </c>
    </row>
    <row r="7957" spans="1:12" ht="84" customHeight="1" x14ac:dyDescent="0.3">
      <c r="A7957" s="2">
        <v>7953</v>
      </c>
      <c r="B7957" s="66" t="s">
        <v>5262</v>
      </c>
      <c r="C7957" s="66" t="s">
        <v>9582</v>
      </c>
      <c r="D7957" s="11">
        <v>6489</v>
      </c>
      <c r="E7957" s="11">
        <v>6489</v>
      </c>
      <c r="F7957" s="3">
        <v>41624</v>
      </c>
      <c r="G7957" s="2" t="s">
        <v>14104</v>
      </c>
      <c r="H7957" s="3">
        <v>43053</v>
      </c>
      <c r="I7957" s="2" t="s">
        <v>19506</v>
      </c>
      <c r="J7957" s="2" t="s">
        <v>13904</v>
      </c>
      <c r="K7957" s="2" t="s">
        <v>19218</v>
      </c>
      <c r="L7957" s="82" t="s">
        <v>19512</v>
      </c>
    </row>
    <row r="7958" spans="1:12" ht="84" customHeight="1" x14ac:dyDescent="0.3">
      <c r="A7958" s="2">
        <v>7954</v>
      </c>
      <c r="B7958" s="66" t="s">
        <v>5264</v>
      </c>
      <c r="C7958" s="66" t="s">
        <v>9583</v>
      </c>
      <c r="D7958" s="11">
        <v>32987.230000000003</v>
      </c>
      <c r="E7958" s="11">
        <v>32987.230000000003</v>
      </c>
      <c r="F7958" s="3">
        <v>41624</v>
      </c>
      <c r="G7958" s="2" t="s">
        <v>14104</v>
      </c>
      <c r="H7958" s="3">
        <v>43053</v>
      </c>
      <c r="I7958" s="2" t="s">
        <v>19506</v>
      </c>
      <c r="J7958" s="2" t="s">
        <v>13904</v>
      </c>
      <c r="K7958" s="2" t="s">
        <v>19218</v>
      </c>
      <c r="L7958" s="82" t="s">
        <v>19512</v>
      </c>
    </row>
    <row r="7959" spans="1:12" ht="84" customHeight="1" x14ac:dyDescent="0.3">
      <c r="A7959" s="2">
        <v>7955</v>
      </c>
      <c r="B7959" s="66" t="s">
        <v>5264</v>
      </c>
      <c r="C7959" s="66" t="s">
        <v>9584</v>
      </c>
      <c r="D7959" s="11">
        <v>32987.230000000003</v>
      </c>
      <c r="E7959" s="11">
        <v>32987.230000000003</v>
      </c>
      <c r="F7959" s="3">
        <v>41624</v>
      </c>
      <c r="G7959" s="2" t="s">
        <v>14104</v>
      </c>
      <c r="H7959" s="3">
        <v>43053</v>
      </c>
      <c r="I7959" s="2" t="s">
        <v>19506</v>
      </c>
      <c r="J7959" s="2" t="s">
        <v>13904</v>
      </c>
      <c r="K7959" s="2" t="s">
        <v>19218</v>
      </c>
      <c r="L7959" s="82" t="s">
        <v>19512</v>
      </c>
    </row>
    <row r="7960" spans="1:12" ht="84" customHeight="1" x14ac:dyDescent="0.3">
      <c r="A7960" s="2">
        <v>7956</v>
      </c>
      <c r="B7960" s="66" t="s">
        <v>5264</v>
      </c>
      <c r="C7960" s="66" t="s">
        <v>9585</v>
      </c>
      <c r="D7960" s="11">
        <v>32987.230000000003</v>
      </c>
      <c r="E7960" s="11">
        <v>32987.230000000003</v>
      </c>
      <c r="F7960" s="3">
        <v>41624</v>
      </c>
      <c r="G7960" s="2" t="s">
        <v>14104</v>
      </c>
      <c r="H7960" s="3">
        <v>43053</v>
      </c>
      <c r="I7960" s="2" t="s">
        <v>19506</v>
      </c>
      <c r="J7960" s="2" t="s">
        <v>13904</v>
      </c>
      <c r="K7960" s="2" t="s">
        <v>19218</v>
      </c>
      <c r="L7960" s="82" t="s">
        <v>19512</v>
      </c>
    </row>
    <row r="7961" spans="1:12" ht="84" customHeight="1" x14ac:dyDescent="0.3">
      <c r="A7961" s="2">
        <v>7957</v>
      </c>
      <c r="B7961" s="66" t="s">
        <v>5264</v>
      </c>
      <c r="C7961" s="66" t="s">
        <v>9586</v>
      </c>
      <c r="D7961" s="11">
        <v>32987.230000000003</v>
      </c>
      <c r="E7961" s="11">
        <v>32987.230000000003</v>
      </c>
      <c r="F7961" s="3">
        <v>41624</v>
      </c>
      <c r="G7961" s="2" t="s">
        <v>14104</v>
      </c>
      <c r="H7961" s="3">
        <v>43053</v>
      </c>
      <c r="I7961" s="2" t="s">
        <v>19506</v>
      </c>
      <c r="J7961" s="2" t="s">
        <v>13904</v>
      </c>
      <c r="K7961" s="2" t="s">
        <v>19218</v>
      </c>
      <c r="L7961" s="82" t="s">
        <v>19512</v>
      </c>
    </row>
    <row r="7962" spans="1:12" ht="84" customHeight="1" x14ac:dyDescent="0.3">
      <c r="A7962" s="2">
        <v>7958</v>
      </c>
      <c r="B7962" s="66" t="s">
        <v>5264</v>
      </c>
      <c r="C7962" s="66" t="s">
        <v>9587</v>
      </c>
      <c r="D7962" s="11">
        <v>32987.230000000003</v>
      </c>
      <c r="E7962" s="11">
        <v>32987.230000000003</v>
      </c>
      <c r="F7962" s="3">
        <v>41624</v>
      </c>
      <c r="G7962" s="2" t="s">
        <v>14104</v>
      </c>
      <c r="H7962" s="3">
        <v>43053</v>
      </c>
      <c r="I7962" s="2" t="s">
        <v>19506</v>
      </c>
      <c r="J7962" s="2" t="s">
        <v>13904</v>
      </c>
      <c r="K7962" s="2" t="s">
        <v>19218</v>
      </c>
      <c r="L7962" s="82" t="s">
        <v>19512</v>
      </c>
    </row>
    <row r="7963" spans="1:12" ht="84" customHeight="1" x14ac:dyDescent="0.3">
      <c r="A7963" s="2">
        <v>7959</v>
      </c>
      <c r="B7963" s="66" t="s">
        <v>5264</v>
      </c>
      <c r="C7963" s="66" t="s">
        <v>9588</v>
      </c>
      <c r="D7963" s="11">
        <v>32987.230000000003</v>
      </c>
      <c r="E7963" s="11">
        <v>32987.230000000003</v>
      </c>
      <c r="F7963" s="3">
        <v>41624</v>
      </c>
      <c r="G7963" s="2" t="s">
        <v>14104</v>
      </c>
      <c r="H7963" s="3">
        <v>43053</v>
      </c>
      <c r="I7963" s="2" t="s">
        <v>19506</v>
      </c>
      <c r="J7963" s="2" t="s">
        <v>13904</v>
      </c>
      <c r="K7963" s="2" t="s">
        <v>19218</v>
      </c>
      <c r="L7963" s="82" t="s">
        <v>19512</v>
      </c>
    </row>
    <row r="7964" spans="1:12" ht="84" customHeight="1" x14ac:dyDescent="0.3">
      <c r="A7964" s="2">
        <v>7960</v>
      </c>
      <c r="B7964" s="66" t="s">
        <v>5264</v>
      </c>
      <c r="C7964" s="66" t="s">
        <v>9589</v>
      </c>
      <c r="D7964" s="11">
        <v>32987.230000000003</v>
      </c>
      <c r="E7964" s="11">
        <v>32987.230000000003</v>
      </c>
      <c r="F7964" s="3">
        <v>41624</v>
      </c>
      <c r="G7964" s="2" t="s">
        <v>14104</v>
      </c>
      <c r="H7964" s="3">
        <v>43053</v>
      </c>
      <c r="I7964" s="2" t="s">
        <v>19506</v>
      </c>
      <c r="J7964" s="2" t="s">
        <v>13904</v>
      </c>
      <c r="K7964" s="2" t="s">
        <v>19218</v>
      </c>
      <c r="L7964" s="82" t="s">
        <v>19512</v>
      </c>
    </row>
    <row r="7965" spans="1:12" ht="84" customHeight="1" x14ac:dyDescent="0.3">
      <c r="A7965" s="2">
        <v>7961</v>
      </c>
      <c r="B7965" s="66" t="s">
        <v>5264</v>
      </c>
      <c r="C7965" s="66" t="s">
        <v>9590</v>
      </c>
      <c r="D7965" s="11">
        <v>32987.230000000003</v>
      </c>
      <c r="E7965" s="11">
        <v>32987.230000000003</v>
      </c>
      <c r="F7965" s="3">
        <v>41624</v>
      </c>
      <c r="G7965" s="2" t="s">
        <v>14104</v>
      </c>
      <c r="H7965" s="3">
        <v>43053</v>
      </c>
      <c r="I7965" s="2" t="s">
        <v>19506</v>
      </c>
      <c r="J7965" s="2" t="s">
        <v>13904</v>
      </c>
      <c r="K7965" s="2" t="s">
        <v>19218</v>
      </c>
      <c r="L7965" s="82" t="s">
        <v>19512</v>
      </c>
    </row>
    <row r="7966" spans="1:12" ht="84" customHeight="1" x14ac:dyDescent="0.3">
      <c r="A7966" s="2">
        <v>7962</v>
      </c>
      <c r="B7966" s="66" t="s">
        <v>5264</v>
      </c>
      <c r="C7966" s="66" t="s">
        <v>9591</v>
      </c>
      <c r="D7966" s="11">
        <v>32987.230000000003</v>
      </c>
      <c r="E7966" s="11">
        <v>32987.230000000003</v>
      </c>
      <c r="F7966" s="3">
        <v>41624</v>
      </c>
      <c r="G7966" s="2" t="s">
        <v>14104</v>
      </c>
      <c r="H7966" s="3">
        <v>43053</v>
      </c>
      <c r="I7966" s="2" t="s">
        <v>19506</v>
      </c>
      <c r="J7966" s="2" t="s">
        <v>13904</v>
      </c>
      <c r="K7966" s="2" t="s">
        <v>19218</v>
      </c>
      <c r="L7966" s="82" t="s">
        <v>19512</v>
      </c>
    </row>
    <row r="7967" spans="1:12" ht="84" customHeight="1" x14ac:dyDescent="0.3">
      <c r="A7967" s="2">
        <v>7963</v>
      </c>
      <c r="B7967" s="66" t="s">
        <v>5264</v>
      </c>
      <c r="C7967" s="66" t="s">
        <v>9592</v>
      </c>
      <c r="D7967" s="11">
        <v>32987.230000000003</v>
      </c>
      <c r="E7967" s="11">
        <v>32987.230000000003</v>
      </c>
      <c r="F7967" s="3">
        <v>41624</v>
      </c>
      <c r="G7967" s="2" t="s">
        <v>14104</v>
      </c>
      <c r="H7967" s="3">
        <v>43053</v>
      </c>
      <c r="I7967" s="2" t="s">
        <v>19506</v>
      </c>
      <c r="J7967" s="2" t="s">
        <v>13904</v>
      </c>
      <c r="K7967" s="2" t="s">
        <v>19218</v>
      </c>
      <c r="L7967" s="82" t="s">
        <v>19512</v>
      </c>
    </row>
    <row r="7968" spans="1:12" ht="84" customHeight="1" x14ac:dyDescent="0.3">
      <c r="A7968" s="2">
        <v>7964</v>
      </c>
      <c r="B7968" s="66" t="s">
        <v>5264</v>
      </c>
      <c r="C7968" s="66" t="s">
        <v>9593</v>
      </c>
      <c r="D7968" s="11">
        <v>32987.230000000003</v>
      </c>
      <c r="E7968" s="11">
        <v>32987.230000000003</v>
      </c>
      <c r="F7968" s="3">
        <v>41624</v>
      </c>
      <c r="G7968" s="2" t="s">
        <v>14104</v>
      </c>
      <c r="H7968" s="3">
        <v>43053</v>
      </c>
      <c r="I7968" s="2" t="s">
        <v>19506</v>
      </c>
      <c r="J7968" s="2" t="s">
        <v>13904</v>
      </c>
      <c r="K7968" s="2" t="s">
        <v>19218</v>
      </c>
      <c r="L7968" s="82" t="s">
        <v>19512</v>
      </c>
    </row>
    <row r="7969" spans="1:12" ht="84" customHeight="1" x14ac:dyDescent="0.3">
      <c r="A7969" s="2">
        <v>7965</v>
      </c>
      <c r="B7969" s="66" t="s">
        <v>5264</v>
      </c>
      <c r="C7969" s="66" t="s">
        <v>9594</v>
      </c>
      <c r="D7969" s="11">
        <v>32987.230000000003</v>
      </c>
      <c r="E7969" s="11">
        <v>32987.230000000003</v>
      </c>
      <c r="F7969" s="3">
        <v>41624</v>
      </c>
      <c r="G7969" s="2" t="s">
        <v>14104</v>
      </c>
      <c r="H7969" s="3">
        <v>43053</v>
      </c>
      <c r="I7969" s="2" t="s">
        <v>19506</v>
      </c>
      <c r="J7969" s="2" t="s">
        <v>13904</v>
      </c>
      <c r="K7969" s="2" t="s">
        <v>19218</v>
      </c>
      <c r="L7969" s="82" t="s">
        <v>19512</v>
      </c>
    </row>
    <row r="7970" spans="1:12" ht="84" customHeight="1" x14ac:dyDescent="0.3">
      <c r="A7970" s="2">
        <v>7966</v>
      </c>
      <c r="B7970" s="66" t="s">
        <v>5264</v>
      </c>
      <c r="C7970" s="66" t="s">
        <v>9595</v>
      </c>
      <c r="D7970" s="11">
        <v>32987.230000000003</v>
      </c>
      <c r="E7970" s="11">
        <v>32987.230000000003</v>
      </c>
      <c r="F7970" s="3">
        <v>41624</v>
      </c>
      <c r="G7970" s="2" t="s">
        <v>14104</v>
      </c>
      <c r="H7970" s="3">
        <v>43053</v>
      </c>
      <c r="I7970" s="2" t="s">
        <v>19506</v>
      </c>
      <c r="J7970" s="2" t="s">
        <v>13904</v>
      </c>
      <c r="K7970" s="2" t="s">
        <v>19218</v>
      </c>
      <c r="L7970" s="82" t="s">
        <v>19512</v>
      </c>
    </row>
    <row r="7971" spans="1:12" ht="84" customHeight="1" x14ac:dyDescent="0.3">
      <c r="A7971" s="2">
        <v>7967</v>
      </c>
      <c r="B7971" s="66" t="s">
        <v>5264</v>
      </c>
      <c r="C7971" s="66" t="s">
        <v>9596</v>
      </c>
      <c r="D7971" s="11">
        <v>32987.230000000003</v>
      </c>
      <c r="E7971" s="11">
        <v>32987.230000000003</v>
      </c>
      <c r="F7971" s="3">
        <v>41624</v>
      </c>
      <c r="G7971" s="2" t="s">
        <v>14104</v>
      </c>
      <c r="H7971" s="3">
        <v>43053</v>
      </c>
      <c r="I7971" s="2" t="s">
        <v>19506</v>
      </c>
      <c r="J7971" s="2" t="s">
        <v>13904</v>
      </c>
      <c r="K7971" s="2" t="s">
        <v>19218</v>
      </c>
      <c r="L7971" s="82" t="s">
        <v>19512</v>
      </c>
    </row>
    <row r="7972" spans="1:12" ht="84" customHeight="1" x14ac:dyDescent="0.3">
      <c r="A7972" s="2">
        <v>7968</v>
      </c>
      <c r="B7972" s="66" t="s">
        <v>5264</v>
      </c>
      <c r="C7972" s="66" t="s">
        <v>9597</v>
      </c>
      <c r="D7972" s="11">
        <v>32987.230000000003</v>
      </c>
      <c r="E7972" s="11">
        <v>32987.230000000003</v>
      </c>
      <c r="F7972" s="3">
        <v>41624</v>
      </c>
      <c r="G7972" s="2" t="s">
        <v>14104</v>
      </c>
      <c r="H7972" s="3">
        <v>43053</v>
      </c>
      <c r="I7972" s="2" t="s">
        <v>19506</v>
      </c>
      <c r="J7972" s="2" t="s">
        <v>13904</v>
      </c>
      <c r="K7972" s="2" t="s">
        <v>19218</v>
      </c>
      <c r="L7972" s="82" t="s">
        <v>19512</v>
      </c>
    </row>
    <row r="7973" spans="1:12" ht="84" customHeight="1" x14ac:dyDescent="0.3">
      <c r="A7973" s="2">
        <v>7969</v>
      </c>
      <c r="B7973" s="66" t="s">
        <v>5264</v>
      </c>
      <c r="C7973" s="66" t="s">
        <v>9598</v>
      </c>
      <c r="D7973" s="11">
        <v>32987.230000000003</v>
      </c>
      <c r="E7973" s="11">
        <v>32987.230000000003</v>
      </c>
      <c r="F7973" s="3">
        <v>41624</v>
      </c>
      <c r="G7973" s="2" t="s">
        <v>14104</v>
      </c>
      <c r="H7973" s="3">
        <v>43053</v>
      </c>
      <c r="I7973" s="2" t="s">
        <v>19506</v>
      </c>
      <c r="J7973" s="2" t="s">
        <v>13904</v>
      </c>
      <c r="K7973" s="2" t="s">
        <v>19218</v>
      </c>
      <c r="L7973" s="82" t="s">
        <v>19512</v>
      </c>
    </row>
    <row r="7974" spans="1:12" ht="84" customHeight="1" x14ac:dyDescent="0.3">
      <c r="A7974" s="2">
        <v>7970</v>
      </c>
      <c r="B7974" s="66" t="s">
        <v>5264</v>
      </c>
      <c r="C7974" s="66" t="s">
        <v>9599</v>
      </c>
      <c r="D7974" s="11">
        <v>32987.230000000003</v>
      </c>
      <c r="E7974" s="11">
        <v>32987.230000000003</v>
      </c>
      <c r="F7974" s="3">
        <v>41624</v>
      </c>
      <c r="G7974" s="2" t="s">
        <v>14104</v>
      </c>
      <c r="H7974" s="3">
        <v>43053</v>
      </c>
      <c r="I7974" s="2" t="s">
        <v>19506</v>
      </c>
      <c r="J7974" s="2" t="s">
        <v>13904</v>
      </c>
      <c r="K7974" s="2" t="s">
        <v>19218</v>
      </c>
      <c r="L7974" s="82" t="s">
        <v>19512</v>
      </c>
    </row>
    <row r="7975" spans="1:12" ht="84" customHeight="1" x14ac:dyDescent="0.3">
      <c r="A7975" s="2">
        <v>7971</v>
      </c>
      <c r="B7975" s="66" t="s">
        <v>5264</v>
      </c>
      <c r="C7975" s="66" t="s">
        <v>9600</v>
      </c>
      <c r="D7975" s="11">
        <v>32987.230000000003</v>
      </c>
      <c r="E7975" s="11">
        <v>32987.230000000003</v>
      </c>
      <c r="F7975" s="3">
        <v>41624</v>
      </c>
      <c r="G7975" s="2" t="s">
        <v>14104</v>
      </c>
      <c r="H7975" s="3">
        <v>43053</v>
      </c>
      <c r="I7975" s="2" t="s">
        <v>19506</v>
      </c>
      <c r="J7975" s="2" t="s">
        <v>13904</v>
      </c>
      <c r="K7975" s="2" t="s">
        <v>19218</v>
      </c>
      <c r="L7975" s="82" t="s">
        <v>19512</v>
      </c>
    </row>
    <row r="7976" spans="1:12" ht="84" customHeight="1" x14ac:dyDescent="0.3">
      <c r="A7976" s="2">
        <v>7972</v>
      </c>
      <c r="B7976" s="66" t="s">
        <v>5264</v>
      </c>
      <c r="C7976" s="66" t="s">
        <v>9601</v>
      </c>
      <c r="D7976" s="11">
        <v>32987.230000000003</v>
      </c>
      <c r="E7976" s="11">
        <v>32987.230000000003</v>
      </c>
      <c r="F7976" s="3">
        <v>41624</v>
      </c>
      <c r="G7976" s="2" t="s">
        <v>14104</v>
      </c>
      <c r="H7976" s="3">
        <v>43053</v>
      </c>
      <c r="I7976" s="2" t="s">
        <v>19506</v>
      </c>
      <c r="J7976" s="2" t="s">
        <v>13904</v>
      </c>
      <c r="K7976" s="2" t="s">
        <v>19218</v>
      </c>
      <c r="L7976" s="82" t="s">
        <v>19512</v>
      </c>
    </row>
    <row r="7977" spans="1:12" ht="84" customHeight="1" x14ac:dyDescent="0.3">
      <c r="A7977" s="2">
        <v>7973</v>
      </c>
      <c r="B7977" s="66" t="s">
        <v>5264</v>
      </c>
      <c r="C7977" s="66" t="s">
        <v>9602</v>
      </c>
      <c r="D7977" s="11">
        <v>32987.230000000003</v>
      </c>
      <c r="E7977" s="11">
        <v>32987.230000000003</v>
      </c>
      <c r="F7977" s="3">
        <v>41624</v>
      </c>
      <c r="G7977" s="2" t="s">
        <v>14104</v>
      </c>
      <c r="H7977" s="3">
        <v>43053</v>
      </c>
      <c r="I7977" s="2" t="s">
        <v>19506</v>
      </c>
      <c r="J7977" s="2" t="s">
        <v>13904</v>
      </c>
      <c r="K7977" s="2" t="s">
        <v>19218</v>
      </c>
      <c r="L7977" s="82" t="s">
        <v>19512</v>
      </c>
    </row>
    <row r="7978" spans="1:12" ht="84" customHeight="1" x14ac:dyDescent="0.3">
      <c r="A7978" s="2">
        <v>7974</v>
      </c>
      <c r="B7978" s="66" t="s">
        <v>5264</v>
      </c>
      <c r="C7978" s="66" t="s">
        <v>9603</v>
      </c>
      <c r="D7978" s="11">
        <v>32987.230000000003</v>
      </c>
      <c r="E7978" s="11">
        <v>32987.230000000003</v>
      </c>
      <c r="F7978" s="3">
        <v>41624</v>
      </c>
      <c r="G7978" s="2" t="s">
        <v>14104</v>
      </c>
      <c r="H7978" s="3">
        <v>43053</v>
      </c>
      <c r="I7978" s="2" t="s">
        <v>19506</v>
      </c>
      <c r="J7978" s="2" t="s">
        <v>13904</v>
      </c>
      <c r="K7978" s="2" t="s">
        <v>19218</v>
      </c>
      <c r="L7978" s="82" t="s">
        <v>19512</v>
      </c>
    </row>
    <row r="7979" spans="1:12" ht="84" customHeight="1" x14ac:dyDescent="0.3">
      <c r="A7979" s="2">
        <v>7975</v>
      </c>
      <c r="B7979" s="66" t="s">
        <v>5264</v>
      </c>
      <c r="C7979" s="66" t="s">
        <v>9604</v>
      </c>
      <c r="D7979" s="11">
        <v>32987.230000000003</v>
      </c>
      <c r="E7979" s="11">
        <v>32987.230000000003</v>
      </c>
      <c r="F7979" s="3">
        <v>41624</v>
      </c>
      <c r="G7979" s="2" t="s">
        <v>14104</v>
      </c>
      <c r="H7979" s="3">
        <v>43053</v>
      </c>
      <c r="I7979" s="2" t="s">
        <v>19506</v>
      </c>
      <c r="J7979" s="2" t="s">
        <v>13904</v>
      </c>
      <c r="K7979" s="2" t="s">
        <v>19218</v>
      </c>
      <c r="L7979" s="82" t="s">
        <v>19512</v>
      </c>
    </row>
    <row r="7980" spans="1:12" ht="84" customHeight="1" x14ac:dyDescent="0.3">
      <c r="A7980" s="2">
        <v>7976</v>
      </c>
      <c r="B7980" s="66" t="s">
        <v>5264</v>
      </c>
      <c r="C7980" s="66" t="s">
        <v>9605</v>
      </c>
      <c r="D7980" s="11">
        <v>32987.230000000003</v>
      </c>
      <c r="E7980" s="11">
        <v>32987.230000000003</v>
      </c>
      <c r="F7980" s="3">
        <v>41624</v>
      </c>
      <c r="G7980" s="2" t="s">
        <v>14104</v>
      </c>
      <c r="H7980" s="3">
        <v>43053</v>
      </c>
      <c r="I7980" s="2" t="s">
        <v>19506</v>
      </c>
      <c r="J7980" s="2" t="s">
        <v>13904</v>
      </c>
      <c r="K7980" s="2" t="s">
        <v>19218</v>
      </c>
      <c r="L7980" s="82" t="s">
        <v>19512</v>
      </c>
    </row>
    <row r="7981" spans="1:12" ht="84" customHeight="1" x14ac:dyDescent="0.3">
      <c r="A7981" s="2">
        <v>7977</v>
      </c>
      <c r="B7981" s="66" t="s">
        <v>5264</v>
      </c>
      <c r="C7981" s="66" t="s">
        <v>9606</v>
      </c>
      <c r="D7981" s="11">
        <v>32987.230000000003</v>
      </c>
      <c r="E7981" s="11">
        <v>32987.230000000003</v>
      </c>
      <c r="F7981" s="3">
        <v>41624</v>
      </c>
      <c r="G7981" s="2" t="s">
        <v>14104</v>
      </c>
      <c r="H7981" s="3">
        <v>43053</v>
      </c>
      <c r="I7981" s="2" t="s">
        <v>19506</v>
      </c>
      <c r="J7981" s="2" t="s">
        <v>13904</v>
      </c>
      <c r="K7981" s="2" t="s">
        <v>19218</v>
      </c>
      <c r="L7981" s="82" t="s">
        <v>19512</v>
      </c>
    </row>
    <row r="7982" spans="1:12" ht="84" customHeight="1" x14ac:dyDescent="0.3">
      <c r="A7982" s="2">
        <v>7978</v>
      </c>
      <c r="B7982" s="66" t="s">
        <v>5264</v>
      </c>
      <c r="C7982" s="66" t="s">
        <v>9607</v>
      </c>
      <c r="D7982" s="11">
        <v>32987.230000000003</v>
      </c>
      <c r="E7982" s="11">
        <v>32987.230000000003</v>
      </c>
      <c r="F7982" s="3">
        <v>41624</v>
      </c>
      <c r="G7982" s="2" t="s">
        <v>14104</v>
      </c>
      <c r="H7982" s="3">
        <v>43053</v>
      </c>
      <c r="I7982" s="2" t="s">
        <v>19506</v>
      </c>
      <c r="J7982" s="2" t="s">
        <v>13904</v>
      </c>
      <c r="K7982" s="2" t="s">
        <v>19218</v>
      </c>
      <c r="L7982" s="82" t="s">
        <v>19512</v>
      </c>
    </row>
    <row r="7983" spans="1:12" ht="84" customHeight="1" x14ac:dyDescent="0.3">
      <c r="A7983" s="2">
        <v>7979</v>
      </c>
      <c r="B7983" s="66" t="s">
        <v>5291</v>
      </c>
      <c r="C7983" s="66" t="s">
        <v>9608</v>
      </c>
      <c r="D7983" s="11">
        <v>28119</v>
      </c>
      <c r="E7983" s="11">
        <v>28119</v>
      </c>
      <c r="F7983" s="3">
        <v>41624</v>
      </c>
      <c r="G7983" s="2" t="s">
        <v>14104</v>
      </c>
      <c r="H7983" s="3">
        <v>43053</v>
      </c>
      <c r="I7983" s="2" t="s">
        <v>19506</v>
      </c>
      <c r="J7983" s="2" t="s">
        <v>13904</v>
      </c>
      <c r="K7983" s="2" t="s">
        <v>19218</v>
      </c>
      <c r="L7983" s="82" t="s">
        <v>19512</v>
      </c>
    </row>
    <row r="7984" spans="1:12" ht="84" customHeight="1" x14ac:dyDescent="0.3">
      <c r="A7984" s="2">
        <v>7980</v>
      </c>
      <c r="B7984" s="66" t="s">
        <v>5258</v>
      </c>
      <c r="C7984" s="66" t="s">
        <v>9609</v>
      </c>
      <c r="D7984" s="11">
        <v>9167</v>
      </c>
      <c r="E7984" s="11">
        <v>9167</v>
      </c>
      <c r="F7984" s="3">
        <v>41624</v>
      </c>
      <c r="G7984" s="2" t="s">
        <v>14104</v>
      </c>
      <c r="H7984" s="3">
        <v>43053</v>
      </c>
      <c r="I7984" s="2" t="s">
        <v>19506</v>
      </c>
      <c r="J7984" s="2" t="s">
        <v>13904</v>
      </c>
      <c r="K7984" s="2" t="s">
        <v>19218</v>
      </c>
      <c r="L7984" s="82" t="s">
        <v>19512</v>
      </c>
    </row>
    <row r="7985" spans="1:12" ht="84" customHeight="1" x14ac:dyDescent="0.3">
      <c r="A7985" s="2">
        <v>7981</v>
      </c>
      <c r="B7985" s="66" t="s">
        <v>5258</v>
      </c>
      <c r="C7985" s="66" t="s">
        <v>9610</v>
      </c>
      <c r="D7985" s="11">
        <v>9167</v>
      </c>
      <c r="E7985" s="11">
        <v>9167</v>
      </c>
      <c r="F7985" s="3">
        <v>41624</v>
      </c>
      <c r="G7985" s="2" t="s">
        <v>14104</v>
      </c>
      <c r="H7985" s="3">
        <v>43053</v>
      </c>
      <c r="I7985" s="2" t="s">
        <v>19506</v>
      </c>
      <c r="J7985" s="2" t="s">
        <v>13904</v>
      </c>
      <c r="K7985" s="2" t="s">
        <v>19218</v>
      </c>
      <c r="L7985" s="82" t="s">
        <v>19512</v>
      </c>
    </row>
    <row r="7986" spans="1:12" ht="84" customHeight="1" x14ac:dyDescent="0.3">
      <c r="A7986" s="2">
        <v>7982</v>
      </c>
      <c r="B7986" s="66" t="s">
        <v>5296</v>
      </c>
      <c r="C7986" s="66" t="s">
        <v>9611</v>
      </c>
      <c r="D7986" s="11">
        <v>37367.15</v>
      </c>
      <c r="E7986" s="11">
        <v>37367.15</v>
      </c>
      <c r="F7986" s="3">
        <v>41624</v>
      </c>
      <c r="G7986" s="2" t="s">
        <v>14104</v>
      </c>
      <c r="H7986" s="3">
        <v>43053</v>
      </c>
      <c r="I7986" s="2" t="s">
        <v>19506</v>
      </c>
      <c r="J7986" s="2" t="s">
        <v>13904</v>
      </c>
      <c r="K7986" s="2" t="s">
        <v>19218</v>
      </c>
      <c r="L7986" s="82" t="s">
        <v>19512</v>
      </c>
    </row>
    <row r="7987" spans="1:12" ht="84" customHeight="1" x14ac:dyDescent="0.3">
      <c r="A7987" s="2">
        <v>7983</v>
      </c>
      <c r="B7987" s="66" t="s">
        <v>9612</v>
      </c>
      <c r="C7987" s="66" t="s">
        <v>9613</v>
      </c>
      <c r="D7987" s="11">
        <v>14457</v>
      </c>
      <c r="E7987" s="11">
        <v>14457</v>
      </c>
      <c r="F7987" s="3">
        <v>41624</v>
      </c>
      <c r="G7987" s="2" t="s">
        <v>14104</v>
      </c>
      <c r="H7987" s="3">
        <v>43053</v>
      </c>
      <c r="I7987" s="2" t="s">
        <v>19506</v>
      </c>
      <c r="J7987" s="2" t="s">
        <v>13904</v>
      </c>
      <c r="K7987" s="2" t="s">
        <v>19218</v>
      </c>
      <c r="L7987" s="82" t="s">
        <v>19512</v>
      </c>
    </row>
    <row r="7988" spans="1:12" ht="84" customHeight="1" x14ac:dyDescent="0.3">
      <c r="A7988" s="2">
        <v>7984</v>
      </c>
      <c r="B7988" s="66" t="s">
        <v>9612</v>
      </c>
      <c r="C7988" s="66" t="s">
        <v>9614</v>
      </c>
      <c r="D7988" s="11">
        <v>14457</v>
      </c>
      <c r="E7988" s="11">
        <v>14457</v>
      </c>
      <c r="F7988" s="3">
        <v>41624</v>
      </c>
      <c r="G7988" s="2" t="s">
        <v>14104</v>
      </c>
      <c r="H7988" s="3">
        <v>43053</v>
      </c>
      <c r="I7988" s="2" t="s">
        <v>19506</v>
      </c>
      <c r="J7988" s="2" t="s">
        <v>13904</v>
      </c>
      <c r="K7988" s="2" t="s">
        <v>19218</v>
      </c>
      <c r="L7988" s="82" t="s">
        <v>19512</v>
      </c>
    </row>
    <row r="7989" spans="1:12" ht="84" customHeight="1" x14ac:dyDescent="0.3">
      <c r="A7989" s="2">
        <v>7985</v>
      </c>
      <c r="B7989" s="66" t="s">
        <v>9612</v>
      </c>
      <c r="C7989" s="66" t="s">
        <v>9615</v>
      </c>
      <c r="D7989" s="11">
        <v>14457</v>
      </c>
      <c r="E7989" s="11">
        <v>14457</v>
      </c>
      <c r="F7989" s="3">
        <v>41624</v>
      </c>
      <c r="G7989" s="2" t="s">
        <v>14104</v>
      </c>
      <c r="H7989" s="3">
        <v>43053</v>
      </c>
      <c r="I7989" s="2" t="s">
        <v>19506</v>
      </c>
      <c r="J7989" s="2" t="s">
        <v>13904</v>
      </c>
      <c r="K7989" s="2" t="s">
        <v>19218</v>
      </c>
      <c r="L7989" s="82" t="s">
        <v>19512</v>
      </c>
    </row>
    <row r="7990" spans="1:12" ht="84" customHeight="1" x14ac:dyDescent="0.3">
      <c r="A7990" s="2">
        <v>7986</v>
      </c>
      <c r="B7990" s="66" t="s">
        <v>9612</v>
      </c>
      <c r="C7990" s="66" t="s">
        <v>9616</v>
      </c>
      <c r="D7990" s="11">
        <v>14457</v>
      </c>
      <c r="E7990" s="11">
        <v>14457</v>
      </c>
      <c r="F7990" s="3">
        <v>41624</v>
      </c>
      <c r="G7990" s="2" t="s">
        <v>14104</v>
      </c>
      <c r="H7990" s="3">
        <v>43053</v>
      </c>
      <c r="I7990" s="2" t="s">
        <v>19506</v>
      </c>
      <c r="J7990" s="2" t="s">
        <v>13904</v>
      </c>
      <c r="K7990" s="2" t="s">
        <v>19218</v>
      </c>
      <c r="L7990" s="82" t="s">
        <v>19512</v>
      </c>
    </row>
    <row r="7991" spans="1:12" ht="84" customHeight="1" x14ac:dyDescent="0.3">
      <c r="A7991" s="2">
        <v>7987</v>
      </c>
      <c r="B7991" s="66" t="s">
        <v>9612</v>
      </c>
      <c r="C7991" s="66" t="s">
        <v>9617</v>
      </c>
      <c r="D7991" s="11">
        <v>14457</v>
      </c>
      <c r="E7991" s="11">
        <v>14457</v>
      </c>
      <c r="F7991" s="3">
        <v>41624</v>
      </c>
      <c r="G7991" s="2" t="s">
        <v>14104</v>
      </c>
      <c r="H7991" s="3">
        <v>43053</v>
      </c>
      <c r="I7991" s="2" t="s">
        <v>19506</v>
      </c>
      <c r="J7991" s="2" t="s">
        <v>13904</v>
      </c>
      <c r="K7991" s="2" t="s">
        <v>19218</v>
      </c>
      <c r="L7991" s="82" t="s">
        <v>19512</v>
      </c>
    </row>
    <row r="7992" spans="1:12" ht="84" customHeight="1" x14ac:dyDescent="0.3">
      <c r="A7992" s="2">
        <v>7988</v>
      </c>
      <c r="B7992" s="66" t="s">
        <v>9612</v>
      </c>
      <c r="C7992" s="66" t="s">
        <v>9618</v>
      </c>
      <c r="D7992" s="11">
        <v>14457</v>
      </c>
      <c r="E7992" s="11">
        <v>14457</v>
      </c>
      <c r="F7992" s="3">
        <v>41624</v>
      </c>
      <c r="G7992" s="2" t="s">
        <v>14104</v>
      </c>
      <c r="H7992" s="3">
        <v>43053</v>
      </c>
      <c r="I7992" s="2" t="s">
        <v>19506</v>
      </c>
      <c r="J7992" s="2" t="s">
        <v>13904</v>
      </c>
      <c r="K7992" s="2" t="s">
        <v>19218</v>
      </c>
      <c r="L7992" s="82" t="s">
        <v>19512</v>
      </c>
    </row>
    <row r="7993" spans="1:12" ht="84" customHeight="1" x14ac:dyDescent="0.3">
      <c r="A7993" s="2">
        <v>7989</v>
      </c>
      <c r="B7993" s="66" t="s">
        <v>9612</v>
      </c>
      <c r="C7993" s="66" t="s">
        <v>9619</v>
      </c>
      <c r="D7993" s="11">
        <v>14457</v>
      </c>
      <c r="E7993" s="11">
        <v>14457</v>
      </c>
      <c r="F7993" s="3">
        <v>41624</v>
      </c>
      <c r="G7993" s="2" t="s">
        <v>14104</v>
      </c>
      <c r="H7993" s="3">
        <v>43053</v>
      </c>
      <c r="I7993" s="2" t="s">
        <v>19506</v>
      </c>
      <c r="J7993" s="2" t="s">
        <v>13904</v>
      </c>
      <c r="K7993" s="2" t="s">
        <v>19218</v>
      </c>
      <c r="L7993" s="82" t="s">
        <v>19512</v>
      </c>
    </row>
    <row r="7994" spans="1:12" ht="84" customHeight="1" x14ac:dyDescent="0.3">
      <c r="A7994" s="2">
        <v>7990</v>
      </c>
      <c r="B7994" s="66" t="s">
        <v>9612</v>
      </c>
      <c r="C7994" s="66" t="s">
        <v>9620</v>
      </c>
      <c r="D7994" s="11">
        <v>14457</v>
      </c>
      <c r="E7994" s="11">
        <v>14457</v>
      </c>
      <c r="F7994" s="3">
        <v>41624</v>
      </c>
      <c r="G7994" s="2" t="s">
        <v>14104</v>
      </c>
      <c r="H7994" s="3">
        <v>43053</v>
      </c>
      <c r="I7994" s="2" t="s">
        <v>19506</v>
      </c>
      <c r="J7994" s="2" t="s">
        <v>13904</v>
      </c>
      <c r="K7994" s="2" t="s">
        <v>19218</v>
      </c>
      <c r="L7994" s="82" t="s">
        <v>19512</v>
      </c>
    </row>
    <row r="7995" spans="1:12" ht="84" customHeight="1" x14ac:dyDescent="0.3">
      <c r="A7995" s="2">
        <v>7991</v>
      </c>
      <c r="B7995" s="66" t="s">
        <v>9612</v>
      </c>
      <c r="C7995" s="66" t="s">
        <v>9621</v>
      </c>
      <c r="D7995" s="11">
        <v>14457</v>
      </c>
      <c r="E7995" s="11">
        <v>14457</v>
      </c>
      <c r="F7995" s="3">
        <v>41624</v>
      </c>
      <c r="G7995" s="2" t="s">
        <v>14104</v>
      </c>
      <c r="H7995" s="3">
        <v>43053</v>
      </c>
      <c r="I7995" s="2" t="s">
        <v>19506</v>
      </c>
      <c r="J7995" s="2" t="s">
        <v>13904</v>
      </c>
      <c r="K7995" s="2" t="s">
        <v>19218</v>
      </c>
      <c r="L7995" s="82" t="s">
        <v>19512</v>
      </c>
    </row>
    <row r="7996" spans="1:12" ht="84" customHeight="1" x14ac:dyDescent="0.3">
      <c r="A7996" s="2">
        <v>7992</v>
      </c>
      <c r="B7996" s="66" t="s">
        <v>9612</v>
      </c>
      <c r="C7996" s="66" t="s">
        <v>9622</v>
      </c>
      <c r="D7996" s="11">
        <v>14457</v>
      </c>
      <c r="E7996" s="11">
        <v>14457</v>
      </c>
      <c r="F7996" s="3">
        <v>41624</v>
      </c>
      <c r="G7996" s="2" t="s">
        <v>14104</v>
      </c>
      <c r="H7996" s="3">
        <v>43053</v>
      </c>
      <c r="I7996" s="2" t="s">
        <v>19506</v>
      </c>
      <c r="J7996" s="2" t="s">
        <v>13904</v>
      </c>
      <c r="K7996" s="2" t="s">
        <v>19218</v>
      </c>
      <c r="L7996" s="82" t="s">
        <v>19512</v>
      </c>
    </row>
    <row r="7997" spans="1:12" ht="84" customHeight="1" x14ac:dyDescent="0.3">
      <c r="A7997" s="2">
        <v>7993</v>
      </c>
      <c r="B7997" s="66" t="s">
        <v>6593</v>
      </c>
      <c r="C7997" s="66" t="s">
        <v>6646</v>
      </c>
      <c r="D7997" s="11">
        <v>6000</v>
      </c>
      <c r="E7997" s="11">
        <v>6000</v>
      </c>
      <c r="F7997" s="3">
        <v>41929</v>
      </c>
      <c r="G7997" s="2" t="s">
        <v>14104</v>
      </c>
      <c r="H7997" s="3">
        <v>43053</v>
      </c>
      <c r="I7997" s="2" t="s">
        <v>19506</v>
      </c>
      <c r="J7997" s="2" t="s">
        <v>13904</v>
      </c>
      <c r="K7997" s="2" t="s">
        <v>19218</v>
      </c>
      <c r="L7997" s="82" t="s">
        <v>19512</v>
      </c>
    </row>
    <row r="7998" spans="1:12" ht="84" customHeight="1" x14ac:dyDescent="0.3">
      <c r="A7998" s="2">
        <v>7994</v>
      </c>
      <c r="B7998" s="66" t="s">
        <v>9623</v>
      </c>
      <c r="C7998" s="66" t="s">
        <v>9624</v>
      </c>
      <c r="D7998" s="11">
        <v>11880.24</v>
      </c>
      <c r="E7998" s="11">
        <v>11880.24</v>
      </c>
      <c r="F7998" s="3">
        <v>41244</v>
      </c>
      <c r="G7998" s="2" t="s">
        <v>14104</v>
      </c>
      <c r="H7998" s="3">
        <v>43053</v>
      </c>
      <c r="I7998" s="2" t="s">
        <v>19506</v>
      </c>
      <c r="J7998" s="2" t="s">
        <v>13904</v>
      </c>
      <c r="K7998" s="2" t="s">
        <v>19218</v>
      </c>
      <c r="L7998" s="82" t="s">
        <v>19512</v>
      </c>
    </row>
    <row r="7999" spans="1:12" ht="84" customHeight="1" x14ac:dyDescent="0.3">
      <c r="A7999" s="2">
        <v>7995</v>
      </c>
      <c r="B7999" s="66" t="s">
        <v>9623</v>
      </c>
      <c r="C7999" s="66" t="s">
        <v>9625</v>
      </c>
      <c r="D7999" s="11">
        <v>11880.24</v>
      </c>
      <c r="E7999" s="11">
        <v>11880.24</v>
      </c>
      <c r="F7999" s="3">
        <v>41244</v>
      </c>
      <c r="G7999" s="2" t="s">
        <v>14104</v>
      </c>
      <c r="H7999" s="3">
        <v>43053</v>
      </c>
      <c r="I7999" s="2" t="s">
        <v>19506</v>
      </c>
      <c r="J7999" s="2" t="s">
        <v>13904</v>
      </c>
      <c r="K7999" s="2" t="s">
        <v>19218</v>
      </c>
      <c r="L7999" s="82" t="s">
        <v>19512</v>
      </c>
    </row>
    <row r="8000" spans="1:12" ht="84" customHeight="1" x14ac:dyDescent="0.3">
      <c r="A8000" s="2">
        <v>7996</v>
      </c>
      <c r="B8000" s="66" t="s">
        <v>9623</v>
      </c>
      <c r="C8000" s="66" t="s">
        <v>9626</v>
      </c>
      <c r="D8000" s="11">
        <v>11880.24</v>
      </c>
      <c r="E8000" s="11">
        <v>11880.24</v>
      </c>
      <c r="F8000" s="3">
        <v>41244</v>
      </c>
      <c r="G8000" s="2" t="s">
        <v>14104</v>
      </c>
      <c r="H8000" s="3">
        <v>43053</v>
      </c>
      <c r="I8000" s="2" t="s">
        <v>19506</v>
      </c>
      <c r="J8000" s="2" t="s">
        <v>13904</v>
      </c>
      <c r="K8000" s="2" t="s">
        <v>19218</v>
      </c>
      <c r="L8000" s="82" t="s">
        <v>19512</v>
      </c>
    </row>
    <row r="8001" spans="1:12" ht="84" customHeight="1" x14ac:dyDescent="0.3">
      <c r="A8001" s="2">
        <v>7997</v>
      </c>
      <c r="B8001" s="66" t="s">
        <v>9623</v>
      </c>
      <c r="C8001" s="66" t="s">
        <v>9627</v>
      </c>
      <c r="D8001" s="11">
        <v>11880.24</v>
      </c>
      <c r="E8001" s="11">
        <v>11880.24</v>
      </c>
      <c r="F8001" s="3">
        <v>41244</v>
      </c>
      <c r="G8001" s="2" t="s">
        <v>14104</v>
      </c>
      <c r="H8001" s="3">
        <v>43053</v>
      </c>
      <c r="I8001" s="2" t="s">
        <v>19506</v>
      </c>
      <c r="J8001" s="2" t="s">
        <v>13904</v>
      </c>
      <c r="K8001" s="2" t="s">
        <v>19218</v>
      </c>
      <c r="L8001" s="82" t="s">
        <v>19512</v>
      </c>
    </row>
    <row r="8002" spans="1:12" ht="84" customHeight="1" x14ac:dyDescent="0.3">
      <c r="A8002" s="2">
        <v>7998</v>
      </c>
      <c r="B8002" s="66" t="s">
        <v>9623</v>
      </c>
      <c r="C8002" s="66" t="s">
        <v>9628</v>
      </c>
      <c r="D8002" s="11">
        <v>11880.24</v>
      </c>
      <c r="E8002" s="11">
        <v>11880.24</v>
      </c>
      <c r="F8002" s="3">
        <v>41244</v>
      </c>
      <c r="G8002" s="2" t="s">
        <v>14104</v>
      </c>
      <c r="H8002" s="3">
        <v>43053</v>
      </c>
      <c r="I8002" s="2" t="s">
        <v>19506</v>
      </c>
      <c r="J8002" s="2" t="s">
        <v>13904</v>
      </c>
      <c r="K8002" s="2" t="s">
        <v>19218</v>
      </c>
      <c r="L8002" s="82" t="s">
        <v>19512</v>
      </c>
    </row>
    <row r="8003" spans="1:12" ht="84" customHeight="1" x14ac:dyDescent="0.3">
      <c r="A8003" s="2">
        <v>7999</v>
      </c>
      <c r="B8003" s="66" t="s">
        <v>9623</v>
      </c>
      <c r="C8003" s="66" t="s">
        <v>9629</v>
      </c>
      <c r="D8003" s="11">
        <v>11880.24</v>
      </c>
      <c r="E8003" s="11">
        <v>11880.24</v>
      </c>
      <c r="F8003" s="3">
        <v>41244</v>
      </c>
      <c r="G8003" s="2" t="s">
        <v>14104</v>
      </c>
      <c r="H8003" s="3">
        <v>43053</v>
      </c>
      <c r="I8003" s="2" t="s">
        <v>19506</v>
      </c>
      <c r="J8003" s="2" t="s">
        <v>13904</v>
      </c>
      <c r="K8003" s="2" t="s">
        <v>19218</v>
      </c>
      <c r="L8003" s="82" t="s">
        <v>19512</v>
      </c>
    </row>
    <row r="8004" spans="1:12" ht="84" customHeight="1" x14ac:dyDescent="0.3">
      <c r="A8004" s="2">
        <v>8000</v>
      </c>
      <c r="B8004" s="66" t="s">
        <v>9623</v>
      </c>
      <c r="C8004" s="66" t="s">
        <v>9630</v>
      </c>
      <c r="D8004" s="11">
        <v>11880.24</v>
      </c>
      <c r="E8004" s="11">
        <v>11880.24</v>
      </c>
      <c r="F8004" s="3">
        <v>41244</v>
      </c>
      <c r="G8004" s="2" t="s">
        <v>14104</v>
      </c>
      <c r="H8004" s="3">
        <v>43053</v>
      </c>
      <c r="I8004" s="2" t="s">
        <v>19506</v>
      </c>
      <c r="J8004" s="2" t="s">
        <v>13904</v>
      </c>
      <c r="K8004" s="2" t="s">
        <v>19218</v>
      </c>
      <c r="L8004" s="82" t="s">
        <v>19512</v>
      </c>
    </row>
    <row r="8005" spans="1:12" ht="84" customHeight="1" x14ac:dyDescent="0.3">
      <c r="A8005" s="2">
        <v>8001</v>
      </c>
      <c r="B8005" s="66" t="s">
        <v>9631</v>
      </c>
      <c r="C8005" s="66" t="s">
        <v>9632</v>
      </c>
      <c r="D8005" s="11">
        <v>22000</v>
      </c>
      <c r="E8005" s="11">
        <v>22000</v>
      </c>
      <c r="F8005" s="3">
        <v>41226</v>
      </c>
      <c r="G8005" s="2" t="s">
        <v>14104</v>
      </c>
      <c r="H8005" s="3">
        <v>43053</v>
      </c>
      <c r="I8005" s="2" t="s">
        <v>19506</v>
      </c>
      <c r="J8005" s="2" t="s">
        <v>13904</v>
      </c>
      <c r="K8005" s="2" t="s">
        <v>19218</v>
      </c>
      <c r="L8005" s="82" t="s">
        <v>19512</v>
      </c>
    </row>
    <row r="8006" spans="1:12" ht="84" customHeight="1" x14ac:dyDescent="0.3">
      <c r="A8006" s="2">
        <v>8002</v>
      </c>
      <c r="B8006" s="66" t="s">
        <v>9631</v>
      </c>
      <c r="C8006" s="66" t="s">
        <v>9633</v>
      </c>
      <c r="D8006" s="11">
        <v>22000</v>
      </c>
      <c r="E8006" s="11">
        <v>22000</v>
      </c>
      <c r="F8006" s="3">
        <v>41226</v>
      </c>
      <c r="G8006" s="2" t="s">
        <v>14104</v>
      </c>
      <c r="H8006" s="3">
        <v>43053</v>
      </c>
      <c r="I8006" s="2" t="s">
        <v>19506</v>
      </c>
      <c r="J8006" s="2" t="s">
        <v>13904</v>
      </c>
      <c r="K8006" s="2" t="s">
        <v>19218</v>
      </c>
      <c r="L8006" s="82" t="s">
        <v>19512</v>
      </c>
    </row>
    <row r="8007" spans="1:12" ht="84" customHeight="1" x14ac:dyDescent="0.3">
      <c r="A8007" s="2">
        <v>8003</v>
      </c>
      <c r="B8007" s="66" t="s">
        <v>9634</v>
      </c>
      <c r="C8007" s="66" t="s">
        <v>9635</v>
      </c>
      <c r="D8007" s="11">
        <v>21700</v>
      </c>
      <c r="E8007" s="11">
        <v>21700</v>
      </c>
      <c r="F8007" s="3">
        <v>41226</v>
      </c>
      <c r="G8007" s="2" t="s">
        <v>14104</v>
      </c>
      <c r="H8007" s="3">
        <v>43053</v>
      </c>
      <c r="I8007" s="2" t="s">
        <v>19506</v>
      </c>
      <c r="J8007" s="2" t="s">
        <v>13904</v>
      </c>
      <c r="K8007" s="2" t="s">
        <v>19218</v>
      </c>
      <c r="L8007" s="82" t="s">
        <v>19512</v>
      </c>
    </row>
    <row r="8008" spans="1:12" ht="84" customHeight="1" x14ac:dyDescent="0.3">
      <c r="A8008" s="2">
        <v>8004</v>
      </c>
      <c r="B8008" s="66" t="s">
        <v>9634</v>
      </c>
      <c r="C8008" s="66" t="s">
        <v>9636</v>
      </c>
      <c r="D8008" s="11">
        <v>21700</v>
      </c>
      <c r="E8008" s="11">
        <v>21700</v>
      </c>
      <c r="F8008" s="3">
        <v>41226</v>
      </c>
      <c r="G8008" s="2" t="s">
        <v>14104</v>
      </c>
      <c r="H8008" s="3">
        <v>43053</v>
      </c>
      <c r="I8008" s="2" t="s">
        <v>19506</v>
      </c>
      <c r="J8008" s="2" t="s">
        <v>13904</v>
      </c>
      <c r="K8008" s="2" t="s">
        <v>19218</v>
      </c>
      <c r="L8008" s="82" t="s">
        <v>19512</v>
      </c>
    </row>
    <row r="8009" spans="1:12" ht="84" customHeight="1" x14ac:dyDescent="0.3">
      <c r="A8009" s="2">
        <v>8005</v>
      </c>
      <c r="B8009" s="66" t="s">
        <v>9634</v>
      </c>
      <c r="C8009" s="66" t="s">
        <v>9637</v>
      </c>
      <c r="D8009" s="11">
        <v>21700</v>
      </c>
      <c r="E8009" s="11">
        <v>21700</v>
      </c>
      <c r="F8009" s="3">
        <v>41226</v>
      </c>
      <c r="G8009" s="2" t="s">
        <v>14104</v>
      </c>
      <c r="H8009" s="3">
        <v>43053</v>
      </c>
      <c r="I8009" s="2" t="s">
        <v>19506</v>
      </c>
      <c r="J8009" s="2" t="s">
        <v>13904</v>
      </c>
      <c r="K8009" s="2" t="s">
        <v>19218</v>
      </c>
      <c r="L8009" s="82" t="s">
        <v>19512</v>
      </c>
    </row>
    <row r="8010" spans="1:12" ht="84" customHeight="1" x14ac:dyDescent="0.3">
      <c r="A8010" s="2">
        <v>8006</v>
      </c>
      <c r="B8010" s="66" t="s">
        <v>9634</v>
      </c>
      <c r="C8010" s="66" t="s">
        <v>9638</v>
      </c>
      <c r="D8010" s="11">
        <v>21700</v>
      </c>
      <c r="E8010" s="11">
        <v>21700</v>
      </c>
      <c r="F8010" s="3">
        <v>41226</v>
      </c>
      <c r="G8010" s="2" t="s">
        <v>14104</v>
      </c>
      <c r="H8010" s="3">
        <v>43053</v>
      </c>
      <c r="I8010" s="2" t="s">
        <v>19506</v>
      </c>
      <c r="J8010" s="2" t="s">
        <v>13904</v>
      </c>
      <c r="K8010" s="2" t="s">
        <v>19218</v>
      </c>
      <c r="L8010" s="82" t="s">
        <v>19512</v>
      </c>
    </row>
    <row r="8011" spans="1:12" ht="84" customHeight="1" x14ac:dyDescent="0.3">
      <c r="A8011" s="2">
        <v>8007</v>
      </c>
      <c r="B8011" s="66" t="s">
        <v>9634</v>
      </c>
      <c r="C8011" s="66" t="s">
        <v>9639</v>
      </c>
      <c r="D8011" s="11">
        <v>21700</v>
      </c>
      <c r="E8011" s="11">
        <v>21700</v>
      </c>
      <c r="F8011" s="3">
        <v>41226</v>
      </c>
      <c r="G8011" s="2" t="s">
        <v>14104</v>
      </c>
      <c r="H8011" s="3">
        <v>43053</v>
      </c>
      <c r="I8011" s="2" t="s">
        <v>19506</v>
      </c>
      <c r="J8011" s="2" t="s">
        <v>13904</v>
      </c>
      <c r="K8011" s="2" t="s">
        <v>19218</v>
      </c>
      <c r="L8011" s="82" t="s">
        <v>19512</v>
      </c>
    </row>
    <row r="8012" spans="1:12" ht="84" customHeight="1" x14ac:dyDescent="0.3">
      <c r="A8012" s="2">
        <v>8008</v>
      </c>
      <c r="B8012" s="66" t="s">
        <v>9634</v>
      </c>
      <c r="C8012" s="66" t="s">
        <v>9640</v>
      </c>
      <c r="D8012" s="11">
        <v>21700</v>
      </c>
      <c r="E8012" s="11">
        <v>21700</v>
      </c>
      <c r="F8012" s="3">
        <v>41226</v>
      </c>
      <c r="G8012" s="2" t="s">
        <v>14104</v>
      </c>
      <c r="H8012" s="3">
        <v>43053</v>
      </c>
      <c r="I8012" s="2" t="s">
        <v>19506</v>
      </c>
      <c r="J8012" s="2" t="s">
        <v>13904</v>
      </c>
      <c r="K8012" s="2" t="s">
        <v>19218</v>
      </c>
      <c r="L8012" s="82" t="s">
        <v>19512</v>
      </c>
    </row>
    <row r="8013" spans="1:12" ht="84" customHeight="1" x14ac:dyDescent="0.3">
      <c r="A8013" s="2">
        <v>8009</v>
      </c>
      <c r="B8013" s="66" t="s">
        <v>9634</v>
      </c>
      <c r="C8013" s="66" t="s">
        <v>9641</v>
      </c>
      <c r="D8013" s="11">
        <v>21700</v>
      </c>
      <c r="E8013" s="11">
        <v>21700</v>
      </c>
      <c r="F8013" s="3">
        <v>41226</v>
      </c>
      <c r="G8013" s="2" t="s">
        <v>14104</v>
      </c>
      <c r="H8013" s="3">
        <v>43053</v>
      </c>
      <c r="I8013" s="2" t="s">
        <v>19506</v>
      </c>
      <c r="J8013" s="2" t="s">
        <v>13904</v>
      </c>
      <c r="K8013" s="2" t="s">
        <v>19218</v>
      </c>
      <c r="L8013" s="82" t="s">
        <v>19512</v>
      </c>
    </row>
    <row r="8014" spans="1:12" ht="84" customHeight="1" x14ac:dyDescent="0.3">
      <c r="A8014" s="2">
        <v>8010</v>
      </c>
      <c r="B8014" s="66" t="s">
        <v>9634</v>
      </c>
      <c r="C8014" s="66" t="s">
        <v>9642</v>
      </c>
      <c r="D8014" s="11">
        <v>21700</v>
      </c>
      <c r="E8014" s="11">
        <v>21700</v>
      </c>
      <c r="F8014" s="3">
        <v>41226</v>
      </c>
      <c r="G8014" s="2" t="s">
        <v>14104</v>
      </c>
      <c r="H8014" s="3">
        <v>43053</v>
      </c>
      <c r="I8014" s="2" t="s">
        <v>19506</v>
      </c>
      <c r="J8014" s="2" t="s">
        <v>13904</v>
      </c>
      <c r="K8014" s="2" t="s">
        <v>19218</v>
      </c>
      <c r="L8014" s="82" t="s">
        <v>19512</v>
      </c>
    </row>
    <row r="8015" spans="1:12" ht="84" customHeight="1" x14ac:dyDescent="0.3">
      <c r="A8015" s="2">
        <v>8011</v>
      </c>
      <c r="B8015" s="66" t="s">
        <v>9643</v>
      </c>
      <c r="C8015" s="66" t="s">
        <v>9644</v>
      </c>
      <c r="D8015" s="11">
        <v>24912</v>
      </c>
      <c r="E8015" s="11">
        <v>24912</v>
      </c>
      <c r="F8015" s="3">
        <v>41226</v>
      </c>
      <c r="G8015" s="2" t="s">
        <v>14104</v>
      </c>
      <c r="H8015" s="3">
        <v>43053</v>
      </c>
      <c r="I8015" s="2" t="s">
        <v>19506</v>
      </c>
      <c r="J8015" s="2" t="s">
        <v>13904</v>
      </c>
      <c r="K8015" s="2" t="s">
        <v>19218</v>
      </c>
      <c r="L8015" s="82" t="s">
        <v>19512</v>
      </c>
    </row>
    <row r="8016" spans="1:12" ht="84" customHeight="1" x14ac:dyDescent="0.3">
      <c r="A8016" s="2">
        <v>8012</v>
      </c>
      <c r="B8016" s="66" t="s">
        <v>9643</v>
      </c>
      <c r="C8016" s="66" t="s">
        <v>9645</v>
      </c>
      <c r="D8016" s="11">
        <v>24912</v>
      </c>
      <c r="E8016" s="11">
        <v>24912</v>
      </c>
      <c r="F8016" s="3">
        <v>41226</v>
      </c>
      <c r="G8016" s="2" t="s">
        <v>14104</v>
      </c>
      <c r="H8016" s="3">
        <v>43053</v>
      </c>
      <c r="I8016" s="2" t="s">
        <v>19506</v>
      </c>
      <c r="J8016" s="2" t="s">
        <v>13904</v>
      </c>
      <c r="K8016" s="2" t="s">
        <v>19218</v>
      </c>
      <c r="L8016" s="82" t="s">
        <v>19512</v>
      </c>
    </row>
    <row r="8017" spans="1:12" ht="84" customHeight="1" x14ac:dyDescent="0.3">
      <c r="A8017" s="2">
        <v>8013</v>
      </c>
      <c r="B8017" s="66" t="s">
        <v>9643</v>
      </c>
      <c r="C8017" s="66" t="s">
        <v>9646</v>
      </c>
      <c r="D8017" s="11">
        <v>24912</v>
      </c>
      <c r="E8017" s="11">
        <v>24912</v>
      </c>
      <c r="F8017" s="3">
        <v>41226</v>
      </c>
      <c r="G8017" s="2" t="s">
        <v>14104</v>
      </c>
      <c r="H8017" s="3">
        <v>43053</v>
      </c>
      <c r="I8017" s="2" t="s">
        <v>19506</v>
      </c>
      <c r="J8017" s="2" t="s">
        <v>13904</v>
      </c>
      <c r="K8017" s="2" t="s">
        <v>19218</v>
      </c>
      <c r="L8017" s="82" t="s">
        <v>19512</v>
      </c>
    </row>
    <row r="8018" spans="1:12" ht="84" customHeight="1" x14ac:dyDescent="0.3">
      <c r="A8018" s="2">
        <v>8014</v>
      </c>
      <c r="B8018" s="66" t="s">
        <v>9643</v>
      </c>
      <c r="C8018" s="66" t="s">
        <v>9647</v>
      </c>
      <c r="D8018" s="11">
        <v>24912</v>
      </c>
      <c r="E8018" s="11">
        <v>24912</v>
      </c>
      <c r="F8018" s="3">
        <v>41226</v>
      </c>
      <c r="G8018" s="2" t="s">
        <v>14104</v>
      </c>
      <c r="H8018" s="3">
        <v>43053</v>
      </c>
      <c r="I8018" s="2" t="s">
        <v>19506</v>
      </c>
      <c r="J8018" s="2" t="s">
        <v>13904</v>
      </c>
      <c r="K8018" s="2" t="s">
        <v>19218</v>
      </c>
      <c r="L8018" s="82" t="s">
        <v>19512</v>
      </c>
    </row>
    <row r="8019" spans="1:12" ht="84" customHeight="1" x14ac:dyDescent="0.3">
      <c r="A8019" s="2">
        <v>8015</v>
      </c>
      <c r="B8019" s="66" t="s">
        <v>9643</v>
      </c>
      <c r="C8019" s="66" t="s">
        <v>9648</v>
      </c>
      <c r="D8019" s="11">
        <v>24912</v>
      </c>
      <c r="E8019" s="11">
        <v>24912</v>
      </c>
      <c r="F8019" s="3">
        <v>41226</v>
      </c>
      <c r="G8019" s="2" t="s">
        <v>14104</v>
      </c>
      <c r="H8019" s="3">
        <v>43053</v>
      </c>
      <c r="I8019" s="2" t="s">
        <v>19506</v>
      </c>
      <c r="J8019" s="2" t="s">
        <v>13904</v>
      </c>
      <c r="K8019" s="2" t="s">
        <v>19218</v>
      </c>
      <c r="L8019" s="82" t="s">
        <v>19512</v>
      </c>
    </row>
    <row r="8020" spans="1:12" ht="84" customHeight="1" x14ac:dyDescent="0.3">
      <c r="A8020" s="2">
        <v>8016</v>
      </c>
      <c r="B8020" s="66" t="s">
        <v>9643</v>
      </c>
      <c r="C8020" s="66" t="s">
        <v>9649</v>
      </c>
      <c r="D8020" s="11">
        <v>24912</v>
      </c>
      <c r="E8020" s="11">
        <v>24912</v>
      </c>
      <c r="F8020" s="3">
        <v>41226</v>
      </c>
      <c r="G8020" s="2" t="s">
        <v>14104</v>
      </c>
      <c r="H8020" s="3">
        <v>43053</v>
      </c>
      <c r="I8020" s="2" t="s">
        <v>19506</v>
      </c>
      <c r="J8020" s="2" t="s">
        <v>13904</v>
      </c>
      <c r="K8020" s="2" t="s">
        <v>19218</v>
      </c>
      <c r="L8020" s="82" t="s">
        <v>19512</v>
      </c>
    </row>
    <row r="8021" spans="1:12" ht="84" customHeight="1" x14ac:dyDescent="0.3">
      <c r="A8021" s="2">
        <v>8017</v>
      </c>
      <c r="B8021" s="66" t="s">
        <v>9643</v>
      </c>
      <c r="C8021" s="66" t="s">
        <v>9650</v>
      </c>
      <c r="D8021" s="11">
        <v>24912</v>
      </c>
      <c r="E8021" s="11">
        <v>24912</v>
      </c>
      <c r="F8021" s="3">
        <v>41226</v>
      </c>
      <c r="G8021" s="2" t="s">
        <v>14104</v>
      </c>
      <c r="H8021" s="3">
        <v>43053</v>
      </c>
      <c r="I8021" s="2" t="s">
        <v>19506</v>
      </c>
      <c r="J8021" s="2" t="s">
        <v>13904</v>
      </c>
      <c r="K8021" s="2" t="s">
        <v>19218</v>
      </c>
      <c r="L8021" s="82" t="s">
        <v>19512</v>
      </c>
    </row>
    <row r="8022" spans="1:12" ht="84" customHeight="1" x14ac:dyDescent="0.3">
      <c r="A8022" s="2">
        <v>8018</v>
      </c>
      <c r="B8022" s="66" t="s">
        <v>9643</v>
      </c>
      <c r="C8022" s="66" t="s">
        <v>9651</v>
      </c>
      <c r="D8022" s="11">
        <v>24912</v>
      </c>
      <c r="E8022" s="11">
        <v>24912</v>
      </c>
      <c r="F8022" s="3">
        <v>41226</v>
      </c>
      <c r="G8022" s="2" t="s">
        <v>14104</v>
      </c>
      <c r="H8022" s="3">
        <v>43053</v>
      </c>
      <c r="I8022" s="2" t="s">
        <v>19506</v>
      </c>
      <c r="J8022" s="2" t="s">
        <v>13904</v>
      </c>
      <c r="K8022" s="2" t="s">
        <v>19218</v>
      </c>
      <c r="L8022" s="82" t="s">
        <v>19512</v>
      </c>
    </row>
    <row r="8023" spans="1:12" ht="84" customHeight="1" x14ac:dyDescent="0.3">
      <c r="A8023" s="2">
        <v>8019</v>
      </c>
      <c r="B8023" s="66" t="s">
        <v>9643</v>
      </c>
      <c r="C8023" s="66" t="s">
        <v>9652</v>
      </c>
      <c r="D8023" s="11">
        <v>24912</v>
      </c>
      <c r="E8023" s="11">
        <v>24912</v>
      </c>
      <c r="F8023" s="3">
        <v>41226</v>
      </c>
      <c r="G8023" s="2" t="s">
        <v>14104</v>
      </c>
      <c r="H8023" s="3">
        <v>43053</v>
      </c>
      <c r="I8023" s="2" t="s">
        <v>19506</v>
      </c>
      <c r="J8023" s="2" t="s">
        <v>13904</v>
      </c>
      <c r="K8023" s="2" t="s">
        <v>19218</v>
      </c>
      <c r="L8023" s="82" t="s">
        <v>19512</v>
      </c>
    </row>
    <row r="8024" spans="1:12" ht="84" customHeight="1" x14ac:dyDescent="0.3">
      <c r="A8024" s="2">
        <v>8020</v>
      </c>
      <c r="B8024" s="66" t="s">
        <v>9643</v>
      </c>
      <c r="C8024" s="66" t="s">
        <v>9653</v>
      </c>
      <c r="D8024" s="11">
        <v>24912</v>
      </c>
      <c r="E8024" s="11">
        <v>24912</v>
      </c>
      <c r="F8024" s="3">
        <v>41226</v>
      </c>
      <c r="G8024" s="2" t="s">
        <v>14104</v>
      </c>
      <c r="H8024" s="3">
        <v>43053</v>
      </c>
      <c r="I8024" s="2" t="s">
        <v>19506</v>
      </c>
      <c r="J8024" s="2" t="s">
        <v>13904</v>
      </c>
      <c r="K8024" s="2" t="s">
        <v>19218</v>
      </c>
      <c r="L8024" s="82" t="s">
        <v>19512</v>
      </c>
    </row>
    <row r="8025" spans="1:12" ht="84" customHeight="1" x14ac:dyDescent="0.3">
      <c r="A8025" s="2">
        <v>8021</v>
      </c>
      <c r="B8025" s="66" t="s">
        <v>9643</v>
      </c>
      <c r="C8025" s="66" t="s">
        <v>9654</v>
      </c>
      <c r="D8025" s="11">
        <v>24912</v>
      </c>
      <c r="E8025" s="11">
        <v>24912</v>
      </c>
      <c r="F8025" s="3">
        <v>41226</v>
      </c>
      <c r="G8025" s="2" t="s">
        <v>14104</v>
      </c>
      <c r="H8025" s="3">
        <v>43053</v>
      </c>
      <c r="I8025" s="2" t="s">
        <v>19506</v>
      </c>
      <c r="J8025" s="2" t="s">
        <v>13904</v>
      </c>
      <c r="K8025" s="2" t="s">
        <v>19218</v>
      </c>
      <c r="L8025" s="82" t="s">
        <v>19512</v>
      </c>
    </row>
    <row r="8026" spans="1:12" ht="84" customHeight="1" x14ac:dyDescent="0.3">
      <c r="A8026" s="2">
        <v>8022</v>
      </c>
      <c r="B8026" s="66" t="s">
        <v>9643</v>
      </c>
      <c r="C8026" s="66" t="s">
        <v>9655</v>
      </c>
      <c r="D8026" s="11">
        <v>24912</v>
      </c>
      <c r="E8026" s="11">
        <v>24912</v>
      </c>
      <c r="F8026" s="3">
        <v>41226</v>
      </c>
      <c r="G8026" s="2" t="s">
        <v>14104</v>
      </c>
      <c r="H8026" s="3">
        <v>43053</v>
      </c>
      <c r="I8026" s="2" t="s">
        <v>19506</v>
      </c>
      <c r="J8026" s="2" t="s">
        <v>13904</v>
      </c>
      <c r="K8026" s="2" t="s">
        <v>19218</v>
      </c>
      <c r="L8026" s="82" t="s">
        <v>19512</v>
      </c>
    </row>
    <row r="8027" spans="1:12" ht="84" customHeight="1" x14ac:dyDescent="0.3">
      <c r="A8027" s="2">
        <v>8023</v>
      </c>
      <c r="B8027" s="66" t="s">
        <v>9643</v>
      </c>
      <c r="C8027" s="66" t="s">
        <v>9656</v>
      </c>
      <c r="D8027" s="11">
        <v>24912</v>
      </c>
      <c r="E8027" s="11">
        <v>24912</v>
      </c>
      <c r="F8027" s="3">
        <v>41226</v>
      </c>
      <c r="G8027" s="2" t="s">
        <v>14104</v>
      </c>
      <c r="H8027" s="3">
        <v>43053</v>
      </c>
      <c r="I8027" s="2" t="s">
        <v>19506</v>
      </c>
      <c r="J8027" s="2" t="s">
        <v>13904</v>
      </c>
      <c r="K8027" s="2" t="s">
        <v>19218</v>
      </c>
      <c r="L8027" s="82" t="s">
        <v>19512</v>
      </c>
    </row>
    <row r="8028" spans="1:12" ht="84" customHeight="1" x14ac:dyDescent="0.3">
      <c r="A8028" s="2">
        <v>8024</v>
      </c>
      <c r="B8028" s="66" t="s">
        <v>9643</v>
      </c>
      <c r="C8028" s="66" t="s">
        <v>9657</v>
      </c>
      <c r="D8028" s="11">
        <v>24912</v>
      </c>
      <c r="E8028" s="11">
        <v>24912</v>
      </c>
      <c r="F8028" s="3">
        <v>41226</v>
      </c>
      <c r="G8028" s="2" t="s">
        <v>14104</v>
      </c>
      <c r="H8028" s="3">
        <v>43053</v>
      </c>
      <c r="I8028" s="2" t="s">
        <v>19506</v>
      </c>
      <c r="J8028" s="2" t="s">
        <v>13904</v>
      </c>
      <c r="K8028" s="2" t="s">
        <v>19218</v>
      </c>
      <c r="L8028" s="82" t="s">
        <v>19512</v>
      </c>
    </row>
    <row r="8029" spans="1:12" ht="84" customHeight="1" x14ac:dyDescent="0.3">
      <c r="A8029" s="2">
        <v>8025</v>
      </c>
      <c r="B8029" s="66" t="s">
        <v>9643</v>
      </c>
      <c r="C8029" s="66" t="s">
        <v>9658</v>
      </c>
      <c r="D8029" s="11">
        <v>24912</v>
      </c>
      <c r="E8029" s="11">
        <v>24912</v>
      </c>
      <c r="F8029" s="3">
        <v>41226</v>
      </c>
      <c r="G8029" s="2" t="s">
        <v>14104</v>
      </c>
      <c r="H8029" s="3">
        <v>43053</v>
      </c>
      <c r="I8029" s="2" t="s">
        <v>19506</v>
      </c>
      <c r="J8029" s="2" t="s">
        <v>13904</v>
      </c>
      <c r="K8029" s="2" t="s">
        <v>19218</v>
      </c>
      <c r="L8029" s="82" t="s">
        <v>19512</v>
      </c>
    </row>
    <row r="8030" spans="1:12" ht="84" customHeight="1" x14ac:dyDescent="0.3">
      <c r="A8030" s="2">
        <v>8026</v>
      </c>
      <c r="B8030" s="66" t="s">
        <v>9643</v>
      </c>
      <c r="C8030" s="66" t="s">
        <v>9659</v>
      </c>
      <c r="D8030" s="11">
        <v>24912</v>
      </c>
      <c r="E8030" s="11">
        <v>24912</v>
      </c>
      <c r="F8030" s="3">
        <v>41226</v>
      </c>
      <c r="G8030" s="2" t="s">
        <v>14104</v>
      </c>
      <c r="H8030" s="3">
        <v>43053</v>
      </c>
      <c r="I8030" s="2" t="s">
        <v>19506</v>
      </c>
      <c r="J8030" s="2" t="s">
        <v>13904</v>
      </c>
      <c r="K8030" s="2" t="s">
        <v>19218</v>
      </c>
      <c r="L8030" s="82" t="s">
        <v>19512</v>
      </c>
    </row>
    <row r="8031" spans="1:12" ht="84" customHeight="1" x14ac:dyDescent="0.3">
      <c r="A8031" s="2">
        <v>8027</v>
      </c>
      <c r="B8031" s="66" t="s">
        <v>9643</v>
      </c>
      <c r="C8031" s="66" t="s">
        <v>9660</v>
      </c>
      <c r="D8031" s="11">
        <v>24912</v>
      </c>
      <c r="E8031" s="11">
        <v>24912</v>
      </c>
      <c r="F8031" s="3">
        <v>41226</v>
      </c>
      <c r="G8031" s="2" t="s">
        <v>14104</v>
      </c>
      <c r="H8031" s="3">
        <v>43053</v>
      </c>
      <c r="I8031" s="2" t="s">
        <v>19506</v>
      </c>
      <c r="J8031" s="2" t="s">
        <v>13904</v>
      </c>
      <c r="K8031" s="2" t="s">
        <v>19218</v>
      </c>
      <c r="L8031" s="82" t="s">
        <v>19512</v>
      </c>
    </row>
    <row r="8032" spans="1:12" ht="84" customHeight="1" x14ac:dyDescent="0.3">
      <c r="A8032" s="2">
        <v>8028</v>
      </c>
      <c r="B8032" s="66" t="s">
        <v>9643</v>
      </c>
      <c r="C8032" s="66" t="s">
        <v>9661</v>
      </c>
      <c r="D8032" s="11">
        <v>24912</v>
      </c>
      <c r="E8032" s="11">
        <v>24912</v>
      </c>
      <c r="F8032" s="3">
        <v>41226</v>
      </c>
      <c r="G8032" s="2" t="s">
        <v>14104</v>
      </c>
      <c r="H8032" s="3">
        <v>43053</v>
      </c>
      <c r="I8032" s="2" t="s">
        <v>19506</v>
      </c>
      <c r="J8032" s="2" t="s">
        <v>13904</v>
      </c>
      <c r="K8032" s="2" t="s">
        <v>19218</v>
      </c>
      <c r="L8032" s="82" t="s">
        <v>19512</v>
      </c>
    </row>
    <row r="8033" spans="1:12" ht="84" customHeight="1" x14ac:dyDescent="0.3">
      <c r="A8033" s="2">
        <v>8029</v>
      </c>
      <c r="B8033" s="66" t="s">
        <v>9643</v>
      </c>
      <c r="C8033" s="66" t="s">
        <v>9662</v>
      </c>
      <c r="D8033" s="11">
        <v>24912</v>
      </c>
      <c r="E8033" s="11">
        <v>24912</v>
      </c>
      <c r="F8033" s="3">
        <v>41226</v>
      </c>
      <c r="G8033" s="2" t="s">
        <v>14104</v>
      </c>
      <c r="H8033" s="3">
        <v>43053</v>
      </c>
      <c r="I8033" s="2" t="s">
        <v>19506</v>
      </c>
      <c r="J8033" s="2" t="s">
        <v>13904</v>
      </c>
      <c r="K8033" s="2" t="s">
        <v>19218</v>
      </c>
      <c r="L8033" s="82" t="s">
        <v>19512</v>
      </c>
    </row>
    <row r="8034" spans="1:12" ht="84" customHeight="1" x14ac:dyDescent="0.3">
      <c r="A8034" s="2">
        <v>8030</v>
      </c>
      <c r="B8034" s="66" t="s">
        <v>9643</v>
      </c>
      <c r="C8034" s="66" t="s">
        <v>9663</v>
      </c>
      <c r="D8034" s="11">
        <v>24912</v>
      </c>
      <c r="E8034" s="11">
        <v>24912</v>
      </c>
      <c r="F8034" s="3">
        <v>41226</v>
      </c>
      <c r="G8034" s="2" t="s">
        <v>14104</v>
      </c>
      <c r="H8034" s="3">
        <v>43053</v>
      </c>
      <c r="I8034" s="2" t="s">
        <v>19506</v>
      </c>
      <c r="J8034" s="2" t="s">
        <v>13904</v>
      </c>
      <c r="K8034" s="2" t="s">
        <v>19218</v>
      </c>
      <c r="L8034" s="82" t="s">
        <v>19512</v>
      </c>
    </row>
    <row r="8035" spans="1:12" ht="84" customHeight="1" x14ac:dyDescent="0.3">
      <c r="A8035" s="2">
        <v>8031</v>
      </c>
      <c r="B8035" s="66" t="s">
        <v>9643</v>
      </c>
      <c r="C8035" s="66" t="s">
        <v>9664</v>
      </c>
      <c r="D8035" s="11">
        <v>24912</v>
      </c>
      <c r="E8035" s="11">
        <v>24912</v>
      </c>
      <c r="F8035" s="3">
        <v>41226</v>
      </c>
      <c r="G8035" s="2" t="s">
        <v>14104</v>
      </c>
      <c r="H8035" s="3">
        <v>43053</v>
      </c>
      <c r="I8035" s="2" t="s">
        <v>19506</v>
      </c>
      <c r="J8035" s="2" t="s">
        <v>13904</v>
      </c>
      <c r="K8035" s="2" t="s">
        <v>19218</v>
      </c>
      <c r="L8035" s="82" t="s">
        <v>19512</v>
      </c>
    </row>
    <row r="8036" spans="1:12" ht="84" customHeight="1" x14ac:dyDescent="0.3">
      <c r="A8036" s="2">
        <v>8032</v>
      </c>
      <c r="B8036" s="66" t="s">
        <v>9643</v>
      </c>
      <c r="C8036" s="66" t="s">
        <v>9665</v>
      </c>
      <c r="D8036" s="11">
        <v>24912</v>
      </c>
      <c r="E8036" s="11">
        <v>24912</v>
      </c>
      <c r="F8036" s="3">
        <v>41226</v>
      </c>
      <c r="G8036" s="2" t="s">
        <v>14104</v>
      </c>
      <c r="H8036" s="3">
        <v>43053</v>
      </c>
      <c r="I8036" s="2" t="s">
        <v>19506</v>
      </c>
      <c r="J8036" s="2" t="s">
        <v>13904</v>
      </c>
      <c r="K8036" s="2" t="s">
        <v>19218</v>
      </c>
      <c r="L8036" s="82" t="s">
        <v>19512</v>
      </c>
    </row>
    <row r="8037" spans="1:12" ht="84" customHeight="1" x14ac:dyDescent="0.3">
      <c r="A8037" s="2">
        <v>8033</v>
      </c>
      <c r="B8037" s="66" t="s">
        <v>9643</v>
      </c>
      <c r="C8037" s="66" t="s">
        <v>9666</v>
      </c>
      <c r="D8037" s="11">
        <v>24912</v>
      </c>
      <c r="E8037" s="11">
        <v>24912</v>
      </c>
      <c r="F8037" s="3">
        <v>41226</v>
      </c>
      <c r="G8037" s="2" t="s">
        <v>14104</v>
      </c>
      <c r="H8037" s="3">
        <v>43053</v>
      </c>
      <c r="I8037" s="2" t="s">
        <v>19506</v>
      </c>
      <c r="J8037" s="2" t="s">
        <v>13904</v>
      </c>
      <c r="K8037" s="2" t="s">
        <v>19218</v>
      </c>
      <c r="L8037" s="82" t="s">
        <v>19512</v>
      </c>
    </row>
    <row r="8038" spans="1:12" ht="84" customHeight="1" x14ac:dyDescent="0.3">
      <c r="A8038" s="2">
        <v>8034</v>
      </c>
      <c r="B8038" s="66" t="s">
        <v>9643</v>
      </c>
      <c r="C8038" s="66" t="s">
        <v>9667</v>
      </c>
      <c r="D8038" s="11">
        <v>24912</v>
      </c>
      <c r="E8038" s="11">
        <v>24912</v>
      </c>
      <c r="F8038" s="3">
        <v>41226</v>
      </c>
      <c r="G8038" s="2" t="s">
        <v>14104</v>
      </c>
      <c r="H8038" s="3">
        <v>43053</v>
      </c>
      <c r="I8038" s="2" t="s">
        <v>19506</v>
      </c>
      <c r="J8038" s="2" t="s">
        <v>13904</v>
      </c>
      <c r="K8038" s="2" t="s">
        <v>19218</v>
      </c>
      <c r="L8038" s="82" t="s">
        <v>19512</v>
      </c>
    </row>
    <row r="8039" spans="1:12" ht="84" customHeight="1" x14ac:dyDescent="0.3">
      <c r="A8039" s="2">
        <v>8035</v>
      </c>
      <c r="B8039" s="66" t="s">
        <v>9643</v>
      </c>
      <c r="C8039" s="66" t="s">
        <v>9668</v>
      </c>
      <c r="D8039" s="11">
        <v>24912</v>
      </c>
      <c r="E8039" s="11">
        <v>24912</v>
      </c>
      <c r="F8039" s="3">
        <v>41226</v>
      </c>
      <c r="G8039" s="2" t="s">
        <v>14104</v>
      </c>
      <c r="H8039" s="3">
        <v>43053</v>
      </c>
      <c r="I8039" s="2" t="s">
        <v>19506</v>
      </c>
      <c r="J8039" s="2" t="s">
        <v>13904</v>
      </c>
      <c r="K8039" s="2" t="s">
        <v>19218</v>
      </c>
      <c r="L8039" s="82" t="s">
        <v>19512</v>
      </c>
    </row>
    <row r="8040" spans="1:12" ht="84" customHeight="1" x14ac:dyDescent="0.3">
      <c r="A8040" s="2">
        <v>8036</v>
      </c>
      <c r="B8040" s="66" t="s">
        <v>9643</v>
      </c>
      <c r="C8040" s="66" t="s">
        <v>9669</v>
      </c>
      <c r="D8040" s="11">
        <v>24912</v>
      </c>
      <c r="E8040" s="11">
        <v>24912</v>
      </c>
      <c r="F8040" s="3">
        <v>41226</v>
      </c>
      <c r="G8040" s="2" t="s">
        <v>14104</v>
      </c>
      <c r="H8040" s="3">
        <v>43053</v>
      </c>
      <c r="I8040" s="2" t="s">
        <v>19506</v>
      </c>
      <c r="J8040" s="2" t="s">
        <v>13904</v>
      </c>
      <c r="K8040" s="2" t="s">
        <v>19218</v>
      </c>
      <c r="L8040" s="82" t="s">
        <v>19512</v>
      </c>
    </row>
    <row r="8041" spans="1:12" ht="84" customHeight="1" x14ac:dyDescent="0.3">
      <c r="A8041" s="2">
        <v>8037</v>
      </c>
      <c r="B8041" s="66" t="s">
        <v>9670</v>
      </c>
      <c r="C8041" s="66" t="s">
        <v>9671</v>
      </c>
      <c r="D8041" s="11">
        <v>27132</v>
      </c>
      <c r="E8041" s="11">
        <v>27132</v>
      </c>
      <c r="F8041" s="3">
        <v>41226</v>
      </c>
      <c r="G8041" s="2" t="s">
        <v>14104</v>
      </c>
      <c r="H8041" s="3">
        <v>43053</v>
      </c>
      <c r="I8041" s="2" t="s">
        <v>19506</v>
      </c>
      <c r="J8041" s="2" t="s">
        <v>13904</v>
      </c>
      <c r="K8041" s="2" t="s">
        <v>19218</v>
      </c>
      <c r="L8041" s="82" t="s">
        <v>19512</v>
      </c>
    </row>
    <row r="8042" spans="1:12" ht="84" customHeight="1" x14ac:dyDescent="0.3">
      <c r="A8042" s="2">
        <v>8038</v>
      </c>
      <c r="B8042" s="66" t="s">
        <v>9670</v>
      </c>
      <c r="C8042" s="66" t="s">
        <v>9672</v>
      </c>
      <c r="D8042" s="11">
        <v>27132</v>
      </c>
      <c r="E8042" s="11">
        <v>27132</v>
      </c>
      <c r="F8042" s="3">
        <v>41226</v>
      </c>
      <c r="G8042" s="2" t="s">
        <v>14104</v>
      </c>
      <c r="H8042" s="3">
        <v>43053</v>
      </c>
      <c r="I8042" s="2" t="s">
        <v>19506</v>
      </c>
      <c r="J8042" s="2" t="s">
        <v>13904</v>
      </c>
      <c r="K8042" s="2" t="s">
        <v>19218</v>
      </c>
      <c r="L8042" s="82" t="s">
        <v>19512</v>
      </c>
    </row>
    <row r="8043" spans="1:12" ht="84" customHeight="1" x14ac:dyDescent="0.3">
      <c r="A8043" s="2">
        <v>8039</v>
      </c>
      <c r="B8043" s="66" t="s">
        <v>9673</v>
      </c>
      <c r="C8043" s="66" t="s">
        <v>9674</v>
      </c>
      <c r="D8043" s="11">
        <v>4335</v>
      </c>
      <c r="E8043" s="11">
        <v>4335</v>
      </c>
      <c r="F8043" s="3">
        <v>41226</v>
      </c>
      <c r="G8043" s="2" t="s">
        <v>14104</v>
      </c>
      <c r="H8043" s="3">
        <v>43053</v>
      </c>
      <c r="I8043" s="2" t="s">
        <v>19506</v>
      </c>
      <c r="J8043" s="2" t="s">
        <v>13904</v>
      </c>
      <c r="K8043" s="2" t="s">
        <v>19218</v>
      </c>
      <c r="L8043" s="82" t="s">
        <v>19512</v>
      </c>
    </row>
    <row r="8044" spans="1:12" ht="84" customHeight="1" x14ac:dyDescent="0.3">
      <c r="A8044" s="2">
        <v>8040</v>
      </c>
      <c r="B8044" s="66" t="s">
        <v>9673</v>
      </c>
      <c r="C8044" s="66" t="s">
        <v>9675</v>
      </c>
      <c r="D8044" s="11">
        <v>4335</v>
      </c>
      <c r="E8044" s="11">
        <v>4335</v>
      </c>
      <c r="F8044" s="3">
        <v>41226</v>
      </c>
      <c r="G8044" s="2" t="s">
        <v>14104</v>
      </c>
      <c r="H8044" s="3">
        <v>43053</v>
      </c>
      <c r="I8044" s="2" t="s">
        <v>19506</v>
      </c>
      <c r="J8044" s="2" t="s">
        <v>13904</v>
      </c>
      <c r="K8044" s="2" t="s">
        <v>19218</v>
      </c>
      <c r="L8044" s="82" t="s">
        <v>19512</v>
      </c>
    </row>
    <row r="8045" spans="1:12" ht="84" customHeight="1" x14ac:dyDescent="0.3">
      <c r="A8045" s="2">
        <v>8041</v>
      </c>
      <c r="B8045" s="66" t="s">
        <v>9673</v>
      </c>
      <c r="C8045" s="66" t="s">
        <v>9676</v>
      </c>
      <c r="D8045" s="11">
        <v>4335</v>
      </c>
      <c r="E8045" s="11">
        <v>4335</v>
      </c>
      <c r="F8045" s="3">
        <v>41226</v>
      </c>
      <c r="G8045" s="2" t="s">
        <v>14104</v>
      </c>
      <c r="H8045" s="3">
        <v>43053</v>
      </c>
      <c r="I8045" s="2" t="s">
        <v>19506</v>
      </c>
      <c r="J8045" s="2" t="s">
        <v>13904</v>
      </c>
      <c r="K8045" s="2" t="s">
        <v>19218</v>
      </c>
      <c r="L8045" s="82" t="s">
        <v>19512</v>
      </c>
    </row>
    <row r="8046" spans="1:12" ht="84" customHeight="1" x14ac:dyDescent="0.3">
      <c r="A8046" s="2">
        <v>8042</v>
      </c>
      <c r="B8046" s="66" t="s">
        <v>9673</v>
      </c>
      <c r="C8046" s="66" t="s">
        <v>9677</v>
      </c>
      <c r="D8046" s="11">
        <v>4335</v>
      </c>
      <c r="E8046" s="11">
        <v>4335</v>
      </c>
      <c r="F8046" s="3">
        <v>41226</v>
      </c>
      <c r="G8046" s="2" t="s">
        <v>14104</v>
      </c>
      <c r="H8046" s="3">
        <v>43053</v>
      </c>
      <c r="I8046" s="2" t="s">
        <v>19506</v>
      </c>
      <c r="J8046" s="2" t="s">
        <v>13904</v>
      </c>
      <c r="K8046" s="2" t="s">
        <v>19218</v>
      </c>
      <c r="L8046" s="82" t="s">
        <v>19512</v>
      </c>
    </row>
    <row r="8047" spans="1:12" ht="84" customHeight="1" x14ac:dyDescent="0.3">
      <c r="A8047" s="2">
        <v>8043</v>
      </c>
      <c r="B8047" s="66" t="s">
        <v>9673</v>
      </c>
      <c r="C8047" s="66" t="s">
        <v>9678</v>
      </c>
      <c r="D8047" s="11">
        <v>4335</v>
      </c>
      <c r="E8047" s="11">
        <v>4335</v>
      </c>
      <c r="F8047" s="3">
        <v>41226</v>
      </c>
      <c r="G8047" s="2" t="s">
        <v>14104</v>
      </c>
      <c r="H8047" s="3">
        <v>43053</v>
      </c>
      <c r="I8047" s="2" t="s">
        <v>19506</v>
      </c>
      <c r="J8047" s="2" t="s">
        <v>13904</v>
      </c>
      <c r="K8047" s="2" t="s">
        <v>19218</v>
      </c>
      <c r="L8047" s="82" t="s">
        <v>19512</v>
      </c>
    </row>
    <row r="8048" spans="1:12" ht="84" customHeight="1" x14ac:dyDescent="0.3">
      <c r="A8048" s="2">
        <v>8044</v>
      </c>
      <c r="B8048" s="66" t="s">
        <v>9673</v>
      </c>
      <c r="C8048" s="66" t="s">
        <v>9679</v>
      </c>
      <c r="D8048" s="11">
        <v>4335</v>
      </c>
      <c r="E8048" s="11">
        <v>4335</v>
      </c>
      <c r="F8048" s="3">
        <v>41226</v>
      </c>
      <c r="G8048" s="2" t="s">
        <v>14104</v>
      </c>
      <c r="H8048" s="3">
        <v>43053</v>
      </c>
      <c r="I8048" s="2" t="s">
        <v>19506</v>
      </c>
      <c r="J8048" s="2" t="s">
        <v>13904</v>
      </c>
      <c r="K8048" s="2" t="s">
        <v>19218</v>
      </c>
      <c r="L8048" s="82" t="s">
        <v>19512</v>
      </c>
    </row>
    <row r="8049" spans="1:12" ht="84" customHeight="1" x14ac:dyDescent="0.3">
      <c r="A8049" s="2">
        <v>8045</v>
      </c>
      <c r="B8049" s="66" t="s">
        <v>9673</v>
      </c>
      <c r="C8049" s="66" t="s">
        <v>9680</v>
      </c>
      <c r="D8049" s="11">
        <v>4335</v>
      </c>
      <c r="E8049" s="11">
        <v>4335</v>
      </c>
      <c r="F8049" s="3">
        <v>41226</v>
      </c>
      <c r="G8049" s="2" t="s">
        <v>14104</v>
      </c>
      <c r="H8049" s="3">
        <v>43053</v>
      </c>
      <c r="I8049" s="2" t="s">
        <v>19506</v>
      </c>
      <c r="J8049" s="2" t="s">
        <v>13904</v>
      </c>
      <c r="K8049" s="2" t="s">
        <v>19218</v>
      </c>
      <c r="L8049" s="82" t="s">
        <v>19512</v>
      </c>
    </row>
    <row r="8050" spans="1:12" ht="84" customHeight="1" x14ac:dyDescent="0.3">
      <c r="A8050" s="2">
        <v>8046</v>
      </c>
      <c r="B8050" s="66" t="s">
        <v>9673</v>
      </c>
      <c r="C8050" s="66" t="s">
        <v>9681</v>
      </c>
      <c r="D8050" s="11">
        <v>4335</v>
      </c>
      <c r="E8050" s="11">
        <v>4335</v>
      </c>
      <c r="F8050" s="3">
        <v>41226</v>
      </c>
      <c r="G8050" s="2" t="s">
        <v>14104</v>
      </c>
      <c r="H8050" s="3">
        <v>43053</v>
      </c>
      <c r="I8050" s="2" t="s">
        <v>19506</v>
      </c>
      <c r="J8050" s="2" t="s">
        <v>13904</v>
      </c>
      <c r="K8050" s="2" t="s">
        <v>19218</v>
      </c>
      <c r="L8050" s="82" t="s">
        <v>19512</v>
      </c>
    </row>
    <row r="8051" spans="1:12" ht="84" customHeight="1" x14ac:dyDescent="0.3">
      <c r="A8051" s="2">
        <v>8047</v>
      </c>
      <c r="B8051" s="66" t="s">
        <v>9682</v>
      </c>
      <c r="C8051" s="66" t="s">
        <v>9683</v>
      </c>
      <c r="D8051" s="11">
        <v>12000</v>
      </c>
      <c r="E8051" s="11">
        <v>12000</v>
      </c>
      <c r="F8051" s="3">
        <v>41957</v>
      </c>
      <c r="G8051" s="2" t="s">
        <v>14104</v>
      </c>
      <c r="H8051" s="3">
        <v>43053</v>
      </c>
      <c r="I8051" s="2" t="s">
        <v>19506</v>
      </c>
      <c r="J8051" s="2" t="s">
        <v>13904</v>
      </c>
      <c r="K8051" s="2" t="s">
        <v>19218</v>
      </c>
      <c r="L8051" s="82" t="s">
        <v>19512</v>
      </c>
    </row>
    <row r="8052" spans="1:12" ht="84" customHeight="1" x14ac:dyDescent="0.3">
      <c r="A8052" s="2">
        <v>8048</v>
      </c>
      <c r="B8052" s="66" t="s">
        <v>9684</v>
      </c>
      <c r="C8052" s="66" t="s">
        <v>9685</v>
      </c>
      <c r="D8052" s="11">
        <v>16800</v>
      </c>
      <c r="E8052" s="11">
        <v>16800</v>
      </c>
      <c r="F8052" s="3">
        <v>41226</v>
      </c>
      <c r="G8052" s="2" t="s">
        <v>14104</v>
      </c>
      <c r="H8052" s="3">
        <v>43053</v>
      </c>
      <c r="I8052" s="2" t="s">
        <v>19506</v>
      </c>
      <c r="J8052" s="2" t="s">
        <v>13904</v>
      </c>
      <c r="K8052" s="2" t="s">
        <v>19218</v>
      </c>
      <c r="L8052" s="82" t="s">
        <v>19512</v>
      </c>
    </row>
    <row r="8053" spans="1:12" ht="84" customHeight="1" x14ac:dyDescent="0.3">
      <c r="A8053" s="2">
        <v>8049</v>
      </c>
      <c r="B8053" s="66" t="s">
        <v>9684</v>
      </c>
      <c r="C8053" s="66" t="s">
        <v>9686</v>
      </c>
      <c r="D8053" s="11">
        <v>16800</v>
      </c>
      <c r="E8053" s="11">
        <v>16800</v>
      </c>
      <c r="F8053" s="3">
        <v>41226</v>
      </c>
      <c r="G8053" s="2" t="s">
        <v>14104</v>
      </c>
      <c r="H8053" s="3">
        <v>43053</v>
      </c>
      <c r="I8053" s="2" t="s">
        <v>19506</v>
      </c>
      <c r="J8053" s="2" t="s">
        <v>13904</v>
      </c>
      <c r="K8053" s="2" t="s">
        <v>19218</v>
      </c>
      <c r="L8053" s="82" t="s">
        <v>19512</v>
      </c>
    </row>
    <row r="8054" spans="1:12" ht="84" customHeight="1" x14ac:dyDescent="0.3">
      <c r="A8054" s="2">
        <v>8050</v>
      </c>
      <c r="B8054" s="66" t="s">
        <v>9684</v>
      </c>
      <c r="C8054" s="66" t="s">
        <v>9687</v>
      </c>
      <c r="D8054" s="11">
        <v>16800</v>
      </c>
      <c r="E8054" s="11">
        <v>16800</v>
      </c>
      <c r="F8054" s="3">
        <v>41226</v>
      </c>
      <c r="G8054" s="2" t="s">
        <v>14104</v>
      </c>
      <c r="H8054" s="3">
        <v>43053</v>
      </c>
      <c r="I8054" s="2" t="s">
        <v>19506</v>
      </c>
      <c r="J8054" s="2" t="s">
        <v>13904</v>
      </c>
      <c r="K8054" s="2" t="s">
        <v>19218</v>
      </c>
      <c r="L8054" s="82" t="s">
        <v>19512</v>
      </c>
    </row>
    <row r="8055" spans="1:12" ht="84" customHeight="1" x14ac:dyDescent="0.3">
      <c r="A8055" s="2">
        <v>8051</v>
      </c>
      <c r="B8055" s="66" t="s">
        <v>9684</v>
      </c>
      <c r="C8055" s="66" t="s">
        <v>9688</v>
      </c>
      <c r="D8055" s="11">
        <v>16800</v>
      </c>
      <c r="E8055" s="11">
        <v>16800</v>
      </c>
      <c r="F8055" s="3">
        <v>41226</v>
      </c>
      <c r="G8055" s="2" t="s">
        <v>14104</v>
      </c>
      <c r="H8055" s="3">
        <v>43053</v>
      </c>
      <c r="I8055" s="2" t="s">
        <v>19506</v>
      </c>
      <c r="J8055" s="2" t="s">
        <v>13904</v>
      </c>
      <c r="K8055" s="2" t="s">
        <v>19218</v>
      </c>
      <c r="L8055" s="82" t="s">
        <v>19512</v>
      </c>
    </row>
    <row r="8056" spans="1:12" ht="84" customHeight="1" x14ac:dyDescent="0.3">
      <c r="A8056" s="2">
        <v>8052</v>
      </c>
      <c r="B8056" s="66" t="s">
        <v>9689</v>
      </c>
      <c r="C8056" s="66" t="s">
        <v>9690</v>
      </c>
      <c r="D8056" s="11">
        <v>6700</v>
      </c>
      <c r="E8056" s="11">
        <v>6700</v>
      </c>
      <c r="F8056" s="3">
        <v>41226</v>
      </c>
      <c r="G8056" s="2" t="s">
        <v>14104</v>
      </c>
      <c r="H8056" s="3">
        <v>43053</v>
      </c>
      <c r="I8056" s="2" t="s">
        <v>19506</v>
      </c>
      <c r="J8056" s="2" t="s">
        <v>13904</v>
      </c>
      <c r="K8056" s="2" t="s">
        <v>19218</v>
      </c>
      <c r="L8056" s="82" t="s">
        <v>19512</v>
      </c>
    </row>
    <row r="8057" spans="1:12" ht="84" customHeight="1" x14ac:dyDescent="0.3">
      <c r="A8057" s="2">
        <v>8053</v>
      </c>
      <c r="B8057" s="66" t="s">
        <v>9689</v>
      </c>
      <c r="C8057" s="66" t="s">
        <v>9691</v>
      </c>
      <c r="D8057" s="11">
        <v>6700</v>
      </c>
      <c r="E8057" s="11">
        <v>6700</v>
      </c>
      <c r="F8057" s="3">
        <v>41226</v>
      </c>
      <c r="G8057" s="2" t="s">
        <v>14104</v>
      </c>
      <c r="H8057" s="3">
        <v>43053</v>
      </c>
      <c r="I8057" s="2" t="s">
        <v>19506</v>
      </c>
      <c r="J8057" s="2" t="s">
        <v>13904</v>
      </c>
      <c r="K8057" s="2" t="s">
        <v>19218</v>
      </c>
      <c r="L8057" s="82" t="s">
        <v>19512</v>
      </c>
    </row>
    <row r="8058" spans="1:12" ht="84" customHeight="1" x14ac:dyDescent="0.3">
      <c r="A8058" s="2">
        <v>8054</v>
      </c>
      <c r="B8058" s="66" t="s">
        <v>9689</v>
      </c>
      <c r="C8058" s="66" t="s">
        <v>9692</v>
      </c>
      <c r="D8058" s="11">
        <v>6700</v>
      </c>
      <c r="E8058" s="11">
        <v>6700</v>
      </c>
      <c r="F8058" s="3">
        <v>41226</v>
      </c>
      <c r="G8058" s="2" t="s">
        <v>14104</v>
      </c>
      <c r="H8058" s="3">
        <v>43053</v>
      </c>
      <c r="I8058" s="2" t="s">
        <v>19506</v>
      </c>
      <c r="J8058" s="2" t="s">
        <v>13904</v>
      </c>
      <c r="K8058" s="2" t="s">
        <v>19218</v>
      </c>
      <c r="L8058" s="82" t="s">
        <v>19512</v>
      </c>
    </row>
    <row r="8059" spans="1:12" ht="84" customHeight="1" x14ac:dyDescent="0.3">
      <c r="A8059" s="2">
        <v>8055</v>
      </c>
      <c r="B8059" s="66" t="s">
        <v>9689</v>
      </c>
      <c r="C8059" s="66" t="s">
        <v>9693</v>
      </c>
      <c r="D8059" s="11">
        <v>6700</v>
      </c>
      <c r="E8059" s="11">
        <v>6700</v>
      </c>
      <c r="F8059" s="3">
        <v>41226</v>
      </c>
      <c r="G8059" s="2" t="s">
        <v>14104</v>
      </c>
      <c r="H8059" s="3">
        <v>43053</v>
      </c>
      <c r="I8059" s="2" t="s">
        <v>19506</v>
      </c>
      <c r="J8059" s="2" t="s">
        <v>13904</v>
      </c>
      <c r="K8059" s="2" t="s">
        <v>19218</v>
      </c>
      <c r="L8059" s="82" t="s">
        <v>19512</v>
      </c>
    </row>
    <row r="8060" spans="1:12" ht="84" customHeight="1" x14ac:dyDescent="0.3">
      <c r="A8060" s="2">
        <v>8056</v>
      </c>
      <c r="B8060" s="66" t="s">
        <v>9689</v>
      </c>
      <c r="C8060" s="66" t="s">
        <v>9694</v>
      </c>
      <c r="D8060" s="11">
        <v>6700</v>
      </c>
      <c r="E8060" s="11">
        <v>6700</v>
      </c>
      <c r="F8060" s="3">
        <v>41226</v>
      </c>
      <c r="G8060" s="2" t="s">
        <v>14104</v>
      </c>
      <c r="H8060" s="3">
        <v>43053</v>
      </c>
      <c r="I8060" s="2" t="s">
        <v>19506</v>
      </c>
      <c r="J8060" s="2" t="s">
        <v>13904</v>
      </c>
      <c r="K8060" s="2" t="s">
        <v>19218</v>
      </c>
      <c r="L8060" s="82" t="s">
        <v>19512</v>
      </c>
    </row>
    <row r="8061" spans="1:12" ht="84" customHeight="1" x14ac:dyDescent="0.3">
      <c r="A8061" s="2">
        <v>8057</v>
      </c>
      <c r="B8061" s="66" t="s">
        <v>9689</v>
      </c>
      <c r="C8061" s="66" t="s">
        <v>9695</v>
      </c>
      <c r="D8061" s="11">
        <v>6700</v>
      </c>
      <c r="E8061" s="11">
        <v>6700</v>
      </c>
      <c r="F8061" s="3">
        <v>41226</v>
      </c>
      <c r="G8061" s="2" t="s">
        <v>14104</v>
      </c>
      <c r="H8061" s="3">
        <v>43053</v>
      </c>
      <c r="I8061" s="2" t="s">
        <v>19506</v>
      </c>
      <c r="J8061" s="2" t="s">
        <v>13904</v>
      </c>
      <c r="K8061" s="2" t="s">
        <v>19218</v>
      </c>
      <c r="L8061" s="82" t="s">
        <v>19512</v>
      </c>
    </row>
    <row r="8062" spans="1:12" ht="84" customHeight="1" x14ac:dyDescent="0.3">
      <c r="A8062" s="2">
        <v>8058</v>
      </c>
      <c r="B8062" s="66" t="s">
        <v>9689</v>
      </c>
      <c r="C8062" s="66" t="s">
        <v>9696</v>
      </c>
      <c r="D8062" s="11">
        <v>6700</v>
      </c>
      <c r="E8062" s="11">
        <v>6700</v>
      </c>
      <c r="F8062" s="3">
        <v>41226</v>
      </c>
      <c r="G8062" s="2" t="s">
        <v>14104</v>
      </c>
      <c r="H8062" s="3">
        <v>43053</v>
      </c>
      <c r="I8062" s="2" t="s">
        <v>19506</v>
      </c>
      <c r="J8062" s="2" t="s">
        <v>13904</v>
      </c>
      <c r="K8062" s="2" t="s">
        <v>19218</v>
      </c>
      <c r="L8062" s="82" t="s">
        <v>19512</v>
      </c>
    </row>
    <row r="8063" spans="1:12" ht="84" customHeight="1" x14ac:dyDescent="0.3">
      <c r="A8063" s="2">
        <v>8059</v>
      </c>
      <c r="B8063" s="66" t="s">
        <v>9689</v>
      </c>
      <c r="C8063" s="66" t="s">
        <v>9697</v>
      </c>
      <c r="D8063" s="11">
        <v>6700</v>
      </c>
      <c r="E8063" s="11">
        <v>6700</v>
      </c>
      <c r="F8063" s="3">
        <v>41226</v>
      </c>
      <c r="G8063" s="2" t="s">
        <v>14104</v>
      </c>
      <c r="H8063" s="3">
        <v>43053</v>
      </c>
      <c r="I8063" s="2" t="s">
        <v>19506</v>
      </c>
      <c r="J8063" s="2" t="s">
        <v>13904</v>
      </c>
      <c r="K8063" s="2" t="s">
        <v>19218</v>
      </c>
      <c r="L8063" s="82" t="s">
        <v>19512</v>
      </c>
    </row>
    <row r="8064" spans="1:12" ht="84" customHeight="1" x14ac:dyDescent="0.3">
      <c r="A8064" s="2">
        <v>8060</v>
      </c>
      <c r="B8064" s="66" t="s">
        <v>9698</v>
      </c>
      <c r="C8064" s="66" t="s">
        <v>9699</v>
      </c>
      <c r="D8064" s="11">
        <v>6880</v>
      </c>
      <c r="E8064" s="11">
        <v>6880</v>
      </c>
      <c r="F8064" s="3">
        <v>41226</v>
      </c>
      <c r="G8064" s="2" t="s">
        <v>14104</v>
      </c>
      <c r="H8064" s="3">
        <v>43053</v>
      </c>
      <c r="I8064" s="2" t="s">
        <v>19506</v>
      </c>
      <c r="J8064" s="2" t="s">
        <v>13904</v>
      </c>
      <c r="K8064" s="2" t="s">
        <v>19218</v>
      </c>
      <c r="L8064" s="82" t="s">
        <v>19512</v>
      </c>
    </row>
    <row r="8065" spans="1:12" ht="84" customHeight="1" x14ac:dyDescent="0.3">
      <c r="A8065" s="2">
        <v>8061</v>
      </c>
      <c r="B8065" s="66" t="s">
        <v>9698</v>
      </c>
      <c r="C8065" s="66" t="s">
        <v>9700</v>
      </c>
      <c r="D8065" s="11">
        <v>6880</v>
      </c>
      <c r="E8065" s="11">
        <v>6880</v>
      </c>
      <c r="F8065" s="3">
        <v>41226</v>
      </c>
      <c r="G8065" s="2" t="s">
        <v>14104</v>
      </c>
      <c r="H8065" s="3">
        <v>43053</v>
      </c>
      <c r="I8065" s="2" t="s">
        <v>19506</v>
      </c>
      <c r="J8065" s="2" t="s">
        <v>13904</v>
      </c>
      <c r="K8065" s="2" t="s">
        <v>19218</v>
      </c>
      <c r="L8065" s="82" t="s">
        <v>19512</v>
      </c>
    </row>
    <row r="8066" spans="1:12" ht="84" customHeight="1" x14ac:dyDescent="0.3">
      <c r="A8066" s="2">
        <v>8062</v>
      </c>
      <c r="B8066" s="66" t="s">
        <v>9701</v>
      </c>
      <c r="C8066" s="66" t="s">
        <v>9702</v>
      </c>
      <c r="D8066" s="11">
        <v>15000</v>
      </c>
      <c r="E8066" s="11">
        <v>15000</v>
      </c>
      <c r="F8066" s="3">
        <v>41226</v>
      </c>
      <c r="G8066" s="2" t="s">
        <v>14104</v>
      </c>
      <c r="H8066" s="3">
        <v>43053</v>
      </c>
      <c r="I8066" s="2" t="s">
        <v>19506</v>
      </c>
      <c r="J8066" s="2" t="s">
        <v>13904</v>
      </c>
      <c r="K8066" s="2" t="s">
        <v>19218</v>
      </c>
      <c r="L8066" s="82" t="s">
        <v>19512</v>
      </c>
    </row>
    <row r="8067" spans="1:12" ht="84" customHeight="1" x14ac:dyDescent="0.3">
      <c r="A8067" s="2">
        <v>8063</v>
      </c>
      <c r="B8067" s="66" t="s">
        <v>9701</v>
      </c>
      <c r="C8067" s="66" t="s">
        <v>9703</v>
      </c>
      <c r="D8067" s="11">
        <v>15000</v>
      </c>
      <c r="E8067" s="11">
        <v>15000</v>
      </c>
      <c r="F8067" s="3">
        <v>41226</v>
      </c>
      <c r="G8067" s="2" t="s">
        <v>14104</v>
      </c>
      <c r="H8067" s="3">
        <v>43053</v>
      </c>
      <c r="I8067" s="2" t="s">
        <v>19506</v>
      </c>
      <c r="J8067" s="2" t="s">
        <v>13904</v>
      </c>
      <c r="K8067" s="2" t="s">
        <v>19218</v>
      </c>
      <c r="L8067" s="82" t="s">
        <v>19512</v>
      </c>
    </row>
    <row r="8068" spans="1:12" ht="84" customHeight="1" x14ac:dyDescent="0.3">
      <c r="A8068" s="2">
        <v>8064</v>
      </c>
      <c r="B8068" s="66" t="s">
        <v>9704</v>
      </c>
      <c r="C8068" s="66" t="s">
        <v>9705</v>
      </c>
      <c r="D8068" s="11">
        <v>35000</v>
      </c>
      <c r="E8068" s="11">
        <v>35000</v>
      </c>
      <c r="F8068" s="3">
        <v>41226</v>
      </c>
      <c r="G8068" s="2" t="s">
        <v>14104</v>
      </c>
      <c r="H8068" s="3">
        <v>43053</v>
      </c>
      <c r="I8068" s="2" t="s">
        <v>19506</v>
      </c>
      <c r="J8068" s="2" t="s">
        <v>13904</v>
      </c>
      <c r="K8068" s="2" t="s">
        <v>19218</v>
      </c>
      <c r="L8068" s="82" t="s">
        <v>19512</v>
      </c>
    </row>
    <row r="8069" spans="1:12" ht="84" customHeight="1" x14ac:dyDescent="0.3">
      <c r="A8069" s="2">
        <v>8065</v>
      </c>
      <c r="B8069" s="66" t="s">
        <v>9704</v>
      </c>
      <c r="C8069" s="66" t="s">
        <v>9706</v>
      </c>
      <c r="D8069" s="11">
        <v>35000</v>
      </c>
      <c r="E8069" s="11">
        <v>35000</v>
      </c>
      <c r="F8069" s="3">
        <v>41226</v>
      </c>
      <c r="G8069" s="2" t="s">
        <v>14104</v>
      </c>
      <c r="H8069" s="3">
        <v>43053</v>
      </c>
      <c r="I8069" s="2" t="s">
        <v>19506</v>
      </c>
      <c r="J8069" s="2" t="s">
        <v>13904</v>
      </c>
      <c r="K8069" s="2" t="s">
        <v>19218</v>
      </c>
      <c r="L8069" s="82" t="s">
        <v>19512</v>
      </c>
    </row>
    <row r="8070" spans="1:12" ht="84" customHeight="1" x14ac:dyDescent="0.3">
      <c r="A8070" s="2">
        <v>8066</v>
      </c>
      <c r="B8070" s="66" t="s">
        <v>9707</v>
      </c>
      <c r="C8070" s="66" t="s">
        <v>9708</v>
      </c>
      <c r="D8070" s="11">
        <v>4295</v>
      </c>
      <c r="E8070" s="11">
        <v>4295</v>
      </c>
      <c r="F8070" s="3">
        <v>41226</v>
      </c>
      <c r="G8070" s="2" t="s">
        <v>14104</v>
      </c>
      <c r="H8070" s="3">
        <v>43053</v>
      </c>
      <c r="I8070" s="2" t="s">
        <v>19506</v>
      </c>
      <c r="J8070" s="2" t="s">
        <v>13904</v>
      </c>
      <c r="K8070" s="2" t="s">
        <v>19218</v>
      </c>
      <c r="L8070" s="82" t="s">
        <v>19512</v>
      </c>
    </row>
    <row r="8071" spans="1:12" ht="84" customHeight="1" x14ac:dyDescent="0.3">
      <c r="A8071" s="2">
        <v>8067</v>
      </c>
      <c r="B8071" s="66" t="s">
        <v>9707</v>
      </c>
      <c r="C8071" s="66" t="s">
        <v>9709</v>
      </c>
      <c r="D8071" s="11">
        <v>4295</v>
      </c>
      <c r="E8071" s="11">
        <v>4295</v>
      </c>
      <c r="F8071" s="3">
        <v>41226</v>
      </c>
      <c r="G8071" s="2" t="s">
        <v>14104</v>
      </c>
      <c r="H8071" s="3">
        <v>43053</v>
      </c>
      <c r="I8071" s="2" t="s">
        <v>19506</v>
      </c>
      <c r="J8071" s="2" t="s">
        <v>13904</v>
      </c>
      <c r="K8071" s="2" t="s">
        <v>19218</v>
      </c>
      <c r="L8071" s="82" t="s">
        <v>19512</v>
      </c>
    </row>
    <row r="8072" spans="1:12" ht="84" customHeight="1" x14ac:dyDescent="0.3">
      <c r="A8072" s="2">
        <v>8068</v>
      </c>
      <c r="B8072" s="66" t="s">
        <v>9710</v>
      </c>
      <c r="C8072" s="66" t="s">
        <v>9711</v>
      </c>
      <c r="D8072" s="11">
        <v>25010</v>
      </c>
      <c r="E8072" s="11">
        <v>25010</v>
      </c>
      <c r="F8072" s="3">
        <v>41226</v>
      </c>
      <c r="G8072" s="2" t="s">
        <v>14104</v>
      </c>
      <c r="H8072" s="3">
        <v>43053</v>
      </c>
      <c r="I8072" s="2" t="s">
        <v>19506</v>
      </c>
      <c r="J8072" s="2" t="s">
        <v>13904</v>
      </c>
      <c r="K8072" s="2" t="s">
        <v>19218</v>
      </c>
      <c r="L8072" s="82" t="s">
        <v>19512</v>
      </c>
    </row>
    <row r="8073" spans="1:12" ht="84" customHeight="1" x14ac:dyDescent="0.3">
      <c r="A8073" s="2">
        <v>8069</v>
      </c>
      <c r="B8073" s="66" t="s">
        <v>9710</v>
      </c>
      <c r="C8073" s="66" t="s">
        <v>9712</v>
      </c>
      <c r="D8073" s="11">
        <v>25010</v>
      </c>
      <c r="E8073" s="11">
        <v>25010</v>
      </c>
      <c r="F8073" s="3">
        <v>41226</v>
      </c>
      <c r="G8073" s="2" t="s">
        <v>14104</v>
      </c>
      <c r="H8073" s="3">
        <v>43053</v>
      </c>
      <c r="I8073" s="2" t="s">
        <v>19506</v>
      </c>
      <c r="J8073" s="2" t="s">
        <v>13904</v>
      </c>
      <c r="K8073" s="2" t="s">
        <v>19218</v>
      </c>
      <c r="L8073" s="82" t="s">
        <v>19512</v>
      </c>
    </row>
    <row r="8074" spans="1:12" ht="84" customHeight="1" x14ac:dyDescent="0.3">
      <c r="A8074" s="2">
        <v>8070</v>
      </c>
      <c r="B8074" s="66" t="s">
        <v>9713</v>
      </c>
      <c r="C8074" s="66" t="s">
        <v>9714</v>
      </c>
      <c r="D8074" s="11">
        <v>36700</v>
      </c>
      <c r="E8074" s="11">
        <v>36700</v>
      </c>
      <c r="F8074" s="3">
        <v>41988</v>
      </c>
      <c r="G8074" s="2" t="s">
        <v>14104</v>
      </c>
      <c r="H8074" s="3">
        <v>43053</v>
      </c>
      <c r="I8074" s="2" t="s">
        <v>19506</v>
      </c>
      <c r="J8074" s="2" t="s">
        <v>13904</v>
      </c>
      <c r="K8074" s="2" t="s">
        <v>19218</v>
      </c>
      <c r="L8074" s="82" t="s">
        <v>19512</v>
      </c>
    </row>
    <row r="8075" spans="1:12" ht="84" customHeight="1" x14ac:dyDescent="0.3">
      <c r="A8075" s="2">
        <v>8071</v>
      </c>
      <c r="B8075" s="66" t="s">
        <v>9713</v>
      </c>
      <c r="C8075" s="66" t="s">
        <v>6649</v>
      </c>
      <c r="D8075" s="11">
        <v>36700</v>
      </c>
      <c r="E8075" s="11">
        <v>36700</v>
      </c>
      <c r="F8075" s="3">
        <v>41988</v>
      </c>
      <c r="G8075" s="2" t="s">
        <v>14104</v>
      </c>
      <c r="H8075" s="3">
        <v>43053</v>
      </c>
      <c r="I8075" s="2" t="s">
        <v>19506</v>
      </c>
      <c r="J8075" s="2" t="s">
        <v>13904</v>
      </c>
      <c r="K8075" s="2" t="s">
        <v>19218</v>
      </c>
      <c r="L8075" s="82" t="s">
        <v>19512</v>
      </c>
    </row>
    <row r="8076" spans="1:12" ht="84" customHeight="1" x14ac:dyDescent="0.3">
      <c r="A8076" s="2">
        <v>8072</v>
      </c>
      <c r="B8076" s="66" t="s">
        <v>9713</v>
      </c>
      <c r="C8076" s="66" t="s">
        <v>6650</v>
      </c>
      <c r="D8076" s="11">
        <v>36700</v>
      </c>
      <c r="E8076" s="11">
        <v>36700</v>
      </c>
      <c r="F8076" s="3">
        <v>41988</v>
      </c>
      <c r="G8076" s="2" t="s">
        <v>14104</v>
      </c>
      <c r="H8076" s="3">
        <v>43053</v>
      </c>
      <c r="I8076" s="2" t="s">
        <v>19506</v>
      </c>
      <c r="J8076" s="2" t="s">
        <v>13904</v>
      </c>
      <c r="K8076" s="2" t="s">
        <v>19218</v>
      </c>
      <c r="L8076" s="82" t="s">
        <v>19512</v>
      </c>
    </row>
    <row r="8077" spans="1:12" ht="84" customHeight="1" x14ac:dyDescent="0.3">
      <c r="A8077" s="2">
        <v>8073</v>
      </c>
      <c r="B8077" s="66" t="s">
        <v>9715</v>
      </c>
      <c r="C8077" s="66" t="s">
        <v>6651</v>
      </c>
      <c r="D8077" s="11">
        <v>35100</v>
      </c>
      <c r="E8077" s="11">
        <v>35100</v>
      </c>
      <c r="F8077" s="3">
        <v>41988</v>
      </c>
      <c r="G8077" s="2" t="s">
        <v>14104</v>
      </c>
      <c r="H8077" s="3">
        <v>43053</v>
      </c>
      <c r="I8077" s="2" t="s">
        <v>19506</v>
      </c>
      <c r="J8077" s="2" t="s">
        <v>13904</v>
      </c>
      <c r="K8077" s="2" t="s">
        <v>19218</v>
      </c>
      <c r="L8077" s="82" t="s">
        <v>19512</v>
      </c>
    </row>
    <row r="8078" spans="1:12" ht="84" customHeight="1" x14ac:dyDescent="0.3">
      <c r="A8078" s="2">
        <v>8074</v>
      </c>
      <c r="B8078" s="66" t="s">
        <v>9715</v>
      </c>
      <c r="C8078" s="66" t="s">
        <v>6652</v>
      </c>
      <c r="D8078" s="11">
        <v>35100</v>
      </c>
      <c r="E8078" s="11">
        <v>35100</v>
      </c>
      <c r="F8078" s="3">
        <v>41988</v>
      </c>
      <c r="G8078" s="2" t="s">
        <v>14104</v>
      </c>
      <c r="H8078" s="3">
        <v>43053</v>
      </c>
      <c r="I8078" s="2" t="s">
        <v>19506</v>
      </c>
      <c r="J8078" s="2" t="s">
        <v>13904</v>
      </c>
      <c r="K8078" s="2" t="s">
        <v>19218</v>
      </c>
      <c r="L8078" s="82" t="s">
        <v>19512</v>
      </c>
    </row>
    <row r="8079" spans="1:12" ht="84" customHeight="1" x14ac:dyDescent="0.3">
      <c r="A8079" s="2">
        <v>8075</v>
      </c>
      <c r="B8079" s="66" t="s">
        <v>9715</v>
      </c>
      <c r="C8079" s="66" t="s">
        <v>6653</v>
      </c>
      <c r="D8079" s="11">
        <v>35000</v>
      </c>
      <c r="E8079" s="11">
        <v>35000</v>
      </c>
      <c r="F8079" s="3">
        <v>41988</v>
      </c>
      <c r="G8079" s="2" t="s">
        <v>14104</v>
      </c>
      <c r="H8079" s="3">
        <v>43053</v>
      </c>
      <c r="I8079" s="2" t="s">
        <v>19506</v>
      </c>
      <c r="J8079" s="2" t="s">
        <v>13904</v>
      </c>
      <c r="K8079" s="2" t="s">
        <v>19218</v>
      </c>
      <c r="L8079" s="82" t="s">
        <v>19512</v>
      </c>
    </row>
    <row r="8080" spans="1:12" ht="84" customHeight="1" x14ac:dyDescent="0.3">
      <c r="A8080" s="2">
        <v>8076</v>
      </c>
      <c r="B8080" s="66" t="s">
        <v>9716</v>
      </c>
      <c r="C8080" s="66" t="s">
        <v>6654</v>
      </c>
      <c r="D8080" s="11">
        <v>6400</v>
      </c>
      <c r="E8080" s="11">
        <v>6400</v>
      </c>
      <c r="F8080" s="3">
        <v>41988</v>
      </c>
      <c r="G8080" s="2" t="s">
        <v>14104</v>
      </c>
      <c r="H8080" s="3">
        <v>43053</v>
      </c>
      <c r="I8080" s="2" t="s">
        <v>19506</v>
      </c>
      <c r="J8080" s="2" t="s">
        <v>13904</v>
      </c>
      <c r="K8080" s="2" t="s">
        <v>19218</v>
      </c>
      <c r="L8080" s="82" t="s">
        <v>19512</v>
      </c>
    </row>
    <row r="8081" spans="1:12" ht="84" customHeight="1" x14ac:dyDescent="0.3">
      <c r="A8081" s="2">
        <v>8077</v>
      </c>
      <c r="B8081" s="66" t="s">
        <v>9716</v>
      </c>
      <c r="C8081" s="66" t="s">
        <v>6655</v>
      </c>
      <c r="D8081" s="11">
        <v>6300</v>
      </c>
      <c r="E8081" s="11">
        <v>6300</v>
      </c>
      <c r="F8081" s="3">
        <v>41988</v>
      </c>
      <c r="G8081" s="2" t="s">
        <v>14104</v>
      </c>
      <c r="H8081" s="3">
        <v>43053</v>
      </c>
      <c r="I8081" s="2" t="s">
        <v>19506</v>
      </c>
      <c r="J8081" s="2" t="s">
        <v>13904</v>
      </c>
      <c r="K8081" s="2" t="s">
        <v>19218</v>
      </c>
      <c r="L8081" s="82" t="s">
        <v>19512</v>
      </c>
    </row>
    <row r="8082" spans="1:12" ht="84" customHeight="1" x14ac:dyDescent="0.3">
      <c r="A8082" s="2">
        <v>8078</v>
      </c>
      <c r="B8082" s="66" t="s">
        <v>5314</v>
      </c>
      <c r="C8082" s="66" t="s">
        <v>6656</v>
      </c>
      <c r="D8082" s="11">
        <v>6900</v>
      </c>
      <c r="E8082" s="11">
        <v>6900</v>
      </c>
      <c r="F8082" s="3">
        <v>41988</v>
      </c>
      <c r="G8082" s="2" t="s">
        <v>14104</v>
      </c>
      <c r="H8082" s="3">
        <v>43053</v>
      </c>
      <c r="I8082" s="2" t="s">
        <v>19506</v>
      </c>
      <c r="J8082" s="2" t="s">
        <v>13904</v>
      </c>
      <c r="K8082" s="2" t="s">
        <v>19218</v>
      </c>
      <c r="L8082" s="82" t="s">
        <v>19512</v>
      </c>
    </row>
    <row r="8083" spans="1:12" ht="84" customHeight="1" x14ac:dyDescent="0.3">
      <c r="A8083" s="2">
        <v>8079</v>
      </c>
      <c r="B8083" s="66" t="s">
        <v>5314</v>
      </c>
      <c r="C8083" s="66" t="s">
        <v>6657</v>
      </c>
      <c r="D8083" s="11">
        <v>6900</v>
      </c>
      <c r="E8083" s="11">
        <v>6900</v>
      </c>
      <c r="F8083" s="3">
        <v>41988</v>
      </c>
      <c r="G8083" s="2" t="s">
        <v>14104</v>
      </c>
      <c r="H8083" s="3">
        <v>43053</v>
      </c>
      <c r="I8083" s="2" t="s">
        <v>19506</v>
      </c>
      <c r="J8083" s="2" t="s">
        <v>13904</v>
      </c>
      <c r="K8083" s="2" t="s">
        <v>19218</v>
      </c>
      <c r="L8083" s="82" t="s">
        <v>19512</v>
      </c>
    </row>
    <row r="8084" spans="1:12" ht="84" customHeight="1" x14ac:dyDescent="0.3">
      <c r="A8084" s="2">
        <v>8080</v>
      </c>
      <c r="B8084" s="66" t="s">
        <v>5314</v>
      </c>
      <c r="C8084" s="66" t="s">
        <v>6658</v>
      </c>
      <c r="D8084" s="11">
        <v>7900</v>
      </c>
      <c r="E8084" s="11">
        <v>7900</v>
      </c>
      <c r="F8084" s="3">
        <v>41988</v>
      </c>
      <c r="G8084" s="2" t="s">
        <v>14104</v>
      </c>
      <c r="H8084" s="3">
        <v>43053</v>
      </c>
      <c r="I8084" s="2" t="s">
        <v>19506</v>
      </c>
      <c r="J8084" s="2" t="s">
        <v>13904</v>
      </c>
      <c r="K8084" s="2" t="s">
        <v>19218</v>
      </c>
      <c r="L8084" s="82" t="s">
        <v>19512</v>
      </c>
    </row>
    <row r="8085" spans="1:12" ht="84" customHeight="1" x14ac:dyDescent="0.3">
      <c r="A8085" s="2">
        <v>8081</v>
      </c>
      <c r="B8085" s="66" t="s">
        <v>5264</v>
      </c>
      <c r="C8085" s="66" t="s">
        <v>9717</v>
      </c>
      <c r="D8085" s="11">
        <v>32987.230000000003</v>
      </c>
      <c r="E8085" s="11">
        <v>32987.230000000003</v>
      </c>
      <c r="F8085" s="3">
        <v>41624</v>
      </c>
      <c r="G8085" s="2" t="s">
        <v>14104</v>
      </c>
      <c r="H8085" s="3">
        <v>43053</v>
      </c>
      <c r="I8085" s="2" t="s">
        <v>19506</v>
      </c>
      <c r="J8085" s="2" t="s">
        <v>13904</v>
      </c>
      <c r="K8085" s="2" t="s">
        <v>19218</v>
      </c>
      <c r="L8085" s="82" t="s">
        <v>19512</v>
      </c>
    </row>
    <row r="8086" spans="1:12" ht="84" customHeight="1" x14ac:dyDescent="0.3">
      <c r="A8086" s="2">
        <v>8082</v>
      </c>
      <c r="B8086" s="66" t="s">
        <v>5570</v>
      </c>
      <c r="C8086" s="66" t="s">
        <v>4594</v>
      </c>
      <c r="D8086" s="11">
        <v>3546.2</v>
      </c>
      <c r="E8086" s="11">
        <v>3546.2</v>
      </c>
      <c r="F8086" s="3">
        <v>36932</v>
      </c>
      <c r="G8086" s="2" t="s">
        <v>14104</v>
      </c>
      <c r="H8086" s="3">
        <v>43053</v>
      </c>
      <c r="I8086" s="2" t="s">
        <v>19506</v>
      </c>
      <c r="J8086" s="2" t="s">
        <v>13904</v>
      </c>
      <c r="K8086" s="2" t="s">
        <v>19218</v>
      </c>
      <c r="L8086" s="82" t="s">
        <v>19512</v>
      </c>
    </row>
    <row r="8087" spans="1:12" ht="84" customHeight="1" x14ac:dyDescent="0.3">
      <c r="A8087" s="2">
        <v>8083</v>
      </c>
      <c r="B8087" s="66" t="s">
        <v>9437</v>
      </c>
      <c r="C8087" s="66" t="s">
        <v>3776</v>
      </c>
      <c r="D8087" s="11">
        <v>33389.46</v>
      </c>
      <c r="E8087" s="11">
        <v>33389.46</v>
      </c>
      <c r="F8087" s="3">
        <v>39773</v>
      </c>
      <c r="G8087" s="2" t="s">
        <v>14104</v>
      </c>
      <c r="H8087" s="3">
        <v>43053</v>
      </c>
      <c r="I8087" s="2" t="s">
        <v>19506</v>
      </c>
      <c r="J8087" s="2" t="s">
        <v>13904</v>
      </c>
      <c r="K8087" s="2" t="s">
        <v>19218</v>
      </c>
      <c r="L8087" s="82" t="s">
        <v>19512</v>
      </c>
    </row>
    <row r="8088" spans="1:12" ht="84" customHeight="1" x14ac:dyDescent="0.3">
      <c r="A8088" s="2">
        <v>8084</v>
      </c>
      <c r="B8088" s="66" t="s">
        <v>9399</v>
      </c>
      <c r="C8088" s="66" t="s">
        <v>9718</v>
      </c>
      <c r="D8088" s="11">
        <v>5339.3</v>
      </c>
      <c r="E8088" s="11">
        <v>5339.3</v>
      </c>
      <c r="F8088" s="3">
        <v>38395</v>
      </c>
      <c r="G8088" s="2" t="s">
        <v>14104</v>
      </c>
      <c r="H8088" s="3">
        <v>43053</v>
      </c>
      <c r="I8088" s="2" t="s">
        <v>19506</v>
      </c>
      <c r="J8088" s="2" t="s">
        <v>13904</v>
      </c>
      <c r="K8088" s="2" t="s">
        <v>19218</v>
      </c>
      <c r="L8088" s="82" t="s">
        <v>19512</v>
      </c>
    </row>
    <row r="8089" spans="1:12" ht="84" customHeight="1" x14ac:dyDescent="0.3">
      <c r="A8089" s="2">
        <v>8085</v>
      </c>
      <c r="B8089" s="66" t="s">
        <v>9719</v>
      </c>
      <c r="C8089" s="66" t="s">
        <v>9720</v>
      </c>
      <c r="D8089" s="11">
        <v>9500</v>
      </c>
      <c r="E8089" s="11">
        <v>9500</v>
      </c>
      <c r="F8089" s="3">
        <v>42185</v>
      </c>
      <c r="G8089" s="2" t="s">
        <v>14104</v>
      </c>
      <c r="H8089" s="3">
        <v>43053</v>
      </c>
      <c r="I8089" s="2" t="s">
        <v>19506</v>
      </c>
      <c r="J8089" s="2" t="s">
        <v>13904</v>
      </c>
      <c r="K8089" s="2" t="s">
        <v>19218</v>
      </c>
      <c r="L8089" s="82" t="s">
        <v>19512</v>
      </c>
    </row>
    <row r="8090" spans="1:12" ht="84" customHeight="1" x14ac:dyDescent="0.3">
      <c r="A8090" s="2">
        <v>8086</v>
      </c>
      <c r="B8090" s="66" t="s">
        <v>9721</v>
      </c>
      <c r="C8090" s="66" t="s">
        <v>4340</v>
      </c>
      <c r="D8090" s="11">
        <v>14415.9</v>
      </c>
      <c r="E8090" s="11">
        <v>14415.9</v>
      </c>
      <c r="F8090" s="3">
        <v>34742</v>
      </c>
      <c r="G8090" s="2" t="s">
        <v>14104</v>
      </c>
      <c r="H8090" s="3">
        <v>43053</v>
      </c>
      <c r="I8090" s="2" t="s">
        <v>19506</v>
      </c>
      <c r="J8090" s="2" t="s">
        <v>13904</v>
      </c>
      <c r="K8090" s="2" t="s">
        <v>19218</v>
      </c>
      <c r="L8090" s="82" t="s">
        <v>19512</v>
      </c>
    </row>
    <row r="8091" spans="1:12" ht="84" customHeight="1" x14ac:dyDescent="0.3">
      <c r="A8091" s="2">
        <v>8087</v>
      </c>
      <c r="B8091" s="66" t="s">
        <v>9722</v>
      </c>
      <c r="C8091" s="66" t="s">
        <v>9723</v>
      </c>
      <c r="D8091" s="11">
        <v>8400</v>
      </c>
      <c r="E8091" s="11">
        <v>8400</v>
      </c>
      <c r="F8091" s="3">
        <v>39394</v>
      </c>
      <c r="G8091" s="2" t="s">
        <v>14104</v>
      </c>
      <c r="H8091" s="3">
        <v>43053</v>
      </c>
      <c r="I8091" s="2" t="s">
        <v>19506</v>
      </c>
      <c r="J8091" s="2" t="s">
        <v>13904</v>
      </c>
      <c r="K8091" s="2" t="s">
        <v>19218</v>
      </c>
      <c r="L8091" s="82" t="s">
        <v>19512</v>
      </c>
    </row>
    <row r="8092" spans="1:12" ht="84" customHeight="1" x14ac:dyDescent="0.3">
      <c r="A8092" s="2">
        <v>8088</v>
      </c>
      <c r="B8092" s="66" t="s">
        <v>9724</v>
      </c>
      <c r="C8092" s="66" t="s">
        <v>9725</v>
      </c>
      <c r="D8092" s="11">
        <v>4734.72</v>
      </c>
      <c r="E8092" s="11">
        <v>4734.72</v>
      </c>
      <c r="F8092" s="3">
        <v>36566</v>
      </c>
      <c r="G8092" s="2" t="s">
        <v>14104</v>
      </c>
      <c r="H8092" s="3">
        <v>43053</v>
      </c>
      <c r="I8092" s="2" t="s">
        <v>19506</v>
      </c>
      <c r="J8092" s="2" t="s">
        <v>13904</v>
      </c>
      <c r="K8092" s="2" t="s">
        <v>19218</v>
      </c>
      <c r="L8092" s="82" t="s">
        <v>19512</v>
      </c>
    </row>
    <row r="8093" spans="1:12" ht="84" customHeight="1" x14ac:dyDescent="0.3">
      <c r="A8093" s="2">
        <v>8089</v>
      </c>
      <c r="B8093" s="66" t="s">
        <v>3890</v>
      </c>
      <c r="C8093" s="66" t="s">
        <v>9726</v>
      </c>
      <c r="D8093" s="11">
        <v>3888.06</v>
      </c>
      <c r="E8093" s="11">
        <v>3888.06</v>
      </c>
      <c r="F8093" s="3">
        <v>36566</v>
      </c>
      <c r="G8093" s="2" t="s">
        <v>14104</v>
      </c>
      <c r="H8093" s="3">
        <v>43053</v>
      </c>
      <c r="I8093" s="2" t="s">
        <v>19506</v>
      </c>
      <c r="J8093" s="2" t="s">
        <v>13904</v>
      </c>
      <c r="K8093" s="2" t="s">
        <v>19218</v>
      </c>
      <c r="L8093" s="82" t="s">
        <v>19512</v>
      </c>
    </row>
    <row r="8094" spans="1:12" ht="84" customHeight="1" x14ac:dyDescent="0.3">
      <c r="A8094" s="2">
        <v>8090</v>
      </c>
      <c r="B8094" s="66" t="s">
        <v>9727</v>
      </c>
      <c r="C8094" s="66" t="s">
        <v>9728</v>
      </c>
      <c r="D8094" s="11">
        <v>10975.05</v>
      </c>
      <c r="E8094" s="11">
        <v>10975.05</v>
      </c>
      <c r="F8094" s="3">
        <v>35838</v>
      </c>
      <c r="G8094" s="2" t="s">
        <v>14104</v>
      </c>
      <c r="H8094" s="3">
        <v>43053</v>
      </c>
      <c r="I8094" s="2" t="s">
        <v>19506</v>
      </c>
      <c r="J8094" s="2" t="s">
        <v>13904</v>
      </c>
      <c r="K8094" s="2" t="s">
        <v>19218</v>
      </c>
      <c r="L8094" s="82" t="s">
        <v>19512</v>
      </c>
    </row>
    <row r="8095" spans="1:12" ht="84" customHeight="1" x14ac:dyDescent="0.3">
      <c r="A8095" s="2">
        <v>8091</v>
      </c>
      <c r="B8095" s="66" t="s">
        <v>9729</v>
      </c>
      <c r="C8095" s="66" t="s">
        <v>5603</v>
      </c>
      <c r="D8095" s="11">
        <v>7285.5</v>
      </c>
      <c r="E8095" s="11">
        <v>7285.5</v>
      </c>
      <c r="F8095" s="3">
        <v>39441</v>
      </c>
      <c r="G8095" s="2" t="s">
        <v>14104</v>
      </c>
      <c r="H8095" s="3">
        <v>43053</v>
      </c>
      <c r="I8095" s="2" t="s">
        <v>19506</v>
      </c>
      <c r="J8095" s="2" t="s">
        <v>13904</v>
      </c>
      <c r="K8095" s="2" t="s">
        <v>19218</v>
      </c>
      <c r="L8095" s="82" t="s">
        <v>19512</v>
      </c>
    </row>
    <row r="8096" spans="1:12" ht="84" customHeight="1" x14ac:dyDescent="0.3">
      <c r="A8096" s="2">
        <v>8092</v>
      </c>
      <c r="B8096" s="66" t="s">
        <v>9730</v>
      </c>
      <c r="C8096" s="66" t="s">
        <v>3203</v>
      </c>
      <c r="D8096" s="11">
        <v>11661.62</v>
      </c>
      <c r="E8096" s="11">
        <v>11661.62</v>
      </c>
      <c r="F8096" s="3">
        <v>35838</v>
      </c>
      <c r="G8096" s="2" t="s">
        <v>14104</v>
      </c>
      <c r="H8096" s="3">
        <v>43053</v>
      </c>
      <c r="I8096" s="2" t="s">
        <v>19506</v>
      </c>
      <c r="J8096" s="2" t="s">
        <v>13904</v>
      </c>
      <c r="K8096" s="2" t="s">
        <v>19218</v>
      </c>
      <c r="L8096" s="82" t="s">
        <v>19512</v>
      </c>
    </row>
    <row r="8097" spans="1:12" ht="84" customHeight="1" x14ac:dyDescent="0.3">
      <c r="A8097" s="2">
        <v>8093</v>
      </c>
      <c r="B8097" s="66" t="s">
        <v>9384</v>
      </c>
      <c r="C8097" s="66" t="s">
        <v>9731</v>
      </c>
      <c r="D8097" s="11">
        <v>42053</v>
      </c>
      <c r="E8097" s="11">
        <v>42053</v>
      </c>
      <c r="F8097" s="3">
        <v>39394</v>
      </c>
      <c r="G8097" s="2" t="s">
        <v>14104</v>
      </c>
      <c r="H8097" s="3">
        <v>43053</v>
      </c>
      <c r="I8097" s="2" t="s">
        <v>19506</v>
      </c>
      <c r="J8097" s="2" t="s">
        <v>13904</v>
      </c>
      <c r="K8097" s="2" t="s">
        <v>19218</v>
      </c>
      <c r="L8097" s="82" t="s">
        <v>19512</v>
      </c>
    </row>
    <row r="8098" spans="1:12" ht="84" customHeight="1" x14ac:dyDescent="0.3">
      <c r="A8098" s="2">
        <v>8094</v>
      </c>
      <c r="B8098" s="66" t="s">
        <v>9732</v>
      </c>
      <c r="C8098" s="66" t="s">
        <v>9733</v>
      </c>
      <c r="D8098" s="11">
        <v>3731.84</v>
      </c>
      <c r="E8098" s="11">
        <v>3731.84</v>
      </c>
      <c r="F8098" s="3">
        <v>36566</v>
      </c>
      <c r="G8098" s="2" t="s">
        <v>14104</v>
      </c>
      <c r="H8098" s="3">
        <v>43053</v>
      </c>
      <c r="I8098" s="2" t="s">
        <v>19506</v>
      </c>
      <c r="J8098" s="2" t="s">
        <v>13904</v>
      </c>
      <c r="K8098" s="2" t="s">
        <v>19218</v>
      </c>
      <c r="L8098" s="82" t="s">
        <v>19512</v>
      </c>
    </row>
    <row r="8099" spans="1:12" ht="84" customHeight="1" x14ac:dyDescent="0.3">
      <c r="A8099" s="2">
        <v>8095</v>
      </c>
      <c r="B8099" s="66" t="s">
        <v>9384</v>
      </c>
      <c r="C8099" s="66" t="s">
        <v>9734</v>
      </c>
      <c r="D8099" s="11">
        <v>42053</v>
      </c>
      <c r="E8099" s="11">
        <v>42053</v>
      </c>
      <c r="F8099" s="3">
        <v>39394</v>
      </c>
      <c r="G8099" s="2" t="s">
        <v>14104</v>
      </c>
      <c r="H8099" s="3">
        <v>43053</v>
      </c>
      <c r="I8099" s="2" t="s">
        <v>19506</v>
      </c>
      <c r="J8099" s="2" t="s">
        <v>13904</v>
      </c>
      <c r="K8099" s="2" t="s">
        <v>19218</v>
      </c>
      <c r="L8099" s="82" t="s">
        <v>19512</v>
      </c>
    </row>
    <row r="8100" spans="1:12" ht="84" customHeight="1" x14ac:dyDescent="0.3">
      <c r="A8100" s="2">
        <v>8096</v>
      </c>
      <c r="B8100" s="66" t="s">
        <v>5572</v>
      </c>
      <c r="C8100" s="66" t="s">
        <v>9735</v>
      </c>
      <c r="D8100" s="11">
        <v>3745</v>
      </c>
      <c r="E8100" s="11">
        <v>3745</v>
      </c>
      <c r="F8100" s="3">
        <v>38395</v>
      </c>
      <c r="G8100" s="2" t="s">
        <v>14104</v>
      </c>
      <c r="H8100" s="3">
        <v>43053</v>
      </c>
      <c r="I8100" s="2" t="s">
        <v>19506</v>
      </c>
      <c r="J8100" s="2" t="s">
        <v>13904</v>
      </c>
      <c r="K8100" s="2" t="s">
        <v>19218</v>
      </c>
      <c r="L8100" s="82" t="s">
        <v>19512</v>
      </c>
    </row>
    <row r="8101" spans="1:12" ht="84" customHeight="1" x14ac:dyDescent="0.3">
      <c r="A8101" s="2">
        <v>8097</v>
      </c>
      <c r="B8101" s="66" t="s">
        <v>928</v>
      </c>
      <c r="C8101" s="66" t="s">
        <v>9736</v>
      </c>
      <c r="D8101" s="11">
        <v>6245.25</v>
      </c>
      <c r="E8101" s="11">
        <v>6245.25</v>
      </c>
      <c r="F8101" s="3">
        <v>32185</v>
      </c>
      <c r="G8101" s="2" t="s">
        <v>14104</v>
      </c>
      <c r="H8101" s="3">
        <v>43053</v>
      </c>
      <c r="I8101" s="2" t="s">
        <v>19506</v>
      </c>
      <c r="J8101" s="2" t="s">
        <v>13904</v>
      </c>
      <c r="K8101" s="2" t="s">
        <v>19218</v>
      </c>
      <c r="L8101" s="82" t="s">
        <v>19512</v>
      </c>
    </row>
    <row r="8102" spans="1:12" ht="84" customHeight="1" x14ac:dyDescent="0.3">
      <c r="A8102" s="2">
        <v>8098</v>
      </c>
      <c r="B8102" s="66" t="s">
        <v>9737</v>
      </c>
      <c r="C8102" s="66" t="s">
        <v>4012</v>
      </c>
      <c r="D8102" s="11">
        <v>11913.12</v>
      </c>
      <c r="E8102" s="11">
        <v>11913.12</v>
      </c>
      <c r="F8102" s="3">
        <v>31820</v>
      </c>
      <c r="G8102" s="2" t="s">
        <v>14104</v>
      </c>
      <c r="H8102" s="3">
        <v>43053</v>
      </c>
      <c r="I8102" s="2" t="s">
        <v>19506</v>
      </c>
      <c r="J8102" s="2" t="s">
        <v>13904</v>
      </c>
      <c r="K8102" s="2" t="s">
        <v>19218</v>
      </c>
      <c r="L8102" s="82" t="s">
        <v>19512</v>
      </c>
    </row>
    <row r="8103" spans="1:12" ht="84" customHeight="1" x14ac:dyDescent="0.3">
      <c r="A8103" s="2">
        <v>8099</v>
      </c>
      <c r="B8103" s="66" t="s">
        <v>9738</v>
      </c>
      <c r="C8103" s="66" t="s">
        <v>9739</v>
      </c>
      <c r="D8103" s="11">
        <v>3830.4</v>
      </c>
      <c r="E8103" s="11">
        <v>3830.4</v>
      </c>
      <c r="F8103" s="3">
        <v>26707</v>
      </c>
      <c r="G8103" s="2" t="s">
        <v>14104</v>
      </c>
      <c r="H8103" s="3">
        <v>43053</v>
      </c>
      <c r="I8103" s="2" t="s">
        <v>19506</v>
      </c>
      <c r="J8103" s="2" t="s">
        <v>13904</v>
      </c>
      <c r="K8103" s="2" t="s">
        <v>19218</v>
      </c>
      <c r="L8103" s="82" t="s">
        <v>19512</v>
      </c>
    </row>
    <row r="8104" spans="1:12" ht="84" customHeight="1" x14ac:dyDescent="0.3">
      <c r="A8104" s="2">
        <v>8100</v>
      </c>
      <c r="B8104" s="66" t="s">
        <v>6016</v>
      </c>
      <c r="C8104" s="66" t="s">
        <v>5583</v>
      </c>
      <c r="D8104" s="11">
        <v>3365.28</v>
      </c>
      <c r="E8104" s="11">
        <v>3365.28</v>
      </c>
      <c r="F8104" s="3">
        <v>29263</v>
      </c>
      <c r="G8104" s="2" t="s">
        <v>14104</v>
      </c>
      <c r="H8104" s="3">
        <v>43053</v>
      </c>
      <c r="I8104" s="2" t="s">
        <v>19506</v>
      </c>
      <c r="J8104" s="2" t="s">
        <v>13904</v>
      </c>
      <c r="K8104" s="2" t="s">
        <v>19218</v>
      </c>
      <c r="L8104" s="82" t="s">
        <v>19512</v>
      </c>
    </row>
    <row r="8105" spans="1:12" ht="84" customHeight="1" x14ac:dyDescent="0.3">
      <c r="A8105" s="2">
        <v>8101</v>
      </c>
      <c r="B8105" s="66" t="s">
        <v>6016</v>
      </c>
      <c r="C8105" s="66" t="s">
        <v>5011</v>
      </c>
      <c r="D8105" s="11">
        <v>4433.76</v>
      </c>
      <c r="E8105" s="11">
        <v>4433.76</v>
      </c>
      <c r="F8105" s="3">
        <v>29263</v>
      </c>
      <c r="G8105" s="2" t="s">
        <v>14104</v>
      </c>
      <c r="H8105" s="3">
        <v>43053</v>
      </c>
      <c r="I8105" s="2" t="s">
        <v>19506</v>
      </c>
      <c r="J8105" s="2" t="s">
        <v>13904</v>
      </c>
      <c r="K8105" s="2" t="s">
        <v>19218</v>
      </c>
      <c r="L8105" s="82" t="s">
        <v>19512</v>
      </c>
    </row>
    <row r="8106" spans="1:12" ht="84" customHeight="1" x14ac:dyDescent="0.3">
      <c r="A8106" s="2">
        <v>8102</v>
      </c>
      <c r="B8106" s="66" t="s">
        <v>9740</v>
      </c>
      <c r="C8106" s="66" t="s">
        <v>9741</v>
      </c>
      <c r="D8106" s="11">
        <v>5028.4799999999996</v>
      </c>
      <c r="E8106" s="11">
        <v>5028.4799999999996</v>
      </c>
      <c r="F8106" s="3">
        <v>29263</v>
      </c>
      <c r="G8106" s="2" t="s">
        <v>14104</v>
      </c>
      <c r="H8106" s="3">
        <v>43053</v>
      </c>
      <c r="I8106" s="2" t="s">
        <v>19506</v>
      </c>
      <c r="J8106" s="2" t="s">
        <v>13904</v>
      </c>
      <c r="K8106" s="2" t="s">
        <v>19218</v>
      </c>
      <c r="L8106" s="82" t="s">
        <v>19512</v>
      </c>
    </row>
    <row r="8107" spans="1:12" ht="84" customHeight="1" x14ac:dyDescent="0.3">
      <c r="A8107" s="2">
        <v>8103</v>
      </c>
      <c r="B8107" s="66" t="s">
        <v>9742</v>
      </c>
      <c r="C8107" s="66" t="s">
        <v>9743</v>
      </c>
      <c r="D8107" s="11">
        <v>3788.64</v>
      </c>
      <c r="E8107" s="11">
        <v>3788.64</v>
      </c>
      <c r="F8107" s="3">
        <v>26707</v>
      </c>
      <c r="G8107" s="2" t="s">
        <v>14104</v>
      </c>
      <c r="H8107" s="3">
        <v>43053</v>
      </c>
      <c r="I8107" s="2" t="s">
        <v>19506</v>
      </c>
      <c r="J8107" s="2" t="s">
        <v>13904</v>
      </c>
      <c r="K8107" s="2" t="s">
        <v>19218</v>
      </c>
      <c r="L8107" s="82" t="s">
        <v>19512</v>
      </c>
    </row>
    <row r="8108" spans="1:12" ht="84" customHeight="1" x14ac:dyDescent="0.3">
      <c r="A8108" s="2">
        <v>8104</v>
      </c>
      <c r="B8108" s="66" t="s">
        <v>9744</v>
      </c>
      <c r="C8108" s="66" t="s">
        <v>9745</v>
      </c>
      <c r="D8108" s="11">
        <v>21112.94</v>
      </c>
      <c r="E8108" s="11">
        <v>21112.94</v>
      </c>
      <c r="F8108" s="3">
        <v>38798</v>
      </c>
      <c r="G8108" s="2" t="s">
        <v>14104</v>
      </c>
      <c r="H8108" s="3">
        <v>43053</v>
      </c>
      <c r="I8108" s="2" t="s">
        <v>19506</v>
      </c>
      <c r="J8108" s="2" t="s">
        <v>13904</v>
      </c>
      <c r="K8108" s="2" t="s">
        <v>18569</v>
      </c>
      <c r="L8108" s="82" t="s">
        <v>19512</v>
      </c>
    </row>
    <row r="8109" spans="1:12" ht="84" customHeight="1" x14ac:dyDescent="0.3">
      <c r="A8109" s="2">
        <v>8105</v>
      </c>
      <c r="B8109" s="66" t="s">
        <v>9746</v>
      </c>
      <c r="C8109" s="66" t="s">
        <v>9747</v>
      </c>
      <c r="D8109" s="11">
        <v>47622.05</v>
      </c>
      <c r="E8109" s="11">
        <v>47622.05</v>
      </c>
      <c r="F8109" s="3">
        <v>38736</v>
      </c>
      <c r="G8109" s="2" t="s">
        <v>14104</v>
      </c>
      <c r="H8109" s="3">
        <v>43053</v>
      </c>
      <c r="I8109" s="2" t="s">
        <v>19506</v>
      </c>
      <c r="J8109" s="2" t="s">
        <v>13904</v>
      </c>
      <c r="K8109" s="2" t="s">
        <v>18569</v>
      </c>
      <c r="L8109" s="82" t="s">
        <v>19512</v>
      </c>
    </row>
    <row r="8110" spans="1:12" ht="84" customHeight="1" x14ac:dyDescent="0.3">
      <c r="A8110" s="2">
        <v>8106</v>
      </c>
      <c r="B8110" s="66" t="s">
        <v>1077</v>
      </c>
      <c r="C8110" s="66" t="s">
        <v>9748</v>
      </c>
      <c r="D8110" s="11">
        <v>20980</v>
      </c>
      <c r="E8110" s="11">
        <v>20980</v>
      </c>
      <c r="F8110" s="3"/>
      <c r="G8110" s="2" t="s">
        <v>14104</v>
      </c>
      <c r="H8110" s="3">
        <v>43053</v>
      </c>
      <c r="I8110" s="2" t="s">
        <v>19506</v>
      </c>
      <c r="J8110" s="2" t="s">
        <v>13904</v>
      </c>
      <c r="K8110" s="2" t="s">
        <v>19218</v>
      </c>
      <c r="L8110" s="82" t="s">
        <v>19512</v>
      </c>
    </row>
    <row r="8111" spans="1:12" ht="84" customHeight="1" x14ac:dyDescent="0.3">
      <c r="A8111" s="2">
        <v>8107</v>
      </c>
      <c r="B8111" s="66" t="s">
        <v>9749</v>
      </c>
      <c r="C8111" s="66" t="s">
        <v>9750</v>
      </c>
      <c r="D8111" s="11">
        <v>4064.3</v>
      </c>
      <c r="E8111" s="11">
        <v>4064.3</v>
      </c>
      <c r="F8111" s="3">
        <v>40701</v>
      </c>
      <c r="G8111" s="2" t="s">
        <v>14104</v>
      </c>
      <c r="H8111" s="3">
        <v>43053</v>
      </c>
      <c r="I8111" s="2" t="s">
        <v>19506</v>
      </c>
      <c r="J8111" s="2" t="s">
        <v>13904</v>
      </c>
      <c r="K8111" s="2" t="s">
        <v>19218</v>
      </c>
      <c r="L8111" s="82" t="s">
        <v>19512</v>
      </c>
    </row>
    <row r="8112" spans="1:12" ht="84" customHeight="1" x14ac:dyDescent="0.3">
      <c r="A8112" s="2">
        <v>8108</v>
      </c>
      <c r="B8112" s="66" t="s">
        <v>9751</v>
      </c>
      <c r="C8112" s="66" t="s">
        <v>9752</v>
      </c>
      <c r="D8112" s="11">
        <v>13375</v>
      </c>
      <c r="E8112" s="11">
        <v>13375</v>
      </c>
      <c r="F8112" s="3">
        <v>40701</v>
      </c>
      <c r="G8112" s="2" t="s">
        <v>14104</v>
      </c>
      <c r="H8112" s="3">
        <v>43053</v>
      </c>
      <c r="I8112" s="2" t="s">
        <v>19506</v>
      </c>
      <c r="J8112" s="2" t="s">
        <v>13904</v>
      </c>
      <c r="K8112" s="2" t="s">
        <v>19218</v>
      </c>
      <c r="L8112" s="82" t="s">
        <v>19512</v>
      </c>
    </row>
    <row r="8113" spans="1:12" ht="84" customHeight="1" x14ac:dyDescent="0.3">
      <c r="A8113" s="2">
        <v>8109</v>
      </c>
      <c r="B8113" s="66" t="s">
        <v>9753</v>
      </c>
      <c r="C8113" s="66" t="s">
        <v>9754</v>
      </c>
      <c r="D8113" s="11">
        <v>5090.3999999999996</v>
      </c>
      <c r="E8113" s="11">
        <v>5090.3999999999996</v>
      </c>
      <c r="F8113" s="3">
        <v>39339</v>
      </c>
      <c r="G8113" s="2" t="s">
        <v>14104</v>
      </c>
      <c r="H8113" s="3">
        <v>43053</v>
      </c>
      <c r="I8113" s="2" t="s">
        <v>19506</v>
      </c>
      <c r="J8113" s="2" t="s">
        <v>13904</v>
      </c>
      <c r="K8113" s="2" t="s">
        <v>19218</v>
      </c>
      <c r="L8113" s="82" t="s">
        <v>19512</v>
      </c>
    </row>
    <row r="8114" spans="1:12" ht="84" customHeight="1" x14ac:dyDescent="0.3">
      <c r="A8114" s="2">
        <v>8110</v>
      </c>
      <c r="B8114" s="66" t="s">
        <v>9755</v>
      </c>
      <c r="C8114" s="66" t="s">
        <v>3635</v>
      </c>
      <c r="D8114" s="11">
        <v>3796.03</v>
      </c>
      <c r="E8114" s="11">
        <v>3796.03</v>
      </c>
      <c r="F8114" s="3">
        <v>34012</v>
      </c>
      <c r="G8114" s="2" t="s">
        <v>14104</v>
      </c>
      <c r="H8114" s="3">
        <v>43053</v>
      </c>
      <c r="I8114" s="2" t="s">
        <v>19506</v>
      </c>
      <c r="J8114" s="2" t="s">
        <v>13904</v>
      </c>
      <c r="K8114" s="2" t="s">
        <v>19218</v>
      </c>
      <c r="L8114" s="82" t="s">
        <v>19512</v>
      </c>
    </row>
    <row r="8115" spans="1:12" ht="84" customHeight="1" x14ac:dyDescent="0.3">
      <c r="A8115" s="2">
        <v>8111</v>
      </c>
      <c r="B8115" s="66" t="s">
        <v>18777</v>
      </c>
      <c r="C8115" s="66">
        <v>4101240002</v>
      </c>
      <c r="D8115" s="11">
        <v>119277.66</v>
      </c>
      <c r="E8115" s="11">
        <v>12779.73</v>
      </c>
      <c r="F8115" s="3">
        <v>42342</v>
      </c>
      <c r="G8115" s="2" t="s">
        <v>14104</v>
      </c>
      <c r="H8115" s="2"/>
      <c r="I8115" s="2"/>
      <c r="J8115" s="2" t="s">
        <v>13904</v>
      </c>
      <c r="K8115" s="2" t="s">
        <v>19218</v>
      </c>
      <c r="L8115" s="82" t="s">
        <v>18780</v>
      </c>
    </row>
    <row r="8116" spans="1:12" ht="84" customHeight="1" x14ac:dyDescent="0.3">
      <c r="A8116" s="2">
        <v>8112</v>
      </c>
      <c r="B8116" s="66" t="s">
        <v>9756</v>
      </c>
      <c r="C8116" s="66" t="s">
        <v>9757</v>
      </c>
      <c r="D8116" s="11">
        <v>5185.63</v>
      </c>
      <c r="E8116" s="11">
        <v>5185.63</v>
      </c>
      <c r="F8116" s="3">
        <v>39682</v>
      </c>
      <c r="G8116" s="2" t="s">
        <v>14104</v>
      </c>
      <c r="H8116" s="3">
        <v>43053</v>
      </c>
      <c r="I8116" s="2" t="s">
        <v>19506</v>
      </c>
      <c r="J8116" s="2" t="s">
        <v>13904</v>
      </c>
      <c r="K8116" s="2" t="s">
        <v>19218</v>
      </c>
      <c r="L8116" s="82" t="s">
        <v>19512</v>
      </c>
    </row>
    <row r="8117" spans="1:12" ht="84" customHeight="1" x14ac:dyDescent="0.3">
      <c r="A8117" s="2">
        <v>8113</v>
      </c>
      <c r="B8117" s="66" t="s">
        <v>18779</v>
      </c>
      <c r="C8117" s="66">
        <v>4101240003</v>
      </c>
      <c r="D8117" s="11">
        <v>398840</v>
      </c>
      <c r="E8117" s="11">
        <v>39883.980000000003</v>
      </c>
      <c r="F8117" s="3">
        <v>42537</v>
      </c>
      <c r="G8117" s="2" t="s">
        <v>14104</v>
      </c>
      <c r="H8117" s="2"/>
      <c r="I8117" s="2"/>
      <c r="J8117" s="2" t="s">
        <v>13904</v>
      </c>
      <c r="K8117" s="2" t="s">
        <v>19218</v>
      </c>
      <c r="L8117" s="82" t="s">
        <v>18780</v>
      </c>
    </row>
    <row r="8118" spans="1:12" ht="84" customHeight="1" x14ac:dyDescent="0.3">
      <c r="A8118" s="2">
        <v>8114</v>
      </c>
      <c r="B8118" s="66" t="s">
        <v>9758</v>
      </c>
      <c r="C8118" s="66" t="s">
        <v>9759</v>
      </c>
      <c r="D8118" s="11">
        <v>3359.15</v>
      </c>
      <c r="E8118" s="11">
        <v>3359.15</v>
      </c>
      <c r="F8118" s="3">
        <v>39773</v>
      </c>
      <c r="G8118" s="2" t="s">
        <v>14104</v>
      </c>
      <c r="H8118" s="3">
        <v>43053</v>
      </c>
      <c r="I8118" s="2" t="s">
        <v>19506</v>
      </c>
      <c r="J8118" s="2" t="s">
        <v>13904</v>
      </c>
      <c r="K8118" s="2" t="s">
        <v>19218</v>
      </c>
      <c r="L8118" s="82" t="s">
        <v>19512</v>
      </c>
    </row>
    <row r="8119" spans="1:12" ht="84" customHeight="1" x14ac:dyDescent="0.3">
      <c r="A8119" s="2">
        <v>8115</v>
      </c>
      <c r="B8119" s="66" t="s">
        <v>9760</v>
      </c>
      <c r="C8119" s="66" t="s">
        <v>9761</v>
      </c>
      <c r="D8119" s="11">
        <v>3647.33</v>
      </c>
      <c r="E8119" s="11">
        <v>3647.33</v>
      </c>
      <c r="F8119" s="3">
        <v>40898</v>
      </c>
      <c r="G8119" s="2" t="s">
        <v>14104</v>
      </c>
      <c r="H8119" s="3">
        <v>43053</v>
      </c>
      <c r="I8119" s="2" t="s">
        <v>19506</v>
      </c>
      <c r="J8119" s="2" t="s">
        <v>13904</v>
      </c>
      <c r="K8119" s="2" t="s">
        <v>19218</v>
      </c>
      <c r="L8119" s="82" t="s">
        <v>19512</v>
      </c>
    </row>
    <row r="8120" spans="1:12" ht="84" customHeight="1" x14ac:dyDescent="0.3">
      <c r="A8120" s="2">
        <v>8116</v>
      </c>
      <c r="B8120" s="66" t="s">
        <v>9762</v>
      </c>
      <c r="C8120" s="66" t="s">
        <v>9763</v>
      </c>
      <c r="D8120" s="11">
        <v>11604.36</v>
      </c>
      <c r="E8120" s="11">
        <v>11604.36</v>
      </c>
      <c r="F8120" s="3">
        <v>40898</v>
      </c>
      <c r="G8120" s="2" t="s">
        <v>14104</v>
      </c>
      <c r="H8120" s="3">
        <v>43053</v>
      </c>
      <c r="I8120" s="2" t="s">
        <v>19506</v>
      </c>
      <c r="J8120" s="2" t="s">
        <v>13904</v>
      </c>
      <c r="K8120" s="2" t="s">
        <v>19218</v>
      </c>
      <c r="L8120" s="82" t="s">
        <v>19512</v>
      </c>
    </row>
    <row r="8121" spans="1:12" ht="84" customHeight="1" x14ac:dyDescent="0.3">
      <c r="A8121" s="2">
        <v>8117</v>
      </c>
      <c r="B8121" s="66" t="s">
        <v>9764</v>
      </c>
      <c r="C8121" s="66" t="s">
        <v>9765</v>
      </c>
      <c r="D8121" s="11">
        <v>15583.39</v>
      </c>
      <c r="E8121" s="11">
        <v>15583.39</v>
      </c>
      <c r="F8121" s="3">
        <v>40898</v>
      </c>
      <c r="G8121" s="2" t="s">
        <v>14104</v>
      </c>
      <c r="H8121" s="3">
        <v>43053</v>
      </c>
      <c r="I8121" s="2" t="s">
        <v>19506</v>
      </c>
      <c r="J8121" s="2" t="s">
        <v>13904</v>
      </c>
      <c r="K8121" s="2" t="s">
        <v>19218</v>
      </c>
      <c r="L8121" s="82" t="s">
        <v>19512</v>
      </c>
    </row>
    <row r="8122" spans="1:12" ht="84" customHeight="1" x14ac:dyDescent="0.3">
      <c r="A8122" s="2">
        <v>8118</v>
      </c>
      <c r="B8122" s="66" t="s">
        <v>9766</v>
      </c>
      <c r="C8122" s="66" t="s">
        <v>9767</v>
      </c>
      <c r="D8122" s="11">
        <v>22804.86</v>
      </c>
      <c r="E8122" s="11">
        <v>22804.86</v>
      </c>
      <c r="F8122" s="3">
        <v>40898</v>
      </c>
      <c r="G8122" s="2" t="s">
        <v>14104</v>
      </c>
      <c r="H8122" s="3">
        <v>43053</v>
      </c>
      <c r="I8122" s="2" t="s">
        <v>19506</v>
      </c>
      <c r="J8122" s="2" t="s">
        <v>13904</v>
      </c>
      <c r="K8122" s="2" t="s">
        <v>19218</v>
      </c>
      <c r="L8122" s="82" t="s">
        <v>19512</v>
      </c>
    </row>
    <row r="8123" spans="1:12" ht="84" customHeight="1" x14ac:dyDescent="0.3">
      <c r="A8123" s="2">
        <v>8119</v>
      </c>
      <c r="B8123" s="66" t="s">
        <v>9768</v>
      </c>
      <c r="C8123" s="66" t="s">
        <v>9769</v>
      </c>
      <c r="D8123" s="11">
        <v>4334.63</v>
      </c>
      <c r="E8123" s="11">
        <v>4334.63</v>
      </c>
      <c r="F8123" s="3">
        <v>40898</v>
      </c>
      <c r="G8123" s="2" t="s">
        <v>14104</v>
      </c>
      <c r="H8123" s="3">
        <v>43053</v>
      </c>
      <c r="I8123" s="2" t="s">
        <v>19506</v>
      </c>
      <c r="J8123" s="2" t="s">
        <v>13904</v>
      </c>
      <c r="K8123" s="2" t="s">
        <v>19218</v>
      </c>
      <c r="L8123" s="82" t="s">
        <v>19512</v>
      </c>
    </row>
    <row r="8124" spans="1:12" ht="84" customHeight="1" x14ac:dyDescent="0.3">
      <c r="A8124" s="2">
        <v>8120</v>
      </c>
      <c r="B8124" s="66" t="s">
        <v>9770</v>
      </c>
      <c r="C8124" s="66" t="s">
        <v>9771</v>
      </c>
      <c r="D8124" s="11">
        <v>11565.94</v>
      </c>
      <c r="E8124" s="11">
        <v>11565.94</v>
      </c>
      <c r="F8124" s="3">
        <v>40898</v>
      </c>
      <c r="G8124" s="2" t="s">
        <v>14104</v>
      </c>
      <c r="H8124" s="3">
        <v>43053</v>
      </c>
      <c r="I8124" s="2" t="s">
        <v>19506</v>
      </c>
      <c r="J8124" s="2" t="s">
        <v>13904</v>
      </c>
      <c r="K8124" s="2" t="s">
        <v>19218</v>
      </c>
      <c r="L8124" s="82" t="s">
        <v>19512</v>
      </c>
    </row>
    <row r="8125" spans="1:12" ht="84" customHeight="1" x14ac:dyDescent="0.3">
      <c r="A8125" s="2">
        <v>8121</v>
      </c>
      <c r="B8125" s="66" t="s">
        <v>9772</v>
      </c>
      <c r="C8125" s="66" t="s">
        <v>3976</v>
      </c>
      <c r="D8125" s="11">
        <v>28599.78</v>
      </c>
      <c r="E8125" s="11">
        <v>28599.78</v>
      </c>
      <c r="F8125" s="3">
        <v>32358</v>
      </c>
      <c r="G8125" s="2" t="s">
        <v>14104</v>
      </c>
      <c r="H8125" s="3">
        <v>43053</v>
      </c>
      <c r="I8125" s="2" t="s">
        <v>19506</v>
      </c>
      <c r="J8125" s="2" t="s">
        <v>13904</v>
      </c>
      <c r="K8125" s="2" t="s">
        <v>19218</v>
      </c>
      <c r="L8125" s="82" t="s">
        <v>19512</v>
      </c>
    </row>
    <row r="8126" spans="1:12" ht="84" customHeight="1" x14ac:dyDescent="0.3">
      <c r="A8126" s="2">
        <v>8122</v>
      </c>
      <c r="B8126" s="66" t="s">
        <v>9773</v>
      </c>
      <c r="C8126" s="66" t="s">
        <v>3314</v>
      </c>
      <c r="D8126" s="11">
        <v>24568</v>
      </c>
      <c r="E8126" s="11">
        <v>24568</v>
      </c>
      <c r="F8126" s="3">
        <v>39441</v>
      </c>
      <c r="G8126" s="2" t="s">
        <v>14104</v>
      </c>
      <c r="H8126" s="3">
        <v>43053</v>
      </c>
      <c r="I8126" s="2" t="s">
        <v>19506</v>
      </c>
      <c r="J8126" s="2" t="s">
        <v>13904</v>
      </c>
      <c r="K8126" s="2" t="s">
        <v>19218</v>
      </c>
      <c r="L8126" s="82" t="s">
        <v>19512</v>
      </c>
    </row>
    <row r="8127" spans="1:12" ht="84" customHeight="1" x14ac:dyDescent="0.3">
      <c r="A8127" s="2">
        <v>8123</v>
      </c>
      <c r="B8127" s="66" t="s">
        <v>9774</v>
      </c>
      <c r="C8127" s="66" t="s">
        <v>9775</v>
      </c>
      <c r="D8127" s="11">
        <v>4304.75</v>
      </c>
      <c r="E8127" s="11">
        <v>4304.75</v>
      </c>
      <c r="F8127" s="3">
        <v>40898</v>
      </c>
      <c r="G8127" s="2" t="s">
        <v>14104</v>
      </c>
      <c r="H8127" s="3">
        <v>43053</v>
      </c>
      <c r="I8127" s="2" t="s">
        <v>19506</v>
      </c>
      <c r="J8127" s="2" t="s">
        <v>13904</v>
      </c>
      <c r="K8127" s="2" t="s">
        <v>19218</v>
      </c>
      <c r="L8127" s="82" t="s">
        <v>19512</v>
      </c>
    </row>
    <row r="8128" spans="1:12" ht="84" customHeight="1" x14ac:dyDescent="0.3">
      <c r="A8128" s="2">
        <v>8124</v>
      </c>
      <c r="B8128" s="66" t="s">
        <v>9776</v>
      </c>
      <c r="C8128" s="66" t="s">
        <v>9777</v>
      </c>
      <c r="D8128" s="11">
        <v>5970.97</v>
      </c>
      <c r="E8128" s="11">
        <v>5970.97</v>
      </c>
      <c r="F8128" s="3">
        <v>37246</v>
      </c>
      <c r="G8128" s="2" t="s">
        <v>14104</v>
      </c>
      <c r="H8128" s="3">
        <v>43053</v>
      </c>
      <c r="I8128" s="2" t="s">
        <v>19506</v>
      </c>
      <c r="J8128" s="2" t="s">
        <v>13904</v>
      </c>
      <c r="K8128" s="2" t="s">
        <v>19218</v>
      </c>
      <c r="L8128" s="82" t="s">
        <v>19512</v>
      </c>
    </row>
    <row r="8129" spans="1:15" ht="84" customHeight="1" x14ac:dyDescent="0.3">
      <c r="A8129" s="2">
        <v>8125</v>
      </c>
      <c r="B8129" s="66" t="s">
        <v>9778</v>
      </c>
      <c r="C8129" s="66" t="s">
        <v>9779</v>
      </c>
      <c r="D8129" s="11">
        <v>9747.39</v>
      </c>
      <c r="E8129" s="11">
        <v>9747.39</v>
      </c>
      <c r="F8129" s="3">
        <v>37246</v>
      </c>
      <c r="G8129" s="2" t="s">
        <v>14104</v>
      </c>
      <c r="H8129" s="3">
        <v>43053</v>
      </c>
      <c r="I8129" s="2" t="s">
        <v>19506</v>
      </c>
      <c r="J8129" s="2" t="s">
        <v>13904</v>
      </c>
      <c r="K8129" s="2" t="s">
        <v>19218</v>
      </c>
      <c r="L8129" s="82" t="s">
        <v>19512</v>
      </c>
    </row>
    <row r="8130" spans="1:15" ht="84" customHeight="1" x14ac:dyDescent="0.3">
      <c r="A8130" s="2">
        <v>8126</v>
      </c>
      <c r="B8130" s="66" t="s">
        <v>9780</v>
      </c>
      <c r="C8130" s="66" t="s">
        <v>9781</v>
      </c>
      <c r="D8130" s="11">
        <v>18566.66</v>
      </c>
      <c r="E8130" s="11">
        <v>18566.66</v>
      </c>
      <c r="F8130" s="3">
        <v>37246</v>
      </c>
      <c r="G8130" s="2" t="s">
        <v>14104</v>
      </c>
      <c r="H8130" s="3">
        <v>43053</v>
      </c>
      <c r="I8130" s="2" t="s">
        <v>19506</v>
      </c>
      <c r="J8130" s="2" t="s">
        <v>13904</v>
      </c>
      <c r="K8130" s="2" t="s">
        <v>19218</v>
      </c>
      <c r="L8130" s="82" t="s">
        <v>19512</v>
      </c>
    </row>
    <row r="8131" spans="1:15" ht="84" customHeight="1" x14ac:dyDescent="0.3">
      <c r="A8131" s="2">
        <v>8127</v>
      </c>
      <c r="B8131" s="66" t="s">
        <v>9780</v>
      </c>
      <c r="C8131" s="66" t="s">
        <v>9782</v>
      </c>
      <c r="D8131" s="11">
        <v>18566.66</v>
      </c>
      <c r="E8131" s="11">
        <v>18566.66</v>
      </c>
      <c r="F8131" s="3">
        <v>37246</v>
      </c>
      <c r="G8131" s="2" t="s">
        <v>14104</v>
      </c>
      <c r="H8131" s="3">
        <v>43053</v>
      </c>
      <c r="I8131" s="2" t="s">
        <v>19506</v>
      </c>
      <c r="J8131" s="2" t="s">
        <v>13904</v>
      </c>
      <c r="K8131" s="2" t="s">
        <v>19218</v>
      </c>
      <c r="L8131" s="82" t="s">
        <v>19512</v>
      </c>
    </row>
    <row r="8132" spans="1:15" ht="84" customHeight="1" x14ac:dyDescent="0.3">
      <c r="A8132" s="2">
        <v>8128</v>
      </c>
      <c r="B8132" s="66" t="s">
        <v>9783</v>
      </c>
      <c r="C8132" s="66" t="s">
        <v>9784</v>
      </c>
      <c r="D8132" s="11">
        <v>30832.37</v>
      </c>
      <c r="E8132" s="11">
        <v>30832.37</v>
      </c>
      <c r="F8132" s="3">
        <v>37246</v>
      </c>
      <c r="G8132" s="2" t="s">
        <v>14104</v>
      </c>
      <c r="H8132" s="3">
        <v>43053</v>
      </c>
      <c r="I8132" s="2" t="s">
        <v>19506</v>
      </c>
      <c r="J8132" s="2" t="s">
        <v>13904</v>
      </c>
      <c r="K8132" s="2" t="s">
        <v>19218</v>
      </c>
      <c r="L8132" s="82" t="s">
        <v>19512</v>
      </c>
    </row>
    <row r="8133" spans="1:15" ht="84" customHeight="1" x14ac:dyDescent="0.3">
      <c r="A8133" s="2">
        <v>8129</v>
      </c>
      <c r="B8133" s="66" t="s">
        <v>9785</v>
      </c>
      <c r="C8133" s="66" t="s">
        <v>9786</v>
      </c>
      <c r="D8133" s="11">
        <v>15650.56</v>
      </c>
      <c r="E8133" s="11">
        <v>15650.56</v>
      </c>
      <c r="F8133" s="3">
        <v>37246</v>
      </c>
      <c r="G8133" s="2" t="s">
        <v>14104</v>
      </c>
      <c r="H8133" s="3">
        <v>43053</v>
      </c>
      <c r="I8133" s="2" t="s">
        <v>19506</v>
      </c>
      <c r="J8133" s="2" t="s">
        <v>13904</v>
      </c>
      <c r="K8133" s="2" t="s">
        <v>19218</v>
      </c>
      <c r="L8133" s="82" t="s">
        <v>19512</v>
      </c>
    </row>
    <row r="8134" spans="1:15" ht="84" customHeight="1" x14ac:dyDescent="0.3">
      <c r="A8134" s="2">
        <v>8130</v>
      </c>
      <c r="B8134" s="66" t="s">
        <v>9787</v>
      </c>
      <c r="C8134" s="66" t="s">
        <v>9788</v>
      </c>
      <c r="D8134" s="11">
        <v>16972.73</v>
      </c>
      <c r="E8134" s="11">
        <v>16972.73</v>
      </c>
      <c r="F8134" s="3">
        <v>37246</v>
      </c>
      <c r="G8134" s="2" t="s">
        <v>14104</v>
      </c>
      <c r="H8134" s="3">
        <v>43053</v>
      </c>
      <c r="I8134" s="2" t="s">
        <v>19506</v>
      </c>
      <c r="J8134" s="2" t="s">
        <v>13904</v>
      </c>
      <c r="K8134" s="2" t="s">
        <v>19218</v>
      </c>
      <c r="L8134" s="82" t="s">
        <v>19512</v>
      </c>
    </row>
    <row r="8135" spans="1:15" ht="84" customHeight="1" x14ac:dyDescent="0.3">
      <c r="A8135" s="2">
        <v>8131</v>
      </c>
      <c r="B8135" s="66" t="s">
        <v>9789</v>
      </c>
      <c r="C8135" s="66" t="s">
        <v>9790</v>
      </c>
      <c r="D8135" s="11">
        <v>11636.42</v>
      </c>
      <c r="E8135" s="11">
        <v>11636.42</v>
      </c>
      <c r="F8135" s="3">
        <v>37246</v>
      </c>
      <c r="G8135" s="2" t="s">
        <v>14104</v>
      </c>
      <c r="H8135" s="3">
        <v>43053</v>
      </c>
      <c r="I8135" s="2" t="s">
        <v>19506</v>
      </c>
      <c r="J8135" s="2" t="s">
        <v>13904</v>
      </c>
      <c r="K8135" s="2" t="s">
        <v>19218</v>
      </c>
      <c r="L8135" s="82" t="s">
        <v>19512</v>
      </c>
    </row>
    <row r="8136" spans="1:15" ht="84" customHeight="1" x14ac:dyDescent="0.3">
      <c r="A8136" s="2">
        <v>8132</v>
      </c>
      <c r="B8136" s="66" t="s">
        <v>9791</v>
      </c>
      <c r="C8136" s="66" t="s">
        <v>9792</v>
      </c>
      <c r="D8136" s="11">
        <v>3909.17</v>
      </c>
      <c r="E8136" s="11">
        <v>3909.17</v>
      </c>
      <c r="F8136" s="3">
        <v>39076</v>
      </c>
      <c r="G8136" s="2" t="s">
        <v>14104</v>
      </c>
      <c r="H8136" s="3">
        <v>43053</v>
      </c>
      <c r="I8136" s="2" t="s">
        <v>19506</v>
      </c>
      <c r="J8136" s="2" t="s">
        <v>13904</v>
      </c>
      <c r="K8136" s="2" t="s">
        <v>19218</v>
      </c>
      <c r="L8136" s="82" t="s">
        <v>19512</v>
      </c>
      <c r="M8136" s="18"/>
      <c r="N8136" s="18"/>
      <c r="O8136" s="18"/>
    </row>
    <row r="8137" spans="1:15" ht="84" customHeight="1" x14ac:dyDescent="0.3">
      <c r="A8137" s="2">
        <v>8133</v>
      </c>
      <c r="B8137" s="66" t="s">
        <v>9793</v>
      </c>
      <c r="C8137" s="66" t="s">
        <v>9794</v>
      </c>
      <c r="D8137" s="11">
        <v>6064.81</v>
      </c>
      <c r="E8137" s="11">
        <v>6064.81</v>
      </c>
      <c r="F8137" s="3">
        <v>40898</v>
      </c>
      <c r="G8137" s="2" t="s">
        <v>14104</v>
      </c>
      <c r="H8137" s="3">
        <v>43053</v>
      </c>
      <c r="I8137" s="2" t="s">
        <v>19506</v>
      </c>
      <c r="J8137" s="2" t="s">
        <v>13904</v>
      </c>
      <c r="K8137" s="2" t="s">
        <v>19218</v>
      </c>
      <c r="L8137" s="82" t="s">
        <v>19512</v>
      </c>
    </row>
    <row r="8138" spans="1:15" ht="84" customHeight="1" x14ac:dyDescent="0.3">
      <c r="A8138" s="2">
        <v>8134</v>
      </c>
      <c r="B8138" s="66" t="s">
        <v>9762</v>
      </c>
      <c r="C8138" s="66" t="s">
        <v>9795</v>
      </c>
      <c r="D8138" s="11">
        <v>11604.36</v>
      </c>
      <c r="E8138" s="11">
        <v>11604.36</v>
      </c>
      <c r="F8138" s="3">
        <v>40898</v>
      </c>
      <c r="G8138" s="2" t="s">
        <v>14104</v>
      </c>
      <c r="H8138" s="3">
        <v>43053</v>
      </c>
      <c r="I8138" s="2" t="s">
        <v>19506</v>
      </c>
      <c r="J8138" s="2" t="s">
        <v>13904</v>
      </c>
      <c r="K8138" s="2" t="s">
        <v>19218</v>
      </c>
      <c r="L8138" s="82" t="s">
        <v>19512</v>
      </c>
    </row>
    <row r="8139" spans="1:15" ht="84" customHeight="1" x14ac:dyDescent="0.3">
      <c r="A8139" s="2">
        <v>8135</v>
      </c>
      <c r="B8139" s="66" t="s">
        <v>9762</v>
      </c>
      <c r="C8139" s="66" t="s">
        <v>9796</v>
      </c>
      <c r="D8139" s="11">
        <v>11604.36</v>
      </c>
      <c r="E8139" s="11">
        <v>11604.36</v>
      </c>
      <c r="F8139" s="3">
        <v>40898</v>
      </c>
      <c r="G8139" s="2" t="s">
        <v>14104</v>
      </c>
      <c r="H8139" s="3">
        <v>43053</v>
      </c>
      <c r="I8139" s="2" t="s">
        <v>19506</v>
      </c>
      <c r="J8139" s="2" t="s">
        <v>13904</v>
      </c>
      <c r="K8139" s="2" t="s">
        <v>19218</v>
      </c>
      <c r="L8139" s="82" t="s">
        <v>19512</v>
      </c>
    </row>
    <row r="8140" spans="1:15" ht="84" customHeight="1" x14ac:dyDescent="0.3">
      <c r="A8140" s="2">
        <v>8136</v>
      </c>
      <c r="B8140" s="66" t="s">
        <v>9762</v>
      </c>
      <c r="C8140" s="66" t="s">
        <v>9797</v>
      </c>
      <c r="D8140" s="11">
        <v>11604.36</v>
      </c>
      <c r="E8140" s="11">
        <v>11604.36</v>
      </c>
      <c r="F8140" s="3">
        <v>40898</v>
      </c>
      <c r="G8140" s="2" t="s">
        <v>14104</v>
      </c>
      <c r="H8140" s="3">
        <v>43053</v>
      </c>
      <c r="I8140" s="2" t="s">
        <v>19506</v>
      </c>
      <c r="J8140" s="2" t="s">
        <v>13904</v>
      </c>
      <c r="K8140" s="2" t="s">
        <v>19218</v>
      </c>
      <c r="L8140" s="82" t="s">
        <v>19512</v>
      </c>
    </row>
    <row r="8141" spans="1:15" ht="84" customHeight="1" x14ac:dyDescent="0.3">
      <c r="A8141" s="2">
        <v>8137</v>
      </c>
      <c r="B8141" s="66" t="s">
        <v>9762</v>
      </c>
      <c r="C8141" s="66" t="s">
        <v>9798</v>
      </c>
      <c r="D8141" s="11">
        <v>11604.36</v>
      </c>
      <c r="E8141" s="11">
        <v>11604.36</v>
      </c>
      <c r="F8141" s="3">
        <v>40898</v>
      </c>
      <c r="G8141" s="2" t="s">
        <v>14104</v>
      </c>
      <c r="H8141" s="3">
        <v>43053</v>
      </c>
      <c r="I8141" s="2" t="s">
        <v>19506</v>
      </c>
      <c r="J8141" s="2" t="s">
        <v>13904</v>
      </c>
      <c r="K8141" s="2" t="s">
        <v>19218</v>
      </c>
      <c r="L8141" s="82" t="s">
        <v>19512</v>
      </c>
    </row>
    <row r="8142" spans="1:15" ht="84" customHeight="1" x14ac:dyDescent="0.3">
      <c r="A8142" s="2">
        <v>8138</v>
      </c>
      <c r="B8142" s="66" t="s">
        <v>9762</v>
      </c>
      <c r="C8142" s="66" t="s">
        <v>9799</v>
      </c>
      <c r="D8142" s="11">
        <v>11604.36</v>
      </c>
      <c r="E8142" s="11">
        <v>11604.36</v>
      </c>
      <c r="F8142" s="3">
        <v>40898</v>
      </c>
      <c r="G8142" s="2" t="s">
        <v>14104</v>
      </c>
      <c r="H8142" s="3">
        <v>43053</v>
      </c>
      <c r="I8142" s="2" t="s">
        <v>19506</v>
      </c>
      <c r="J8142" s="2" t="s">
        <v>13904</v>
      </c>
      <c r="K8142" s="2" t="s">
        <v>19218</v>
      </c>
      <c r="L8142" s="82" t="s">
        <v>19512</v>
      </c>
    </row>
    <row r="8143" spans="1:15" ht="84" customHeight="1" x14ac:dyDescent="0.3">
      <c r="A8143" s="2">
        <v>8139</v>
      </c>
      <c r="B8143" s="66" t="s">
        <v>9774</v>
      </c>
      <c r="C8143" s="66" t="s">
        <v>9800</v>
      </c>
      <c r="D8143" s="11">
        <v>4304.75</v>
      </c>
      <c r="E8143" s="11">
        <v>4304.75</v>
      </c>
      <c r="F8143" s="3">
        <v>40898</v>
      </c>
      <c r="G8143" s="2" t="s">
        <v>14104</v>
      </c>
      <c r="H8143" s="3">
        <v>43053</v>
      </c>
      <c r="I8143" s="2" t="s">
        <v>19506</v>
      </c>
      <c r="J8143" s="2" t="s">
        <v>13904</v>
      </c>
      <c r="K8143" s="2" t="s">
        <v>19218</v>
      </c>
      <c r="L8143" s="82" t="s">
        <v>19512</v>
      </c>
    </row>
    <row r="8144" spans="1:15" ht="84" customHeight="1" x14ac:dyDescent="0.3">
      <c r="A8144" s="2">
        <v>8140</v>
      </c>
      <c r="B8144" s="66" t="s">
        <v>9774</v>
      </c>
      <c r="C8144" s="66" t="s">
        <v>9801</v>
      </c>
      <c r="D8144" s="11">
        <v>4304.75</v>
      </c>
      <c r="E8144" s="11">
        <v>4304.75</v>
      </c>
      <c r="F8144" s="3">
        <v>40898</v>
      </c>
      <c r="G8144" s="2" t="s">
        <v>14104</v>
      </c>
      <c r="H8144" s="3">
        <v>43053</v>
      </c>
      <c r="I8144" s="2" t="s">
        <v>19506</v>
      </c>
      <c r="J8144" s="2" t="s">
        <v>13904</v>
      </c>
      <c r="K8144" s="2" t="s">
        <v>19218</v>
      </c>
      <c r="L8144" s="82" t="s">
        <v>19512</v>
      </c>
    </row>
    <row r="8145" spans="1:12" ht="84" customHeight="1" x14ac:dyDescent="0.3">
      <c r="A8145" s="2">
        <v>8141</v>
      </c>
      <c r="B8145" s="66" t="s">
        <v>18771</v>
      </c>
      <c r="C8145" s="66">
        <v>4101240004</v>
      </c>
      <c r="D8145" s="11">
        <v>178000</v>
      </c>
      <c r="E8145" s="11">
        <v>2119.0500000000002</v>
      </c>
      <c r="F8145" s="3">
        <v>42604</v>
      </c>
      <c r="G8145" s="2" t="s">
        <v>14104</v>
      </c>
      <c r="H8145" s="2"/>
      <c r="I8145" s="2"/>
      <c r="J8145" s="2" t="s">
        <v>13904</v>
      </c>
      <c r="K8145" s="2" t="s">
        <v>19218</v>
      </c>
      <c r="L8145" s="82" t="s">
        <v>18780</v>
      </c>
    </row>
    <row r="8146" spans="1:12" ht="84" customHeight="1" x14ac:dyDescent="0.3">
      <c r="A8146" s="2">
        <v>8142</v>
      </c>
      <c r="B8146" s="66" t="s">
        <v>9787</v>
      </c>
      <c r="C8146" s="66" t="s">
        <v>9802</v>
      </c>
      <c r="D8146" s="11">
        <v>16972.73</v>
      </c>
      <c r="E8146" s="11">
        <v>16972.73</v>
      </c>
      <c r="F8146" s="3">
        <v>40898</v>
      </c>
      <c r="G8146" s="2" t="s">
        <v>14104</v>
      </c>
      <c r="H8146" s="3">
        <v>43053</v>
      </c>
      <c r="I8146" s="2" t="s">
        <v>19506</v>
      </c>
      <c r="J8146" s="2" t="s">
        <v>13904</v>
      </c>
      <c r="K8146" s="2" t="s">
        <v>19218</v>
      </c>
      <c r="L8146" s="82" t="s">
        <v>19512</v>
      </c>
    </row>
    <row r="8147" spans="1:12" ht="84" customHeight="1" x14ac:dyDescent="0.3">
      <c r="A8147" s="2">
        <v>8143</v>
      </c>
      <c r="B8147" s="66" t="s">
        <v>9787</v>
      </c>
      <c r="C8147" s="66" t="s">
        <v>9803</v>
      </c>
      <c r="D8147" s="11">
        <v>16972.73</v>
      </c>
      <c r="E8147" s="11">
        <v>16972.73</v>
      </c>
      <c r="F8147" s="3">
        <v>40898</v>
      </c>
      <c r="G8147" s="2" t="s">
        <v>14104</v>
      </c>
      <c r="H8147" s="3">
        <v>43053</v>
      </c>
      <c r="I8147" s="2" t="s">
        <v>19506</v>
      </c>
      <c r="J8147" s="2" t="s">
        <v>13904</v>
      </c>
      <c r="K8147" s="2" t="s">
        <v>19218</v>
      </c>
      <c r="L8147" s="82" t="s">
        <v>19512</v>
      </c>
    </row>
    <row r="8148" spans="1:12" ht="84" customHeight="1" x14ac:dyDescent="0.3">
      <c r="A8148" s="2">
        <v>8144</v>
      </c>
      <c r="B8148" s="66" t="s">
        <v>9787</v>
      </c>
      <c r="C8148" s="66" t="s">
        <v>9804</v>
      </c>
      <c r="D8148" s="11">
        <v>16972.73</v>
      </c>
      <c r="E8148" s="11">
        <v>16972.73</v>
      </c>
      <c r="F8148" s="3">
        <v>40898</v>
      </c>
      <c r="G8148" s="2" t="s">
        <v>14104</v>
      </c>
      <c r="H8148" s="3">
        <v>43053</v>
      </c>
      <c r="I8148" s="2" t="s">
        <v>19506</v>
      </c>
      <c r="J8148" s="2" t="s">
        <v>13904</v>
      </c>
      <c r="K8148" s="2" t="s">
        <v>19218</v>
      </c>
      <c r="L8148" s="82" t="s">
        <v>19512</v>
      </c>
    </row>
    <row r="8149" spans="1:12" ht="84" customHeight="1" x14ac:dyDescent="0.3">
      <c r="A8149" s="2">
        <v>8145</v>
      </c>
      <c r="B8149" s="66" t="s">
        <v>9787</v>
      </c>
      <c r="C8149" s="66" t="s">
        <v>9805</v>
      </c>
      <c r="D8149" s="11">
        <v>16972.73</v>
      </c>
      <c r="E8149" s="11">
        <v>16972.73</v>
      </c>
      <c r="F8149" s="3">
        <v>40898</v>
      </c>
      <c r="G8149" s="2" t="s">
        <v>14104</v>
      </c>
      <c r="H8149" s="3">
        <v>43053</v>
      </c>
      <c r="I8149" s="2" t="s">
        <v>19506</v>
      </c>
      <c r="J8149" s="2" t="s">
        <v>13904</v>
      </c>
      <c r="K8149" s="2" t="s">
        <v>19218</v>
      </c>
      <c r="L8149" s="82" t="s">
        <v>19512</v>
      </c>
    </row>
    <row r="8150" spans="1:12" ht="84" customHeight="1" x14ac:dyDescent="0.3">
      <c r="A8150" s="2">
        <v>8146</v>
      </c>
      <c r="B8150" s="66" t="s">
        <v>9789</v>
      </c>
      <c r="C8150" s="66" t="s">
        <v>9806</v>
      </c>
      <c r="D8150" s="11">
        <v>11636.42</v>
      </c>
      <c r="E8150" s="11">
        <v>11636.42</v>
      </c>
      <c r="F8150" s="3">
        <v>40898</v>
      </c>
      <c r="G8150" s="2" t="s">
        <v>14104</v>
      </c>
      <c r="H8150" s="3">
        <v>43053</v>
      </c>
      <c r="I8150" s="2" t="s">
        <v>19506</v>
      </c>
      <c r="J8150" s="2" t="s">
        <v>13904</v>
      </c>
      <c r="K8150" s="2" t="s">
        <v>19218</v>
      </c>
      <c r="L8150" s="82" t="s">
        <v>19512</v>
      </c>
    </row>
    <row r="8151" spans="1:12" ht="84" customHeight="1" x14ac:dyDescent="0.3">
      <c r="A8151" s="2">
        <v>8147</v>
      </c>
      <c r="B8151" s="66" t="s">
        <v>9789</v>
      </c>
      <c r="C8151" s="66" t="s">
        <v>9807</v>
      </c>
      <c r="D8151" s="11">
        <v>11636.42</v>
      </c>
      <c r="E8151" s="11">
        <v>11636.42</v>
      </c>
      <c r="F8151" s="3">
        <v>40898</v>
      </c>
      <c r="G8151" s="2" t="s">
        <v>14104</v>
      </c>
      <c r="H8151" s="3">
        <v>43053</v>
      </c>
      <c r="I8151" s="2" t="s">
        <v>19506</v>
      </c>
      <c r="J8151" s="2" t="s">
        <v>13904</v>
      </c>
      <c r="K8151" s="2" t="s">
        <v>19218</v>
      </c>
      <c r="L8151" s="82" t="s">
        <v>19512</v>
      </c>
    </row>
    <row r="8152" spans="1:12" ht="84" customHeight="1" x14ac:dyDescent="0.3">
      <c r="A8152" s="2">
        <v>8148</v>
      </c>
      <c r="B8152" s="66" t="s">
        <v>9789</v>
      </c>
      <c r="C8152" s="66" t="s">
        <v>9808</v>
      </c>
      <c r="D8152" s="11">
        <v>11636.42</v>
      </c>
      <c r="E8152" s="11">
        <v>11636.42</v>
      </c>
      <c r="F8152" s="3">
        <v>40898</v>
      </c>
      <c r="G8152" s="2" t="s">
        <v>14104</v>
      </c>
      <c r="H8152" s="3">
        <v>43053</v>
      </c>
      <c r="I8152" s="2" t="s">
        <v>19506</v>
      </c>
      <c r="J8152" s="2" t="s">
        <v>13904</v>
      </c>
      <c r="K8152" s="2" t="s">
        <v>19218</v>
      </c>
      <c r="L8152" s="82" t="s">
        <v>19512</v>
      </c>
    </row>
    <row r="8153" spans="1:12" ht="84" customHeight="1" x14ac:dyDescent="0.3">
      <c r="A8153" s="2">
        <v>8149</v>
      </c>
      <c r="B8153" s="66" t="s">
        <v>9789</v>
      </c>
      <c r="C8153" s="66" t="s">
        <v>9809</v>
      </c>
      <c r="D8153" s="11">
        <v>11636.42</v>
      </c>
      <c r="E8153" s="11">
        <v>11636.42</v>
      </c>
      <c r="F8153" s="3">
        <v>40898</v>
      </c>
      <c r="G8153" s="2" t="s">
        <v>14104</v>
      </c>
      <c r="H8153" s="3">
        <v>43053</v>
      </c>
      <c r="I8153" s="2" t="s">
        <v>19506</v>
      </c>
      <c r="J8153" s="2" t="s">
        <v>13904</v>
      </c>
      <c r="K8153" s="2" t="s">
        <v>19218</v>
      </c>
      <c r="L8153" s="82" t="s">
        <v>19512</v>
      </c>
    </row>
    <row r="8154" spans="1:12" ht="84" customHeight="1" x14ac:dyDescent="0.3">
      <c r="A8154" s="2">
        <v>8150</v>
      </c>
      <c r="B8154" s="66" t="s">
        <v>9789</v>
      </c>
      <c r="C8154" s="66" t="s">
        <v>9810</v>
      </c>
      <c r="D8154" s="11">
        <v>11636.42</v>
      </c>
      <c r="E8154" s="11">
        <v>11636.42</v>
      </c>
      <c r="F8154" s="3">
        <v>40898</v>
      </c>
      <c r="G8154" s="2" t="s">
        <v>14104</v>
      </c>
      <c r="H8154" s="3">
        <v>43053</v>
      </c>
      <c r="I8154" s="2" t="s">
        <v>19506</v>
      </c>
      <c r="J8154" s="2" t="s">
        <v>13904</v>
      </c>
      <c r="K8154" s="2" t="s">
        <v>19218</v>
      </c>
      <c r="L8154" s="82" t="s">
        <v>19512</v>
      </c>
    </row>
    <row r="8155" spans="1:12" ht="84" customHeight="1" x14ac:dyDescent="0.3">
      <c r="A8155" s="2">
        <v>8151</v>
      </c>
      <c r="B8155" s="66" t="s">
        <v>9776</v>
      </c>
      <c r="C8155" s="66" t="s">
        <v>9811</v>
      </c>
      <c r="D8155" s="11">
        <v>5970.97</v>
      </c>
      <c r="E8155" s="11">
        <v>5970.97</v>
      </c>
      <c r="F8155" s="3">
        <v>40898</v>
      </c>
      <c r="G8155" s="2" t="s">
        <v>14104</v>
      </c>
      <c r="H8155" s="3">
        <v>43053</v>
      </c>
      <c r="I8155" s="2" t="s">
        <v>19506</v>
      </c>
      <c r="J8155" s="2" t="s">
        <v>13904</v>
      </c>
      <c r="K8155" s="2" t="s">
        <v>19218</v>
      </c>
      <c r="L8155" s="82" t="s">
        <v>19512</v>
      </c>
    </row>
    <row r="8156" spans="1:12" ht="84" customHeight="1" x14ac:dyDescent="0.3">
      <c r="A8156" s="2">
        <v>8152</v>
      </c>
      <c r="B8156" s="66" t="s">
        <v>9776</v>
      </c>
      <c r="C8156" s="66" t="s">
        <v>9812</v>
      </c>
      <c r="D8156" s="11">
        <v>5970.97</v>
      </c>
      <c r="E8156" s="11">
        <v>5970.97</v>
      </c>
      <c r="F8156" s="3">
        <v>40898</v>
      </c>
      <c r="G8156" s="2" t="s">
        <v>14104</v>
      </c>
      <c r="H8156" s="3">
        <v>43053</v>
      </c>
      <c r="I8156" s="2" t="s">
        <v>19506</v>
      </c>
      <c r="J8156" s="2" t="s">
        <v>13904</v>
      </c>
      <c r="K8156" s="2" t="s">
        <v>19218</v>
      </c>
      <c r="L8156" s="82" t="s">
        <v>19512</v>
      </c>
    </row>
    <row r="8157" spans="1:12" ht="84" customHeight="1" x14ac:dyDescent="0.3">
      <c r="A8157" s="2">
        <v>8153</v>
      </c>
      <c r="B8157" s="66" t="s">
        <v>9776</v>
      </c>
      <c r="C8157" s="66" t="s">
        <v>9813</v>
      </c>
      <c r="D8157" s="11">
        <v>5970.97</v>
      </c>
      <c r="E8157" s="11">
        <v>5970.97</v>
      </c>
      <c r="F8157" s="3">
        <v>40898</v>
      </c>
      <c r="G8157" s="2" t="s">
        <v>14104</v>
      </c>
      <c r="H8157" s="3">
        <v>43053</v>
      </c>
      <c r="I8157" s="2" t="s">
        <v>19506</v>
      </c>
      <c r="J8157" s="2" t="s">
        <v>13904</v>
      </c>
      <c r="K8157" s="2" t="s">
        <v>19218</v>
      </c>
      <c r="L8157" s="82" t="s">
        <v>19512</v>
      </c>
    </row>
    <row r="8158" spans="1:12" ht="84" customHeight="1" x14ac:dyDescent="0.3">
      <c r="A8158" s="2">
        <v>8154</v>
      </c>
      <c r="B8158" s="66" t="s">
        <v>9814</v>
      </c>
      <c r="C8158" s="66" t="s">
        <v>9815</v>
      </c>
      <c r="D8158" s="11">
        <v>4914.87</v>
      </c>
      <c r="E8158" s="11">
        <v>4914.87</v>
      </c>
      <c r="F8158" s="3">
        <v>40898</v>
      </c>
      <c r="G8158" s="2" t="s">
        <v>14104</v>
      </c>
      <c r="H8158" s="3">
        <v>43053</v>
      </c>
      <c r="I8158" s="2" t="s">
        <v>19506</v>
      </c>
      <c r="J8158" s="2" t="s">
        <v>13904</v>
      </c>
      <c r="K8158" s="2" t="s">
        <v>19218</v>
      </c>
      <c r="L8158" s="82" t="s">
        <v>19512</v>
      </c>
    </row>
    <row r="8159" spans="1:12" ht="84" customHeight="1" x14ac:dyDescent="0.3">
      <c r="A8159" s="2">
        <v>8155</v>
      </c>
      <c r="B8159" s="66" t="s">
        <v>9814</v>
      </c>
      <c r="C8159" s="66" t="s">
        <v>9816</v>
      </c>
      <c r="D8159" s="11">
        <v>4914.87</v>
      </c>
      <c r="E8159" s="11">
        <v>4914.87</v>
      </c>
      <c r="F8159" s="3">
        <v>40898</v>
      </c>
      <c r="G8159" s="2" t="s">
        <v>14104</v>
      </c>
      <c r="H8159" s="3">
        <v>43053</v>
      </c>
      <c r="I8159" s="2" t="s">
        <v>19506</v>
      </c>
      <c r="J8159" s="2" t="s">
        <v>13904</v>
      </c>
      <c r="K8159" s="2" t="s">
        <v>19218</v>
      </c>
      <c r="L8159" s="82" t="s">
        <v>19512</v>
      </c>
    </row>
    <row r="8160" spans="1:12" ht="84" customHeight="1" x14ac:dyDescent="0.3">
      <c r="A8160" s="2">
        <v>8156</v>
      </c>
      <c r="B8160" s="66" t="s">
        <v>9791</v>
      </c>
      <c r="C8160" s="66" t="s">
        <v>3630</v>
      </c>
      <c r="D8160" s="11">
        <v>3909.17</v>
      </c>
      <c r="E8160" s="11">
        <v>3909.17</v>
      </c>
      <c r="F8160" s="3">
        <v>39076</v>
      </c>
      <c r="G8160" s="2" t="s">
        <v>14104</v>
      </c>
      <c r="H8160" s="3">
        <v>43053</v>
      </c>
      <c r="I8160" s="2" t="s">
        <v>19506</v>
      </c>
      <c r="J8160" s="2" t="s">
        <v>13904</v>
      </c>
      <c r="K8160" s="2" t="s">
        <v>19218</v>
      </c>
      <c r="L8160" s="82" t="s">
        <v>19512</v>
      </c>
    </row>
    <row r="8161" spans="1:12" ht="84" customHeight="1" x14ac:dyDescent="0.3">
      <c r="A8161" s="2">
        <v>8157</v>
      </c>
      <c r="B8161" s="66" t="s">
        <v>9791</v>
      </c>
      <c r="C8161" s="66" t="s">
        <v>3597</v>
      </c>
      <c r="D8161" s="11">
        <v>3909.17</v>
      </c>
      <c r="E8161" s="11">
        <v>3909.17</v>
      </c>
      <c r="F8161" s="3">
        <v>39076</v>
      </c>
      <c r="G8161" s="2" t="s">
        <v>14104</v>
      </c>
      <c r="H8161" s="3">
        <v>43053</v>
      </c>
      <c r="I8161" s="2" t="s">
        <v>19506</v>
      </c>
      <c r="J8161" s="2" t="s">
        <v>13904</v>
      </c>
      <c r="K8161" s="2" t="s">
        <v>19218</v>
      </c>
      <c r="L8161" s="82" t="s">
        <v>19512</v>
      </c>
    </row>
    <row r="8162" spans="1:12" ht="84" customHeight="1" x14ac:dyDescent="0.3">
      <c r="A8162" s="2">
        <v>8158</v>
      </c>
      <c r="B8162" s="66" t="s">
        <v>9791</v>
      </c>
      <c r="C8162" s="66" t="s">
        <v>9817</v>
      </c>
      <c r="D8162" s="11">
        <v>3909.17</v>
      </c>
      <c r="E8162" s="11">
        <v>3909.17</v>
      </c>
      <c r="F8162" s="3">
        <v>39076</v>
      </c>
      <c r="G8162" s="2" t="s">
        <v>14104</v>
      </c>
      <c r="H8162" s="3">
        <v>43053</v>
      </c>
      <c r="I8162" s="2" t="s">
        <v>19506</v>
      </c>
      <c r="J8162" s="2" t="s">
        <v>13904</v>
      </c>
      <c r="K8162" s="2" t="s">
        <v>19218</v>
      </c>
      <c r="L8162" s="82" t="s">
        <v>19512</v>
      </c>
    </row>
    <row r="8163" spans="1:12" ht="84" customHeight="1" x14ac:dyDescent="0.3">
      <c r="A8163" s="2">
        <v>8159</v>
      </c>
      <c r="B8163" s="66" t="s">
        <v>9818</v>
      </c>
      <c r="C8163" s="66" t="s">
        <v>9819</v>
      </c>
      <c r="D8163" s="11">
        <v>6991.67</v>
      </c>
      <c r="E8163" s="11">
        <v>6991.67</v>
      </c>
      <c r="F8163" s="3">
        <v>41215</v>
      </c>
      <c r="G8163" s="2" t="s">
        <v>14104</v>
      </c>
      <c r="H8163" s="3">
        <v>43053</v>
      </c>
      <c r="I8163" s="2" t="s">
        <v>19506</v>
      </c>
      <c r="J8163" s="2" t="s">
        <v>13904</v>
      </c>
      <c r="K8163" s="2" t="s">
        <v>19218</v>
      </c>
      <c r="L8163" s="82" t="s">
        <v>19512</v>
      </c>
    </row>
    <row r="8164" spans="1:12" ht="84" customHeight="1" x14ac:dyDescent="0.3">
      <c r="A8164" s="2">
        <v>8160</v>
      </c>
      <c r="B8164" s="66" t="s">
        <v>9820</v>
      </c>
      <c r="C8164" s="66" t="s">
        <v>9821</v>
      </c>
      <c r="D8164" s="11">
        <v>5103</v>
      </c>
      <c r="E8164" s="11">
        <v>5103</v>
      </c>
      <c r="F8164" s="3">
        <v>39394</v>
      </c>
      <c r="G8164" s="2" t="s">
        <v>14104</v>
      </c>
      <c r="H8164" s="3">
        <v>43053</v>
      </c>
      <c r="I8164" s="2" t="s">
        <v>19506</v>
      </c>
      <c r="J8164" s="2" t="s">
        <v>13904</v>
      </c>
      <c r="K8164" s="2" t="s">
        <v>19218</v>
      </c>
      <c r="L8164" s="82" t="s">
        <v>19512</v>
      </c>
    </row>
    <row r="8165" spans="1:12" ht="84" customHeight="1" x14ac:dyDescent="0.3">
      <c r="A8165" s="2">
        <v>8161</v>
      </c>
      <c r="B8165" s="66" t="s">
        <v>9822</v>
      </c>
      <c r="C8165" s="66" t="s">
        <v>3218</v>
      </c>
      <c r="D8165" s="11">
        <v>9629.14</v>
      </c>
      <c r="E8165" s="11">
        <v>9629.14</v>
      </c>
      <c r="F8165" s="3">
        <v>32730</v>
      </c>
      <c r="G8165" s="2" t="s">
        <v>14104</v>
      </c>
      <c r="H8165" s="3">
        <v>43053</v>
      </c>
      <c r="I8165" s="2" t="s">
        <v>19506</v>
      </c>
      <c r="J8165" s="2" t="s">
        <v>13904</v>
      </c>
      <c r="K8165" s="2" t="s">
        <v>19218</v>
      </c>
      <c r="L8165" s="82" t="s">
        <v>19512</v>
      </c>
    </row>
    <row r="8166" spans="1:12" ht="84" customHeight="1" x14ac:dyDescent="0.3">
      <c r="A8166" s="2">
        <v>8162</v>
      </c>
      <c r="B8166" s="66" t="s">
        <v>9823</v>
      </c>
      <c r="C8166" s="66" t="s">
        <v>9824</v>
      </c>
      <c r="D8166" s="11">
        <v>5941.06</v>
      </c>
      <c r="E8166" s="11">
        <v>5941.06</v>
      </c>
      <c r="F8166" s="3">
        <v>36566</v>
      </c>
      <c r="G8166" s="2" t="s">
        <v>14104</v>
      </c>
      <c r="H8166" s="3">
        <v>43053</v>
      </c>
      <c r="I8166" s="2" t="s">
        <v>19506</v>
      </c>
      <c r="J8166" s="2" t="s">
        <v>13904</v>
      </c>
      <c r="K8166" s="2" t="s">
        <v>19218</v>
      </c>
      <c r="L8166" s="82" t="s">
        <v>19512</v>
      </c>
    </row>
    <row r="8167" spans="1:12" ht="84" customHeight="1" x14ac:dyDescent="0.3">
      <c r="A8167" s="2">
        <v>8163</v>
      </c>
      <c r="B8167" s="66" t="s">
        <v>264</v>
      </c>
      <c r="C8167" s="66" t="s">
        <v>9825</v>
      </c>
      <c r="D8167" s="11">
        <v>11487.24</v>
      </c>
      <c r="E8167" s="11">
        <v>11487.24</v>
      </c>
      <c r="F8167" s="3">
        <v>38757</v>
      </c>
      <c r="G8167" s="2" t="s">
        <v>14104</v>
      </c>
      <c r="H8167" s="3">
        <v>43053</v>
      </c>
      <c r="I8167" s="2" t="s">
        <v>19506</v>
      </c>
      <c r="J8167" s="2" t="s">
        <v>13904</v>
      </c>
      <c r="K8167" s="2" t="s">
        <v>19218</v>
      </c>
      <c r="L8167" s="82" t="s">
        <v>19512</v>
      </c>
    </row>
    <row r="8168" spans="1:12" ht="84" customHeight="1" x14ac:dyDescent="0.3">
      <c r="A8168" s="2">
        <v>8164</v>
      </c>
      <c r="B8168" s="66" t="s">
        <v>9826</v>
      </c>
      <c r="C8168" s="66" t="s">
        <v>9827</v>
      </c>
      <c r="D8168" s="11">
        <v>4177.03</v>
      </c>
      <c r="E8168" s="11">
        <v>4177.03</v>
      </c>
      <c r="F8168" s="3">
        <v>36566</v>
      </c>
      <c r="G8168" s="2" t="s">
        <v>14104</v>
      </c>
      <c r="H8168" s="3">
        <v>43053</v>
      </c>
      <c r="I8168" s="2" t="s">
        <v>19506</v>
      </c>
      <c r="J8168" s="2" t="s">
        <v>13904</v>
      </c>
      <c r="K8168" s="2" t="s">
        <v>19218</v>
      </c>
      <c r="L8168" s="82" t="s">
        <v>19512</v>
      </c>
    </row>
    <row r="8169" spans="1:12" ht="84" customHeight="1" x14ac:dyDescent="0.3">
      <c r="A8169" s="2">
        <v>8165</v>
      </c>
      <c r="B8169" s="66" t="s">
        <v>9826</v>
      </c>
      <c r="C8169" s="66" t="s">
        <v>9828</v>
      </c>
      <c r="D8169" s="11">
        <v>4177.03</v>
      </c>
      <c r="E8169" s="11">
        <v>4177.03</v>
      </c>
      <c r="F8169" s="3">
        <v>36566</v>
      </c>
      <c r="G8169" s="2" t="s">
        <v>14104</v>
      </c>
      <c r="H8169" s="3">
        <v>43053</v>
      </c>
      <c r="I8169" s="2" t="s">
        <v>19506</v>
      </c>
      <c r="J8169" s="2" t="s">
        <v>13904</v>
      </c>
      <c r="K8169" s="2" t="s">
        <v>19218</v>
      </c>
      <c r="L8169" s="82" t="s">
        <v>19512</v>
      </c>
    </row>
    <row r="8170" spans="1:12" ht="84" customHeight="1" x14ac:dyDescent="0.3">
      <c r="A8170" s="2">
        <v>8166</v>
      </c>
      <c r="B8170" s="66" t="s">
        <v>9829</v>
      </c>
      <c r="C8170" s="66" t="s">
        <v>9830</v>
      </c>
      <c r="D8170" s="11">
        <v>5394.96</v>
      </c>
      <c r="E8170" s="11">
        <v>5394.96</v>
      </c>
      <c r="F8170" s="3">
        <v>39339</v>
      </c>
      <c r="G8170" s="2" t="s">
        <v>14104</v>
      </c>
      <c r="H8170" s="3">
        <v>43053</v>
      </c>
      <c r="I8170" s="2" t="s">
        <v>19506</v>
      </c>
      <c r="J8170" s="2" t="s">
        <v>13904</v>
      </c>
      <c r="K8170" s="2" t="s">
        <v>19218</v>
      </c>
      <c r="L8170" s="82" t="s">
        <v>19512</v>
      </c>
    </row>
    <row r="8171" spans="1:12" ht="84" customHeight="1" x14ac:dyDescent="0.3">
      <c r="A8171" s="2">
        <v>8167</v>
      </c>
      <c r="B8171" s="66" t="s">
        <v>9831</v>
      </c>
      <c r="C8171" s="66" t="s">
        <v>9832</v>
      </c>
      <c r="D8171" s="11">
        <v>5090.41</v>
      </c>
      <c r="E8171" s="11">
        <v>5090.41</v>
      </c>
      <c r="F8171" s="3">
        <v>39339</v>
      </c>
      <c r="G8171" s="2" t="s">
        <v>14104</v>
      </c>
      <c r="H8171" s="3">
        <v>43053</v>
      </c>
      <c r="I8171" s="2" t="s">
        <v>19506</v>
      </c>
      <c r="J8171" s="2" t="s">
        <v>13904</v>
      </c>
      <c r="K8171" s="2" t="s">
        <v>19218</v>
      </c>
      <c r="L8171" s="82" t="s">
        <v>19512</v>
      </c>
    </row>
    <row r="8172" spans="1:12" ht="84" customHeight="1" x14ac:dyDescent="0.3">
      <c r="A8172" s="2">
        <v>8168</v>
      </c>
      <c r="B8172" s="66" t="s">
        <v>5490</v>
      </c>
      <c r="C8172" s="66" t="s">
        <v>9833</v>
      </c>
      <c r="D8172" s="11">
        <v>6200</v>
      </c>
      <c r="E8172" s="11">
        <v>6200</v>
      </c>
      <c r="F8172" s="3">
        <v>39420</v>
      </c>
      <c r="G8172" s="2" t="s">
        <v>14104</v>
      </c>
      <c r="H8172" s="3">
        <v>43053</v>
      </c>
      <c r="I8172" s="2" t="s">
        <v>19506</v>
      </c>
      <c r="J8172" s="2" t="s">
        <v>13904</v>
      </c>
      <c r="K8172" s="2" t="s">
        <v>19218</v>
      </c>
      <c r="L8172" s="82" t="s">
        <v>19512</v>
      </c>
    </row>
    <row r="8173" spans="1:12" ht="84" customHeight="1" x14ac:dyDescent="0.3">
      <c r="A8173" s="2">
        <v>8169</v>
      </c>
      <c r="B8173" s="66" t="s">
        <v>9834</v>
      </c>
      <c r="C8173" s="66" t="s">
        <v>4269</v>
      </c>
      <c r="D8173" s="11">
        <v>4015</v>
      </c>
      <c r="E8173" s="11">
        <v>4015</v>
      </c>
      <c r="F8173" s="3">
        <v>42186</v>
      </c>
      <c r="G8173" s="2" t="s">
        <v>14104</v>
      </c>
      <c r="H8173" s="3">
        <v>43053</v>
      </c>
      <c r="I8173" s="2" t="s">
        <v>19506</v>
      </c>
      <c r="J8173" s="2" t="s">
        <v>13904</v>
      </c>
      <c r="K8173" s="2" t="s">
        <v>19218</v>
      </c>
      <c r="L8173" s="82" t="s">
        <v>19512</v>
      </c>
    </row>
    <row r="8174" spans="1:12" ht="84" customHeight="1" x14ac:dyDescent="0.3">
      <c r="A8174" s="2">
        <v>8170</v>
      </c>
      <c r="B8174" s="66" t="s">
        <v>9834</v>
      </c>
      <c r="C8174" s="66" t="s">
        <v>4270</v>
      </c>
      <c r="D8174" s="11">
        <v>4015</v>
      </c>
      <c r="E8174" s="11">
        <v>4015</v>
      </c>
      <c r="F8174" s="3">
        <v>42186</v>
      </c>
      <c r="G8174" s="2" t="s">
        <v>14104</v>
      </c>
      <c r="H8174" s="3">
        <v>43053</v>
      </c>
      <c r="I8174" s="2" t="s">
        <v>19506</v>
      </c>
      <c r="J8174" s="2" t="s">
        <v>13904</v>
      </c>
      <c r="K8174" s="2" t="s">
        <v>19218</v>
      </c>
      <c r="L8174" s="82" t="s">
        <v>19512</v>
      </c>
    </row>
    <row r="8175" spans="1:12" ht="84" customHeight="1" x14ac:dyDescent="0.3">
      <c r="A8175" s="2">
        <v>8171</v>
      </c>
      <c r="B8175" s="66" t="s">
        <v>9834</v>
      </c>
      <c r="C8175" s="66" t="s">
        <v>4273</v>
      </c>
      <c r="D8175" s="11">
        <v>4015</v>
      </c>
      <c r="E8175" s="11">
        <v>4015</v>
      </c>
      <c r="F8175" s="3">
        <v>42186</v>
      </c>
      <c r="G8175" s="2" t="s">
        <v>14104</v>
      </c>
      <c r="H8175" s="3">
        <v>43053</v>
      </c>
      <c r="I8175" s="2" t="s">
        <v>19506</v>
      </c>
      <c r="J8175" s="2" t="s">
        <v>13904</v>
      </c>
      <c r="K8175" s="2" t="s">
        <v>19218</v>
      </c>
      <c r="L8175" s="82" t="s">
        <v>19512</v>
      </c>
    </row>
    <row r="8176" spans="1:12" ht="84" customHeight="1" x14ac:dyDescent="0.3">
      <c r="A8176" s="2">
        <v>8172</v>
      </c>
      <c r="B8176" s="66" t="s">
        <v>9834</v>
      </c>
      <c r="C8176" s="66" t="s">
        <v>4272</v>
      </c>
      <c r="D8176" s="11">
        <v>4015</v>
      </c>
      <c r="E8176" s="11">
        <v>4015</v>
      </c>
      <c r="F8176" s="3">
        <v>42186</v>
      </c>
      <c r="G8176" s="2" t="s">
        <v>14104</v>
      </c>
      <c r="H8176" s="3">
        <v>43053</v>
      </c>
      <c r="I8176" s="2" t="s">
        <v>19506</v>
      </c>
      <c r="J8176" s="2" t="s">
        <v>13904</v>
      </c>
      <c r="K8176" s="2" t="s">
        <v>19218</v>
      </c>
      <c r="L8176" s="82" t="s">
        <v>19512</v>
      </c>
    </row>
    <row r="8177" spans="1:12" ht="84" customHeight="1" x14ac:dyDescent="0.3">
      <c r="A8177" s="2">
        <v>8173</v>
      </c>
      <c r="B8177" s="66" t="s">
        <v>9835</v>
      </c>
      <c r="C8177" s="66" t="s">
        <v>9836</v>
      </c>
      <c r="D8177" s="11">
        <v>7990</v>
      </c>
      <c r="E8177" s="11">
        <v>7990</v>
      </c>
      <c r="F8177" s="3">
        <v>40029</v>
      </c>
      <c r="G8177" s="2" t="s">
        <v>14104</v>
      </c>
      <c r="H8177" s="3">
        <v>43053</v>
      </c>
      <c r="I8177" s="2" t="s">
        <v>19506</v>
      </c>
      <c r="J8177" s="2" t="s">
        <v>13904</v>
      </c>
      <c r="K8177" s="2" t="s">
        <v>19218</v>
      </c>
      <c r="L8177" s="82" t="s">
        <v>19512</v>
      </c>
    </row>
    <row r="8178" spans="1:12" ht="84" customHeight="1" x14ac:dyDescent="0.3">
      <c r="A8178" s="2">
        <v>8174</v>
      </c>
      <c r="B8178" s="66" t="s">
        <v>2885</v>
      </c>
      <c r="C8178" s="66" t="s">
        <v>4077</v>
      </c>
      <c r="D8178" s="11">
        <v>20988</v>
      </c>
      <c r="E8178" s="11">
        <v>20988</v>
      </c>
      <c r="F8178" s="3">
        <v>40701</v>
      </c>
      <c r="G8178" s="2" t="s">
        <v>14104</v>
      </c>
      <c r="H8178" s="3">
        <v>43053</v>
      </c>
      <c r="I8178" s="2" t="s">
        <v>19506</v>
      </c>
      <c r="J8178" s="2" t="s">
        <v>13904</v>
      </c>
      <c r="K8178" s="2" t="s">
        <v>19218</v>
      </c>
      <c r="L8178" s="82" t="s">
        <v>19512</v>
      </c>
    </row>
    <row r="8179" spans="1:12" ht="84" customHeight="1" x14ac:dyDescent="0.3">
      <c r="A8179" s="2">
        <v>8175</v>
      </c>
      <c r="B8179" s="66" t="s">
        <v>269</v>
      </c>
      <c r="C8179" s="66" t="s">
        <v>9837</v>
      </c>
      <c r="D8179" s="11">
        <v>4900</v>
      </c>
      <c r="E8179" s="11">
        <v>4900</v>
      </c>
      <c r="F8179" s="3">
        <v>39416</v>
      </c>
      <c r="G8179" s="2" t="s">
        <v>14104</v>
      </c>
      <c r="H8179" s="3">
        <v>43053</v>
      </c>
      <c r="I8179" s="2" t="s">
        <v>19506</v>
      </c>
      <c r="J8179" s="2" t="s">
        <v>13904</v>
      </c>
      <c r="K8179" s="2" t="s">
        <v>19218</v>
      </c>
      <c r="L8179" s="82" t="s">
        <v>19512</v>
      </c>
    </row>
    <row r="8180" spans="1:12" ht="84" customHeight="1" x14ac:dyDescent="0.3">
      <c r="A8180" s="2">
        <v>8176</v>
      </c>
      <c r="B8180" s="66" t="s">
        <v>9838</v>
      </c>
      <c r="C8180" s="66" t="s">
        <v>9839</v>
      </c>
      <c r="D8180" s="11">
        <v>5600</v>
      </c>
      <c r="E8180" s="11">
        <v>5600</v>
      </c>
      <c r="F8180" s="3">
        <v>40738</v>
      </c>
      <c r="G8180" s="2" t="s">
        <v>14104</v>
      </c>
      <c r="H8180" s="3">
        <v>43053</v>
      </c>
      <c r="I8180" s="2" t="s">
        <v>19506</v>
      </c>
      <c r="J8180" s="2" t="s">
        <v>13904</v>
      </c>
      <c r="K8180" s="2" t="s">
        <v>19218</v>
      </c>
      <c r="L8180" s="82" t="s">
        <v>19512</v>
      </c>
    </row>
    <row r="8181" spans="1:12" ht="84" customHeight="1" x14ac:dyDescent="0.3">
      <c r="A8181" s="2">
        <v>8177</v>
      </c>
      <c r="B8181" s="66" t="s">
        <v>9840</v>
      </c>
      <c r="C8181" s="66" t="s">
        <v>9841</v>
      </c>
      <c r="D8181" s="11">
        <v>3200</v>
      </c>
      <c r="E8181" s="11">
        <v>3200</v>
      </c>
      <c r="F8181" s="3">
        <v>40738</v>
      </c>
      <c r="G8181" s="2" t="s">
        <v>14104</v>
      </c>
      <c r="H8181" s="3">
        <v>43053</v>
      </c>
      <c r="I8181" s="2" t="s">
        <v>19506</v>
      </c>
      <c r="J8181" s="2" t="s">
        <v>13904</v>
      </c>
      <c r="K8181" s="2" t="s">
        <v>19218</v>
      </c>
      <c r="L8181" s="82" t="s">
        <v>19512</v>
      </c>
    </row>
    <row r="8182" spans="1:12" ht="84" customHeight="1" x14ac:dyDescent="0.3">
      <c r="A8182" s="2">
        <v>8178</v>
      </c>
      <c r="B8182" s="66" t="s">
        <v>9842</v>
      </c>
      <c r="C8182" s="66" t="s">
        <v>9843</v>
      </c>
      <c r="D8182" s="11">
        <v>20000</v>
      </c>
      <c r="E8182" s="11">
        <v>20000</v>
      </c>
      <c r="F8182" s="3">
        <v>39807</v>
      </c>
      <c r="G8182" s="2" t="s">
        <v>14104</v>
      </c>
      <c r="H8182" s="3">
        <v>43053</v>
      </c>
      <c r="I8182" s="2" t="s">
        <v>19506</v>
      </c>
      <c r="J8182" s="2" t="s">
        <v>13904</v>
      </c>
      <c r="K8182" s="2" t="s">
        <v>19218</v>
      </c>
      <c r="L8182" s="82" t="s">
        <v>19512</v>
      </c>
    </row>
    <row r="8183" spans="1:12" ht="84" customHeight="1" x14ac:dyDescent="0.3">
      <c r="A8183" s="2">
        <v>8179</v>
      </c>
      <c r="B8183" s="66" t="s">
        <v>9844</v>
      </c>
      <c r="C8183" s="66" t="s">
        <v>9845</v>
      </c>
      <c r="D8183" s="11">
        <v>3660</v>
      </c>
      <c r="E8183" s="11">
        <v>3660</v>
      </c>
      <c r="F8183" s="3">
        <v>39077</v>
      </c>
      <c r="G8183" s="2" t="s">
        <v>14104</v>
      </c>
      <c r="H8183" s="3">
        <v>43053</v>
      </c>
      <c r="I8183" s="2" t="s">
        <v>19506</v>
      </c>
      <c r="J8183" s="2" t="s">
        <v>13904</v>
      </c>
      <c r="K8183" s="2" t="s">
        <v>19218</v>
      </c>
      <c r="L8183" s="82" t="s">
        <v>19512</v>
      </c>
    </row>
    <row r="8184" spans="1:12" ht="84" customHeight="1" x14ac:dyDescent="0.3">
      <c r="A8184" s="2">
        <v>8180</v>
      </c>
      <c r="B8184" s="66" t="s">
        <v>9846</v>
      </c>
      <c r="C8184" s="66" t="s">
        <v>9847</v>
      </c>
      <c r="D8184" s="11">
        <v>10400</v>
      </c>
      <c r="E8184" s="11">
        <v>10400</v>
      </c>
      <c r="F8184" s="3">
        <v>38904</v>
      </c>
      <c r="G8184" s="2" t="s">
        <v>14104</v>
      </c>
      <c r="H8184" s="3">
        <v>43053</v>
      </c>
      <c r="I8184" s="2" t="s">
        <v>19506</v>
      </c>
      <c r="J8184" s="2" t="s">
        <v>13904</v>
      </c>
      <c r="K8184" s="2" t="s">
        <v>19218</v>
      </c>
      <c r="L8184" s="82" t="s">
        <v>19512</v>
      </c>
    </row>
    <row r="8185" spans="1:12" ht="84" customHeight="1" x14ac:dyDescent="0.3">
      <c r="A8185" s="2">
        <v>8181</v>
      </c>
      <c r="B8185" s="66" t="s">
        <v>5552</v>
      </c>
      <c r="C8185" s="66" t="s">
        <v>9848</v>
      </c>
      <c r="D8185" s="11">
        <v>22786.07</v>
      </c>
      <c r="E8185" s="11">
        <v>22786.07</v>
      </c>
      <c r="F8185" s="3">
        <v>39442</v>
      </c>
      <c r="G8185" s="2" t="s">
        <v>14104</v>
      </c>
      <c r="H8185" s="3">
        <v>43053</v>
      </c>
      <c r="I8185" s="2" t="s">
        <v>19506</v>
      </c>
      <c r="J8185" s="2" t="s">
        <v>13904</v>
      </c>
      <c r="K8185" s="2" t="s">
        <v>19218</v>
      </c>
      <c r="L8185" s="82" t="s">
        <v>19512</v>
      </c>
    </row>
    <row r="8186" spans="1:12" ht="84" customHeight="1" x14ac:dyDescent="0.3">
      <c r="A8186" s="2">
        <v>8182</v>
      </c>
      <c r="B8186" s="66" t="s">
        <v>3570</v>
      </c>
      <c r="C8186" s="66" t="s">
        <v>9849</v>
      </c>
      <c r="D8186" s="11">
        <v>5000</v>
      </c>
      <c r="E8186" s="11">
        <v>5000</v>
      </c>
      <c r="F8186" s="3">
        <v>39435</v>
      </c>
      <c r="G8186" s="2" t="s">
        <v>14104</v>
      </c>
      <c r="H8186" s="3">
        <v>43053</v>
      </c>
      <c r="I8186" s="2" t="s">
        <v>19506</v>
      </c>
      <c r="J8186" s="2" t="s">
        <v>13904</v>
      </c>
      <c r="K8186" s="2" t="s">
        <v>19218</v>
      </c>
      <c r="L8186" s="82" t="s">
        <v>19512</v>
      </c>
    </row>
    <row r="8187" spans="1:12" ht="84" customHeight="1" x14ac:dyDescent="0.3">
      <c r="A8187" s="2">
        <v>8183</v>
      </c>
      <c r="B8187" s="66" t="s">
        <v>9850</v>
      </c>
      <c r="C8187" s="66" t="s">
        <v>3735</v>
      </c>
      <c r="D8187" s="11">
        <v>4157.9799999999996</v>
      </c>
      <c r="E8187" s="11">
        <v>4157.9799999999996</v>
      </c>
      <c r="F8187" s="3">
        <v>34012</v>
      </c>
      <c r="G8187" s="2" t="s">
        <v>14104</v>
      </c>
      <c r="H8187" s="3">
        <v>43053</v>
      </c>
      <c r="I8187" s="2" t="s">
        <v>19506</v>
      </c>
      <c r="J8187" s="2" t="s">
        <v>13904</v>
      </c>
      <c r="K8187" s="2" t="s">
        <v>19218</v>
      </c>
      <c r="L8187" s="82" t="s">
        <v>19512</v>
      </c>
    </row>
    <row r="8188" spans="1:12" ht="84" customHeight="1" x14ac:dyDescent="0.3">
      <c r="A8188" s="2">
        <v>8184</v>
      </c>
      <c r="B8188" s="66" t="s">
        <v>9851</v>
      </c>
      <c r="C8188" s="66" t="s">
        <v>9852</v>
      </c>
      <c r="D8188" s="11">
        <v>3708.4</v>
      </c>
      <c r="E8188" s="11">
        <v>3708.4</v>
      </c>
      <c r="F8188" s="3">
        <v>34012</v>
      </c>
      <c r="G8188" s="2" t="s">
        <v>14104</v>
      </c>
      <c r="H8188" s="3">
        <v>43053</v>
      </c>
      <c r="I8188" s="2" t="s">
        <v>19506</v>
      </c>
      <c r="J8188" s="2" t="s">
        <v>13904</v>
      </c>
      <c r="K8188" s="2" t="s">
        <v>19218</v>
      </c>
      <c r="L8188" s="82" t="s">
        <v>19512</v>
      </c>
    </row>
    <row r="8189" spans="1:12" ht="84" customHeight="1" x14ac:dyDescent="0.3">
      <c r="A8189" s="2">
        <v>8185</v>
      </c>
      <c r="B8189" s="66" t="s">
        <v>9853</v>
      </c>
      <c r="C8189" s="66" t="s">
        <v>9854</v>
      </c>
      <c r="D8189" s="11">
        <v>3845.62</v>
      </c>
      <c r="E8189" s="11">
        <v>3845.62</v>
      </c>
      <c r="F8189" s="3">
        <v>40015</v>
      </c>
      <c r="G8189" s="2" t="s">
        <v>14104</v>
      </c>
      <c r="H8189" s="3">
        <v>43053</v>
      </c>
      <c r="I8189" s="2" t="s">
        <v>19506</v>
      </c>
      <c r="J8189" s="2" t="s">
        <v>13904</v>
      </c>
      <c r="K8189" s="2" t="s">
        <v>19218</v>
      </c>
      <c r="L8189" s="82" t="s">
        <v>19512</v>
      </c>
    </row>
    <row r="8190" spans="1:12" ht="84" customHeight="1" x14ac:dyDescent="0.3">
      <c r="A8190" s="2">
        <v>8186</v>
      </c>
      <c r="B8190" s="66" t="s">
        <v>9855</v>
      </c>
      <c r="C8190" s="66" t="s">
        <v>4505</v>
      </c>
      <c r="D8190" s="11">
        <v>4319.2700000000004</v>
      </c>
      <c r="E8190" s="11">
        <v>4319.2700000000004</v>
      </c>
      <c r="F8190" s="3">
        <v>32185</v>
      </c>
      <c r="G8190" s="2" t="s">
        <v>14104</v>
      </c>
      <c r="H8190" s="3">
        <v>43053</v>
      </c>
      <c r="I8190" s="2" t="s">
        <v>19506</v>
      </c>
      <c r="J8190" s="2" t="s">
        <v>13904</v>
      </c>
      <c r="K8190" s="2" t="s">
        <v>19218</v>
      </c>
      <c r="L8190" s="82" t="s">
        <v>19512</v>
      </c>
    </row>
    <row r="8191" spans="1:12" ht="84" customHeight="1" x14ac:dyDescent="0.3">
      <c r="A8191" s="2">
        <v>8187</v>
      </c>
      <c r="B8191" s="66" t="s">
        <v>9856</v>
      </c>
      <c r="C8191" s="66" t="s">
        <v>9857</v>
      </c>
      <c r="D8191" s="11">
        <v>3200</v>
      </c>
      <c r="E8191" s="11">
        <v>3200</v>
      </c>
      <c r="F8191" s="3">
        <v>39446</v>
      </c>
      <c r="G8191" s="2" t="s">
        <v>14104</v>
      </c>
      <c r="H8191" s="3">
        <v>43053</v>
      </c>
      <c r="I8191" s="2" t="s">
        <v>19506</v>
      </c>
      <c r="J8191" s="2" t="s">
        <v>13904</v>
      </c>
      <c r="K8191" s="2" t="s">
        <v>19218</v>
      </c>
      <c r="L8191" s="82" t="s">
        <v>19512</v>
      </c>
    </row>
    <row r="8192" spans="1:12" ht="84" customHeight="1" x14ac:dyDescent="0.3">
      <c r="A8192" s="2">
        <v>8188</v>
      </c>
      <c r="B8192" s="66" t="s">
        <v>9858</v>
      </c>
      <c r="C8192" s="66" t="s">
        <v>9859</v>
      </c>
      <c r="D8192" s="11">
        <v>3200</v>
      </c>
      <c r="E8192" s="11">
        <v>3200</v>
      </c>
      <c r="F8192" s="3">
        <v>39446</v>
      </c>
      <c r="G8192" s="2" t="s">
        <v>14104</v>
      </c>
      <c r="H8192" s="3">
        <v>43053</v>
      </c>
      <c r="I8192" s="2" t="s">
        <v>19506</v>
      </c>
      <c r="J8192" s="2" t="s">
        <v>13904</v>
      </c>
      <c r="K8192" s="2" t="s">
        <v>19218</v>
      </c>
      <c r="L8192" s="82" t="s">
        <v>19512</v>
      </c>
    </row>
    <row r="8193" spans="1:12" ht="84" customHeight="1" x14ac:dyDescent="0.3">
      <c r="A8193" s="2">
        <v>8189</v>
      </c>
      <c r="B8193" s="66" t="s">
        <v>9860</v>
      </c>
      <c r="C8193" s="66" t="s">
        <v>9861</v>
      </c>
      <c r="D8193" s="11">
        <v>3200</v>
      </c>
      <c r="E8193" s="11">
        <v>3200</v>
      </c>
      <c r="F8193" s="3">
        <v>39416</v>
      </c>
      <c r="G8193" s="2" t="s">
        <v>14104</v>
      </c>
      <c r="H8193" s="3">
        <v>43053</v>
      </c>
      <c r="I8193" s="2" t="s">
        <v>19506</v>
      </c>
      <c r="J8193" s="2" t="s">
        <v>13904</v>
      </c>
      <c r="K8193" s="2" t="s">
        <v>19218</v>
      </c>
      <c r="L8193" s="82" t="s">
        <v>19512</v>
      </c>
    </row>
    <row r="8194" spans="1:12" ht="84" customHeight="1" x14ac:dyDescent="0.3">
      <c r="A8194" s="2">
        <v>8190</v>
      </c>
      <c r="B8194" s="66" t="s">
        <v>9862</v>
      </c>
      <c r="C8194" s="66" t="s">
        <v>9863</v>
      </c>
      <c r="D8194" s="11">
        <v>7154.38</v>
      </c>
      <c r="E8194" s="11">
        <v>7154.38</v>
      </c>
      <c r="F8194" s="3">
        <v>40015</v>
      </c>
      <c r="G8194" s="2" t="s">
        <v>14104</v>
      </c>
      <c r="H8194" s="3">
        <v>43053</v>
      </c>
      <c r="I8194" s="2" t="s">
        <v>19506</v>
      </c>
      <c r="J8194" s="2" t="s">
        <v>13904</v>
      </c>
      <c r="K8194" s="2" t="s">
        <v>19218</v>
      </c>
      <c r="L8194" s="82" t="s">
        <v>19512</v>
      </c>
    </row>
    <row r="8195" spans="1:12" ht="84" customHeight="1" x14ac:dyDescent="0.3">
      <c r="A8195" s="2">
        <v>8191</v>
      </c>
      <c r="B8195" s="66" t="s">
        <v>9864</v>
      </c>
      <c r="C8195" s="66" t="s">
        <v>9865</v>
      </c>
      <c r="D8195" s="11">
        <v>3007</v>
      </c>
      <c r="E8195" s="11">
        <v>3007</v>
      </c>
      <c r="F8195" s="3">
        <v>40738</v>
      </c>
      <c r="G8195" s="2" t="s">
        <v>14104</v>
      </c>
      <c r="H8195" s="3">
        <v>43053</v>
      </c>
      <c r="I8195" s="2" t="s">
        <v>19506</v>
      </c>
      <c r="J8195" s="2" t="s">
        <v>13904</v>
      </c>
      <c r="K8195" s="2" t="s">
        <v>19218</v>
      </c>
      <c r="L8195" s="82" t="s">
        <v>19512</v>
      </c>
    </row>
    <row r="8196" spans="1:12" ht="84" customHeight="1" x14ac:dyDescent="0.3">
      <c r="A8196" s="2">
        <v>8192</v>
      </c>
      <c r="B8196" s="66" t="s">
        <v>9866</v>
      </c>
      <c r="C8196" s="66" t="s">
        <v>9867</v>
      </c>
      <c r="D8196" s="11">
        <v>3530.6</v>
      </c>
      <c r="E8196" s="11">
        <v>3530.6</v>
      </c>
      <c r="F8196" s="3">
        <v>34040</v>
      </c>
      <c r="G8196" s="2" t="s">
        <v>14104</v>
      </c>
      <c r="H8196" s="3">
        <v>43053</v>
      </c>
      <c r="I8196" s="2" t="s">
        <v>19506</v>
      </c>
      <c r="J8196" s="2" t="s">
        <v>13904</v>
      </c>
      <c r="K8196" s="2" t="s">
        <v>19218</v>
      </c>
      <c r="L8196" s="82" t="s">
        <v>19512</v>
      </c>
    </row>
    <row r="8197" spans="1:12" ht="84" customHeight="1" x14ac:dyDescent="0.3">
      <c r="A8197" s="2">
        <v>8193</v>
      </c>
      <c r="B8197" s="66" t="s">
        <v>9868</v>
      </c>
      <c r="C8197" s="66" t="s">
        <v>9869</v>
      </c>
      <c r="D8197" s="11">
        <v>3264</v>
      </c>
      <c r="E8197" s="11">
        <v>3264</v>
      </c>
      <c r="F8197" s="3">
        <v>39063</v>
      </c>
      <c r="G8197" s="2" t="s">
        <v>14104</v>
      </c>
      <c r="H8197" s="3">
        <v>43053</v>
      </c>
      <c r="I8197" s="2" t="s">
        <v>19506</v>
      </c>
      <c r="J8197" s="2" t="s">
        <v>13904</v>
      </c>
      <c r="K8197" s="2" t="s">
        <v>19218</v>
      </c>
      <c r="L8197" s="82" t="s">
        <v>19512</v>
      </c>
    </row>
    <row r="8198" spans="1:12" ht="84" customHeight="1" x14ac:dyDescent="0.3">
      <c r="A8198" s="2">
        <v>8194</v>
      </c>
      <c r="B8198" s="66" t="s">
        <v>9870</v>
      </c>
      <c r="C8198" s="66" t="s">
        <v>3864</v>
      </c>
      <c r="D8198" s="11">
        <v>3967.61</v>
      </c>
      <c r="E8198" s="11">
        <v>3967.61</v>
      </c>
      <c r="F8198" s="3">
        <v>40015</v>
      </c>
      <c r="G8198" s="2" t="s">
        <v>14104</v>
      </c>
      <c r="H8198" s="3">
        <v>43053</v>
      </c>
      <c r="I8198" s="2" t="s">
        <v>19506</v>
      </c>
      <c r="J8198" s="2" t="s">
        <v>13904</v>
      </c>
      <c r="K8198" s="2" t="s">
        <v>19218</v>
      </c>
      <c r="L8198" s="82" t="s">
        <v>19512</v>
      </c>
    </row>
    <row r="8199" spans="1:12" ht="84" customHeight="1" x14ac:dyDescent="0.3">
      <c r="A8199" s="2">
        <v>8195</v>
      </c>
      <c r="B8199" s="66" t="s">
        <v>9871</v>
      </c>
      <c r="C8199" s="66" t="s">
        <v>9872</v>
      </c>
      <c r="D8199" s="11">
        <v>7950.01</v>
      </c>
      <c r="E8199" s="11">
        <v>7950.01</v>
      </c>
      <c r="F8199" s="3">
        <v>41145</v>
      </c>
      <c r="G8199" s="2" t="s">
        <v>14104</v>
      </c>
      <c r="H8199" s="3">
        <v>43053</v>
      </c>
      <c r="I8199" s="2" t="s">
        <v>19506</v>
      </c>
      <c r="J8199" s="2" t="s">
        <v>13904</v>
      </c>
      <c r="K8199" s="2" t="s">
        <v>19218</v>
      </c>
      <c r="L8199" s="82" t="s">
        <v>19512</v>
      </c>
    </row>
    <row r="8200" spans="1:12" ht="84" customHeight="1" x14ac:dyDescent="0.3">
      <c r="A8200" s="2">
        <v>8196</v>
      </c>
      <c r="B8200" s="66" t="s">
        <v>9871</v>
      </c>
      <c r="C8200" s="66" t="s">
        <v>9873</v>
      </c>
      <c r="D8200" s="11">
        <v>7950</v>
      </c>
      <c r="E8200" s="11">
        <v>7950</v>
      </c>
      <c r="F8200" s="3">
        <v>41145</v>
      </c>
      <c r="G8200" s="2" t="s">
        <v>14104</v>
      </c>
      <c r="H8200" s="3">
        <v>43053</v>
      </c>
      <c r="I8200" s="2" t="s">
        <v>19506</v>
      </c>
      <c r="J8200" s="2" t="s">
        <v>13904</v>
      </c>
      <c r="K8200" s="2" t="s">
        <v>19218</v>
      </c>
      <c r="L8200" s="82" t="s">
        <v>19512</v>
      </c>
    </row>
    <row r="8201" spans="1:12" ht="84" customHeight="1" x14ac:dyDescent="0.3">
      <c r="A8201" s="2">
        <v>8197</v>
      </c>
      <c r="B8201" s="66" t="s">
        <v>9871</v>
      </c>
      <c r="C8201" s="66" t="s">
        <v>9874</v>
      </c>
      <c r="D8201" s="11">
        <v>7950</v>
      </c>
      <c r="E8201" s="11">
        <v>7950</v>
      </c>
      <c r="F8201" s="3">
        <v>41145</v>
      </c>
      <c r="G8201" s="2" t="s">
        <v>14104</v>
      </c>
      <c r="H8201" s="3">
        <v>43053</v>
      </c>
      <c r="I8201" s="2" t="s">
        <v>19506</v>
      </c>
      <c r="J8201" s="2" t="s">
        <v>13904</v>
      </c>
      <c r="K8201" s="2" t="s">
        <v>19218</v>
      </c>
      <c r="L8201" s="82" t="s">
        <v>19512</v>
      </c>
    </row>
    <row r="8202" spans="1:12" ht="84" customHeight="1" x14ac:dyDescent="0.3">
      <c r="A8202" s="2">
        <v>8198</v>
      </c>
      <c r="B8202" s="66" t="s">
        <v>9871</v>
      </c>
      <c r="C8202" s="66" t="s">
        <v>9875</v>
      </c>
      <c r="D8202" s="11">
        <v>7950</v>
      </c>
      <c r="E8202" s="11">
        <v>7950</v>
      </c>
      <c r="F8202" s="3">
        <v>41145</v>
      </c>
      <c r="G8202" s="2" t="s">
        <v>14104</v>
      </c>
      <c r="H8202" s="3">
        <v>43053</v>
      </c>
      <c r="I8202" s="2" t="s">
        <v>19506</v>
      </c>
      <c r="J8202" s="2" t="s">
        <v>13904</v>
      </c>
      <c r="K8202" s="2" t="s">
        <v>19218</v>
      </c>
      <c r="L8202" s="82" t="s">
        <v>19512</v>
      </c>
    </row>
    <row r="8203" spans="1:12" ht="84" customHeight="1" x14ac:dyDescent="0.3">
      <c r="A8203" s="2">
        <v>8199</v>
      </c>
      <c r="B8203" s="66" t="s">
        <v>3377</v>
      </c>
      <c r="C8203" s="66" t="s">
        <v>3146</v>
      </c>
      <c r="D8203" s="11">
        <v>3715</v>
      </c>
      <c r="E8203" s="11">
        <v>3715</v>
      </c>
      <c r="F8203" s="3">
        <v>41843</v>
      </c>
      <c r="G8203" s="2" t="s">
        <v>14104</v>
      </c>
      <c r="H8203" s="3">
        <v>43053</v>
      </c>
      <c r="I8203" s="2" t="s">
        <v>19506</v>
      </c>
      <c r="J8203" s="2" t="s">
        <v>13904</v>
      </c>
      <c r="K8203" s="2" t="s">
        <v>19218</v>
      </c>
      <c r="L8203" s="82" t="s">
        <v>19512</v>
      </c>
    </row>
    <row r="8204" spans="1:12" ht="84" customHeight="1" x14ac:dyDescent="0.3">
      <c r="A8204" s="2">
        <v>8200</v>
      </c>
      <c r="B8204" s="66" t="s">
        <v>3377</v>
      </c>
      <c r="C8204" s="66" t="s">
        <v>3145</v>
      </c>
      <c r="D8204" s="11">
        <v>3715</v>
      </c>
      <c r="E8204" s="11">
        <v>3715</v>
      </c>
      <c r="F8204" s="3">
        <v>41843</v>
      </c>
      <c r="G8204" s="2" t="s">
        <v>14104</v>
      </c>
      <c r="H8204" s="3">
        <v>43053</v>
      </c>
      <c r="I8204" s="2" t="s">
        <v>19506</v>
      </c>
      <c r="J8204" s="2" t="s">
        <v>13904</v>
      </c>
      <c r="K8204" s="2" t="s">
        <v>19218</v>
      </c>
      <c r="L8204" s="82" t="s">
        <v>19512</v>
      </c>
    </row>
    <row r="8205" spans="1:12" ht="84" customHeight="1" x14ac:dyDescent="0.3">
      <c r="A8205" s="2">
        <v>8201</v>
      </c>
      <c r="B8205" s="66" t="s">
        <v>3377</v>
      </c>
      <c r="C8205" s="66" t="s">
        <v>3148</v>
      </c>
      <c r="D8205" s="11">
        <v>3715</v>
      </c>
      <c r="E8205" s="11">
        <v>3715</v>
      </c>
      <c r="F8205" s="3">
        <v>41843</v>
      </c>
      <c r="G8205" s="2" t="s">
        <v>14104</v>
      </c>
      <c r="H8205" s="3">
        <v>43053</v>
      </c>
      <c r="I8205" s="2" t="s">
        <v>19506</v>
      </c>
      <c r="J8205" s="2" t="s">
        <v>13904</v>
      </c>
      <c r="K8205" s="2" t="s">
        <v>19218</v>
      </c>
      <c r="L8205" s="82" t="s">
        <v>19512</v>
      </c>
    </row>
    <row r="8206" spans="1:12" ht="84" customHeight="1" x14ac:dyDescent="0.3">
      <c r="A8206" s="2">
        <v>8202</v>
      </c>
      <c r="B8206" s="66" t="s">
        <v>3377</v>
      </c>
      <c r="C8206" s="66" t="s">
        <v>3147</v>
      </c>
      <c r="D8206" s="11">
        <v>3715</v>
      </c>
      <c r="E8206" s="11">
        <v>3715</v>
      </c>
      <c r="F8206" s="3">
        <v>41843</v>
      </c>
      <c r="G8206" s="2" t="s">
        <v>14104</v>
      </c>
      <c r="H8206" s="3">
        <v>43053</v>
      </c>
      <c r="I8206" s="2" t="s">
        <v>19506</v>
      </c>
      <c r="J8206" s="2" t="s">
        <v>13904</v>
      </c>
      <c r="K8206" s="2" t="s">
        <v>19218</v>
      </c>
      <c r="L8206" s="82" t="s">
        <v>19512</v>
      </c>
    </row>
    <row r="8207" spans="1:12" ht="84" customHeight="1" x14ac:dyDescent="0.3">
      <c r="A8207" s="2">
        <v>8203</v>
      </c>
      <c r="B8207" s="66" t="s">
        <v>3377</v>
      </c>
      <c r="C8207" s="66" t="s">
        <v>3149</v>
      </c>
      <c r="D8207" s="11">
        <v>3715</v>
      </c>
      <c r="E8207" s="11">
        <v>3715</v>
      </c>
      <c r="F8207" s="3">
        <v>41843</v>
      </c>
      <c r="G8207" s="2" t="s">
        <v>14104</v>
      </c>
      <c r="H8207" s="3">
        <v>43053</v>
      </c>
      <c r="I8207" s="2" t="s">
        <v>19506</v>
      </c>
      <c r="J8207" s="2" t="s">
        <v>13904</v>
      </c>
      <c r="K8207" s="2" t="s">
        <v>19218</v>
      </c>
      <c r="L8207" s="82" t="s">
        <v>19512</v>
      </c>
    </row>
    <row r="8208" spans="1:12" ht="84" customHeight="1" x14ac:dyDescent="0.3">
      <c r="A8208" s="2">
        <v>8204</v>
      </c>
      <c r="B8208" s="66" t="s">
        <v>3377</v>
      </c>
      <c r="C8208" s="66" t="s">
        <v>3241</v>
      </c>
      <c r="D8208" s="11">
        <v>3715</v>
      </c>
      <c r="E8208" s="11">
        <v>3715</v>
      </c>
      <c r="F8208" s="3">
        <v>41843</v>
      </c>
      <c r="G8208" s="2" t="s">
        <v>14104</v>
      </c>
      <c r="H8208" s="3">
        <v>43053</v>
      </c>
      <c r="I8208" s="2" t="s">
        <v>19506</v>
      </c>
      <c r="J8208" s="2" t="s">
        <v>13904</v>
      </c>
      <c r="K8208" s="2" t="s">
        <v>19218</v>
      </c>
      <c r="L8208" s="82" t="s">
        <v>19512</v>
      </c>
    </row>
    <row r="8209" spans="1:12" ht="84" customHeight="1" x14ac:dyDescent="0.3">
      <c r="A8209" s="2">
        <v>8205</v>
      </c>
      <c r="B8209" s="66" t="s">
        <v>3377</v>
      </c>
      <c r="C8209" s="66" t="s">
        <v>3242</v>
      </c>
      <c r="D8209" s="11">
        <v>3715</v>
      </c>
      <c r="E8209" s="11">
        <v>3715</v>
      </c>
      <c r="F8209" s="3">
        <v>41843</v>
      </c>
      <c r="G8209" s="2" t="s">
        <v>14104</v>
      </c>
      <c r="H8209" s="3">
        <v>43053</v>
      </c>
      <c r="I8209" s="2" t="s">
        <v>19506</v>
      </c>
      <c r="J8209" s="2" t="s">
        <v>13904</v>
      </c>
      <c r="K8209" s="2" t="s">
        <v>19218</v>
      </c>
      <c r="L8209" s="82" t="s">
        <v>19512</v>
      </c>
    </row>
    <row r="8210" spans="1:12" ht="84" customHeight="1" x14ac:dyDescent="0.3">
      <c r="A8210" s="2">
        <v>8206</v>
      </c>
      <c r="B8210" s="66" t="s">
        <v>3377</v>
      </c>
      <c r="C8210" s="66" t="s">
        <v>3243</v>
      </c>
      <c r="D8210" s="11">
        <v>3715</v>
      </c>
      <c r="E8210" s="11">
        <v>3715</v>
      </c>
      <c r="F8210" s="3">
        <v>41843</v>
      </c>
      <c r="G8210" s="2" t="s">
        <v>14104</v>
      </c>
      <c r="H8210" s="3">
        <v>43053</v>
      </c>
      <c r="I8210" s="2" t="s">
        <v>19506</v>
      </c>
      <c r="J8210" s="2" t="s">
        <v>13904</v>
      </c>
      <c r="K8210" s="2" t="s">
        <v>19218</v>
      </c>
      <c r="L8210" s="82" t="s">
        <v>19512</v>
      </c>
    </row>
    <row r="8211" spans="1:12" ht="84" customHeight="1" x14ac:dyDescent="0.3">
      <c r="A8211" s="2">
        <v>8207</v>
      </c>
      <c r="B8211" s="66" t="s">
        <v>3377</v>
      </c>
      <c r="C8211" s="66" t="s">
        <v>3244</v>
      </c>
      <c r="D8211" s="11">
        <v>3715</v>
      </c>
      <c r="E8211" s="11">
        <v>3715</v>
      </c>
      <c r="F8211" s="3">
        <v>41843</v>
      </c>
      <c r="G8211" s="2" t="s">
        <v>14104</v>
      </c>
      <c r="H8211" s="3">
        <v>43053</v>
      </c>
      <c r="I8211" s="2" t="s">
        <v>19506</v>
      </c>
      <c r="J8211" s="2" t="s">
        <v>13904</v>
      </c>
      <c r="K8211" s="2" t="s">
        <v>19218</v>
      </c>
      <c r="L8211" s="82" t="s">
        <v>19512</v>
      </c>
    </row>
    <row r="8212" spans="1:12" ht="84" customHeight="1" x14ac:dyDescent="0.3">
      <c r="A8212" s="2">
        <v>8208</v>
      </c>
      <c r="B8212" s="66" t="s">
        <v>3377</v>
      </c>
      <c r="C8212" s="66" t="s">
        <v>3245</v>
      </c>
      <c r="D8212" s="11">
        <v>3715</v>
      </c>
      <c r="E8212" s="11">
        <v>3715</v>
      </c>
      <c r="F8212" s="3">
        <v>41843</v>
      </c>
      <c r="G8212" s="2" t="s">
        <v>14104</v>
      </c>
      <c r="H8212" s="3">
        <v>43053</v>
      </c>
      <c r="I8212" s="2" t="s">
        <v>19506</v>
      </c>
      <c r="J8212" s="2" t="s">
        <v>13904</v>
      </c>
      <c r="K8212" s="2" t="s">
        <v>19218</v>
      </c>
      <c r="L8212" s="82" t="s">
        <v>19512</v>
      </c>
    </row>
    <row r="8213" spans="1:12" ht="84" customHeight="1" x14ac:dyDescent="0.3">
      <c r="A8213" s="2">
        <v>8209</v>
      </c>
      <c r="B8213" s="66" t="s">
        <v>3377</v>
      </c>
      <c r="C8213" s="66" t="s">
        <v>3246</v>
      </c>
      <c r="D8213" s="11">
        <v>3715</v>
      </c>
      <c r="E8213" s="11">
        <v>3715</v>
      </c>
      <c r="F8213" s="3">
        <v>41843</v>
      </c>
      <c r="G8213" s="2" t="s">
        <v>14104</v>
      </c>
      <c r="H8213" s="3">
        <v>43053</v>
      </c>
      <c r="I8213" s="2" t="s">
        <v>19506</v>
      </c>
      <c r="J8213" s="2" t="s">
        <v>13904</v>
      </c>
      <c r="K8213" s="2" t="s">
        <v>19218</v>
      </c>
      <c r="L8213" s="82" t="s">
        <v>19512</v>
      </c>
    </row>
    <row r="8214" spans="1:12" ht="84" customHeight="1" x14ac:dyDescent="0.3">
      <c r="A8214" s="2">
        <v>8210</v>
      </c>
      <c r="B8214" s="66" t="s">
        <v>3377</v>
      </c>
      <c r="C8214" s="66" t="s">
        <v>3384</v>
      </c>
      <c r="D8214" s="11">
        <v>3715</v>
      </c>
      <c r="E8214" s="11">
        <v>3715</v>
      </c>
      <c r="F8214" s="3">
        <v>41843</v>
      </c>
      <c r="G8214" s="2" t="s">
        <v>14104</v>
      </c>
      <c r="H8214" s="3">
        <v>43053</v>
      </c>
      <c r="I8214" s="2" t="s">
        <v>19506</v>
      </c>
      <c r="J8214" s="2" t="s">
        <v>13904</v>
      </c>
      <c r="K8214" s="2" t="s">
        <v>19218</v>
      </c>
      <c r="L8214" s="82" t="s">
        <v>19512</v>
      </c>
    </row>
    <row r="8215" spans="1:12" ht="84" customHeight="1" x14ac:dyDescent="0.3">
      <c r="A8215" s="2">
        <v>8211</v>
      </c>
      <c r="B8215" s="66" t="s">
        <v>3377</v>
      </c>
      <c r="C8215" s="66" t="s">
        <v>3383</v>
      </c>
      <c r="D8215" s="11">
        <v>3715</v>
      </c>
      <c r="E8215" s="11">
        <v>3715</v>
      </c>
      <c r="F8215" s="3">
        <v>41843</v>
      </c>
      <c r="G8215" s="2" t="s">
        <v>14104</v>
      </c>
      <c r="H8215" s="3">
        <v>43053</v>
      </c>
      <c r="I8215" s="2" t="s">
        <v>19506</v>
      </c>
      <c r="J8215" s="2" t="s">
        <v>13904</v>
      </c>
      <c r="K8215" s="2" t="s">
        <v>19218</v>
      </c>
      <c r="L8215" s="82" t="s">
        <v>19512</v>
      </c>
    </row>
    <row r="8216" spans="1:12" ht="84" customHeight="1" x14ac:dyDescent="0.3">
      <c r="A8216" s="2">
        <v>8212</v>
      </c>
      <c r="B8216" s="66" t="s">
        <v>3377</v>
      </c>
      <c r="C8216" s="66" t="s">
        <v>3382</v>
      </c>
      <c r="D8216" s="11">
        <v>3715</v>
      </c>
      <c r="E8216" s="11">
        <v>3715</v>
      </c>
      <c r="F8216" s="3">
        <v>41843</v>
      </c>
      <c r="G8216" s="2" t="s">
        <v>14104</v>
      </c>
      <c r="H8216" s="3">
        <v>43053</v>
      </c>
      <c r="I8216" s="2" t="s">
        <v>19506</v>
      </c>
      <c r="J8216" s="2" t="s">
        <v>13904</v>
      </c>
      <c r="K8216" s="2" t="s">
        <v>19218</v>
      </c>
      <c r="L8216" s="82" t="s">
        <v>19512</v>
      </c>
    </row>
    <row r="8217" spans="1:12" ht="84" customHeight="1" x14ac:dyDescent="0.3">
      <c r="A8217" s="2">
        <v>8213</v>
      </c>
      <c r="B8217" s="66" t="s">
        <v>3377</v>
      </c>
      <c r="C8217" s="66" t="s">
        <v>3381</v>
      </c>
      <c r="D8217" s="11">
        <v>3715</v>
      </c>
      <c r="E8217" s="11">
        <v>3715</v>
      </c>
      <c r="F8217" s="3">
        <v>41843</v>
      </c>
      <c r="G8217" s="2" t="s">
        <v>14104</v>
      </c>
      <c r="H8217" s="3">
        <v>43053</v>
      </c>
      <c r="I8217" s="2" t="s">
        <v>19506</v>
      </c>
      <c r="J8217" s="2" t="s">
        <v>13904</v>
      </c>
      <c r="K8217" s="2" t="s">
        <v>19218</v>
      </c>
      <c r="L8217" s="82" t="s">
        <v>19512</v>
      </c>
    </row>
    <row r="8218" spans="1:12" ht="84" customHeight="1" x14ac:dyDescent="0.3">
      <c r="A8218" s="2">
        <v>8214</v>
      </c>
      <c r="B8218" s="66" t="s">
        <v>3377</v>
      </c>
      <c r="C8218" s="66" t="s">
        <v>3380</v>
      </c>
      <c r="D8218" s="11">
        <v>3715</v>
      </c>
      <c r="E8218" s="11">
        <v>3715</v>
      </c>
      <c r="F8218" s="3">
        <v>41843</v>
      </c>
      <c r="G8218" s="2" t="s">
        <v>14104</v>
      </c>
      <c r="H8218" s="3">
        <v>43053</v>
      </c>
      <c r="I8218" s="2" t="s">
        <v>19506</v>
      </c>
      <c r="J8218" s="2" t="s">
        <v>13904</v>
      </c>
      <c r="K8218" s="2" t="s">
        <v>19218</v>
      </c>
      <c r="L8218" s="82" t="s">
        <v>19512</v>
      </c>
    </row>
    <row r="8219" spans="1:12" ht="84" customHeight="1" x14ac:dyDescent="0.3">
      <c r="A8219" s="2">
        <v>8215</v>
      </c>
      <c r="B8219" s="66" t="s">
        <v>3377</v>
      </c>
      <c r="C8219" s="66" t="s">
        <v>4289</v>
      </c>
      <c r="D8219" s="11">
        <v>3715</v>
      </c>
      <c r="E8219" s="11">
        <v>3715</v>
      </c>
      <c r="F8219" s="3">
        <v>41843</v>
      </c>
      <c r="G8219" s="2" t="s">
        <v>14104</v>
      </c>
      <c r="H8219" s="3">
        <v>43053</v>
      </c>
      <c r="I8219" s="2" t="s">
        <v>19506</v>
      </c>
      <c r="J8219" s="2" t="s">
        <v>13904</v>
      </c>
      <c r="K8219" s="2" t="s">
        <v>19218</v>
      </c>
      <c r="L8219" s="82" t="s">
        <v>19512</v>
      </c>
    </row>
    <row r="8220" spans="1:12" ht="84" customHeight="1" x14ac:dyDescent="0.3">
      <c r="A8220" s="2">
        <v>8216</v>
      </c>
      <c r="B8220" s="66" t="s">
        <v>3377</v>
      </c>
      <c r="C8220" s="66" t="s">
        <v>4483</v>
      </c>
      <c r="D8220" s="11">
        <v>3715</v>
      </c>
      <c r="E8220" s="11">
        <v>3715</v>
      </c>
      <c r="F8220" s="3">
        <v>41843</v>
      </c>
      <c r="G8220" s="2" t="s">
        <v>14104</v>
      </c>
      <c r="H8220" s="3">
        <v>43053</v>
      </c>
      <c r="I8220" s="2" t="s">
        <v>19506</v>
      </c>
      <c r="J8220" s="2" t="s">
        <v>13904</v>
      </c>
      <c r="K8220" s="2" t="s">
        <v>19218</v>
      </c>
      <c r="L8220" s="82" t="s">
        <v>19512</v>
      </c>
    </row>
    <row r="8221" spans="1:12" ht="84" customHeight="1" x14ac:dyDescent="0.3">
      <c r="A8221" s="2">
        <v>8217</v>
      </c>
      <c r="B8221" s="66" t="s">
        <v>3377</v>
      </c>
      <c r="C8221" s="66" t="s">
        <v>4265</v>
      </c>
      <c r="D8221" s="11">
        <v>3715</v>
      </c>
      <c r="E8221" s="11">
        <v>3715</v>
      </c>
      <c r="F8221" s="3">
        <v>41843</v>
      </c>
      <c r="G8221" s="2" t="s">
        <v>14104</v>
      </c>
      <c r="H8221" s="3">
        <v>43053</v>
      </c>
      <c r="I8221" s="2" t="s">
        <v>19506</v>
      </c>
      <c r="J8221" s="2" t="s">
        <v>13904</v>
      </c>
      <c r="K8221" s="2" t="s">
        <v>19218</v>
      </c>
      <c r="L8221" s="82" t="s">
        <v>19512</v>
      </c>
    </row>
    <row r="8222" spans="1:12" ht="84" customHeight="1" x14ac:dyDescent="0.3">
      <c r="A8222" s="2">
        <v>8218</v>
      </c>
      <c r="B8222" s="66" t="s">
        <v>5346</v>
      </c>
      <c r="C8222" s="66" t="s">
        <v>9876</v>
      </c>
      <c r="D8222" s="11">
        <v>4300</v>
      </c>
      <c r="E8222" s="11">
        <v>4300</v>
      </c>
      <c r="F8222" s="3">
        <v>41558</v>
      </c>
      <c r="G8222" s="2" t="s">
        <v>14104</v>
      </c>
      <c r="H8222" s="3">
        <v>43053</v>
      </c>
      <c r="I8222" s="2" t="s">
        <v>19506</v>
      </c>
      <c r="J8222" s="2" t="s">
        <v>13904</v>
      </c>
      <c r="K8222" s="2" t="s">
        <v>19218</v>
      </c>
      <c r="L8222" s="82" t="s">
        <v>19512</v>
      </c>
    </row>
    <row r="8223" spans="1:12" ht="84" customHeight="1" x14ac:dyDescent="0.3">
      <c r="A8223" s="2">
        <v>8219</v>
      </c>
      <c r="B8223" s="66" t="s">
        <v>9850</v>
      </c>
      <c r="C8223" s="66" t="s">
        <v>3141</v>
      </c>
      <c r="D8223" s="11">
        <v>4157.9799999999996</v>
      </c>
      <c r="E8223" s="11">
        <v>4157.9799999999996</v>
      </c>
      <c r="F8223" s="3">
        <v>34012</v>
      </c>
      <c r="G8223" s="2" t="s">
        <v>14104</v>
      </c>
      <c r="H8223" s="3">
        <v>43053</v>
      </c>
      <c r="I8223" s="2" t="s">
        <v>19506</v>
      </c>
      <c r="J8223" s="2" t="s">
        <v>13904</v>
      </c>
      <c r="K8223" s="2" t="s">
        <v>19218</v>
      </c>
      <c r="L8223" s="82" t="s">
        <v>19512</v>
      </c>
    </row>
    <row r="8224" spans="1:12" ht="84" customHeight="1" x14ac:dyDescent="0.3">
      <c r="A8224" s="2">
        <v>8220</v>
      </c>
      <c r="B8224" s="66" t="s">
        <v>9850</v>
      </c>
      <c r="C8224" s="66" t="s">
        <v>3138</v>
      </c>
      <c r="D8224" s="11">
        <v>4157.9799999999996</v>
      </c>
      <c r="E8224" s="11">
        <v>4157.9799999999996</v>
      </c>
      <c r="F8224" s="3">
        <v>34012</v>
      </c>
      <c r="G8224" s="2" t="s">
        <v>14104</v>
      </c>
      <c r="H8224" s="3">
        <v>43053</v>
      </c>
      <c r="I8224" s="2" t="s">
        <v>19506</v>
      </c>
      <c r="J8224" s="2" t="s">
        <v>13904</v>
      </c>
      <c r="K8224" s="2" t="s">
        <v>19218</v>
      </c>
      <c r="L8224" s="82" t="s">
        <v>19512</v>
      </c>
    </row>
    <row r="8225" spans="1:12" ht="84" customHeight="1" x14ac:dyDescent="0.3">
      <c r="A8225" s="2">
        <v>8221</v>
      </c>
      <c r="B8225" s="66" t="s">
        <v>9850</v>
      </c>
      <c r="C8225" s="66" t="s">
        <v>7818</v>
      </c>
      <c r="D8225" s="11">
        <v>4157.9799999999996</v>
      </c>
      <c r="E8225" s="11">
        <v>4157.9799999999996</v>
      </c>
      <c r="F8225" s="3">
        <v>34012</v>
      </c>
      <c r="G8225" s="2" t="s">
        <v>14104</v>
      </c>
      <c r="H8225" s="3">
        <v>43053</v>
      </c>
      <c r="I8225" s="2" t="s">
        <v>19506</v>
      </c>
      <c r="J8225" s="2" t="s">
        <v>13904</v>
      </c>
      <c r="K8225" s="2" t="s">
        <v>19218</v>
      </c>
      <c r="L8225" s="82" t="s">
        <v>19512</v>
      </c>
    </row>
    <row r="8226" spans="1:12" ht="84" customHeight="1" x14ac:dyDescent="0.3">
      <c r="A8226" s="2">
        <v>8222</v>
      </c>
      <c r="B8226" s="66" t="s">
        <v>9850</v>
      </c>
      <c r="C8226" s="66" t="s">
        <v>9877</v>
      </c>
      <c r="D8226" s="11">
        <v>4157.9799999999996</v>
      </c>
      <c r="E8226" s="11">
        <v>4157.9799999999996</v>
      </c>
      <c r="F8226" s="3">
        <v>34012</v>
      </c>
      <c r="G8226" s="2" t="s">
        <v>14104</v>
      </c>
      <c r="H8226" s="3">
        <v>43053</v>
      </c>
      <c r="I8226" s="2" t="s">
        <v>19506</v>
      </c>
      <c r="J8226" s="2" t="s">
        <v>13904</v>
      </c>
      <c r="K8226" s="2" t="s">
        <v>19218</v>
      </c>
      <c r="L8226" s="82" t="s">
        <v>19512</v>
      </c>
    </row>
    <row r="8227" spans="1:12" ht="84" customHeight="1" x14ac:dyDescent="0.3">
      <c r="A8227" s="2">
        <v>8223</v>
      </c>
      <c r="B8227" s="66" t="s">
        <v>9850</v>
      </c>
      <c r="C8227" s="66" t="s">
        <v>5338</v>
      </c>
      <c r="D8227" s="11">
        <v>4157.9799999999996</v>
      </c>
      <c r="E8227" s="11">
        <v>4157.9799999999996</v>
      </c>
      <c r="F8227" s="3">
        <v>34012</v>
      </c>
      <c r="G8227" s="2" t="s">
        <v>14104</v>
      </c>
      <c r="H8227" s="3">
        <v>43053</v>
      </c>
      <c r="I8227" s="2" t="s">
        <v>19506</v>
      </c>
      <c r="J8227" s="2" t="s">
        <v>13904</v>
      </c>
      <c r="K8227" s="2" t="s">
        <v>19218</v>
      </c>
      <c r="L8227" s="82" t="s">
        <v>19512</v>
      </c>
    </row>
    <row r="8228" spans="1:12" ht="84" customHeight="1" x14ac:dyDescent="0.3">
      <c r="A8228" s="2">
        <v>8224</v>
      </c>
      <c r="B8228" s="66" t="s">
        <v>9850</v>
      </c>
      <c r="C8228" s="66" t="s">
        <v>5322</v>
      </c>
      <c r="D8228" s="11">
        <v>4157.9799999999996</v>
      </c>
      <c r="E8228" s="11">
        <v>4157.9799999999996</v>
      </c>
      <c r="F8228" s="3">
        <v>34012</v>
      </c>
      <c r="G8228" s="2" t="s">
        <v>14104</v>
      </c>
      <c r="H8228" s="3">
        <v>43053</v>
      </c>
      <c r="I8228" s="2" t="s">
        <v>19506</v>
      </c>
      <c r="J8228" s="2" t="s">
        <v>13904</v>
      </c>
      <c r="K8228" s="2" t="s">
        <v>19218</v>
      </c>
      <c r="L8228" s="82" t="s">
        <v>19512</v>
      </c>
    </row>
    <row r="8229" spans="1:12" ht="84" customHeight="1" x14ac:dyDescent="0.3">
      <c r="A8229" s="2">
        <v>8225</v>
      </c>
      <c r="B8229" s="66" t="s">
        <v>9878</v>
      </c>
      <c r="C8229" s="66" t="s">
        <v>3812</v>
      </c>
      <c r="D8229" s="11">
        <v>4271.01</v>
      </c>
      <c r="E8229" s="11">
        <v>4271.01</v>
      </c>
      <c r="F8229" s="3">
        <v>34040</v>
      </c>
      <c r="G8229" s="2" t="s">
        <v>14104</v>
      </c>
      <c r="H8229" s="3">
        <v>43053</v>
      </c>
      <c r="I8229" s="2" t="s">
        <v>19506</v>
      </c>
      <c r="J8229" s="2" t="s">
        <v>13904</v>
      </c>
      <c r="K8229" s="2" t="s">
        <v>19218</v>
      </c>
      <c r="L8229" s="82" t="s">
        <v>19512</v>
      </c>
    </row>
    <row r="8230" spans="1:12" ht="84" customHeight="1" x14ac:dyDescent="0.3">
      <c r="A8230" s="2">
        <v>8226</v>
      </c>
      <c r="B8230" s="66" t="s">
        <v>9879</v>
      </c>
      <c r="C8230" s="66" t="s">
        <v>3813</v>
      </c>
      <c r="D8230" s="11">
        <v>4271.01</v>
      </c>
      <c r="E8230" s="11">
        <v>4271.01</v>
      </c>
      <c r="F8230" s="3">
        <v>34040</v>
      </c>
      <c r="G8230" s="2" t="s">
        <v>14104</v>
      </c>
      <c r="H8230" s="3">
        <v>43053</v>
      </c>
      <c r="I8230" s="2" t="s">
        <v>19506</v>
      </c>
      <c r="J8230" s="2" t="s">
        <v>13904</v>
      </c>
      <c r="K8230" s="2" t="s">
        <v>19218</v>
      </c>
      <c r="L8230" s="82" t="s">
        <v>19512</v>
      </c>
    </row>
    <row r="8231" spans="1:12" ht="84" customHeight="1" x14ac:dyDescent="0.3">
      <c r="A8231" s="2">
        <v>8227</v>
      </c>
      <c r="B8231" s="66" t="s">
        <v>9879</v>
      </c>
      <c r="C8231" s="66" t="s">
        <v>3860</v>
      </c>
      <c r="D8231" s="11">
        <v>4271.01</v>
      </c>
      <c r="E8231" s="11">
        <v>4271.01</v>
      </c>
      <c r="F8231" s="3">
        <v>34040</v>
      </c>
      <c r="G8231" s="2" t="s">
        <v>14104</v>
      </c>
      <c r="H8231" s="3">
        <v>43053</v>
      </c>
      <c r="I8231" s="2" t="s">
        <v>19506</v>
      </c>
      <c r="J8231" s="2" t="s">
        <v>13904</v>
      </c>
      <c r="K8231" s="2" t="s">
        <v>19218</v>
      </c>
      <c r="L8231" s="82" t="s">
        <v>19512</v>
      </c>
    </row>
    <row r="8232" spans="1:12" ht="84" customHeight="1" x14ac:dyDescent="0.3">
      <c r="A8232" s="2">
        <v>8228</v>
      </c>
      <c r="B8232" s="66" t="s">
        <v>9880</v>
      </c>
      <c r="C8232" s="66" t="s">
        <v>9881</v>
      </c>
      <c r="D8232" s="11">
        <v>3530.6</v>
      </c>
      <c r="E8232" s="11">
        <v>3530.6</v>
      </c>
      <c r="F8232" s="3">
        <v>34040</v>
      </c>
      <c r="G8232" s="2" t="s">
        <v>14104</v>
      </c>
      <c r="H8232" s="3">
        <v>43053</v>
      </c>
      <c r="I8232" s="2" t="s">
        <v>19506</v>
      </c>
      <c r="J8232" s="2" t="s">
        <v>13904</v>
      </c>
      <c r="K8232" s="2" t="s">
        <v>19218</v>
      </c>
      <c r="L8232" s="82" t="s">
        <v>19512</v>
      </c>
    </row>
    <row r="8233" spans="1:12" ht="84" customHeight="1" x14ac:dyDescent="0.3">
      <c r="A8233" s="2">
        <v>8229</v>
      </c>
      <c r="B8233" s="66" t="s">
        <v>9880</v>
      </c>
      <c r="C8233" s="66" t="s">
        <v>4252</v>
      </c>
      <c r="D8233" s="11">
        <v>3530.6</v>
      </c>
      <c r="E8233" s="11">
        <v>3530.6</v>
      </c>
      <c r="F8233" s="3">
        <v>34040</v>
      </c>
      <c r="G8233" s="2" t="s">
        <v>14104</v>
      </c>
      <c r="H8233" s="3">
        <v>43053</v>
      </c>
      <c r="I8233" s="2" t="s">
        <v>19506</v>
      </c>
      <c r="J8233" s="2" t="s">
        <v>13904</v>
      </c>
      <c r="K8233" s="2" t="s">
        <v>19218</v>
      </c>
      <c r="L8233" s="82" t="s">
        <v>19512</v>
      </c>
    </row>
    <row r="8234" spans="1:12" ht="84" customHeight="1" x14ac:dyDescent="0.3">
      <c r="A8234" s="2">
        <v>8230</v>
      </c>
      <c r="B8234" s="66" t="s">
        <v>9870</v>
      </c>
      <c r="C8234" s="66" t="s">
        <v>9882</v>
      </c>
      <c r="D8234" s="11">
        <v>3967.61</v>
      </c>
      <c r="E8234" s="11">
        <v>3967.61</v>
      </c>
      <c r="F8234" s="3">
        <v>40015</v>
      </c>
      <c r="G8234" s="2" t="s">
        <v>14104</v>
      </c>
      <c r="H8234" s="3">
        <v>43053</v>
      </c>
      <c r="I8234" s="2" t="s">
        <v>19506</v>
      </c>
      <c r="J8234" s="2" t="s">
        <v>13904</v>
      </c>
      <c r="K8234" s="2" t="s">
        <v>19218</v>
      </c>
      <c r="L8234" s="82" t="s">
        <v>19512</v>
      </c>
    </row>
    <row r="8235" spans="1:12" ht="84" customHeight="1" x14ac:dyDescent="0.3">
      <c r="A8235" s="2">
        <v>8231</v>
      </c>
      <c r="B8235" s="66" t="s">
        <v>3570</v>
      </c>
      <c r="C8235" s="66" t="s">
        <v>9883</v>
      </c>
      <c r="D8235" s="11">
        <v>5000</v>
      </c>
      <c r="E8235" s="11">
        <v>5000</v>
      </c>
      <c r="F8235" s="3">
        <v>39435</v>
      </c>
      <c r="G8235" s="2" t="s">
        <v>14104</v>
      </c>
      <c r="H8235" s="3">
        <v>43053</v>
      </c>
      <c r="I8235" s="2" t="s">
        <v>19506</v>
      </c>
      <c r="J8235" s="2" t="s">
        <v>13904</v>
      </c>
      <c r="K8235" s="2" t="s">
        <v>19218</v>
      </c>
      <c r="L8235" s="82" t="s">
        <v>19512</v>
      </c>
    </row>
    <row r="8236" spans="1:12" ht="84" customHeight="1" x14ac:dyDescent="0.3">
      <c r="A8236" s="2">
        <v>8232</v>
      </c>
      <c r="B8236" s="66" t="s">
        <v>3570</v>
      </c>
      <c r="C8236" s="66" t="s">
        <v>9884</v>
      </c>
      <c r="D8236" s="11">
        <v>5000</v>
      </c>
      <c r="E8236" s="11">
        <v>5000</v>
      </c>
      <c r="F8236" s="3">
        <v>39435</v>
      </c>
      <c r="G8236" s="2" t="s">
        <v>14104</v>
      </c>
      <c r="H8236" s="3">
        <v>43053</v>
      </c>
      <c r="I8236" s="2" t="s">
        <v>19506</v>
      </c>
      <c r="J8236" s="2" t="s">
        <v>13904</v>
      </c>
      <c r="K8236" s="2" t="s">
        <v>19218</v>
      </c>
      <c r="L8236" s="82" t="s">
        <v>19512</v>
      </c>
    </row>
    <row r="8237" spans="1:12" ht="84" customHeight="1" x14ac:dyDescent="0.3">
      <c r="A8237" s="2">
        <v>8233</v>
      </c>
      <c r="B8237" s="66" t="s">
        <v>3570</v>
      </c>
      <c r="C8237" s="66" t="s">
        <v>9885</v>
      </c>
      <c r="D8237" s="11">
        <v>5000</v>
      </c>
      <c r="E8237" s="11">
        <v>5000</v>
      </c>
      <c r="F8237" s="3">
        <v>39435</v>
      </c>
      <c r="G8237" s="2" t="s">
        <v>14104</v>
      </c>
      <c r="H8237" s="3">
        <v>43053</v>
      </c>
      <c r="I8237" s="2" t="s">
        <v>19506</v>
      </c>
      <c r="J8237" s="2" t="s">
        <v>13904</v>
      </c>
      <c r="K8237" s="2" t="s">
        <v>19218</v>
      </c>
      <c r="L8237" s="82" t="s">
        <v>19512</v>
      </c>
    </row>
    <row r="8238" spans="1:12" ht="84" customHeight="1" x14ac:dyDescent="0.3">
      <c r="A8238" s="2">
        <v>8234</v>
      </c>
      <c r="B8238" s="66" t="s">
        <v>3570</v>
      </c>
      <c r="C8238" s="66" t="s">
        <v>9886</v>
      </c>
      <c r="D8238" s="11">
        <v>5000</v>
      </c>
      <c r="E8238" s="11">
        <v>5000</v>
      </c>
      <c r="F8238" s="3">
        <v>39435</v>
      </c>
      <c r="G8238" s="2" t="s">
        <v>14104</v>
      </c>
      <c r="H8238" s="3">
        <v>43053</v>
      </c>
      <c r="I8238" s="2" t="s">
        <v>19506</v>
      </c>
      <c r="J8238" s="2" t="s">
        <v>13904</v>
      </c>
      <c r="K8238" s="2" t="s">
        <v>19218</v>
      </c>
      <c r="L8238" s="82" t="s">
        <v>19512</v>
      </c>
    </row>
    <row r="8239" spans="1:12" ht="84" customHeight="1" x14ac:dyDescent="0.3">
      <c r="A8239" s="2">
        <v>8235</v>
      </c>
      <c r="B8239" s="66" t="s">
        <v>3570</v>
      </c>
      <c r="C8239" s="66" t="s">
        <v>9887</v>
      </c>
      <c r="D8239" s="11">
        <v>5000</v>
      </c>
      <c r="E8239" s="11">
        <v>5000</v>
      </c>
      <c r="F8239" s="3">
        <v>39435</v>
      </c>
      <c r="G8239" s="2" t="s">
        <v>14104</v>
      </c>
      <c r="H8239" s="3">
        <v>43053</v>
      </c>
      <c r="I8239" s="2" t="s">
        <v>19506</v>
      </c>
      <c r="J8239" s="2" t="s">
        <v>13904</v>
      </c>
      <c r="K8239" s="2" t="s">
        <v>19218</v>
      </c>
      <c r="L8239" s="82" t="s">
        <v>19512</v>
      </c>
    </row>
    <row r="8240" spans="1:12" ht="84" customHeight="1" x14ac:dyDescent="0.3">
      <c r="A8240" s="2">
        <v>8236</v>
      </c>
      <c r="B8240" s="66" t="s">
        <v>3570</v>
      </c>
      <c r="C8240" s="66" t="s">
        <v>9888</v>
      </c>
      <c r="D8240" s="11">
        <v>5000</v>
      </c>
      <c r="E8240" s="11">
        <v>5000</v>
      </c>
      <c r="F8240" s="3">
        <v>39435</v>
      </c>
      <c r="G8240" s="2" t="s">
        <v>14104</v>
      </c>
      <c r="H8240" s="3">
        <v>43053</v>
      </c>
      <c r="I8240" s="2" t="s">
        <v>19506</v>
      </c>
      <c r="J8240" s="2" t="s">
        <v>13904</v>
      </c>
      <c r="K8240" s="2" t="s">
        <v>19218</v>
      </c>
      <c r="L8240" s="82" t="s">
        <v>19512</v>
      </c>
    </row>
    <row r="8241" spans="1:12" ht="84" customHeight="1" x14ac:dyDescent="0.3">
      <c r="A8241" s="2">
        <v>8237</v>
      </c>
      <c r="B8241" s="66" t="s">
        <v>269</v>
      </c>
      <c r="C8241" s="66" t="s">
        <v>9889</v>
      </c>
      <c r="D8241" s="11">
        <v>4900</v>
      </c>
      <c r="E8241" s="11">
        <v>4900</v>
      </c>
      <c r="F8241" s="3">
        <v>39416</v>
      </c>
      <c r="G8241" s="2" t="s">
        <v>14104</v>
      </c>
      <c r="H8241" s="3">
        <v>43053</v>
      </c>
      <c r="I8241" s="2" t="s">
        <v>19506</v>
      </c>
      <c r="J8241" s="2" t="s">
        <v>13904</v>
      </c>
      <c r="K8241" s="2" t="s">
        <v>19218</v>
      </c>
      <c r="L8241" s="82" t="s">
        <v>19512</v>
      </c>
    </row>
    <row r="8242" spans="1:12" ht="84" customHeight="1" x14ac:dyDescent="0.3">
      <c r="A8242" s="2">
        <v>8238</v>
      </c>
      <c r="B8242" s="66" t="s">
        <v>9838</v>
      </c>
      <c r="C8242" s="66" t="s">
        <v>9890</v>
      </c>
      <c r="D8242" s="11">
        <v>5600</v>
      </c>
      <c r="E8242" s="11">
        <v>5600</v>
      </c>
      <c r="F8242" s="3">
        <v>40738</v>
      </c>
      <c r="G8242" s="2" t="s">
        <v>14104</v>
      </c>
      <c r="H8242" s="3">
        <v>43053</v>
      </c>
      <c r="I8242" s="2" t="s">
        <v>19506</v>
      </c>
      <c r="J8242" s="2" t="s">
        <v>13904</v>
      </c>
      <c r="K8242" s="2" t="s">
        <v>19218</v>
      </c>
      <c r="L8242" s="82" t="s">
        <v>19512</v>
      </c>
    </row>
    <row r="8243" spans="1:12" ht="84" customHeight="1" x14ac:dyDescent="0.3">
      <c r="A8243" s="2">
        <v>8239</v>
      </c>
      <c r="B8243" s="66" t="s">
        <v>9838</v>
      </c>
      <c r="C8243" s="66" t="s">
        <v>9891</v>
      </c>
      <c r="D8243" s="11">
        <v>5600</v>
      </c>
      <c r="E8243" s="11">
        <v>5600</v>
      </c>
      <c r="F8243" s="3">
        <v>40738</v>
      </c>
      <c r="G8243" s="2" t="s">
        <v>14104</v>
      </c>
      <c r="H8243" s="3">
        <v>43053</v>
      </c>
      <c r="I8243" s="2" t="s">
        <v>19506</v>
      </c>
      <c r="J8243" s="2" t="s">
        <v>13904</v>
      </c>
      <c r="K8243" s="2" t="s">
        <v>19218</v>
      </c>
      <c r="L8243" s="82" t="s">
        <v>19512</v>
      </c>
    </row>
    <row r="8244" spans="1:12" ht="84" customHeight="1" x14ac:dyDescent="0.3">
      <c r="A8244" s="2">
        <v>8240</v>
      </c>
      <c r="B8244" s="66" t="s">
        <v>9864</v>
      </c>
      <c r="C8244" s="66" t="s">
        <v>9892</v>
      </c>
      <c r="D8244" s="11">
        <v>3007</v>
      </c>
      <c r="E8244" s="11">
        <v>3007</v>
      </c>
      <c r="F8244" s="3">
        <v>40738</v>
      </c>
      <c r="G8244" s="2" t="s">
        <v>14104</v>
      </c>
      <c r="H8244" s="3">
        <v>43053</v>
      </c>
      <c r="I8244" s="2" t="s">
        <v>19506</v>
      </c>
      <c r="J8244" s="2" t="s">
        <v>13904</v>
      </c>
      <c r="K8244" s="2" t="s">
        <v>19218</v>
      </c>
      <c r="L8244" s="82" t="s">
        <v>19512</v>
      </c>
    </row>
    <row r="8245" spans="1:12" ht="84" customHeight="1" x14ac:dyDescent="0.3">
      <c r="A8245" s="2">
        <v>8241</v>
      </c>
      <c r="B8245" s="66" t="s">
        <v>9864</v>
      </c>
      <c r="C8245" s="66" t="s">
        <v>9893</v>
      </c>
      <c r="D8245" s="11">
        <v>3007</v>
      </c>
      <c r="E8245" s="11">
        <v>3007</v>
      </c>
      <c r="F8245" s="3">
        <v>40738</v>
      </c>
      <c r="G8245" s="2" t="s">
        <v>14104</v>
      </c>
      <c r="H8245" s="3">
        <v>43053</v>
      </c>
      <c r="I8245" s="2" t="s">
        <v>19506</v>
      </c>
      <c r="J8245" s="2" t="s">
        <v>13904</v>
      </c>
      <c r="K8245" s="2" t="s">
        <v>19218</v>
      </c>
      <c r="L8245" s="82" t="s">
        <v>19512</v>
      </c>
    </row>
    <row r="8246" spans="1:12" ht="84" customHeight="1" x14ac:dyDescent="0.3">
      <c r="A8246" s="2">
        <v>8242</v>
      </c>
      <c r="B8246" s="66" t="s">
        <v>9864</v>
      </c>
      <c r="C8246" s="66" t="s">
        <v>9894</v>
      </c>
      <c r="D8246" s="11">
        <v>3007</v>
      </c>
      <c r="E8246" s="11">
        <v>3007</v>
      </c>
      <c r="F8246" s="3">
        <v>40738</v>
      </c>
      <c r="G8246" s="2" t="s">
        <v>14104</v>
      </c>
      <c r="H8246" s="3">
        <v>43053</v>
      </c>
      <c r="I8246" s="2" t="s">
        <v>19506</v>
      </c>
      <c r="J8246" s="2" t="s">
        <v>13904</v>
      </c>
      <c r="K8246" s="2" t="s">
        <v>19218</v>
      </c>
      <c r="L8246" s="82" t="s">
        <v>19512</v>
      </c>
    </row>
    <row r="8247" spans="1:12" ht="84" customHeight="1" x14ac:dyDescent="0.3">
      <c r="A8247" s="2">
        <v>8243</v>
      </c>
      <c r="B8247" s="66" t="s">
        <v>9895</v>
      </c>
      <c r="C8247" s="66" t="s">
        <v>4486</v>
      </c>
      <c r="D8247" s="11">
        <v>3750</v>
      </c>
      <c r="E8247" s="11">
        <v>3750</v>
      </c>
      <c r="F8247" s="3">
        <v>41976</v>
      </c>
      <c r="G8247" s="2" t="s">
        <v>14104</v>
      </c>
      <c r="H8247" s="3">
        <v>43053</v>
      </c>
      <c r="I8247" s="2" t="s">
        <v>19506</v>
      </c>
      <c r="J8247" s="2" t="s">
        <v>13904</v>
      </c>
      <c r="K8247" s="2" t="s">
        <v>19218</v>
      </c>
      <c r="L8247" s="82" t="s">
        <v>19512</v>
      </c>
    </row>
    <row r="8248" spans="1:12" ht="84" customHeight="1" x14ac:dyDescent="0.3">
      <c r="A8248" s="2">
        <v>8244</v>
      </c>
      <c r="B8248" s="66" t="s">
        <v>9895</v>
      </c>
      <c r="C8248" s="66" t="s">
        <v>4266</v>
      </c>
      <c r="D8248" s="11">
        <v>3750</v>
      </c>
      <c r="E8248" s="11">
        <v>3750</v>
      </c>
      <c r="F8248" s="3">
        <v>41976</v>
      </c>
      <c r="G8248" s="2" t="s">
        <v>14104</v>
      </c>
      <c r="H8248" s="3">
        <v>43053</v>
      </c>
      <c r="I8248" s="2" t="s">
        <v>19506</v>
      </c>
      <c r="J8248" s="2" t="s">
        <v>13904</v>
      </c>
      <c r="K8248" s="2" t="s">
        <v>19218</v>
      </c>
      <c r="L8248" s="82" t="s">
        <v>19512</v>
      </c>
    </row>
    <row r="8249" spans="1:12" ht="84" customHeight="1" x14ac:dyDescent="0.3">
      <c r="A8249" s="2">
        <v>8245</v>
      </c>
      <c r="B8249" s="66" t="s">
        <v>9895</v>
      </c>
      <c r="C8249" s="66" t="s">
        <v>4271</v>
      </c>
      <c r="D8249" s="11">
        <v>3750</v>
      </c>
      <c r="E8249" s="11">
        <v>3750</v>
      </c>
      <c r="F8249" s="3">
        <v>41976</v>
      </c>
      <c r="G8249" s="2" t="s">
        <v>14104</v>
      </c>
      <c r="H8249" s="3">
        <v>43053</v>
      </c>
      <c r="I8249" s="2" t="s">
        <v>19506</v>
      </c>
      <c r="J8249" s="2" t="s">
        <v>13904</v>
      </c>
      <c r="K8249" s="2" t="s">
        <v>19218</v>
      </c>
      <c r="L8249" s="82" t="s">
        <v>19512</v>
      </c>
    </row>
    <row r="8250" spans="1:12" ht="84" customHeight="1" x14ac:dyDescent="0.3">
      <c r="A8250" s="2">
        <v>8246</v>
      </c>
      <c r="B8250" s="66" t="s">
        <v>9895</v>
      </c>
      <c r="C8250" s="66" t="s">
        <v>4268</v>
      </c>
      <c r="D8250" s="11">
        <v>3750</v>
      </c>
      <c r="E8250" s="11">
        <v>3750</v>
      </c>
      <c r="F8250" s="3">
        <v>41976</v>
      </c>
      <c r="G8250" s="2" t="s">
        <v>14104</v>
      </c>
      <c r="H8250" s="3">
        <v>43053</v>
      </c>
      <c r="I8250" s="2" t="s">
        <v>19506</v>
      </c>
      <c r="J8250" s="2" t="s">
        <v>13904</v>
      </c>
      <c r="K8250" s="2" t="s">
        <v>19218</v>
      </c>
      <c r="L8250" s="82" t="s">
        <v>19512</v>
      </c>
    </row>
    <row r="8251" spans="1:12" ht="84" customHeight="1" x14ac:dyDescent="0.3">
      <c r="A8251" s="2">
        <v>8247</v>
      </c>
      <c r="B8251" s="66" t="s">
        <v>5109</v>
      </c>
      <c r="C8251" s="66" t="s">
        <v>9896</v>
      </c>
      <c r="D8251" s="11">
        <v>6000.3</v>
      </c>
      <c r="E8251" s="11">
        <v>6000.3</v>
      </c>
      <c r="F8251" s="3">
        <v>41115</v>
      </c>
      <c r="G8251" s="2" t="s">
        <v>14104</v>
      </c>
      <c r="H8251" s="3">
        <v>43053</v>
      </c>
      <c r="I8251" s="2" t="s">
        <v>19506</v>
      </c>
      <c r="J8251" s="2" t="s">
        <v>13904</v>
      </c>
      <c r="K8251" s="2" t="s">
        <v>19218</v>
      </c>
      <c r="L8251" s="82" t="s">
        <v>19512</v>
      </c>
    </row>
    <row r="8252" spans="1:12" ht="84" customHeight="1" x14ac:dyDescent="0.3">
      <c r="A8252" s="2">
        <v>8248</v>
      </c>
      <c r="B8252" s="66" t="s">
        <v>9897</v>
      </c>
      <c r="C8252" s="66" t="s">
        <v>9898</v>
      </c>
      <c r="D8252" s="11">
        <v>5090.3999999999996</v>
      </c>
      <c r="E8252" s="11">
        <v>5090.3999999999996</v>
      </c>
      <c r="F8252" s="3">
        <v>39339</v>
      </c>
      <c r="G8252" s="2" t="s">
        <v>14104</v>
      </c>
      <c r="H8252" s="3">
        <v>43053</v>
      </c>
      <c r="I8252" s="2" t="s">
        <v>19506</v>
      </c>
      <c r="J8252" s="2" t="s">
        <v>13904</v>
      </c>
      <c r="K8252" s="2" t="s">
        <v>19218</v>
      </c>
      <c r="L8252" s="82" t="s">
        <v>19512</v>
      </c>
    </row>
    <row r="8253" spans="1:12" ht="84" customHeight="1" x14ac:dyDescent="0.3">
      <c r="A8253" s="2">
        <v>8249</v>
      </c>
      <c r="B8253" s="66" t="s">
        <v>9899</v>
      </c>
      <c r="C8253" s="66" t="s">
        <v>9900</v>
      </c>
      <c r="D8253" s="11">
        <v>3200</v>
      </c>
      <c r="E8253" s="11">
        <v>3200</v>
      </c>
      <c r="F8253" s="3">
        <v>39446</v>
      </c>
      <c r="G8253" s="2" t="s">
        <v>14104</v>
      </c>
      <c r="H8253" s="3">
        <v>43053</v>
      </c>
      <c r="I8253" s="2" t="s">
        <v>19506</v>
      </c>
      <c r="J8253" s="2" t="s">
        <v>13904</v>
      </c>
      <c r="K8253" s="2" t="s">
        <v>19218</v>
      </c>
      <c r="L8253" s="82" t="s">
        <v>19512</v>
      </c>
    </row>
    <row r="8254" spans="1:12" ht="84" customHeight="1" x14ac:dyDescent="0.3">
      <c r="A8254" s="2">
        <v>8250</v>
      </c>
      <c r="B8254" s="66" t="s">
        <v>3570</v>
      </c>
      <c r="C8254" s="66" t="s">
        <v>9901</v>
      </c>
      <c r="D8254" s="11">
        <v>5000</v>
      </c>
      <c r="E8254" s="11">
        <v>5000</v>
      </c>
      <c r="F8254" s="3">
        <v>39772</v>
      </c>
      <c r="G8254" s="2" t="s">
        <v>14104</v>
      </c>
      <c r="H8254" s="3">
        <v>43053</v>
      </c>
      <c r="I8254" s="2" t="s">
        <v>19506</v>
      </c>
      <c r="J8254" s="2" t="s">
        <v>13904</v>
      </c>
      <c r="K8254" s="2" t="s">
        <v>19218</v>
      </c>
      <c r="L8254" s="82" t="s">
        <v>19512</v>
      </c>
    </row>
    <row r="8255" spans="1:12" ht="84" customHeight="1" x14ac:dyDescent="0.3">
      <c r="A8255" s="2">
        <v>8251</v>
      </c>
      <c r="B8255" s="66" t="s">
        <v>9902</v>
      </c>
      <c r="C8255" s="66" t="s">
        <v>9903</v>
      </c>
      <c r="D8255" s="11">
        <v>39897.550000000003</v>
      </c>
      <c r="E8255" s="11">
        <v>39897.550000000003</v>
      </c>
      <c r="F8255" s="3">
        <v>39430</v>
      </c>
      <c r="G8255" s="2" t="s">
        <v>14104</v>
      </c>
      <c r="H8255" s="3">
        <v>43053</v>
      </c>
      <c r="I8255" s="2" t="s">
        <v>19506</v>
      </c>
      <c r="J8255" s="2" t="s">
        <v>13904</v>
      </c>
      <c r="K8255" s="2" t="s">
        <v>19218</v>
      </c>
      <c r="L8255" s="82" t="s">
        <v>19512</v>
      </c>
    </row>
    <row r="8256" spans="1:12" ht="84" customHeight="1" x14ac:dyDescent="0.3">
      <c r="A8256" s="2">
        <v>8252</v>
      </c>
      <c r="B8256" s="66" t="s">
        <v>9904</v>
      </c>
      <c r="C8256" s="66" t="s">
        <v>9905</v>
      </c>
      <c r="D8256" s="11">
        <v>40047.550000000003</v>
      </c>
      <c r="E8256" s="11">
        <v>40047.550000000003</v>
      </c>
      <c r="F8256" s="3">
        <v>39339</v>
      </c>
      <c r="G8256" s="2" t="s">
        <v>14104</v>
      </c>
      <c r="H8256" s="3">
        <v>43053</v>
      </c>
      <c r="I8256" s="2" t="s">
        <v>19506</v>
      </c>
      <c r="J8256" s="2" t="s">
        <v>13904</v>
      </c>
      <c r="K8256" s="2" t="s">
        <v>19218</v>
      </c>
      <c r="L8256" s="82" t="s">
        <v>19512</v>
      </c>
    </row>
    <row r="8257" spans="1:12" ht="84" customHeight="1" x14ac:dyDescent="0.3">
      <c r="A8257" s="2">
        <v>8253</v>
      </c>
      <c r="B8257" s="66" t="s">
        <v>9906</v>
      </c>
      <c r="C8257" s="66" t="s">
        <v>9907</v>
      </c>
      <c r="D8257" s="11">
        <v>3600</v>
      </c>
      <c r="E8257" s="11">
        <v>3600</v>
      </c>
      <c r="F8257" s="3">
        <v>39133</v>
      </c>
      <c r="G8257" s="2" t="s">
        <v>14104</v>
      </c>
      <c r="H8257" s="3">
        <v>43053</v>
      </c>
      <c r="I8257" s="2" t="s">
        <v>19506</v>
      </c>
      <c r="J8257" s="2" t="s">
        <v>13904</v>
      </c>
      <c r="K8257" s="2" t="s">
        <v>19218</v>
      </c>
      <c r="L8257" s="82" t="s">
        <v>19512</v>
      </c>
    </row>
    <row r="8258" spans="1:12" ht="84" customHeight="1" x14ac:dyDescent="0.3">
      <c r="A8258" s="2">
        <v>8254</v>
      </c>
      <c r="B8258" s="66" t="s">
        <v>5490</v>
      </c>
      <c r="C8258" s="66" t="s">
        <v>4811</v>
      </c>
      <c r="D8258" s="11">
        <v>4120</v>
      </c>
      <c r="E8258" s="11">
        <v>4120</v>
      </c>
      <c r="F8258" s="3">
        <v>39133</v>
      </c>
      <c r="G8258" s="2" t="s">
        <v>14104</v>
      </c>
      <c r="H8258" s="3">
        <v>43053</v>
      </c>
      <c r="I8258" s="2" t="s">
        <v>19506</v>
      </c>
      <c r="J8258" s="2" t="s">
        <v>13904</v>
      </c>
      <c r="K8258" s="2" t="s">
        <v>19218</v>
      </c>
      <c r="L8258" s="82" t="s">
        <v>19512</v>
      </c>
    </row>
    <row r="8259" spans="1:12" ht="84" customHeight="1" x14ac:dyDescent="0.3">
      <c r="A8259" s="2">
        <v>8255</v>
      </c>
      <c r="B8259" s="66" t="s">
        <v>9908</v>
      </c>
      <c r="C8259" s="66" t="s">
        <v>5626</v>
      </c>
      <c r="D8259" s="11">
        <v>6188.71</v>
      </c>
      <c r="E8259" s="11">
        <v>6188.71</v>
      </c>
      <c r="F8259" s="3">
        <v>32916</v>
      </c>
      <c r="G8259" s="2" t="s">
        <v>14104</v>
      </c>
      <c r="H8259" s="3">
        <v>43053</v>
      </c>
      <c r="I8259" s="2" t="s">
        <v>19506</v>
      </c>
      <c r="J8259" s="2" t="s">
        <v>13904</v>
      </c>
      <c r="K8259" s="2" t="s">
        <v>19218</v>
      </c>
      <c r="L8259" s="82" t="s">
        <v>19512</v>
      </c>
    </row>
    <row r="8260" spans="1:12" ht="84" customHeight="1" x14ac:dyDescent="0.3">
      <c r="A8260" s="2">
        <v>8256</v>
      </c>
      <c r="B8260" s="66" t="s">
        <v>9909</v>
      </c>
      <c r="C8260" s="66" t="s">
        <v>5333</v>
      </c>
      <c r="D8260" s="11">
        <v>4157.9799999999996</v>
      </c>
      <c r="E8260" s="11">
        <v>4157.9799999999996</v>
      </c>
      <c r="F8260" s="3">
        <v>37297</v>
      </c>
      <c r="G8260" s="2" t="s">
        <v>14104</v>
      </c>
      <c r="H8260" s="3">
        <v>43053</v>
      </c>
      <c r="I8260" s="2" t="s">
        <v>19506</v>
      </c>
      <c r="J8260" s="2" t="s">
        <v>13904</v>
      </c>
      <c r="K8260" s="2" t="s">
        <v>19218</v>
      </c>
      <c r="L8260" s="82" t="s">
        <v>19512</v>
      </c>
    </row>
    <row r="8261" spans="1:12" ht="84" customHeight="1" x14ac:dyDescent="0.3">
      <c r="A8261" s="2">
        <v>8257</v>
      </c>
      <c r="B8261" s="66" t="s">
        <v>9910</v>
      </c>
      <c r="C8261" s="66" t="s">
        <v>9911</v>
      </c>
      <c r="D8261" s="11">
        <v>9525</v>
      </c>
      <c r="E8261" s="11">
        <v>9525</v>
      </c>
      <c r="F8261" s="3">
        <v>37297</v>
      </c>
      <c r="G8261" s="2" t="s">
        <v>14104</v>
      </c>
      <c r="H8261" s="3">
        <v>43053</v>
      </c>
      <c r="I8261" s="2" t="s">
        <v>19506</v>
      </c>
      <c r="J8261" s="2" t="s">
        <v>13904</v>
      </c>
      <c r="K8261" s="2" t="s">
        <v>19218</v>
      </c>
      <c r="L8261" s="82" t="s">
        <v>19512</v>
      </c>
    </row>
    <row r="8262" spans="1:12" ht="84" customHeight="1" x14ac:dyDescent="0.3">
      <c r="A8262" s="2">
        <v>8258</v>
      </c>
      <c r="B8262" s="66" t="s">
        <v>9910</v>
      </c>
      <c r="C8262" s="66" t="s">
        <v>9912</v>
      </c>
      <c r="D8262" s="11">
        <v>9525</v>
      </c>
      <c r="E8262" s="11">
        <v>9525</v>
      </c>
      <c r="F8262" s="3">
        <v>37297</v>
      </c>
      <c r="G8262" s="2" t="s">
        <v>14104</v>
      </c>
      <c r="H8262" s="3">
        <v>43053</v>
      </c>
      <c r="I8262" s="2" t="s">
        <v>19506</v>
      </c>
      <c r="J8262" s="2" t="s">
        <v>13904</v>
      </c>
      <c r="K8262" s="2" t="s">
        <v>19218</v>
      </c>
      <c r="L8262" s="82" t="s">
        <v>19512</v>
      </c>
    </row>
    <row r="8263" spans="1:12" ht="84" customHeight="1" x14ac:dyDescent="0.3">
      <c r="A8263" s="2">
        <v>8259</v>
      </c>
      <c r="B8263" s="66" t="s">
        <v>9910</v>
      </c>
      <c r="C8263" s="66" t="s">
        <v>3143</v>
      </c>
      <c r="D8263" s="11">
        <v>9525</v>
      </c>
      <c r="E8263" s="11">
        <v>9525</v>
      </c>
      <c r="F8263" s="3">
        <v>37297</v>
      </c>
      <c r="G8263" s="2" t="s">
        <v>14104</v>
      </c>
      <c r="H8263" s="3">
        <v>43053</v>
      </c>
      <c r="I8263" s="2" t="s">
        <v>19506</v>
      </c>
      <c r="J8263" s="2" t="s">
        <v>13904</v>
      </c>
      <c r="K8263" s="2" t="s">
        <v>19218</v>
      </c>
      <c r="L8263" s="82" t="s">
        <v>19512</v>
      </c>
    </row>
    <row r="8264" spans="1:12" ht="84" customHeight="1" x14ac:dyDescent="0.3">
      <c r="A8264" s="2">
        <v>8260</v>
      </c>
      <c r="B8264" s="66" t="s">
        <v>9909</v>
      </c>
      <c r="C8264" s="66" t="s">
        <v>3810</v>
      </c>
      <c r="D8264" s="11">
        <v>4157.9799999999996</v>
      </c>
      <c r="E8264" s="11">
        <v>4157.9799999999996</v>
      </c>
      <c r="F8264" s="3">
        <v>37297</v>
      </c>
      <c r="G8264" s="2" t="s">
        <v>14104</v>
      </c>
      <c r="H8264" s="3">
        <v>43053</v>
      </c>
      <c r="I8264" s="2" t="s">
        <v>19506</v>
      </c>
      <c r="J8264" s="2" t="s">
        <v>13904</v>
      </c>
      <c r="K8264" s="2" t="s">
        <v>19218</v>
      </c>
      <c r="L8264" s="82" t="s">
        <v>19512</v>
      </c>
    </row>
    <row r="8265" spans="1:12" ht="84" customHeight="1" x14ac:dyDescent="0.3">
      <c r="A8265" s="2">
        <v>8261</v>
      </c>
      <c r="B8265" s="66" t="s">
        <v>9909</v>
      </c>
      <c r="C8265" s="66" t="s">
        <v>3811</v>
      </c>
      <c r="D8265" s="11">
        <v>4157.9799999999996</v>
      </c>
      <c r="E8265" s="11">
        <v>4157.9799999999996</v>
      </c>
      <c r="F8265" s="3">
        <v>37297</v>
      </c>
      <c r="G8265" s="2" t="s">
        <v>14104</v>
      </c>
      <c r="H8265" s="3">
        <v>43053</v>
      </c>
      <c r="I8265" s="2" t="s">
        <v>19506</v>
      </c>
      <c r="J8265" s="2" t="s">
        <v>13904</v>
      </c>
      <c r="K8265" s="2" t="s">
        <v>19218</v>
      </c>
      <c r="L8265" s="82" t="s">
        <v>19512</v>
      </c>
    </row>
    <row r="8266" spans="1:12" ht="84" customHeight="1" x14ac:dyDescent="0.3">
      <c r="A8266" s="2">
        <v>8262</v>
      </c>
      <c r="B8266" s="66" t="s">
        <v>9910</v>
      </c>
      <c r="C8266" s="66" t="s">
        <v>9913</v>
      </c>
      <c r="D8266" s="11">
        <v>9525</v>
      </c>
      <c r="E8266" s="11">
        <v>9525</v>
      </c>
      <c r="F8266" s="3">
        <v>37297</v>
      </c>
      <c r="G8266" s="2" t="s">
        <v>14104</v>
      </c>
      <c r="H8266" s="3">
        <v>43053</v>
      </c>
      <c r="I8266" s="2" t="s">
        <v>19506</v>
      </c>
      <c r="J8266" s="2" t="s">
        <v>13904</v>
      </c>
      <c r="K8266" s="2" t="s">
        <v>19218</v>
      </c>
      <c r="L8266" s="82" t="s">
        <v>19512</v>
      </c>
    </row>
    <row r="8267" spans="1:12" ht="84" customHeight="1" x14ac:dyDescent="0.3">
      <c r="A8267" s="2">
        <v>8263</v>
      </c>
      <c r="B8267" s="66" t="s">
        <v>9914</v>
      </c>
      <c r="C8267" s="66" t="s">
        <v>9915</v>
      </c>
      <c r="D8267" s="11">
        <v>5394.96</v>
      </c>
      <c r="E8267" s="11">
        <v>5394.96</v>
      </c>
      <c r="F8267" s="3">
        <v>39339</v>
      </c>
      <c r="G8267" s="2" t="s">
        <v>14104</v>
      </c>
      <c r="H8267" s="3">
        <v>43053</v>
      </c>
      <c r="I8267" s="2" t="s">
        <v>19506</v>
      </c>
      <c r="J8267" s="2" t="s">
        <v>13904</v>
      </c>
      <c r="K8267" s="2" t="s">
        <v>19218</v>
      </c>
      <c r="L8267" s="82" t="s">
        <v>19512</v>
      </c>
    </row>
    <row r="8268" spans="1:12" ht="84" customHeight="1" x14ac:dyDescent="0.3">
      <c r="A8268" s="2">
        <v>8264</v>
      </c>
      <c r="B8268" s="66" t="s">
        <v>9916</v>
      </c>
      <c r="C8268" s="66" t="s">
        <v>9917</v>
      </c>
      <c r="D8268" s="11">
        <v>5090.3999999999996</v>
      </c>
      <c r="E8268" s="11">
        <v>5090.3999999999996</v>
      </c>
      <c r="F8268" s="3">
        <v>39339</v>
      </c>
      <c r="G8268" s="2" t="s">
        <v>14104</v>
      </c>
      <c r="H8268" s="3">
        <v>43053</v>
      </c>
      <c r="I8268" s="2" t="s">
        <v>19506</v>
      </c>
      <c r="J8268" s="2" t="s">
        <v>13904</v>
      </c>
      <c r="K8268" s="2" t="s">
        <v>19218</v>
      </c>
      <c r="L8268" s="82" t="s">
        <v>19512</v>
      </c>
    </row>
    <row r="8269" spans="1:12" ht="84" customHeight="1" x14ac:dyDescent="0.3">
      <c r="A8269" s="2">
        <v>8265</v>
      </c>
      <c r="B8269" s="66" t="s">
        <v>9918</v>
      </c>
      <c r="C8269" s="66" t="s">
        <v>4274</v>
      </c>
      <c r="D8269" s="11">
        <v>8600</v>
      </c>
      <c r="E8269" s="11">
        <v>8600</v>
      </c>
      <c r="F8269" s="3">
        <v>42186</v>
      </c>
      <c r="G8269" s="2" t="s">
        <v>14104</v>
      </c>
      <c r="H8269" s="3">
        <v>43053</v>
      </c>
      <c r="I8269" s="2" t="s">
        <v>19506</v>
      </c>
      <c r="J8269" s="2" t="s">
        <v>13904</v>
      </c>
      <c r="K8269" s="2" t="s">
        <v>19218</v>
      </c>
      <c r="L8269" s="82" t="s">
        <v>19512</v>
      </c>
    </row>
    <row r="8270" spans="1:12" ht="84" customHeight="1" x14ac:dyDescent="0.3">
      <c r="A8270" s="2">
        <v>8266</v>
      </c>
      <c r="B8270" s="66" t="s">
        <v>9919</v>
      </c>
      <c r="C8270" s="66" t="s">
        <v>9920</v>
      </c>
      <c r="D8270" s="11">
        <v>6428.35</v>
      </c>
      <c r="E8270" s="11">
        <v>6428.35</v>
      </c>
      <c r="F8270" s="3">
        <v>39079</v>
      </c>
      <c r="G8270" s="2" t="s">
        <v>14104</v>
      </c>
      <c r="H8270" s="3">
        <v>43053</v>
      </c>
      <c r="I8270" s="2" t="s">
        <v>19506</v>
      </c>
      <c r="J8270" s="2" t="s">
        <v>13904</v>
      </c>
      <c r="K8270" s="2" t="s">
        <v>19218</v>
      </c>
      <c r="L8270" s="82" t="s">
        <v>19512</v>
      </c>
    </row>
    <row r="8271" spans="1:12" ht="84" customHeight="1" x14ac:dyDescent="0.3">
      <c r="A8271" s="2">
        <v>8267</v>
      </c>
      <c r="B8271" s="66" t="s">
        <v>9921</v>
      </c>
      <c r="C8271" s="66" t="s">
        <v>9922</v>
      </c>
      <c r="D8271" s="11">
        <v>8025</v>
      </c>
      <c r="E8271" s="11">
        <v>8025</v>
      </c>
      <c r="F8271" s="3">
        <v>39783</v>
      </c>
      <c r="G8271" s="2" t="s">
        <v>14104</v>
      </c>
      <c r="H8271" s="3">
        <v>43053</v>
      </c>
      <c r="I8271" s="2" t="s">
        <v>19506</v>
      </c>
      <c r="J8271" s="2" t="s">
        <v>13904</v>
      </c>
      <c r="K8271" s="2" t="s">
        <v>19218</v>
      </c>
      <c r="L8271" s="82" t="s">
        <v>19512</v>
      </c>
    </row>
    <row r="8272" spans="1:12" ht="84" customHeight="1" x14ac:dyDescent="0.3">
      <c r="A8272" s="2">
        <v>8268</v>
      </c>
      <c r="B8272" s="66" t="s">
        <v>9923</v>
      </c>
      <c r="C8272" s="66" t="s">
        <v>9924</v>
      </c>
      <c r="D8272" s="11">
        <v>3380</v>
      </c>
      <c r="E8272" s="11">
        <v>3380</v>
      </c>
      <c r="F8272" s="3">
        <v>40029</v>
      </c>
      <c r="G8272" s="2" t="s">
        <v>14104</v>
      </c>
      <c r="H8272" s="3">
        <v>43053</v>
      </c>
      <c r="I8272" s="2" t="s">
        <v>19506</v>
      </c>
      <c r="J8272" s="2" t="s">
        <v>13904</v>
      </c>
      <c r="K8272" s="2" t="s">
        <v>19218</v>
      </c>
      <c r="L8272" s="82" t="s">
        <v>19512</v>
      </c>
    </row>
    <row r="8273" spans="1:15" ht="84" customHeight="1" x14ac:dyDescent="0.3">
      <c r="A8273" s="2">
        <v>8269</v>
      </c>
      <c r="B8273" s="66" t="s">
        <v>9925</v>
      </c>
      <c r="C8273" s="66" t="s">
        <v>9926</v>
      </c>
      <c r="D8273" s="11">
        <v>8895.5499999999993</v>
      </c>
      <c r="E8273" s="11">
        <v>8895.5499999999993</v>
      </c>
      <c r="F8273" s="3">
        <v>40015</v>
      </c>
      <c r="G8273" s="2" t="s">
        <v>14104</v>
      </c>
      <c r="H8273" s="3">
        <v>43053</v>
      </c>
      <c r="I8273" s="2" t="s">
        <v>19506</v>
      </c>
      <c r="J8273" s="2" t="s">
        <v>13904</v>
      </c>
      <c r="K8273" s="2" t="s">
        <v>19218</v>
      </c>
      <c r="L8273" s="82" t="s">
        <v>19512</v>
      </c>
    </row>
    <row r="8274" spans="1:15" ht="84" customHeight="1" x14ac:dyDescent="0.3">
      <c r="A8274" s="2">
        <v>8270</v>
      </c>
      <c r="B8274" s="66" t="s">
        <v>9927</v>
      </c>
      <c r="C8274" s="66" t="s">
        <v>9928</v>
      </c>
      <c r="D8274" s="11">
        <v>9913.81</v>
      </c>
      <c r="E8274" s="11">
        <v>9913.81</v>
      </c>
      <c r="F8274" s="3">
        <v>40015</v>
      </c>
      <c r="G8274" s="2" t="s">
        <v>14104</v>
      </c>
      <c r="H8274" s="3">
        <v>43053</v>
      </c>
      <c r="I8274" s="2" t="s">
        <v>19506</v>
      </c>
      <c r="J8274" s="2" t="s">
        <v>13904</v>
      </c>
      <c r="K8274" s="2" t="s">
        <v>19218</v>
      </c>
      <c r="L8274" s="82" t="s">
        <v>19512</v>
      </c>
    </row>
    <row r="8275" spans="1:15" ht="84" customHeight="1" x14ac:dyDescent="0.3">
      <c r="A8275" s="2">
        <v>8271</v>
      </c>
      <c r="B8275" s="66" t="s">
        <v>9921</v>
      </c>
      <c r="C8275" s="66" t="s">
        <v>9929</v>
      </c>
      <c r="D8275" s="11">
        <v>8025</v>
      </c>
      <c r="E8275" s="11">
        <v>8025</v>
      </c>
      <c r="F8275" s="3">
        <v>39783</v>
      </c>
      <c r="G8275" s="2" t="s">
        <v>14104</v>
      </c>
      <c r="H8275" s="3">
        <v>43053</v>
      </c>
      <c r="I8275" s="2" t="s">
        <v>19506</v>
      </c>
      <c r="J8275" s="2" t="s">
        <v>13904</v>
      </c>
      <c r="K8275" s="2" t="s">
        <v>19218</v>
      </c>
      <c r="L8275" s="82" t="s">
        <v>19512</v>
      </c>
    </row>
    <row r="8276" spans="1:15" ht="84" customHeight="1" x14ac:dyDescent="0.3">
      <c r="A8276" s="2">
        <v>8272</v>
      </c>
      <c r="B8276" s="66" t="s">
        <v>9930</v>
      </c>
      <c r="C8276" s="66" t="s">
        <v>9931</v>
      </c>
      <c r="D8276" s="11">
        <v>20000</v>
      </c>
      <c r="E8276" s="11">
        <v>20000</v>
      </c>
      <c r="F8276" s="3">
        <v>41983</v>
      </c>
      <c r="G8276" s="2" t="s">
        <v>14104</v>
      </c>
      <c r="H8276" s="3">
        <v>43053</v>
      </c>
      <c r="I8276" s="2" t="s">
        <v>19506</v>
      </c>
      <c r="J8276" s="2" t="s">
        <v>13904</v>
      </c>
      <c r="K8276" s="2" t="s">
        <v>19218</v>
      </c>
      <c r="L8276" s="82" t="s">
        <v>19512</v>
      </c>
    </row>
    <row r="8277" spans="1:15" ht="84" customHeight="1" x14ac:dyDescent="0.3">
      <c r="A8277" s="2">
        <v>8273</v>
      </c>
      <c r="B8277" s="66" t="s">
        <v>9932</v>
      </c>
      <c r="C8277" s="66" t="s">
        <v>9933</v>
      </c>
      <c r="D8277" s="11">
        <v>7864.5</v>
      </c>
      <c r="E8277" s="11">
        <v>7864.5</v>
      </c>
      <c r="F8277" s="3">
        <v>38393</v>
      </c>
      <c r="G8277" s="2" t="s">
        <v>14104</v>
      </c>
      <c r="H8277" s="3">
        <v>43053</v>
      </c>
      <c r="I8277" s="2" t="s">
        <v>19506</v>
      </c>
      <c r="J8277" s="2" t="s">
        <v>13904</v>
      </c>
      <c r="K8277" s="2" t="s">
        <v>19218</v>
      </c>
      <c r="L8277" s="82" t="s">
        <v>19512</v>
      </c>
    </row>
    <row r="8278" spans="1:15" s="19" customFormat="1" ht="96" customHeight="1" x14ac:dyDescent="0.3">
      <c r="A8278" s="2">
        <v>8274</v>
      </c>
      <c r="B8278" s="66" t="s">
        <v>5660</v>
      </c>
      <c r="C8278" s="66" t="s">
        <v>9934</v>
      </c>
      <c r="D8278" s="11">
        <v>1940623.71</v>
      </c>
      <c r="E8278" s="11">
        <v>484113.12</v>
      </c>
      <c r="F8278" s="3">
        <v>39429</v>
      </c>
      <c r="G8278" s="2"/>
      <c r="H8278" s="2"/>
      <c r="I8278" s="2"/>
      <c r="J8278" s="2" t="s">
        <v>13904</v>
      </c>
      <c r="K8278" s="2" t="s">
        <v>19219</v>
      </c>
      <c r="L8278" s="2" t="s">
        <v>18759</v>
      </c>
      <c r="M8278" s="18"/>
      <c r="N8278" s="18"/>
      <c r="O8278" s="18"/>
    </row>
    <row r="8279" spans="1:15" ht="96" customHeight="1" x14ac:dyDescent="0.3">
      <c r="A8279" s="2">
        <v>8275</v>
      </c>
      <c r="B8279" s="66" t="s">
        <v>9935</v>
      </c>
      <c r="C8279" s="66" t="s">
        <v>9936</v>
      </c>
      <c r="D8279" s="11">
        <v>165529</v>
      </c>
      <c r="E8279" s="11">
        <v>165529</v>
      </c>
      <c r="F8279" s="3">
        <v>38701</v>
      </c>
      <c r="G8279" s="2"/>
      <c r="H8279" s="2"/>
      <c r="I8279" s="2"/>
      <c r="J8279" s="2" t="s">
        <v>13904</v>
      </c>
      <c r="K8279" s="2" t="s">
        <v>19219</v>
      </c>
      <c r="L8279" s="82"/>
    </row>
    <row r="8280" spans="1:15" ht="96" customHeight="1" x14ac:dyDescent="0.3">
      <c r="A8280" s="2">
        <v>8276</v>
      </c>
      <c r="B8280" s="66" t="s">
        <v>4531</v>
      </c>
      <c r="C8280" s="66" t="s">
        <v>9937</v>
      </c>
      <c r="D8280" s="11">
        <v>58850</v>
      </c>
      <c r="E8280" s="11">
        <v>58850</v>
      </c>
      <c r="F8280" s="3">
        <v>38701</v>
      </c>
      <c r="G8280" s="2"/>
      <c r="H8280" s="2"/>
      <c r="I8280" s="2"/>
      <c r="J8280" s="2" t="s">
        <v>13904</v>
      </c>
      <c r="K8280" s="2" t="s">
        <v>19219</v>
      </c>
      <c r="L8280" s="82" t="s">
        <v>18759</v>
      </c>
    </row>
    <row r="8281" spans="1:15" ht="96" customHeight="1" x14ac:dyDescent="0.3">
      <c r="A8281" s="2">
        <v>8277</v>
      </c>
      <c r="B8281" s="66" t="s">
        <v>19773</v>
      </c>
      <c r="C8281" s="66">
        <v>4101260972</v>
      </c>
      <c r="D8281" s="11">
        <v>74727.399999999994</v>
      </c>
      <c r="E8281" s="11">
        <v>0</v>
      </c>
      <c r="F8281" s="3">
        <v>43020</v>
      </c>
      <c r="G8281" s="2" t="s">
        <v>19780</v>
      </c>
      <c r="H8281" s="3"/>
      <c r="I8281" s="2"/>
      <c r="J8281" s="2" t="s">
        <v>13904</v>
      </c>
      <c r="K8281" s="2" t="s">
        <v>19772</v>
      </c>
      <c r="L8281" s="82" t="s">
        <v>20506</v>
      </c>
    </row>
    <row r="8282" spans="1:15" ht="96" customHeight="1" x14ac:dyDescent="0.3">
      <c r="A8282" s="2">
        <v>8278</v>
      </c>
      <c r="B8282" s="66" t="s">
        <v>9938</v>
      </c>
      <c r="C8282" s="66" t="s">
        <v>9939</v>
      </c>
      <c r="D8282" s="11">
        <v>361461.55</v>
      </c>
      <c r="E8282" s="11">
        <v>361461.55</v>
      </c>
      <c r="F8282" s="3">
        <v>39394</v>
      </c>
      <c r="G8282" s="2"/>
      <c r="H8282" s="2"/>
      <c r="I8282" s="2"/>
      <c r="J8282" s="2" t="s">
        <v>13904</v>
      </c>
      <c r="K8282" s="2" t="s">
        <v>19219</v>
      </c>
      <c r="L8282" s="82" t="s">
        <v>18759</v>
      </c>
    </row>
    <row r="8283" spans="1:15" ht="96" customHeight="1" x14ac:dyDescent="0.3">
      <c r="A8283" s="2">
        <v>8279</v>
      </c>
      <c r="B8283" s="66" t="s">
        <v>9940</v>
      </c>
      <c r="C8283" s="66" t="s">
        <v>4594</v>
      </c>
      <c r="D8283" s="11">
        <v>160655</v>
      </c>
      <c r="E8283" s="11">
        <v>160655</v>
      </c>
      <c r="F8283" s="3">
        <v>39736</v>
      </c>
      <c r="G8283" s="2"/>
      <c r="H8283" s="242" t="s">
        <v>22949</v>
      </c>
      <c r="I8283" s="242" t="s">
        <v>22950</v>
      </c>
      <c r="J8283" s="2" t="s">
        <v>13904</v>
      </c>
      <c r="K8283" s="2" t="s">
        <v>19219</v>
      </c>
      <c r="L8283" s="82" t="s">
        <v>18759</v>
      </c>
    </row>
    <row r="8284" spans="1:15" ht="96" customHeight="1" x14ac:dyDescent="0.3">
      <c r="A8284" s="2">
        <v>8280</v>
      </c>
      <c r="B8284" s="66" t="s">
        <v>4976</v>
      </c>
      <c r="C8284" s="66" t="s">
        <v>9941</v>
      </c>
      <c r="D8284" s="11">
        <v>56620</v>
      </c>
      <c r="E8284" s="11">
        <v>33028.449999999997</v>
      </c>
      <c r="F8284" s="3">
        <v>41620</v>
      </c>
      <c r="G8284" s="2"/>
      <c r="H8284" s="2"/>
      <c r="I8284" s="2"/>
      <c r="J8284" s="2" t="s">
        <v>13904</v>
      </c>
      <c r="K8284" s="2" t="s">
        <v>19219</v>
      </c>
      <c r="L8284" s="82" t="s">
        <v>18759</v>
      </c>
    </row>
    <row r="8285" spans="1:15" ht="96" customHeight="1" x14ac:dyDescent="0.3">
      <c r="A8285" s="2">
        <v>8281</v>
      </c>
      <c r="B8285" s="66" t="s">
        <v>4976</v>
      </c>
      <c r="C8285" s="66" t="s">
        <v>9942</v>
      </c>
      <c r="D8285" s="11">
        <v>56620</v>
      </c>
      <c r="E8285" s="11">
        <v>33028.449999999997</v>
      </c>
      <c r="F8285" s="3">
        <v>41620</v>
      </c>
      <c r="G8285" s="2"/>
      <c r="H8285" s="2"/>
      <c r="I8285" s="2"/>
      <c r="J8285" s="2" t="s">
        <v>13904</v>
      </c>
      <c r="K8285" s="2" t="s">
        <v>19219</v>
      </c>
      <c r="L8285" s="82" t="s">
        <v>18759</v>
      </c>
    </row>
    <row r="8286" spans="1:15" ht="96" customHeight="1" x14ac:dyDescent="0.3">
      <c r="A8286" s="2">
        <v>8282</v>
      </c>
      <c r="B8286" s="66" t="s">
        <v>4976</v>
      </c>
      <c r="C8286" s="66" t="s">
        <v>9943</v>
      </c>
      <c r="D8286" s="11">
        <v>56620</v>
      </c>
      <c r="E8286" s="11">
        <v>33028.449999999997</v>
      </c>
      <c r="F8286" s="3">
        <v>41620</v>
      </c>
      <c r="G8286" s="2"/>
      <c r="H8286" s="2"/>
      <c r="I8286" s="2"/>
      <c r="J8286" s="2" t="s">
        <v>13904</v>
      </c>
      <c r="K8286" s="2" t="s">
        <v>19219</v>
      </c>
      <c r="L8286" s="82" t="s">
        <v>18759</v>
      </c>
    </row>
    <row r="8287" spans="1:15" ht="96" customHeight="1" x14ac:dyDescent="0.3">
      <c r="A8287" s="2">
        <v>8283</v>
      </c>
      <c r="B8287" s="66" t="s">
        <v>4976</v>
      </c>
      <c r="C8287" s="66" t="s">
        <v>9944</v>
      </c>
      <c r="D8287" s="11">
        <v>56620</v>
      </c>
      <c r="E8287" s="11">
        <v>33028.449999999997</v>
      </c>
      <c r="F8287" s="3">
        <v>41620</v>
      </c>
      <c r="G8287" s="2"/>
      <c r="H8287" s="2"/>
      <c r="I8287" s="2"/>
      <c r="J8287" s="2" t="s">
        <v>13904</v>
      </c>
      <c r="K8287" s="2" t="s">
        <v>19219</v>
      </c>
      <c r="L8287" s="82" t="s">
        <v>18759</v>
      </c>
    </row>
    <row r="8288" spans="1:15" ht="96" customHeight="1" x14ac:dyDescent="0.3">
      <c r="A8288" s="2">
        <v>8284</v>
      </c>
      <c r="B8288" s="66" t="s">
        <v>4978</v>
      </c>
      <c r="C8288" s="66" t="s">
        <v>9945</v>
      </c>
      <c r="D8288" s="11">
        <v>50500</v>
      </c>
      <c r="E8288" s="11">
        <v>14729.05</v>
      </c>
      <c r="F8288" s="3">
        <v>41620</v>
      </c>
      <c r="G8288" s="2"/>
      <c r="H8288" s="2"/>
      <c r="I8288" s="2"/>
      <c r="J8288" s="2" t="s">
        <v>13904</v>
      </c>
      <c r="K8288" s="2" t="s">
        <v>19219</v>
      </c>
      <c r="L8288" s="82" t="s">
        <v>18759</v>
      </c>
    </row>
    <row r="8289" spans="1:12" ht="96" customHeight="1" x14ac:dyDescent="0.3">
      <c r="A8289" s="2">
        <v>8285</v>
      </c>
      <c r="B8289" s="66" t="s">
        <v>4978</v>
      </c>
      <c r="C8289" s="66" t="s">
        <v>9946</v>
      </c>
      <c r="D8289" s="11">
        <v>50500</v>
      </c>
      <c r="E8289" s="11">
        <v>14729.05</v>
      </c>
      <c r="F8289" s="3">
        <v>41620</v>
      </c>
      <c r="G8289" s="2"/>
      <c r="H8289" s="2"/>
      <c r="I8289" s="2"/>
      <c r="J8289" s="2" t="s">
        <v>13904</v>
      </c>
      <c r="K8289" s="2" t="s">
        <v>19219</v>
      </c>
      <c r="L8289" s="82" t="s">
        <v>18759</v>
      </c>
    </row>
    <row r="8290" spans="1:12" ht="96" customHeight="1" x14ac:dyDescent="0.3">
      <c r="A8290" s="2">
        <v>8286</v>
      </c>
      <c r="B8290" s="66" t="s">
        <v>4978</v>
      </c>
      <c r="C8290" s="66" t="s">
        <v>9947</v>
      </c>
      <c r="D8290" s="11">
        <v>50500</v>
      </c>
      <c r="E8290" s="11">
        <v>14729.05</v>
      </c>
      <c r="F8290" s="3">
        <v>41620</v>
      </c>
      <c r="G8290" s="2"/>
      <c r="H8290" s="2"/>
      <c r="I8290" s="2"/>
      <c r="J8290" s="2" t="s">
        <v>13904</v>
      </c>
      <c r="K8290" s="2" t="s">
        <v>19219</v>
      </c>
      <c r="L8290" s="82" t="s">
        <v>18759</v>
      </c>
    </row>
    <row r="8291" spans="1:12" ht="96" customHeight="1" x14ac:dyDescent="0.3">
      <c r="A8291" s="2">
        <v>8287</v>
      </c>
      <c r="B8291" s="66" t="s">
        <v>4978</v>
      </c>
      <c r="C8291" s="66" t="s">
        <v>9948</v>
      </c>
      <c r="D8291" s="11">
        <v>50500</v>
      </c>
      <c r="E8291" s="11">
        <v>14729.05</v>
      </c>
      <c r="F8291" s="3">
        <v>41620</v>
      </c>
      <c r="G8291" s="2"/>
      <c r="H8291" s="2"/>
      <c r="I8291" s="2"/>
      <c r="J8291" s="2" t="s">
        <v>13904</v>
      </c>
      <c r="K8291" s="2" t="s">
        <v>19219</v>
      </c>
      <c r="L8291" s="82" t="s">
        <v>18759</v>
      </c>
    </row>
    <row r="8292" spans="1:12" ht="96" customHeight="1" x14ac:dyDescent="0.3">
      <c r="A8292" s="2">
        <v>8288</v>
      </c>
      <c r="B8292" s="66" t="s">
        <v>4980</v>
      </c>
      <c r="C8292" s="66" t="s">
        <v>9949</v>
      </c>
      <c r="D8292" s="11">
        <v>62900</v>
      </c>
      <c r="E8292" s="11">
        <v>61152.7</v>
      </c>
      <c r="F8292" s="3">
        <v>41620</v>
      </c>
      <c r="G8292" s="2"/>
      <c r="H8292" s="2"/>
      <c r="I8292" s="2"/>
      <c r="J8292" s="2" t="s">
        <v>13904</v>
      </c>
      <c r="K8292" s="2" t="s">
        <v>19219</v>
      </c>
      <c r="L8292" s="82" t="s">
        <v>18759</v>
      </c>
    </row>
    <row r="8293" spans="1:12" ht="96" customHeight="1" x14ac:dyDescent="0.3">
      <c r="A8293" s="2">
        <v>8289</v>
      </c>
      <c r="B8293" s="66" t="s">
        <v>4980</v>
      </c>
      <c r="C8293" s="66" t="s">
        <v>9950</v>
      </c>
      <c r="D8293" s="11">
        <v>62900</v>
      </c>
      <c r="E8293" s="11">
        <v>61152.7</v>
      </c>
      <c r="F8293" s="3">
        <v>41620</v>
      </c>
      <c r="G8293" s="2"/>
      <c r="H8293" s="2"/>
      <c r="I8293" s="2"/>
      <c r="J8293" s="2" t="s">
        <v>13904</v>
      </c>
      <c r="K8293" s="2" t="s">
        <v>19219</v>
      </c>
      <c r="L8293" s="82" t="s">
        <v>18759</v>
      </c>
    </row>
    <row r="8294" spans="1:12" ht="96" customHeight="1" x14ac:dyDescent="0.3">
      <c r="A8294" s="2">
        <v>8290</v>
      </c>
      <c r="B8294" s="66" t="s">
        <v>4980</v>
      </c>
      <c r="C8294" s="66" t="s">
        <v>9951</v>
      </c>
      <c r="D8294" s="11">
        <v>62900</v>
      </c>
      <c r="E8294" s="11">
        <v>61152.7</v>
      </c>
      <c r="F8294" s="3">
        <v>41620</v>
      </c>
      <c r="G8294" s="2"/>
      <c r="H8294" s="2"/>
      <c r="I8294" s="2"/>
      <c r="J8294" s="2" t="s">
        <v>13904</v>
      </c>
      <c r="K8294" s="2" t="s">
        <v>19219</v>
      </c>
      <c r="L8294" s="82" t="s">
        <v>18759</v>
      </c>
    </row>
    <row r="8295" spans="1:12" ht="96" customHeight="1" x14ac:dyDescent="0.3">
      <c r="A8295" s="2">
        <v>8291</v>
      </c>
      <c r="B8295" s="66" t="s">
        <v>4980</v>
      </c>
      <c r="C8295" s="66" t="s">
        <v>9952</v>
      </c>
      <c r="D8295" s="11">
        <v>62900</v>
      </c>
      <c r="E8295" s="11">
        <v>61152.7</v>
      </c>
      <c r="F8295" s="3">
        <v>41620</v>
      </c>
      <c r="G8295" s="2"/>
      <c r="H8295" s="2"/>
      <c r="I8295" s="2"/>
      <c r="J8295" s="2" t="s">
        <v>13904</v>
      </c>
      <c r="K8295" s="2" t="s">
        <v>19219</v>
      </c>
      <c r="L8295" s="82" t="s">
        <v>18759</v>
      </c>
    </row>
    <row r="8296" spans="1:12" ht="96" customHeight="1" x14ac:dyDescent="0.3">
      <c r="A8296" s="2">
        <v>8292</v>
      </c>
      <c r="B8296" s="66" t="s">
        <v>9953</v>
      </c>
      <c r="C8296" s="66" t="s">
        <v>9954</v>
      </c>
      <c r="D8296" s="11">
        <v>629623.52</v>
      </c>
      <c r="E8296" s="11">
        <v>629623.52</v>
      </c>
      <c r="F8296" s="3">
        <v>39806</v>
      </c>
      <c r="G8296" s="2"/>
      <c r="H8296" s="242" t="s">
        <v>22949</v>
      </c>
      <c r="I8296" s="242" t="s">
        <v>22950</v>
      </c>
      <c r="J8296" s="2" t="s">
        <v>13904</v>
      </c>
      <c r="K8296" s="2" t="s">
        <v>19219</v>
      </c>
      <c r="L8296" s="82" t="s">
        <v>18759</v>
      </c>
    </row>
    <row r="8297" spans="1:12" ht="96" customHeight="1" x14ac:dyDescent="0.3">
      <c r="A8297" s="2">
        <v>8293</v>
      </c>
      <c r="B8297" s="66" t="s">
        <v>9955</v>
      </c>
      <c r="C8297" s="66" t="s">
        <v>9956</v>
      </c>
      <c r="D8297" s="11">
        <v>107082.5</v>
      </c>
      <c r="E8297" s="11">
        <v>35314.44</v>
      </c>
      <c r="F8297" s="3">
        <v>41617</v>
      </c>
      <c r="G8297" s="2"/>
      <c r="H8297" s="2"/>
      <c r="I8297" s="2"/>
      <c r="J8297" s="2" t="s">
        <v>13904</v>
      </c>
      <c r="K8297" s="2" t="s">
        <v>19219</v>
      </c>
      <c r="L8297" s="82" t="s">
        <v>18759</v>
      </c>
    </row>
    <row r="8298" spans="1:12" ht="96" customHeight="1" x14ac:dyDescent="0.3">
      <c r="A8298" s="2">
        <v>8294</v>
      </c>
      <c r="B8298" s="66" t="s">
        <v>9957</v>
      </c>
      <c r="C8298" s="66" t="s">
        <v>9958</v>
      </c>
      <c r="D8298" s="11">
        <v>139147.5</v>
      </c>
      <c r="E8298" s="11">
        <v>67945.429999999993</v>
      </c>
      <c r="F8298" s="3">
        <v>41617</v>
      </c>
      <c r="G8298" s="2"/>
      <c r="H8298" s="2"/>
      <c r="I8298" s="2"/>
      <c r="J8298" s="2" t="s">
        <v>13904</v>
      </c>
      <c r="K8298" s="2" t="s">
        <v>19219</v>
      </c>
      <c r="L8298" s="82" t="s">
        <v>18759</v>
      </c>
    </row>
    <row r="8299" spans="1:12" ht="96" customHeight="1" x14ac:dyDescent="0.3">
      <c r="A8299" s="2">
        <v>8295</v>
      </c>
      <c r="B8299" s="66" t="s">
        <v>9959</v>
      </c>
      <c r="C8299" s="66" t="s">
        <v>3344</v>
      </c>
      <c r="D8299" s="11">
        <v>64400</v>
      </c>
      <c r="E8299" s="11">
        <v>19166.75</v>
      </c>
      <c r="F8299" s="3">
        <v>41914</v>
      </c>
      <c r="G8299" s="2"/>
      <c r="H8299" s="2"/>
      <c r="I8299" s="2"/>
      <c r="J8299" s="2" t="s">
        <v>13904</v>
      </c>
      <c r="K8299" s="2" t="s">
        <v>19219</v>
      </c>
      <c r="L8299" s="82" t="s">
        <v>18759</v>
      </c>
    </row>
    <row r="8300" spans="1:12" ht="96" customHeight="1" x14ac:dyDescent="0.3">
      <c r="A8300" s="2">
        <v>8296</v>
      </c>
      <c r="B8300" s="66" t="s">
        <v>19773</v>
      </c>
      <c r="C8300" s="66">
        <v>4101260973</v>
      </c>
      <c r="D8300" s="11">
        <v>74727.399999999994</v>
      </c>
      <c r="E8300" s="11">
        <v>0</v>
      </c>
      <c r="F8300" s="3">
        <v>43020</v>
      </c>
      <c r="G8300" s="2" t="s">
        <v>19780</v>
      </c>
      <c r="H8300" s="3"/>
      <c r="I8300" s="2"/>
      <c r="J8300" s="2" t="s">
        <v>13904</v>
      </c>
      <c r="K8300" s="2" t="s">
        <v>19772</v>
      </c>
      <c r="L8300" s="82" t="s">
        <v>20507</v>
      </c>
    </row>
    <row r="8301" spans="1:12" ht="96" customHeight="1" x14ac:dyDescent="0.3">
      <c r="A8301" s="2">
        <v>8297</v>
      </c>
      <c r="B8301" s="66" t="s">
        <v>19774</v>
      </c>
      <c r="C8301" s="66">
        <v>4101260974</v>
      </c>
      <c r="D8301" s="11">
        <v>134057.97</v>
      </c>
      <c r="E8301" s="11">
        <v>0</v>
      </c>
      <c r="F8301" s="3">
        <v>43020</v>
      </c>
      <c r="G8301" s="2" t="s">
        <v>19780</v>
      </c>
      <c r="H8301" s="3"/>
      <c r="I8301" s="2"/>
      <c r="J8301" s="2" t="s">
        <v>13904</v>
      </c>
      <c r="K8301" s="2" t="s">
        <v>19772</v>
      </c>
      <c r="L8301" s="82" t="s">
        <v>20506</v>
      </c>
    </row>
    <row r="8302" spans="1:12" ht="96" customHeight="1" x14ac:dyDescent="0.3">
      <c r="A8302" s="2">
        <v>8298</v>
      </c>
      <c r="B8302" s="66" t="s">
        <v>9960</v>
      </c>
      <c r="C8302" s="66" t="s">
        <v>9961</v>
      </c>
      <c r="D8302" s="11">
        <v>60683.82</v>
      </c>
      <c r="E8302" s="11">
        <v>49558.6</v>
      </c>
      <c r="F8302" s="3">
        <v>41186</v>
      </c>
      <c r="G8302" s="2"/>
      <c r="H8302" s="2"/>
      <c r="I8302" s="2"/>
      <c r="J8302" s="2" t="s">
        <v>13904</v>
      </c>
      <c r="K8302" s="2" t="s">
        <v>19219</v>
      </c>
      <c r="L8302" s="82" t="s">
        <v>18759</v>
      </c>
    </row>
    <row r="8303" spans="1:12" ht="96" customHeight="1" x14ac:dyDescent="0.3">
      <c r="A8303" s="2">
        <v>8299</v>
      </c>
      <c r="B8303" s="66" t="s">
        <v>9962</v>
      </c>
      <c r="C8303" s="66" t="s">
        <v>9963</v>
      </c>
      <c r="D8303" s="11">
        <v>90079.76</v>
      </c>
      <c r="E8303" s="11">
        <v>73565.17</v>
      </c>
      <c r="F8303" s="3">
        <v>41186</v>
      </c>
      <c r="G8303" s="2"/>
      <c r="H8303" s="2"/>
      <c r="I8303" s="2"/>
      <c r="J8303" s="2" t="s">
        <v>13904</v>
      </c>
      <c r="K8303" s="2" t="s">
        <v>19219</v>
      </c>
      <c r="L8303" s="82" t="s">
        <v>18759</v>
      </c>
    </row>
    <row r="8304" spans="1:12" ht="96" customHeight="1" x14ac:dyDescent="0.3">
      <c r="A8304" s="2">
        <v>8300</v>
      </c>
      <c r="B8304" s="66" t="s">
        <v>9962</v>
      </c>
      <c r="C8304" s="66" t="s">
        <v>9964</v>
      </c>
      <c r="D8304" s="11">
        <v>90079.76</v>
      </c>
      <c r="E8304" s="11">
        <v>73565.17</v>
      </c>
      <c r="F8304" s="3">
        <v>41186</v>
      </c>
      <c r="G8304" s="2"/>
      <c r="H8304" s="2"/>
      <c r="I8304" s="2"/>
      <c r="J8304" s="2" t="s">
        <v>13904</v>
      </c>
      <c r="K8304" s="2" t="s">
        <v>19219</v>
      </c>
      <c r="L8304" s="82" t="s">
        <v>18759</v>
      </c>
    </row>
    <row r="8305" spans="1:15" ht="96" customHeight="1" x14ac:dyDescent="0.3">
      <c r="A8305" s="2">
        <v>8301</v>
      </c>
      <c r="B8305" s="66" t="s">
        <v>9965</v>
      </c>
      <c r="C8305" s="66" t="s">
        <v>9966</v>
      </c>
      <c r="D8305" s="11">
        <v>215218.01</v>
      </c>
      <c r="E8305" s="11">
        <v>175761.53</v>
      </c>
      <c r="F8305" s="3">
        <v>41186</v>
      </c>
      <c r="G8305" s="2"/>
      <c r="H8305" s="2"/>
      <c r="I8305" s="2"/>
      <c r="J8305" s="2" t="s">
        <v>13904</v>
      </c>
      <c r="K8305" s="2" t="s">
        <v>19219</v>
      </c>
      <c r="L8305" s="82" t="s">
        <v>18759</v>
      </c>
    </row>
    <row r="8306" spans="1:15" ht="96" customHeight="1" x14ac:dyDescent="0.3">
      <c r="A8306" s="2">
        <v>8302</v>
      </c>
      <c r="B8306" s="66" t="s">
        <v>9967</v>
      </c>
      <c r="C8306" s="66" t="s">
        <v>9968</v>
      </c>
      <c r="D8306" s="11">
        <v>60388.67</v>
      </c>
      <c r="E8306" s="11">
        <v>49317.52</v>
      </c>
      <c r="F8306" s="3">
        <v>41186</v>
      </c>
      <c r="G8306" s="2"/>
      <c r="H8306" s="2"/>
      <c r="I8306" s="2"/>
      <c r="J8306" s="2" t="s">
        <v>13904</v>
      </c>
      <c r="K8306" s="2" t="s">
        <v>19219</v>
      </c>
      <c r="L8306" s="82" t="s">
        <v>18759</v>
      </c>
    </row>
    <row r="8307" spans="1:15" ht="96" customHeight="1" x14ac:dyDescent="0.3">
      <c r="A8307" s="2">
        <v>8303</v>
      </c>
      <c r="B8307" s="66" t="s">
        <v>9969</v>
      </c>
      <c r="C8307" s="66" t="s">
        <v>9970</v>
      </c>
      <c r="D8307" s="11">
        <v>55636.68</v>
      </c>
      <c r="E8307" s="11">
        <v>45436.72</v>
      </c>
      <c r="F8307" s="3">
        <v>41186</v>
      </c>
      <c r="G8307" s="2"/>
      <c r="H8307" s="2"/>
      <c r="I8307" s="2"/>
      <c r="J8307" s="2" t="s">
        <v>13904</v>
      </c>
      <c r="K8307" s="2" t="s">
        <v>19219</v>
      </c>
      <c r="L8307" s="82" t="s">
        <v>18759</v>
      </c>
    </row>
    <row r="8308" spans="1:15" ht="96" customHeight="1" x14ac:dyDescent="0.3">
      <c r="A8308" s="2">
        <v>8304</v>
      </c>
      <c r="B8308" s="66" t="s">
        <v>9969</v>
      </c>
      <c r="C8308" s="66" t="s">
        <v>9971</v>
      </c>
      <c r="D8308" s="11">
        <v>55636.68</v>
      </c>
      <c r="E8308" s="11">
        <v>45436.72</v>
      </c>
      <c r="F8308" s="3">
        <v>41186</v>
      </c>
      <c r="G8308" s="2"/>
      <c r="H8308" s="2"/>
      <c r="I8308" s="2"/>
      <c r="J8308" s="2" t="s">
        <v>13904</v>
      </c>
      <c r="K8308" s="2" t="s">
        <v>19219</v>
      </c>
      <c r="L8308" s="82" t="s">
        <v>18759</v>
      </c>
    </row>
    <row r="8309" spans="1:15" ht="96" customHeight="1" x14ac:dyDescent="0.3">
      <c r="A8309" s="2">
        <v>8305</v>
      </c>
      <c r="B8309" s="66" t="s">
        <v>9969</v>
      </c>
      <c r="C8309" s="66" t="s">
        <v>9972</v>
      </c>
      <c r="D8309" s="11">
        <v>55636.68</v>
      </c>
      <c r="E8309" s="11">
        <v>45436.72</v>
      </c>
      <c r="F8309" s="3">
        <v>41186</v>
      </c>
      <c r="G8309" s="2"/>
      <c r="H8309" s="2"/>
      <c r="I8309" s="2"/>
      <c r="J8309" s="2" t="s">
        <v>13904</v>
      </c>
      <c r="K8309" s="2" t="s">
        <v>19219</v>
      </c>
      <c r="L8309" s="82" t="s">
        <v>18759</v>
      </c>
    </row>
    <row r="8310" spans="1:15" ht="96" customHeight="1" x14ac:dyDescent="0.3">
      <c r="A8310" s="2">
        <v>8306</v>
      </c>
      <c r="B8310" s="66" t="s">
        <v>4820</v>
      </c>
      <c r="C8310" s="66" t="s">
        <v>9973</v>
      </c>
      <c r="D8310" s="11">
        <v>65500</v>
      </c>
      <c r="E8310" s="11">
        <v>65500</v>
      </c>
      <c r="F8310" s="3">
        <v>39755</v>
      </c>
      <c r="G8310" s="2"/>
      <c r="H8310" s="2"/>
      <c r="I8310" s="2"/>
      <c r="J8310" s="2" t="s">
        <v>13904</v>
      </c>
      <c r="K8310" s="2" t="s">
        <v>19219</v>
      </c>
      <c r="L8310" s="82" t="s">
        <v>18759</v>
      </c>
    </row>
    <row r="8311" spans="1:15" ht="96" customHeight="1" x14ac:dyDescent="0.3">
      <c r="A8311" s="2">
        <v>8307</v>
      </c>
      <c r="B8311" s="66" t="s">
        <v>19774</v>
      </c>
      <c r="C8311" s="66">
        <v>4101260975</v>
      </c>
      <c r="D8311" s="11">
        <v>134057.97</v>
      </c>
      <c r="E8311" s="11">
        <v>0</v>
      </c>
      <c r="F8311" s="3">
        <v>43020</v>
      </c>
      <c r="G8311" s="2" t="s">
        <v>19780</v>
      </c>
      <c r="H8311" s="3"/>
      <c r="I8311" s="2"/>
      <c r="J8311" s="2" t="s">
        <v>13904</v>
      </c>
      <c r="K8311" s="2" t="s">
        <v>19772</v>
      </c>
      <c r="L8311" s="82" t="s">
        <v>20506</v>
      </c>
    </row>
    <row r="8312" spans="1:15" ht="96" customHeight="1" x14ac:dyDescent="0.3">
      <c r="A8312" s="2">
        <v>8308</v>
      </c>
      <c r="B8312" s="66" t="s">
        <v>9974</v>
      </c>
      <c r="C8312" s="66" t="s">
        <v>9975</v>
      </c>
      <c r="D8312" s="11">
        <v>61000</v>
      </c>
      <c r="E8312" s="11">
        <v>61000</v>
      </c>
      <c r="F8312" s="3">
        <v>39755</v>
      </c>
      <c r="G8312" s="2"/>
      <c r="H8312" s="2"/>
      <c r="I8312" s="2"/>
      <c r="J8312" s="2" t="s">
        <v>13904</v>
      </c>
      <c r="K8312" s="2" t="s">
        <v>19219</v>
      </c>
      <c r="L8312" s="82" t="s">
        <v>18759</v>
      </c>
    </row>
    <row r="8313" spans="1:15" ht="96" customHeight="1" x14ac:dyDescent="0.3">
      <c r="A8313" s="2">
        <v>8309</v>
      </c>
      <c r="B8313" s="66" t="s">
        <v>4974</v>
      </c>
      <c r="C8313" s="66" t="s">
        <v>9976</v>
      </c>
      <c r="D8313" s="11">
        <v>56900</v>
      </c>
      <c r="E8313" s="11">
        <v>56900</v>
      </c>
      <c r="F8313" s="3">
        <v>39755</v>
      </c>
      <c r="G8313" s="2"/>
      <c r="H8313" s="2"/>
      <c r="I8313" s="2"/>
      <c r="J8313" s="2" t="s">
        <v>13904</v>
      </c>
      <c r="K8313" s="2" t="s">
        <v>19219</v>
      </c>
      <c r="L8313" s="82"/>
    </row>
    <row r="8314" spans="1:15" ht="96" customHeight="1" x14ac:dyDescent="0.3">
      <c r="A8314" s="2">
        <v>8310</v>
      </c>
      <c r="B8314" s="66" t="s">
        <v>9977</v>
      </c>
      <c r="C8314" s="66" t="s">
        <v>9978</v>
      </c>
      <c r="D8314" s="11">
        <v>569976</v>
      </c>
      <c r="E8314" s="11">
        <v>451231</v>
      </c>
      <c r="F8314" s="3">
        <v>39806</v>
      </c>
      <c r="G8314" s="2"/>
      <c r="H8314" s="2" t="s">
        <v>22949</v>
      </c>
      <c r="I8314" s="2" t="s">
        <v>22950</v>
      </c>
      <c r="J8314" s="2" t="s">
        <v>13904</v>
      </c>
      <c r="K8314" s="2" t="s">
        <v>19219</v>
      </c>
      <c r="L8314" s="82" t="s">
        <v>18759</v>
      </c>
    </row>
    <row r="8315" spans="1:15" s="19" customFormat="1" ht="96" customHeight="1" x14ac:dyDescent="0.3">
      <c r="A8315" s="2">
        <v>8311</v>
      </c>
      <c r="B8315" s="66" t="s">
        <v>4820</v>
      </c>
      <c r="C8315" s="66" t="s">
        <v>4916</v>
      </c>
      <c r="D8315" s="11">
        <v>74180.83</v>
      </c>
      <c r="E8315" s="11">
        <v>74180.83</v>
      </c>
      <c r="F8315" s="3">
        <v>39058</v>
      </c>
      <c r="G8315" s="2"/>
      <c r="H8315" s="2"/>
      <c r="I8315" s="2"/>
      <c r="J8315" s="2" t="s">
        <v>13904</v>
      </c>
      <c r="K8315" s="2" t="s">
        <v>19219</v>
      </c>
      <c r="L8315" s="82" t="s">
        <v>18759</v>
      </c>
      <c r="M8315" s="16"/>
      <c r="N8315" s="16"/>
      <c r="O8315" s="16"/>
    </row>
    <row r="8316" spans="1:15" ht="96" customHeight="1" x14ac:dyDescent="0.3">
      <c r="A8316" s="2">
        <v>8312</v>
      </c>
      <c r="B8316" s="66" t="s">
        <v>9979</v>
      </c>
      <c r="C8316" s="66" t="s">
        <v>9323</v>
      </c>
      <c r="D8316" s="11">
        <v>417110</v>
      </c>
      <c r="E8316" s="11">
        <v>417110</v>
      </c>
      <c r="F8316" s="3">
        <v>39014</v>
      </c>
      <c r="G8316" s="2"/>
      <c r="H8316" s="2"/>
      <c r="I8316" s="2"/>
      <c r="J8316" s="2" t="s">
        <v>13904</v>
      </c>
      <c r="K8316" s="2" t="s">
        <v>19219</v>
      </c>
      <c r="L8316" s="82" t="s">
        <v>18759</v>
      </c>
    </row>
    <row r="8317" spans="1:15" ht="96" customHeight="1" x14ac:dyDescent="0.3">
      <c r="A8317" s="2">
        <v>8313</v>
      </c>
      <c r="B8317" s="66" t="s">
        <v>9980</v>
      </c>
      <c r="C8317" s="66" t="s">
        <v>9981</v>
      </c>
      <c r="D8317" s="11">
        <v>79953.72</v>
      </c>
      <c r="E8317" s="11">
        <v>79953.72</v>
      </c>
      <c r="F8317" s="3">
        <v>34029</v>
      </c>
      <c r="G8317" s="2"/>
      <c r="H8317" s="3">
        <v>42769</v>
      </c>
      <c r="I8317" s="2" t="s">
        <v>18894</v>
      </c>
      <c r="J8317" s="2" t="s">
        <v>13904</v>
      </c>
      <c r="K8317" s="2" t="s">
        <v>19220</v>
      </c>
      <c r="L8317" s="82" t="s">
        <v>18759</v>
      </c>
    </row>
    <row r="8318" spans="1:15" ht="96" customHeight="1" x14ac:dyDescent="0.3">
      <c r="A8318" s="2">
        <v>8314</v>
      </c>
      <c r="B8318" s="66" t="s">
        <v>9982</v>
      </c>
      <c r="C8318" s="66" t="s">
        <v>4683</v>
      </c>
      <c r="D8318" s="11">
        <v>193863.4</v>
      </c>
      <c r="E8318" s="11">
        <v>193863.4</v>
      </c>
      <c r="F8318" s="3">
        <v>38055</v>
      </c>
      <c r="G8318" s="2"/>
      <c r="H8318" s="3">
        <v>42769</v>
      </c>
      <c r="I8318" s="2" t="s">
        <v>18894</v>
      </c>
      <c r="J8318" s="2" t="s">
        <v>13904</v>
      </c>
      <c r="K8318" s="2" t="s">
        <v>19220</v>
      </c>
      <c r="L8318" s="82" t="s">
        <v>18759</v>
      </c>
    </row>
    <row r="8319" spans="1:15" ht="96" customHeight="1" x14ac:dyDescent="0.3">
      <c r="A8319" s="2">
        <v>8315</v>
      </c>
      <c r="B8319" s="66" t="s">
        <v>9983</v>
      </c>
      <c r="C8319" s="66" t="s">
        <v>9329</v>
      </c>
      <c r="D8319" s="11">
        <v>71475.8</v>
      </c>
      <c r="E8319" s="11">
        <v>71475.8</v>
      </c>
      <c r="F8319" s="3">
        <v>35748</v>
      </c>
      <c r="G8319" s="2"/>
      <c r="H8319" s="3">
        <v>42769</v>
      </c>
      <c r="I8319" s="2" t="s">
        <v>18894</v>
      </c>
      <c r="J8319" s="2" t="s">
        <v>13904</v>
      </c>
      <c r="K8319" s="2" t="s">
        <v>19220</v>
      </c>
      <c r="L8319" s="82" t="s">
        <v>18759</v>
      </c>
    </row>
    <row r="8320" spans="1:15" ht="96" customHeight="1" x14ac:dyDescent="0.3">
      <c r="A8320" s="2">
        <v>8316</v>
      </c>
      <c r="B8320" s="66" t="s">
        <v>9984</v>
      </c>
      <c r="C8320" s="66" t="s">
        <v>9319</v>
      </c>
      <c r="D8320" s="11">
        <v>515924.56</v>
      </c>
      <c r="E8320" s="11">
        <v>515924.56</v>
      </c>
      <c r="F8320" s="3">
        <v>38967</v>
      </c>
      <c r="G8320" s="2"/>
      <c r="H8320" s="2"/>
      <c r="I8320" s="2"/>
      <c r="J8320" s="2" t="s">
        <v>13904</v>
      </c>
      <c r="K8320" s="2" t="s">
        <v>19219</v>
      </c>
      <c r="L8320" s="82" t="s">
        <v>18759</v>
      </c>
    </row>
    <row r="8321" spans="1:12" ht="96" customHeight="1" x14ac:dyDescent="0.3">
      <c r="A8321" s="2">
        <v>8317</v>
      </c>
      <c r="B8321" s="66" t="s">
        <v>9985</v>
      </c>
      <c r="C8321" s="66" t="s">
        <v>9321</v>
      </c>
      <c r="D8321" s="11">
        <v>112787.18</v>
      </c>
      <c r="E8321" s="11">
        <v>112787.18</v>
      </c>
      <c r="F8321" s="3">
        <v>35748</v>
      </c>
      <c r="G8321" s="2"/>
      <c r="H8321" s="3">
        <v>42769</v>
      </c>
      <c r="I8321" s="2" t="s">
        <v>18894</v>
      </c>
      <c r="J8321" s="2" t="s">
        <v>13904</v>
      </c>
      <c r="K8321" s="2" t="s">
        <v>19220</v>
      </c>
      <c r="L8321" s="82" t="s">
        <v>18759</v>
      </c>
    </row>
    <row r="8322" spans="1:12" ht="96" customHeight="1" x14ac:dyDescent="0.3">
      <c r="A8322" s="2">
        <v>8318</v>
      </c>
      <c r="B8322" s="66" t="s">
        <v>9986</v>
      </c>
      <c r="C8322" s="66" t="s">
        <v>9327</v>
      </c>
      <c r="D8322" s="11">
        <v>714285</v>
      </c>
      <c r="E8322" s="11">
        <v>714285</v>
      </c>
      <c r="F8322" s="3">
        <v>39055</v>
      </c>
      <c r="G8322" s="2"/>
      <c r="H8322" s="3">
        <v>42769</v>
      </c>
      <c r="I8322" s="2" t="s">
        <v>18894</v>
      </c>
      <c r="J8322" s="2" t="s">
        <v>13904</v>
      </c>
      <c r="K8322" s="2" t="s">
        <v>19220</v>
      </c>
      <c r="L8322" s="82" t="s">
        <v>18759</v>
      </c>
    </row>
    <row r="8323" spans="1:12" ht="96" customHeight="1" x14ac:dyDescent="0.3">
      <c r="A8323" s="2">
        <v>8319</v>
      </c>
      <c r="B8323" s="66" t="s">
        <v>9987</v>
      </c>
      <c r="C8323" s="66" t="s">
        <v>9988</v>
      </c>
      <c r="D8323" s="11">
        <v>1500666.67</v>
      </c>
      <c r="E8323" s="11">
        <v>1000444.4</v>
      </c>
      <c r="F8323" s="3">
        <v>41481</v>
      </c>
      <c r="G8323" s="2"/>
      <c r="H8323" s="2"/>
      <c r="I8323" s="2"/>
      <c r="J8323" s="2" t="s">
        <v>13904</v>
      </c>
      <c r="K8323" s="2" t="s">
        <v>19219</v>
      </c>
      <c r="L8323" s="82" t="s">
        <v>18759</v>
      </c>
    </row>
    <row r="8324" spans="1:12" ht="96" customHeight="1" x14ac:dyDescent="0.3">
      <c r="A8324" s="2">
        <v>8320</v>
      </c>
      <c r="B8324" s="66" t="s">
        <v>9989</v>
      </c>
      <c r="C8324" s="66" t="s">
        <v>9990</v>
      </c>
      <c r="D8324" s="11">
        <v>673200</v>
      </c>
      <c r="E8324" s="11">
        <v>673200</v>
      </c>
      <c r="F8324" s="3">
        <v>39414</v>
      </c>
      <c r="G8324" s="2"/>
      <c r="H8324" s="2"/>
      <c r="I8324" s="2"/>
      <c r="J8324" s="2" t="s">
        <v>13904</v>
      </c>
      <c r="K8324" s="2" t="s">
        <v>19219</v>
      </c>
      <c r="L8324" s="82" t="s">
        <v>18759</v>
      </c>
    </row>
    <row r="8325" spans="1:12" ht="96" customHeight="1" x14ac:dyDescent="0.3">
      <c r="A8325" s="2">
        <v>8321</v>
      </c>
      <c r="B8325" s="66" t="s">
        <v>9991</v>
      </c>
      <c r="C8325" s="66" t="s">
        <v>9992</v>
      </c>
      <c r="D8325" s="11">
        <v>104106.9</v>
      </c>
      <c r="E8325" s="11">
        <v>104106.9</v>
      </c>
      <c r="F8325" s="3">
        <v>34395</v>
      </c>
      <c r="G8325" s="2"/>
      <c r="H8325" s="3">
        <v>42769</v>
      </c>
      <c r="I8325" s="2" t="s">
        <v>18894</v>
      </c>
      <c r="J8325" s="2" t="s">
        <v>13904</v>
      </c>
      <c r="K8325" s="2" t="s">
        <v>19220</v>
      </c>
      <c r="L8325" s="82" t="s">
        <v>18759</v>
      </c>
    </row>
    <row r="8326" spans="1:12" ht="96" customHeight="1" x14ac:dyDescent="0.3">
      <c r="A8326" s="2">
        <v>8322</v>
      </c>
      <c r="B8326" s="66" t="s">
        <v>9993</v>
      </c>
      <c r="C8326" s="66" t="s">
        <v>3976</v>
      </c>
      <c r="D8326" s="11">
        <v>97541.6</v>
      </c>
      <c r="E8326" s="11">
        <v>97541.6</v>
      </c>
      <c r="F8326" s="3">
        <v>38730</v>
      </c>
      <c r="G8326" s="2"/>
      <c r="H8326" s="2"/>
      <c r="I8326" s="2"/>
      <c r="J8326" s="2" t="s">
        <v>13904</v>
      </c>
      <c r="K8326" s="2" t="s">
        <v>19219</v>
      </c>
      <c r="L8326" s="82" t="s">
        <v>18759</v>
      </c>
    </row>
    <row r="8327" spans="1:12" ht="96" customHeight="1" x14ac:dyDescent="0.3">
      <c r="A8327" s="2">
        <v>8323</v>
      </c>
      <c r="B8327" s="66" t="s">
        <v>19775</v>
      </c>
      <c r="C8327" s="66">
        <v>4101260976</v>
      </c>
      <c r="D8327" s="11">
        <v>133942.87</v>
      </c>
      <c r="E8327" s="11">
        <v>0</v>
      </c>
      <c r="F8327" s="3">
        <v>43020</v>
      </c>
      <c r="G8327" s="2" t="s">
        <v>19780</v>
      </c>
      <c r="H8327" s="3"/>
      <c r="I8327" s="2"/>
      <c r="J8327" s="2" t="s">
        <v>13904</v>
      </c>
      <c r="K8327" s="2" t="s">
        <v>19772</v>
      </c>
      <c r="L8327" s="82" t="s">
        <v>20506</v>
      </c>
    </row>
    <row r="8328" spans="1:12" ht="96" customHeight="1" x14ac:dyDescent="0.3">
      <c r="A8328" s="2">
        <v>8324</v>
      </c>
      <c r="B8328" s="66" t="s">
        <v>9994</v>
      </c>
      <c r="C8328" s="66" t="s">
        <v>9995</v>
      </c>
      <c r="D8328" s="11">
        <v>84289.56</v>
      </c>
      <c r="E8328" s="11">
        <v>68836.67</v>
      </c>
      <c r="F8328" s="3">
        <v>41186</v>
      </c>
      <c r="G8328" s="2"/>
      <c r="H8328" s="2"/>
      <c r="I8328" s="2"/>
      <c r="J8328" s="2" t="s">
        <v>13904</v>
      </c>
      <c r="K8328" s="2" t="s">
        <v>19219</v>
      </c>
      <c r="L8328" s="82" t="s">
        <v>18759</v>
      </c>
    </row>
    <row r="8329" spans="1:12" ht="96" customHeight="1" x14ac:dyDescent="0.3">
      <c r="A8329" s="2">
        <v>8325</v>
      </c>
      <c r="B8329" s="66" t="s">
        <v>19775</v>
      </c>
      <c r="C8329" s="66">
        <v>4101260977</v>
      </c>
      <c r="D8329" s="11">
        <v>133942.87</v>
      </c>
      <c r="E8329" s="11">
        <v>0</v>
      </c>
      <c r="F8329" s="3">
        <v>43020</v>
      </c>
      <c r="G8329" s="2" t="s">
        <v>19780</v>
      </c>
      <c r="H8329" s="3"/>
      <c r="I8329" s="2"/>
      <c r="J8329" s="2" t="s">
        <v>13904</v>
      </c>
      <c r="K8329" s="2" t="s">
        <v>19772</v>
      </c>
      <c r="L8329" s="82" t="s">
        <v>20507</v>
      </c>
    </row>
    <row r="8330" spans="1:12" ht="96" customHeight="1" x14ac:dyDescent="0.3">
      <c r="A8330" s="2">
        <v>8326</v>
      </c>
      <c r="B8330" s="66" t="s">
        <v>19776</v>
      </c>
      <c r="C8330" s="66">
        <v>4101260978</v>
      </c>
      <c r="D8330" s="11">
        <v>142629.54</v>
      </c>
      <c r="E8330" s="11">
        <v>0</v>
      </c>
      <c r="F8330" s="3">
        <v>43020</v>
      </c>
      <c r="G8330" s="2" t="s">
        <v>19780</v>
      </c>
      <c r="H8330" s="3"/>
      <c r="I8330" s="2"/>
      <c r="J8330" s="2" t="s">
        <v>13904</v>
      </c>
      <c r="K8330" s="2" t="s">
        <v>19772</v>
      </c>
      <c r="L8330" s="82" t="s">
        <v>20507</v>
      </c>
    </row>
    <row r="8331" spans="1:12" ht="96" customHeight="1" x14ac:dyDescent="0.3">
      <c r="A8331" s="2">
        <v>8327</v>
      </c>
      <c r="B8331" s="66" t="s">
        <v>19776</v>
      </c>
      <c r="C8331" s="66">
        <v>4101260979</v>
      </c>
      <c r="D8331" s="11">
        <v>142629.54</v>
      </c>
      <c r="E8331" s="11">
        <v>0</v>
      </c>
      <c r="F8331" s="3">
        <v>43020</v>
      </c>
      <c r="G8331" s="2" t="s">
        <v>19780</v>
      </c>
      <c r="H8331" s="3"/>
      <c r="I8331" s="2"/>
      <c r="J8331" s="2" t="s">
        <v>13904</v>
      </c>
      <c r="K8331" s="2" t="s">
        <v>19772</v>
      </c>
      <c r="L8331" s="82" t="s">
        <v>20507</v>
      </c>
    </row>
    <row r="8332" spans="1:12" ht="96" customHeight="1" x14ac:dyDescent="0.3">
      <c r="A8332" s="2">
        <v>8328</v>
      </c>
      <c r="B8332" s="66" t="s">
        <v>19777</v>
      </c>
      <c r="C8332" s="66">
        <v>4101260980</v>
      </c>
      <c r="D8332" s="11">
        <v>81017.22</v>
      </c>
      <c r="E8332" s="11">
        <v>0</v>
      </c>
      <c r="F8332" s="3">
        <v>43020</v>
      </c>
      <c r="G8332" s="2" t="s">
        <v>19780</v>
      </c>
      <c r="H8332" s="3"/>
      <c r="I8332" s="2"/>
      <c r="J8332" s="2" t="s">
        <v>13904</v>
      </c>
      <c r="K8332" s="2" t="s">
        <v>19772</v>
      </c>
      <c r="L8332" s="82" t="s">
        <v>20507</v>
      </c>
    </row>
    <row r="8333" spans="1:12" ht="96" customHeight="1" x14ac:dyDescent="0.3">
      <c r="A8333" s="2">
        <v>8329</v>
      </c>
      <c r="B8333" s="66" t="s">
        <v>19777</v>
      </c>
      <c r="C8333" s="66">
        <v>4101260981</v>
      </c>
      <c r="D8333" s="11">
        <v>81017.22</v>
      </c>
      <c r="E8333" s="11">
        <v>0</v>
      </c>
      <c r="F8333" s="3">
        <v>43020</v>
      </c>
      <c r="G8333" s="2" t="s">
        <v>19780</v>
      </c>
      <c r="H8333" s="3"/>
      <c r="I8333" s="2"/>
      <c r="J8333" s="2" t="s">
        <v>13904</v>
      </c>
      <c r="K8333" s="2" t="s">
        <v>19772</v>
      </c>
      <c r="L8333" s="82" t="s">
        <v>20506</v>
      </c>
    </row>
    <row r="8334" spans="1:12" ht="96" customHeight="1" x14ac:dyDescent="0.3">
      <c r="A8334" s="2">
        <v>8330</v>
      </c>
      <c r="B8334" s="66" t="s">
        <v>19778</v>
      </c>
      <c r="C8334" s="66">
        <v>4101260982</v>
      </c>
      <c r="D8334" s="11">
        <v>59819.07</v>
      </c>
      <c r="E8334" s="11">
        <v>0</v>
      </c>
      <c r="F8334" s="3">
        <v>43020</v>
      </c>
      <c r="G8334" s="2" t="s">
        <v>19780</v>
      </c>
      <c r="H8334" s="3"/>
      <c r="I8334" s="2"/>
      <c r="J8334" s="2" t="s">
        <v>13904</v>
      </c>
      <c r="K8334" s="2" t="s">
        <v>19772</v>
      </c>
      <c r="L8334" s="82" t="s">
        <v>20506</v>
      </c>
    </row>
    <row r="8335" spans="1:12" ht="96" customHeight="1" x14ac:dyDescent="0.3">
      <c r="A8335" s="2">
        <v>8331</v>
      </c>
      <c r="B8335" s="66" t="s">
        <v>19779</v>
      </c>
      <c r="C8335" s="66">
        <v>4101260983</v>
      </c>
      <c r="D8335" s="11">
        <v>69684.89</v>
      </c>
      <c r="E8335" s="11">
        <v>0</v>
      </c>
      <c r="F8335" s="3">
        <v>43020</v>
      </c>
      <c r="G8335" s="2" t="s">
        <v>19780</v>
      </c>
      <c r="H8335" s="3"/>
      <c r="I8335" s="2"/>
      <c r="J8335" s="2" t="s">
        <v>13904</v>
      </c>
      <c r="K8335" s="2" t="s">
        <v>19772</v>
      </c>
      <c r="L8335" s="82" t="s">
        <v>20507</v>
      </c>
    </row>
    <row r="8336" spans="1:12" ht="96" customHeight="1" x14ac:dyDescent="0.3">
      <c r="A8336" s="2">
        <v>8332</v>
      </c>
      <c r="B8336" s="66" t="s">
        <v>4835</v>
      </c>
      <c r="C8336" s="66"/>
      <c r="D8336" s="11">
        <v>76810.87</v>
      </c>
      <c r="E8336" s="11">
        <v>76810.87</v>
      </c>
      <c r="F8336" s="3">
        <v>42173</v>
      </c>
      <c r="G8336" s="2"/>
      <c r="H8336" s="3">
        <v>43053</v>
      </c>
      <c r="I8336" s="2" t="s">
        <v>19506</v>
      </c>
      <c r="J8336" s="2" t="s">
        <v>13904</v>
      </c>
      <c r="K8336" s="2" t="s">
        <v>19219</v>
      </c>
      <c r="L8336" s="82" t="s">
        <v>19512</v>
      </c>
    </row>
    <row r="8337" spans="1:12" ht="84" customHeight="1" x14ac:dyDescent="0.3">
      <c r="A8337" s="2">
        <v>8333</v>
      </c>
      <c r="B8337" s="66" t="s">
        <v>4553</v>
      </c>
      <c r="C8337" s="66"/>
      <c r="D8337" s="11">
        <v>7905.85</v>
      </c>
      <c r="E8337" s="11">
        <v>7905.85</v>
      </c>
      <c r="F8337" s="3">
        <v>41243</v>
      </c>
      <c r="G8337" s="2"/>
      <c r="H8337" s="3">
        <v>43053</v>
      </c>
      <c r="I8337" s="2" t="s">
        <v>19506</v>
      </c>
      <c r="J8337" s="2" t="s">
        <v>13904</v>
      </c>
      <c r="K8337" s="2"/>
      <c r="L8337" s="82" t="s">
        <v>19512</v>
      </c>
    </row>
    <row r="8338" spans="1:12" ht="96" customHeight="1" x14ac:dyDescent="0.3">
      <c r="A8338" s="2">
        <v>8334</v>
      </c>
      <c r="B8338" s="66" t="s">
        <v>4554</v>
      </c>
      <c r="C8338" s="66" t="s">
        <v>9996</v>
      </c>
      <c r="D8338" s="11">
        <v>3980</v>
      </c>
      <c r="E8338" s="11">
        <v>3980</v>
      </c>
      <c r="F8338" s="3">
        <v>41365</v>
      </c>
      <c r="G8338" s="2"/>
      <c r="H8338" s="3">
        <v>43053</v>
      </c>
      <c r="I8338" s="2" t="s">
        <v>19506</v>
      </c>
      <c r="J8338" s="2" t="s">
        <v>13904</v>
      </c>
      <c r="K8338" s="2" t="s">
        <v>19219</v>
      </c>
      <c r="L8338" s="82" t="s">
        <v>19512</v>
      </c>
    </row>
    <row r="8339" spans="1:12" ht="96" customHeight="1" x14ac:dyDescent="0.3">
      <c r="A8339" s="2">
        <v>8335</v>
      </c>
      <c r="B8339" s="66" t="s">
        <v>4556</v>
      </c>
      <c r="C8339" s="66" t="s">
        <v>9997</v>
      </c>
      <c r="D8339" s="11">
        <v>4545</v>
      </c>
      <c r="E8339" s="11">
        <v>4545</v>
      </c>
      <c r="F8339" s="3">
        <v>41736</v>
      </c>
      <c r="G8339" s="2"/>
      <c r="H8339" s="3">
        <v>43053</v>
      </c>
      <c r="I8339" s="2" t="s">
        <v>19506</v>
      </c>
      <c r="J8339" s="2" t="s">
        <v>13904</v>
      </c>
      <c r="K8339" s="2" t="s">
        <v>19219</v>
      </c>
      <c r="L8339" s="82" t="s">
        <v>19512</v>
      </c>
    </row>
    <row r="8340" spans="1:12" ht="96" customHeight="1" x14ac:dyDescent="0.3">
      <c r="A8340" s="2">
        <v>8336</v>
      </c>
      <c r="B8340" s="66" t="s">
        <v>9998</v>
      </c>
      <c r="C8340" s="66" t="s">
        <v>9999</v>
      </c>
      <c r="D8340" s="11">
        <v>5950</v>
      </c>
      <c r="E8340" s="11">
        <v>5950</v>
      </c>
      <c r="F8340" s="3">
        <v>39888</v>
      </c>
      <c r="G8340" s="2"/>
      <c r="H8340" s="3">
        <v>43053</v>
      </c>
      <c r="I8340" s="2" t="s">
        <v>19506</v>
      </c>
      <c r="J8340" s="2" t="s">
        <v>13904</v>
      </c>
      <c r="K8340" s="2" t="s">
        <v>19219</v>
      </c>
      <c r="L8340" s="82" t="s">
        <v>19512</v>
      </c>
    </row>
    <row r="8341" spans="1:12" ht="96" customHeight="1" x14ac:dyDescent="0.3">
      <c r="A8341" s="2">
        <v>8337</v>
      </c>
      <c r="B8341" s="66" t="s">
        <v>10000</v>
      </c>
      <c r="C8341" s="66" t="s">
        <v>10001</v>
      </c>
      <c r="D8341" s="11">
        <v>4750</v>
      </c>
      <c r="E8341" s="11">
        <v>4750</v>
      </c>
      <c r="F8341" s="3">
        <v>39888</v>
      </c>
      <c r="G8341" s="2"/>
      <c r="H8341" s="3">
        <v>43053</v>
      </c>
      <c r="I8341" s="2" t="s">
        <v>19506</v>
      </c>
      <c r="J8341" s="2" t="s">
        <v>13904</v>
      </c>
      <c r="K8341" s="2" t="s">
        <v>19219</v>
      </c>
      <c r="L8341" s="82" t="s">
        <v>19512</v>
      </c>
    </row>
    <row r="8342" spans="1:12" ht="96" customHeight="1" x14ac:dyDescent="0.3">
      <c r="A8342" s="2">
        <v>8338</v>
      </c>
      <c r="B8342" s="66" t="s">
        <v>10002</v>
      </c>
      <c r="C8342" s="66" t="s">
        <v>10003</v>
      </c>
      <c r="D8342" s="11">
        <v>8000</v>
      </c>
      <c r="E8342" s="11">
        <v>8000</v>
      </c>
      <c r="F8342" s="3">
        <v>39685</v>
      </c>
      <c r="G8342" s="2"/>
      <c r="H8342" s="3">
        <v>43053</v>
      </c>
      <c r="I8342" s="2" t="s">
        <v>19506</v>
      </c>
      <c r="J8342" s="2" t="s">
        <v>13904</v>
      </c>
      <c r="K8342" s="2" t="s">
        <v>19219</v>
      </c>
      <c r="L8342" s="82" t="s">
        <v>19512</v>
      </c>
    </row>
    <row r="8343" spans="1:12" ht="96" customHeight="1" x14ac:dyDescent="0.3">
      <c r="A8343" s="2">
        <v>8339</v>
      </c>
      <c r="B8343" s="66" t="s">
        <v>10004</v>
      </c>
      <c r="C8343" s="66" t="s">
        <v>10005</v>
      </c>
      <c r="D8343" s="11">
        <v>9817.5</v>
      </c>
      <c r="E8343" s="11">
        <v>9817.5</v>
      </c>
      <c r="F8343" s="3">
        <v>32990</v>
      </c>
      <c r="G8343" s="2"/>
      <c r="H8343" s="3">
        <v>43053</v>
      </c>
      <c r="I8343" s="2" t="s">
        <v>19506</v>
      </c>
      <c r="J8343" s="2" t="s">
        <v>13904</v>
      </c>
      <c r="K8343" s="2" t="s">
        <v>19219</v>
      </c>
      <c r="L8343" s="82" t="s">
        <v>19512</v>
      </c>
    </row>
    <row r="8344" spans="1:12" ht="96" customHeight="1" x14ac:dyDescent="0.3">
      <c r="A8344" s="2">
        <v>8340</v>
      </c>
      <c r="B8344" s="66" t="s">
        <v>10006</v>
      </c>
      <c r="C8344" s="66" t="s">
        <v>10007</v>
      </c>
      <c r="D8344" s="11">
        <v>6192</v>
      </c>
      <c r="E8344" s="11">
        <v>6192</v>
      </c>
      <c r="F8344" s="3">
        <v>35107</v>
      </c>
      <c r="G8344" s="2"/>
      <c r="H8344" s="3">
        <v>43053</v>
      </c>
      <c r="I8344" s="2" t="s">
        <v>19506</v>
      </c>
      <c r="J8344" s="2" t="s">
        <v>13904</v>
      </c>
      <c r="K8344" s="2" t="s">
        <v>19219</v>
      </c>
      <c r="L8344" s="82" t="s">
        <v>19512</v>
      </c>
    </row>
    <row r="8345" spans="1:12" ht="96" customHeight="1" x14ac:dyDescent="0.3">
      <c r="A8345" s="2">
        <v>8341</v>
      </c>
      <c r="B8345" s="66" t="s">
        <v>222</v>
      </c>
      <c r="C8345" s="66" t="s">
        <v>9739</v>
      </c>
      <c r="D8345" s="11">
        <v>7010.75</v>
      </c>
      <c r="E8345" s="11">
        <v>7010.75</v>
      </c>
      <c r="F8345" s="3">
        <v>36566</v>
      </c>
      <c r="G8345" s="2"/>
      <c r="H8345" s="3">
        <v>43053</v>
      </c>
      <c r="I8345" s="2" t="s">
        <v>19506</v>
      </c>
      <c r="J8345" s="2" t="s">
        <v>13904</v>
      </c>
      <c r="K8345" s="2" t="s">
        <v>19219</v>
      </c>
      <c r="L8345" s="82" t="s">
        <v>19512</v>
      </c>
    </row>
    <row r="8346" spans="1:12" ht="96" customHeight="1" x14ac:dyDescent="0.3">
      <c r="A8346" s="2">
        <v>8342</v>
      </c>
      <c r="B8346" s="66" t="s">
        <v>10008</v>
      </c>
      <c r="C8346" s="66" t="s">
        <v>4924</v>
      </c>
      <c r="D8346" s="11">
        <v>5754.24</v>
      </c>
      <c r="E8346" s="11">
        <v>5754.24</v>
      </c>
      <c r="F8346" s="3">
        <v>29263</v>
      </c>
      <c r="G8346" s="2"/>
      <c r="H8346" s="3">
        <v>43053</v>
      </c>
      <c r="I8346" s="2" t="s">
        <v>19506</v>
      </c>
      <c r="J8346" s="2" t="s">
        <v>13904</v>
      </c>
      <c r="K8346" s="2" t="s">
        <v>19219</v>
      </c>
      <c r="L8346" s="82" t="s">
        <v>19512</v>
      </c>
    </row>
    <row r="8347" spans="1:12" ht="96" customHeight="1" x14ac:dyDescent="0.3">
      <c r="A8347" s="2">
        <v>8343</v>
      </c>
      <c r="B8347" s="66" t="s">
        <v>10009</v>
      </c>
      <c r="C8347" s="66" t="s">
        <v>10010</v>
      </c>
      <c r="D8347" s="11">
        <v>5000</v>
      </c>
      <c r="E8347" s="11">
        <v>5000</v>
      </c>
      <c r="F8347" s="3">
        <v>39701</v>
      </c>
      <c r="G8347" s="2"/>
      <c r="H8347" s="3">
        <v>43053</v>
      </c>
      <c r="I8347" s="2" t="s">
        <v>19506</v>
      </c>
      <c r="J8347" s="2" t="s">
        <v>13904</v>
      </c>
      <c r="K8347" s="2" t="s">
        <v>19219</v>
      </c>
      <c r="L8347" s="82" t="s">
        <v>19512</v>
      </c>
    </row>
    <row r="8348" spans="1:12" ht="96" customHeight="1" x14ac:dyDescent="0.3">
      <c r="A8348" s="2">
        <v>8344</v>
      </c>
      <c r="B8348" s="66" t="s">
        <v>4926</v>
      </c>
      <c r="C8348" s="66" t="s">
        <v>9423</v>
      </c>
      <c r="D8348" s="11">
        <v>11222.04</v>
      </c>
      <c r="E8348" s="11">
        <v>11222.04</v>
      </c>
      <c r="F8348" s="3">
        <v>38729</v>
      </c>
      <c r="G8348" s="2"/>
      <c r="H8348" s="3">
        <v>43053</v>
      </c>
      <c r="I8348" s="2" t="s">
        <v>19506</v>
      </c>
      <c r="J8348" s="2" t="s">
        <v>13904</v>
      </c>
      <c r="K8348" s="2" t="s">
        <v>19219</v>
      </c>
      <c r="L8348" s="82" t="s">
        <v>19512</v>
      </c>
    </row>
    <row r="8349" spans="1:12" ht="96" customHeight="1" x14ac:dyDescent="0.3">
      <c r="A8349" s="2">
        <v>8345</v>
      </c>
      <c r="B8349" s="66" t="s">
        <v>10011</v>
      </c>
      <c r="C8349" s="66" t="s">
        <v>4109</v>
      </c>
      <c r="D8349" s="11">
        <v>7043.4</v>
      </c>
      <c r="E8349" s="11">
        <v>7043.4</v>
      </c>
      <c r="F8349" s="3">
        <v>29263</v>
      </c>
      <c r="G8349" s="2"/>
      <c r="H8349" s="3">
        <v>43053</v>
      </c>
      <c r="I8349" s="2" t="s">
        <v>19506</v>
      </c>
      <c r="J8349" s="2" t="s">
        <v>13904</v>
      </c>
      <c r="K8349" s="2" t="s">
        <v>19219</v>
      </c>
      <c r="L8349" s="82" t="s">
        <v>19512</v>
      </c>
    </row>
    <row r="8350" spans="1:12" ht="96" customHeight="1" x14ac:dyDescent="0.3">
      <c r="A8350" s="2">
        <v>8346</v>
      </c>
      <c r="B8350" s="66" t="s">
        <v>10012</v>
      </c>
      <c r="C8350" s="66" t="s">
        <v>4050</v>
      </c>
      <c r="D8350" s="11">
        <v>6256.5</v>
      </c>
      <c r="E8350" s="11">
        <v>6256.5</v>
      </c>
      <c r="F8350" s="3">
        <v>29263</v>
      </c>
      <c r="G8350" s="2"/>
      <c r="H8350" s="3">
        <v>43053</v>
      </c>
      <c r="I8350" s="2" t="s">
        <v>19506</v>
      </c>
      <c r="J8350" s="2" t="s">
        <v>13904</v>
      </c>
      <c r="K8350" s="2" t="s">
        <v>19219</v>
      </c>
      <c r="L8350" s="82" t="s">
        <v>19512</v>
      </c>
    </row>
    <row r="8351" spans="1:12" ht="96" customHeight="1" x14ac:dyDescent="0.3">
      <c r="A8351" s="2">
        <v>8347</v>
      </c>
      <c r="B8351" s="66" t="s">
        <v>10013</v>
      </c>
      <c r="C8351" s="66" t="s">
        <v>3833</v>
      </c>
      <c r="D8351" s="11">
        <v>6230.7</v>
      </c>
      <c r="E8351" s="11">
        <v>6230.7</v>
      </c>
      <c r="F8351" s="3">
        <v>29263</v>
      </c>
      <c r="G8351" s="2"/>
      <c r="H8351" s="3">
        <v>43053</v>
      </c>
      <c r="I8351" s="2" t="s">
        <v>19506</v>
      </c>
      <c r="J8351" s="2" t="s">
        <v>13904</v>
      </c>
      <c r="K8351" s="2" t="s">
        <v>19219</v>
      </c>
      <c r="L8351" s="82" t="s">
        <v>19512</v>
      </c>
    </row>
    <row r="8352" spans="1:12" ht="96" customHeight="1" x14ac:dyDescent="0.3">
      <c r="A8352" s="2">
        <v>8348</v>
      </c>
      <c r="B8352" s="66" t="s">
        <v>5225</v>
      </c>
      <c r="C8352" s="66" t="s">
        <v>5469</v>
      </c>
      <c r="D8352" s="11">
        <v>12126</v>
      </c>
      <c r="E8352" s="11">
        <v>12126</v>
      </c>
      <c r="F8352" s="3">
        <v>29263</v>
      </c>
      <c r="G8352" s="2"/>
      <c r="H8352" s="3">
        <v>43053</v>
      </c>
      <c r="I8352" s="2" t="s">
        <v>19506</v>
      </c>
      <c r="J8352" s="2" t="s">
        <v>13904</v>
      </c>
      <c r="K8352" s="2" t="s">
        <v>19219</v>
      </c>
      <c r="L8352" s="82" t="s">
        <v>19512</v>
      </c>
    </row>
    <row r="8353" spans="1:12" ht="96" customHeight="1" x14ac:dyDescent="0.3">
      <c r="A8353" s="2">
        <v>8349</v>
      </c>
      <c r="B8353" s="66" t="s">
        <v>5225</v>
      </c>
      <c r="C8353" s="66" t="s">
        <v>4681</v>
      </c>
      <c r="D8353" s="11">
        <v>5998.5</v>
      </c>
      <c r="E8353" s="11">
        <v>5998.5</v>
      </c>
      <c r="F8353" s="3">
        <v>29263</v>
      </c>
      <c r="G8353" s="2"/>
      <c r="H8353" s="3">
        <v>43053</v>
      </c>
      <c r="I8353" s="2" t="s">
        <v>19506</v>
      </c>
      <c r="J8353" s="2" t="s">
        <v>13904</v>
      </c>
      <c r="K8353" s="2" t="s">
        <v>19219</v>
      </c>
      <c r="L8353" s="82" t="s">
        <v>19512</v>
      </c>
    </row>
    <row r="8354" spans="1:12" ht="96" customHeight="1" x14ac:dyDescent="0.3">
      <c r="A8354" s="2">
        <v>8350</v>
      </c>
      <c r="B8354" s="66" t="s">
        <v>10014</v>
      </c>
      <c r="C8354" s="66" t="s">
        <v>4680</v>
      </c>
      <c r="D8354" s="11">
        <v>7106.4</v>
      </c>
      <c r="E8354" s="11">
        <v>7106.4</v>
      </c>
      <c r="F8354" s="3">
        <v>29263</v>
      </c>
      <c r="G8354" s="2"/>
      <c r="H8354" s="3">
        <v>43053</v>
      </c>
      <c r="I8354" s="2" t="s">
        <v>19506</v>
      </c>
      <c r="J8354" s="2" t="s">
        <v>13904</v>
      </c>
      <c r="K8354" s="2" t="s">
        <v>19219</v>
      </c>
      <c r="L8354" s="82" t="s">
        <v>19512</v>
      </c>
    </row>
    <row r="8355" spans="1:12" ht="96" customHeight="1" x14ac:dyDescent="0.3">
      <c r="A8355" s="2">
        <v>8351</v>
      </c>
      <c r="B8355" s="66" t="s">
        <v>10015</v>
      </c>
      <c r="C8355" s="66" t="s">
        <v>4893</v>
      </c>
      <c r="D8355" s="11">
        <v>5547</v>
      </c>
      <c r="E8355" s="11">
        <v>5547</v>
      </c>
      <c r="F8355" s="3">
        <v>29263</v>
      </c>
      <c r="G8355" s="2"/>
      <c r="H8355" s="3">
        <v>43053</v>
      </c>
      <c r="I8355" s="2" t="s">
        <v>19506</v>
      </c>
      <c r="J8355" s="2" t="s">
        <v>13904</v>
      </c>
      <c r="K8355" s="2" t="s">
        <v>19219</v>
      </c>
      <c r="L8355" s="82" t="s">
        <v>19512</v>
      </c>
    </row>
    <row r="8356" spans="1:12" ht="96" customHeight="1" x14ac:dyDescent="0.3">
      <c r="A8356" s="2">
        <v>8352</v>
      </c>
      <c r="B8356" s="66" t="s">
        <v>10016</v>
      </c>
      <c r="C8356" s="66" t="s">
        <v>4052</v>
      </c>
      <c r="D8356" s="11">
        <v>7099.2</v>
      </c>
      <c r="E8356" s="11">
        <v>7099.2</v>
      </c>
      <c r="F8356" s="3">
        <v>29263</v>
      </c>
      <c r="G8356" s="2"/>
      <c r="H8356" s="3">
        <v>43053</v>
      </c>
      <c r="I8356" s="2" t="s">
        <v>19506</v>
      </c>
      <c r="J8356" s="2" t="s">
        <v>13904</v>
      </c>
      <c r="K8356" s="2" t="s">
        <v>19219</v>
      </c>
      <c r="L8356" s="82" t="s">
        <v>19512</v>
      </c>
    </row>
    <row r="8357" spans="1:12" ht="96" customHeight="1" x14ac:dyDescent="0.3">
      <c r="A8357" s="2">
        <v>8353</v>
      </c>
      <c r="B8357" s="66" t="s">
        <v>10017</v>
      </c>
      <c r="C8357" s="66" t="s">
        <v>4108</v>
      </c>
      <c r="D8357" s="11">
        <v>6192</v>
      </c>
      <c r="E8357" s="11">
        <v>6192</v>
      </c>
      <c r="F8357" s="3">
        <v>29263</v>
      </c>
      <c r="G8357" s="2"/>
      <c r="H8357" s="3">
        <v>43053</v>
      </c>
      <c r="I8357" s="2" t="s">
        <v>19506</v>
      </c>
      <c r="J8357" s="2" t="s">
        <v>13904</v>
      </c>
      <c r="K8357" s="2" t="s">
        <v>19219</v>
      </c>
      <c r="L8357" s="82" t="s">
        <v>19512</v>
      </c>
    </row>
    <row r="8358" spans="1:12" ht="96" customHeight="1" x14ac:dyDescent="0.3">
      <c r="A8358" s="2">
        <v>8354</v>
      </c>
      <c r="B8358" s="66" t="s">
        <v>10018</v>
      </c>
      <c r="C8358" s="66" t="s">
        <v>3610</v>
      </c>
      <c r="D8358" s="11">
        <v>6408</v>
      </c>
      <c r="E8358" s="11">
        <v>6408</v>
      </c>
      <c r="F8358" s="3">
        <v>29263</v>
      </c>
      <c r="G8358" s="2"/>
      <c r="H8358" s="3">
        <v>43053</v>
      </c>
      <c r="I8358" s="2" t="s">
        <v>19506</v>
      </c>
      <c r="J8358" s="2" t="s">
        <v>13904</v>
      </c>
      <c r="K8358" s="2" t="s">
        <v>19219</v>
      </c>
      <c r="L8358" s="82" t="s">
        <v>19512</v>
      </c>
    </row>
    <row r="8359" spans="1:12" ht="96" customHeight="1" x14ac:dyDescent="0.3">
      <c r="A8359" s="2">
        <v>8355</v>
      </c>
      <c r="B8359" s="66" t="s">
        <v>10019</v>
      </c>
      <c r="C8359" s="66" t="s">
        <v>10020</v>
      </c>
      <c r="D8359" s="11">
        <v>5999</v>
      </c>
      <c r="E8359" s="11">
        <v>5999</v>
      </c>
      <c r="F8359" s="3">
        <v>39444</v>
      </c>
      <c r="G8359" s="2"/>
      <c r="H8359" s="3">
        <v>43053</v>
      </c>
      <c r="I8359" s="2" t="s">
        <v>19506</v>
      </c>
      <c r="J8359" s="2" t="s">
        <v>13904</v>
      </c>
      <c r="K8359" s="2" t="s">
        <v>19219</v>
      </c>
      <c r="L8359" s="82" t="s">
        <v>19512</v>
      </c>
    </row>
    <row r="8360" spans="1:12" ht="96" customHeight="1" x14ac:dyDescent="0.3">
      <c r="A8360" s="2">
        <v>8356</v>
      </c>
      <c r="B8360" s="66" t="s">
        <v>10021</v>
      </c>
      <c r="C8360" s="66" t="s">
        <v>10022</v>
      </c>
      <c r="D8360" s="11">
        <v>3600</v>
      </c>
      <c r="E8360" s="11">
        <v>3600</v>
      </c>
      <c r="F8360" s="3">
        <v>38888</v>
      </c>
      <c r="G8360" s="2"/>
      <c r="H8360" s="3">
        <v>43053</v>
      </c>
      <c r="I8360" s="2" t="s">
        <v>19506</v>
      </c>
      <c r="J8360" s="2" t="s">
        <v>13904</v>
      </c>
      <c r="K8360" s="2" t="s">
        <v>19219</v>
      </c>
      <c r="L8360" s="82" t="s">
        <v>19512</v>
      </c>
    </row>
    <row r="8361" spans="1:12" ht="96" customHeight="1" x14ac:dyDescent="0.3">
      <c r="A8361" s="2">
        <v>8357</v>
      </c>
      <c r="B8361" s="66" t="s">
        <v>10023</v>
      </c>
      <c r="C8361" s="66" t="s">
        <v>10024</v>
      </c>
      <c r="D8361" s="11">
        <v>5836.32</v>
      </c>
      <c r="E8361" s="11">
        <v>5836.32</v>
      </c>
      <c r="F8361" s="3">
        <v>32916</v>
      </c>
      <c r="G8361" s="2"/>
      <c r="H8361" s="3">
        <v>43053</v>
      </c>
      <c r="I8361" s="2" t="s">
        <v>19506</v>
      </c>
      <c r="J8361" s="2" t="s">
        <v>13904</v>
      </c>
      <c r="K8361" s="2" t="s">
        <v>19219</v>
      </c>
      <c r="L8361" s="82" t="s">
        <v>19512</v>
      </c>
    </row>
    <row r="8362" spans="1:12" ht="96" customHeight="1" x14ac:dyDescent="0.3">
      <c r="A8362" s="2">
        <v>8358</v>
      </c>
      <c r="B8362" s="66" t="s">
        <v>10025</v>
      </c>
      <c r="C8362" s="66" t="s">
        <v>10026</v>
      </c>
      <c r="D8362" s="11">
        <v>3972.5</v>
      </c>
      <c r="E8362" s="11">
        <v>3972.5</v>
      </c>
      <c r="F8362" s="3">
        <v>29263</v>
      </c>
      <c r="G8362" s="2"/>
      <c r="H8362" s="3">
        <v>43053</v>
      </c>
      <c r="I8362" s="2" t="s">
        <v>19506</v>
      </c>
      <c r="J8362" s="2" t="s">
        <v>13904</v>
      </c>
      <c r="K8362" s="2" t="s">
        <v>19219</v>
      </c>
      <c r="L8362" s="82" t="s">
        <v>19512</v>
      </c>
    </row>
    <row r="8363" spans="1:12" ht="96" customHeight="1" x14ac:dyDescent="0.3">
      <c r="A8363" s="2">
        <v>8359</v>
      </c>
      <c r="B8363" s="66" t="s">
        <v>10027</v>
      </c>
      <c r="C8363" s="66" t="s">
        <v>5564</v>
      </c>
      <c r="D8363" s="11">
        <v>6768</v>
      </c>
      <c r="E8363" s="11">
        <v>6768</v>
      </c>
      <c r="F8363" s="3">
        <v>35107</v>
      </c>
      <c r="G8363" s="2"/>
      <c r="H8363" s="3">
        <v>43053</v>
      </c>
      <c r="I8363" s="2" t="s">
        <v>19506</v>
      </c>
      <c r="J8363" s="2" t="s">
        <v>13904</v>
      </c>
      <c r="K8363" s="2" t="s">
        <v>19219</v>
      </c>
      <c r="L8363" s="82" t="s">
        <v>19512</v>
      </c>
    </row>
    <row r="8364" spans="1:12" ht="96" customHeight="1" x14ac:dyDescent="0.3">
      <c r="A8364" s="2">
        <v>8360</v>
      </c>
      <c r="B8364" s="66" t="s">
        <v>10028</v>
      </c>
      <c r="C8364" s="66" t="s">
        <v>10029</v>
      </c>
      <c r="D8364" s="11">
        <v>4000</v>
      </c>
      <c r="E8364" s="11">
        <v>4000</v>
      </c>
      <c r="F8364" s="3">
        <v>39721</v>
      </c>
      <c r="G8364" s="2"/>
      <c r="H8364" s="3">
        <v>43053</v>
      </c>
      <c r="I8364" s="2" t="s">
        <v>19506</v>
      </c>
      <c r="J8364" s="2" t="s">
        <v>13904</v>
      </c>
      <c r="K8364" s="2" t="s">
        <v>19219</v>
      </c>
      <c r="L8364" s="82" t="s">
        <v>19512</v>
      </c>
    </row>
    <row r="8365" spans="1:12" ht="96" customHeight="1" x14ac:dyDescent="0.3">
      <c r="A8365" s="2">
        <v>8361</v>
      </c>
      <c r="B8365" s="66" t="s">
        <v>5476</v>
      </c>
      <c r="C8365" s="66" t="s">
        <v>3400</v>
      </c>
      <c r="D8365" s="11">
        <v>32747.35</v>
      </c>
      <c r="E8365" s="11">
        <v>32747.35</v>
      </c>
      <c r="F8365" s="3">
        <v>39057</v>
      </c>
      <c r="G8365" s="2"/>
      <c r="H8365" s="3">
        <v>43053</v>
      </c>
      <c r="I8365" s="2" t="s">
        <v>19506</v>
      </c>
      <c r="J8365" s="2" t="s">
        <v>13904</v>
      </c>
      <c r="K8365" s="2" t="s">
        <v>19219</v>
      </c>
      <c r="L8365" s="82" t="s">
        <v>19512</v>
      </c>
    </row>
    <row r="8366" spans="1:12" ht="96" customHeight="1" x14ac:dyDescent="0.3">
      <c r="A8366" s="2">
        <v>8362</v>
      </c>
      <c r="B8366" s="66" t="s">
        <v>10030</v>
      </c>
      <c r="C8366" s="66" t="s">
        <v>10031</v>
      </c>
      <c r="D8366" s="11">
        <v>7990.2</v>
      </c>
      <c r="E8366" s="11">
        <v>7990.2</v>
      </c>
      <c r="F8366" s="3">
        <v>39076</v>
      </c>
      <c r="G8366" s="2"/>
      <c r="H8366" s="3">
        <v>43053</v>
      </c>
      <c r="I8366" s="2" t="s">
        <v>19506</v>
      </c>
      <c r="J8366" s="2" t="s">
        <v>13904</v>
      </c>
      <c r="K8366" s="2" t="s">
        <v>19219</v>
      </c>
      <c r="L8366" s="82" t="s">
        <v>19512</v>
      </c>
    </row>
    <row r="8367" spans="1:12" ht="96" customHeight="1" x14ac:dyDescent="0.3">
      <c r="A8367" s="2">
        <v>8363</v>
      </c>
      <c r="B8367" s="66" t="s">
        <v>10032</v>
      </c>
      <c r="C8367" s="66" t="s">
        <v>5551</v>
      </c>
      <c r="D8367" s="11">
        <v>5699</v>
      </c>
      <c r="E8367" s="11">
        <v>5699</v>
      </c>
      <c r="F8367" s="3">
        <v>39445</v>
      </c>
      <c r="G8367" s="2"/>
      <c r="H8367" s="3">
        <v>43053</v>
      </c>
      <c r="I8367" s="2" t="s">
        <v>19506</v>
      </c>
      <c r="J8367" s="2" t="s">
        <v>13904</v>
      </c>
      <c r="K8367" s="2" t="s">
        <v>19219</v>
      </c>
      <c r="L8367" s="82" t="s">
        <v>19512</v>
      </c>
    </row>
    <row r="8368" spans="1:12" ht="96" customHeight="1" x14ac:dyDescent="0.3">
      <c r="A8368" s="2">
        <v>8364</v>
      </c>
      <c r="B8368" s="66" t="s">
        <v>267</v>
      </c>
      <c r="C8368" s="66" t="s">
        <v>4563</v>
      </c>
      <c r="D8368" s="11">
        <v>4000.5</v>
      </c>
      <c r="E8368" s="11">
        <v>4000.5</v>
      </c>
      <c r="F8368" s="3">
        <v>33646</v>
      </c>
      <c r="G8368" s="2"/>
      <c r="H8368" s="3">
        <v>43053</v>
      </c>
      <c r="I8368" s="2" t="s">
        <v>19506</v>
      </c>
      <c r="J8368" s="2" t="s">
        <v>13904</v>
      </c>
      <c r="K8368" s="2" t="s">
        <v>19219</v>
      </c>
      <c r="L8368" s="82" t="s">
        <v>19512</v>
      </c>
    </row>
    <row r="8369" spans="1:12" ht="96" customHeight="1" x14ac:dyDescent="0.3">
      <c r="A8369" s="2">
        <v>8365</v>
      </c>
      <c r="B8369" s="66" t="s">
        <v>10033</v>
      </c>
      <c r="C8369" s="66" t="s">
        <v>4017</v>
      </c>
      <c r="D8369" s="11">
        <v>6666</v>
      </c>
      <c r="E8369" s="11">
        <v>6666</v>
      </c>
      <c r="F8369" s="3">
        <v>39436</v>
      </c>
      <c r="G8369" s="2"/>
      <c r="H8369" s="3">
        <v>43053</v>
      </c>
      <c r="I8369" s="2" t="s">
        <v>19506</v>
      </c>
      <c r="J8369" s="2" t="s">
        <v>13904</v>
      </c>
      <c r="K8369" s="2" t="s">
        <v>19219</v>
      </c>
      <c r="L8369" s="82" t="s">
        <v>19512</v>
      </c>
    </row>
    <row r="8370" spans="1:12" ht="96" customHeight="1" x14ac:dyDescent="0.3">
      <c r="A8370" s="2">
        <v>8366</v>
      </c>
      <c r="B8370" s="66" t="s">
        <v>4742</v>
      </c>
      <c r="C8370" s="66" t="s">
        <v>10034</v>
      </c>
      <c r="D8370" s="11">
        <v>30946.959999999999</v>
      </c>
      <c r="E8370" s="11">
        <v>30946.959999999999</v>
      </c>
      <c r="F8370" s="3">
        <v>39057</v>
      </c>
      <c r="G8370" s="2"/>
      <c r="H8370" s="3">
        <v>43053</v>
      </c>
      <c r="I8370" s="2" t="s">
        <v>19506</v>
      </c>
      <c r="J8370" s="2" t="s">
        <v>13904</v>
      </c>
      <c r="K8370" s="2" t="s">
        <v>19219</v>
      </c>
      <c r="L8370" s="82" t="s">
        <v>19512</v>
      </c>
    </row>
    <row r="8371" spans="1:12" ht="96" customHeight="1" x14ac:dyDescent="0.3">
      <c r="A8371" s="2">
        <v>8367</v>
      </c>
      <c r="B8371" s="66" t="s">
        <v>10035</v>
      </c>
      <c r="C8371" s="66" t="s">
        <v>3673</v>
      </c>
      <c r="D8371" s="11">
        <v>8804.4</v>
      </c>
      <c r="E8371" s="11">
        <v>8804.4</v>
      </c>
      <c r="F8371" s="3">
        <v>32916</v>
      </c>
      <c r="G8371" s="2"/>
      <c r="H8371" s="3">
        <v>43053</v>
      </c>
      <c r="I8371" s="2" t="s">
        <v>19506</v>
      </c>
      <c r="J8371" s="2" t="s">
        <v>13904</v>
      </c>
      <c r="K8371" s="2" t="s">
        <v>19219</v>
      </c>
      <c r="L8371" s="82" t="s">
        <v>19512</v>
      </c>
    </row>
    <row r="8372" spans="1:12" ht="96" customHeight="1" x14ac:dyDescent="0.3">
      <c r="A8372" s="2">
        <v>8368</v>
      </c>
      <c r="B8372" s="66" t="s">
        <v>222</v>
      </c>
      <c r="C8372" s="66" t="s">
        <v>3401</v>
      </c>
      <c r="D8372" s="11">
        <v>7010.75</v>
      </c>
      <c r="E8372" s="11">
        <v>7010.75</v>
      </c>
      <c r="F8372" s="3">
        <v>38701</v>
      </c>
      <c r="G8372" s="2"/>
      <c r="H8372" s="3">
        <v>43053</v>
      </c>
      <c r="I8372" s="2" t="s">
        <v>19506</v>
      </c>
      <c r="J8372" s="2" t="s">
        <v>13904</v>
      </c>
      <c r="K8372" s="2" t="s">
        <v>19219</v>
      </c>
      <c r="L8372" s="82" t="s">
        <v>19512</v>
      </c>
    </row>
    <row r="8373" spans="1:12" ht="96" customHeight="1" x14ac:dyDescent="0.3">
      <c r="A8373" s="2">
        <v>8369</v>
      </c>
      <c r="B8373" s="66" t="s">
        <v>10036</v>
      </c>
      <c r="C8373" s="66" t="s">
        <v>3204</v>
      </c>
      <c r="D8373" s="11">
        <v>11772.14</v>
      </c>
      <c r="E8373" s="11">
        <v>11772.14</v>
      </c>
      <c r="F8373" s="3">
        <v>36568</v>
      </c>
      <c r="G8373" s="2"/>
      <c r="H8373" s="3">
        <v>43053</v>
      </c>
      <c r="I8373" s="2" t="s">
        <v>19506</v>
      </c>
      <c r="J8373" s="2" t="s">
        <v>13904</v>
      </c>
      <c r="K8373" s="2" t="s">
        <v>19219</v>
      </c>
      <c r="L8373" s="82" t="s">
        <v>19512</v>
      </c>
    </row>
    <row r="8374" spans="1:12" ht="96" customHeight="1" x14ac:dyDescent="0.3">
      <c r="A8374" s="2">
        <v>8370</v>
      </c>
      <c r="B8374" s="66" t="s">
        <v>4057</v>
      </c>
      <c r="C8374" s="66" t="s">
        <v>3456</v>
      </c>
      <c r="D8374" s="11">
        <v>10875</v>
      </c>
      <c r="E8374" s="11">
        <v>10875</v>
      </c>
      <c r="F8374" s="3">
        <v>28437</v>
      </c>
      <c r="G8374" s="2"/>
      <c r="H8374" s="3">
        <v>43053</v>
      </c>
      <c r="I8374" s="2" t="s">
        <v>19506</v>
      </c>
      <c r="J8374" s="2" t="s">
        <v>13904</v>
      </c>
      <c r="K8374" s="2" t="s">
        <v>19219</v>
      </c>
      <c r="L8374" s="82" t="s">
        <v>19512</v>
      </c>
    </row>
    <row r="8375" spans="1:12" ht="96" customHeight="1" x14ac:dyDescent="0.3">
      <c r="A8375" s="2">
        <v>8371</v>
      </c>
      <c r="B8375" s="66" t="s">
        <v>10037</v>
      </c>
      <c r="C8375" s="66" t="s">
        <v>10038</v>
      </c>
      <c r="D8375" s="11">
        <v>42053</v>
      </c>
      <c r="E8375" s="11">
        <v>42053</v>
      </c>
      <c r="F8375" s="3">
        <v>39394</v>
      </c>
      <c r="G8375" s="2"/>
      <c r="H8375" s="3">
        <v>43053</v>
      </c>
      <c r="I8375" s="2" t="s">
        <v>19506</v>
      </c>
      <c r="J8375" s="2" t="s">
        <v>13904</v>
      </c>
      <c r="K8375" s="2" t="s">
        <v>19219</v>
      </c>
      <c r="L8375" s="82" t="s">
        <v>19512</v>
      </c>
    </row>
    <row r="8376" spans="1:12" ht="96" customHeight="1" x14ac:dyDescent="0.3">
      <c r="A8376" s="2">
        <v>8372</v>
      </c>
      <c r="B8376" s="66" t="s">
        <v>10039</v>
      </c>
      <c r="C8376" s="66" t="s">
        <v>10040</v>
      </c>
      <c r="D8376" s="11">
        <v>42053</v>
      </c>
      <c r="E8376" s="11">
        <v>42053</v>
      </c>
      <c r="F8376" s="3">
        <v>39394</v>
      </c>
      <c r="G8376" s="2"/>
      <c r="H8376" s="3">
        <v>43053</v>
      </c>
      <c r="I8376" s="2" t="s">
        <v>19506</v>
      </c>
      <c r="J8376" s="2" t="s">
        <v>13904</v>
      </c>
      <c r="K8376" s="2" t="s">
        <v>19219</v>
      </c>
      <c r="L8376" s="82" t="s">
        <v>19512</v>
      </c>
    </row>
    <row r="8377" spans="1:12" ht="96" customHeight="1" x14ac:dyDescent="0.3">
      <c r="A8377" s="2">
        <v>8373</v>
      </c>
      <c r="B8377" s="66" t="s">
        <v>10041</v>
      </c>
      <c r="C8377" s="66" t="s">
        <v>10042</v>
      </c>
      <c r="D8377" s="11">
        <v>42053</v>
      </c>
      <c r="E8377" s="11">
        <v>42053</v>
      </c>
      <c r="F8377" s="3">
        <v>39394</v>
      </c>
      <c r="G8377" s="2"/>
      <c r="H8377" s="3">
        <v>43053</v>
      </c>
      <c r="I8377" s="2" t="s">
        <v>19506</v>
      </c>
      <c r="J8377" s="2" t="s">
        <v>13904</v>
      </c>
      <c r="K8377" s="2" t="s">
        <v>19219</v>
      </c>
      <c r="L8377" s="82" t="s">
        <v>19512</v>
      </c>
    </row>
    <row r="8378" spans="1:12" ht="96" customHeight="1" x14ac:dyDescent="0.3">
      <c r="A8378" s="2">
        <v>8374</v>
      </c>
      <c r="B8378" s="66" t="s">
        <v>10041</v>
      </c>
      <c r="C8378" s="66" t="s">
        <v>9736</v>
      </c>
      <c r="D8378" s="11">
        <v>42053</v>
      </c>
      <c r="E8378" s="11">
        <v>42053</v>
      </c>
      <c r="F8378" s="3">
        <v>39394</v>
      </c>
      <c r="G8378" s="2"/>
      <c r="H8378" s="3">
        <v>43053</v>
      </c>
      <c r="I8378" s="2" t="s">
        <v>19506</v>
      </c>
      <c r="J8378" s="2" t="s">
        <v>13904</v>
      </c>
      <c r="K8378" s="2" t="s">
        <v>19219</v>
      </c>
      <c r="L8378" s="82" t="s">
        <v>19512</v>
      </c>
    </row>
    <row r="8379" spans="1:12" ht="96" customHeight="1" x14ac:dyDescent="0.3">
      <c r="A8379" s="2">
        <v>8375</v>
      </c>
      <c r="B8379" s="66" t="s">
        <v>10041</v>
      </c>
      <c r="C8379" s="66" t="s">
        <v>10043</v>
      </c>
      <c r="D8379" s="11">
        <v>42055.97</v>
      </c>
      <c r="E8379" s="11">
        <v>42055.97</v>
      </c>
      <c r="F8379" s="3">
        <v>39394</v>
      </c>
      <c r="G8379" s="2"/>
      <c r="H8379" s="3">
        <v>43053</v>
      </c>
      <c r="I8379" s="2" t="s">
        <v>19506</v>
      </c>
      <c r="J8379" s="2" t="s">
        <v>13904</v>
      </c>
      <c r="K8379" s="2" t="s">
        <v>19219</v>
      </c>
      <c r="L8379" s="82" t="s">
        <v>19512</v>
      </c>
    </row>
    <row r="8380" spans="1:12" ht="96" customHeight="1" x14ac:dyDescent="0.3">
      <c r="A8380" s="2">
        <v>8376</v>
      </c>
      <c r="B8380" s="66" t="s">
        <v>10041</v>
      </c>
      <c r="C8380" s="66" t="s">
        <v>10044</v>
      </c>
      <c r="D8380" s="11">
        <v>42053</v>
      </c>
      <c r="E8380" s="11">
        <v>42053</v>
      </c>
      <c r="F8380" s="3">
        <v>39394</v>
      </c>
      <c r="G8380" s="2"/>
      <c r="H8380" s="3">
        <v>43053</v>
      </c>
      <c r="I8380" s="2" t="s">
        <v>19506</v>
      </c>
      <c r="J8380" s="2" t="s">
        <v>13904</v>
      </c>
      <c r="K8380" s="2" t="s">
        <v>19219</v>
      </c>
      <c r="L8380" s="82" t="s">
        <v>19512</v>
      </c>
    </row>
    <row r="8381" spans="1:12" ht="96" customHeight="1" x14ac:dyDescent="0.3">
      <c r="A8381" s="2">
        <v>8377</v>
      </c>
      <c r="B8381" s="66" t="s">
        <v>10041</v>
      </c>
      <c r="C8381" s="66" t="s">
        <v>10045</v>
      </c>
      <c r="D8381" s="11">
        <v>42053</v>
      </c>
      <c r="E8381" s="11">
        <v>42053</v>
      </c>
      <c r="F8381" s="3">
        <v>39394</v>
      </c>
      <c r="G8381" s="2"/>
      <c r="H8381" s="3">
        <v>43053</v>
      </c>
      <c r="I8381" s="2" t="s">
        <v>19506</v>
      </c>
      <c r="J8381" s="2" t="s">
        <v>13904</v>
      </c>
      <c r="K8381" s="2" t="s">
        <v>19219</v>
      </c>
      <c r="L8381" s="82" t="s">
        <v>19512</v>
      </c>
    </row>
    <row r="8382" spans="1:12" ht="96" customHeight="1" x14ac:dyDescent="0.3">
      <c r="A8382" s="2">
        <v>8378</v>
      </c>
      <c r="B8382" s="66" t="s">
        <v>10041</v>
      </c>
      <c r="C8382" s="66" t="s">
        <v>10046</v>
      </c>
      <c r="D8382" s="11">
        <v>42053</v>
      </c>
      <c r="E8382" s="11">
        <v>42053</v>
      </c>
      <c r="F8382" s="3">
        <v>39394</v>
      </c>
      <c r="G8382" s="2"/>
      <c r="H8382" s="3">
        <v>43053</v>
      </c>
      <c r="I8382" s="2" t="s">
        <v>19506</v>
      </c>
      <c r="J8382" s="2" t="s">
        <v>13904</v>
      </c>
      <c r="K8382" s="2" t="s">
        <v>19219</v>
      </c>
      <c r="L8382" s="82" t="s">
        <v>19512</v>
      </c>
    </row>
    <row r="8383" spans="1:12" ht="96" customHeight="1" x14ac:dyDescent="0.3">
      <c r="A8383" s="2">
        <v>8379</v>
      </c>
      <c r="B8383" s="66" t="s">
        <v>10047</v>
      </c>
      <c r="C8383" s="66" t="s">
        <v>10048</v>
      </c>
      <c r="D8383" s="11">
        <v>42053</v>
      </c>
      <c r="E8383" s="11">
        <v>42053</v>
      </c>
      <c r="F8383" s="3">
        <v>39394</v>
      </c>
      <c r="G8383" s="2"/>
      <c r="H8383" s="3">
        <v>43053</v>
      </c>
      <c r="I8383" s="2" t="s">
        <v>19506</v>
      </c>
      <c r="J8383" s="2" t="s">
        <v>13904</v>
      </c>
      <c r="K8383" s="2" t="s">
        <v>19219</v>
      </c>
      <c r="L8383" s="82" t="s">
        <v>19512</v>
      </c>
    </row>
    <row r="8384" spans="1:12" ht="96" customHeight="1" x14ac:dyDescent="0.3">
      <c r="A8384" s="2">
        <v>8380</v>
      </c>
      <c r="B8384" s="66" t="s">
        <v>3687</v>
      </c>
      <c r="C8384" s="66" t="s">
        <v>3776</v>
      </c>
      <c r="D8384" s="11">
        <v>19410.599999999999</v>
      </c>
      <c r="E8384" s="11">
        <v>19410.599999999999</v>
      </c>
      <c r="F8384" s="3">
        <v>38729</v>
      </c>
      <c r="G8384" s="2"/>
      <c r="H8384" s="3">
        <v>43053</v>
      </c>
      <c r="I8384" s="2" t="s">
        <v>19506</v>
      </c>
      <c r="J8384" s="2" t="s">
        <v>13904</v>
      </c>
      <c r="K8384" s="2" t="s">
        <v>19219</v>
      </c>
      <c r="L8384" s="82" t="s">
        <v>19512</v>
      </c>
    </row>
    <row r="8385" spans="1:12" ht="96" customHeight="1" x14ac:dyDescent="0.3">
      <c r="A8385" s="2">
        <v>8381</v>
      </c>
      <c r="B8385" s="66" t="s">
        <v>10049</v>
      </c>
      <c r="C8385" s="66" t="s">
        <v>10050</v>
      </c>
      <c r="D8385" s="11">
        <v>12950</v>
      </c>
      <c r="E8385" s="11">
        <v>12950</v>
      </c>
      <c r="F8385" s="3">
        <v>39888</v>
      </c>
      <c r="G8385" s="2"/>
      <c r="H8385" s="3">
        <v>43053</v>
      </c>
      <c r="I8385" s="2" t="s">
        <v>19506</v>
      </c>
      <c r="J8385" s="2" t="s">
        <v>13904</v>
      </c>
      <c r="K8385" s="2" t="s">
        <v>19219</v>
      </c>
      <c r="L8385" s="82" t="s">
        <v>19512</v>
      </c>
    </row>
    <row r="8386" spans="1:12" ht="96" customHeight="1" x14ac:dyDescent="0.3">
      <c r="A8386" s="2">
        <v>8382</v>
      </c>
      <c r="B8386" s="66" t="s">
        <v>222</v>
      </c>
      <c r="C8386" s="66" t="s">
        <v>10051</v>
      </c>
      <c r="D8386" s="11">
        <v>7779.25</v>
      </c>
      <c r="E8386" s="11">
        <v>7779.25</v>
      </c>
      <c r="F8386" s="3">
        <v>36566</v>
      </c>
      <c r="G8386" s="2"/>
      <c r="H8386" s="3">
        <v>43053</v>
      </c>
      <c r="I8386" s="2" t="s">
        <v>19506</v>
      </c>
      <c r="J8386" s="2" t="s">
        <v>13904</v>
      </c>
      <c r="K8386" s="2" t="s">
        <v>19219</v>
      </c>
      <c r="L8386" s="82" t="s">
        <v>19512</v>
      </c>
    </row>
    <row r="8387" spans="1:12" ht="96" customHeight="1" x14ac:dyDescent="0.3">
      <c r="A8387" s="2">
        <v>8383</v>
      </c>
      <c r="B8387" s="66" t="s">
        <v>222</v>
      </c>
      <c r="C8387" s="66" t="s">
        <v>10052</v>
      </c>
      <c r="D8387" s="11">
        <v>7010.75</v>
      </c>
      <c r="E8387" s="11">
        <v>7010.75</v>
      </c>
      <c r="F8387" s="3">
        <v>36566</v>
      </c>
      <c r="G8387" s="2"/>
      <c r="H8387" s="3">
        <v>43053</v>
      </c>
      <c r="I8387" s="2" t="s">
        <v>19506</v>
      </c>
      <c r="J8387" s="2" t="s">
        <v>13904</v>
      </c>
      <c r="K8387" s="2" t="s">
        <v>19219</v>
      </c>
      <c r="L8387" s="82" t="s">
        <v>19512</v>
      </c>
    </row>
    <row r="8388" spans="1:12" ht="96" customHeight="1" x14ac:dyDescent="0.3">
      <c r="A8388" s="2">
        <v>8384</v>
      </c>
      <c r="B8388" s="66" t="s">
        <v>222</v>
      </c>
      <c r="C8388" s="66" t="s">
        <v>10053</v>
      </c>
      <c r="D8388" s="11">
        <v>7010.75</v>
      </c>
      <c r="E8388" s="11">
        <v>7010.75</v>
      </c>
      <c r="F8388" s="3">
        <v>36566</v>
      </c>
      <c r="G8388" s="2"/>
      <c r="H8388" s="3">
        <v>43053</v>
      </c>
      <c r="I8388" s="2" t="s">
        <v>19506</v>
      </c>
      <c r="J8388" s="2" t="s">
        <v>13904</v>
      </c>
      <c r="K8388" s="2" t="s">
        <v>19219</v>
      </c>
      <c r="L8388" s="82" t="s">
        <v>19512</v>
      </c>
    </row>
    <row r="8389" spans="1:12" ht="96" customHeight="1" x14ac:dyDescent="0.3">
      <c r="A8389" s="2">
        <v>8385</v>
      </c>
      <c r="B8389" s="66" t="s">
        <v>222</v>
      </c>
      <c r="C8389" s="66" t="s">
        <v>10054</v>
      </c>
      <c r="D8389" s="11">
        <v>7010.75</v>
      </c>
      <c r="E8389" s="11">
        <v>7010.75</v>
      </c>
      <c r="F8389" s="3">
        <v>36566</v>
      </c>
      <c r="G8389" s="2"/>
      <c r="H8389" s="3">
        <v>43053</v>
      </c>
      <c r="I8389" s="2" t="s">
        <v>19506</v>
      </c>
      <c r="J8389" s="2" t="s">
        <v>13904</v>
      </c>
      <c r="K8389" s="2" t="s">
        <v>19219</v>
      </c>
      <c r="L8389" s="82" t="s">
        <v>19512</v>
      </c>
    </row>
    <row r="8390" spans="1:12" ht="96" customHeight="1" x14ac:dyDescent="0.3">
      <c r="A8390" s="2">
        <v>8386</v>
      </c>
      <c r="B8390" s="66" t="s">
        <v>10055</v>
      </c>
      <c r="C8390" s="66" t="s">
        <v>10056</v>
      </c>
      <c r="D8390" s="11">
        <v>10828.6</v>
      </c>
      <c r="E8390" s="11">
        <v>10828.6</v>
      </c>
      <c r="F8390" s="3">
        <v>36566</v>
      </c>
      <c r="G8390" s="2"/>
      <c r="H8390" s="3">
        <v>43053</v>
      </c>
      <c r="I8390" s="2" t="s">
        <v>19506</v>
      </c>
      <c r="J8390" s="2" t="s">
        <v>13904</v>
      </c>
      <c r="K8390" s="2" t="s">
        <v>19219</v>
      </c>
      <c r="L8390" s="82" t="s">
        <v>19512</v>
      </c>
    </row>
    <row r="8391" spans="1:12" ht="96" customHeight="1" x14ac:dyDescent="0.3">
      <c r="A8391" s="2">
        <v>8387</v>
      </c>
      <c r="B8391" s="66" t="s">
        <v>10057</v>
      </c>
      <c r="C8391" s="66" t="s">
        <v>4007</v>
      </c>
      <c r="D8391" s="11">
        <v>12151.26</v>
      </c>
      <c r="E8391" s="11">
        <v>12151.26</v>
      </c>
      <c r="F8391" s="3">
        <v>38729</v>
      </c>
      <c r="G8391" s="2"/>
      <c r="H8391" s="3">
        <v>43053</v>
      </c>
      <c r="I8391" s="2" t="s">
        <v>19506</v>
      </c>
      <c r="J8391" s="2" t="s">
        <v>13904</v>
      </c>
      <c r="K8391" s="2" t="s">
        <v>19219</v>
      </c>
      <c r="L8391" s="82" t="s">
        <v>19512</v>
      </c>
    </row>
    <row r="8392" spans="1:12" ht="96" customHeight="1" x14ac:dyDescent="0.3">
      <c r="A8392" s="2">
        <v>8388</v>
      </c>
      <c r="B8392" s="66" t="s">
        <v>10058</v>
      </c>
      <c r="C8392" s="66" t="s">
        <v>3951</v>
      </c>
      <c r="D8392" s="11">
        <v>30256.26</v>
      </c>
      <c r="E8392" s="11">
        <v>30256.26</v>
      </c>
      <c r="F8392" s="3">
        <v>38729</v>
      </c>
      <c r="G8392" s="2"/>
      <c r="H8392" s="3">
        <v>43053</v>
      </c>
      <c r="I8392" s="2" t="s">
        <v>19506</v>
      </c>
      <c r="J8392" s="2" t="s">
        <v>13904</v>
      </c>
      <c r="K8392" s="2" t="s">
        <v>19219</v>
      </c>
      <c r="L8392" s="82" t="s">
        <v>19512</v>
      </c>
    </row>
    <row r="8393" spans="1:12" ht="96" customHeight="1" x14ac:dyDescent="0.3">
      <c r="A8393" s="2">
        <v>8389</v>
      </c>
      <c r="B8393" s="66" t="s">
        <v>5481</v>
      </c>
      <c r="C8393" s="66" t="s">
        <v>3934</v>
      </c>
      <c r="D8393" s="11">
        <v>32480.880000000001</v>
      </c>
      <c r="E8393" s="11">
        <v>32480.880000000001</v>
      </c>
      <c r="F8393" s="3">
        <v>38729</v>
      </c>
      <c r="G8393" s="2"/>
      <c r="H8393" s="3">
        <v>43053</v>
      </c>
      <c r="I8393" s="2" t="s">
        <v>19506</v>
      </c>
      <c r="J8393" s="2" t="s">
        <v>13904</v>
      </c>
      <c r="K8393" s="2" t="s">
        <v>19219</v>
      </c>
      <c r="L8393" s="82" t="s">
        <v>19512</v>
      </c>
    </row>
    <row r="8394" spans="1:12" ht="96" customHeight="1" x14ac:dyDescent="0.3">
      <c r="A8394" s="2">
        <v>8390</v>
      </c>
      <c r="B8394" s="66" t="s">
        <v>4926</v>
      </c>
      <c r="C8394" s="66" t="s">
        <v>3948</v>
      </c>
      <c r="D8394" s="11">
        <v>11222.04</v>
      </c>
      <c r="E8394" s="11">
        <v>11222.04</v>
      </c>
      <c r="F8394" s="3">
        <v>38729</v>
      </c>
      <c r="G8394" s="2"/>
      <c r="H8394" s="3">
        <v>43053</v>
      </c>
      <c r="I8394" s="2" t="s">
        <v>19506</v>
      </c>
      <c r="J8394" s="2" t="s">
        <v>13904</v>
      </c>
      <c r="K8394" s="2" t="s">
        <v>19219</v>
      </c>
      <c r="L8394" s="82" t="s">
        <v>19512</v>
      </c>
    </row>
    <row r="8395" spans="1:12" ht="96" customHeight="1" x14ac:dyDescent="0.3">
      <c r="A8395" s="2">
        <v>8391</v>
      </c>
      <c r="B8395" s="66" t="s">
        <v>4926</v>
      </c>
      <c r="C8395" s="66" t="s">
        <v>4886</v>
      </c>
      <c r="D8395" s="11">
        <v>11222.04</v>
      </c>
      <c r="E8395" s="11">
        <v>11222.04</v>
      </c>
      <c r="F8395" s="3">
        <v>38729</v>
      </c>
      <c r="G8395" s="2"/>
      <c r="H8395" s="3">
        <v>43053</v>
      </c>
      <c r="I8395" s="2" t="s">
        <v>19506</v>
      </c>
      <c r="J8395" s="2" t="s">
        <v>13904</v>
      </c>
      <c r="K8395" s="2" t="s">
        <v>19219</v>
      </c>
      <c r="L8395" s="82" t="s">
        <v>19512</v>
      </c>
    </row>
    <row r="8396" spans="1:12" ht="96" customHeight="1" x14ac:dyDescent="0.3">
      <c r="A8396" s="2">
        <v>8392</v>
      </c>
      <c r="B8396" s="66" t="s">
        <v>4926</v>
      </c>
      <c r="C8396" s="66" t="s">
        <v>3774</v>
      </c>
      <c r="D8396" s="11">
        <v>11222.04</v>
      </c>
      <c r="E8396" s="11">
        <v>11222.04</v>
      </c>
      <c r="F8396" s="3">
        <v>38729</v>
      </c>
      <c r="G8396" s="2"/>
      <c r="H8396" s="3">
        <v>43053</v>
      </c>
      <c r="I8396" s="2" t="s">
        <v>19506</v>
      </c>
      <c r="J8396" s="2" t="s">
        <v>13904</v>
      </c>
      <c r="K8396" s="2" t="s">
        <v>19219</v>
      </c>
      <c r="L8396" s="82" t="s">
        <v>19512</v>
      </c>
    </row>
    <row r="8397" spans="1:12" ht="96" customHeight="1" x14ac:dyDescent="0.3">
      <c r="A8397" s="2">
        <v>8393</v>
      </c>
      <c r="B8397" s="66" t="s">
        <v>10059</v>
      </c>
      <c r="C8397" s="66" t="s">
        <v>4927</v>
      </c>
      <c r="D8397" s="11">
        <v>11222.04</v>
      </c>
      <c r="E8397" s="11">
        <v>11222.04</v>
      </c>
      <c r="F8397" s="3">
        <v>38729</v>
      </c>
      <c r="G8397" s="2"/>
      <c r="H8397" s="3">
        <v>43053</v>
      </c>
      <c r="I8397" s="2" t="s">
        <v>19506</v>
      </c>
      <c r="J8397" s="2" t="s">
        <v>13904</v>
      </c>
      <c r="K8397" s="2" t="s">
        <v>19219</v>
      </c>
      <c r="L8397" s="82" t="s">
        <v>19512</v>
      </c>
    </row>
    <row r="8398" spans="1:12" ht="96" customHeight="1" x14ac:dyDescent="0.3">
      <c r="A8398" s="2">
        <v>8394</v>
      </c>
      <c r="B8398" s="66" t="s">
        <v>4057</v>
      </c>
      <c r="C8398" s="66" t="s">
        <v>4997</v>
      </c>
      <c r="D8398" s="11">
        <v>7779.25</v>
      </c>
      <c r="E8398" s="11">
        <v>7779.25</v>
      </c>
      <c r="F8398" s="3">
        <v>36566</v>
      </c>
      <c r="G8398" s="2"/>
      <c r="H8398" s="3">
        <v>43053</v>
      </c>
      <c r="I8398" s="2" t="s">
        <v>19506</v>
      </c>
      <c r="J8398" s="2" t="s">
        <v>13904</v>
      </c>
      <c r="K8398" s="2" t="s">
        <v>19219</v>
      </c>
      <c r="L8398" s="82" t="s">
        <v>19512</v>
      </c>
    </row>
    <row r="8399" spans="1:12" ht="96" customHeight="1" x14ac:dyDescent="0.3">
      <c r="A8399" s="2">
        <v>8395</v>
      </c>
      <c r="B8399" s="66" t="s">
        <v>10055</v>
      </c>
      <c r="C8399" s="66" t="s">
        <v>4578</v>
      </c>
      <c r="D8399" s="11">
        <v>7996.75</v>
      </c>
      <c r="E8399" s="11">
        <v>7996.75</v>
      </c>
      <c r="F8399" s="3">
        <v>36566</v>
      </c>
      <c r="G8399" s="2"/>
      <c r="H8399" s="3">
        <v>43053</v>
      </c>
      <c r="I8399" s="2" t="s">
        <v>19506</v>
      </c>
      <c r="J8399" s="2" t="s">
        <v>13904</v>
      </c>
      <c r="K8399" s="2" t="s">
        <v>19219</v>
      </c>
      <c r="L8399" s="82" t="s">
        <v>19512</v>
      </c>
    </row>
    <row r="8400" spans="1:12" ht="96" customHeight="1" x14ac:dyDescent="0.3">
      <c r="A8400" s="2">
        <v>8396</v>
      </c>
      <c r="B8400" s="66" t="s">
        <v>10060</v>
      </c>
      <c r="C8400" s="66" t="s">
        <v>4012</v>
      </c>
      <c r="D8400" s="11">
        <v>8400</v>
      </c>
      <c r="E8400" s="11">
        <v>8400</v>
      </c>
      <c r="F8400" s="3">
        <v>39394</v>
      </c>
      <c r="G8400" s="2"/>
      <c r="H8400" s="3">
        <v>43053</v>
      </c>
      <c r="I8400" s="2" t="s">
        <v>19506</v>
      </c>
      <c r="J8400" s="2" t="s">
        <v>13904</v>
      </c>
      <c r="K8400" s="2" t="s">
        <v>19219</v>
      </c>
      <c r="L8400" s="82" t="s">
        <v>19512</v>
      </c>
    </row>
    <row r="8401" spans="1:12" ht="96" customHeight="1" x14ac:dyDescent="0.3">
      <c r="A8401" s="2">
        <v>8397</v>
      </c>
      <c r="B8401" s="66" t="s">
        <v>3687</v>
      </c>
      <c r="C8401" s="66" t="s">
        <v>3198</v>
      </c>
      <c r="D8401" s="11">
        <v>19410.599999999999</v>
      </c>
      <c r="E8401" s="11">
        <v>19410.599999999999</v>
      </c>
      <c r="F8401" s="3">
        <v>38729</v>
      </c>
      <c r="G8401" s="2"/>
      <c r="H8401" s="3">
        <v>43053</v>
      </c>
      <c r="I8401" s="2" t="s">
        <v>19506</v>
      </c>
      <c r="J8401" s="2" t="s">
        <v>13904</v>
      </c>
      <c r="K8401" s="2" t="s">
        <v>19219</v>
      </c>
      <c r="L8401" s="82" t="s">
        <v>19512</v>
      </c>
    </row>
    <row r="8402" spans="1:12" ht="96" customHeight="1" x14ac:dyDescent="0.3">
      <c r="A8402" s="2">
        <v>8398</v>
      </c>
      <c r="B8402" s="66" t="s">
        <v>10061</v>
      </c>
      <c r="C8402" s="66" t="s">
        <v>10062</v>
      </c>
      <c r="D8402" s="11">
        <v>6666</v>
      </c>
      <c r="E8402" s="11">
        <v>6666</v>
      </c>
      <c r="F8402" s="3">
        <v>39436</v>
      </c>
      <c r="G8402" s="2"/>
      <c r="H8402" s="3">
        <v>43053</v>
      </c>
      <c r="I8402" s="2" t="s">
        <v>19506</v>
      </c>
      <c r="J8402" s="2" t="s">
        <v>13904</v>
      </c>
      <c r="K8402" s="2" t="s">
        <v>19219</v>
      </c>
      <c r="L8402" s="82" t="s">
        <v>19512</v>
      </c>
    </row>
    <row r="8403" spans="1:12" ht="96" customHeight="1" x14ac:dyDescent="0.3">
      <c r="A8403" s="2">
        <v>8399</v>
      </c>
      <c r="B8403" s="66" t="s">
        <v>2899</v>
      </c>
      <c r="C8403" s="66" t="s">
        <v>3353</v>
      </c>
      <c r="D8403" s="11">
        <v>6450</v>
      </c>
      <c r="E8403" s="11">
        <v>6450</v>
      </c>
      <c r="F8403" s="3">
        <v>29263</v>
      </c>
      <c r="G8403" s="2"/>
      <c r="H8403" s="3">
        <v>43053</v>
      </c>
      <c r="I8403" s="2" t="s">
        <v>19506</v>
      </c>
      <c r="J8403" s="2" t="s">
        <v>13904</v>
      </c>
      <c r="K8403" s="2" t="s">
        <v>19219</v>
      </c>
      <c r="L8403" s="82" t="s">
        <v>19512</v>
      </c>
    </row>
    <row r="8404" spans="1:12" ht="96" customHeight="1" x14ac:dyDescent="0.3">
      <c r="A8404" s="2">
        <v>8400</v>
      </c>
      <c r="B8404" s="66" t="s">
        <v>10063</v>
      </c>
      <c r="C8404" s="66" t="s">
        <v>10064</v>
      </c>
      <c r="D8404" s="11">
        <v>19010</v>
      </c>
      <c r="E8404" s="11">
        <v>19010</v>
      </c>
      <c r="F8404" s="3">
        <v>41099</v>
      </c>
      <c r="G8404" s="2"/>
      <c r="H8404" s="3">
        <v>43053</v>
      </c>
      <c r="I8404" s="2" t="s">
        <v>19506</v>
      </c>
      <c r="J8404" s="2" t="s">
        <v>13904</v>
      </c>
      <c r="K8404" s="2" t="s">
        <v>19219</v>
      </c>
      <c r="L8404" s="82" t="s">
        <v>19512</v>
      </c>
    </row>
    <row r="8405" spans="1:12" ht="96" customHeight="1" x14ac:dyDescent="0.3">
      <c r="A8405" s="2">
        <v>8401</v>
      </c>
      <c r="B8405" s="66" t="s">
        <v>10063</v>
      </c>
      <c r="C8405" s="66" t="s">
        <v>10065</v>
      </c>
      <c r="D8405" s="11">
        <v>19010</v>
      </c>
      <c r="E8405" s="11">
        <v>19010</v>
      </c>
      <c r="F8405" s="3">
        <v>41099</v>
      </c>
      <c r="G8405" s="2"/>
      <c r="H8405" s="3">
        <v>43053</v>
      </c>
      <c r="I8405" s="2" t="s">
        <v>19506</v>
      </c>
      <c r="J8405" s="2" t="s">
        <v>13904</v>
      </c>
      <c r="K8405" s="2" t="s">
        <v>19219</v>
      </c>
      <c r="L8405" s="82" t="s">
        <v>19512</v>
      </c>
    </row>
    <row r="8406" spans="1:12" ht="96" customHeight="1" x14ac:dyDescent="0.3">
      <c r="A8406" s="2">
        <v>8402</v>
      </c>
      <c r="B8406" s="66" t="s">
        <v>10066</v>
      </c>
      <c r="C8406" s="66" t="s">
        <v>10067</v>
      </c>
      <c r="D8406" s="11">
        <v>3857</v>
      </c>
      <c r="E8406" s="11">
        <v>3857</v>
      </c>
      <c r="F8406" s="3">
        <v>39630</v>
      </c>
      <c r="G8406" s="2"/>
      <c r="H8406" s="3">
        <v>43053</v>
      </c>
      <c r="I8406" s="2" t="s">
        <v>19506</v>
      </c>
      <c r="J8406" s="2" t="s">
        <v>13904</v>
      </c>
      <c r="K8406" s="2" t="s">
        <v>19219</v>
      </c>
      <c r="L8406" s="82" t="s">
        <v>19512</v>
      </c>
    </row>
    <row r="8407" spans="1:12" ht="96" customHeight="1" x14ac:dyDescent="0.3">
      <c r="A8407" s="2">
        <v>8403</v>
      </c>
      <c r="B8407" s="66" t="s">
        <v>10033</v>
      </c>
      <c r="C8407" s="66" t="s">
        <v>10068</v>
      </c>
      <c r="D8407" s="11">
        <v>6666</v>
      </c>
      <c r="E8407" s="11">
        <v>6666</v>
      </c>
      <c r="F8407" s="3">
        <v>39436</v>
      </c>
      <c r="G8407" s="2"/>
      <c r="H8407" s="3">
        <v>43053</v>
      </c>
      <c r="I8407" s="2" t="s">
        <v>19506</v>
      </c>
      <c r="J8407" s="2" t="s">
        <v>13904</v>
      </c>
      <c r="K8407" s="2" t="s">
        <v>19219</v>
      </c>
      <c r="L8407" s="82" t="s">
        <v>19512</v>
      </c>
    </row>
    <row r="8408" spans="1:12" ht="96" customHeight="1" x14ac:dyDescent="0.3">
      <c r="A8408" s="2">
        <v>8404</v>
      </c>
      <c r="B8408" s="66" t="s">
        <v>10069</v>
      </c>
      <c r="C8408" s="66" t="s">
        <v>10070</v>
      </c>
      <c r="D8408" s="11">
        <v>6621</v>
      </c>
      <c r="E8408" s="11">
        <v>6621</v>
      </c>
      <c r="F8408" s="3">
        <v>41848</v>
      </c>
      <c r="G8408" s="2"/>
      <c r="H8408" s="3">
        <v>43053</v>
      </c>
      <c r="I8408" s="2" t="s">
        <v>19506</v>
      </c>
      <c r="J8408" s="2" t="s">
        <v>13904</v>
      </c>
      <c r="K8408" s="2" t="s">
        <v>19219</v>
      </c>
      <c r="L8408" s="82" t="s">
        <v>19512</v>
      </c>
    </row>
    <row r="8409" spans="1:12" ht="96" customHeight="1" x14ac:dyDescent="0.3">
      <c r="A8409" s="2">
        <v>8405</v>
      </c>
      <c r="B8409" s="66" t="s">
        <v>10071</v>
      </c>
      <c r="C8409" s="66" t="s">
        <v>5056</v>
      </c>
      <c r="D8409" s="11">
        <v>5200</v>
      </c>
      <c r="E8409" s="11">
        <v>5200</v>
      </c>
      <c r="F8409" s="3">
        <v>41584</v>
      </c>
      <c r="G8409" s="2"/>
      <c r="H8409" s="3">
        <v>43053</v>
      </c>
      <c r="I8409" s="2" t="s">
        <v>19506</v>
      </c>
      <c r="J8409" s="2" t="s">
        <v>13904</v>
      </c>
      <c r="K8409" s="2" t="s">
        <v>19219</v>
      </c>
      <c r="L8409" s="82" t="s">
        <v>19512</v>
      </c>
    </row>
    <row r="8410" spans="1:12" ht="96" customHeight="1" x14ac:dyDescent="0.3">
      <c r="A8410" s="2">
        <v>8406</v>
      </c>
      <c r="B8410" s="66" t="s">
        <v>5020</v>
      </c>
      <c r="C8410" s="66" t="s">
        <v>10072</v>
      </c>
      <c r="D8410" s="11">
        <v>33300</v>
      </c>
      <c r="E8410" s="11">
        <v>33300</v>
      </c>
      <c r="F8410" s="3">
        <v>41619</v>
      </c>
      <c r="G8410" s="2"/>
      <c r="H8410" s="3">
        <v>43053</v>
      </c>
      <c r="I8410" s="2" t="s">
        <v>19506</v>
      </c>
      <c r="J8410" s="2" t="s">
        <v>13904</v>
      </c>
      <c r="K8410" s="2" t="s">
        <v>19219</v>
      </c>
      <c r="L8410" s="82" t="s">
        <v>19512</v>
      </c>
    </row>
    <row r="8411" spans="1:12" ht="96" customHeight="1" x14ac:dyDescent="0.3">
      <c r="A8411" s="2">
        <v>8407</v>
      </c>
      <c r="B8411" s="66" t="s">
        <v>5020</v>
      </c>
      <c r="C8411" s="66" t="s">
        <v>10073</v>
      </c>
      <c r="D8411" s="11">
        <v>33300</v>
      </c>
      <c r="E8411" s="11">
        <v>33300</v>
      </c>
      <c r="F8411" s="3">
        <v>41619</v>
      </c>
      <c r="G8411" s="2"/>
      <c r="H8411" s="3">
        <v>43053</v>
      </c>
      <c r="I8411" s="2" t="s">
        <v>19506</v>
      </c>
      <c r="J8411" s="2" t="s">
        <v>13904</v>
      </c>
      <c r="K8411" s="2" t="s">
        <v>19219</v>
      </c>
      <c r="L8411" s="82" t="s">
        <v>19512</v>
      </c>
    </row>
    <row r="8412" spans="1:12" ht="96" customHeight="1" x14ac:dyDescent="0.3">
      <c r="A8412" s="2">
        <v>8408</v>
      </c>
      <c r="B8412" s="66" t="s">
        <v>5020</v>
      </c>
      <c r="C8412" s="66" t="s">
        <v>10074</v>
      </c>
      <c r="D8412" s="11">
        <v>33300</v>
      </c>
      <c r="E8412" s="11">
        <v>33300</v>
      </c>
      <c r="F8412" s="3">
        <v>41619</v>
      </c>
      <c r="G8412" s="2"/>
      <c r="H8412" s="3">
        <v>43053</v>
      </c>
      <c r="I8412" s="2" t="s">
        <v>19506</v>
      </c>
      <c r="J8412" s="2" t="s">
        <v>13904</v>
      </c>
      <c r="K8412" s="2" t="s">
        <v>19219</v>
      </c>
      <c r="L8412" s="82" t="s">
        <v>19512</v>
      </c>
    </row>
    <row r="8413" spans="1:12" ht="96" customHeight="1" x14ac:dyDescent="0.3">
      <c r="A8413" s="2">
        <v>8409</v>
      </c>
      <c r="B8413" s="66" t="s">
        <v>5020</v>
      </c>
      <c r="C8413" s="66" t="s">
        <v>5309</v>
      </c>
      <c r="D8413" s="11">
        <v>33300</v>
      </c>
      <c r="E8413" s="11">
        <v>33300</v>
      </c>
      <c r="F8413" s="3">
        <v>41619</v>
      </c>
      <c r="G8413" s="2"/>
      <c r="H8413" s="3">
        <v>43053</v>
      </c>
      <c r="I8413" s="2" t="s">
        <v>19506</v>
      </c>
      <c r="J8413" s="2" t="s">
        <v>13904</v>
      </c>
      <c r="K8413" s="2" t="s">
        <v>19219</v>
      </c>
      <c r="L8413" s="82" t="s">
        <v>19512</v>
      </c>
    </row>
    <row r="8414" spans="1:12" ht="96" customHeight="1" x14ac:dyDescent="0.3">
      <c r="A8414" s="2">
        <v>8410</v>
      </c>
      <c r="B8414" s="66" t="s">
        <v>10075</v>
      </c>
      <c r="C8414" s="66" t="s">
        <v>10076</v>
      </c>
      <c r="D8414" s="11">
        <v>18171.3</v>
      </c>
      <c r="E8414" s="11">
        <v>18171.3</v>
      </c>
      <c r="F8414" s="3">
        <v>39058</v>
      </c>
      <c r="G8414" s="2"/>
      <c r="H8414" s="3">
        <v>43053</v>
      </c>
      <c r="I8414" s="2" t="s">
        <v>19506</v>
      </c>
      <c r="J8414" s="2" t="s">
        <v>13904</v>
      </c>
      <c r="K8414" s="2" t="s">
        <v>19219</v>
      </c>
      <c r="L8414" s="82" t="s">
        <v>19512</v>
      </c>
    </row>
    <row r="8415" spans="1:12" ht="96" customHeight="1" x14ac:dyDescent="0.3">
      <c r="A8415" s="2">
        <v>8411</v>
      </c>
      <c r="B8415" s="66" t="s">
        <v>906</v>
      </c>
      <c r="C8415" s="66" t="s">
        <v>4528</v>
      </c>
      <c r="D8415" s="11">
        <v>3785.1</v>
      </c>
      <c r="E8415" s="11">
        <v>3785.1</v>
      </c>
      <c r="F8415" s="3">
        <v>38393</v>
      </c>
      <c r="G8415" s="2"/>
      <c r="H8415" s="3">
        <v>43053</v>
      </c>
      <c r="I8415" s="2" t="s">
        <v>19506</v>
      </c>
      <c r="J8415" s="2" t="s">
        <v>13904</v>
      </c>
      <c r="K8415" s="2" t="s">
        <v>19219</v>
      </c>
      <c r="L8415" s="82" t="s">
        <v>19512</v>
      </c>
    </row>
    <row r="8416" spans="1:12" ht="96" customHeight="1" x14ac:dyDescent="0.3">
      <c r="A8416" s="2">
        <v>8412</v>
      </c>
      <c r="B8416" s="66" t="s">
        <v>3957</v>
      </c>
      <c r="C8416" s="66" t="s">
        <v>6780</v>
      </c>
      <c r="D8416" s="11">
        <v>7616</v>
      </c>
      <c r="E8416" s="11">
        <v>7616</v>
      </c>
      <c r="F8416" s="3">
        <v>33646</v>
      </c>
      <c r="G8416" s="2"/>
      <c r="H8416" s="3">
        <v>43053</v>
      </c>
      <c r="I8416" s="2" t="s">
        <v>19506</v>
      </c>
      <c r="J8416" s="2" t="s">
        <v>13904</v>
      </c>
      <c r="K8416" s="2" t="s">
        <v>19219</v>
      </c>
      <c r="L8416" s="82" t="s">
        <v>19512</v>
      </c>
    </row>
    <row r="8417" spans="1:12" ht="96" customHeight="1" x14ac:dyDescent="0.3">
      <c r="A8417" s="2">
        <v>8413</v>
      </c>
      <c r="B8417" s="66" t="s">
        <v>10077</v>
      </c>
      <c r="C8417" s="66" t="s">
        <v>6610</v>
      </c>
      <c r="D8417" s="11">
        <v>4500</v>
      </c>
      <c r="E8417" s="11">
        <v>4500</v>
      </c>
      <c r="F8417" s="3">
        <v>41914</v>
      </c>
      <c r="G8417" s="2"/>
      <c r="H8417" s="3">
        <v>43053</v>
      </c>
      <c r="I8417" s="2" t="s">
        <v>19506</v>
      </c>
      <c r="J8417" s="2" t="s">
        <v>13904</v>
      </c>
      <c r="K8417" s="2" t="s">
        <v>19219</v>
      </c>
      <c r="L8417" s="82" t="s">
        <v>19512</v>
      </c>
    </row>
    <row r="8418" spans="1:12" ht="96" customHeight="1" x14ac:dyDescent="0.3">
      <c r="A8418" s="2">
        <v>8414</v>
      </c>
      <c r="B8418" s="66" t="s">
        <v>5022</v>
      </c>
      <c r="C8418" s="66" t="s">
        <v>5033</v>
      </c>
      <c r="D8418" s="11">
        <v>7600</v>
      </c>
      <c r="E8418" s="11">
        <v>7600</v>
      </c>
      <c r="F8418" s="3">
        <v>41619</v>
      </c>
      <c r="G8418" s="2"/>
      <c r="H8418" s="3">
        <v>43053</v>
      </c>
      <c r="I8418" s="2" t="s">
        <v>19506</v>
      </c>
      <c r="J8418" s="2" t="s">
        <v>13904</v>
      </c>
      <c r="K8418" s="2" t="s">
        <v>19219</v>
      </c>
      <c r="L8418" s="82" t="s">
        <v>19512</v>
      </c>
    </row>
    <row r="8419" spans="1:12" ht="96" customHeight="1" x14ac:dyDescent="0.3">
      <c r="A8419" s="2">
        <v>8415</v>
      </c>
      <c r="B8419" s="66" t="s">
        <v>5022</v>
      </c>
      <c r="C8419" s="66" t="s">
        <v>5034</v>
      </c>
      <c r="D8419" s="11">
        <v>7600</v>
      </c>
      <c r="E8419" s="11">
        <v>7600</v>
      </c>
      <c r="F8419" s="3">
        <v>41619</v>
      </c>
      <c r="G8419" s="2"/>
      <c r="H8419" s="3">
        <v>43053</v>
      </c>
      <c r="I8419" s="2" t="s">
        <v>19506</v>
      </c>
      <c r="J8419" s="2" t="s">
        <v>13904</v>
      </c>
      <c r="K8419" s="2" t="s">
        <v>19219</v>
      </c>
      <c r="L8419" s="82" t="s">
        <v>19512</v>
      </c>
    </row>
    <row r="8420" spans="1:12" ht="96" customHeight="1" x14ac:dyDescent="0.3">
      <c r="A8420" s="2">
        <v>8416</v>
      </c>
      <c r="B8420" s="66" t="s">
        <v>5022</v>
      </c>
      <c r="C8420" s="66" t="s">
        <v>5035</v>
      </c>
      <c r="D8420" s="11">
        <v>7600</v>
      </c>
      <c r="E8420" s="11">
        <v>7600</v>
      </c>
      <c r="F8420" s="3">
        <v>41619</v>
      </c>
      <c r="G8420" s="2"/>
      <c r="H8420" s="3">
        <v>43053</v>
      </c>
      <c r="I8420" s="2" t="s">
        <v>19506</v>
      </c>
      <c r="J8420" s="2" t="s">
        <v>13904</v>
      </c>
      <c r="K8420" s="2" t="s">
        <v>19219</v>
      </c>
      <c r="L8420" s="82" t="s">
        <v>19512</v>
      </c>
    </row>
    <row r="8421" spans="1:12" ht="96" customHeight="1" x14ac:dyDescent="0.3">
      <c r="A8421" s="2">
        <v>8417</v>
      </c>
      <c r="B8421" s="66" t="s">
        <v>5022</v>
      </c>
      <c r="C8421" s="66" t="s">
        <v>5036</v>
      </c>
      <c r="D8421" s="11">
        <v>7600</v>
      </c>
      <c r="E8421" s="11">
        <v>7600</v>
      </c>
      <c r="F8421" s="3">
        <v>41619</v>
      </c>
      <c r="G8421" s="2"/>
      <c r="H8421" s="3">
        <v>43053</v>
      </c>
      <c r="I8421" s="2" t="s">
        <v>19506</v>
      </c>
      <c r="J8421" s="2" t="s">
        <v>13904</v>
      </c>
      <c r="K8421" s="2" t="s">
        <v>19219</v>
      </c>
      <c r="L8421" s="82" t="s">
        <v>19512</v>
      </c>
    </row>
    <row r="8422" spans="1:12" ht="96" customHeight="1" x14ac:dyDescent="0.3">
      <c r="A8422" s="2">
        <v>8418</v>
      </c>
      <c r="B8422" s="66" t="s">
        <v>5022</v>
      </c>
      <c r="C8422" s="66" t="s">
        <v>5037</v>
      </c>
      <c r="D8422" s="11">
        <v>7600</v>
      </c>
      <c r="E8422" s="11">
        <v>7600</v>
      </c>
      <c r="F8422" s="3">
        <v>41619</v>
      </c>
      <c r="G8422" s="2"/>
      <c r="H8422" s="3">
        <v>43053</v>
      </c>
      <c r="I8422" s="2" t="s">
        <v>19506</v>
      </c>
      <c r="J8422" s="2" t="s">
        <v>13904</v>
      </c>
      <c r="K8422" s="2" t="s">
        <v>19219</v>
      </c>
      <c r="L8422" s="82" t="s">
        <v>19512</v>
      </c>
    </row>
    <row r="8423" spans="1:12" ht="96" customHeight="1" x14ac:dyDescent="0.3">
      <c r="A8423" s="2">
        <v>8419</v>
      </c>
      <c r="B8423" s="66" t="s">
        <v>5022</v>
      </c>
      <c r="C8423" s="66" t="s">
        <v>5038</v>
      </c>
      <c r="D8423" s="11">
        <v>7600</v>
      </c>
      <c r="E8423" s="11">
        <v>7600</v>
      </c>
      <c r="F8423" s="3">
        <v>41619</v>
      </c>
      <c r="G8423" s="2"/>
      <c r="H8423" s="3">
        <v>43053</v>
      </c>
      <c r="I8423" s="2" t="s">
        <v>19506</v>
      </c>
      <c r="J8423" s="2" t="s">
        <v>13904</v>
      </c>
      <c r="K8423" s="2" t="s">
        <v>19219</v>
      </c>
      <c r="L8423" s="82" t="s">
        <v>19512</v>
      </c>
    </row>
    <row r="8424" spans="1:12" ht="96" customHeight="1" x14ac:dyDescent="0.3">
      <c r="A8424" s="2">
        <v>8420</v>
      </c>
      <c r="B8424" s="66" t="s">
        <v>5022</v>
      </c>
      <c r="C8424" s="66" t="s">
        <v>5039</v>
      </c>
      <c r="D8424" s="11">
        <v>7600</v>
      </c>
      <c r="E8424" s="11">
        <v>7600</v>
      </c>
      <c r="F8424" s="3">
        <v>41619</v>
      </c>
      <c r="G8424" s="2"/>
      <c r="H8424" s="3">
        <v>43053</v>
      </c>
      <c r="I8424" s="2" t="s">
        <v>19506</v>
      </c>
      <c r="J8424" s="2" t="s">
        <v>13904</v>
      </c>
      <c r="K8424" s="2" t="s">
        <v>19219</v>
      </c>
      <c r="L8424" s="82" t="s">
        <v>19512</v>
      </c>
    </row>
    <row r="8425" spans="1:12" ht="96" customHeight="1" x14ac:dyDescent="0.3">
      <c r="A8425" s="2">
        <v>8421</v>
      </c>
      <c r="B8425" s="66" t="s">
        <v>5022</v>
      </c>
      <c r="C8425" s="66" t="s">
        <v>5040</v>
      </c>
      <c r="D8425" s="11">
        <v>7600</v>
      </c>
      <c r="E8425" s="11">
        <v>7600</v>
      </c>
      <c r="F8425" s="3">
        <v>41619</v>
      </c>
      <c r="G8425" s="2"/>
      <c r="H8425" s="3">
        <v>43053</v>
      </c>
      <c r="I8425" s="2" t="s">
        <v>19506</v>
      </c>
      <c r="J8425" s="2" t="s">
        <v>13904</v>
      </c>
      <c r="K8425" s="2" t="s">
        <v>19219</v>
      </c>
      <c r="L8425" s="82" t="s">
        <v>19512</v>
      </c>
    </row>
    <row r="8426" spans="1:12" ht="96" customHeight="1" x14ac:dyDescent="0.3">
      <c r="A8426" s="2">
        <v>8422</v>
      </c>
      <c r="B8426" s="66" t="s">
        <v>5027</v>
      </c>
      <c r="C8426" s="66" t="s">
        <v>10078</v>
      </c>
      <c r="D8426" s="11">
        <v>27700.43</v>
      </c>
      <c r="E8426" s="11">
        <v>27700.43</v>
      </c>
      <c r="F8426" s="3">
        <v>41619</v>
      </c>
      <c r="G8426" s="2"/>
      <c r="H8426" s="3">
        <v>43053</v>
      </c>
      <c r="I8426" s="2" t="s">
        <v>19506</v>
      </c>
      <c r="J8426" s="2" t="s">
        <v>13904</v>
      </c>
      <c r="K8426" s="2" t="s">
        <v>19219</v>
      </c>
      <c r="L8426" s="82" t="s">
        <v>19512</v>
      </c>
    </row>
    <row r="8427" spans="1:12" ht="96" customHeight="1" x14ac:dyDescent="0.3">
      <c r="A8427" s="2">
        <v>8423</v>
      </c>
      <c r="B8427" s="66" t="s">
        <v>5027</v>
      </c>
      <c r="C8427" s="66" t="s">
        <v>10079</v>
      </c>
      <c r="D8427" s="11">
        <v>27700.43</v>
      </c>
      <c r="E8427" s="11">
        <v>27700.43</v>
      </c>
      <c r="F8427" s="3">
        <v>41619</v>
      </c>
      <c r="G8427" s="2"/>
      <c r="H8427" s="3">
        <v>43053</v>
      </c>
      <c r="I8427" s="2" t="s">
        <v>19506</v>
      </c>
      <c r="J8427" s="2" t="s">
        <v>13904</v>
      </c>
      <c r="K8427" s="2" t="s">
        <v>19219</v>
      </c>
      <c r="L8427" s="82" t="s">
        <v>19512</v>
      </c>
    </row>
    <row r="8428" spans="1:12" ht="96" customHeight="1" x14ac:dyDescent="0.3">
      <c r="A8428" s="2">
        <v>8424</v>
      </c>
      <c r="B8428" s="66" t="s">
        <v>5027</v>
      </c>
      <c r="C8428" s="66" t="s">
        <v>10080</v>
      </c>
      <c r="D8428" s="11">
        <v>27700.43</v>
      </c>
      <c r="E8428" s="11">
        <v>27700.43</v>
      </c>
      <c r="F8428" s="3">
        <v>41619</v>
      </c>
      <c r="G8428" s="2"/>
      <c r="H8428" s="3">
        <v>43053</v>
      </c>
      <c r="I8428" s="2" t="s">
        <v>19506</v>
      </c>
      <c r="J8428" s="2" t="s">
        <v>13904</v>
      </c>
      <c r="K8428" s="2" t="s">
        <v>19219</v>
      </c>
      <c r="L8428" s="82" t="s">
        <v>19512</v>
      </c>
    </row>
    <row r="8429" spans="1:12" ht="96" customHeight="1" x14ac:dyDescent="0.3">
      <c r="A8429" s="2">
        <v>8425</v>
      </c>
      <c r="B8429" s="66" t="s">
        <v>5027</v>
      </c>
      <c r="C8429" s="66" t="s">
        <v>10081</v>
      </c>
      <c r="D8429" s="11">
        <v>27700.43</v>
      </c>
      <c r="E8429" s="11">
        <v>27700.43</v>
      </c>
      <c r="F8429" s="3">
        <v>41619</v>
      </c>
      <c r="G8429" s="2"/>
      <c r="H8429" s="3">
        <v>43053</v>
      </c>
      <c r="I8429" s="2" t="s">
        <v>19506</v>
      </c>
      <c r="J8429" s="2" t="s">
        <v>13904</v>
      </c>
      <c r="K8429" s="2" t="s">
        <v>19219</v>
      </c>
      <c r="L8429" s="82" t="s">
        <v>19512</v>
      </c>
    </row>
    <row r="8430" spans="1:12" ht="96" customHeight="1" x14ac:dyDescent="0.3">
      <c r="A8430" s="2">
        <v>8426</v>
      </c>
      <c r="B8430" s="66" t="s">
        <v>5029</v>
      </c>
      <c r="C8430" s="66" t="s">
        <v>5044</v>
      </c>
      <c r="D8430" s="11">
        <v>24203.14</v>
      </c>
      <c r="E8430" s="11">
        <v>24203.14</v>
      </c>
      <c r="F8430" s="3">
        <v>41619</v>
      </c>
      <c r="G8430" s="2"/>
      <c r="H8430" s="3">
        <v>43053</v>
      </c>
      <c r="I8430" s="2" t="s">
        <v>19506</v>
      </c>
      <c r="J8430" s="2" t="s">
        <v>13904</v>
      </c>
      <c r="K8430" s="2" t="s">
        <v>19219</v>
      </c>
      <c r="L8430" s="82" t="s">
        <v>19512</v>
      </c>
    </row>
    <row r="8431" spans="1:12" ht="96" customHeight="1" x14ac:dyDescent="0.3">
      <c r="A8431" s="2">
        <v>8427</v>
      </c>
      <c r="B8431" s="66" t="s">
        <v>5029</v>
      </c>
      <c r="C8431" s="66" t="s">
        <v>5046</v>
      </c>
      <c r="D8431" s="11">
        <v>24203.14</v>
      </c>
      <c r="E8431" s="11">
        <v>24203.14</v>
      </c>
      <c r="F8431" s="3">
        <v>41619</v>
      </c>
      <c r="G8431" s="2"/>
      <c r="H8431" s="3">
        <v>43053</v>
      </c>
      <c r="I8431" s="2" t="s">
        <v>19506</v>
      </c>
      <c r="J8431" s="2" t="s">
        <v>13904</v>
      </c>
      <c r="K8431" s="2" t="s">
        <v>19219</v>
      </c>
      <c r="L8431" s="82" t="s">
        <v>19512</v>
      </c>
    </row>
    <row r="8432" spans="1:12" ht="96" customHeight="1" x14ac:dyDescent="0.3">
      <c r="A8432" s="2">
        <v>8428</v>
      </c>
      <c r="B8432" s="66" t="s">
        <v>5029</v>
      </c>
      <c r="C8432" s="66" t="s">
        <v>10082</v>
      </c>
      <c r="D8432" s="11">
        <v>24203.14</v>
      </c>
      <c r="E8432" s="11">
        <v>24203.14</v>
      </c>
      <c r="F8432" s="3">
        <v>41619</v>
      </c>
      <c r="G8432" s="2"/>
      <c r="H8432" s="3">
        <v>43053</v>
      </c>
      <c r="I8432" s="2" t="s">
        <v>19506</v>
      </c>
      <c r="J8432" s="2" t="s">
        <v>13904</v>
      </c>
      <c r="K8432" s="2" t="s">
        <v>19219</v>
      </c>
      <c r="L8432" s="82" t="s">
        <v>19512</v>
      </c>
    </row>
    <row r="8433" spans="1:12" ht="96" customHeight="1" x14ac:dyDescent="0.3">
      <c r="A8433" s="2">
        <v>8429</v>
      </c>
      <c r="B8433" s="66" t="s">
        <v>5029</v>
      </c>
      <c r="C8433" s="66" t="s">
        <v>5048</v>
      </c>
      <c r="D8433" s="11">
        <v>24203.14</v>
      </c>
      <c r="E8433" s="11">
        <v>24203.14</v>
      </c>
      <c r="F8433" s="3">
        <v>41619</v>
      </c>
      <c r="G8433" s="2"/>
      <c r="H8433" s="3">
        <v>43053</v>
      </c>
      <c r="I8433" s="2" t="s">
        <v>19506</v>
      </c>
      <c r="J8433" s="2" t="s">
        <v>13904</v>
      </c>
      <c r="K8433" s="2" t="s">
        <v>19219</v>
      </c>
      <c r="L8433" s="82" t="s">
        <v>19512</v>
      </c>
    </row>
    <row r="8434" spans="1:12" ht="96" customHeight="1" x14ac:dyDescent="0.3">
      <c r="A8434" s="2">
        <v>8430</v>
      </c>
      <c r="B8434" s="66" t="s">
        <v>5029</v>
      </c>
      <c r="C8434" s="66" t="s">
        <v>5050</v>
      </c>
      <c r="D8434" s="11">
        <v>24203.14</v>
      </c>
      <c r="E8434" s="11">
        <v>24203.14</v>
      </c>
      <c r="F8434" s="3">
        <v>41619</v>
      </c>
      <c r="G8434" s="2"/>
      <c r="H8434" s="3">
        <v>43053</v>
      </c>
      <c r="I8434" s="2" t="s">
        <v>19506</v>
      </c>
      <c r="J8434" s="2" t="s">
        <v>13904</v>
      </c>
      <c r="K8434" s="2" t="s">
        <v>19219</v>
      </c>
      <c r="L8434" s="82" t="s">
        <v>19512</v>
      </c>
    </row>
    <row r="8435" spans="1:12" ht="96" customHeight="1" x14ac:dyDescent="0.3">
      <c r="A8435" s="2">
        <v>8431</v>
      </c>
      <c r="B8435" s="66" t="s">
        <v>5029</v>
      </c>
      <c r="C8435" s="66" t="s">
        <v>5051</v>
      </c>
      <c r="D8435" s="11">
        <v>24203.14</v>
      </c>
      <c r="E8435" s="11">
        <v>24203.14</v>
      </c>
      <c r="F8435" s="3">
        <v>41619</v>
      </c>
      <c r="G8435" s="2"/>
      <c r="H8435" s="3">
        <v>43053</v>
      </c>
      <c r="I8435" s="2" t="s">
        <v>19506</v>
      </c>
      <c r="J8435" s="2" t="s">
        <v>13904</v>
      </c>
      <c r="K8435" s="2" t="s">
        <v>19219</v>
      </c>
      <c r="L8435" s="82" t="s">
        <v>19512</v>
      </c>
    </row>
    <row r="8436" spans="1:12" ht="96" customHeight="1" x14ac:dyDescent="0.3">
      <c r="A8436" s="2">
        <v>8432</v>
      </c>
      <c r="B8436" s="66" t="s">
        <v>5029</v>
      </c>
      <c r="C8436" s="66" t="s">
        <v>5052</v>
      </c>
      <c r="D8436" s="11">
        <v>24203.14</v>
      </c>
      <c r="E8436" s="11">
        <v>24203.14</v>
      </c>
      <c r="F8436" s="3">
        <v>41619</v>
      </c>
      <c r="G8436" s="2"/>
      <c r="H8436" s="3">
        <v>43053</v>
      </c>
      <c r="I8436" s="2" t="s">
        <v>19506</v>
      </c>
      <c r="J8436" s="2" t="s">
        <v>13904</v>
      </c>
      <c r="K8436" s="2" t="s">
        <v>19219</v>
      </c>
      <c r="L8436" s="82" t="s">
        <v>19512</v>
      </c>
    </row>
    <row r="8437" spans="1:12" ht="96" customHeight="1" x14ac:dyDescent="0.3">
      <c r="A8437" s="2">
        <v>8433</v>
      </c>
      <c r="B8437" s="66" t="s">
        <v>5029</v>
      </c>
      <c r="C8437" s="66" t="s">
        <v>5053</v>
      </c>
      <c r="D8437" s="11">
        <v>24203.14</v>
      </c>
      <c r="E8437" s="11">
        <v>24203.14</v>
      </c>
      <c r="F8437" s="3">
        <v>41619</v>
      </c>
      <c r="G8437" s="2"/>
      <c r="H8437" s="3">
        <v>43053</v>
      </c>
      <c r="I8437" s="2" t="s">
        <v>19506</v>
      </c>
      <c r="J8437" s="2" t="s">
        <v>13904</v>
      </c>
      <c r="K8437" s="2" t="s">
        <v>19219</v>
      </c>
      <c r="L8437" s="82" t="s">
        <v>19512</v>
      </c>
    </row>
    <row r="8438" spans="1:12" ht="96" customHeight="1" x14ac:dyDescent="0.3">
      <c r="A8438" s="2">
        <v>8434</v>
      </c>
      <c r="B8438" s="66" t="s">
        <v>5029</v>
      </c>
      <c r="C8438" s="66" t="s">
        <v>5055</v>
      </c>
      <c r="D8438" s="11">
        <v>24203.14</v>
      </c>
      <c r="E8438" s="11">
        <v>24203.14</v>
      </c>
      <c r="F8438" s="3">
        <v>41619</v>
      </c>
      <c r="G8438" s="2"/>
      <c r="H8438" s="3">
        <v>43053</v>
      </c>
      <c r="I8438" s="2" t="s">
        <v>19506</v>
      </c>
      <c r="J8438" s="2" t="s">
        <v>13904</v>
      </c>
      <c r="K8438" s="2" t="s">
        <v>19219</v>
      </c>
      <c r="L8438" s="82" t="s">
        <v>19512</v>
      </c>
    </row>
    <row r="8439" spans="1:12" ht="96" customHeight="1" x14ac:dyDescent="0.3">
      <c r="A8439" s="2">
        <v>8435</v>
      </c>
      <c r="B8439" s="66" t="s">
        <v>5029</v>
      </c>
      <c r="C8439" s="66" t="s">
        <v>10083</v>
      </c>
      <c r="D8439" s="11">
        <v>24203.14</v>
      </c>
      <c r="E8439" s="11">
        <v>24203.14</v>
      </c>
      <c r="F8439" s="3">
        <v>41619</v>
      </c>
      <c r="G8439" s="2"/>
      <c r="H8439" s="3">
        <v>43053</v>
      </c>
      <c r="I8439" s="2" t="s">
        <v>19506</v>
      </c>
      <c r="J8439" s="2" t="s">
        <v>13904</v>
      </c>
      <c r="K8439" s="2" t="s">
        <v>19219</v>
      </c>
      <c r="L8439" s="82" t="s">
        <v>19512</v>
      </c>
    </row>
    <row r="8440" spans="1:12" ht="96" customHeight="1" x14ac:dyDescent="0.3">
      <c r="A8440" s="2">
        <v>8436</v>
      </c>
      <c r="B8440" s="66" t="s">
        <v>5029</v>
      </c>
      <c r="C8440" s="66" t="s">
        <v>5057</v>
      </c>
      <c r="D8440" s="11">
        <v>24203.14</v>
      </c>
      <c r="E8440" s="11">
        <v>24203.14</v>
      </c>
      <c r="F8440" s="3">
        <v>41619</v>
      </c>
      <c r="G8440" s="2"/>
      <c r="H8440" s="3">
        <v>43053</v>
      </c>
      <c r="I8440" s="2" t="s">
        <v>19506</v>
      </c>
      <c r="J8440" s="2" t="s">
        <v>13904</v>
      </c>
      <c r="K8440" s="2" t="s">
        <v>19219</v>
      </c>
      <c r="L8440" s="82" t="s">
        <v>19512</v>
      </c>
    </row>
    <row r="8441" spans="1:12" ht="96" customHeight="1" x14ac:dyDescent="0.3">
      <c r="A8441" s="2">
        <v>8437</v>
      </c>
      <c r="B8441" s="66" t="s">
        <v>5029</v>
      </c>
      <c r="C8441" s="66" t="s">
        <v>5058</v>
      </c>
      <c r="D8441" s="11">
        <v>24203.14</v>
      </c>
      <c r="E8441" s="11">
        <v>24203.14</v>
      </c>
      <c r="F8441" s="3">
        <v>41619</v>
      </c>
      <c r="G8441" s="2"/>
      <c r="H8441" s="3">
        <v>43053</v>
      </c>
      <c r="I8441" s="2" t="s">
        <v>19506</v>
      </c>
      <c r="J8441" s="2" t="s">
        <v>13904</v>
      </c>
      <c r="K8441" s="2" t="s">
        <v>19219</v>
      </c>
      <c r="L8441" s="82" t="s">
        <v>19512</v>
      </c>
    </row>
    <row r="8442" spans="1:12" ht="96" customHeight="1" x14ac:dyDescent="0.3">
      <c r="A8442" s="2">
        <v>8438</v>
      </c>
      <c r="B8442" s="66" t="s">
        <v>5029</v>
      </c>
      <c r="C8442" s="66" t="s">
        <v>5060</v>
      </c>
      <c r="D8442" s="11">
        <v>24203.14</v>
      </c>
      <c r="E8442" s="11">
        <v>24203.14</v>
      </c>
      <c r="F8442" s="3">
        <v>41619</v>
      </c>
      <c r="G8442" s="2"/>
      <c r="H8442" s="3">
        <v>43053</v>
      </c>
      <c r="I8442" s="2" t="s">
        <v>19506</v>
      </c>
      <c r="J8442" s="2" t="s">
        <v>13904</v>
      </c>
      <c r="K8442" s="2" t="s">
        <v>19219</v>
      </c>
      <c r="L8442" s="82" t="s">
        <v>19512</v>
      </c>
    </row>
    <row r="8443" spans="1:12" ht="96" customHeight="1" x14ac:dyDescent="0.3">
      <c r="A8443" s="2">
        <v>8439</v>
      </c>
      <c r="B8443" s="66" t="s">
        <v>5029</v>
      </c>
      <c r="C8443" s="66" t="s">
        <v>5062</v>
      </c>
      <c r="D8443" s="11">
        <v>24203.14</v>
      </c>
      <c r="E8443" s="11">
        <v>24203.14</v>
      </c>
      <c r="F8443" s="3">
        <v>41619</v>
      </c>
      <c r="G8443" s="2"/>
      <c r="H8443" s="3">
        <v>43053</v>
      </c>
      <c r="I8443" s="2" t="s">
        <v>19506</v>
      </c>
      <c r="J8443" s="2" t="s">
        <v>13904</v>
      </c>
      <c r="K8443" s="2" t="s">
        <v>19219</v>
      </c>
      <c r="L8443" s="82" t="s">
        <v>19512</v>
      </c>
    </row>
    <row r="8444" spans="1:12" ht="96" customHeight="1" x14ac:dyDescent="0.3">
      <c r="A8444" s="2">
        <v>8440</v>
      </c>
      <c r="B8444" s="66" t="s">
        <v>5029</v>
      </c>
      <c r="C8444" s="66" t="s">
        <v>5064</v>
      </c>
      <c r="D8444" s="11">
        <v>24203.14</v>
      </c>
      <c r="E8444" s="11">
        <v>24203.14</v>
      </c>
      <c r="F8444" s="3">
        <v>41619</v>
      </c>
      <c r="G8444" s="2"/>
      <c r="H8444" s="3">
        <v>43053</v>
      </c>
      <c r="I8444" s="2" t="s">
        <v>19506</v>
      </c>
      <c r="J8444" s="2" t="s">
        <v>13904</v>
      </c>
      <c r="K8444" s="2" t="s">
        <v>19219</v>
      </c>
      <c r="L8444" s="82" t="s">
        <v>19512</v>
      </c>
    </row>
    <row r="8445" spans="1:12" ht="96" customHeight="1" x14ac:dyDescent="0.3">
      <c r="A8445" s="2">
        <v>8441</v>
      </c>
      <c r="B8445" s="66" t="s">
        <v>5029</v>
      </c>
      <c r="C8445" s="66" t="s">
        <v>5065</v>
      </c>
      <c r="D8445" s="11">
        <v>24203.14</v>
      </c>
      <c r="E8445" s="11">
        <v>24203.14</v>
      </c>
      <c r="F8445" s="3">
        <v>41619</v>
      </c>
      <c r="G8445" s="2"/>
      <c r="H8445" s="3">
        <v>43053</v>
      </c>
      <c r="I8445" s="2" t="s">
        <v>19506</v>
      </c>
      <c r="J8445" s="2" t="s">
        <v>13904</v>
      </c>
      <c r="K8445" s="2" t="s">
        <v>19219</v>
      </c>
      <c r="L8445" s="82" t="s">
        <v>19512</v>
      </c>
    </row>
    <row r="8446" spans="1:12" ht="96" customHeight="1" x14ac:dyDescent="0.3">
      <c r="A8446" s="2">
        <v>8442</v>
      </c>
      <c r="B8446" s="66" t="s">
        <v>5029</v>
      </c>
      <c r="C8446" s="66" t="s">
        <v>5067</v>
      </c>
      <c r="D8446" s="11">
        <v>24203.14</v>
      </c>
      <c r="E8446" s="11">
        <v>24203.14</v>
      </c>
      <c r="F8446" s="3">
        <v>41619</v>
      </c>
      <c r="G8446" s="2"/>
      <c r="H8446" s="3">
        <v>43053</v>
      </c>
      <c r="I8446" s="2" t="s">
        <v>19506</v>
      </c>
      <c r="J8446" s="2" t="s">
        <v>13904</v>
      </c>
      <c r="K8446" s="2" t="s">
        <v>19219</v>
      </c>
      <c r="L8446" s="82" t="s">
        <v>19512</v>
      </c>
    </row>
    <row r="8447" spans="1:12" ht="96" customHeight="1" x14ac:dyDescent="0.3">
      <c r="A8447" s="2">
        <v>8443</v>
      </c>
      <c r="B8447" s="66" t="s">
        <v>5029</v>
      </c>
      <c r="C8447" s="66" t="s">
        <v>10084</v>
      </c>
      <c r="D8447" s="11">
        <v>24203.14</v>
      </c>
      <c r="E8447" s="11">
        <v>24203.14</v>
      </c>
      <c r="F8447" s="3">
        <v>41619</v>
      </c>
      <c r="G8447" s="2"/>
      <c r="H8447" s="3">
        <v>43053</v>
      </c>
      <c r="I8447" s="2" t="s">
        <v>19506</v>
      </c>
      <c r="J8447" s="2" t="s">
        <v>13904</v>
      </c>
      <c r="K8447" s="2" t="s">
        <v>19219</v>
      </c>
      <c r="L8447" s="82" t="s">
        <v>19512</v>
      </c>
    </row>
    <row r="8448" spans="1:12" ht="96" customHeight="1" x14ac:dyDescent="0.3">
      <c r="A8448" s="2">
        <v>8444</v>
      </c>
      <c r="B8448" s="66" t="s">
        <v>5029</v>
      </c>
      <c r="C8448" s="66" t="s">
        <v>10085</v>
      </c>
      <c r="D8448" s="11">
        <v>24203.14</v>
      </c>
      <c r="E8448" s="11">
        <v>24203.14</v>
      </c>
      <c r="F8448" s="3">
        <v>41619</v>
      </c>
      <c r="G8448" s="2"/>
      <c r="H8448" s="3">
        <v>43053</v>
      </c>
      <c r="I8448" s="2" t="s">
        <v>19506</v>
      </c>
      <c r="J8448" s="2" t="s">
        <v>13904</v>
      </c>
      <c r="K8448" s="2" t="s">
        <v>19219</v>
      </c>
      <c r="L8448" s="82" t="s">
        <v>19512</v>
      </c>
    </row>
    <row r="8449" spans="1:12" ht="96" customHeight="1" x14ac:dyDescent="0.3">
      <c r="A8449" s="2">
        <v>8445</v>
      </c>
      <c r="B8449" s="66" t="s">
        <v>5029</v>
      </c>
      <c r="C8449" s="66" t="s">
        <v>10086</v>
      </c>
      <c r="D8449" s="11">
        <v>24203.14</v>
      </c>
      <c r="E8449" s="11">
        <v>24203.14</v>
      </c>
      <c r="F8449" s="3">
        <v>41619</v>
      </c>
      <c r="G8449" s="2"/>
      <c r="H8449" s="3">
        <v>43053</v>
      </c>
      <c r="I8449" s="2" t="s">
        <v>19506</v>
      </c>
      <c r="J8449" s="2" t="s">
        <v>13904</v>
      </c>
      <c r="K8449" s="2" t="s">
        <v>19219</v>
      </c>
      <c r="L8449" s="82" t="s">
        <v>19512</v>
      </c>
    </row>
    <row r="8450" spans="1:12" ht="96" customHeight="1" x14ac:dyDescent="0.3">
      <c r="A8450" s="2">
        <v>8446</v>
      </c>
      <c r="B8450" s="66" t="s">
        <v>5029</v>
      </c>
      <c r="C8450" s="66" t="s">
        <v>10087</v>
      </c>
      <c r="D8450" s="11">
        <v>24203.14</v>
      </c>
      <c r="E8450" s="11">
        <v>24203.14</v>
      </c>
      <c r="F8450" s="3">
        <v>41619</v>
      </c>
      <c r="G8450" s="2"/>
      <c r="H8450" s="3">
        <v>43053</v>
      </c>
      <c r="I8450" s="2" t="s">
        <v>19506</v>
      </c>
      <c r="J8450" s="2" t="s">
        <v>13904</v>
      </c>
      <c r="K8450" s="2" t="s">
        <v>19219</v>
      </c>
      <c r="L8450" s="82" t="s">
        <v>19512</v>
      </c>
    </row>
    <row r="8451" spans="1:12" ht="96" customHeight="1" x14ac:dyDescent="0.3">
      <c r="A8451" s="2">
        <v>8447</v>
      </c>
      <c r="B8451" s="66" t="s">
        <v>5029</v>
      </c>
      <c r="C8451" s="66" t="s">
        <v>10088</v>
      </c>
      <c r="D8451" s="11">
        <v>24203.14</v>
      </c>
      <c r="E8451" s="11">
        <v>24203.14</v>
      </c>
      <c r="F8451" s="3">
        <v>41619</v>
      </c>
      <c r="G8451" s="2"/>
      <c r="H8451" s="3">
        <v>43053</v>
      </c>
      <c r="I8451" s="2" t="s">
        <v>19506</v>
      </c>
      <c r="J8451" s="2" t="s">
        <v>13904</v>
      </c>
      <c r="K8451" s="2" t="s">
        <v>19219</v>
      </c>
      <c r="L8451" s="82" t="s">
        <v>19512</v>
      </c>
    </row>
    <row r="8452" spans="1:12" ht="96" customHeight="1" x14ac:dyDescent="0.3">
      <c r="A8452" s="2">
        <v>8448</v>
      </c>
      <c r="B8452" s="66" t="s">
        <v>5029</v>
      </c>
      <c r="C8452" s="66" t="s">
        <v>10089</v>
      </c>
      <c r="D8452" s="11">
        <v>24203.14</v>
      </c>
      <c r="E8452" s="11">
        <v>24203.14</v>
      </c>
      <c r="F8452" s="3">
        <v>41619</v>
      </c>
      <c r="G8452" s="2"/>
      <c r="H8452" s="3">
        <v>43053</v>
      </c>
      <c r="I8452" s="2" t="s">
        <v>19506</v>
      </c>
      <c r="J8452" s="2" t="s">
        <v>13904</v>
      </c>
      <c r="K8452" s="2" t="s">
        <v>19219</v>
      </c>
      <c r="L8452" s="82" t="s">
        <v>19512</v>
      </c>
    </row>
    <row r="8453" spans="1:12" ht="96" customHeight="1" x14ac:dyDescent="0.3">
      <c r="A8453" s="2">
        <v>8449</v>
      </c>
      <c r="B8453" s="66" t="s">
        <v>5029</v>
      </c>
      <c r="C8453" s="66" t="s">
        <v>10090</v>
      </c>
      <c r="D8453" s="11">
        <v>24203.14</v>
      </c>
      <c r="E8453" s="11">
        <v>24203.14</v>
      </c>
      <c r="F8453" s="3">
        <v>41619</v>
      </c>
      <c r="G8453" s="2"/>
      <c r="H8453" s="3">
        <v>43053</v>
      </c>
      <c r="I8453" s="2" t="s">
        <v>19506</v>
      </c>
      <c r="J8453" s="2" t="s">
        <v>13904</v>
      </c>
      <c r="K8453" s="2" t="s">
        <v>19219</v>
      </c>
      <c r="L8453" s="82" t="s">
        <v>19512</v>
      </c>
    </row>
    <row r="8454" spans="1:12" ht="96" customHeight="1" x14ac:dyDescent="0.3">
      <c r="A8454" s="2">
        <v>8450</v>
      </c>
      <c r="B8454" s="66" t="s">
        <v>5029</v>
      </c>
      <c r="C8454" s="66" t="s">
        <v>10091</v>
      </c>
      <c r="D8454" s="11">
        <v>24203.14</v>
      </c>
      <c r="E8454" s="11">
        <v>24203.14</v>
      </c>
      <c r="F8454" s="3">
        <v>41619</v>
      </c>
      <c r="G8454" s="2"/>
      <c r="H8454" s="3">
        <v>43053</v>
      </c>
      <c r="I8454" s="2" t="s">
        <v>19506</v>
      </c>
      <c r="J8454" s="2" t="s">
        <v>13904</v>
      </c>
      <c r="K8454" s="2" t="s">
        <v>19219</v>
      </c>
      <c r="L8454" s="82" t="s">
        <v>19512</v>
      </c>
    </row>
    <row r="8455" spans="1:12" ht="96" customHeight="1" x14ac:dyDescent="0.3">
      <c r="A8455" s="2">
        <v>8451</v>
      </c>
      <c r="B8455" s="66" t="s">
        <v>5029</v>
      </c>
      <c r="C8455" s="66" t="s">
        <v>10092</v>
      </c>
      <c r="D8455" s="11">
        <v>24203.14</v>
      </c>
      <c r="E8455" s="11">
        <v>24203.14</v>
      </c>
      <c r="F8455" s="3">
        <v>41619</v>
      </c>
      <c r="G8455" s="2"/>
      <c r="H8455" s="3">
        <v>43053</v>
      </c>
      <c r="I8455" s="2" t="s">
        <v>19506</v>
      </c>
      <c r="J8455" s="2" t="s">
        <v>13904</v>
      </c>
      <c r="K8455" s="2" t="s">
        <v>19219</v>
      </c>
      <c r="L8455" s="82" t="s">
        <v>19512</v>
      </c>
    </row>
    <row r="8456" spans="1:12" ht="96" customHeight="1" x14ac:dyDescent="0.3">
      <c r="A8456" s="2">
        <v>8452</v>
      </c>
      <c r="B8456" s="66" t="s">
        <v>5029</v>
      </c>
      <c r="C8456" s="66" t="s">
        <v>10093</v>
      </c>
      <c r="D8456" s="11">
        <v>24203.14</v>
      </c>
      <c r="E8456" s="11">
        <v>24203.14</v>
      </c>
      <c r="F8456" s="3">
        <v>41619</v>
      </c>
      <c r="G8456" s="2"/>
      <c r="H8456" s="3">
        <v>43053</v>
      </c>
      <c r="I8456" s="2" t="s">
        <v>19506</v>
      </c>
      <c r="J8456" s="2" t="s">
        <v>13904</v>
      </c>
      <c r="K8456" s="2" t="s">
        <v>19219</v>
      </c>
      <c r="L8456" s="82" t="s">
        <v>19512</v>
      </c>
    </row>
    <row r="8457" spans="1:12" ht="96" customHeight="1" x14ac:dyDescent="0.3">
      <c r="A8457" s="2">
        <v>8453</v>
      </c>
      <c r="B8457" s="66" t="s">
        <v>5029</v>
      </c>
      <c r="C8457" s="66" t="s">
        <v>10094</v>
      </c>
      <c r="D8457" s="11">
        <v>24203.14</v>
      </c>
      <c r="E8457" s="11">
        <v>24203.14</v>
      </c>
      <c r="F8457" s="3">
        <v>41619</v>
      </c>
      <c r="G8457" s="2"/>
      <c r="H8457" s="3">
        <v>43053</v>
      </c>
      <c r="I8457" s="2" t="s">
        <v>19506</v>
      </c>
      <c r="J8457" s="2" t="s">
        <v>13904</v>
      </c>
      <c r="K8457" s="2" t="s">
        <v>19219</v>
      </c>
      <c r="L8457" s="82" t="s">
        <v>19512</v>
      </c>
    </row>
    <row r="8458" spans="1:12" ht="96" customHeight="1" x14ac:dyDescent="0.3">
      <c r="A8458" s="2">
        <v>8454</v>
      </c>
      <c r="B8458" s="66" t="s">
        <v>5029</v>
      </c>
      <c r="C8458" s="66" t="s">
        <v>10095</v>
      </c>
      <c r="D8458" s="11">
        <v>24203.14</v>
      </c>
      <c r="E8458" s="11">
        <v>24203.14</v>
      </c>
      <c r="F8458" s="3">
        <v>41619</v>
      </c>
      <c r="G8458" s="2"/>
      <c r="H8458" s="3">
        <v>43053</v>
      </c>
      <c r="I8458" s="2" t="s">
        <v>19506</v>
      </c>
      <c r="J8458" s="2" t="s">
        <v>13904</v>
      </c>
      <c r="K8458" s="2" t="s">
        <v>19219</v>
      </c>
      <c r="L8458" s="82" t="s">
        <v>19512</v>
      </c>
    </row>
    <row r="8459" spans="1:12" ht="96" customHeight="1" x14ac:dyDescent="0.3">
      <c r="A8459" s="2">
        <v>8455</v>
      </c>
      <c r="B8459" s="66" t="s">
        <v>5029</v>
      </c>
      <c r="C8459" s="66" t="s">
        <v>10096</v>
      </c>
      <c r="D8459" s="11">
        <v>24203.14</v>
      </c>
      <c r="E8459" s="11">
        <v>24203.14</v>
      </c>
      <c r="F8459" s="3">
        <v>41619</v>
      </c>
      <c r="G8459" s="2"/>
      <c r="H8459" s="3">
        <v>43053</v>
      </c>
      <c r="I8459" s="2" t="s">
        <v>19506</v>
      </c>
      <c r="J8459" s="2" t="s">
        <v>13904</v>
      </c>
      <c r="K8459" s="2" t="s">
        <v>19219</v>
      </c>
      <c r="L8459" s="82" t="s">
        <v>19512</v>
      </c>
    </row>
    <row r="8460" spans="1:12" ht="96" customHeight="1" x14ac:dyDescent="0.3">
      <c r="A8460" s="2">
        <v>8456</v>
      </c>
      <c r="B8460" s="66" t="s">
        <v>5029</v>
      </c>
      <c r="C8460" s="66" t="s">
        <v>10097</v>
      </c>
      <c r="D8460" s="11">
        <v>24203.14</v>
      </c>
      <c r="E8460" s="11">
        <v>24203.14</v>
      </c>
      <c r="F8460" s="3">
        <v>41619</v>
      </c>
      <c r="G8460" s="2"/>
      <c r="H8460" s="3">
        <v>43053</v>
      </c>
      <c r="I8460" s="2" t="s">
        <v>19506</v>
      </c>
      <c r="J8460" s="2" t="s">
        <v>13904</v>
      </c>
      <c r="K8460" s="2" t="s">
        <v>19219</v>
      </c>
      <c r="L8460" s="82" t="s">
        <v>19512</v>
      </c>
    </row>
    <row r="8461" spans="1:12" ht="96" customHeight="1" x14ac:dyDescent="0.3">
      <c r="A8461" s="2">
        <v>8457</v>
      </c>
      <c r="B8461" s="66" t="s">
        <v>5029</v>
      </c>
      <c r="C8461" s="66" t="s">
        <v>5240</v>
      </c>
      <c r="D8461" s="11">
        <v>24203.14</v>
      </c>
      <c r="E8461" s="11">
        <v>24203.14</v>
      </c>
      <c r="F8461" s="3">
        <v>41619</v>
      </c>
      <c r="G8461" s="2"/>
      <c r="H8461" s="3">
        <v>43053</v>
      </c>
      <c r="I8461" s="2" t="s">
        <v>19506</v>
      </c>
      <c r="J8461" s="2" t="s">
        <v>13904</v>
      </c>
      <c r="K8461" s="2" t="s">
        <v>19219</v>
      </c>
      <c r="L8461" s="82" t="s">
        <v>19512</v>
      </c>
    </row>
    <row r="8462" spans="1:12" ht="96" customHeight="1" x14ac:dyDescent="0.3">
      <c r="A8462" s="2">
        <v>8458</v>
      </c>
      <c r="B8462" s="66" t="s">
        <v>5029</v>
      </c>
      <c r="C8462" s="66" t="s">
        <v>5241</v>
      </c>
      <c r="D8462" s="11">
        <v>24203.14</v>
      </c>
      <c r="E8462" s="11">
        <v>24203.14</v>
      </c>
      <c r="F8462" s="3">
        <v>41619</v>
      </c>
      <c r="G8462" s="2"/>
      <c r="H8462" s="3">
        <v>43053</v>
      </c>
      <c r="I8462" s="2" t="s">
        <v>19506</v>
      </c>
      <c r="J8462" s="2" t="s">
        <v>13904</v>
      </c>
      <c r="K8462" s="2" t="s">
        <v>19219</v>
      </c>
      <c r="L8462" s="82" t="s">
        <v>19512</v>
      </c>
    </row>
    <row r="8463" spans="1:12" ht="96" customHeight="1" x14ac:dyDescent="0.3">
      <c r="A8463" s="2">
        <v>8459</v>
      </c>
      <c r="B8463" s="66" t="s">
        <v>5029</v>
      </c>
      <c r="C8463" s="66" t="s">
        <v>10098</v>
      </c>
      <c r="D8463" s="11">
        <v>24203.14</v>
      </c>
      <c r="E8463" s="11">
        <v>24203.14</v>
      </c>
      <c r="F8463" s="3">
        <v>41619</v>
      </c>
      <c r="G8463" s="2"/>
      <c r="H8463" s="3">
        <v>43053</v>
      </c>
      <c r="I8463" s="2" t="s">
        <v>19506</v>
      </c>
      <c r="J8463" s="2" t="s">
        <v>13904</v>
      </c>
      <c r="K8463" s="2" t="s">
        <v>19219</v>
      </c>
      <c r="L8463" s="82" t="s">
        <v>19512</v>
      </c>
    </row>
    <row r="8464" spans="1:12" ht="96" customHeight="1" x14ac:dyDescent="0.3">
      <c r="A8464" s="2">
        <v>8460</v>
      </c>
      <c r="B8464" s="66" t="s">
        <v>5029</v>
      </c>
      <c r="C8464" s="66" t="s">
        <v>10099</v>
      </c>
      <c r="D8464" s="11">
        <v>24203.14</v>
      </c>
      <c r="E8464" s="11">
        <v>24203.14</v>
      </c>
      <c r="F8464" s="3">
        <v>41619</v>
      </c>
      <c r="G8464" s="2"/>
      <c r="H8464" s="3">
        <v>43053</v>
      </c>
      <c r="I8464" s="2" t="s">
        <v>19506</v>
      </c>
      <c r="J8464" s="2" t="s">
        <v>13904</v>
      </c>
      <c r="K8464" s="2" t="s">
        <v>19219</v>
      </c>
      <c r="L8464" s="82" t="s">
        <v>19512</v>
      </c>
    </row>
    <row r="8465" spans="1:12" ht="96" customHeight="1" x14ac:dyDescent="0.3">
      <c r="A8465" s="2">
        <v>8461</v>
      </c>
      <c r="B8465" s="66" t="s">
        <v>5029</v>
      </c>
      <c r="C8465" s="66" t="s">
        <v>10100</v>
      </c>
      <c r="D8465" s="11">
        <v>24203.14</v>
      </c>
      <c r="E8465" s="11">
        <v>24203.14</v>
      </c>
      <c r="F8465" s="3">
        <v>41619</v>
      </c>
      <c r="G8465" s="2"/>
      <c r="H8465" s="3">
        <v>43053</v>
      </c>
      <c r="I8465" s="2" t="s">
        <v>19506</v>
      </c>
      <c r="J8465" s="2" t="s">
        <v>13904</v>
      </c>
      <c r="K8465" s="2" t="s">
        <v>19219</v>
      </c>
      <c r="L8465" s="82" t="s">
        <v>19512</v>
      </c>
    </row>
    <row r="8466" spans="1:12" ht="96" customHeight="1" x14ac:dyDescent="0.3">
      <c r="A8466" s="2">
        <v>8462</v>
      </c>
      <c r="B8466" s="66" t="s">
        <v>5029</v>
      </c>
      <c r="C8466" s="66" t="s">
        <v>10101</v>
      </c>
      <c r="D8466" s="11">
        <v>24203.14</v>
      </c>
      <c r="E8466" s="11">
        <v>24203.14</v>
      </c>
      <c r="F8466" s="3">
        <v>41619</v>
      </c>
      <c r="G8466" s="2"/>
      <c r="H8466" s="3">
        <v>43053</v>
      </c>
      <c r="I8466" s="2" t="s">
        <v>19506</v>
      </c>
      <c r="J8466" s="2" t="s">
        <v>13904</v>
      </c>
      <c r="K8466" s="2" t="s">
        <v>19219</v>
      </c>
      <c r="L8466" s="82" t="s">
        <v>19512</v>
      </c>
    </row>
    <row r="8467" spans="1:12" ht="96" customHeight="1" x14ac:dyDescent="0.3">
      <c r="A8467" s="2">
        <v>8463</v>
      </c>
      <c r="B8467" s="66" t="s">
        <v>5029</v>
      </c>
      <c r="C8467" s="66" t="s">
        <v>10102</v>
      </c>
      <c r="D8467" s="11">
        <v>24203.14</v>
      </c>
      <c r="E8467" s="11">
        <v>24203.14</v>
      </c>
      <c r="F8467" s="3">
        <v>41619</v>
      </c>
      <c r="G8467" s="2"/>
      <c r="H8467" s="3">
        <v>43053</v>
      </c>
      <c r="I8467" s="2" t="s">
        <v>19506</v>
      </c>
      <c r="J8467" s="2" t="s">
        <v>13904</v>
      </c>
      <c r="K8467" s="2" t="s">
        <v>19219</v>
      </c>
      <c r="L8467" s="82" t="s">
        <v>19512</v>
      </c>
    </row>
    <row r="8468" spans="1:12" ht="96" customHeight="1" x14ac:dyDescent="0.3">
      <c r="A8468" s="2">
        <v>8464</v>
      </c>
      <c r="B8468" s="66" t="s">
        <v>5029</v>
      </c>
      <c r="C8468" s="66" t="s">
        <v>10103</v>
      </c>
      <c r="D8468" s="11">
        <v>24203.14</v>
      </c>
      <c r="E8468" s="11">
        <v>24203.14</v>
      </c>
      <c r="F8468" s="3">
        <v>41619</v>
      </c>
      <c r="G8468" s="2"/>
      <c r="H8468" s="3">
        <v>43053</v>
      </c>
      <c r="I8468" s="2" t="s">
        <v>19506</v>
      </c>
      <c r="J8468" s="2" t="s">
        <v>13904</v>
      </c>
      <c r="K8468" s="2" t="s">
        <v>19219</v>
      </c>
      <c r="L8468" s="82" t="s">
        <v>19512</v>
      </c>
    </row>
    <row r="8469" spans="1:12" ht="96" customHeight="1" x14ac:dyDescent="0.3">
      <c r="A8469" s="2">
        <v>8465</v>
      </c>
      <c r="B8469" s="66" t="s">
        <v>5029</v>
      </c>
      <c r="C8469" s="66" t="s">
        <v>10104</v>
      </c>
      <c r="D8469" s="11">
        <v>24203.14</v>
      </c>
      <c r="E8469" s="11">
        <v>24203.14</v>
      </c>
      <c r="F8469" s="3">
        <v>41619</v>
      </c>
      <c r="G8469" s="2"/>
      <c r="H8469" s="3">
        <v>43053</v>
      </c>
      <c r="I8469" s="2" t="s">
        <v>19506</v>
      </c>
      <c r="J8469" s="2" t="s">
        <v>13904</v>
      </c>
      <c r="K8469" s="2" t="s">
        <v>19219</v>
      </c>
      <c r="L8469" s="82" t="s">
        <v>19512</v>
      </c>
    </row>
    <row r="8470" spans="1:12" ht="96" customHeight="1" x14ac:dyDescent="0.3">
      <c r="A8470" s="2">
        <v>8466</v>
      </c>
      <c r="B8470" s="66" t="s">
        <v>5029</v>
      </c>
      <c r="C8470" s="66" t="s">
        <v>10105</v>
      </c>
      <c r="D8470" s="11">
        <v>24203.14</v>
      </c>
      <c r="E8470" s="11">
        <v>24203.14</v>
      </c>
      <c r="F8470" s="3">
        <v>41619</v>
      </c>
      <c r="G8470" s="2"/>
      <c r="H8470" s="3">
        <v>43053</v>
      </c>
      <c r="I8470" s="2" t="s">
        <v>19506</v>
      </c>
      <c r="J8470" s="2" t="s">
        <v>13904</v>
      </c>
      <c r="K8470" s="2" t="s">
        <v>19219</v>
      </c>
      <c r="L8470" s="82" t="s">
        <v>19512</v>
      </c>
    </row>
    <row r="8471" spans="1:12" ht="96" customHeight="1" x14ac:dyDescent="0.3">
      <c r="A8471" s="2">
        <v>8467</v>
      </c>
      <c r="B8471" s="66" t="s">
        <v>5029</v>
      </c>
      <c r="C8471" s="66" t="s">
        <v>10106</v>
      </c>
      <c r="D8471" s="11">
        <v>24203.14</v>
      </c>
      <c r="E8471" s="11">
        <v>24203.14</v>
      </c>
      <c r="F8471" s="3">
        <v>41619</v>
      </c>
      <c r="G8471" s="2"/>
      <c r="H8471" s="3">
        <v>43053</v>
      </c>
      <c r="I8471" s="2" t="s">
        <v>19506</v>
      </c>
      <c r="J8471" s="2" t="s">
        <v>13904</v>
      </c>
      <c r="K8471" s="2" t="s">
        <v>19219</v>
      </c>
      <c r="L8471" s="82" t="s">
        <v>19512</v>
      </c>
    </row>
    <row r="8472" spans="1:12" ht="96" customHeight="1" x14ac:dyDescent="0.3">
      <c r="A8472" s="2">
        <v>8468</v>
      </c>
      <c r="B8472" s="66" t="s">
        <v>5029</v>
      </c>
      <c r="C8472" s="66" t="s">
        <v>10107</v>
      </c>
      <c r="D8472" s="11">
        <v>24203.14</v>
      </c>
      <c r="E8472" s="11">
        <v>24203.14</v>
      </c>
      <c r="F8472" s="3">
        <v>41619</v>
      </c>
      <c r="G8472" s="2"/>
      <c r="H8472" s="3">
        <v>43053</v>
      </c>
      <c r="I8472" s="2" t="s">
        <v>19506</v>
      </c>
      <c r="J8472" s="2" t="s">
        <v>13904</v>
      </c>
      <c r="K8472" s="2" t="s">
        <v>19219</v>
      </c>
      <c r="L8472" s="82" t="s">
        <v>19512</v>
      </c>
    </row>
    <row r="8473" spans="1:12" ht="96" customHeight="1" x14ac:dyDescent="0.3">
      <c r="A8473" s="2">
        <v>8469</v>
      </c>
      <c r="B8473" s="66" t="s">
        <v>5029</v>
      </c>
      <c r="C8473" s="66" t="s">
        <v>10108</v>
      </c>
      <c r="D8473" s="11">
        <v>24203.14</v>
      </c>
      <c r="E8473" s="11">
        <v>24203.14</v>
      </c>
      <c r="F8473" s="3">
        <v>41619</v>
      </c>
      <c r="G8473" s="2"/>
      <c r="H8473" s="3">
        <v>43053</v>
      </c>
      <c r="I8473" s="2" t="s">
        <v>19506</v>
      </c>
      <c r="J8473" s="2" t="s">
        <v>13904</v>
      </c>
      <c r="K8473" s="2" t="s">
        <v>19219</v>
      </c>
      <c r="L8473" s="82" t="s">
        <v>19512</v>
      </c>
    </row>
    <row r="8474" spans="1:12" ht="96" customHeight="1" x14ac:dyDescent="0.3">
      <c r="A8474" s="2">
        <v>8470</v>
      </c>
      <c r="B8474" s="66" t="s">
        <v>5029</v>
      </c>
      <c r="C8474" s="66" t="s">
        <v>4656</v>
      </c>
      <c r="D8474" s="11">
        <v>24203.14</v>
      </c>
      <c r="E8474" s="11">
        <v>24203.14</v>
      </c>
      <c r="F8474" s="3">
        <v>41619</v>
      </c>
      <c r="G8474" s="2"/>
      <c r="H8474" s="3">
        <v>43053</v>
      </c>
      <c r="I8474" s="2" t="s">
        <v>19506</v>
      </c>
      <c r="J8474" s="2" t="s">
        <v>13904</v>
      </c>
      <c r="K8474" s="2" t="s">
        <v>19219</v>
      </c>
      <c r="L8474" s="82" t="s">
        <v>19512</v>
      </c>
    </row>
    <row r="8475" spans="1:12" ht="96" customHeight="1" x14ac:dyDescent="0.3">
      <c r="A8475" s="2">
        <v>8471</v>
      </c>
      <c r="B8475" s="66" t="s">
        <v>5029</v>
      </c>
      <c r="C8475" s="66" t="s">
        <v>4657</v>
      </c>
      <c r="D8475" s="11">
        <v>24203.14</v>
      </c>
      <c r="E8475" s="11">
        <v>24203.14</v>
      </c>
      <c r="F8475" s="3">
        <v>41619</v>
      </c>
      <c r="G8475" s="2"/>
      <c r="H8475" s="3">
        <v>43053</v>
      </c>
      <c r="I8475" s="2" t="s">
        <v>19506</v>
      </c>
      <c r="J8475" s="2" t="s">
        <v>13904</v>
      </c>
      <c r="K8475" s="2" t="s">
        <v>19219</v>
      </c>
      <c r="L8475" s="82" t="s">
        <v>19512</v>
      </c>
    </row>
    <row r="8476" spans="1:12" ht="96" customHeight="1" x14ac:dyDescent="0.3">
      <c r="A8476" s="2">
        <v>8472</v>
      </c>
      <c r="B8476" s="66" t="s">
        <v>5029</v>
      </c>
      <c r="C8476" s="66" t="s">
        <v>10109</v>
      </c>
      <c r="D8476" s="11">
        <v>24203.14</v>
      </c>
      <c r="E8476" s="11">
        <v>24203.14</v>
      </c>
      <c r="F8476" s="3">
        <v>41619</v>
      </c>
      <c r="G8476" s="2"/>
      <c r="H8476" s="3">
        <v>43053</v>
      </c>
      <c r="I8476" s="2" t="s">
        <v>19506</v>
      </c>
      <c r="J8476" s="2" t="s">
        <v>13904</v>
      </c>
      <c r="K8476" s="2" t="s">
        <v>19219</v>
      </c>
      <c r="L8476" s="82" t="s">
        <v>19512</v>
      </c>
    </row>
    <row r="8477" spans="1:12" ht="96" customHeight="1" x14ac:dyDescent="0.3">
      <c r="A8477" s="2">
        <v>8473</v>
      </c>
      <c r="B8477" s="66" t="s">
        <v>5029</v>
      </c>
      <c r="C8477" s="66" t="s">
        <v>10110</v>
      </c>
      <c r="D8477" s="11">
        <v>24203.14</v>
      </c>
      <c r="E8477" s="11">
        <v>24203.14</v>
      </c>
      <c r="F8477" s="3">
        <v>41619</v>
      </c>
      <c r="G8477" s="2"/>
      <c r="H8477" s="3">
        <v>43053</v>
      </c>
      <c r="I8477" s="2" t="s">
        <v>19506</v>
      </c>
      <c r="J8477" s="2" t="s">
        <v>13904</v>
      </c>
      <c r="K8477" s="2" t="s">
        <v>19219</v>
      </c>
      <c r="L8477" s="82" t="s">
        <v>19512</v>
      </c>
    </row>
    <row r="8478" spans="1:12" ht="96" customHeight="1" x14ac:dyDescent="0.3">
      <c r="A8478" s="2">
        <v>8474</v>
      </c>
      <c r="B8478" s="66" t="s">
        <v>5029</v>
      </c>
      <c r="C8478" s="66" t="s">
        <v>10111</v>
      </c>
      <c r="D8478" s="11">
        <v>24203.14</v>
      </c>
      <c r="E8478" s="11">
        <v>24203.14</v>
      </c>
      <c r="F8478" s="3">
        <v>41619</v>
      </c>
      <c r="G8478" s="2"/>
      <c r="H8478" s="3">
        <v>43053</v>
      </c>
      <c r="I8478" s="2" t="s">
        <v>19506</v>
      </c>
      <c r="J8478" s="2" t="s">
        <v>13904</v>
      </c>
      <c r="K8478" s="2" t="s">
        <v>19219</v>
      </c>
      <c r="L8478" s="82" t="s">
        <v>19512</v>
      </c>
    </row>
    <row r="8479" spans="1:12" ht="96" customHeight="1" x14ac:dyDescent="0.3">
      <c r="A8479" s="2">
        <v>8475</v>
      </c>
      <c r="B8479" s="66" t="s">
        <v>5029</v>
      </c>
      <c r="C8479" s="66" t="s">
        <v>10112</v>
      </c>
      <c r="D8479" s="11">
        <v>24203.14</v>
      </c>
      <c r="E8479" s="11">
        <v>24203.14</v>
      </c>
      <c r="F8479" s="3">
        <v>41619</v>
      </c>
      <c r="G8479" s="2"/>
      <c r="H8479" s="3">
        <v>43053</v>
      </c>
      <c r="I8479" s="2" t="s">
        <v>19506</v>
      </c>
      <c r="J8479" s="2" t="s">
        <v>13904</v>
      </c>
      <c r="K8479" s="2" t="s">
        <v>19219</v>
      </c>
      <c r="L8479" s="82" t="s">
        <v>19512</v>
      </c>
    </row>
    <row r="8480" spans="1:12" ht="96" customHeight="1" x14ac:dyDescent="0.3">
      <c r="A8480" s="2">
        <v>8476</v>
      </c>
      <c r="B8480" s="66" t="s">
        <v>5029</v>
      </c>
      <c r="C8480" s="66" t="s">
        <v>10113</v>
      </c>
      <c r="D8480" s="11">
        <v>24203.14</v>
      </c>
      <c r="E8480" s="11">
        <v>24203.14</v>
      </c>
      <c r="F8480" s="3">
        <v>41619</v>
      </c>
      <c r="G8480" s="2"/>
      <c r="H8480" s="3">
        <v>43053</v>
      </c>
      <c r="I8480" s="2" t="s">
        <v>19506</v>
      </c>
      <c r="J8480" s="2" t="s">
        <v>13904</v>
      </c>
      <c r="K8480" s="2" t="s">
        <v>19219</v>
      </c>
      <c r="L8480" s="82" t="s">
        <v>19512</v>
      </c>
    </row>
    <row r="8481" spans="1:12" ht="96" customHeight="1" x14ac:dyDescent="0.3">
      <c r="A8481" s="2">
        <v>8477</v>
      </c>
      <c r="B8481" s="66" t="s">
        <v>5043</v>
      </c>
      <c r="C8481" s="66" t="s">
        <v>10114</v>
      </c>
      <c r="D8481" s="11">
        <v>23900</v>
      </c>
      <c r="E8481" s="11">
        <v>23900</v>
      </c>
      <c r="F8481" s="3">
        <v>41619</v>
      </c>
      <c r="G8481" s="2"/>
      <c r="H8481" s="3">
        <v>43053</v>
      </c>
      <c r="I8481" s="2" t="s">
        <v>19506</v>
      </c>
      <c r="J8481" s="2" t="s">
        <v>13904</v>
      </c>
      <c r="K8481" s="2" t="s">
        <v>19219</v>
      </c>
      <c r="L8481" s="82" t="s">
        <v>19512</v>
      </c>
    </row>
    <row r="8482" spans="1:12" ht="96" customHeight="1" x14ac:dyDescent="0.3">
      <c r="A8482" s="2">
        <v>8478</v>
      </c>
      <c r="B8482" s="66" t="s">
        <v>5043</v>
      </c>
      <c r="C8482" s="66" t="s">
        <v>10115</v>
      </c>
      <c r="D8482" s="11">
        <v>23900</v>
      </c>
      <c r="E8482" s="11">
        <v>23900</v>
      </c>
      <c r="F8482" s="3">
        <v>41619</v>
      </c>
      <c r="G8482" s="2"/>
      <c r="H8482" s="3">
        <v>43053</v>
      </c>
      <c r="I8482" s="2" t="s">
        <v>19506</v>
      </c>
      <c r="J8482" s="2" t="s">
        <v>13904</v>
      </c>
      <c r="K8482" s="2" t="s">
        <v>19219</v>
      </c>
      <c r="L8482" s="82" t="s">
        <v>19512</v>
      </c>
    </row>
    <row r="8483" spans="1:12" ht="96" customHeight="1" x14ac:dyDescent="0.3">
      <c r="A8483" s="2">
        <v>8479</v>
      </c>
      <c r="B8483" s="66" t="s">
        <v>5043</v>
      </c>
      <c r="C8483" s="66" t="s">
        <v>10116</v>
      </c>
      <c r="D8483" s="11">
        <v>23900</v>
      </c>
      <c r="E8483" s="11">
        <v>23900</v>
      </c>
      <c r="F8483" s="3">
        <v>41619</v>
      </c>
      <c r="G8483" s="2"/>
      <c r="H8483" s="3">
        <v>43053</v>
      </c>
      <c r="I8483" s="2" t="s">
        <v>19506</v>
      </c>
      <c r="J8483" s="2" t="s">
        <v>13904</v>
      </c>
      <c r="K8483" s="2" t="s">
        <v>19219</v>
      </c>
      <c r="L8483" s="82" t="s">
        <v>19512</v>
      </c>
    </row>
    <row r="8484" spans="1:12" ht="96" customHeight="1" x14ac:dyDescent="0.3">
      <c r="A8484" s="2">
        <v>8480</v>
      </c>
      <c r="B8484" s="66" t="s">
        <v>5043</v>
      </c>
      <c r="C8484" s="66" t="s">
        <v>10117</v>
      </c>
      <c r="D8484" s="11">
        <v>23900</v>
      </c>
      <c r="E8484" s="11">
        <v>23900</v>
      </c>
      <c r="F8484" s="3">
        <v>41619</v>
      </c>
      <c r="G8484" s="2"/>
      <c r="H8484" s="3">
        <v>43053</v>
      </c>
      <c r="I8484" s="2" t="s">
        <v>19506</v>
      </c>
      <c r="J8484" s="2" t="s">
        <v>13904</v>
      </c>
      <c r="K8484" s="2" t="s">
        <v>19219</v>
      </c>
      <c r="L8484" s="82" t="s">
        <v>19512</v>
      </c>
    </row>
    <row r="8485" spans="1:12" ht="96" customHeight="1" x14ac:dyDescent="0.3">
      <c r="A8485" s="2">
        <v>8481</v>
      </c>
      <c r="B8485" s="66" t="s">
        <v>5045</v>
      </c>
      <c r="C8485" s="66" t="s">
        <v>10118</v>
      </c>
      <c r="D8485" s="11">
        <v>12250</v>
      </c>
      <c r="E8485" s="11">
        <v>12250</v>
      </c>
      <c r="F8485" s="3">
        <v>41619</v>
      </c>
      <c r="G8485" s="2"/>
      <c r="H8485" s="3">
        <v>43053</v>
      </c>
      <c r="I8485" s="2" t="s">
        <v>19506</v>
      </c>
      <c r="J8485" s="2" t="s">
        <v>13904</v>
      </c>
      <c r="K8485" s="2" t="s">
        <v>19219</v>
      </c>
      <c r="L8485" s="82" t="s">
        <v>19512</v>
      </c>
    </row>
    <row r="8486" spans="1:12" ht="96" customHeight="1" x14ac:dyDescent="0.3">
      <c r="A8486" s="2">
        <v>8482</v>
      </c>
      <c r="B8486" s="66" t="s">
        <v>5045</v>
      </c>
      <c r="C8486" s="66" t="s">
        <v>10119</v>
      </c>
      <c r="D8486" s="11">
        <v>12250</v>
      </c>
      <c r="E8486" s="11">
        <v>12250</v>
      </c>
      <c r="F8486" s="3">
        <v>41619</v>
      </c>
      <c r="G8486" s="2"/>
      <c r="H8486" s="3">
        <v>43053</v>
      </c>
      <c r="I8486" s="2" t="s">
        <v>19506</v>
      </c>
      <c r="J8486" s="2" t="s">
        <v>13904</v>
      </c>
      <c r="K8486" s="2" t="s">
        <v>19219</v>
      </c>
      <c r="L8486" s="82" t="s">
        <v>19512</v>
      </c>
    </row>
    <row r="8487" spans="1:12" ht="96" customHeight="1" x14ac:dyDescent="0.3">
      <c r="A8487" s="2">
        <v>8483</v>
      </c>
      <c r="B8487" s="66" t="s">
        <v>5045</v>
      </c>
      <c r="C8487" s="66" t="s">
        <v>10120</v>
      </c>
      <c r="D8487" s="11">
        <v>12250</v>
      </c>
      <c r="E8487" s="11">
        <v>12250</v>
      </c>
      <c r="F8487" s="3">
        <v>41619</v>
      </c>
      <c r="G8487" s="2"/>
      <c r="H8487" s="3">
        <v>43053</v>
      </c>
      <c r="I8487" s="2" t="s">
        <v>19506</v>
      </c>
      <c r="J8487" s="2" t="s">
        <v>13904</v>
      </c>
      <c r="K8487" s="2" t="s">
        <v>19219</v>
      </c>
      <c r="L8487" s="82" t="s">
        <v>19512</v>
      </c>
    </row>
    <row r="8488" spans="1:12" ht="96" customHeight="1" x14ac:dyDescent="0.3">
      <c r="A8488" s="2">
        <v>8484</v>
      </c>
      <c r="B8488" s="66" t="s">
        <v>5045</v>
      </c>
      <c r="C8488" s="66" t="s">
        <v>10121</v>
      </c>
      <c r="D8488" s="11">
        <v>12250</v>
      </c>
      <c r="E8488" s="11">
        <v>12250</v>
      </c>
      <c r="F8488" s="3">
        <v>41619</v>
      </c>
      <c r="G8488" s="2"/>
      <c r="H8488" s="3">
        <v>43053</v>
      </c>
      <c r="I8488" s="2" t="s">
        <v>19506</v>
      </c>
      <c r="J8488" s="2" t="s">
        <v>13904</v>
      </c>
      <c r="K8488" s="2" t="s">
        <v>19219</v>
      </c>
      <c r="L8488" s="82" t="s">
        <v>19512</v>
      </c>
    </row>
    <row r="8489" spans="1:12" ht="96" customHeight="1" x14ac:dyDescent="0.3">
      <c r="A8489" s="2">
        <v>8485</v>
      </c>
      <c r="B8489" s="66" t="s">
        <v>5047</v>
      </c>
      <c r="C8489" s="66" t="s">
        <v>10122</v>
      </c>
      <c r="D8489" s="11">
        <v>38584</v>
      </c>
      <c r="E8489" s="11">
        <v>38584</v>
      </c>
      <c r="F8489" s="3">
        <v>41619</v>
      </c>
      <c r="G8489" s="2"/>
      <c r="H8489" s="3">
        <v>43053</v>
      </c>
      <c r="I8489" s="2" t="s">
        <v>19506</v>
      </c>
      <c r="J8489" s="2" t="s">
        <v>13904</v>
      </c>
      <c r="K8489" s="2" t="s">
        <v>19219</v>
      </c>
      <c r="L8489" s="82" t="s">
        <v>19512</v>
      </c>
    </row>
    <row r="8490" spans="1:12" ht="96" customHeight="1" x14ac:dyDescent="0.3">
      <c r="A8490" s="2">
        <v>8486</v>
      </c>
      <c r="B8490" s="66" t="s">
        <v>5047</v>
      </c>
      <c r="C8490" s="66" t="s">
        <v>10123</v>
      </c>
      <c r="D8490" s="11">
        <v>38584</v>
      </c>
      <c r="E8490" s="11">
        <v>38584</v>
      </c>
      <c r="F8490" s="3">
        <v>41619</v>
      </c>
      <c r="G8490" s="2"/>
      <c r="H8490" s="3">
        <v>43053</v>
      </c>
      <c r="I8490" s="2" t="s">
        <v>19506</v>
      </c>
      <c r="J8490" s="2" t="s">
        <v>13904</v>
      </c>
      <c r="K8490" s="2" t="s">
        <v>19219</v>
      </c>
      <c r="L8490" s="82" t="s">
        <v>19512</v>
      </c>
    </row>
    <row r="8491" spans="1:12" ht="96" customHeight="1" x14ac:dyDescent="0.3">
      <c r="A8491" s="2">
        <v>8487</v>
      </c>
      <c r="B8491" s="66" t="s">
        <v>5047</v>
      </c>
      <c r="C8491" s="66" t="s">
        <v>10124</v>
      </c>
      <c r="D8491" s="11">
        <v>38584</v>
      </c>
      <c r="E8491" s="11">
        <v>38584</v>
      </c>
      <c r="F8491" s="3">
        <v>41619</v>
      </c>
      <c r="G8491" s="2"/>
      <c r="H8491" s="3">
        <v>43053</v>
      </c>
      <c r="I8491" s="2" t="s">
        <v>19506</v>
      </c>
      <c r="J8491" s="2" t="s">
        <v>13904</v>
      </c>
      <c r="K8491" s="2" t="s">
        <v>19219</v>
      </c>
      <c r="L8491" s="82" t="s">
        <v>19512</v>
      </c>
    </row>
    <row r="8492" spans="1:12" ht="96" customHeight="1" x14ac:dyDescent="0.3">
      <c r="A8492" s="2">
        <v>8488</v>
      </c>
      <c r="B8492" s="66" t="s">
        <v>5047</v>
      </c>
      <c r="C8492" s="66" t="s">
        <v>10125</v>
      </c>
      <c r="D8492" s="11">
        <v>38584</v>
      </c>
      <c r="E8492" s="11">
        <v>38584</v>
      </c>
      <c r="F8492" s="3">
        <v>41619</v>
      </c>
      <c r="G8492" s="2"/>
      <c r="H8492" s="3">
        <v>43053</v>
      </c>
      <c r="I8492" s="2" t="s">
        <v>19506</v>
      </c>
      <c r="J8492" s="2" t="s">
        <v>13904</v>
      </c>
      <c r="K8492" s="2" t="s">
        <v>19219</v>
      </c>
      <c r="L8492" s="82" t="s">
        <v>19512</v>
      </c>
    </row>
    <row r="8493" spans="1:12" ht="96" customHeight="1" x14ac:dyDescent="0.3">
      <c r="A8493" s="2">
        <v>8489</v>
      </c>
      <c r="B8493" s="66" t="s">
        <v>5049</v>
      </c>
      <c r="C8493" s="66" t="s">
        <v>10126</v>
      </c>
      <c r="D8493" s="11">
        <v>38749</v>
      </c>
      <c r="E8493" s="11">
        <v>38749</v>
      </c>
      <c r="F8493" s="3">
        <v>41619</v>
      </c>
      <c r="G8493" s="2"/>
      <c r="H8493" s="3">
        <v>43053</v>
      </c>
      <c r="I8493" s="2" t="s">
        <v>19506</v>
      </c>
      <c r="J8493" s="2" t="s">
        <v>13904</v>
      </c>
      <c r="K8493" s="2" t="s">
        <v>19219</v>
      </c>
      <c r="L8493" s="82" t="s">
        <v>19512</v>
      </c>
    </row>
    <row r="8494" spans="1:12" ht="96" customHeight="1" x14ac:dyDescent="0.3">
      <c r="A8494" s="2">
        <v>8490</v>
      </c>
      <c r="B8494" s="66" t="s">
        <v>5049</v>
      </c>
      <c r="C8494" s="66" t="s">
        <v>10127</v>
      </c>
      <c r="D8494" s="11">
        <v>38749</v>
      </c>
      <c r="E8494" s="11">
        <v>38749</v>
      </c>
      <c r="F8494" s="3">
        <v>41619</v>
      </c>
      <c r="G8494" s="2"/>
      <c r="H8494" s="3">
        <v>43053</v>
      </c>
      <c r="I8494" s="2" t="s">
        <v>19506</v>
      </c>
      <c r="J8494" s="2" t="s">
        <v>13904</v>
      </c>
      <c r="K8494" s="2" t="s">
        <v>19219</v>
      </c>
      <c r="L8494" s="82" t="s">
        <v>19512</v>
      </c>
    </row>
    <row r="8495" spans="1:12" ht="96" customHeight="1" x14ac:dyDescent="0.3">
      <c r="A8495" s="2">
        <v>8491</v>
      </c>
      <c r="B8495" s="66" t="s">
        <v>5049</v>
      </c>
      <c r="C8495" s="66" t="s">
        <v>10128</v>
      </c>
      <c r="D8495" s="11">
        <v>38749</v>
      </c>
      <c r="E8495" s="11">
        <v>38749</v>
      </c>
      <c r="F8495" s="3">
        <v>41619</v>
      </c>
      <c r="G8495" s="2"/>
      <c r="H8495" s="3">
        <v>43053</v>
      </c>
      <c r="I8495" s="2" t="s">
        <v>19506</v>
      </c>
      <c r="J8495" s="2" t="s">
        <v>13904</v>
      </c>
      <c r="K8495" s="2" t="s">
        <v>19219</v>
      </c>
      <c r="L8495" s="82" t="s">
        <v>19512</v>
      </c>
    </row>
    <row r="8496" spans="1:12" ht="96" customHeight="1" x14ac:dyDescent="0.3">
      <c r="A8496" s="2">
        <v>8492</v>
      </c>
      <c r="B8496" s="66" t="s">
        <v>5049</v>
      </c>
      <c r="C8496" s="66" t="s">
        <v>10129</v>
      </c>
      <c r="D8496" s="11">
        <v>38749</v>
      </c>
      <c r="E8496" s="11">
        <v>38749</v>
      </c>
      <c r="F8496" s="3">
        <v>41619</v>
      </c>
      <c r="G8496" s="2"/>
      <c r="H8496" s="3">
        <v>43053</v>
      </c>
      <c r="I8496" s="2" t="s">
        <v>19506</v>
      </c>
      <c r="J8496" s="2" t="s">
        <v>13904</v>
      </c>
      <c r="K8496" s="2" t="s">
        <v>19219</v>
      </c>
      <c r="L8496" s="82" t="s">
        <v>19512</v>
      </c>
    </row>
    <row r="8497" spans="1:12" ht="96" customHeight="1" x14ac:dyDescent="0.3">
      <c r="A8497" s="2">
        <v>8493</v>
      </c>
      <c r="B8497" s="66" t="s">
        <v>5049</v>
      </c>
      <c r="C8497" s="66" t="s">
        <v>10130</v>
      </c>
      <c r="D8497" s="11">
        <v>38749</v>
      </c>
      <c r="E8497" s="11">
        <v>38749</v>
      </c>
      <c r="F8497" s="3">
        <v>41619</v>
      </c>
      <c r="G8497" s="2"/>
      <c r="H8497" s="3">
        <v>43053</v>
      </c>
      <c r="I8497" s="2" t="s">
        <v>19506</v>
      </c>
      <c r="J8497" s="2" t="s">
        <v>13904</v>
      </c>
      <c r="K8497" s="2" t="s">
        <v>19219</v>
      </c>
      <c r="L8497" s="82" t="s">
        <v>19512</v>
      </c>
    </row>
    <row r="8498" spans="1:12" ht="96" customHeight="1" x14ac:dyDescent="0.3">
      <c r="A8498" s="2">
        <v>8494</v>
      </c>
      <c r="B8498" s="66" t="s">
        <v>5049</v>
      </c>
      <c r="C8498" s="66" t="s">
        <v>10131</v>
      </c>
      <c r="D8498" s="11">
        <v>38749</v>
      </c>
      <c r="E8498" s="11">
        <v>38749</v>
      </c>
      <c r="F8498" s="3">
        <v>41619</v>
      </c>
      <c r="G8498" s="2"/>
      <c r="H8498" s="3">
        <v>43053</v>
      </c>
      <c r="I8498" s="2" t="s">
        <v>19506</v>
      </c>
      <c r="J8498" s="2" t="s">
        <v>13904</v>
      </c>
      <c r="K8498" s="2" t="s">
        <v>19219</v>
      </c>
      <c r="L8498" s="82" t="s">
        <v>19512</v>
      </c>
    </row>
    <row r="8499" spans="1:12" ht="96" customHeight="1" x14ac:dyDescent="0.3">
      <c r="A8499" s="2">
        <v>8495</v>
      </c>
      <c r="B8499" s="66" t="s">
        <v>5049</v>
      </c>
      <c r="C8499" s="66" t="s">
        <v>10132</v>
      </c>
      <c r="D8499" s="11">
        <v>38749</v>
      </c>
      <c r="E8499" s="11">
        <v>38749</v>
      </c>
      <c r="F8499" s="3">
        <v>41619</v>
      </c>
      <c r="G8499" s="2"/>
      <c r="H8499" s="3">
        <v>43053</v>
      </c>
      <c r="I8499" s="2" t="s">
        <v>19506</v>
      </c>
      <c r="J8499" s="2" t="s">
        <v>13904</v>
      </c>
      <c r="K8499" s="2" t="s">
        <v>19219</v>
      </c>
      <c r="L8499" s="82" t="s">
        <v>19512</v>
      </c>
    </row>
    <row r="8500" spans="1:12" ht="96" customHeight="1" x14ac:dyDescent="0.3">
      <c r="A8500" s="2">
        <v>8496</v>
      </c>
      <c r="B8500" s="66" t="s">
        <v>5049</v>
      </c>
      <c r="C8500" s="66" t="s">
        <v>10133</v>
      </c>
      <c r="D8500" s="11">
        <v>38749</v>
      </c>
      <c r="E8500" s="11">
        <v>38749</v>
      </c>
      <c r="F8500" s="3">
        <v>41619</v>
      </c>
      <c r="G8500" s="2"/>
      <c r="H8500" s="3">
        <v>43053</v>
      </c>
      <c r="I8500" s="2" t="s">
        <v>19506</v>
      </c>
      <c r="J8500" s="2" t="s">
        <v>13904</v>
      </c>
      <c r="K8500" s="2" t="s">
        <v>19219</v>
      </c>
      <c r="L8500" s="82" t="s">
        <v>19512</v>
      </c>
    </row>
    <row r="8501" spans="1:12" ht="96" customHeight="1" x14ac:dyDescent="0.3">
      <c r="A8501" s="2">
        <v>8497</v>
      </c>
      <c r="B8501" s="66" t="s">
        <v>5049</v>
      </c>
      <c r="C8501" s="66" t="s">
        <v>10134</v>
      </c>
      <c r="D8501" s="11">
        <v>38749</v>
      </c>
      <c r="E8501" s="11">
        <v>38749</v>
      </c>
      <c r="F8501" s="3">
        <v>41619</v>
      </c>
      <c r="G8501" s="2"/>
      <c r="H8501" s="3">
        <v>43053</v>
      </c>
      <c r="I8501" s="2" t="s">
        <v>19506</v>
      </c>
      <c r="J8501" s="2" t="s">
        <v>13904</v>
      </c>
      <c r="K8501" s="2" t="s">
        <v>19219</v>
      </c>
      <c r="L8501" s="82" t="s">
        <v>19512</v>
      </c>
    </row>
    <row r="8502" spans="1:12" ht="96" customHeight="1" x14ac:dyDescent="0.3">
      <c r="A8502" s="2">
        <v>8498</v>
      </c>
      <c r="B8502" s="66" t="s">
        <v>5049</v>
      </c>
      <c r="C8502" s="66" t="s">
        <v>10135</v>
      </c>
      <c r="D8502" s="11">
        <v>38749</v>
      </c>
      <c r="E8502" s="11">
        <v>38749</v>
      </c>
      <c r="F8502" s="3">
        <v>41619</v>
      </c>
      <c r="G8502" s="2"/>
      <c r="H8502" s="3">
        <v>43053</v>
      </c>
      <c r="I8502" s="2" t="s">
        <v>19506</v>
      </c>
      <c r="J8502" s="2" t="s">
        <v>13904</v>
      </c>
      <c r="K8502" s="2" t="s">
        <v>19219</v>
      </c>
      <c r="L8502" s="82" t="s">
        <v>19512</v>
      </c>
    </row>
    <row r="8503" spans="1:12" ht="96" customHeight="1" x14ac:dyDescent="0.3">
      <c r="A8503" s="2">
        <v>8499</v>
      </c>
      <c r="B8503" s="66" t="s">
        <v>5049</v>
      </c>
      <c r="C8503" s="66" t="s">
        <v>10136</v>
      </c>
      <c r="D8503" s="11">
        <v>38749</v>
      </c>
      <c r="E8503" s="11">
        <v>38749</v>
      </c>
      <c r="F8503" s="3">
        <v>41619</v>
      </c>
      <c r="G8503" s="2"/>
      <c r="H8503" s="3">
        <v>43053</v>
      </c>
      <c r="I8503" s="2" t="s">
        <v>19506</v>
      </c>
      <c r="J8503" s="2" t="s">
        <v>13904</v>
      </c>
      <c r="K8503" s="2" t="s">
        <v>19219</v>
      </c>
      <c r="L8503" s="82" t="s">
        <v>19512</v>
      </c>
    </row>
    <row r="8504" spans="1:12" ht="96" customHeight="1" x14ac:dyDescent="0.3">
      <c r="A8504" s="2">
        <v>8500</v>
      </c>
      <c r="B8504" s="66" t="s">
        <v>5049</v>
      </c>
      <c r="C8504" s="66" t="s">
        <v>10137</v>
      </c>
      <c r="D8504" s="11">
        <v>38749</v>
      </c>
      <c r="E8504" s="11">
        <v>38749</v>
      </c>
      <c r="F8504" s="3">
        <v>41619</v>
      </c>
      <c r="G8504" s="2"/>
      <c r="H8504" s="3">
        <v>43053</v>
      </c>
      <c r="I8504" s="2" t="s">
        <v>19506</v>
      </c>
      <c r="J8504" s="2" t="s">
        <v>13904</v>
      </c>
      <c r="K8504" s="2" t="s">
        <v>19219</v>
      </c>
      <c r="L8504" s="82" t="s">
        <v>19512</v>
      </c>
    </row>
    <row r="8505" spans="1:12" ht="96" customHeight="1" x14ac:dyDescent="0.3">
      <c r="A8505" s="2">
        <v>8501</v>
      </c>
      <c r="B8505" s="66" t="s">
        <v>5049</v>
      </c>
      <c r="C8505" s="66" t="s">
        <v>10138</v>
      </c>
      <c r="D8505" s="11">
        <v>38749</v>
      </c>
      <c r="E8505" s="11">
        <v>38749</v>
      </c>
      <c r="F8505" s="3">
        <v>41619</v>
      </c>
      <c r="G8505" s="2"/>
      <c r="H8505" s="3">
        <v>43053</v>
      </c>
      <c r="I8505" s="2" t="s">
        <v>19506</v>
      </c>
      <c r="J8505" s="2" t="s">
        <v>13904</v>
      </c>
      <c r="K8505" s="2" t="s">
        <v>19219</v>
      </c>
      <c r="L8505" s="82" t="s">
        <v>19512</v>
      </c>
    </row>
    <row r="8506" spans="1:12" ht="96" customHeight="1" x14ac:dyDescent="0.3">
      <c r="A8506" s="2">
        <v>8502</v>
      </c>
      <c r="B8506" s="66" t="s">
        <v>5049</v>
      </c>
      <c r="C8506" s="66" t="s">
        <v>10139</v>
      </c>
      <c r="D8506" s="11">
        <v>38749</v>
      </c>
      <c r="E8506" s="11">
        <v>38749</v>
      </c>
      <c r="F8506" s="3">
        <v>41619</v>
      </c>
      <c r="G8506" s="2"/>
      <c r="H8506" s="3">
        <v>43053</v>
      </c>
      <c r="I8506" s="2" t="s">
        <v>19506</v>
      </c>
      <c r="J8506" s="2" t="s">
        <v>13904</v>
      </c>
      <c r="K8506" s="2" t="s">
        <v>19219</v>
      </c>
      <c r="L8506" s="82" t="s">
        <v>19512</v>
      </c>
    </row>
    <row r="8507" spans="1:12" ht="96" customHeight="1" x14ac:dyDescent="0.3">
      <c r="A8507" s="2">
        <v>8503</v>
      </c>
      <c r="B8507" s="66" t="s">
        <v>5049</v>
      </c>
      <c r="C8507" s="66" t="s">
        <v>10140</v>
      </c>
      <c r="D8507" s="11">
        <v>38749</v>
      </c>
      <c r="E8507" s="11">
        <v>38749</v>
      </c>
      <c r="F8507" s="3">
        <v>41619</v>
      </c>
      <c r="G8507" s="2"/>
      <c r="H8507" s="3">
        <v>43053</v>
      </c>
      <c r="I8507" s="2" t="s">
        <v>19506</v>
      </c>
      <c r="J8507" s="2" t="s">
        <v>13904</v>
      </c>
      <c r="K8507" s="2" t="s">
        <v>19219</v>
      </c>
      <c r="L8507" s="82" t="s">
        <v>19512</v>
      </c>
    </row>
    <row r="8508" spans="1:12" ht="96" customHeight="1" x14ac:dyDescent="0.3">
      <c r="A8508" s="2">
        <v>8504</v>
      </c>
      <c r="B8508" s="66" t="s">
        <v>5049</v>
      </c>
      <c r="C8508" s="66" t="s">
        <v>10141</v>
      </c>
      <c r="D8508" s="11">
        <v>38749</v>
      </c>
      <c r="E8508" s="11">
        <v>38749</v>
      </c>
      <c r="F8508" s="3">
        <v>41619</v>
      </c>
      <c r="G8508" s="2"/>
      <c r="H8508" s="3">
        <v>43053</v>
      </c>
      <c r="I8508" s="2" t="s">
        <v>19506</v>
      </c>
      <c r="J8508" s="2" t="s">
        <v>13904</v>
      </c>
      <c r="K8508" s="2" t="s">
        <v>19219</v>
      </c>
      <c r="L8508" s="82" t="s">
        <v>19512</v>
      </c>
    </row>
    <row r="8509" spans="1:12" ht="96" customHeight="1" x14ac:dyDescent="0.3">
      <c r="A8509" s="2">
        <v>8505</v>
      </c>
      <c r="B8509" s="66" t="s">
        <v>5054</v>
      </c>
      <c r="C8509" s="66" t="s">
        <v>10142</v>
      </c>
      <c r="D8509" s="11">
        <v>4586</v>
      </c>
      <c r="E8509" s="11">
        <v>4586</v>
      </c>
      <c r="F8509" s="3">
        <v>41619</v>
      </c>
      <c r="G8509" s="2"/>
      <c r="H8509" s="3">
        <v>43053</v>
      </c>
      <c r="I8509" s="2" t="s">
        <v>19506</v>
      </c>
      <c r="J8509" s="2" t="s">
        <v>13904</v>
      </c>
      <c r="K8509" s="2" t="s">
        <v>19219</v>
      </c>
      <c r="L8509" s="82" t="s">
        <v>19512</v>
      </c>
    </row>
    <row r="8510" spans="1:12" ht="96" customHeight="1" x14ac:dyDescent="0.3">
      <c r="A8510" s="2">
        <v>8506</v>
      </c>
      <c r="B8510" s="66" t="s">
        <v>5054</v>
      </c>
      <c r="C8510" s="66" t="s">
        <v>10143</v>
      </c>
      <c r="D8510" s="11">
        <v>4586</v>
      </c>
      <c r="E8510" s="11">
        <v>4586</v>
      </c>
      <c r="F8510" s="3">
        <v>41619</v>
      </c>
      <c r="G8510" s="2"/>
      <c r="H8510" s="3">
        <v>43053</v>
      </c>
      <c r="I8510" s="2" t="s">
        <v>19506</v>
      </c>
      <c r="J8510" s="2" t="s">
        <v>13904</v>
      </c>
      <c r="K8510" s="2" t="s">
        <v>19219</v>
      </c>
      <c r="L8510" s="82" t="s">
        <v>19512</v>
      </c>
    </row>
    <row r="8511" spans="1:12" ht="96" customHeight="1" x14ac:dyDescent="0.3">
      <c r="A8511" s="2">
        <v>8507</v>
      </c>
      <c r="B8511" s="66" t="s">
        <v>5054</v>
      </c>
      <c r="C8511" s="66" t="s">
        <v>10144</v>
      </c>
      <c r="D8511" s="11">
        <v>4586</v>
      </c>
      <c r="E8511" s="11">
        <v>4586</v>
      </c>
      <c r="F8511" s="3">
        <v>41619</v>
      </c>
      <c r="G8511" s="2"/>
      <c r="H8511" s="3">
        <v>43053</v>
      </c>
      <c r="I8511" s="2" t="s">
        <v>19506</v>
      </c>
      <c r="J8511" s="2" t="s">
        <v>13904</v>
      </c>
      <c r="K8511" s="2" t="s">
        <v>19219</v>
      </c>
      <c r="L8511" s="82" t="s">
        <v>19512</v>
      </c>
    </row>
    <row r="8512" spans="1:12" ht="96" customHeight="1" x14ac:dyDescent="0.3">
      <c r="A8512" s="2">
        <v>8508</v>
      </c>
      <c r="B8512" s="66" t="s">
        <v>5054</v>
      </c>
      <c r="C8512" s="66" t="s">
        <v>10145</v>
      </c>
      <c r="D8512" s="11">
        <v>4586</v>
      </c>
      <c r="E8512" s="11">
        <v>4586</v>
      </c>
      <c r="F8512" s="3">
        <v>41619</v>
      </c>
      <c r="G8512" s="2"/>
      <c r="H8512" s="3">
        <v>43053</v>
      </c>
      <c r="I8512" s="2" t="s">
        <v>19506</v>
      </c>
      <c r="J8512" s="2" t="s">
        <v>13904</v>
      </c>
      <c r="K8512" s="2" t="s">
        <v>19219</v>
      </c>
      <c r="L8512" s="82" t="s">
        <v>19512</v>
      </c>
    </row>
    <row r="8513" spans="1:12" ht="96" customHeight="1" x14ac:dyDescent="0.3">
      <c r="A8513" s="2">
        <v>8509</v>
      </c>
      <c r="B8513" s="66" t="s">
        <v>5054</v>
      </c>
      <c r="C8513" s="66" t="s">
        <v>10146</v>
      </c>
      <c r="D8513" s="11">
        <v>4586</v>
      </c>
      <c r="E8513" s="11">
        <v>4586</v>
      </c>
      <c r="F8513" s="3">
        <v>41619</v>
      </c>
      <c r="G8513" s="2"/>
      <c r="H8513" s="3">
        <v>43053</v>
      </c>
      <c r="I8513" s="2" t="s">
        <v>19506</v>
      </c>
      <c r="J8513" s="2" t="s">
        <v>13904</v>
      </c>
      <c r="K8513" s="2" t="s">
        <v>19219</v>
      </c>
      <c r="L8513" s="82" t="s">
        <v>19512</v>
      </c>
    </row>
    <row r="8514" spans="1:12" ht="96" customHeight="1" x14ac:dyDescent="0.3">
      <c r="A8514" s="2">
        <v>8510</v>
      </c>
      <c r="B8514" s="66" t="s">
        <v>5054</v>
      </c>
      <c r="C8514" s="66" t="s">
        <v>10147</v>
      </c>
      <c r="D8514" s="11">
        <v>4586</v>
      </c>
      <c r="E8514" s="11">
        <v>4586</v>
      </c>
      <c r="F8514" s="3">
        <v>41619</v>
      </c>
      <c r="G8514" s="2"/>
      <c r="H8514" s="3">
        <v>43053</v>
      </c>
      <c r="I8514" s="2" t="s">
        <v>19506</v>
      </c>
      <c r="J8514" s="2" t="s">
        <v>13904</v>
      </c>
      <c r="K8514" s="2" t="s">
        <v>19219</v>
      </c>
      <c r="L8514" s="82" t="s">
        <v>19512</v>
      </c>
    </row>
    <row r="8515" spans="1:12" ht="96" customHeight="1" x14ac:dyDescent="0.3">
      <c r="A8515" s="2">
        <v>8511</v>
      </c>
      <c r="B8515" s="66" t="s">
        <v>5054</v>
      </c>
      <c r="C8515" s="66" t="s">
        <v>10148</v>
      </c>
      <c r="D8515" s="11">
        <v>4586</v>
      </c>
      <c r="E8515" s="11">
        <v>4586</v>
      </c>
      <c r="F8515" s="3">
        <v>41619</v>
      </c>
      <c r="G8515" s="2"/>
      <c r="H8515" s="3">
        <v>43053</v>
      </c>
      <c r="I8515" s="2" t="s">
        <v>19506</v>
      </c>
      <c r="J8515" s="2" t="s">
        <v>13904</v>
      </c>
      <c r="K8515" s="2" t="s">
        <v>19219</v>
      </c>
      <c r="L8515" s="82" t="s">
        <v>19512</v>
      </c>
    </row>
    <row r="8516" spans="1:12" ht="96" customHeight="1" x14ac:dyDescent="0.3">
      <c r="A8516" s="2">
        <v>8512</v>
      </c>
      <c r="B8516" s="66" t="s">
        <v>5054</v>
      </c>
      <c r="C8516" s="66" t="s">
        <v>10149</v>
      </c>
      <c r="D8516" s="11">
        <v>4586</v>
      </c>
      <c r="E8516" s="11">
        <v>4586</v>
      </c>
      <c r="F8516" s="3">
        <v>41619</v>
      </c>
      <c r="G8516" s="2"/>
      <c r="H8516" s="3">
        <v>43053</v>
      </c>
      <c r="I8516" s="2" t="s">
        <v>19506</v>
      </c>
      <c r="J8516" s="2" t="s">
        <v>13904</v>
      </c>
      <c r="K8516" s="2" t="s">
        <v>19219</v>
      </c>
      <c r="L8516" s="82" t="s">
        <v>19512</v>
      </c>
    </row>
    <row r="8517" spans="1:12" ht="96" customHeight="1" x14ac:dyDescent="0.3">
      <c r="A8517" s="2">
        <v>8513</v>
      </c>
      <c r="B8517" s="66" t="s">
        <v>5054</v>
      </c>
      <c r="C8517" s="66" t="s">
        <v>10150</v>
      </c>
      <c r="D8517" s="11">
        <v>4586</v>
      </c>
      <c r="E8517" s="11">
        <v>4586</v>
      </c>
      <c r="F8517" s="3">
        <v>41619</v>
      </c>
      <c r="G8517" s="2"/>
      <c r="H8517" s="3">
        <v>43053</v>
      </c>
      <c r="I8517" s="2" t="s">
        <v>19506</v>
      </c>
      <c r="J8517" s="2" t="s">
        <v>13904</v>
      </c>
      <c r="K8517" s="2" t="s">
        <v>19219</v>
      </c>
      <c r="L8517" s="82" t="s">
        <v>19512</v>
      </c>
    </row>
    <row r="8518" spans="1:12" ht="96" customHeight="1" x14ac:dyDescent="0.3">
      <c r="A8518" s="2">
        <v>8514</v>
      </c>
      <c r="B8518" s="66" t="s">
        <v>5054</v>
      </c>
      <c r="C8518" s="66" t="s">
        <v>10151</v>
      </c>
      <c r="D8518" s="11">
        <v>4586</v>
      </c>
      <c r="E8518" s="11">
        <v>4586</v>
      </c>
      <c r="F8518" s="3">
        <v>41619</v>
      </c>
      <c r="G8518" s="2"/>
      <c r="H8518" s="3">
        <v>43053</v>
      </c>
      <c r="I8518" s="2" t="s">
        <v>19506</v>
      </c>
      <c r="J8518" s="2" t="s">
        <v>13904</v>
      </c>
      <c r="K8518" s="2" t="s">
        <v>19219</v>
      </c>
      <c r="L8518" s="82" t="s">
        <v>19512</v>
      </c>
    </row>
    <row r="8519" spans="1:12" ht="96" customHeight="1" x14ac:dyDescent="0.3">
      <c r="A8519" s="2">
        <v>8515</v>
      </c>
      <c r="B8519" s="66" t="s">
        <v>5054</v>
      </c>
      <c r="C8519" s="66" t="s">
        <v>10152</v>
      </c>
      <c r="D8519" s="11">
        <v>4586</v>
      </c>
      <c r="E8519" s="11">
        <v>4586</v>
      </c>
      <c r="F8519" s="3">
        <v>41619</v>
      </c>
      <c r="G8519" s="2"/>
      <c r="H8519" s="3">
        <v>43053</v>
      </c>
      <c r="I8519" s="2" t="s">
        <v>19506</v>
      </c>
      <c r="J8519" s="2" t="s">
        <v>13904</v>
      </c>
      <c r="K8519" s="2" t="s">
        <v>19219</v>
      </c>
      <c r="L8519" s="82" t="s">
        <v>19512</v>
      </c>
    </row>
    <row r="8520" spans="1:12" ht="96" customHeight="1" x14ac:dyDescent="0.3">
      <c r="A8520" s="2">
        <v>8516</v>
      </c>
      <c r="B8520" s="66" t="s">
        <v>5054</v>
      </c>
      <c r="C8520" s="66" t="s">
        <v>10153</v>
      </c>
      <c r="D8520" s="11">
        <v>4586</v>
      </c>
      <c r="E8520" s="11">
        <v>4586</v>
      </c>
      <c r="F8520" s="3">
        <v>41619</v>
      </c>
      <c r="G8520" s="2"/>
      <c r="H8520" s="3">
        <v>43053</v>
      </c>
      <c r="I8520" s="2" t="s">
        <v>19506</v>
      </c>
      <c r="J8520" s="2" t="s">
        <v>13904</v>
      </c>
      <c r="K8520" s="2" t="s">
        <v>19219</v>
      </c>
      <c r="L8520" s="82" t="s">
        <v>19512</v>
      </c>
    </row>
    <row r="8521" spans="1:12" ht="96" customHeight="1" x14ac:dyDescent="0.3">
      <c r="A8521" s="2">
        <v>8517</v>
      </c>
      <c r="B8521" s="66" t="s">
        <v>5054</v>
      </c>
      <c r="C8521" s="66" t="s">
        <v>10154</v>
      </c>
      <c r="D8521" s="11">
        <v>4586</v>
      </c>
      <c r="E8521" s="11">
        <v>4586</v>
      </c>
      <c r="F8521" s="3">
        <v>41619</v>
      </c>
      <c r="G8521" s="2"/>
      <c r="H8521" s="3">
        <v>43053</v>
      </c>
      <c r="I8521" s="2" t="s">
        <v>19506</v>
      </c>
      <c r="J8521" s="2" t="s">
        <v>13904</v>
      </c>
      <c r="K8521" s="2" t="s">
        <v>19219</v>
      </c>
      <c r="L8521" s="82" t="s">
        <v>19512</v>
      </c>
    </row>
    <row r="8522" spans="1:12" ht="96" customHeight="1" x14ac:dyDescent="0.3">
      <c r="A8522" s="2">
        <v>8518</v>
      </c>
      <c r="B8522" s="66" t="s">
        <v>5054</v>
      </c>
      <c r="C8522" s="66" t="s">
        <v>10155</v>
      </c>
      <c r="D8522" s="11">
        <v>4586</v>
      </c>
      <c r="E8522" s="11">
        <v>4586</v>
      </c>
      <c r="F8522" s="3">
        <v>41619</v>
      </c>
      <c r="G8522" s="2"/>
      <c r="H8522" s="3">
        <v>43053</v>
      </c>
      <c r="I8522" s="2" t="s">
        <v>19506</v>
      </c>
      <c r="J8522" s="2" t="s">
        <v>13904</v>
      </c>
      <c r="K8522" s="2" t="s">
        <v>19219</v>
      </c>
      <c r="L8522" s="82" t="s">
        <v>19512</v>
      </c>
    </row>
    <row r="8523" spans="1:12" ht="96" customHeight="1" x14ac:dyDescent="0.3">
      <c r="A8523" s="2">
        <v>8519</v>
      </c>
      <c r="B8523" s="66" t="s">
        <v>5054</v>
      </c>
      <c r="C8523" s="66" t="s">
        <v>10156</v>
      </c>
      <c r="D8523" s="11">
        <v>4586</v>
      </c>
      <c r="E8523" s="11">
        <v>4586</v>
      </c>
      <c r="F8523" s="3">
        <v>41619</v>
      </c>
      <c r="G8523" s="2"/>
      <c r="H8523" s="3">
        <v>43053</v>
      </c>
      <c r="I8523" s="2" t="s">
        <v>19506</v>
      </c>
      <c r="J8523" s="2" t="s">
        <v>13904</v>
      </c>
      <c r="K8523" s="2" t="s">
        <v>19219</v>
      </c>
      <c r="L8523" s="82" t="s">
        <v>19512</v>
      </c>
    </row>
    <row r="8524" spans="1:12" ht="96" customHeight="1" x14ac:dyDescent="0.3">
      <c r="A8524" s="2">
        <v>8520</v>
      </c>
      <c r="B8524" s="66" t="s">
        <v>5054</v>
      </c>
      <c r="C8524" s="66" t="s">
        <v>10157</v>
      </c>
      <c r="D8524" s="11">
        <v>4586</v>
      </c>
      <c r="E8524" s="11">
        <v>4586</v>
      </c>
      <c r="F8524" s="3">
        <v>41619</v>
      </c>
      <c r="G8524" s="2"/>
      <c r="H8524" s="3">
        <v>43053</v>
      </c>
      <c r="I8524" s="2" t="s">
        <v>19506</v>
      </c>
      <c r="J8524" s="2" t="s">
        <v>13904</v>
      </c>
      <c r="K8524" s="2" t="s">
        <v>19219</v>
      </c>
      <c r="L8524" s="82" t="s">
        <v>19512</v>
      </c>
    </row>
    <row r="8525" spans="1:12" ht="96" customHeight="1" x14ac:dyDescent="0.3">
      <c r="A8525" s="2">
        <v>8521</v>
      </c>
      <c r="B8525" s="66" t="s">
        <v>5059</v>
      </c>
      <c r="C8525" s="66" t="s">
        <v>10158</v>
      </c>
      <c r="D8525" s="11">
        <v>11760</v>
      </c>
      <c r="E8525" s="11">
        <v>11760</v>
      </c>
      <c r="F8525" s="3">
        <v>41619</v>
      </c>
      <c r="G8525" s="2"/>
      <c r="H8525" s="3">
        <v>43053</v>
      </c>
      <c r="I8525" s="2" t="s">
        <v>19506</v>
      </c>
      <c r="J8525" s="2" t="s">
        <v>13904</v>
      </c>
      <c r="K8525" s="2" t="s">
        <v>19219</v>
      </c>
      <c r="L8525" s="82" t="s">
        <v>19512</v>
      </c>
    </row>
    <row r="8526" spans="1:12" ht="96" customHeight="1" x14ac:dyDescent="0.3">
      <c r="A8526" s="2">
        <v>8522</v>
      </c>
      <c r="B8526" s="66" t="s">
        <v>5059</v>
      </c>
      <c r="C8526" s="66" t="s">
        <v>10159</v>
      </c>
      <c r="D8526" s="11">
        <v>11760</v>
      </c>
      <c r="E8526" s="11">
        <v>11760</v>
      </c>
      <c r="F8526" s="3">
        <v>41619</v>
      </c>
      <c r="G8526" s="2"/>
      <c r="H8526" s="3">
        <v>43053</v>
      </c>
      <c r="I8526" s="2" t="s">
        <v>19506</v>
      </c>
      <c r="J8526" s="2" t="s">
        <v>13904</v>
      </c>
      <c r="K8526" s="2" t="s">
        <v>19219</v>
      </c>
      <c r="L8526" s="82" t="s">
        <v>19512</v>
      </c>
    </row>
    <row r="8527" spans="1:12" ht="96" customHeight="1" x14ac:dyDescent="0.3">
      <c r="A8527" s="2">
        <v>8523</v>
      </c>
      <c r="B8527" s="66" t="s">
        <v>5059</v>
      </c>
      <c r="C8527" s="66" t="s">
        <v>10160</v>
      </c>
      <c r="D8527" s="11">
        <v>11760</v>
      </c>
      <c r="E8527" s="11">
        <v>11760</v>
      </c>
      <c r="F8527" s="3">
        <v>41619</v>
      </c>
      <c r="G8527" s="2"/>
      <c r="H8527" s="3">
        <v>43053</v>
      </c>
      <c r="I8527" s="2" t="s">
        <v>19506</v>
      </c>
      <c r="J8527" s="2" t="s">
        <v>13904</v>
      </c>
      <c r="K8527" s="2" t="s">
        <v>19219</v>
      </c>
      <c r="L8527" s="82" t="s">
        <v>19512</v>
      </c>
    </row>
    <row r="8528" spans="1:12" ht="96" customHeight="1" x14ac:dyDescent="0.3">
      <c r="A8528" s="2">
        <v>8524</v>
      </c>
      <c r="B8528" s="66" t="s">
        <v>5059</v>
      </c>
      <c r="C8528" s="66" t="s">
        <v>10161</v>
      </c>
      <c r="D8528" s="11">
        <v>11760</v>
      </c>
      <c r="E8528" s="11">
        <v>11760</v>
      </c>
      <c r="F8528" s="3">
        <v>41619</v>
      </c>
      <c r="G8528" s="2"/>
      <c r="H8528" s="3">
        <v>43053</v>
      </c>
      <c r="I8528" s="2" t="s">
        <v>19506</v>
      </c>
      <c r="J8528" s="2" t="s">
        <v>13904</v>
      </c>
      <c r="K8528" s="2" t="s">
        <v>19219</v>
      </c>
      <c r="L8528" s="82" t="s">
        <v>19512</v>
      </c>
    </row>
    <row r="8529" spans="1:12" ht="96" customHeight="1" x14ac:dyDescent="0.3">
      <c r="A8529" s="2">
        <v>8525</v>
      </c>
      <c r="B8529" s="66" t="s">
        <v>5061</v>
      </c>
      <c r="C8529" s="66" t="s">
        <v>10162</v>
      </c>
      <c r="D8529" s="11">
        <v>3490</v>
      </c>
      <c r="E8529" s="11">
        <v>3490</v>
      </c>
      <c r="F8529" s="3">
        <v>41619</v>
      </c>
      <c r="G8529" s="2"/>
      <c r="H8529" s="3">
        <v>43053</v>
      </c>
      <c r="I8529" s="2" t="s">
        <v>19506</v>
      </c>
      <c r="J8529" s="2" t="s">
        <v>13904</v>
      </c>
      <c r="K8529" s="2" t="s">
        <v>19219</v>
      </c>
      <c r="L8529" s="82" t="s">
        <v>19512</v>
      </c>
    </row>
    <row r="8530" spans="1:12" ht="96" customHeight="1" x14ac:dyDescent="0.3">
      <c r="A8530" s="2">
        <v>8526</v>
      </c>
      <c r="B8530" s="66" t="s">
        <v>5061</v>
      </c>
      <c r="C8530" s="66" t="s">
        <v>10163</v>
      </c>
      <c r="D8530" s="11">
        <v>3490</v>
      </c>
      <c r="E8530" s="11">
        <v>3490</v>
      </c>
      <c r="F8530" s="3">
        <v>41619</v>
      </c>
      <c r="G8530" s="2"/>
      <c r="H8530" s="3">
        <v>43053</v>
      </c>
      <c r="I8530" s="2" t="s">
        <v>19506</v>
      </c>
      <c r="J8530" s="2" t="s">
        <v>13904</v>
      </c>
      <c r="K8530" s="2" t="s">
        <v>19219</v>
      </c>
      <c r="L8530" s="82" t="s">
        <v>19512</v>
      </c>
    </row>
    <row r="8531" spans="1:12" ht="96" customHeight="1" x14ac:dyDescent="0.3">
      <c r="A8531" s="2">
        <v>8527</v>
      </c>
      <c r="B8531" s="66" t="s">
        <v>5061</v>
      </c>
      <c r="C8531" s="66" t="s">
        <v>10164</v>
      </c>
      <c r="D8531" s="11">
        <v>3490</v>
      </c>
      <c r="E8531" s="11">
        <v>3490</v>
      </c>
      <c r="F8531" s="3">
        <v>41619</v>
      </c>
      <c r="G8531" s="2"/>
      <c r="H8531" s="3">
        <v>43053</v>
      </c>
      <c r="I8531" s="2" t="s">
        <v>19506</v>
      </c>
      <c r="J8531" s="2" t="s">
        <v>13904</v>
      </c>
      <c r="K8531" s="2" t="s">
        <v>19219</v>
      </c>
      <c r="L8531" s="82" t="s">
        <v>19512</v>
      </c>
    </row>
    <row r="8532" spans="1:12" ht="96" customHeight="1" x14ac:dyDescent="0.3">
      <c r="A8532" s="2">
        <v>8528</v>
      </c>
      <c r="B8532" s="66" t="s">
        <v>5061</v>
      </c>
      <c r="C8532" s="66" t="s">
        <v>10165</v>
      </c>
      <c r="D8532" s="11">
        <v>3490</v>
      </c>
      <c r="E8532" s="11">
        <v>3490</v>
      </c>
      <c r="F8532" s="3">
        <v>41619</v>
      </c>
      <c r="G8532" s="2"/>
      <c r="H8532" s="3">
        <v>43053</v>
      </c>
      <c r="I8532" s="2" t="s">
        <v>19506</v>
      </c>
      <c r="J8532" s="2" t="s">
        <v>13904</v>
      </c>
      <c r="K8532" s="2" t="s">
        <v>19219</v>
      </c>
      <c r="L8532" s="82" t="s">
        <v>19512</v>
      </c>
    </row>
    <row r="8533" spans="1:12" ht="96" customHeight="1" x14ac:dyDescent="0.3">
      <c r="A8533" s="2">
        <v>8529</v>
      </c>
      <c r="B8533" s="66" t="s">
        <v>5063</v>
      </c>
      <c r="C8533" s="66" t="s">
        <v>10166</v>
      </c>
      <c r="D8533" s="11">
        <v>30638</v>
      </c>
      <c r="E8533" s="11">
        <v>30638</v>
      </c>
      <c r="F8533" s="3">
        <v>41619</v>
      </c>
      <c r="G8533" s="2"/>
      <c r="H8533" s="3">
        <v>43053</v>
      </c>
      <c r="I8533" s="2" t="s">
        <v>19506</v>
      </c>
      <c r="J8533" s="2" t="s">
        <v>13904</v>
      </c>
      <c r="K8533" s="2" t="s">
        <v>19219</v>
      </c>
      <c r="L8533" s="82" t="s">
        <v>19512</v>
      </c>
    </row>
    <row r="8534" spans="1:12" ht="96" customHeight="1" x14ac:dyDescent="0.3">
      <c r="A8534" s="2">
        <v>8530</v>
      </c>
      <c r="B8534" s="66" t="s">
        <v>5063</v>
      </c>
      <c r="C8534" s="66" t="s">
        <v>10167</v>
      </c>
      <c r="D8534" s="11">
        <v>30638</v>
      </c>
      <c r="E8534" s="11">
        <v>30638</v>
      </c>
      <c r="F8534" s="3">
        <v>41619</v>
      </c>
      <c r="G8534" s="2"/>
      <c r="H8534" s="3">
        <v>43053</v>
      </c>
      <c r="I8534" s="2" t="s">
        <v>19506</v>
      </c>
      <c r="J8534" s="2" t="s">
        <v>13904</v>
      </c>
      <c r="K8534" s="2" t="s">
        <v>19219</v>
      </c>
      <c r="L8534" s="82" t="s">
        <v>19512</v>
      </c>
    </row>
    <row r="8535" spans="1:12" ht="96" customHeight="1" x14ac:dyDescent="0.3">
      <c r="A8535" s="2">
        <v>8531</v>
      </c>
      <c r="B8535" s="66" t="s">
        <v>5063</v>
      </c>
      <c r="C8535" s="66" t="s">
        <v>10168</v>
      </c>
      <c r="D8535" s="11">
        <v>30638</v>
      </c>
      <c r="E8535" s="11">
        <v>30638</v>
      </c>
      <c r="F8535" s="3">
        <v>41619</v>
      </c>
      <c r="G8535" s="2"/>
      <c r="H8535" s="3">
        <v>43053</v>
      </c>
      <c r="I8535" s="2" t="s">
        <v>19506</v>
      </c>
      <c r="J8535" s="2" t="s">
        <v>13904</v>
      </c>
      <c r="K8535" s="2" t="s">
        <v>19219</v>
      </c>
      <c r="L8535" s="82" t="s">
        <v>19512</v>
      </c>
    </row>
    <row r="8536" spans="1:12" ht="96" customHeight="1" x14ac:dyDescent="0.3">
      <c r="A8536" s="2">
        <v>8532</v>
      </c>
      <c r="B8536" s="66" t="s">
        <v>5063</v>
      </c>
      <c r="C8536" s="66" t="s">
        <v>10169</v>
      </c>
      <c r="D8536" s="11">
        <v>30638</v>
      </c>
      <c r="E8536" s="11">
        <v>30638</v>
      </c>
      <c r="F8536" s="3">
        <v>41619</v>
      </c>
      <c r="G8536" s="2"/>
      <c r="H8536" s="3">
        <v>43053</v>
      </c>
      <c r="I8536" s="2" t="s">
        <v>19506</v>
      </c>
      <c r="J8536" s="2" t="s">
        <v>13904</v>
      </c>
      <c r="K8536" s="2" t="s">
        <v>19219</v>
      </c>
      <c r="L8536" s="82" t="s">
        <v>19512</v>
      </c>
    </row>
    <row r="8537" spans="1:12" ht="96" customHeight="1" x14ac:dyDescent="0.3">
      <c r="A8537" s="2">
        <v>8533</v>
      </c>
      <c r="B8537" s="66" t="s">
        <v>5063</v>
      </c>
      <c r="C8537" s="66" t="s">
        <v>10170</v>
      </c>
      <c r="D8537" s="11">
        <v>30638</v>
      </c>
      <c r="E8537" s="11">
        <v>30638</v>
      </c>
      <c r="F8537" s="3">
        <v>41619</v>
      </c>
      <c r="G8537" s="2"/>
      <c r="H8537" s="3">
        <v>43053</v>
      </c>
      <c r="I8537" s="2" t="s">
        <v>19506</v>
      </c>
      <c r="J8537" s="2" t="s">
        <v>13904</v>
      </c>
      <c r="K8537" s="2" t="s">
        <v>19219</v>
      </c>
      <c r="L8537" s="82" t="s">
        <v>19512</v>
      </c>
    </row>
    <row r="8538" spans="1:12" ht="96" customHeight="1" x14ac:dyDescent="0.3">
      <c r="A8538" s="2">
        <v>8534</v>
      </c>
      <c r="B8538" s="66" t="s">
        <v>5063</v>
      </c>
      <c r="C8538" s="66" t="s">
        <v>10171</v>
      </c>
      <c r="D8538" s="11">
        <v>30638</v>
      </c>
      <c r="E8538" s="11">
        <v>30638</v>
      </c>
      <c r="F8538" s="3">
        <v>41619</v>
      </c>
      <c r="G8538" s="2"/>
      <c r="H8538" s="3">
        <v>43053</v>
      </c>
      <c r="I8538" s="2" t="s">
        <v>19506</v>
      </c>
      <c r="J8538" s="2" t="s">
        <v>13904</v>
      </c>
      <c r="K8538" s="2" t="s">
        <v>19219</v>
      </c>
      <c r="L8538" s="82" t="s">
        <v>19512</v>
      </c>
    </row>
    <row r="8539" spans="1:12" ht="96" customHeight="1" x14ac:dyDescent="0.3">
      <c r="A8539" s="2">
        <v>8535</v>
      </c>
      <c r="B8539" s="66" t="s">
        <v>5063</v>
      </c>
      <c r="C8539" s="66" t="s">
        <v>10172</v>
      </c>
      <c r="D8539" s="11">
        <v>30638</v>
      </c>
      <c r="E8539" s="11">
        <v>30638</v>
      </c>
      <c r="F8539" s="3">
        <v>41619</v>
      </c>
      <c r="G8539" s="2"/>
      <c r="H8539" s="3">
        <v>43053</v>
      </c>
      <c r="I8539" s="2" t="s">
        <v>19506</v>
      </c>
      <c r="J8539" s="2" t="s">
        <v>13904</v>
      </c>
      <c r="K8539" s="2" t="s">
        <v>19219</v>
      </c>
      <c r="L8539" s="82" t="s">
        <v>19512</v>
      </c>
    </row>
    <row r="8540" spans="1:12" ht="96" customHeight="1" x14ac:dyDescent="0.3">
      <c r="A8540" s="2">
        <v>8536</v>
      </c>
      <c r="B8540" s="66" t="s">
        <v>5063</v>
      </c>
      <c r="C8540" s="66" t="s">
        <v>10173</v>
      </c>
      <c r="D8540" s="11">
        <v>30638</v>
      </c>
      <c r="E8540" s="11">
        <v>30638</v>
      </c>
      <c r="F8540" s="3">
        <v>41619</v>
      </c>
      <c r="G8540" s="2"/>
      <c r="H8540" s="3">
        <v>43053</v>
      </c>
      <c r="I8540" s="2" t="s">
        <v>19506</v>
      </c>
      <c r="J8540" s="2" t="s">
        <v>13904</v>
      </c>
      <c r="K8540" s="2" t="s">
        <v>19219</v>
      </c>
      <c r="L8540" s="82" t="s">
        <v>19512</v>
      </c>
    </row>
    <row r="8541" spans="1:12" ht="96" customHeight="1" x14ac:dyDescent="0.3">
      <c r="A8541" s="2">
        <v>8537</v>
      </c>
      <c r="B8541" s="66" t="s">
        <v>5066</v>
      </c>
      <c r="C8541" s="66" t="s">
        <v>10174</v>
      </c>
      <c r="D8541" s="11">
        <v>8600</v>
      </c>
      <c r="E8541" s="11">
        <v>8600</v>
      </c>
      <c r="F8541" s="3">
        <v>41619</v>
      </c>
      <c r="G8541" s="2"/>
      <c r="H8541" s="3">
        <v>43053</v>
      </c>
      <c r="I8541" s="2" t="s">
        <v>19506</v>
      </c>
      <c r="J8541" s="2" t="s">
        <v>13904</v>
      </c>
      <c r="K8541" s="2" t="s">
        <v>19219</v>
      </c>
      <c r="L8541" s="82" t="s">
        <v>19512</v>
      </c>
    </row>
    <row r="8542" spans="1:12" ht="96" customHeight="1" x14ac:dyDescent="0.3">
      <c r="A8542" s="2">
        <v>8538</v>
      </c>
      <c r="B8542" s="66" t="s">
        <v>5066</v>
      </c>
      <c r="C8542" s="66" t="s">
        <v>10175</v>
      </c>
      <c r="D8542" s="11">
        <v>8600</v>
      </c>
      <c r="E8542" s="11">
        <v>8600</v>
      </c>
      <c r="F8542" s="3">
        <v>41619</v>
      </c>
      <c r="G8542" s="2"/>
      <c r="H8542" s="3">
        <v>43053</v>
      </c>
      <c r="I8542" s="2" t="s">
        <v>19506</v>
      </c>
      <c r="J8542" s="2" t="s">
        <v>13904</v>
      </c>
      <c r="K8542" s="2" t="s">
        <v>19219</v>
      </c>
      <c r="L8542" s="82" t="s">
        <v>19512</v>
      </c>
    </row>
    <row r="8543" spans="1:12" ht="96" customHeight="1" x14ac:dyDescent="0.3">
      <c r="A8543" s="2">
        <v>8539</v>
      </c>
      <c r="B8543" s="66" t="s">
        <v>5066</v>
      </c>
      <c r="C8543" s="66" t="s">
        <v>10176</v>
      </c>
      <c r="D8543" s="11">
        <v>8600</v>
      </c>
      <c r="E8543" s="11">
        <v>8600</v>
      </c>
      <c r="F8543" s="3">
        <v>41619</v>
      </c>
      <c r="G8543" s="2"/>
      <c r="H8543" s="3">
        <v>43053</v>
      </c>
      <c r="I8543" s="2" t="s">
        <v>19506</v>
      </c>
      <c r="J8543" s="2" t="s">
        <v>13904</v>
      </c>
      <c r="K8543" s="2" t="s">
        <v>19219</v>
      </c>
      <c r="L8543" s="82" t="s">
        <v>19512</v>
      </c>
    </row>
    <row r="8544" spans="1:12" ht="96" customHeight="1" x14ac:dyDescent="0.3">
      <c r="A8544" s="2">
        <v>8540</v>
      </c>
      <c r="B8544" s="66" t="s">
        <v>5066</v>
      </c>
      <c r="C8544" s="66" t="s">
        <v>10177</v>
      </c>
      <c r="D8544" s="11">
        <v>8600</v>
      </c>
      <c r="E8544" s="11">
        <v>8600</v>
      </c>
      <c r="F8544" s="3">
        <v>41619</v>
      </c>
      <c r="G8544" s="2"/>
      <c r="H8544" s="3">
        <v>43053</v>
      </c>
      <c r="I8544" s="2" t="s">
        <v>19506</v>
      </c>
      <c r="J8544" s="2" t="s">
        <v>13904</v>
      </c>
      <c r="K8544" s="2" t="s">
        <v>19219</v>
      </c>
      <c r="L8544" s="82" t="s">
        <v>19512</v>
      </c>
    </row>
    <row r="8545" spans="1:12" ht="96" customHeight="1" x14ac:dyDescent="0.3">
      <c r="A8545" s="2">
        <v>8541</v>
      </c>
      <c r="B8545" s="66" t="s">
        <v>5027</v>
      </c>
      <c r="C8545" s="66" t="s">
        <v>10178</v>
      </c>
      <c r="D8545" s="11">
        <v>24203.14</v>
      </c>
      <c r="E8545" s="11">
        <v>24203.14</v>
      </c>
      <c r="F8545" s="3">
        <v>41619</v>
      </c>
      <c r="G8545" s="2"/>
      <c r="H8545" s="3">
        <v>43053</v>
      </c>
      <c r="I8545" s="2" t="s">
        <v>19506</v>
      </c>
      <c r="J8545" s="2" t="s">
        <v>13904</v>
      </c>
      <c r="K8545" s="2" t="s">
        <v>19219</v>
      </c>
      <c r="L8545" s="82" t="s">
        <v>19512</v>
      </c>
    </row>
    <row r="8546" spans="1:12" ht="96" customHeight="1" x14ac:dyDescent="0.3">
      <c r="A8546" s="2">
        <v>8542</v>
      </c>
      <c r="B8546" s="66" t="s">
        <v>10179</v>
      </c>
      <c r="C8546" s="66" t="s">
        <v>10180</v>
      </c>
      <c r="D8546" s="11">
        <v>4495</v>
      </c>
      <c r="E8546" s="11">
        <v>4495</v>
      </c>
      <c r="F8546" s="3">
        <v>41599</v>
      </c>
      <c r="G8546" s="2"/>
      <c r="H8546" s="3">
        <v>43053</v>
      </c>
      <c r="I8546" s="2" t="s">
        <v>19506</v>
      </c>
      <c r="J8546" s="2" t="s">
        <v>13904</v>
      </c>
      <c r="K8546" s="2" t="s">
        <v>19219</v>
      </c>
      <c r="L8546" s="82" t="s">
        <v>19512</v>
      </c>
    </row>
    <row r="8547" spans="1:12" ht="96" customHeight="1" x14ac:dyDescent="0.3">
      <c r="A8547" s="2">
        <v>8543</v>
      </c>
      <c r="B8547" s="66" t="s">
        <v>10179</v>
      </c>
      <c r="C8547" s="66" t="s">
        <v>10181</v>
      </c>
      <c r="D8547" s="11">
        <v>4495</v>
      </c>
      <c r="E8547" s="11">
        <v>4495</v>
      </c>
      <c r="F8547" s="3">
        <v>41599</v>
      </c>
      <c r="G8547" s="2"/>
      <c r="H8547" s="3">
        <v>43053</v>
      </c>
      <c r="I8547" s="2" t="s">
        <v>19506</v>
      </c>
      <c r="J8547" s="2" t="s">
        <v>13904</v>
      </c>
      <c r="K8547" s="2" t="s">
        <v>19219</v>
      </c>
      <c r="L8547" s="82" t="s">
        <v>19512</v>
      </c>
    </row>
    <row r="8548" spans="1:12" ht="96" customHeight="1" x14ac:dyDescent="0.3">
      <c r="A8548" s="2">
        <v>8544</v>
      </c>
      <c r="B8548" s="66" t="s">
        <v>10179</v>
      </c>
      <c r="C8548" s="66" t="s">
        <v>10182</v>
      </c>
      <c r="D8548" s="11">
        <v>4495</v>
      </c>
      <c r="E8548" s="11">
        <v>4495</v>
      </c>
      <c r="F8548" s="3">
        <v>41599</v>
      </c>
      <c r="G8548" s="2"/>
      <c r="H8548" s="3">
        <v>43053</v>
      </c>
      <c r="I8548" s="2" t="s">
        <v>19506</v>
      </c>
      <c r="J8548" s="2" t="s">
        <v>13904</v>
      </c>
      <c r="K8548" s="2" t="s">
        <v>19219</v>
      </c>
      <c r="L8548" s="82" t="s">
        <v>19512</v>
      </c>
    </row>
    <row r="8549" spans="1:12" ht="96" customHeight="1" x14ac:dyDescent="0.3">
      <c r="A8549" s="2">
        <v>8545</v>
      </c>
      <c r="B8549" s="66" t="s">
        <v>5022</v>
      </c>
      <c r="C8549" s="66" t="s">
        <v>5023</v>
      </c>
      <c r="D8549" s="11">
        <v>7600</v>
      </c>
      <c r="E8549" s="11">
        <v>7600</v>
      </c>
      <c r="F8549" s="3">
        <v>41619</v>
      </c>
      <c r="G8549" s="2"/>
      <c r="H8549" s="3">
        <v>43053</v>
      </c>
      <c r="I8549" s="2" t="s">
        <v>19506</v>
      </c>
      <c r="J8549" s="2" t="s">
        <v>13904</v>
      </c>
      <c r="K8549" s="2" t="s">
        <v>19219</v>
      </c>
      <c r="L8549" s="82" t="s">
        <v>19512</v>
      </c>
    </row>
    <row r="8550" spans="1:12" ht="96" customHeight="1" x14ac:dyDescent="0.3">
      <c r="A8550" s="2">
        <v>8546</v>
      </c>
      <c r="B8550" s="66" t="s">
        <v>5022</v>
      </c>
      <c r="C8550" s="66" t="s">
        <v>5024</v>
      </c>
      <c r="D8550" s="11">
        <v>7600</v>
      </c>
      <c r="E8550" s="11">
        <v>7600</v>
      </c>
      <c r="F8550" s="3">
        <v>41619</v>
      </c>
      <c r="G8550" s="2"/>
      <c r="H8550" s="3">
        <v>43053</v>
      </c>
      <c r="I8550" s="2" t="s">
        <v>19506</v>
      </c>
      <c r="J8550" s="2" t="s">
        <v>13904</v>
      </c>
      <c r="K8550" s="2" t="s">
        <v>19219</v>
      </c>
      <c r="L8550" s="82" t="s">
        <v>19512</v>
      </c>
    </row>
    <row r="8551" spans="1:12" ht="96" customHeight="1" x14ac:dyDescent="0.3">
      <c r="A8551" s="2">
        <v>8547</v>
      </c>
      <c r="B8551" s="66" t="s">
        <v>5022</v>
      </c>
      <c r="C8551" s="66" t="s">
        <v>5025</v>
      </c>
      <c r="D8551" s="11">
        <v>7600</v>
      </c>
      <c r="E8551" s="11">
        <v>7600</v>
      </c>
      <c r="F8551" s="3">
        <v>41619</v>
      </c>
      <c r="G8551" s="2"/>
      <c r="H8551" s="3">
        <v>43053</v>
      </c>
      <c r="I8551" s="2" t="s">
        <v>19506</v>
      </c>
      <c r="J8551" s="2" t="s">
        <v>13904</v>
      </c>
      <c r="K8551" s="2" t="s">
        <v>19219</v>
      </c>
      <c r="L8551" s="82" t="s">
        <v>19512</v>
      </c>
    </row>
    <row r="8552" spans="1:12" ht="96" customHeight="1" x14ac:dyDescent="0.3">
      <c r="A8552" s="2">
        <v>8548</v>
      </c>
      <c r="B8552" s="66" t="s">
        <v>5022</v>
      </c>
      <c r="C8552" s="66" t="s">
        <v>5026</v>
      </c>
      <c r="D8552" s="11">
        <v>7600</v>
      </c>
      <c r="E8552" s="11">
        <v>7600</v>
      </c>
      <c r="F8552" s="3">
        <v>41619</v>
      </c>
      <c r="G8552" s="2"/>
      <c r="H8552" s="3">
        <v>43053</v>
      </c>
      <c r="I8552" s="2" t="s">
        <v>19506</v>
      </c>
      <c r="J8552" s="2" t="s">
        <v>13904</v>
      </c>
      <c r="K8552" s="2" t="s">
        <v>19219</v>
      </c>
      <c r="L8552" s="82" t="s">
        <v>19512</v>
      </c>
    </row>
    <row r="8553" spans="1:12" ht="96" customHeight="1" x14ac:dyDescent="0.3">
      <c r="A8553" s="2">
        <v>8549</v>
      </c>
      <c r="B8553" s="66" t="s">
        <v>5022</v>
      </c>
      <c r="C8553" s="66" t="s">
        <v>5028</v>
      </c>
      <c r="D8553" s="11">
        <v>7600</v>
      </c>
      <c r="E8553" s="11">
        <v>7600</v>
      </c>
      <c r="F8553" s="3">
        <v>41619</v>
      </c>
      <c r="G8553" s="2"/>
      <c r="H8553" s="3">
        <v>43053</v>
      </c>
      <c r="I8553" s="2" t="s">
        <v>19506</v>
      </c>
      <c r="J8553" s="2" t="s">
        <v>13904</v>
      </c>
      <c r="K8553" s="2" t="s">
        <v>19219</v>
      </c>
      <c r="L8553" s="82" t="s">
        <v>19512</v>
      </c>
    </row>
    <row r="8554" spans="1:12" ht="96" customHeight="1" x14ac:dyDescent="0.3">
      <c r="A8554" s="2">
        <v>8550</v>
      </c>
      <c r="B8554" s="66" t="s">
        <v>5022</v>
      </c>
      <c r="C8554" s="66" t="s">
        <v>5030</v>
      </c>
      <c r="D8554" s="11">
        <v>7600</v>
      </c>
      <c r="E8554" s="11">
        <v>7600</v>
      </c>
      <c r="F8554" s="3">
        <v>41619</v>
      </c>
      <c r="G8554" s="2"/>
      <c r="H8554" s="3">
        <v>43053</v>
      </c>
      <c r="I8554" s="2" t="s">
        <v>19506</v>
      </c>
      <c r="J8554" s="2" t="s">
        <v>13904</v>
      </c>
      <c r="K8554" s="2" t="s">
        <v>19219</v>
      </c>
      <c r="L8554" s="82" t="s">
        <v>19512</v>
      </c>
    </row>
    <row r="8555" spans="1:12" ht="96" customHeight="1" x14ac:dyDescent="0.3">
      <c r="A8555" s="2">
        <v>8551</v>
      </c>
      <c r="B8555" s="66" t="s">
        <v>5022</v>
      </c>
      <c r="C8555" s="66" t="s">
        <v>5031</v>
      </c>
      <c r="D8555" s="11">
        <v>7600</v>
      </c>
      <c r="E8555" s="11">
        <v>7600</v>
      </c>
      <c r="F8555" s="3">
        <v>41619</v>
      </c>
      <c r="G8555" s="2"/>
      <c r="H8555" s="3">
        <v>43053</v>
      </c>
      <c r="I8555" s="2" t="s">
        <v>19506</v>
      </c>
      <c r="J8555" s="2" t="s">
        <v>13904</v>
      </c>
      <c r="K8555" s="2" t="s">
        <v>19219</v>
      </c>
      <c r="L8555" s="82" t="s">
        <v>19512</v>
      </c>
    </row>
    <row r="8556" spans="1:12" ht="96" customHeight="1" x14ac:dyDescent="0.3">
      <c r="A8556" s="2">
        <v>8552</v>
      </c>
      <c r="B8556" s="66" t="s">
        <v>5022</v>
      </c>
      <c r="C8556" s="66" t="s">
        <v>5032</v>
      </c>
      <c r="D8556" s="11">
        <v>7600</v>
      </c>
      <c r="E8556" s="11">
        <v>7600</v>
      </c>
      <c r="F8556" s="3">
        <v>41619</v>
      </c>
      <c r="G8556" s="2"/>
      <c r="H8556" s="3">
        <v>43053</v>
      </c>
      <c r="I8556" s="2" t="s">
        <v>19506</v>
      </c>
      <c r="J8556" s="2" t="s">
        <v>13904</v>
      </c>
      <c r="K8556" s="2" t="s">
        <v>19219</v>
      </c>
      <c r="L8556" s="82" t="s">
        <v>19512</v>
      </c>
    </row>
    <row r="8557" spans="1:12" ht="96" customHeight="1" x14ac:dyDescent="0.3">
      <c r="A8557" s="2">
        <v>8553</v>
      </c>
      <c r="B8557" s="66" t="s">
        <v>10183</v>
      </c>
      <c r="C8557" s="66" t="s">
        <v>10184</v>
      </c>
      <c r="D8557" s="11">
        <v>30000</v>
      </c>
      <c r="E8557" s="11">
        <v>30000</v>
      </c>
      <c r="F8557" s="3">
        <v>41732</v>
      </c>
      <c r="G8557" s="2"/>
      <c r="H8557" s="3">
        <v>43053</v>
      </c>
      <c r="I8557" s="2" t="s">
        <v>19506</v>
      </c>
      <c r="J8557" s="2" t="s">
        <v>13904</v>
      </c>
      <c r="K8557" s="2" t="s">
        <v>19219</v>
      </c>
      <c r="L8557" s="82" t="s">
        <v>19512</v>
      </c>
    </row>
    <row r="8558" spans="1:12" ht="96" customHeight="1" x14ac:dyDescent="0.3">
      <c r="A8558" s="2">
        <v>8554</v>
      </c>
      <c r="B8558" s="66" t="s">
        <v>10185</v>
      </c>
      <c r="C8558" s="66" t="s">
        <v>10186</v>
      </c>
      <c r="D8558" s="11">
        <v>3800</v>
      </c>
      <c r="E8558" s="11">
        <v>3800</v>
      </c>
      <c r="F8558" s="3">
        <v>41214</v>
      </c>
      <c r="G8558" s="2"/>
      <c r="H8558" s="3">
        <v>43053</v>
      </c>
      <c r="I8558" s="2" t="s">
        <v>19506</v>
      </c>
      <c r="J8558" s="2" t="s">
        <v>13904</v>
      </c>
      <c r="K8558" s="2" t="s">
        <v>19219</v>
      </c>
      <c r="L8558" s="82" t="s">
        <v>19512</v>
      </c>
    </row>
    <row r="8559" spans="1:12" ht="96" customHeight="1" x14ac:dyDescent="0.3">
      <c r="A8559" s="2">
        <v>8555</v>
      </c>
      <c r="B8559" s="66" t="s">
        <v>10187</v>
      </c>
      <c r="C8559" s="66" t="s">
        <v>10188</v>
      </c>
      <c r="D8559" s="11">
        <v>13400</v>
      </c>
      <c r="E8559" s="11">
        <v>13400</v>
      </c>
      <c r="F8559" s="3">
        <v>41422</v>
      </c>
      <c r="G8559" s="2"/>
      <c r="H8559" s="3">
        <v>43053</v>
      </c>
      <c r="I8559" s="2" t="s">
        <v>19506</v>
      </c>
      <c r="J8559" s="2" t="s">
        <v>13904</v>
      </c>
      <c r="K8559" s="2" t="s">
        <v>19219</v>
      </c>
      <c r="L8559" s="82" t="s">
        <v>19512</v>
      </c>
    </row>
    <row r="8560" spans="1:12" ht="96" customHeight="1" x14ac:dyDescent="0.3">
      <c r="A8560" s="2">
        <v>8556</v>
      </c>
      <c r="B8560" s="66" t="s">
        <v>10189</v>
      </c>
      <c r="C8560" s="66" t="s">
        <v>10190</v>
      </c>
      <c r="D8560" s="11">
        <v>3180</v>
      </c>
      <c r="E8560" s="11">
        <v>3180</v>
      </c>
      <c r="F8560" s="3">
        <v>39445</v>
      </c>
      <c r="G8560" s="2"/>
      <c r="H8560" s="3">
        <v>43053</v>
      </c>
      <c r="I8560" s="2" t="s">
        <v>19506</v>
      </c>
      <c r="J8560" s="2" t="s">
        <v>13904</v>
      </c>
      <c r="K8560" s="2" t="s">
        <v>19219</v>
      </c>
      <c r="L8560" s="82" t="s">
        <v>19512</v>
      </c>
    </row>
    <row r="8561" spans="1:12" ht="96" customHeight="1" x14ac:dyDescent="0.3">
      <c r="A8561" s="2">
        <v>8557</v>
      </c>
      <c r="B8561" s="66" t="s">
        <v>10191</v>
      </c>
      <c r="C8561" s="66" t="s">
        <v>9396</v>
      </c>
      <c r="D8561" s="11">
        <v>3999</v>
      </c>
      <c r="E8561" s="11">
        <v>3999</v>
      </c>
      <c r="F8561" s="3">
        <v>39444</v>
      </c>
      <c r="G8561" s="2"/>
      <c r="H8561" s="3">
        <v>43053</v>
      </c>
      <c r="I8561" s="2" t="s">
        <v>19506</v>
      </c>
      <c r="J8561" s="2" t="s">
        <v>13904</v>
      </c>
      <c r="K8561" s="2" t="s">
        <v>19219</v>
      </c>
      <c r="L8561" s="82" t="s">
        <v>19512</v>
      </c>
    </row>
    <row r="8562" spans="1:12" ht="96" customHeight="1" x14ac:dyDescent="0.3">
      <c r="A8562" s="2">
        <v>8558</v>
      </c>
      <c r="B8562" s="66" t="s">
        <v>10192</v>
      </c>
      <c r="C8562" s="66" t="s">
        <v>5559</v>
      </c>
      <c r="D8562" s="11">
        <v>17999</v>
      </c>
      <c r="E8562" s="11">
        <v>17999</v>
      </c>
      <c r="F8562" s="3">
        <v>39445</v>
      </c>
      <c r="G8562" s="2"/>
      <c r="H8562" s="3">
        <v>43053</v>
      </c>
      <c r="I8562" s="2" t="s">
        <v>19506</v>
      </c>
      <c r="J8562" s="2" t="s">
        <v>13904</v>
      </c>
      <c r="K8562" s="2" t="s">
        <v>19219</v>
      </c>
      <c r="L8562" s="82" t="s">
        <v>19512</v>
      </c>
    </row>
    <row r="8563" spans="1:12" ht="96" customHeight="1" x14ac:dyDescent="0.3">
      <c r="A8563" s="2">
        <v>8559</v>
      </c>
      <c r="B8563" s="66" t="s">
        <v>10193</v>
      </c>
      <c r="C8563" s="66" t="s">
        <v>4923</v>
      </c>
      <c r="D8563" s="11">
        <v>21424.080000000002</v>
      </c>
      <c r="E8563" s="11">
        <v>21424.080000000002</v>
      </c>
      <c r="F8563" s="3">
        <v>39059</v>
      </c>
      <c r="G8563" s="2"/>
      <c r="H8563" s="3">
        <v>43053</v>
      </c>
      <c r="I8563" s="2" t="s">
        <v>19506</v>
      </c>
      <c r="J8563" s="2" t="s">
        <v>13904</v>
      </c>
      <c r="K8563" s="2" t="s">
        <v>19219</v>
      </c>
      <c r="L8563" s="82" t="s">
        <v>19512</v>
      </c>
    </row>
    <row r="8564" spans="1:12" ht="96" customHeight="1" x14ac:dyDescent="0.3">
      <c r="A8564" s="2">
        <v>8560</v>
      </c>
      <c r="B8564" s="66" t="s">
        <v>10194</v>
      </c>
      <c r="C8564" s="66" t="s">
        <v>10195</v>
      </c>
      <c r="D8564" s="11">
        <v>15580.5</v>
      </c>
      <c r="E8564" s="11">
        <v>15580.5</v>
      </c>
      <c r="F8564" s="3">
        <v>39437</v>
      </c>
      <c r="G8564" s="2"/>
      <c r="H8564" s="3">
        <v>43053</v>
      </c>
      <c r="I8564" s="2" t="s">
        <v>19506</v>
      </c>
      <c r="J8564" s="2" t="s">
        <v>13904</v>
      </c>
      <c r="K8564" s="2" t="s">
        <v>19219</v>
      </c>
      <c r="L8564" s="82" t="s">
        <v>19512</v>
      </c>
    </row>
    <row r="8565" spans="1:12" ht="96" customHeight="1" x14ac:dyDescent="0.3">
      <c r="A8565" s="2">
        <v>8561</v>
      </c>
      <c r="B8565" s="66" t="s">
        <v>10196</v>
      </c>
      <c r="C8565" s="66" t="s">
        <v>10197</v>
      </c>
      <c r="D8565" s="11">
        <v>19258.62</v>
      </c>
      <c r="E8565" s="11">
        <v>19258.62</v>
      </c>
      <c r="F8565" s="3">
        <v>39064</v>
      </c>
      <c r="G8565" s="2"/>
      <c r="H8565" s="3">
        <v>43053</v>
      </c>
      <c r="I8565" s="2" t="s">
        <v>19506</v>
      </c>
      <c r="J8565" s="2" t="s">
        <v>13904</v>
      </c>
      <c r="K8565" s="2" t="s">
        <v>19219</v>
      </c>
      <c r="L8565" s="82" t="s">
        <v>19512</v>
      </c>
    </row>
    <row r="8566" spans="1:12" ht="96" customHeight="1" x14ac:dyDescent="0.3">
      <c r="A8566" s="2">
        <v>8562</v>
      </c>
      <c r="B8566" s="66" t="s">
        <v>4539</v>
      </c>
      <c r="C8566" s="66" t="s">
        <v>10198</v>
      </c>
      <c r="D8566" s="11">
        <v>10905.44</v>
      </c>
      <c r="E8566" s="11">
        <v>10905.44</v>
      </c>
      <c r="F8566" s="3">
        <v>38701</v>
      </c>
      <c r="G8566" s="2"/>
      <c r="H8566" s="3">
        <v>43053</v>
      </c>
      <c r="I8566" s="2" t="s">
        <v>19506</v>
      </c>
      <c r="J8566" s="2" t="s">
        <v>13904</v>
      </c>
      <c r="K8566" s="2" t="s">
        <v>19219</v>
      </c>
      <c r="L8566" s="82" t="s">
        <v>19512</v>
      </c>
    </row>
    <row r="8567" spans="1:12" ht="96" customHeight="1" x14ac:dyDescent="0.3">
      <c r="A8567" s="2">
        <v>8563</v>
      </c>
      <c r="B8567" s="66" t="s">
        <v>10199</v>
      </c>
      <c r="C8567" s="66" t="s">
        <v>10200</v>
      </c>
      <c r="D8567" s="11">
        <v>5024.12</v>
      </c>
      <c r="E8567" s="11">
        <v>5024.12</v>
      </c>
      <c r="F8567" s="3">
        <v>35838</v>
      </c>
      <c r="G8567" s="2"/>
      <c r="H8567" s="3">
        <v>43053</v>
      </c>
      <c r="I8567" s="2" t="s">
        <v>19506</v>
      </c>
      <c r="J8567" s="2" t="s">
        <v>13904</v>
      </c>
      <c r="K8567" s="2" t="s">
        <v>19219</v>
      </c>
      <c r="L8567" s="82" t="s">
        <v>19512</v>
      </c>
    </row>
    <row r="8568" spans="1:12" ht="96" customHeight="1" x14ac:dyDescent="0.3">
      <c r="A8568" s="2">
        <v>8564</v>
      </c>
      <c r="B8568" s="66" t="s">
        <v>10201</v>
      </c>
      <c r="C8568" s="66" t="s">
        <v>10202</v>
      </c>
      <c r="D8568" s="11">
        <v>12790.96</v>
      </c>
      <c r="E8568" s="11">
        <v>12790.96</v>
      </c>
      <c r="F8568" s="3">
        <v>39064</v>
      </c>
      <c r="G8568" s="2"/>
      <c r="H8568" s="3">
        <v>43053</v>
      </c>
      <c r="I8568" s="2" t="s">
        <v>19506</v>
      </c>
      <c r="J8568" s="2" t="s">
        <v>13904</v>
      </c>
      <c r="K8568" s="2" t="s">
        <v>19219</v>
      </c>
      <c r="L8568" s="82" t="s">
        <v>19512</v>
      </c>
    </row>
    <row r="8569" spans="1:12" ht="96" customHeight="1" x14ac:dyDescent="0.3">
      <c r="A8569" s="2">
        <v>8565</v>
      </c>
      <c r="B8569" s="66" t="s">
        <v>5194</v>
      </c>
      <c r="C8569" s="66" t="s">
        <v>10203</v>
      </c>
      <c r="D8569" s="11">
        <v>14881.57</v>
      </c>
      <c r="E8569" s="11">
        <v>14881.57</v>
      </c>
      <c r="F8569" s="3">
        <v>39595</v>
      </c>
      <c r="G8569" s="2"/>
      <c r="H8569" s="3">
        <v>43053</v>
      </c>
      <c r="I8569" s="2" t="s">
        <v>19506</v>
      </c>
      <c r="J8569" s="2" t="s">
        <v>13904</v>
      </c>
      <c r="K8569" s="2" t="s">
        <v>19219</v>
      </c>
      <c r="L8569" s="82" t="s">
        <v>19512</v>
      </c>
    </row>
    <row r="8570" spans="1:12" ht="96" customHeight="1" x14ac:dyDescent="0.3">
      <c r="A8570" s="2">
        <v>8566</v>
      </c>
      <c r="B8570" s="66" t="s">
        <v>10204</v>
      </c>
      <c r="C8570" s="66" t="s">
        <v>9241</v>
      </c>
      <c r="D8570" s="11">
        <v>40319</v>
      </c>
      <c r="E8570" s="11">
        <v>40319</v>
      </c>
      <c r="F8570" s="3">
        <v>38701</v>
      </c>
      <c r="G8570" s="2"/>
      <c r="H8570" s="3">
        <v>43053</v>
      </c>
      <c r="I8570" s="2" t="s">
        <v>19506</v>
      </c>
      <c r="J8570" s="2" t="s">
        <v>13904</v>
      </c>
      <c r="K8570" s="2" t="s">
        <v>19219</v>
      </c>
      <c r="L8570" s="82" t="s">
        <v>19512</v>
      </c>
    </row>
    <row r="8571" spans="1:12" ht="96" customHeight="1" x14ac:dyDescent="0.3">
      <c r="A8571" s="2">
        <v>8567</v>
      </c>
      <c r="B8571" s="66" t="s">
        <v>10205</v>
      </c>
      <c r="C8571" s="66" t="s">
        <v>10206</v>
      </c>
      <c r="D8571" s="11">
        <v>37384.300000000003</v>
      </c>
      <c r="E8571" s="11">
        <v>37384.300000000003</v>
      </c>
      <c r="F8571" s="3">
        <v>41186</v>
      </c>
      <c r="G8571" s="2"/>
      <c r="H8571" s="3">
        <v>43053</v>
      </c>
      <c r="I8571" s="2" t="s">
        <v>19506</v>
      </c>
      <c r="J8571" s="2" t="s">
        <v>13904</v>
      </c>
      <c r="K8571" s="2" t="s">
        <v>19219</v>
      </c>
      <c r="L8571" s="82" t="s">
        <v>19512</v>
      </c>
    </row>
    <row r="8572" spans="1:12" ht="96" customHeight="1" x14ac:dyDescent="0.3">
      <c r="A8572" s="2">
        <v>8568</v>
      </c>
      <c r="B8572" s="66" t="s">
        <v>10207</v>
      </c>
      <c r="C8572" s="66" t="s">
        <v>10208</v>
      </c>
      <c r="D8572" s="11">
        <v>39550.74</v>
      </c>
      <c r="E8572" s="11">
        <v>39550.74</v>
      </c>
      <c r="F8572" s="3">
        <v>41186</v>
      </c>
      <c r="G8572" s="2"/>
      <c r="H8572" s="3">
        <v>43053</v>
      </c>
      <c r="I8572" s="2" t="s">
        <v>19506</v>
      </c>
      <c r="J8572" s="2" t="s">
        <v>13904</v>
      </c>
      <c r="K8572" s="2" t="s">
        <v>19219</v>
      </c>
      <c r="L8572" s="82" t="s">
        <v>19512</v>
      </c>
    </row>
    <row r="8573" spans="1:12" ht="96" customHeight="1" x14ac:dyDescent="0.3">
      <c r="A8573" s="2">
        <v>8569</v>
      </c>
      <c r="B8573" s="66" t="s">
        <v>10209</v>
      </c>
      <c r="C8573" s="66" t="s">
        <v>10210</v>
      </c>
      <c r="D8573" s="11">
        <v>14255.98</v>
      </c>
      <c r="E8573" s="11">
        <v>14255.98</v>
      </c>
      <c r="F8573" s="3">
        <v>41186</v>
      </c>
      <c r="G8573" s="2"/>
      <c r="H8573" s="3">
        <v>43053</v>
      </c>
      <c r="I8573" s="2" t="s">
        <v>19506</v>
      </c>
      <c r="J8573" s="2" t="s">
        <v>13904</v>
      </c>
      <c r="K8573" s="2" t="s">
        <v>19219</v>
      </c>
      <c r="L8573" s="82" t="s">
        <v>19512</v>
      </c>
    </row>
    <row r="8574" spans="1:12" ht="96" customHeight="1" x14ac:dyDescent="0.3">
      <c r="A8574" s="2">
        <v>8570</v>
      </c>
      <c r="B8574" s="66" t="s">
        <v>10211</v>
      </c>
      <c r="C8574" s="66" t="s">
        <v>4920</v>
      </c>
      <c r="D8574" s="11">
        <v>42841.52</v>
      </c>
      <c r="E8574" s="11">
        <v>42841.52</v>
      </c>
      <c r="F8574" s="3">
        <v>39058</v>
      </c>
      <c r="G8574" s="2"/>
      <c r="H8574" s="3">
        <v>43053</v>
      </c>
      <c r="I8574" s="2" t="s">
        <v>19506</v>
      </c>
      <c r="J8574" s="2" t="s">
        <v>13904</v>
      </c>
      <c r="K8574" s="2" t="s">
        <v>19219</v>
      </c>
      <c r="L8574" s="82" t="s">
        <v>19512</v>
      </c>
    </row>
    <row r="8575" spans="1:12" ht="96" customHeight="1" x14ac:dyDescent="0.3">
      <c r="A8575" s="2">
        <v>8571</v>
      </c>
      <c r="B8575" s="66" t="s">
        <v>10058</v>
      </c>
      <c r="C8575" s="66" t="s">
        <v>10212</v>
      </c>
      <c r="D8575" s="11">
        <v>32994.720000000001</v>
      </c>
      <c r="E8575" s="11">
        <v>32994.720000000001</v>
      </c>
      <c r="F8575" s="3">
        <v>39058</v>
      </c>
      <c r="G8575" s="2"/>
      <c r="H8575" s="3">
        <v>43053</v>
      </c>
      <c r="I8575" s="2" t="s">
        <v>19506</v>
      </c>
      <c r="J8575" s="2" t="s">
        <v>13904</v>
      </c>
      <c r="K8575" s="2" t="s">
        <v>19219</v>
      </c>
      <c r="L8575" s="82" t="s">
        <v>19512</v>
      </c>
    </row>
    <row r="8576" spans="1:12" ht="96" customHeight="1" x14ac:dyDescent="0.3">
      <c r="A8576" s="2">
        <v>8572</v>
      </c>
      <c r="B8576" s="66" t="s">
        <v>10213</v>
      </c>
      <c r="C8576" s="66" t="s">
        <v>3963</v>
      </c>
      <c r="D8576" s="11">
        <v>5779.08</v>
      </c>
      <c r="E8576" s="11">
        <v>5779.08</v>
      </c>
      <c r="F8576" s="3">
        <v>39066</v>
      </c>
      <c r="G8576" s="2"/>
      <c r="H8576" s="3">
        <v>43053</v>
      </c>
      <c r="I8576" s="2" t="s">
        <v>19506</v>
      </c>
      <c r="J8576" s="2" t="s">
        <v>13904</v>
      </c>
      <c r="K8576" s="2" t="s">
        <v>19219</v>
      </c>
      <c r="L8576" s="82" t="s">
        <v>19512</v>
      </c>
    </row>
    <row r="8577" spans="1:12" ht="84" customHeight="1" x14ac:dyDescent="0.3">
      <c r="A8577" s="2">
        <v>8573</v>
      </c>
      <c r="B8577" s="66" t="s">
        <v>10214</v>
      </c>
      <c r="C8577" s="66" t="s">
        <v>10215</v>
      </c>
      <c r="D8577" s="11">
        <v>24648.18</v>
      </c>
      <c r="E8577" s="11">
        <v>24648.18</v>
      </c>
      <c r="F8577" s="3">
        <v>37554</v>
      </c>
      <c r="G8577" s="2"/>
      <c r="H8577" s="3">
        <v>43053</v>
      </c>
      <c r="I8577" s="2" t="s">
        <v>19506</v>
      </c>
      <c r="J8577" s="2" t="s">
        <v>13904</v>
      </c>
      <c r="K8577" s="2" t="s">
        <v>19220</v>
      </c>
      <c r="L8577" s="82" t="s">
        <v>19512</v>
      </c>
    </row>
    <row r="8578" spans="1:12" ht="84" customHeight="1" x14ac:dyDescent="0.3">
      <c r="A8578" s="2">
        <v>8574</v>
      </c>
      <c r="B8578" s="66" t="s">
        <v>10216</v>
      </c>
      <c r="C8578" s="66" t="s">
        <v>9747</v>
      </c>
      <c r="D8578" s="11">
        <v>46790.52</v>
      </c>
      <c r="E8578" s="11">
        <v>46790.52</v>
      </c>
      <c r="F8578" s="3">
        <v>38082</v>
      </c>
      <c r="G8578" s="2"/>
      <c r="H8578" s="3">
        <v>43053</v>
      </c>
      <c r="I8578" s="2" t="s">
        <v>19506</v>
      </c>
      <c r="J8578" s="2" t="s">
        <v>13904</v>
      </c>
      <c r="K8578" s="2" t="s">
        <v>19220</v>
      </c>
      <c r="L8578" s="82" t="s">
        <v>19512</v>
      </c>
    </row>
    <row r="8579" spans="1:12" ht="96" customHeight="1" x14ac:dyDescent="0.3">
      <c r="A8579" s="2">
        <v>8575</v>
      </c>
      <c r="B8579" s="66" t="s">
        <v>10217</v>
      </c>
      <c r="C8579" s="66" t="s">
        <v>10218</v>
      </c>
      <c r="D8579" s="11">
        <v>5000</v>
      </c>
      <c r="E8579" s="11">
        <v>5000</v>
      </c>
      <c r="F8579" s="3">
        <v>40422</v>
      </c>
      <c r="G8579" s="2"/>
      <c r="H8579" s="3">
        <v>43053</v>
      </c>
      <c r="I8579" s="2" t="s">
        <v>19506</v>
      </c>
      <c r="J8579" s="2" t="s">
        <v>13904</v>
      </c>
      <c r="K8579" s="2" t="s">
        <v>19219</v>
      </c>
      <c r="L8579" s="82" t="s">
        <v>19512</v>
      </c>
    </row>
    <row r="8580" spans="1:12" ht="96" customHeight="1" x14ac:dyDescent="0.3">
      <c r="A8580" s="2">
        <v>8576</v>
      </c>
      <c r="B8580" s="66" t="s">
        <v>4688</v>
      </c>
      <c r="C8580" s="66" t="s">
        <v>10219</v>
      </c>
      <c r="D8580" s="11">
        <v>5000</v>
      </c>
      <c r="E8580" s="11">
        <v>5000</v>
      </c>
      <c r="F8580" s="3">
        <v>39777</v>
      </c>
      <c r="G8580" s="2"/>
      <c r="H8580" s="3">
        <v>43053</v>
      </c>
      <c r="I8580" s="2" t="s">
        <v>19506</v>
      </c>
      <c r="J8580" s="2" t="s">
        <v>13904</v>
      </c>
      <c r="K8580" s="2" t="s">
        <v>19219</v>
      </c>
      <c r="L8580" s="82" t="s">
        <v>19512</v>
      </c>
    </row>
    <row r="8581" spans="1:12" ht="96" customHeight="1" x14ac:dyDescent="0.3">
      <c r="A8581" s="2">
        <v>8577</v>
      </c>
      <c r="B8581" s="66" t="s">
        <v>10220</v>
      </c>
      <c r="C8581" s="66" t="s">
        <v>4965</v>
      </c>
      <c r="D8581" s="11">
        <v>13900</v>
      </c>
      <c r="E8581" s="11">
        <v>13900</v>
      </c>
      <c r="F8581" s="3">
        <v>39445</v>
      </c>
      <c r="G8581" s="2"/>
      <c r="H8581" s="3">
        <v>43053</v>
      </c>
      <c r="I8581" s="2" t="s">
        <v>19506</v>
      </c>
      <c r="J8581" s="2" t="s">
        <v>13904</v>
      </c>
      <c r="K8581" s="2" t="s">
        <v>19219</v>
      </c>
      <c r="L8581" s="82" t="s">
        <v>19512</v>
      </c>
    </row>
    <row r="8582" spans="1:12" ht="96" customHeight="1" x14ac:dyDescent="0.3">
      <c r="A8582" s="2">
        <v>8578</v>
      </c>
      <c r="B8582" s="66" t="s">
        <v>10221</v>
      </c>
      <c r="C8582" s="66" t="s">
        <v>10222</v>
      </c>
      <c r="D8582" s="11">
        <v>4074</v>
      </c>
      <c r="E8582" s="11">
        <v>4074</v>
      </c>
      <c r="F8582" s="3">
        <v>39445</v>
      </c>
      <c r="G8582" s="2"/>
      <c r="H8582" s="3">
        <v>43053</v>
      </c>
      <c r="I8582" s="2" t="s">
        <v>19506</v>
      </c>
      <c r="J8582" s="2" t="s">
        <v>13904</v>
      </c>
      <c r="K8582" s="2" t="s">
        <v>19219</v>
      </c>
      <c r="L8582" s="82" t="s">
        <v>19512</v>
      </c>
    </row>
    <row r="8583" spans="1:12" ht="96" customHeight="1" x14ac:dyDescent="0.3">
      <c r="A8583" s="2">
        <v>8579</v>
      </c>
      <c r="B8583" s="66" t="s">
        <v>10221</v>
      </c>
      <c r="C8583" s="66" t="s">
        <v>10223</v>
      </c>
      <c r="D8583" s="11">
        <v>5300</v>
      </c>
      <c r="E8583" s="11">
        <v>5300</v>
      </c>
      <c r="F8583" s="3">
        <v>39445</v>
      </c>
      <c r="G8583" s="2"/>
      <c r="H8583" s="3">
        <v>43053</v>
      </c>
      <c r="I8583" s="2" t="s">
        <v>19506</v>
      </c>
      <c r="J8583" s="2" t="s">
        <v>13904</v>
      </c>
      <c r="K8583" s="2" t="s">
        <v>19219</v>
      </c>
      <c r="L8583" s="82" t="s">
        <v>19512</v>
      </c>
    </row>
    <row r="8584" spans="1:12" ht="96" customHeight="1" x14ac:dyDescent="0.3">
      <c r="A8584" s="2">
        <v>8580</v>
      </c>
      <c r="B8584" s="66" t="s">
        <v>10224</v>
      </c>
      <c r="C8584" s="66" t="s">
        <v>10225</v>
      </c>
      <c r="D8584" s="11">
        <v>4718</v>
      </c>
      <c r="E8584" s="11">
        <v>4718</v>
      </c>
      <c r="F8584" s="3">
        <v>39445</v>
      </c>
      <c r="G8584" s="2"/>
      <c r="H8584" s="3">
        <v>43053</v>
      </c>
      <c r="I8584" s="2" t="s">
        <v>19506</v>
      </c>
      <c r="J8584" s="2" t="s">
        <v>13904</v>
      </c>
      <c r="K8584" s="2" t="s">
        <v>19219</v>
      </c>
      <c r="L8584" s="82" t="s">
        <v>19512</v>
      </c>
    </row>
    <row r="8585" spans="1:12" ht="96" customHeight="1" x14ac:dyDescent="0.3">
      <c r="A8585" s="2">
        <v>8581</v>
      </c>
      <c r="B8585" s="66" t="s">
        <v>10226</v>
      </c>
      <c r="C8585" s="66" t="s">
        <v>10227</v>
      </c>
      <c r="D8585" s="11">
        <v>5976</v>
      </c>
      <c r="E8585" s="11">
        <v>5976</v>
      </c>
      <c r="F8585" s="3">
        <v>39445</v>
      </c>
      <c r="G8585" s="2"/>
      <c r="H8585" s="3">
        <v>43053</v>
      </c>
      <c r="I8585" s="2" t="s">
        <v>19506</v>
      </c>
      <c r="J8585" s="2" t="s">
        <v>13904</v>
      </c>
      <c r="K8585" s="2" t="s">
        <v>19219</v>
      </c>
      <c r="L8585" s="82" t="s">
        <v>19512</v>
      </c>
    </row>
    <row r="8586" spans="1:12" ht="96" customHeight="1" x14ac:dyDescent="0.3">
      <c r="A8586" s="2">
        <v>8582</v>
      </c>
      <c r="B8586" s="66" t="s">
        <v>10228</v>
      </c>
      <c r="C8586" s="66" t="s">
        <v>10229</v>
      </c>
      <c r="D8586" s="11">
        <v>4184</v>
      </c>
      <c r="E8586" s="11">
        <v>4184</v>
      </c>
      <c r="F8586" s="3">
        <v>39445</v>
      </c>
      <c r="G8586" s="2"/>
      <c r="H8586" s="3">
        <v>43053</v>
      </c>
      <c r="I8586" s="2" t="s">
        <v>19506</v>
      </c>
      <c r="J8586" s="2" t="s">
        <v>13904</v>
      </c>
      <c r="K8586" s="2" t="s">
        <v>19219</v>
      </c>
      <c r="L8586" s="82" t="s">
        <v>19512</v>
      </c>
    </row>
    <row r="8587" spans="1:12" ht="96" customHeight="1" x14ac:dyDescent="0.3">
      <c r="A8587" s="2">
        <v>8583</v>
      </c>
      <c r="B8587" s="66" t="s">
        <v>10230</v>
      </c>
      <c r="C8587" s="66" t="s">
        <v>10231</v>
      </c>
      <c r="D8587" s="11">
        <v>7282</v>
      </c>
      <c r="E8587" s="11">
        <v>7282</v>
      </c>
      <c r="F8587" s="3">
        <v>39445</v>
      </c>
      <c r="G8587" s="2"/>
      <c r="H8587" s="3">
        <v>43053</v>
      </c>
      <c r="I8587" s="2" t="s">
        <v>19506</v>
      </c>
      <c r="J8587" s="2" t="s">
        <v>13904</v>
      </c>
      <c r="K8587" s="2" t="s">
        <v>19219</v>
      </c>
      <c r="L8587" s="82" t="s">
        <v>19512</v>
      </c>
    </row>
    <row r="8588" spans="1:12" ht="96" customHeight="1" x14ac:dyDescent="0.3">
      <c r="A8588" s="2">
        <v>8584</v>
      </c>
      <c r="B8588" s="66" t="s">
        <v>10232</v>
      </c>
      <c r="C8588" s="66" t="s">
        <v>10233</v>
      </c>
      <c r="D8588" s="11">
        <v>8728</v>
      </c>
      <c r="E8588" s="11">
        <v>8728</v>
      </c>
      <c r="F8588" s="3">
        <v>39445</v>
      </c>
      <c r="G8588" s="2"/>
      <c r="H8588" s="3">
        <v>43053</v>
      </c>
      <c r="I8588" s="2" t="s">
        <v>19506</v>
      </c>
      <c r="J8588" s="2" t="s">
        <v>13904</v>
      </c>
      <c r="K8588" s="2" t="s">
        <v>19219</v>
      </c>
      <c r="L8588" s="82" t="s">
        <v>19512</v>
      </c>
    </row>
    <row r="8589" spans="1:12" ht="96" customHeight="1" x14ac:dyDescent="0.3">
      <c r="A8589" s="2">
        <v>8585</v>
      </c>
      <c r="B8589" s="66" t="s">
        <v>10234</v>
      </c>
      <c r="C8589" s="66" t="s">
        <v>10235</v>
      </c>
      <c r="D8589" s="11">
        <v>6400</v>
      </c>
      <c r="E8589" s="11">
        <v>6400</v>
      </c>
      <c r="F8589" s="3">
        <v>39445</v>
      </c>
      <c r="G8589" s="2"/>
      <c r="H8589" s="3">
        <v>43053</v>
      </c>
      <c r="I8589" s="2" t="s">
        <v>19506</v>
      </c>
      <c r="J8589" s="2" t="s">
        <v>13904</v>
      </c>
      <c r="K8589" s="2" t="s">
        <v>19219</v>
      </c>
      <c r="L8589" s="82" t="s">
        <v>19512</v>
      </c>
    </row>
    <row r="8590" spans="1:12" ht="96" customHeight="1" x14ac:dyDescent="0.3">
      <c r="A8590" s="2">
        <v>8586</v>
      </c>
      <c r="B8590" s="66" t="s">
        <v>10236</v>
      </c>
      <c r="C8590" s="66" t="s">
        <v>10237</v>
      </c>
      <c r="D8590" s="11">
        <v>5600</v>
      </c>
      <c r="E8590" s="11">
        <v>5600</v>
      </c>
      <c r="F8590" s="3">
        <v>39445</v>
      </c>
      <c r="G8590" s="2"/>
      <c r="H8590" s="3">
        <v>43053</v>
      </c>
      <c r="I8590" s="2" t="s">
        <v>19506</v>
      </c>
      <c r="J8590" s="2" t="s">
        <v>13904</v>
      </c>
      <c r="K8590" s="2" t="s">
        <v>19219</v>
      </c>
      <c r="L8590" s="82" t="s">
        <v>19512</v>
      </c>
    </row>
    <row r="8591" spans="1:12" ht="96" customHeight="1" x14ac:dyDescent="0.3">
      <c r="A8591" s="2">
        <v>8587</v>
      </c>
      <c r="B8591" s="66" t="s">
        <v>10238</v>
      </c>
      <c r="C8591" s="66" t="s">
        <v>10239</v>
      </c>
      <c r="D8591" s="11">
        <v>4584</v>
      </c>
      <c r="E8591" s="11">
        <v>4584</v>
      </c>
      <c r="F8591" s="3">
        <v>39445</v>
      </c>
      <c r="G8591" s="2"/>
      <c r="H8591" s="3">
        <v>43053</v>
      </c>
      <c r="I8591" s="2" t="s">
        <v>19506</v>
      </c>
      <c r="J8591" s="2" t="s">
        <v>13904</v>
      </c>
      <c r="K8591" s="2" t="s">
        <v>19219</v>
      </c>
      <c r="L8591" s="82" t="s">
        <v>19512</v>
      </c>
    </row>
    <row r="8592" spans="1:12" ht="96" customHeight="1" x14ac:dyDescent="0.3">
      <c r="A8592" s="2">
        <v>8588</v>
      </c>
      <c r="B8592" s="66" t="s">
        <v>10240</v>
      </c>
      <c r="C8592" s="66" t="s">
        <v>10241</v>
      </c>
      <c r="D8592" s="11">
        <v>5850</v>
      </c>
      <c r="E8592" s="11">
        <v>5850</v>
      </c>
      <c r="F8592" s="3">
        <v>39445</v>
      </c>
      <c r="G8592" s="2"/>
      <c r="H8592" s="3">
        <v>43053</v>
      </c>
      <c r="I8592" s="2" t="s">
        <v>19506</v>
      </c>
      <c r="J8592" s="2" t="s">
        <v>13904</v>
      </c>
      <c r="K8592" s="2" t="s">
        <v>19219</v>
      </c>
      <c r="L8592" s="82" t="s">
        <v>19512</v>
      </c>
    </row>
    <row r="8593" spans="1:12" ht="96" customHeight="1" x14ac:dyDescent="0.3">
      <c r="A8593" s="2">
        <v>8589</v>
      </c>
      <c r="B8593" s="66" t="s">
        <v>10240</v>
      </c>
      <c r="C8593" s="66" t="s">
        <v>10242</v>
      </c>
      <c r="D8593" s="11">
        <v>5850</v>
      </c>
      <c r="E8593" s="11">
        <v>5850</v>
      </c>
      <c r="F8593" s="3">
        <v>39445</v>
      </c>
      <c r="G8593" s="2"/>
      <c r="H8593" s="3">
        <v>43053</v>
      </c>
      <c r="I8593" s="2" t="s">
        <v>19506</v>
      </c>
      <c r="J8593" s="2" t="s">
        <v>13904</v>
      </c>
      <c r="K8593" s="2" t="s">
        <v>19219</v>
      </c>
      <c r="L8593" s="82" t="s">
        <v>19512</v>
      </c>
    </row>
    <row r="8594" spans="1:12" ht="96" customHeight="1" x14ac:dyDescent="0.3">
      <c r="A8594" s="2">
        <v>8590</v>
      </c>
      <c r="B8594" s="66" t="s">
        <v>10232</v>
      </c>
      <c r="C8594" s="66" t="s">
        <v>10243</v>
      </c>
      <c r="D8594" s="11">
        <v>8728</v>
      </c>
      <c r="E8594" s="11">
        <v>8728</v>
      </c>
      <c r="F8594" s="3">
        <v>39445</v>
      </c>
      <c r="G8594" s="2"/>
      <c r="H8594" s="3">
        <v>43053</v>
      </c>
      <c r="I8594" s="2" t="s">
        <v>19506</v>
      </c>
      <c r="J8594" s="2" t="s">
        <v>13904</v>
      </c>
      <c r="K8594" s="2" t="s">
        <v>19219</v>
      </c>
      <c r="L8594" s="82" t="s">
        <v>19512</v>
      </c>
    </row>
    <row r="8595" spans="1:12" ht="96" customHeight="1" x14ac:dyDescent="0.3">
      <c r="A8595" s="2">
        <v>8591</v>
      </c>
      <c r="B8595" s="66" t="s">
        <v>10232</v>
      </c>
      <c r="C8595" s="66" t="s">
        <v>10244</v>
      </c>
      <c r="D8595" s="11">
        <v>8728</v>
      </c>
      <c r="E8595" s="11">
        <v>8728</v>
      </c>
      <c r="F8595" s="3">
        <v>39445</v>
      </c>
      <c r="G8595" s="2"/>
      <c r="H8595" s="3">
        <v>43053</v>
      </c>
      <c r="I8595" s="2" t="s">
        <v>19506</v>
      </c>
      <c r="J8595" s="2" t="s">
        <v>13904</v>
      </c>
      <c r="K8595" s="2" t="s">
        <v>19219</v>
      </c>
      <c r="L8595" s="82" t="s">
        <v>19512</v>
      </c>
    </row>
    <row r="8596" spans="1:12" ht="96" customHeight="1" x14ac:dyDescent="0.3">
      <c r="A8596" s="2">
        <v>8592</v>
      </c>
      <c r="B8596" s="66" t="s">
        <v>10232</v>
      </c>
      <c r="C8596" s="66" t="s">
        <v>10245</v>
      </c>
      <c r="D8596" s="11">
        <v>8728</v>
      </c>
      <c r="E8596" s="11">
        <v>8728</v>
      </c>
      <c r="F8596" s="3">
        <v>39445</v>
      </c>
      <c r="G8596" s="2"/>
      <c r="H8596" s="3">
        <v>43053</v>
      </c>
      <c r="I8596" s="2" t="s">
        <v>19506</v>
      </c>
      <c r="J8596" s="2" t="s">
        <v>13904</v>
      </c>
      <c r="K8596" s="2" t="s">
        <v>19219</v>
      </c>
      <c r="L8596" s="82" t="s">
        <v>19512</v>
      </c>
    </row>
    <row r="8597" spans="1:12" ht="96" customHeight="1" x14ac:dyDescent="0.3">
      <c r="A8597" s="2">
        <v>8593</v>
      </c>
      <c r="B8597" s="66" t="s">
        <v>9267</v>
      </c>
      <c r="C8597" s="66" t="s">
        <v>3216</v>
      </c>
      <c r="D8597" s="11">
        <v>37396.32</v>
      </c>
      <c r="E8597" s="11">
        <v>37396.32</v>
      </c>
      <c r="F8597" s="3">
        <v>38771</v>
      </c>
      <c r="G8597" s="2"/>
      <c r="H8597" s="3">
        <v>43053</v>
      </c>
      <c r="I8597" s="2" t="s">
        <v>19506</v>
      </c>
      <c r="J8597" s="2" t="s">
        <v>13904</v>
      </c>
      <c r="K8597" s="2" t="s">
        <v>19219</v>
      </c>
      <c r="L8597" s="82" t="s">
        <v>19512</v>
      </c>
    </row>
    <row r="8598" spans="1:12" ht="84" customHeight="1" x14ac:dyDescent="0.3">
      <c r="A8598" s="2">
        <v>8594</v>
      </c>
      <c r="B8598" s="66" t="s">
        <v>4853</v>
      </c>
      <c r="C8598" s="66" t="s">
        <v>3799</v>
      </c>
      <c r="D8598" s="11">
        <v>12172.16</v>
      </c>
      <c r="E8598" s="11">
        <v>12172.16</v>
      </c>
      <c r="F8598" s="3">
        <v>38737</v>
      </c>
      <c r="G8598" s="2"/>
      <c r="H8598" s="3">
        <v>43053</v>
      </c>
      <c r="I8598" s="2" t="s">
        <v>19506</v>
      </c>
      <c r="J8598" s="2" t="s">
        <v>13904</v>
      </c>
      <c r="K8598" s="2" t="s">
        <v>19220</v>
      </c>
      <c r="L8598" s="82" t="s">
        <v>19512</v>
      </c>
    </row>
    <row r="8599" spans="1:12" ht="96" customHeight="1" x14ac:dyDescent="0.3">
      <c r="A8599" s="2">
        <v>8595</v>
      </c>
      <c r="B8599" s="66" t="s">
        <v>10246</v>
      </c>
      <c r="C8599" s="66" t="s">
        <v>10247</v>
      </c>
      <c r="D8599" s="11">
        <v>5000</v>
      </c>
      <c r="E8599" s="11">
        <v>5000</v>
      </c>
      <c r="F8599" s="3">
        <v>39777</v>
      </c>
      <c r="G8599" s="2"/>
      <c r="H8599" s="3">
        <v>43053</v>
      </c>
      <c r="I8599" s="2" t="s">
        <v>19506</v>
      </c>
      <c r="J8599" s="2" t="s">
        <v>13904</v>
      </c>
      <c r="K8599" s="2" t="s">
        <v>19219</v>
      </c>
      <c r="L8599" s="82" t="s">
        <v>19512</v>
      </c>
    </row>
    <row r="8600" spans="1:12" ht="96" customHeight="1" x14ac:dyDescent="0.3">
      <c r="A8600" s="2">
        <v>8596</v>
      </c>
      <c r="B8600" s="66" t="s">
        <v>4684</v>
      </c>
      <c r="C8600" s="66" t="s">
        <v>10248</v>
      </c>
      <c r="D8600" s="11">
        <v>7493</v>
      </c>
      <c r="E8600" s="11">
        <v>7493</v>
      </c>
      <c r="F8600" s="3">
        <v>35838</v>
      </c>
      <c r="G8600" s="2"/>
      <c r="H8600" s="3">
        <v>43053</v>
      </c>
      <c r="I8600" s="2" t="s">
        <v>19506</v>
      </c>
      <c r="J8600" s="2" t="s">
        <v>13904</v>
      </c>
      <c r="K8600" s="2" t="s">
        <v>19219</v>
      </c>
      <c r="L8600" s="82" t="s">
        <v>19512</v>
      </c>
    </row>
    <row r="8601" spans="1:12" ht="96" customHeight="1" x14ac:dyDescent="0.3">
      <c r="A8601" s="2">
        <v>8597</v>
      </c>
      <c r="B8601" s="66" t="s">
        <v>3570</v>
      </c>
      <c r="C8601" s="66" t="s">
        <v>10249</v>
      </c>
      <c r="D8601" s="11">
        <v>5000</v>
      </c>
      <c r="E8601" s="11">
        <v>5000</v>
      </c>
      <c r="F8601" s="3">
        <v>39435</v>
      </c>
      <c r="G8601" s="2"/>
      <c r="H8601" s="3">
        <v>43053</v>
      </c>
      <c r="I8601" s="2" t="s">
        <v>19506</v>
      </c>
      <c r="J8601" s="2" t="s">
        <v>13904</v>
      </c>
      <c r="K8601" s="2" t="s">
        <v>19219</v>
      </c>
      <c r="L8601" s="82" t="s">
        <v>19512</v>
      </c>
    </row>
    <row r="8602" spans="1:12" ht="96" customHeight="1" x14ac:dyDescent="0.3">
      <c r="A8602" s="2">
        <v>8598</v>
      </c>
      <c r="B8602" s="66" t="s">
        <v>10250</v>
      </c>
      <c r="C8602" s="66" t="s">
        <v>10251</v>
      </c>
      <c r="D8602" s="11">
        <v>7285.5</v>
      </c>
      <c r="E8602" s="11">
        <v>7285.5</v>
      </c>
      <c r="F8602" s="3">
        <v>39441</v>
      </c>
      <c r="G8602" s="2"/>
      <c r="H8602" s="3">
        <v>43053</v>
      </c>
      <c r="I8602" s="2" t="s">
        <v>19506</v>
      </c>
      <c r="J8602" s="2" t="s">
        <v>13904</v>
      </c>
      <c r="K8602" s="2" t="s">
        <v>19219</v>
      </c>
      <c r="L8602" s="82" t="s">
        <v>19512</v>
      </c>
    </row>
    <row r="8603" spans="1:12" ht="96" customHeight="1" x14ac:dyDescent="0.3">
      <c r="A8603" s="2">
        <v>8599</v>
      </c>
      <c r="B8603" s="66" t="s">
        <v>3570</v>
      </c>
      <c r="C8603" s="66" t="s">
        <v>10252</v>
      </c>
      <c r="D8603" s="11">
        <v>5000</v>
      </c>
      <c r="E8603" s="11">
        <v>5000</v>
      </c>
      <c r="F8603" s="3">
        <v>39435</v>
      </c>
      <c r="G8603" s="2"/>
      <c r="H8603" s="3">
        <v>43053</v>
      </c>
      <c r="I8603" s="2" t="s">
        <v>19506</v>
      </c>
      <c r="J8603" s="2" t="s">
        <v>13904</v>
      </c>
      <c r="K8603" s="2" t="s">
        <v>19219</v>
      </c>
      <c r="L8603" s="82" t="s">
        <v>19512</v>
      </c>
    </row>
    <row r="8604" spans="1:12" ht="96" customHeight="1" x14ac:dyDescent="0.3">
      <c r="A8604" s="2">
        <v>8600</v>
      </c>
      <c r="B8604" s="66" t="s">
        <v>3570</v>
      </c>
      <c r="C8604" s="66" t="s">
        <v>10253</v>
      </c>
      <c r="D8604" s="11">
        <v>5000</v>
      </c>
      <c r="E8604" s="11">
        <v>5000</v>
      </c>
      <c r="F8604" s="3">
        <v>39435</v>
      </c>
      <c r="G8604" s="2"/>
      <c r="H8604" s="3">
        <v>43053</v>
      </c>
      <c r="I8604" s="2" t="s">
        <v>19506</v>
      </c>
      <c r="J8604" s="2" t="s">
        <v>13904</v>
      </c>
      <c r="K8604" s="2" t="s">
        <v>19219</v>
      </c>
      <c r="L8604" s="82" t="s">
        <v>19512</v>
      </c>
    </row>
    <row r="8605" spans="1:12" ht="96" customHeight="1" x14ac:dyDescent="0.3">
      <c r="A8605" s="2">
        <v>8601</v>
      </c>
      <c r="B8605" s="66" t="s">
        <v>4688</v>
      </c>
      <c r="C8605" s="66" t="s">
        <v>10254</v>
      </c>
      <c r="D8605" s="11">
        <v>5000</v>
      </c>
      <c r="E8605" s="11">
        <v>5000</v>
      </c>
      <c r="F8605" s="3">
        <v>39777</v>
      </c>
      <c r="G8605" s="2"/>
      <c r="H8605" s="3">
        <v>43053</v>
      </c>
      <c r="I8605" s="2" t="s">
        <v>19506</v>
      </c>
      <c r="J8605" s="2" t="s">
        <v>13904</v>
      </c>
      <c r="K8605" s="2" t="s">
        <v>19219</v>
      </c>
      <c r="L8605" s="82" t="s">
        <v>19512</v>
      </c>
    </row>
    <row r="8606" spans="1:12" ht="96" customHeight="1" x14ac:dyDescent="0.3">
      <c r="A8606" s="2">
        <v>8602</v>
      </c>
      <c r="B8606" s="66" t="s">
        <v>2235</v>
      </c>
      <c r="C8606" s="66" t="s">
        <v>10255</v>
      </c>
      <c r="D8606" s="11">
        <v>4876.8</v>
      </c>
      <c r="E8606" s="11">
        <v>4876.8</v>
      </c>
      <c r="F8606" s="3">
        <v>36566</v>
      </c>
      <c r="G8606" s="2"/>
      <c r="H8606" s="3">
        <v>43053</v>
      </c>
      <c r="I8606" s="2" t="s">
        <v>19506</v>
      </c>
      <c r="J8606" s="2" t="s">
        <v>13904</v>
      </c>
      <c r="K8606" s="2" t="s">
        <v>19219</v>
      </c>
      <c r="L8606" s="82" t="s">
        <v>19512</v>
      </c>
    </row>
    <row r="8607" spans="1:12" ht="96" customHeight="1" x14ac:dyDescent="0.3">
      <c r="A8607" s="2">
        <v>8603</v>
      </c>
      <c r="B8607" s="66" t="s">
        <v>10256</v>
      </c>
      <c r="C8607" s="66" t="s">
        <v>3218</v>
      </c>
      <c r="D8607" s="11">
        <v>4284</v>
      </c>
      <c r="E8607" s="11">
        <v>4284</v>
      </c>
      <c r="F8607" s="3">
        <v>38970</v>
      </c>
      <c r="G8607" s="2"/>
      <c r="H8607" s="3">
        <v>43053</v>
      </c>
      <c r="I8607" s="2" t="s">
        <v>19506</v>
      </c>
      <c r="J8607" s="2" t="s">
        <v>13904</v>
      </c>
      <c r="K8607" s="2" t="s">
        <v>19219</v>
      </c>
      <c r="L8607" s="82" t="s">
        <v>19512</v>
      </c>
    </row>
    <row r="8608" spans="1:12" ht="96" customHeight="1" x14ac:dyDescent="0.3">
      <c r="A8608" s="2">
        <v>8604</v>
      </c>
      <c r="B8608" s="66" t="s">
        <v>10257</v>
      </c>
      <c r="C8608" s="66" t="s">
        <v>10258</v>
      </c>
      <c r="D8608" s="11">
        <v>3600</v>
      </c>
      <c r="E8608" s="11">
        <v>3600</v>
      </c>
      <c r="F8608" s="3">
        <v>39133</v>
      </c>
      <c r="G8608" s="2"/>
      <c r="H8608" s="3">
        <v>43053</v>
      </c>
      <c r="I8608" s="2" t="s">
        <v>19506</v>
      </c>
      <c r="J8608" s="2" t="s">
        <v>13904</v>
      </c>
      <c r="K8608" s="2" t="s">
        <v>19219</v>
      </c>
      <c r="L8608" s="82" t="s">
        <v>19512</v>
      </c>
    </row>
    <row r="8609" spans="1:12" ht="96" customHeight="1" x14ac:dyDescent="0.3">
      <c r="A8609" s="2">
        <v>8605</v>
      </c>
      <c r="B8609" s="66" t="s">
        <v>5490</v>
      </c>
      <c r="C8609" s="66" t="s">
        <v>10259</v>
      </c>
      <c r="D8609" s="11">
        <v>6200</v>
      </c>
      <c r="E8609" s="11">
        <v>6200</v>
      </c>
      <c r="F8609" s="3">
        <v>39420</v>
      </c>
      <c r="G8609" s="2"/>
      <c r="H8609" s="3">
        <v>43053</v>
      </c>
      <c r="I8609" s="2" t="s">
        <v>19506</v>
      </c>
      <c r="J8609" s="2" t="s">
        <v>13904</v>
      </c>
      <c r="K8609" s="2" t="s">
        <v>19219</v>
      </c>
      <c r="L8609" s="82" t="s">
        <v>19512</v>
      </c>
    </row>
    <row r="8610" spans="1:12" ht="96" customHeight="1" x14ac:dyDescent="0.3">
      <c r="A8610" s="2">
        <v>8606</v>
      </c>
      <c r="B8610" s="66" t="s">
        <v>10260</v>
      </c>
      <c r="C8610" s="66" t="s">
        <v>10261</v>
      </c>
      <c r="D8610" s="11">
        <v>6850</v>
      </c>
      <c r="E8610" s="11">
        <v>6850</v>
      </c>
      <c r="F8610" s="3">
        <v>39133</v>
      </c>
      <c r="G8610" s="2"/>
      <c r="H8610" s="3">
        <v>43053</v>
      </c>
      <c r="I8610" s="2" t="s">
        <v>19506</v>
      </c>
      <c r="J8610" s="2" t="s">
        <v>13904</v>
      </c>
      <c r="K8610" s="2" t="s">
        <v>19219</v>
      </c>
      <c r="L8610" s="82" t="s">
        <v>19512</v>
      </c>
    </row>
    <row r="8611" spans="1:12" ht="96" customHeight="1" x14ac:dyDescent="0.3">
      <c r="A8611" s="2">
        <v>8607</v>
      </c>
      <c r="B8611" s="66" t="s">
        <v>10262</v>
      </c>
      <c r="C8611" s="66" t="s">
        <v>10263</v>
      </c>
      <c r="D8611" s="11">
        <v>4682.83</v>
      </c>
      <c r="E8611" s="11">
        <v>4682.83</v>
      </c>
      <c r="F8611" s="3">
        <v>36566</v>
      </c>
      <c r="G8611" s="2"/>
      <c r="H8611" s="3">
        <v>43053</v>
      </c>
      <c r="I8611" s="2" t="s">
        <v>19506</v>
      </c>
      <c r="J8611" s="2" t="s">
        <v>13904</v>
      </c>
      <c r="K8611" s="2" t="s">
        <v>19219</v>
      </c>
      <c r="L8611" s="82" t="s">
        <v>19512</v>
      </c>
    </row>
    <row r="8612" spans="1:12" ht="96" customHeight="1" x14ac:dyDescent="0.3">
      <c r="A8612" s="2">
        <v>8608</v>
      </c>
      <c r="B8612" s="66" t="s">
        <v>10264</v>
      </c>
      <c r="C8612" s="66" t="s">
        <v>10265</v>
      </c>
      <c r="D8612" s="11">
        <v>3500</v>
      </c>
      <c r="E8612" s="11">
        <v>3500</v>
      </c>
      <c r="F8612" s="3">
        <v>39694</v>
      </c>
      <c r="G8612" s="2"/>
      <c r="H8612" s="3">
        <v>43053</v>
      </c>
      <c r="I8612" s="2" t="s">
        <v>19506</v>
      </c>
      <c r="J8612" s="2" t="s">
        <v>13904</v>
      </c>
      <c r="K8612" s="2" t="s">
        <v>19219</v>
      </c>
      <c r="L8612" s="82" t="s">
        <v>19512</v>
      </c>
    </row>
    <row r="8613" spans="1:12" ht="96" customHeight="1" x14ac:dyDescent="0.3">
      <c r="A8613" s="2">
        <v>8609</v>
      </c>
      <c r="B8613" s="66" t="s">
        <v>3377</v>
      </c>
      <c r="C8613" s="66" t="s">
        <v>3146</v>
      </c>
      <c r="D8613" s="11">
        <v>3760</v>
      </c>
      <c r="E8613" s="11">
        <v>3760</v>
      </c>
      <c r="F8613" s="3">
        <v>41848</v>
      </c>
      <c r="G8613" s="2"/>
      <c r="H8613" s="3">
        <v>43053</v>
      </c>
      <c r="I8613" s="2" t="s">
        <v>19506</v>
      </c>
      <c r="J8613" s="2" t="s">
        <v>13904</v>
      </c>
      <c r="K8613" s="2" t="s">
        <v>19219</v>
      </c>
      <c r="L8613" s="82" t="s">
        <v>19512</v>
      </c>
    </row>
    <row r="8614" spans="1:12" ht="96" customHeight="1" x14ac:dyDescent="0.3">
      <c r="A8614" s="2">
        <v>8610</v>
      </c>
      <c r="B8614" s="66" t="s">
        <v>3377</v>
      </c>
      <c r="C8614" s="66" t="s">
        <v>3145</v>
      </c>
      <c r="D8614" s="11">
        <v>3760</v>
      </c>
      <c r="E8614" s="11">
        <v>3760</v>
      </c>
      <c r="F8614" s="3">
        <v>41848</v>
      </c>
      <c r="G8614" s="2"/>
      <c r="H8614" s="3">
        <v>43053</v>
      </c>
      <c r="I8614" s="2" t="s">
        <v>19506</v>
      </c>
      <c r="J8614" s="2" t="s">
        <v>13904</v>
      </c>
      <c r="K8614" s="2" t="s">
        <v>19219</v>
      </c>
      <c r="L8614" s="82" t="s">
        <v>19512</v>
      </c>
    </row>
    <row r="8615" spans="1:12" ht="96" customHeight="1" x14ac:dyDescent="0.3">
      <c r="A8615" s="2">
        <v>8611</v>
      </c>
      <c r="B8615" s="66" t="s">
        <v>3377</v>
      </c>
      <c r="C8615" s="66" t="s">
        <v>3148</v>
      </c>
      <c r="D8615" s="11">
        <v>3760</v>
      </c>
      <c r="E8615" s="11">
        <v>3760</v>
      </c>
      <c r="F8615" s="3">
        <v>41848</v>
      </c>
      <c r="G8615" s="2"/>
      <c r="H8615" s="3">
        <v>43053</v>
      </c>
      <c r="I8615" s="2" t="s">
        <v>19506</v>
      </c>
      <c r="J8615" s="2" t="s">
        <v>13904</v>
      </c>
      <c r="K8615" s="2" t="s">
        <v>19219</v>
      </c>
      <c r="L8615" s="82" t="s">
        <v>19512</v>
      </c>
    </row>
    <row r="8616" spans="1:12" ht="96" customHeight="1" x14ac:dyDescent="0.3">
      <c r="A8616" s="2">
        <v>8612</v>
      </c>
      <c r="B8616" s="66" t="s">
        <v>2885</v>
      </c>
      <c r="C8616" s="66" t="s">
        <v>10266</v>
      </c>
      <c r="D8616" s="11">
        <v>15090</v>
      </c>
      <c r="E8616" s="11">
        <v>15090</v>
      </c>
      <c r="F8616" s="3">
        <v>39416</v>
      </c>
      <c r="G8616" s="2"/>
      <c r="H8616" s="3">
        <v>43053</v>
      </c>
      <c r="I8616" s="2" t="s">
        <v>19506</v>
      </c>
      <c r="J8616" s="2" t="s">
        <v>13904</v>
      </c>
      <c r="K8616" s="2" t="s">
        <v>19219</v>
      </c>
      <c r="L8616" s="82" t="s">
        <v>19512</v>
      </c>
    </row>
    <row r="8617" spans="1:12" ht="96" customHeight="1" x14ac:dyDescent="0.3">
      <c r="A8617" s="2">
        <v>8613</v>
      </c>
      <c r="B8617" s="66" t="s">
        <v>10267</v>
      </c>
      <c r="C8617" s="66" t="s">
        <v>10268</v>
      </c>
      <c r="D8617" s="11">
        <v>5000</v>
      </c>
      <c r="E8617" s="11">
        <v>5000</v>
      </c>
      <c r="F8617" s="3">
        <v>39442</v>
      </c>
      <c r="G8617" s="2"/>
      <c r="H8617" s="3">
        <v>43053</v>
      </c>
      <c r="I8617" s="2" t="s">
        <v>19506</v>
      </c>
      <c r="J8617" s="2" t="s">
        <v>13904</v>
      </c>
      <c r="K8617" s="2" t="s">
        <v>19219</v>
      </c>
      <c r="L8617" s="82" t="s">
        <v>19512</v>
      </c>
    </row>
    <row r="8618" spans="1:12" ht="96" customHeight="1" x14ac:dyDescent="0.3">
      <c r="A8618" s="2">
        <v>8614</v>
      </c>
      <c r="B8618" s="66" t="s">
        <v>10269</v>
      </c>
      <c r="C8618" s="66" t="s">
        <v>10270</v>
      </c>
      <c r="D8618" s="11">
        <v>20000</v>
      </c>
      <c r="E8618" s="11">
        <v>20000</v>
      </c>
      <c r="F8618" s="3">
        <v>39430</v>
      </c>
      <c r="G8618" s="2"/>
      <c r="H8618" s="3">
        <v>43053</v>
      </c>
      <c r="I8618" s="2" t="s">
        <v>19506</v>
      </c>
      <c r="J8618" s="2" t="s">
        <v>13904</v>
      </c>
      <c r="K8618" s="2" t="s">
        <v>19219</v>
      </c>
      <c r="L8618" s="82" t="s">
        <v>19512</v>
      </c>
    </row>
    <row r="8619" spans="1:12" ht="96" customHeight="1" x14ac:dyDescent="0.3">
      <c r="A8619" s="2">
        <v>8615</v>
      </c>
      <c r="B8619" s="66" t="s">
        <v>10271</v>
      </c>
      <c r="C8619" s="66" t="s">
        <v>10272</v>
      </c>
      <c r="D8619" s="11">
        <v>6330.95</v>
      </c>
      <c r="E8619" s="11">
        <v>6330.95</v>
      </c>
      <c r="F8619" s="3">
        <v>35107</v>
      </c>
      <c r="G8619" s="2"/>
      <c r="H8619" s="3">
        <v>43053</v>
      </c>
      <c r="I8619" s="2" t="s">
        <v>19506</v>
      </c>
      <c r="J8619" s="2" t="s">
        <v>13904</v>
      </c>
      <c r="K8619" s="2" t="s">
        <v>19219</v>
      </c>
      <c r="L8619" s="82" t="s">
        <v>19512</v>
      </c>
    </row>
    <row r="8620" spans="1:12" ht="96" customHeight="1" x14ac:dyDescent="0.3">
      <c r="A8620" s="2">
        <v>8616</v>
      </c>
      <c r="B8620" s="66" t="s">
        <v>10273</v>
      </c>
      <c r="C8620" s="66" t="s">
        <v>10274</v>
      </c>
      <c r="D8620" s="11">
        <v>19376.48</v>
      </c>
      <c r="E8620" s="11">
        <v>19376.48</v>
      </c>
      <c r="F8620" s="3">
        <v>39941</v>
      </c>
      <c r="G8620" s="2"/>
      <c r="H8620" s="3">
        <v>43053</v>
      </c>
      <c r="I8620" s="2" t="s">
        <v>19506</v>
      </c>
      <c r="J8620" s="2" t="s">
        <v>13904</v>
      </c>
      <c r="K8620" s="2" t="s">
        <v>19219</v>
      </c>
      <c r="L8620" s="82" t="s">
        <v>19512</v>
      </c>
    </row>
    <row r="8621" spans="1:12" ht="96" customHeight="1" x14ac:dyDescent="0.3">
      <c r="A8621" s="2">
        <v>8617</v>
      </c>
      <c r="B8621" s="66" t="s">
        <v>10275</v>
      </c>
      <c r="C8621" s="66" t="s">
        <v>10276</v>
      </c>
      <c r="D8621" s="11">
        <v>17472</v>
      </c>
      <c r="E8621" s="11">
        <v>17472</v>
      </c>
      <c r="F8621" s="3">
        <v>40742</v>
      </c>
      <c r="G8621" s="2"/>
      <c r="H8621" s="3">
        <v>43053</v>
      </c>
      <c r="I8621" s="2" t="s">
        <v>19506</v>
      </c>
      <c r="J8621" s="2" t="s">
        <v>13904</v>
      </c>
      <c r="K8621" s="2" t="s">
        <v>19219</v>
      </c>
      <c r="L8621" s="82" t="s">
        <v>19512</v>
      </c>
    </row>
    <row r="8622" spans="1:12" ht="96" customHeight="1" x14ac:dyDescent="0.3">
      <c r="A8622" s="2">
        <v>8618</v>
      </c>
      <c r="B8622" s="66" t="s">
        <v>10277</v>
      </c>
      <c r="C8622" s="66" t="s">
        <v>4286</v>
      </c>
      <c r="D8622" s="11">
        <v>7320</v>
      </c>
      <c r="E8622" s="11">
        <v>7320</v>
      </c>
      <c r="F8622" s="3">
        <v>41971</v>
      </c>
      <c r="G8622" s="2"/>
      <c r="H8622" s="3">
        <v>43053</v>
      </c>
      <c r="I8622" s="2" t="s">
        <v>19506</v>
      </c>
      <c r="J8622" s="2" t="s">
        <v>13904</v>
      </c>
      <c r="K8622" s="2" t="s">
        <v>19219</v>
      </c>
      <c r="L8622" s="82" t="s">
        <v>19512</v>
      </c>
    </row>
    <row r="8623" spans="1:12" ht="96" customHeight="1" x14ac:dyDescent="0.3">
      <c r="A8623" s="2">
        <v>8619</v>
      </c>
      <c r="B8623" s="66" t="s">
        <v>10277</v>
      </c>
      <c r="C8623" s="66" t="s">
        <v>6873</v>
      </c>
      <c r="D8623" s="11">
        <v>7320</v>
      </c>
      <c r="E8623" s="11">
        <v>7320</v>
      </c>
      <c r="F8623" s="3">
        <v>41971</v>
      </c>
      <c r="G8623" s="2"/>
      <c r="H8623" s="3">
        <v>43053</v>
      </c>
      <c r="I8623" s="2" t="s">
        <v>19506</v>
      </c>
      <c r="J8623" s="2" t="s">
        <v>13904</v>
      </c>
      <c r="K8623" s="2" t="s">
        <v>19219</v>
      </c>
      <c r="L8623" s="82" t="s">
        <v>19512</v>
      </c>
    </row>
    <row r="8624" spans="1:12" ht="96" customHeight="1" x14ac:dyDescent="0.3">
      <c r="A8624" s="2">
        <v>8620</v>
      </c>
      <c r="B8624" s="66" t="s">
        <v>10278</v>
      </c>
      <c r="C8624" s="66" t="s">
        <v>4285</v>
      </c>
      <c r="D8624" s="11">
        <v>3450</v>
      </c>
      <c r="E8624" s="11">
        <v>3450</v>
      </c>
      <c r="F8624" s="3">
        <v>41971</v>
      </c>
      <c r="G8624" s="2"/>
      <c r="H8624" s="3">
        <v>43053</v>
      </c>
      <c r="I8624" s="2" t="s">
        <v>19506</v>
      </c>
      <c r="J8624" s="2" t="s">
        <v>13904</v>
      </c>
      <c r="K8624" s="2" t="s">
        <v>19219</v>
      </c>
      <c r="L8624" s="82" t="s">
        <v>19512</v>
      </c>
    </row>
    <row r="8625" spans="1:12" ht="96" customHeight="1" x14ac:dyDescent="0.3">
      <c r="A8625" s="2">
        <v>8621</v>
      </c>
      <c r="B8625" s="66" t="s">
        <v>10278</v>
      </c>
      <c r="C8625" s="66" t="s">
        <v>4284</v>
      </c>
      <c r="D8625" s="11">
        <v>3450</v>
      </c>
      <c r="E8625" s="11">
        <v>3450</v>
      </c>
      <c r="F8625" s="3">
        <v>41971</v>
      </c>
      <c r="G8625" s="2"/>
      <c r="H8625" s="3">
        <v>43053</v>
      </c>
      <c r="I8625" s="2" t="s">
        <v>19506</v>
      </c>
      <c r="J8625" s="2" t="s">
        <v>13904</v>
      </c>
      <c r="K8625" s="2" t="s">
        <v>19219</v>
      </c>
      <c r="L8625" s="82" t="s">
        <v>19512</v>
      </c>
    </row>
    <row r="8626" spans="1:12" ht="96" customHeight="1" x14ac:dyDescent="0.3">
      <c r="A8626" s="2">
        <v>8622</v>
      </c>
      <c r="B8626" s="66" t="s">
        <v>10278</v>
      </c>
      <c r="C8626" s="66" t="s">
        <v>4283</v>
      </c>
      <c r="D8626" s="11">
        <v>3450</v>
      </c>
      <c r="E8626" s="11">
        <v>3450</v>
      </c>
      <c r="F8626" s="3">
        <v>41971</v>
      </c>
      <c r="G8626" s="2"/>
      <c r="H8626" s="3">
        <v>43053</v>
      </c>
      <c r="I8626" s="2" t="s">
        <v>19506</v>
      </c>
      <c r="J8626" s="2" t="s">
        <v>13904</v>
      </c>
      <c r="K8626" s="2" t="s">
        <v>19219</v>
      </c>
      <c r="L8626" s="82" t="s">
        <v>19512</v>
      </c>
    </row>
    <row r="8627" spans="1:12" ht="96" customHeight="1" x14ac:dyDescent="0.3">
      <c r="A8627" s="2">
        <v>8623</v>
      </c>
      <c r="B8627" s="66" t="s">
        <v>10278</v>
      </c>
      <c r="C8627" s="66" t="s">
        <v>4282</v>
      </c>
      <c r="D8627" s="11">
        <v>3450</v>
      </c>
      <c r="E8627" s="11">
        <v>3450</v>
      </c>
      <c r="F8627" s="3">
        <v>41971</v>
      </c>
      <c r="G8627" s="2"/>
      <c r="H8627" s="3">
        <v>43053</v>
      </c>
      <c r="I8627" s="2" t="s">
        <v>19506</v>
      </c>
      <c r="J8627" s="2" t="s">
        <v>13904</v>
      </c>
      <c r="K8627" s="2" t="s">
        <v>19219</v>
      </c>
      <c r="L8627" s="82" t="s">
        <v>19512</v>
      </c>
    </row>
    <row r="8628" spans="1:12" ht="96" customHeight="1" x14ac:dyDescent="0.3">
      <c r="A8628" s="2">
        <v>8624</v>
      </c>
      <c r="B8628" s="66" t="s">
        <v>18760</v>
      </c>
      <c r="C8628" s="66">
        <v>4101260048</v>
      </c>
      <c r="D8628" s="11">
        <v>399000</v>
      </c>
      <c r="E8628" s="11">
        <v>57000</v>
      </c>
      <c r="F8628" s="3">
        <v>42333</v>
      </c>
      <c r="G8628" s="2"/>
      <c r="H8628" s="2"/>
      <c r="I8628" s="2"/>
      <c r="J8628" s="2" t="s">
        <v>13904</v>
      </c>
      <c r="K8628" s="2" t="s">
        <v>19219</v>
      </c>
      <c r="L8628" s="82" t="s">
        <v>18761</v>
      </c>
    </row>
    <row r="8629" spans="1:12" ht="96" customHeight="1" x14ac:dyDescent="0.3">
      <c r="A8629" s="2">
        <v>8625</v>
      </c>
      <c r="B8629" s="66" t="s">
        <v>18762</v>
      </c>
      <c r="C8629" s="66">
        <v>4101360102</v>
      </c>
      <c r="D8629" s="11">
        <v>73258</v>
      </c>
      <c r="E8629" s="11">
        <v>73258</v>
      </c>
      <c r="F8629" s="3">
        <v>42349</v>
      </c>
      <c r="G8629" s="2"/>
      <c r="H8629" s="2"/>
      <c r="I8629" s="2"/>
      <c r="J8629" s="2" t="s">
        <v>13904</v>
      </c>
      <c r="K8629" s="2" t="s">
        <v>19219</v>
      </c>
      <c r="L8629" s="82" t="s">
        <v>18763</v>
      </c>
    </row>
    <row r="8630" spans="1:12" ht="96" customHeight="1" x14ac:dyDescent="0.3">
      <c r="A8630" s="2">
        <v>8626</v>
      </c>
      <c r="B8630" s="66" t="s">
        <v>18764</v>
      </c>
      <c r="C8630" s="66">
        <v>4101260047</v>
      </c>
      <c r="D8630" s="11">
        <v>389342</v>
      </c>
      <c r="E8630" s="11">
        <v>129780.72</v>
      </c>
      <c r="F8630" s="3">
        <v>42317</v>
      </c>
      <c r="G8630" s="2"/>
      <c r="H8630" s="2"/>
      <c r="I8630" s="2"/>
      <c r="J8630" s="2" t="s">
        <v>13904</v>
      </c>
      <c r="K8630" s="2" t="s">
        <v>19219</v>
      </c>
      <c r="L8630" s="82" t="s">
        <v>18761</v>
      </c>
    </row>
    <row r="8631" spans="1:12" ht="96" customHeight="1" x14ac:dyDescent="0.3">
      <c r="A8631" s="2">
        <v>8627</v>
      </c>
      <c r="B8631" s="66" t="s">
        <v>18765</v>
      </c>
      <c r="C8631" s="66">
        <v>4101250026</v>
      </c>
      <c r="D8631" s="11">
        <v>1500000</v>
      </c>
      <c r="E8631" s="11">
        <v>275000</v>
      </c>
      <c r="F8631" s="3">
        <v>42348</v>
      </c>
      <c r="G8631" s="2"/>
      <c r="H8631" s="2"/>
      <c r="I8631" s="2"/>
      <c r="J8631" s="2" t="s">
        <v>13904</v>
      </c>
      <c r="K8631" s="2" t="s">
        <v>19219</v>
      </c>
      <c r="L8631" s="82" t="s">
        <v>18761</v>
      </c>
    </row>
    <row r="8632" spans="1:12" ht="96" customHeight="1" x14ac:dyDescent="0.3">
      <c r="A8632" s="2">
        <v>8628</v>
      </c>
      <c r="B8632" s="66" t="s">
        <v>18766</v>
      </c>
      <c r="C8632" s="66">
        <v>4101360101</v>
      </c>
      <c r="D8632" s="11">
        <v>73258</v>
      </c>
      <c r="E8632" s="11">
        <v>73258</v>
      </c>
      <c r="F8632" s="3">
        <v>42349</v>
      </c>
      <c r="G8632" s="2"/>
      <c r="H8632" s="2"/>
      <c r="I8632" s="2"/>
      <c r="J8632" s="2" t="s">
        <v>13904</v>
      </c>
      <c r="K8632" s="2" t="s">
        <v>19219</v>
      </c>
      <c r="L8632" s="82" t="s">
        <v>18761</v>
      </c>
    </row>
    <row r="8633" spans="1:12" ht="96" customHeight="1" x14ac:dyDescent="0.3">
      <c r="A8633" s="2">
        <v>8629</v>
      </c>
      <c r="B8633" s="66" t="s">
        <v>10278</v>
      </c>
      <c r="C8633" s="66" t="s">
        <v>4276</v>
      </c>
      <c r="D8633" s="11">
        <v>3450</v>
      </c>
      <c r="E8633" s="11">
        <v>3450</v>
      </c>
      <c r="F8633" s="3">
        <v>41971</v>
      </c>
      <c r="G8633" s="2"/>
      <c r="H8633" s="3">
        <v>43053</v>
      </c>
      <c r="I8633" s="2" t="s">
        <v>19506</v>
      </c>
      <c r="J8633" s="2" t="s">
        <v>13904</v>
      </c>
      <c r="K8633" s="2" t="s">
        <v>19219</v>
      </c>
      <c r="L8633" s="82" t="s">
        <v>19512</v>
      </c>
    </row>
    <row r="8634" spans="1:12" ht="96" customHeight="1" x14ac:dyDescent="0.3">
      <c r="A8634" s="2">
        <v>8630</v>
      </c>
      <c r="B8634" s="66" t="s">
        <v>10278</v>
      </c>
      <c r="C8634" s="66" t="s">
        <v>4275</v>
      </c>
      <c r="D8634" s="11">
        <v>3450</v>
      </c>
      <c r="E8634" s="11">
        <v>3450</v>
      </c>
      <c r="F8634" s="3">
        <v>41971</v>
      </c>
      <c r="G8634" s="2"/>
      <c r="H8634" s="3">
        <v>43053</v>
      </c>
      <c r="I8634" s="2" t="s">
        <v>19506</v>
      </c>
      <c r="J8634" s="2" t="s">
        <v>13904</v>
      </c>
      <c r="K8634" s="2" t="s">
        <v>19219</v>
      </c>
      <c r="L8634" s="82" t="s">
        <v>19512</v>
      </c>
    </row>
    <row r="8635" spans="1:12" ht="96" customHeight="1" x14ac:dyDescent="0.3">
      <c r="A8635" s="2">
        <v>8631</v>
      </c>
      <c r="B8635" s="66" t="s">
        <v>10278</v>
      </c>
      <c r="C8635" s="66" t="s">
        <v>4274</v>
      </c>
      <c r="D8635" s="11">
        <v>3450</v>
      </c>
      <c r="E8635" s="11">
        <v>3450</v>
      </c>
      <c r="F8635" s="3">
        <v>41971</v>
      </c>
      <c r="G8635" s="2"/>
      <c r="H8635" s="3">
        <v>43053</v>
      </c>
      <c r="I8635" s="2" t="s">
        <v>19506</v>
      </c>
      <c r="J8635" s="2" t="s">
        <v>13904</v>
      </c>
      <c r="K8635" s="2" t="s">
        <v>19219</v>
      </c>
      <c r="L8635" s="82" t="s">
        <v>19512</v>
      </c>
    </row>
    <row r="8636" spans="1:12" ht="96" customHeight="1" x14ac:dyDescent="0.3">
      <c r="A8636" s="2">
        <v>8632</v>
      </c>
      <c r="B8636" s="66" t="s">
        <v>10278</v>
      </c>
      <c r="C8636" s="66" t="s">
        <v>4272</v>
      </c>
      <c r="D8636" s="11">
        <v>3450</v>
      </c>
      <c r="E8636" s="11">
        <v>3450</v>
      </c>
      <c r="F8636" s="3">
        <v>41971</v>
      </c>
      <c r="G8636" s="2"/>
      <c r="H8636" s="3">
        <v>43053</v>
      </c>
      <c r="I8636" s="2" t="s">
        <v>19506</v>
      </c>
      <c r="J8636" s="2" t="s">
        <v>13904</v>
      </c>
      <c r="K8636" s="2" t="s">
        <v>19219</v>
      </c>
      <c r="L8636" s="82" t="s">
        <v>19512</v>
      </c>
    </row>
    <row r="8637" spans="1:12" ht="96" customHeight="1" x14ac:dyDescent="0.3">
      <c r="A8637" s="2">
        <v>8633</v>
      </c>
      <c r="B8637" s="66" t="s">
        <v>10278</v>
      </c>
      <c r="C8637" s="66" t="s">
        <v>4273</v>
      </c>
      <c r="D8637" s="11">
        <v>3450</v>
      </c>
      <c r="E8637" s="11">
        <v>3450</v>
      </c>
      <c r="F8637" s="3">
        <v>41971</v>
      </c>
      <c r="G8637" s="2"/>
      <c r="H8637" s="3">
        <v>43053</v>
      </c>
      <c r="I8637" s="2" t="s">
        <v>19506</v>
      </c>
      <c r="J8637" s="2" t="s">
        <v>13904</v>
      </c>
      <c r="K8637" s="2" t="s">
        <v>19219</v>
      </c>
      <c r="L8637" s="82" t="s">
        <v>19512</v>
      </c>
    </row>
    <row r="8638" spans="1:12" ht="96" customHeight="1" x14ac:dyDescent="0.3">
      <c r="A8638" s="2">
        <v>8634</v>
      </c>
      <c r="B8638" s="66" t="s">
        <v>10278</v>
      </c>
      <c r="C8638" s="66" t="s">
        <v>4270</v>
      </c>
      <c r="D8638" s="11">
        <v>3450</v>
      </c>
      <c r="E8638" s="11">
        <v>3450</v>
      </c>
      <c r="F8638" s="3">
        <v>41971</v>
      </c>
      <c r="G8638" s="2"/>
      <c r="H8638" s="3">
        <v>43053</v>
      </c>
      <c r="I8638" s="2" t="s">
        <v>19506</v>
      </c>
      <c r="J8638" s="2" t="s">
        <v>13904</v>
      </c>
      <c r="K8638" s="2" t="s">
        <v>19219</v>
      </c>
      <c r="L8638" s="82" t="s">
        <v>19512</v>
      </c>
    </row>
    <row r="8639" spans="1:12" ht="96" customHeight="1" x14ac:dyDescent="0.3">
      <c r="A8639" s="2">
        <v>8635</v>
      </c>
      <c r="B8639" s="66" t="s">
        <v>10278</v>
      </c>
      <c r="C8639" s="66" t="s">
        <v>4269</v>
      </c>
      <c r="D8639" s="11">
        <v>3450</v>
      </c>
      <c r="E8639" s="11">
        <v>3450</v>
      </c>
      <c r="F8639" s="3">
        <v>41971</v>
      </c>
      <c r="G8639" s="2"/>
      <c r="H8639" s="3">
        <v>43053</v>
      </c>
      <c r="I8639" s="2" t="s">
        <v>19506</v>
      </c>
      <c r="J8639" s="2" t="s">
        <v>13904</v>
      </c>
      <c r="K8639" s="2" t="s">
        <v>19219</v>
      </c>
      <c r="L8639" s="82" t="s">
        <v>19512</v>
      </c>
    </row>
    <row r="8640" spans="1:12" ht="96" customHeight="1" x14ac:dyDescent="0.3">
      <c r="A8640" s="2">
        <v>8636</v>
      </c>
      <c r="B8640" s="66" t="s">
        <v>10278</v>
      </c>
      <c r="C8640" s="66" t="s">
        <v>4268</v>
      </c>
      <c r="D8640" s="11">
        <v>3450</v>
      </c>
      <c r="E8640" s="11">
        <v>3450</v>
      </c>
      <c r="F8640" s="3">
        <v>41971</v>
      </c>
      <c r="G8640" s="2"/>
      <c r="H8640" s="3">
        <v>43053</v>
      </c>
      <c r="I8640" s="2" t="s">
        <v>19506</v>
      </c>
      <c r="J8640" s="2" t="s">
        <v>13904</v>
      </c>
      <c r="K8640" s="2" t="s">
        <v>19219</v>
      </c>
      <c r="L8640" s="82" t="s">
        <v>19512</v>
      </c>
    </row>
    <row r="8641" spans="1:12" ht="96" customHeight="1" x14ac:dyDescent="0.3">
      <c r="A8641" s="2">
        <v>8637</v>
      </c>
      <c r="B8641" s="66" t="s">
        <v>10278</v>
      </c>
      <c r="C8641" s="66" t="s">
        <v>4271</v>
      </c>
      <c r="D8641" s="11">
        <v>3450</v>
      </c>
      <c r="E8641" s="11">
        <v>3450</v>
      </c>
      <c r="F8641" s="3">
        <v>41971</v>
      </c>
      <c r="G8641" s="2"/>
      <c r="H8641" s="3">
        <v>43053</v>
      </c>
      <c r="I8641" s="2" t="s">
        <v>19506</v>
      </c>
      <c r="J8641" s="2" t="s">
        <v>13904</v>
      </c>
      <c r="K8641" s="2" t="s">
        <v>19219</v>
      </c>
      <c r="L8641" s="82" t="s">
        <v>19512</v>
      </c>
    </row>
    <row r="8642" spans="1:12" ht="96" customHeight="1" x14ac:dyDescent="0.3">
      <c r="A8642" s="2">
        <v>8638</v>
      </c>
      <c r="B8642" s="66" t="s">
        <v>10278</v>
      </c>
      <c r="C8642" s="66" t="s">
        <v>4266</v>
      </c>
      <c r="D8642" s="11">
        <v>3450</v>
      </c>
      <c r="E8642" s="11">
        <v>3450</v>
      </c>
      <c r="F8642" s="3">
        <v>41971</v>
      </c>
      <c r="G8642" s="2"/>
      <c r="H8642" s="3">
        <v>43053</v>
      </c>
      <c r="I8642" s="2" t="s">
        <v>19506</v>
      </c>
      <c r="J8642" s="2" t="s">
        <v>13904</v>
      </c>
      <c r="K8642" s="2" t="s">
        <v>19219</v>
      </c>
      <c r="L8642" s="82" t="s">
        <v>19512</v>
      </c>
    </row>
    <row r="8643" spans="1:12" ht="96" customHeight="1" x14ac:dyDescent="0.3">
      <c r="A8643" s="2">
        <v>8639</v>
      </c>
      <c r="B8643" s="66" t="s">
        <v>10278</v>
      </c>
      <c r="C8643" s="66" t="s">
        <v>4486</v>
      </c>
      <c r="D8643" s="11">
        <v>3450</v>
      </c>
      <c r="E8643" s="11">
        <v>3450</v>
      </c>
      <c r="F8643" s="3">
        <v>41971</v>
      </c>
      <c r="G8643" s="2"/>
      <c r="H8643" s="3">
        <v>43053</v>
      </c>
      <c r="I8643" s="2" t="s">
        <v>19506</v>
      </c>
      <c r="J8643" s="2" t="s">
        <v>13904</v>
      </c>
      <c r="K8643" s="2" t="s">
        <v>19219</v>
      </c>
      <c r="L8643" s="82" t="s">
        <v>19512</v>
      </c>
    </row>
    <row r="8644" spans="1:12" ht="96" customHeight="1" x14ac:dyDescent="0.3">
      <c r="A8644" s="2">
        <v>8640</v>
      </c>
      <c r="B8644" s="66" t="s">
        <v>10278</v>
      </c>
      <c r="C8644" s="66" t="s">
        <v>4265</v>
      </c>
      <c r="D8644" s="11">
        <v>3450</v>
      </c>
      <c r="E8644" s="11">
        <v>3450</v>
      </c>
      <c r="F8644" s="3">
        <v>41971</v>
      </c>
      <c r="G8644" s="2"/>
      <c r="H8644" s="3">
        <v>43053</v>
      </c>
      <c r="I8644" s="2" t="s">
        <v>19506</v>
      </c>
      <c r="J8644" s="2" t="s">
        <v>13904</v>
      </c>
      <c r="K8644" s="2" t="s">
        <v>19219</v>
      </c>
      <c r="L8644" s="82" t="s">
        <v>19512</v>
      </c>
    </row>
    <row r="8645" spans="1:12" ht="96" customHeight="1" x14ac:dyDescent="0.3">
      <c r="A8645" s="2">
        <v>8641</v>
      </c>
      <c r="B8645" s="66" t="s">
        <v>10278</v>
      </c>
      <c r="C8645" s="66" t="s">
        <v>4483</v>
      </c>
      <c r="D8645" s="11">
        <v>3450</v>
      </c>
      <c r="E8645" s="11">
        <v>3450</v>
      </c>
      <c r="F8645" s="3">
        <v>41971</v>
      </c>
      <c r="G8645" s="2"/>
      <c r="H8645" s="3">
        <v>43053</v>
      </c>
      <c r="I8645" s="2" t="s">
        <v>19506</v>
      </c>
      <c r="J8645" s="2" t="s">
        <v>13904</v>
      </c>
      <c r="K8645" s="2" t="s">
        <v>19219</v>
      </c>
      <c r="L8645" s="82" t="s">
        <v>19512</v>
      </c>
    </row>
    <row r="8646" spans="1:12" ht="96" customHeight="1" x14ac:dyDescent="0.3">
      <c r="A8646" s="2">
        <v>8642</v>
      </c>
      <c r="B8646" s="66" t="s">
        <v>10278</v>
      </c>
      <c r="C8646" s="66" t="s">
        <v>4289</v>
      </c>
      <c r="D8646" s="11">
        <v>3450</v>
      </c>
      <c r="E8646" s="11">
        <v>3450</v>
      </c>
      <c r="F8646" s="3">
        <v>41971</v>
      </c>
      <c r="G8646" s="2"/>
      <c r="H8646" s="3">
        <v>43053</v>
      </c>
      <c r="I8646" s="2" t="s">
        <v>19506</v>
      </c>
      <c r="J8646" s="2" t="s">
        <v>13904</v>
      </c>
      <c r="K8646" s="2" t="s">
        <v>19219</v>
      </c>
      <c r="L8646" s="82" t="s">
        <v>19512</v>
      </c>
    </row>
    <row r="8647" spans="1:12" ht="96" customHeight="1" x14ac:dyDescent="0.3">
      <c r="A8647" s="2">
        <v>8643</v>
      </c>
      <c r="B8647" s="66" t="s">
        <v>10278</v>
      </c>
      <c r="C8647" s="66" t="s">
        <v>3380</v>
      </c>
      <c r="D8647" s="11">
        <v>3450</v>
      </c>
      <c r="E8647" s="11">
        <v>3450</v>
      </c>
      <c r="F8647" s="3">
        <v>41971</v>
      </c>
      <c r="G8647" s="2"/>
      <c r="H8647" s="3">
        <v>43053</v>
      </c>
      <c r="I8647" s="2" t="s">
        <v>19506</v>
      </c>
      <c r="J8647" s="2" t="s">
        <v>13904</v>
      </c>
      <c r="K8647" s="2" t="s">
        <v>19219</v>
      </c>
      <c r="L8647" s="82" t="s">
        <v>19512</v>
      </c>
    </row>
    <row r="8648" spans="1:12" ht="96" customHeight="1" x14ac:dyDescent="0.3">
      <c r="A8648" s="2">
        <v>8644</v>
      </c>
      <c r="B8648" s="66" t="s">
        <v>10278</v>
      </c>
      <c r="C8648" s="66" t="s">
        <v>3381</v>
      </c>
      <c r="D8648" s="11">
        <v>3450</v>
      </c>
      <c r="E8648" s="11">
        <v>3450</v>
      </c>
      <c r="F8648" s="3">
        <v>41971</v>
      </c>
      <c r="G8648" s="2"/>
      <c r="H8648" s="3">
        <v>43053</v>
      </c>
      <c r="I8648" s="2" t="s">
        <v>19506</v>
      </c>
      <c r="J8648" s="2" t="s">
        <v>13904</v>
      </c>
      <c r="K8648" s="2" t="s">
        <v>19219</v>
      </c>
      <c r="L8648" s="82" t="s">
        <v>19512</v>
      </c>
    </row>
    <row r="8649" spans="1:12" ht="96" customHeight="1" x14ac:dyDescent="0.3">
      <c r="A8649" s="2">
        <v>8645</v>
      </c>
      <c r="B8649" s="66" t="s">
        <v>10279</v>
      </c>
      <c r="C8649" s="66" t="s">
        <v>3382</v>
      </c>
      <c r="D8649" s="11">
        <v>3623</v>
      </c>
      <c r="E8649" s="11">
        <v>3623</v>
      </c>
      <c r="F8649" s="3">
        <v>41971</v>
      </c>
      <c r="G8649" s="2"/>
      <c r="H8649" s="3">
        <v>43053</v>
      </c>
      <c r="I8649" s="2" t="s">
        <v>19506</v>
      </c>
      <c r="J8649" s="2" t="s">
        <v>13904</v>
      </c>
      <c r="K8649" s="2" t="s">
        <v>19219</v>
      </c>
      <c r="L8649" s="82" t="s">
        <v>19512</v>
      </c>
    </row>
    <row r="8650" spans="1:12" ht="96" customHeight="1" x14ac:dyDescent="0.3">
      <c r="A8650" s="2">
        <v>8646</v>
      </c>
      <c r="B8650" s="66" t="s">
        <v>3377</v>
      </c>
      <c r="C8650" s="66" t="s">
        <v>3383</v>
      </c>
      <c r="D8650" s="11">
        <v>4150</v>
      </c>
      <c r="E8650" s="11">
        <v>4150</v>
      </c>
      <c r="F8650" s="3">
        <v>41971</v>
      </c>
      <c r="G8650" s="2"/>
      <c r="H8650" s="3">
        <v>43053</v>
      </c>
      <c r="I8650" s="2" t="s">
        <v>19506</v>
      </c>
      <c r="J8650" s="2" t="s">
        <v>13904</v>
      </c>
      <c r="K8650" s="2" t="s">
        <v>19219</v>
      </c>
      <c r="L8650" s="82" t="s">
        <v>19512</v>
      </c>
    </row>
    <row r="8651" spans="1:12" ht="96" customHeight="1" x14ac:dyDescent="0.3">
      <c r="A8651" s="2">
        <v>8647</v>
      </c>
      <c r="B8651" s="66" t="s">
        <v>3377</v>
      </c>
      <c r="C8651" s="66" t="s">
        <v>3384</v>
      </c>
      <c r="D8651" s="11">
        <v>4150</v>
      </c>
      <c r="E8651" s="11">
        <v>4150</v>
      </c>
      <c r="F8651" s="3">
        <v>41971</v>
      </c>
      <c r="G8651" s="2"/>
      <c r="H8651" s="3">
        <v>43053</v>
      </c>
      <c r="I8651" s="2" t="s">
        <v>19506</v>
      </c>
      <c r="J8651" s="2" t="s">
        <v>13904</v>
      </c>
      <c r="K8651" s="2" t="s">
        <v>19219</v>
      </c>
      <c r="L8651" s="82" t="s">
        <v>19512</v>
      </c>
    </row>
    <row r="8652" spans="1:12" ht="96" customHeight="1" x14ac:dyDescent="0.3">
      <c r="A8652" s="2">
        <v>8648</v>
      </c>
      <c r="B8652" s="66" t="s">
        <v>3377</v>
      </c>
      <c r="C8652" s="66" t="s">
        <v>3246</v>
      </c>
      <c r="D8652" s="11">
        <v>4150</v>
      </c>
      <c r="E8652" s="11">
        <v>4150</v>
      </c>
      <c r="F8652" s="3">
        <v>41971</v>
      </c>
      <c r="G8652" s="2"/>
      <c r="H8652" s="3">
        <v>43053</v>
      </c>
      <c r="I8652" s="2" t="s">
        <v>19506</v>
      </c>
      <c r="J8652" s="2" t="s">
        <v>13904</v>
      </c>
      <c r="K8652" s="2" t="s">
        <v>19219</v>
      </c>
      <c r="L8652" s="82" t="s">
        <v>19512</v>
      </c>
    </row>
    <row r="8653" spans="1:12" ht="96" customHeight="1" x14ac:dyDescent="0.3">
      <c r="A8653" s="2">
        <v>8649</v>
      </c>
      <c r="B8653" s="66" t="s">
        <v>3377</v>
      </c>
      <c r="C8653" s="66" t="s">
        <v>3245</v>
      </c>
      <c r="D8653" s="11">
        <v>4150</v>
      </c>
      <c r="E8653" s="11">
        <v>4150</v>
      </c>
      <c r="F8653" s="3">
        <v>41971</v>
      </c>
      <c r="G8653" s="2"/>
      <c r="H8653" s="3">
        <v>43053</v>
      </c>
      <c r="I8653" s="2" t="s">
        <v>19506</v>
      </c>
      <c r="J8653" s="2" t="s">
        <v>13904</v>
      </c>
      <c r="K8653" s="2" t="s">
        <v>19219</v>
      </c>
      <c r="L8653" s="82" t="s">
        <v>19512</v>
      </c>
    </row>
    <row r="8654" spans="1:12" ht="96" customHeight="1" x14ac:dyDescent="0.3">
      <c r="A8654" s="2">
        <v>8650</v>
      </c>
      <c r="B8654" s="66" t="s">
        <v>3377</v>
      </c>
      <c r="C8654" s="66" t="s">
        <v>3244</v>
      </c>
      <c r="D8654" s="11">
        <v>4150</v>
      </c>
      <c r="E8654" s="11">
        <v>4150</v>
      </c>
      <c r="F8654" s="3">
        <v>41971</v>
      </c>
      <c r="G8654" s="2"/>
      <c r="H8654" s="3">
        <v>43053</v>
      </c>
      <c r="I8654" s="2" t="s">
        <v>19506</v>
      </c>
      <c r="J8654" s="2" t="s">
        <v>13904</v>
      </c>
      <c r="K8654" s="2" t="s">
        <v>19219</v>
      </c>
      <c r="L8654" s="82" t="s">
        <v>19512</v>
      </c>
    </row>
    <row r="8655" spans="1:12" ht="96" customHeight="1" x14ac:dyDescent="0.3">
      <c r="A8655" s="2">
        <v>8651</v>
      </c>
      <c r="B8655" s="66" t="s">
        <v>3377</v>
      </c>
      <c r="C8655" s="66" t="s">
        <v>3243</v>
      </c>
      <c r="D8655" s="11">
        <v>4150</v>
      </c>
      <c r="E8655" s="11">
        <v>4150</v>
      </c>
      <c r="F8655" s="3">
        <v>41971</v>
      </c>
      <c r="G8655" s="2"/>
      <c r="H8655" s="3">
        <v>43053</v>
      </c>
      <c r="I8655" s="2" t="s">
        <v>19506</v>
      </c>
      <c r="J8655" s="2" t="s">
        <v>13904</v>
      </c>
      <c r="K8655" s="2" t="s">
        <v>19219</v>
      </c>
      <c r="L8655" s="82" t="s">
        <v>19512</v>
      </c>
    </row>
    <row r="8656" spans="1:12" ht="96" customHeight="1" x14ac:dyDescent="0.3">
      <c r="A8656" s="2">
        <v>8652</v>
      </c>
      <c r="B8656" s="66" t="s">
        <v>3377</v>
      </c>
      <c r="C8656" s="66" t="s">
        <v>3242</v>
      </c>
      <c r="D8656" s="11">
        <v>4150</v>
      </c>
      <c r="E8656" s="11">
        <v>4150</v>
      </c>
      <c r="F8656" s="3">
        <v>41971</v>
      </c>
      <c r="G8656" s="2"/>
      <c r="H8656" s="3">
        <v>43053</v>
      </c>
      <c r="I8656" s="2" t="s">
        <v>19506</v>
      </c>
      <c r="J8656" s="2" t="s">
        <v>13904</v>
      </c>
      <c r="K8656" s="2" t="s">
        <v>19219</v>
      </c>
      <c r="L8656" s="82" t="s">
        <v>19512</v>
      </c>
    </row>
    <row r="8657" spans="1:12" ht="96" customHeight="1" x14ac:dyDescent="0.3">
      <c r="A8657" s="2">
        <v>8653</v>
      </c>
      <c r="B8657" s="66" t="s">
        <v>3377</v>
      </c>
      <c r="C8657" s="66" t="s">
        <v>3241</v>
      </c>
      <c r="D8657" s="11">
        <v>4150</v>
      </c>
      <c r="E8657" s="11">
        <v>4150</v>
      </c>
      <c r="F8657" s="3">
        <v>41971</v>
      </c>
      <c r="G8657" s="2"/>
      <c r="H8657" s="3">
        <v>43053</v>
      </c>
      <c r="I8657" s="2" t="s">
        <v>19506</v>
      </c>
      <c r="J8657" s="2" t="s">
        <v>13904</v>
      </c>
      <c r="K8657" s="2" t="s">
        <v>19219</v>
      </c>
      <c r="L8657" s="82" t="s">
        <v>19512</v>
      </c>
    </row>
    <row r="8658" spans="1:12" ht="96" customHeight="1" x14ac:dyDescent="0.3">
      <c r="A8658" s="2">
        <v>8654</v>
      </c>
      <c r="B8658" s="66" t="s">
        <v>3377</v>
      </c>
      <c r="C8658" s="66" t="s">
        <v>3149</v>
      </c>
      <c r="D8658" s="11">
        <v>4150</v>
      </c>
      <c r="E8658" s="11">
        <v>4150</v>
      </c>
      <c r="F8658" s="3">
        <v>41971</v>
      </c>
      <c r="G8658" s="2"/>
      <c r="H8658" s="3">
        <v>43053</v>
      </c>
      <c r="I8658" s="2" t="s">
        <v>19506</v>
      </c>
      <c r="J8658" s="2" t="s">
        <v>13904</v>
      </c>
      <c r="K8658" s="2" t="s">
        <v>19219</v>
      </c>
      <c r="L8658" s="82" t="s">
        <v>19512</v>
      </c>
    </row>
    <row r="8659" spans="1:12" ht="96" customHeight="1" x14ac:dyDescent="0.3">
      <c r="A8659" s="2">
        <v>8655</v>
      </c>
      <c r="B8659" s="66" t="s">
        <v>3377</v>
      </c>
      <c r="C8659" s="66" t="s">
        <v>3147</v>
      </c>
      <c r="D8659" s="11">
        <v>4150</v>
      </c>
      <c r="E8659" s="11">
        <v>4150</v>
      </c>
      <c r="F8659" s="3">
        <v>41971</v>
      </c>
      <c r="G8659" s="2"/>
      <c r="H8659" s="3">
        <v>43053</v>
      </c>
      <c r="I8659" s="2" t="s">
        <v>19506</v>
      </c>
      <c r="J8659" s="2" t="s">
        <v>13904</v>
      </c>
      <c r="K8659" s="2" t="s">
        <v>19219</v>
      </c>
      <c r="L8659" s="82" t="s">
        <v>19512</v>
      </c>
    </row>
    <row r="8660" spans="1:12" ht="96" customHeight="1" x14ac:dyDescent="0.3">
      <c r="A8660" s="2">
        <v>8656</v>
      </c>
      <c r="B8660" s="66" t="s">
        <v>10280</v>
      </c>
      <c r="C8660" s="66" t="s">
        <v>10281</v>
      </c>
      <c r="D8660" s="11">
        <v>14450</v>
      </c>
      <c r="E8660" s="11">
        <v>14450</v>
      </c>
      <c r="F8660" s="3">
        <v>41593</v>
      </c>
      <c r="G8660" s="2"/>
      <c r="H8660" s="3">
        <v>43053</v>
      </c>
      <c r="I8660" s="2" t="s">
        <v>19506</v>
      </c>
      <c r="J8660" s="2" t="s">
        <v>13904</v>
      </c>
      <c r="K8660" s="2" t="s">
        <v>19219</v>
      </c>
      <c r="L8660" s="82" t="s">
        <v>19512</v>
      </c>
    </row>
    <row r="8661" spans="1:12" ht="96" customHeight="1" x14ac:dyDescent="0.3">
      <c r="A8661" s="2">
        <v>8657</v>
      </c>
      <c r="B8661" s="66" t="s">
        <v>10282</v>
      </c>
      <c r="C8661" s="66" t="s">
        <v>3339</v>
      </c>
      <c r="D8661" s="11">
        <v>6000.3</v>
      </c>
      <c r="E8661" s="11">
        <v>6000.3</v>
      </c>
      <c r="F8661" s="3">
        <v>41115</v>
      </c>
      <c r="G8661" s="2"/>
      <c r="H8661" s="3">
        <v>43053</v>
      </c>
      <c r="I8661" s="2" t="s">
        <v>19506</v>
      </c>
      <c r="J8661" s="2" t="s">
        <v>13904</v>
      </c>
      <c r="K8661" s="2" t="s">
        <v>19219</v>
      </c>
      <c r="L8661" s="82" t="s">
        <v>19512</v>
      </c>
    </row>
    <row r="8662" spans="1:12" ht="96" customHeight="1" x14ac:dyDescent="0.3">
      <c r="A8662" s="2">
        <v>8658</v>
      </c>
      <c r="B8662" s="66" t="s">
        <v>3653</v>
      </c>
      <c r="C8662" s="66" t="s">
        <v>10283</v>
      </c>
      <c r="D8662" s="11">
        <v>4319.9799999999996</v>
      </c>
      <c r="E8662" s="11">
        <v>4319.9799999999996</v>
      </c>
      <c r="F8662" s="3">
        <v>41115</v>
      </c>
      <c r="G8662" s="2"/>
      <c r="H8662" s="3">
        <v>43053</v>
      </c>
      <c r="I8662" s="2" t="s">
        <v>19506</v>
      </c>
      <c r="J8662" s="2" t="s">
        <v>13904</v>
      </c>
      <c r="K8662" s="2" t="s">
        <v>19219</v>
      </c>
      <c r="L8662" s="82" t="s">
        <v>19512</v>
      </c>
    </row>
    <row r="8663" spans="1:12" ht="96" customHeight="1" x14ac:dyDescent="0.3">
      <c r="A8663" s="2">
        <v>8659</v>
      </c>
      <c r="B8663" s="66" t="s">
        <v>3180</v>
      </c>
      <c r="C8663" s="66" t="s">
        <v>3217</v>
      </c>
      <c r="D8663" s="11">
        <v>6045.2</v>
      </c>
      <c r="E8663" s="11">
        <v>6045.2</v>
      </c>
      <c r="F8663" s="3">
        <v>38029</v>
      </c>
      <c r="G8663" s="2"/>
      <c r="H8663" s="3">
        <v>43053</v>
      </c>
      <c r="I8663" s="2" t="s">
        <v>19506</v>
      </c>
      <c r="J8663" s="2" t="s">
        <v>13904</v>
      </c>
      <c r="K8663" s="2" t="s">
        <v>19219</v>
      </c>
      <c r="L8663" s="82" t="s">
        <v>19512</v>
      </c>
    </row>
    <row r="8664" spans="1:12" ht="96" customHeight="1" x14ac:dyDescent="0.3">
      <c r="A8664" s="2">
        <v>8660</v>
      </c>
      <c r="B8664" s="66" t="s">
        <v>10284</v>
      </c>
      <c r="C8664" s="66" t="s">
        <v>10285</v>
      </c>
      <c r="D8664" s="11">
        <v>6500</v>
      </c>
      <c r="E8664" s="11">
        <v>6500</v>
      </c>
      <c r="F8664" s="3">
        <v>39808</v>
      </c>
      <c r="G8664" s="2"/>
      <c r="H8664" s="3">
        <v>43053</v>
      </c>
      <c r="I8664" s="2" t="s">
        <v>19506</v>
      </c>
      <c r="J8664" s="2" t="s">
        <v>13904</v>
      </c>
      <c r="K8664" s="2" t="s">
        <v>19219</v>
      </c>
      <c r="L8664" s="82" t="s">
        <v>19512</v>
      </c>
    </row>
    <row r="8665" spans="1:12" ht="96" customHeight="1" x14ac:dyDescent="0.3">
      <c r="A8665" s="2">
        <v>8661</v>
      </c>
      <c r="B8665" s="66" t="s">
        <v>10286</v>
      </c>
      <c r="C8665" s="66" t="s">
        <v>10287</v>
      </c>
      <c r="D8665" s="11">
        <v>3909.17</v>
      </c>
      <c r="E8665" s="11">
        <v>3909.17</v>
      </c>
      <c r="F8665" s="3">
        <v>39076</v>
      </c>
      <c r="G8665" s="2"/>
      <c r="H8665" s="3">
        <v>43053</v>
      </c>
      <c r="I8665" s="2" t="s">
        <v>19506</v>
      </c>
      <c r="J8665" s="2" t="s">
        <v>13904</v>
      </c>
      <c r="K8665" s="2" t="s">
        <v>19219</v>
      </c>
      <c r="L8665" s="82" t="s">
        <v>19512</v>
      </c>
    </row>
    <row r="8666" spans="1:12" ht="96" customHeight="1" x14ac:dyDescent="0.3">
      <c r="A8666" s="2">
        <v>8662</v>
      </c>
      <c r="B8666" s="66" t="s">
        <v>10286</v>
      </c>
      <c r="C8666" s="66" t="s">
        <v>10288</v>
      </c>
      <c r="D8666" s="11">
        <v>3909.17</v>
      </c>
      <c r="E8666" s="11">
        <v>3909.17</v>
      </c>
      <c r="F8666" s="3">
        <v>39076</v>
      </c>
      <c r="G8666" s="2"/>
      <c r="H8666" s="3">
        <v>43053</v>
      </c>
      <c r="I8666" s="2" t="s">
        <v>19506</v>
      </c>
      <c r="J8666" s="2" t="s">
        <v>13904</v>
      </c>
      <c r="K8666" s="2" t="s">
        <v>19219</v>
      </c>
      <c r="L8666" s="82" t="s">
        <v>19512</v>
      </c>
    </row>
    <row r="8667" spans="1:12" ht="96" customHeight="1" x14ac:dyDescent="0.3">
      <c r="A8667" s="2">
        <v>8663</v>
      </c>
      <c r="B8667" s="66" t="s">
        <v>10286</v>
      </c>
      <c r="C8667" s="66" t="s">
        <v>10289</v>
      </c>
      <c r="D8667" s="11">
        <v>3909.17</v>
      </c>
      <c r="E8667" s="11">
        <v>3909.17</v>
      </c>
      <c r="F8667" s="3">
        <v>39076</v>
      </c>
      <c r="G8667" s="2"/>
      <c r="H8667" s="3">
        <v>43053</v>
      </c>
      <c r="I8667" s="2" t="s">
        <v>19506</v>
      </c>
      <c r="J8667" s="2" t="s">
        <v>13904</v>
      </c>
      <c r="K8667" s="2" t="s">
        <v>19219</v>
      </c>
      <c r="L8667" s="82" t="s">
        <v>19512</v>
      </c>
    </row>
    <row r="8668" spans="1:12" ht="96" customHeight="1" x14ac:dyDescent="0.3">
      <c r="A8668" s="2">
        <v>8664</v>
      </c>
      <c r="B8668" s="66" t="s">
        <v>10286</v>
      </c>
      <c r="C8668" s="66" t="s">
        <v>10290</v>
      </c>
      <c r="D8668" s="11">
        <v>3909.17</v>
      </c>
      <c r="E8668" s="11">
        <v>3909.17</v>
      </c>
      <c r="F8668" s="3">
        <v>39076</v>
      </c>
      <c r="G8668" s="2"/>
      <c r="H8668" s="3">
        <v>43053</v>
      </c>
      <c r="I8668" s="2" t="s">
        <v>19506</v>
      </c>
      <c r="J8668" s="2" t="s">
        <v>13904</v>
      </c>
      <c r="K8668" s="2" t="s">
        <v>19219</v>
      </c>
      <c r="L8668" s="82" t="s">
        <v>19512</v>
      </c>
    </row>
    <row r="8669" spans="1:12" ht="96" customHeight="1" x14ac:dyDescent="0.3">
      <c r="A8669" s="2">
        <v>8665</v>
      </c>
      <c r="B8669" s="66" t="s">
        <v>10291</v>
      </c>
      <c r="C8669" s="66" t="s">
        <v>4124</v>
      </c>
      <c r="D8669" s="11">
        <v>8957.65</v>
      </c>
      <c r="E8669" s="11">
        <v>8957.65</v>
      </c>
      <c r="F8669" s="3">
        <v>41186</v>
      </c>
      <c r="G8669" s="2"/>
      <c r="H8669" s="3">
        <v>43053</v>
      </c>
      <c r="I8669" s="2" t="s">
        <v>19506</v>
      </c>
      <c r="J8669" s="2" t="s">
        <v>13904</v>
      </c>
      <c r="K8669" s="2" t="s">
        <v>19219</v>
      </c>
      <c r="L8669" s="82" t="s">
        <v>19512</v>
      </c>
    </row>
    <row r="8670" spans="1:12" ht="96" customHeight="1" x14ac:dyDescent="0.3">
      <c r="A8670" s="2">
        <v>8666</v>
      </c>
      <c r="B8670" s="66" t="s">
        <v>10291</v>
      </c>
      <c r="C8670" s="66" t="s">
        <v>4126</v>
      </c>
      <c r="D8670" s="11">
        <v>8957.65</v>
      </c>
      <c r="E8670" s="11">
        <v>8957.65</v>
      </c>
      <c r="F8670" s="3">
        <v>41186</v>
      </c>
      <c r="G8670" s="2"/>
      <c r="H8670" s="3">
        <v>43053</v>
      </c>
      <c r="I8670" s="2" t="s">
        <v>19506</v>
      </c>
      <c r="J8670" s="2" t="s">
        <v>13904</v>
      </c>
      <c r="K8670" s="2" t="s">
        <v>19219</v>
      </c>
      <c r="L8670" s="82" t="s">
        <v>19512</v>
      </c>
    </row>
    <row r="8671" spans="1:12" ht="96" customHeight="1" x14ac:dyDescent="0.3">
      <c r="A8671" s="2">
        <v>8667</v>
      </c>
      <c r="B8671" s="66" t="s">
        <v>10291</v>
      </c>
      <c r="C8671" s="66" t="s">
        <v>10292</v>
      </c>
      <c r="D8671" s="11">
        <v>8957.65</v>
      </c>
      <c r="E8671" s="11">
        <v>8957.65</v>
      </c>
      <c r="F8671" s="3">
        <v>41186</v>
      </c>
      <c r="G8671" s="2"/>
      <c r="H8671" s="3">
        <v>43053</v>
      </c>
      <c r="I8671" s="2" t="s">
        <v>19506</v>
      </c>
      <c r="J8671" s="2" t="s">
        <v>13904</v>
      </c>
      <c r="K8671" s="2" t="s">
        <v>19219</v>
      </c>
      <c r="L8671" s="82" t="s">
        <v>19512</v>
      </c>
    </row>
    <row r="8672" spans="1:12" ht="96" customHeight="1" x14ac:dyDescent="0.3">
      <c r="A8672" s="2">
        <v>8668</v>
      </c>
      <c r="B8672" s="66" t="s">
        <v>10293</v>
      </c>
      <c r="C8672" s="66" t="s">
        <v>3641</v>
      </c>
      <c r="D8672" s="11">
        <v>4795.38</v>
      </c>
      <c r="E8672" s="11">
        <v>4795.38</v>
      </c>
      <c r="F8672" s="3">
        <v>41186</v>
      </c>
      <c r="G8672" s="2"/>
      <c r="H8672" s="3">
        <v>43053</v>
      </c>
      <c r="I8672" s="2" t="s">
        <v>19506</v>
      </c>
      <c r="J8672" s="2" t="s">
        <v>13904</v>
      </c>
      <c r="K8672" s="2" t="s">
        <v>19219</v>
      </c>
      <c r="L8672" s="82" t="s">
        <v>19512</v>
      </c>
    </row>
    <row r="8673" spans="1:15" ht="96" customHeight="1" x14ac:dyDescent="0.3">
      <c r="A8673" s="2">
        <v>8669</v>
      </c>
      <c r="B8673" s="66" t="s">
        <v>10293</v>
      </c>
      <c r="C8673" s="66" t="s">
        <v>10294</v>
      </c>
      <c r="D8673" s="11">
        <v>4795.38</v>
      </c>
      <c r="E8673" s="11">
        <v>4795.38</v>
      </c>
      <c r="F8673" s="3">
        <v>41186</v>
      </c>
      <c r="G8673" s="2"/>
      <c r="H8673" s="3">
        <v>43053</v>
      </c>
      <c r="I8673" s="2" t="s">
        <v>19506</v>
      </c>
      <c r="J8673" s="2" t="s">
        <v>13904</v>
      </c>
      <c r="K8673" s="2" t="s">
        <v>19219</v>
      </c>
      <c r="L8673" s="82" t="s">
        <v>19512</v>
      </c>
    </row>
    <row r="8674" spans="1:15" ht="96" customHeight="1" x14ac:dyDescent="0.3">
      <c r="A8674" s="2">
        <v>8670</v>
      </c>
      <c r="B8674" s="66" t="s">
        <v>10295</v>
      </c>
      <c r="C8674" s="66" t="s">
        <v>10296</v>
      </c>
      <c r="D8674" s="11">
        <v>7555.96</v>
      </c>
      <c r="E8674" s="11">
        <v>7555.96</v>
      </c>
      <c r="F8674" s="3">
        <v>41186</v>
      </c>
      <c r="G8674" s="2"/>
      <c r="H8674" s="3">
        <v>43053</v>
      </c>
      <c r="I8674" s="2" t="s">
        <v>19506</v>
      </c>
      <c r="J8674" s="2" t="s">
        <v>13904</v>
      </c>
      <c r="K8674" s="2" t="s">
        <v>19219</v>
      </c>
      <c r="L8674" s="82" t="s">
        <v>19512</v>
      </c>
    </row>
    <row r="8675" spans="1:15" ht="96" customHeight="1" x14ac:dyDescent="0.3">
      <c r="A8675" s="2">
        <v>8671</v>
      </c>
      <c r="B8675" s="66" t="s">
        <v>10297</v>
      </c>
      <c r="C8675" s="66" t="s">
        <v>10298</v>
      </c>
      <c r="D8675" s="11">
        <v>24238.73</v>
      </c>
      <c r="E8675" s="11">
        <v>24238.73</v>
      </c>
      <c r="F8675" s="3">
        <v>41186</v>
      </c>
      <c r="G8675" s="2"/>
      <c r="H8675" s="3">
        <v>43053</v>
      </c>
      <c r="I8675" s="2" t="s">
        <v>19506</v>
      </c>
      <c r="J8675" s="2" t="s">
        <v>13904</v>
      </c>
      <c r="K8675" s="2" t="s">
        <v>19219</v>
      </c>
      <c r="L8675" s="82" t="s">
        <v>19512</v>
      </c>
    </row>
    <row r="8676" spans="1:15" ht="96" customHeight="1" x14ac:dyDescent="0.3">
      <c r="A8676" s="2">
        <v>8672</v>
      </c>
      <c r="B8676" s="66" t="s">
        <v>10297</v>
      </c>
      <c r="C8676" s="66" t="s">
        <v>10299</v>
      </c>
      <c r="D8676" s="11">
        <v>24238.73</v>
      </c>
      <c r="E8676" s="11">
        <v>24238.73</v>
      </c>
      <c r="F8676" s="3">
        <v>41186</v>
      </c>
      <c r="G8676" s="2"/>
      <c r="H8676" s="3">
        <v>43053</v>
      </c>
      <c r="I8676" s="2" t="s">
        <v>19506</v>
      </c>
      <c r="J8676" s="2" t="s">
        <v>13904</v>
      </c>
      <c r="K8676" s="2" t="s">
        <v>19219</v>
      </c>
      <c r="L8676" s="82" t="s">
        <v>19512</v>
      </c>
    </row>
    <row r="8677" spans="1:15" ht="96" customHeight="1" x14ac:dyDescent="0.3">
      <c r="A8677" s="2">
        <v>8673</v>
      </c>
      <c r="B8677" s="66" t="s">
        <v>4688</v>
      </c>
      <c r="C8677" s="66" t="s">
        <v>10300</v>
      </c>
      <c r="D8677" s="11">
        <v>5000</v>
      </c>
      <c r="E8677" s="11">
        <v>5000</v>
      </c>
      <c r="F8677" s="3">
        <v>39777</v>
      </c>
      <c r="G8677" s="2"/>
      <c r="H8677" s="3">
        <v>43053</v>
      </c>
      <c r="I8677" s="2" t="s">
        <v>19506</v>
      </c>
      <c r="J8677" s="2" t="s">
        <v>13904</v>
      </c>
      <c r="K8677" s="2" t="s">
        <v>19219</v>
      </c>
      <c r="L8677" s="82" t="s">
        <v>19512</v>
      </c>
    </row>
    <row r="8678" spans="1:15" ht="96" customHeight="1" x14ac:dyDescent="0.3">
      <c r="A8678" s="2">
        <v>8674</v>
      </c>
      <c r="B8678" s="66" t="s">
        <v>10301</v>
      </c>
      <c r="C8678" s="66" t="s">
        <v>10302</v>
      </c>
      <c r="D8678" s="11">
        <v>9600</v>
      </c>
      <c r="E8678" s="11">
        <v>9600</v>
      </c>
      <c r="F8678" s="3">
        <v>39804</v>
      </c>
      <c r="G8678" s="2"/>
      <c r="H8678" s="3">
        <v>43053</v>
      </c>
      <c r="I8678" s="2" t="s">
        <v>19506</v>
      </c>
      <c r="J8678" s="2" t="s">
        <v>13904</v>
      </c>
      <c r="K8678" s="2" t="s">
        <v>19219</v>
      </c>
      <c r="L8678" s="82" t="s">
        <v>19512</v>
      </c>
    </row>
    <row r="8679" spans="1:15" ht="96" customHeight="1" x14ac:dyDescent="0.3">
      <c r="A8679" s="2">
        <v>8675</v>
      </c>
      <c r="B8679" s="66" t="s">
        <v>10303</v>
      </c>
      <c r="C8679" s="66" t="s">
        <v>10304</v>
      </c>
      <c r="D8679" s="11">
        <v>10148.11</v>
      </c>
      <c r="E8679" s="11">
        <v>10148.11</v>
      </c>
      <c r="F8679" s="3">
        <v>39079</v>
      </c>
      <c r="G8679" s="2"/>
      <c r="H8679" s="3">
        <v>43053</v>
      </c>
      <c r="I8679" s="2" t="s">
        <v>19506</v>
      </c>
      <c r="J8679" s="2" t="s">
        <v>13904</v>
      </c>
      <c r="K8679" s="2" t="s">
        <v>19219</v>
      </c>
      <c r="L8679" s="82" t="s">
        <v>19512</v>
      </c>
    </row>
    <row r="8680" spans="1:15" ht="96" customHeight="1" x14ac:dyDescent="0.3">
      <c r="A8680" s="2">
        <v>8676</v>
      </c>
      <c r="B8680" s="66" t="s">
        <v>10305</v>
      </c>
      <c r="C8680" s="66" t="s">
        <v>10306</v>
      </c>
      <c r="D8680" s="11">
        <v>9441</v>
      </c>
      <c r="E8680" s="11">
        <v>9441</v>
      </c>
      <c r="F8680" s="3">
        <v>39394</v>
      </c>
      <c r="G8680" s="2"/>
      <c r="H8680" s="3">
        <v>43053</v>
      </c>
      <c r="I8680" s="2" t="s">
        <v>19506</v>
      </c>
      <c r="J8680" s="2" t="s">
        <v>13904</v>
      </c>
      <c r="K8680" s="2" t="s">
        <v>19219</v>
      </c>
      <c r="L8680" s="82" t="s">
        <v>19512</v>
      </c>
    </row>
    <row r="8681" spans="1:15" ht="96" customHeight="1" x14ac:dyDescent="0.3">
      <c r="A8681" s="2">
        <v>8677</v>
      </c>
      <c r="B8681" s="66" t="s">
        <v>1939</v>
      </c>
      <c r="C8681" s="66" t="s">
        <v>10307</v>
      </c>
      <c r="D8681" s="11">
        <v>5604.8</v>
      </c>
      <c r="E8681" s="11">
        <v>5604.8</v>
      </c>
      <c r="F8681" s="3">
        <v>40147</v>
      </c>
      <c r="G8681" s="2"/>
      <c r="H8681" s="3">
        <v>43053</v>
      </c>
      <c r="I8681" s="2" t="s">
        <v>19506</v>
      </c>
      <c r="J8681" s="2" t="s">
        <v>13904</v>
      </c>
      <c r="K8681" s="2" t="s">
        <v>19219</v>
      </c>
      <c r="L8681" s="82" t="s">
        <v>19512</v>
      </c>
    </row>
    <row r="8682" spans="1:15" ht="96" customHeight="1" x14ac:dyDescent="0.3">
      <c r="A8682" s="2">
        <v>8678</v>
      </c>
      <c r="B8682" s="66" t="s">
        <v>1939</v>
      </c>
      <c r="C8682" s="66" t="s">
        <v>10308</v>
      </c>
      <c r="D8682" s="11">
        <v>5604.8</v>
      </c>
      <c r="E8682" s="11">
        <v>5604.8</v>
      </c>
      <c r="F8682" s="3">
        <v>40147</v>
      </c>
      <c r="G8682" s="2"/>
      <c r="H8682" s="3">
        <v>43053</v>
      </c>
      <c r="I8682" s="2" t="s">
        <v>19506</v>
      </c>
      <c r="J8682" s="2" t="s">
        <v>13904</v>
      </c>
      <c r="K8682" s="2" t="s">
        <v>19219</v>
      </c>
      <c r="L8682" s="82" t="s">
        <v>19512</v>
      </c>
    </row>
    <row r="8683" spans="1:15" ht="96" customHeight="1" x14ac:dyDescent="0.3">
      <c r="A8683" s="2">
        <v>8679</v>
      </c>
      <c r="B8683" s="66" t="s">
        <v>1939</v>
      </c>
      <c r="C8683" s="66" t="s">
        <v>10309</v>
      </c>
      <c r="D8683" s="11">
        <v>5604.8</v>
      </c>
      <c r="E8683" s="11">
        <v>5604.8</v>
      </c>
      <c r="F8683" s="3">
        <v>40147</v>
      </c>
      <c r="G8683" s="2"/>
      <c r="H8683" s="3">
        <v>43053</v>
      </c>
      <c r="I8683" s="2" t="s">
        <v>19506</v>
      </c>
      <c r="J8683" s="2" t="s">
        <v>13904</v>
      </c>
      <c r="K8683" s="2" t="s">
        <v>19219</v>
      </c>
      <c r="L8683" s="82" t="s">
        <v>19512</v>
      </c>
    </row>
    <row r="8684" spans="1:15" ht="96" customHeight="1" x14ac:dyDescent="0.3">
      <c r="A8684" s="2">
        <v>8680</v>
      </c>
      <c r="B8684" s="66" t="s">
        <v>1939</v>
      </c>
      <c r="C8684" s="66" t="s">
        <v>10310</v>
      </c>
      <c r="D8684" s="11">
        <v>5604.8</v>
      </c>
      <c r="E8684" s="11">
        <v>5604.8</v>
      </c>
      <c r="F8684" s="3">
        <v>40147</v>
      </c>
      <c r="G8684" s="2"/>
      <c r="H8684" s="3">
        <v>43053</v>
      </c>
      <c r="I8684" s="2" t="s">
        <v>19506</v>
      </c>
      <c r="J8684" s="2" t="s">
        <v>13904</v>
      </c>
      <c r="K8684" s="2" t="s">
        <v>19219</v>
      </c>
      <c r="L8684" s="82" t="s">
        <v>19512</v>
      </c>
    </row>
    <row r="8685" spans="1:15" ht="96" customHeight="1" x14ac:dyDescent="0.3">
      <c r="A8685" s="2">
        <v>8681</v>
      </c>
      <c r="B8685" s="66" t="s">
        <v>1939</v>
      </c>
      <c r="C8685" s="66" t="s">
        <v>10311</v>
      </c>
      <c r="D8685" s="11">
        <v>5604.8</v>
      </c>
      <c r="E8685" s="11">
        <v>5604.8</v>
      </c>
      <c r="F8685" s="3">
        <v>40147</v>
      </c>
      <c r="G8685" s="2"/>
      <c r="H8685" s="3">
        <v>43053</v>
      </c>
      <c r="I8685" s="2" t="s">
        <v>19506</v>
      </c>
      <c r="J8685" s="2" t="s">
        <v>13904</v>
      </c>
      <c r="K8685" s="2" t="s">
        <v>19219</v>
      </c>
      <c r="L8685" s="82" t="s">
        <v>19512</v>
      </c>
    </row>
    <row r="8686" spans="1:15" s="19" customFormat="1" ht="96" customHeight="1" x14ac:dyDescent="0.3">
      <c r="A8686" s="2">
        <v>8682</v>
      </c>
      <c r="B8686" s="66" t="s">
        <v>10312</v>
      </c>
      <c r="C8686" s="66" t="s">
        <v>3345</v>
      </c>
      <c r="D8686" s="244">
        <v>624926.04</v>
      </c>
      <c r="E8686" s="11">
        <v>39925.93</v>
      </c>
      <c r="F8686" s="3">
        <v>41964</v>
      </c>
      <c r="G8686" s="2" t="s">
        <v>14104</v>
      </c>
      <c r="H8686" s="2"/>
      <c r="I8686" s="2"/>
      <c r="J8686" s="2" t="s">
        <v>13904</v>
      </c>
      <c r="K8686" s="2" t="s">
        <v>19215</v>
      </c>
      <c r="L8686" s="2" t="s">
        <v>18604</v>
      </c>
      <c r="M8686" s="18"/>
      <c r="N8686" s="18"/>
      <c r="O8686" s="18"/>
    </row>
    <row r="8687" spans="1:15" ht="96" customHeight="1" x14ac:dyDescent="0.3">
      <c r="A8687" s="2">
        <v>8683</v>
      </c>
      <c r="B8687" s="66" t="s">
        <v>1062</v>
      </c>
      <c r="C8687" s="66" t="s">
        <v>4983</v>
      </c>
      <c r="D8687" s="244">
        <v>99074.94</v>
      </c>
      <c r="E8687" s="11">
        <v>57793.74</v>
      </c>
      <c r="F8687" s="3">
        <v>42004</v>
      </c>
      <c r="G8687" s="2" t="s">
        <v>14104</v>
      </c>
      <c r="H8687" s="2"/>
      <c r="I8687" s="2"/>
      <c r="J8687" s="2" t="s">
        <v>13904</v>
      </c>
      <c r="K8687" s="2" t="s">
        <v>19215</v>
      </c>
      <c r="L8687" s="82" t="s">
        <v>18604</v>
      </c>
    </row>
    <row r="8688" spans="1:15" ht="96" customHeight="1" x14ac:dyDescent="0.3">
      <c r="A8688" s="2">
        <v>8684</v>
      </c>
      <c r="B8688" s="66" t="s">
        <v>18609</v>
      </c>
      <c r="C8688" s="66">
        <v>4101240011</v>
      </c>
      <c r="D8688" s="244">
        <v>217000</v>
      </c>
      <c r="E8688" s="11">
        <v>5166.66</v>
      </c>
      <c r="F8688" s="3">
        <v>38729</v>
      </c>
      <c r="G8688" s="2" t="s">
        <v>14104</v>
      </c>
      <c r="H8688" s="2"/>
      <c r="I8688" s="2"/>
      <c r="J8688" s="2" t="s">
        <v>13904</v>
      </c>
      <c r="K8688" s="2" t="s">
        <v>19215</v>
      </c>
      <c r="L8688" s="82" t="s">
        <v>18604</v>
      </c>
    </row>
    <row r="8689" spans="1:12" ht="96" customHeight="1" x14ac:dyDescent="0.3">
      <c r="A8689" s="2">
        <v>8685</v>
      </c>
      <c r="B8689" s="66" t="s">
        <v>10313</v>
      </c>
      <c r="C8689" s="66" t="s">
        <v>4331</v>
      </c>
      <c r="D8689" s="244">
        <v>98300</v>
      </c>
      <c r="E8689" s="11">
        <v>16383.36</v>
      </c>
      <c r="F8689" s="3">
        <v>41988</v>
      </c>
      <c r="G8689" s="2" t="s">
        <v>14104</v>
      </c>
      <c r="H8689" s="2"/>
      <c r="I8689" s="2"/>
      <c r="J8689" s="2" t="s">
        <v>13904</v>
      </c>
      <c r="K8689" s="2" t="s">
        <v>19215</v>
      </c>
      <c r="L8689" s="82" t="s">
        <v>18604</v>
      </c>
    </row>
    <row r="8690" spans="1:12" ht="96" customHeight="1" x14ac:dyDescent="0.3">
      <c r="A8690" s="2">
        <v>8686</v>
      </c>
      <c r="B8690" s="66" t="s">
        <v>10314</v>
      </c>
      <c r="C8690" s="66" t="s">
        <v>4327</v>
      </c>
      <c r="D8690" s="244">
        <v>98300</v>
      </c>
      <c r="E8690" s="11">
        <v>62802.879999999997</v>
      </c>
      <c r="F8690" s="3">
        <v>41988</v>
      </c>
      <c r="G8690" s="2" t="s">
        <v>14104</v>
      </c>
      <c r="H8690" s="2"/>
      <c r="I8690" s="2"/>
      <c r="J8690" s="2" t="s">
        <v>13904</v>
      </c>
      <c r="K8690" s="2" t="s">
        <v>19215</v>
      </c>
      <c r="L8690" s="82" t="s">
        <v>18604</v>
      </c>
    </row>
    <row r="8691" spans="1:12" ht="96" customHeight="1" x14ac:dyDescent="0.3">
      <c r="A8691" s="2">
        <v>8687</v>
      </c>
      <c r="B8691" s="66" t="s">
        <v>4976</v>
      </c>
      <c r="C8691" s="66" t="s">
        <v>4977</v>
      </c>
      <c r="D8691" s="244">
        <v>56620</v>
      </c>
      <c r="E8691" s="11">
        <v>33028.449999999997</v>
      </c>
      <c r="F8691" s="3">
        <v>41619</v>
      </c>
      <c r="G8691" s="2" t="s">
        <v>14104</v>
      </c>
      <c r="H8691" s="2"/>
      <c r="I8691" s="2"/>
      <c r="J8691" s="2" t="s">
        <v>13904</v>
      </c>
      <c r="K8691" s="2" t="s">
        <v>19215</v>
      </c>
      <c r="L8691" s="82" t="s">
        <v>18604</v>
      </c>
    </row>
    <row r="8692" spans="1:12" ht="96" customHeight="1" x14ac:dyDescent="0.3">
      <c r="A8692" s="2">
        <v>8688</v>
      </c>
      <c r="B8692" s="66" t="s">
        <v>4978</v>
      </c>
      <c r="C8692" s="66" t="s">
        <v>4979</v>
      </c>
      <c r="D8692" s="244">
        <v>50500</v>
      </c>
      <c r="E8692" s="11">
        <v>14729.05</v>
      </c>
      <c r="F8692" s="3">
        <v>41619</v>
      </c>
      <c r="G8692" s="2" t="s">
        <v>14104</v>
      </c>
      <c r="H8692" s="2"/>
      <c r="I8692" s="2"/>
      <c r="J8692" s="2" t="s">
        <v>13904</v>
      </c>
      <c r="K8692" s="2" t="s">
        <v>19215</v>
      </c>
      <c r="L8692" s="82" t="s">
        <v>18604</v>
      </c>
    </row>
    <row r="8693" spans="1:12" ht="96" customHeight="1" x14ac:dyDescent="0.3">
      <c r="A8693" s="2">
        <v>8689</v>
      </c>
      <c r="B8693" s="66" t="s">
        <v>4980</v>
      </c>
      <c r="C8693" s="66" t="s">
        <v>4981</v>
      </c>
      <c r="D8693" s="244">
        <v>62900</v>
      </c>
      <c r="E8693" s="11">
        <v>36691.550000000003</v>
      </c>
      <c r="F8693" s="3">
        <v>41619</v>
      </c>
      <c r="G8693" s="2" t="s">
        <v>14104</v>
      </c>
      <c r="H8693" s="2"/>
      <c r="I8693" s="2"/>
      <c r="J8693" s="2" t="s">
        <v>13904</v>
      </c>
      <c r="K8693" s="2" t="s">
        <v>19215</v>
      </c>
      <c r="L8693" s="82" t="s">
        <v>18604</v>
      </c>
    </row>
    <row r="8694" spans="1:12" ht="96" customHeight="1" x14ac:dyDescent="0.3">
      <c r="A8694" s="2">
        <v>8690</v>
      </c>
      <c r="B8694" s="66" t="s">
        <v>10315</v>
      </c>
      <c r="C8694" s="66" t="s">
        <v>5395</v>
      </c>
      <c r="D8694" s="244">
        <v>500000</v>
      </c>
      <c r="E8694" s="11">
        <v>500000</v>
      </c>
      <c r="F8694" s="3">
        <v>39728</v>
      </c>
      <c r="G8694" s="2" t="s">
        <v>14104</v>
      </c>
      <c r="H8694" s="2"/>
      <c r="I8694" s="2"/>
      <c r="J8694" s="2" t="s">
        <v>13904</v>
      </c>
      <c r="K8694" s="2" t="s">
        <v>19215</v>
      </c>
      <c r="L8694" s="82" t="s">
        <v>18604</v>
      </c>
    </row>
    <row r="8695" spans="1:12" ht="96" customHeight="1" x14ac:dyDescent="0.3">
      <c r="A8695" s="2">
        <v>8691</v>
      </c>
      <c r="B8695" s="66" t="s">
        <v>10316</v>
      </c>
      <c r="C8695" s="66" t="s">
        <v>10317</v>
      </c>
      <c r="D8695" s="244">
        <v>25007.37</v>
      </c>
      <c r="E8695" s="11">
        <v>25007.37</v>
      </c>
      <c r="F8695" s="3">
        <v>39590</v>
      </c>
      <c r="G8695" s="2" t="s">
        <v>14104</v>
      </c>
      <c r="H8695" s="3">
        <v>43053</v>
      </c>
      <c r="I8695" s="2" t="s">
        <v>19506</v>
      </c>
      <c r="J8695" s="2" t="s">
        <v>13904</v>
      </c>
      <c r="K8695" s="2" t="s">
        <v>19215</v>
      </c>
      <c r="L8695" s="82" t="s">
        <v>19512</v>
      </c>
    </row>
    <row r="8696" spans="1:12" ht="96" customHeight="1" x14ac:dyDescent="0.3">
      <c r="A8696" s="2">
        <v>8692</v>
      </c>
      <c r="B8696" s="66" t="s">
        <v>10318</v>
      </c>
      <c r="C8696" s="66" t="s">
        <v>10319</v>
      </c>
      <c r="D8696" s="244">
        <v>52336.25</v>
      </c>
      <c r="E8696" s="11">
        <v>30529.45</v>
      </c>
      <c r="F8696" s="3">
        <v>41621</v>
      </c>
      <c r="G8696" s="2" t="s">
        <v>14104</v>
      </c>
      <c r="H8696" s="2"/>
      <c r="I8696" s="2"/>
      <c r="J8696" s="2" t="s">
        <v>13904</v>
      </c>
      <c r="K8696" s="2" t="s">
        <v>19215</v>
      </c>
      <c r="L8696" s="82" t="s">
        <v>18604</v>
      </c>
    </row>
    <row r="8697" spans="1:12" ht="96" customHeight="1" x14ac:dyDescent="0.3">
      <c r="A8697" s="2">
        <v>8693</v>
      </c>
      <c r="B8697" s="66" t="s">
        <v>23330</v>
      </c>
      <c r="C8697" s="66">
        <v>4101240302</v>
      </c>
      <c r="D8697" s="244">
        <v>51370.97</v>
      </c>
      <c r="E8697" s="11">
        <v>51370.97</v>
      </c>
      <c r="F8697" s="3" t="s">
        <v>23332</v>
      </c>
      <c r="G8697" s="2" t="s">
        <v>23333</v>
      </c>
      <c r="H8697" s="3"/>
      <c r="I8697" s="2"/>
      <c r="J8697" s="2"/>
      <c r="K8697" s="2" t="s">
        <v>23334</v>
      </c>
      <c r="L8697" s="82" t="s">
        <v>23335</v>
      </c>
    </row>
    <row r="8698" spans="1:12" ht="84" customHeight="1" x14ac:dyDescent="0.3">
      <c r="A8698" s="2">
        <v>8694</v>
      </c>
      <c r="B8698" s="245" t="s">
        <v>23330</v>
      </c>
      <c r="C8698" s="245">
        <v>4101240303</v>
      </c>
      <c r="D8698" s="244">
        <v>51370.97</v>
      </c>
      <c r="E8698" s="244">
        <v>51370.97</v>
      </c>
      <c r="F8698" s="243" t="s">
        <v>23332</v>
      </c>
      <c r="G8698" s="242" t="s">
        <v>23333</v>
      </c>
      <c r="H8698" s="3"/>
      <c r="I8698" s="2"/>
      <c r="J8698" s="2"/>
      <c r="K8698" s="242" t="s">
        <v>23334</v>
      </c>
      <c r="L8698" s="246" t="s">
        <v>23335</v>
      </c>
    </row>
    <row r="8699" spans="1:12" ht="84" customHeight="1" x14ac:dyDescent="0.3">
      <c r="A8699" s="2">
        <v>8695</v>
      </c>
      <c r="B8699" s="245" t="s">
        <v>23330</v>
      </c>
      <c r="C8699" s="245">
        <v>4101240299</v>
      </c>
      <c r="D8699" s="244">
        <v>51370.97</v>
      </c>
      <c r="E8699" s="244">
        <v>51370.97</v>
      </c>
      <c r="F8699" s="243" t="s">
        <v>23332</v>
      </c>
      <c r="G8699" s="242" t="s">
        <v>23333</v>
      </c>
      <c r="H8699" s="3"/>
      <c r="I8699" s="2"/>
      <c r="J8699" s="2"/>
      <c r="K8699" s="242" t="s">
        <v>23334</v>
      </c>
      <c r="L8699" s="246" t="s">
        <v>23335</v>
      </c>
    </row>
    <row r="8700" spans="1:12" ht="84" customHeight="1" x14ac:dyDescent="0.3">
      <c r="A8700" s="2">
        <v>8696</v>
      </c>
      <c r="B8700" s="66" t="s">
        <v>23331</v>
      </c>
      <c r="C8700" s="245">
        <v>4101240300</v>
      </c>
      <c r="D8700" s="11">
        <v>71414.539999999994</v>
      </c>
      <c r="E8700" s="11">
        <v>71414.539999999994</v>
      </c>
      <c r="F8700" s="243" t="s">
        <v>23332</v>
      </c>
      <c r="G8700" s="242" t="s">
        <v>23333</v>
      </c>
      <c r="H8700" s="3"/>
      <c r="I8700" s="2"/>
      <c r="J8700" s="2"/>
      <c r="K8700" s="242" t="s">
        <v>23334</v>
      </c>
      <c r="L8700" s="246" t="s">
        <v>23335</v>
      </c>
    </row>
    <row r="8701" spans="1:12" ht="96" customHeight="1" x14ac:dyDescent="0.3">
      <c r="A8701" s="2">
        <v>8697</v>
      </c>
      <c r="B8701" s="245" t="s">
        <v>23331</v>
      </c>
      <c r="C8701" s="245">
        <v>4101240301</v>
      </c>
      <c r="D8701" s="244">
        <v>71414.539999999994</v>
      </c>
      <c r="E8701" s="11">
        <v>71414.539999999994</v>
      </c>
      <c r="F8701" s="243" t="s">
        <v>23332</v>
      </c>
      <c r="G8701" s="242" t="s">
        <v>23333</v>
      </c>
      <c r="H8701" s="3"/>
      <c r="I8701" s="2"/>
      <c r="J8701" s="2"/>
      <c r="K8701" s="242" t="s">
        <v>23334</v>
      </c>
      <c r="L8701" s="246" t="s">
        <v>23335</v>
      </c>
    </row>
    <row r="8702" spans="1:12" ht="96" customHeight="1" x14ac:dyDescent="0.3">
      <c r="A8702" s="2">
        <v>8698</v>
      </c>
      <c r="B8702" s="66" t="s">
        <v>10320</v>
      </c>
      <c r="C8702" s="66"/>
      <c r="D8702" s="244">
        <v>128994.75</v>
      </c>
      <c r="E8702" s="11">
        <v>128994.75</v>
      </c>
      <c r="F8702" s="3">
        <v>41547</v>
      </c>
      <c r="G8702" s="2" t="s">
        <v>14104</v>
      </c>
      <c r="H8702" s="3">
        <v>43252</v>
      </c>
      <c r="I8702" s="2" t="s">
        <v>20478</v>
      </c>
      <c r="J8702" s="2" t="s">
        <v>13904</v>
      </c>
      <c r="K8702" s="2" t="s">
        <v>19215</v>
      </c>
      <c r="L8702" s="82" t="s">
        <v>19512</v>
      </c>
    </row>
    <row r="8703" spans="1:12" ht="96" customHeight="1" x14ac:dyDescent="0.3">
      <c r="A8703" s="2">
        <v>8699</v>
      </c>
      <c r="B8703" s="66" t="s">
        <v>10321</v>
      </c>
      <c r="C8703" s="66"/>
      <c r="D8703" s="244">
        <v>195313.25</v>
      </c>
      <c r="E8703" s="11">
        <v>195313.25</v>
      </c>
      <c r="F8703" s="3">
        <v>41898</v>
      </c>
      <c r="G8703" s="2" t="s">
        <v>14104</v>
      </c>
      <c r="H8703" s="3">
        <v>43252</v>
      </c>
      <c r="I8703" s="2" t="s">
        <v>20478</v>
      </c>
      <c r="J8703" s="2" t="s">
        <v>13904</v>
      </c>
      <c r="K8703" s="2" t="s">
        <v>19215</v>
      </c>
      <c r="L8703" s="82" t="s">
        <v>19512</v>
      </c>
    </row>
    <row r="8704" spans="1:12" ht="96" customHeight="1" x14ac:dyDescent="0.3">
      <c r="A8704" s="2">
        <v>8700</v>
      </c>
      <c r="B8704" s="66" t="s">
        <v>10322</v>
      </c>
      <c r="C8704" s="66"/>
      <c r="D8704" s="244">
        <v>189647.79</v>
      </c>
      <c r="E8704" s="11">
        <v>189647.79</v>
      </c>
      <c r="F8704" s="3">
        <v>42186</v>
      </c>
      <c r="G8704" s="2" t="s">
        <v>14104</v>
      </c>
      <c r="H8704" s="3">
        <v>43252</v>
      </c>
      <c r="I8704" s="2" t="s">
        <v>20478</v>
      </c>
      <c r="J8704" s="2" t="s">
        <v>13904</v>
      </c>
      <c r="K8704" s="2" t="s">
        <v>19215</v>
      </c>
      <c r="L8704" s="82" t="s">
        <v>19512</v>
      </c>
    </row>
    <row r="8705" spans="1:12" ht="96" customHeight="1" x14ac:dyDescent="0.3">
      <c r="A8705" s="2">
        <v>8701</v>
      </c>
      <c r="B8705" s="66" t="s">
        <v>4553</v>
      </c>
      <c r="C8705" s="66"/>
      <c r="D8705" s="244">
        <v>5786.32</v>
      </c>
      <c r="E8705" s="11">
        <v>5786.32</v>
      </c>
      <c r="F8705" s="3">
        <v>41243</v>
      </c>
      <c r="G8705" s="2" t="s">
        <v>14104</v>
      </c>
      <c r="H8705" s="3">
        <v>43252</v>
      </c>
      <c r="I8705" s="2" t="s">
        <v>20478</v>
      </c>
      <c r="J8705" s="2" t="s">
        <v>13904</v>
      </c>
      <c r="K8705" s="2" t="s">
        <v>19215</v>
      </c>
      <c r="L8705" s="82" t="s">
        <v>19512</v>
      </c>
    </row>
    <row r="8706" spans="1:12" ht="96" customHeight="1" x14ac:dyDescent="0.3">
      <c r="A8706" s="2">
        <v>8702</v>
      </c>
      <c r="B8706" s="66" t="s">
        <v>10323</v>
      </c>
      <c r="C8706" s="66" t="s">
        <v>10324</v>
      </c>
      <c r="D8706" s="244">
        <v>25000</v>
      </c>
      <c r="E8706" s="11">
        <v>25000</v>
      </c>
      <c r="F8706" s="3">
        <v>40554</v>
      </c>
      <c r="G8706" s="2" t="s">
        <v>14104</v>
      </c>
      <c r="H8706" s="3">
        <v>43252</v>
      </c>
      <c r="I8706" s="2" t="s">
        <v>20478</v>
      </c>
      <c r="J8706" s="2" t="s">
        <v>13904</v>
      </c>
      <c r="K8706" s="2" t="s">
        <v>19215</v>
      </c>
      <c r="L8706" s="82" t="s">
        <v>19512</v>
      </c>
    </row>
    <row r="8707" spans="1:12" ht="96" customHeight="1" x14ac:dyDescent="0.3">
      <c r="A8707" s="2">
        <v>8703</v>
      </c>
      <c r="B8707" s="66" t="s">
        <v>10325</v>
      </c>
      <c r="C8707" s="66" t="s">
        <v>10326</v>
      </c>
      <c r="D8707" s="244">
        <v>8950</v>
      </c>
      <c r="E8707" s="11">
        <v>8950</v>
      </c>
      <c r="F8707" s="3">
        <v>41550</v>
      </c>
      <c r="G8707" s="2" t="s">
        <v>14104</v>
      </c>
      <c r="H8707" s="3">
        <v>43252</v>
      </c>
      <c r="I8707" s="2" t="s">
        <v>20478</v>
      </c>
      <c r="J8707" s="2" t="s">
        <v>13904</v>
      </c>
      <c r="K8707" s="2" t="s">
        <v>19215</v>
      </c>
      <c r="L8707" s="82" t="s">
        <v>19512</v>
      </c>
    </row>
    <row r="8708" spans="1:12" ht="96" customHeight="1" x14ac:dyDescent="0.3">
      <c r="A8708" s="2">
        <v>8704</v>
      </c>
      <c r="B8708" s="66" t="s">
        <v>10327</v>
      </c>
      <c r="C8708" s="66" t="s">
        <v>10328</v>
      </c>
      <c r="D8708" s="244">
        <v>3980</v>
      </c>
      <c r="E8708" s="11">
        <v>3980</v>
      </c>
      <c r="F8708" s="3">
        <v>41365</v>
      </c>
      <c r="G8708" s="2" t="s">
        <v>14104</v>
      </c>
      <c r="H8708" s="3">
        <v>43252</v>
      </c>
      <c r="I8708" s="2" t="s">
        <v>20478</v>
      </c>
      <c r="J8708" s="2" t="s">
        <v>13904</v>
      </c>
      <c r="K8708" s="2" t="s">
        <v>19215</v>
      </c>
      <c r="L8708" s="82" t="s">
        <v>19512</v>
      </c>
    </row>
    <row r="8709" spans="1:12" ht="96" customHeight="1" x14ac:dyDescent="0.3">
      <c r="A8709" s="2">
        <v>8705</v>
      </c>
      <c r="B8709" s="66" t="s">
        <v>4556</v>
      </c>
      <c r="C8709" s="66" t="s">
        <v>4987</v>
      </c>
      <c r="D8709" s="244">
        <v>4545</v>
      </c>
      <c r="E8709" s="11">
        <v>4545</v>
      </c>
      <c r="F8709" s="3">
        <v>41736</v>
      </c>
      <c r="G8709" s="2" t="s">
        <v>14104</v>
      </c>
      <c r="H8709" s="3">
        <v>43252</v>
      </c>
      <c r="I8709" s="2" t="s">
        <v>20478</v>
      </c>
      <c r="J8709" s="2" t="s">
        <v>13904</v>
      </c>
      <c r="K8709" s="2" t="s">
        <v>19215</v>
      </c>
      <c r="L8709" s="82" t="s">
        <v>19512</v>
      </c>
    </row>
    <row r="8710" spans="1:12" ht="96" customHeight="1" x14ac:dyDescent="0.3">
      <c r="A8710" s="2">
        <v>8706</v>
      </c>
      <c r="B8710" s="66" t="s">
        <v>10329</v>
      </c>
      <c r="C8710" s="66" t="s">
        <v>10330</v>
      </c>
      <c r="D8710" s="244">
        <v>8126.73</v>
      </c>
      <c r="E8710" s="11">
        <v>8126.73</v>
      </c>
      <c r="F8710" s="3">
        <v>36656</v>
      </c>
      <c r="G8710" s="2" t="s">
        <v>14104</v>
      </c>
      <c r="H8710" s="3">
        <v>43252</v>
      </c>
      <c r="I8710" s="2" t="s">
        <v>20478</v>
      </c>
      <c r="J8710" s="2" t="s">
        <v>13904</v>
      </c>
      <c r="K8710" s="2" t="s">
        <v>19215</v>
      </c>
      <c r="L8710" s="82" t="s">
        <v>19512</v>
      </c>
    </row>
    <row r="8711" spans="1:12" ht="96" customHeight="1" x14ac:dyDescent="0.3">
      <c r="A8711" s="2">
        <v>8707</v>
      </c>
      <c r="B8711" s="66" t="s">
        <v>10331</v>
      </c>
      <c r="C8711" s="66" t="s">
        <v>4608</v>
      </c>
      <c r="D8711" s="244">
        <v>22134</v>
      </c>
      <c r="E8711" s="11">
        <v>22134</v>
      </c>
      <c r="F8711" s="3">
        <v>38729</v>
      </c>
      <c r="G8711" s="2" t="s">
        <v>14104</v>
      </c>
      <c r="H8711" s="3">
        <v>43252</v>
      </c>
      <c r="I8711" s="2" t="s">
        <v>20478</v>
      </c>
      <c r="J8711" s="2" t="s">
        <v>13904</v>
      </c>
      <c r="K8711" s="2" t="s">
        <v>19215</v>
      </c>
      <c r="L8711" s="82" t="s">
        <v>19512</v>
      </c>
    </row>
    <row r="8712" spans="1:12" ht="96" customHeight="1" x14ac:dyDescent="0.3">
      <c r="A8712" s="2">
        <v>8708</v>
      </c>
      <c r="B8712" s="66" t="s">
        <v>1203</v>
      </c>
      <c r="C8712" s="66" t="s">
        <v>10332</v>
      </c>
      <c r="D8712" s="244">
        <v>4715.51</v>
      </c>
      <c r="E8712" s="11">
        <v>4715.51</v>
      </c>
      <c r="F8712" s="3">
        <v>37409</v>
      </c>
      <c r="G8712" s="2" t="s">
        <v>14104</v>
      </c>
      <c r="H8712" s="3">
        <v>43252</v>
      </c>
      <c r="I8712" s="2" t="s">
        <v>20478</v>
      </c>
      <c r="J8712" s="2" t="s">
        <v>13904</v>
      </c>
      <c r="K8712" s="2" t="s">
        <v>19215</v>
      </c>
      <c r="L8712" s="82" t="s">
        <v>19512</v>
      </c>
    </row>
    <row r="8713" spans="1:12" ht="96" customHeight="1" x14ac:dyDescent="0.3">
      <c r="A8713" s="2">
        <v>8709</v>
      </c>
      <c r="B8713" s="66" t="s">
        <v>1203</v>
      </c>
      <c r="C8713" s="66" t="s">
        <v>10333</v>
      </c>
      <c r="D8713" s="244">
        <v>12515.4</v>
      </c>
      <c r="E8713" s="11">
        <v>12515.4</v>
      </c>
      <c r="F8713" s="3">
        <v>39065</v>
      </c>
      <c r="G8713" s="2" t="s">
        <v>14104</v>
      </c>
      <c r="H8713" s="3">
        <v>43252</v>
      </c>
      <c r="I8713" s="2" t="s">
        <v>20478</v>
      </c>
      <c r="J8713" s="2" t="s">
        <v>13904</v>
      </c>
      <c r="K8713" s="2" t="s">
        <v>19215</v>
      </c>
      <c r="L8713" s="82" t="s">
        <v>19512</v>
      </c>
    </row>
    <row r="8714" spans="1:12" ht="84" customHeight="1" x14ac:dyDescent="0.3">
      <c r="A8714" s="2">
        <v>8710</v>
      </c>
      <c r="B8714" s="66" t="s">
        <v>10334</v>
      </c>
      <c r="C8714" s="66" t="s">
        <v>10335</v>
      </c>
      <c r="D8714" s="11">
        <v>7727.95</v>
      </c>
      <c r="E8714" s="11">
        <v>7727.95</v>
      </c>
      <c r="F8714" s="3">
        <v>33092</v>
      </c>
      <c r="G8714" s="2" t="s">
        <v>14104</v>
      </c>
      <c r="H8714" s="3">
        <v>43252</v>
      </c>
      <c r="I8714" s="2" t="s">
        <v>20478</v>
      </c>
      <c r="J8714" s="2" t="s">
        <v>13904</v>
      </c>
      <c r="K8714" s="2"/>
      <c r="L8714" s="82" t="s">
        <v>19512</v>
      </c>
    </row>
    <row r="8715" spans="1:12" ht="96" customHeight="1" x14ac:dyDescent="0.3">
      <c r="A8715" s="2">
        <v>8711</v>
      </c>
      <c r="B8715" s="66" t="s">
        <v>10336</v>
      </c>
      <c r="C8715" s="66" t="s">
        <v>10337</v>
      </c>
      <c r="D8715" s="244">
        <v>25500</v>
      </c>
      <c r="E8715" s="11">
        <v>25500</v>
      </c>
      <c r="F8715" s="3">
        <v>38729</v>
      </c>
      <c r="G8715" s="2" t="s">
        <v>14104</v>
      </c>
      <c r="H8715" s="3">
        <v>43252</v>
      </c>
      <c r="I8715" s="2" t="s">
        <v>20478</v>
      </c>
      <c r="J8715" s="2" t="s">
        <v>13904</v>
      </c>
      <c r="K8715" s="2" t="s">
        <v>19215</v>
      </c>
      <c r="L8715" s="82" t="s">
        <v>19512</v>
      </c>
    </row>
    <row r="8716" spans="1:12" ht="84" customHeight="1" x14ac:dyDescent="0.3">
      <c r="A8716" s="2">
        <v>8712</v>
      </c>
      <c r="B8716" s="66" t="s">
        <v>221</v>
      </c>
      <c r="C8716" s="66" t="s">
        <v>10338</v>
      </c>
      <c r="D8716" s="11">
        <v>7910</v>
      </c>
      <c r="E8716" s="11">
        <v>7910</v>
      </c>
      <c r="F8716" s="3">
        <v>38574</v>
      </c>
      <c r="G8716" s="2" t="s">
        <v>14104</v>
      </c>
      <c r="H8716" s="3">
        <v>43252</v>
      </c>
      <c r="I8716" s="2" t="s">
        <v>20478</v>
      </c>
      <c r="J8716" s="2" t="s">
        <v>13904</v>
      </c>
      <c r="K8716" s="2"/>
      <c r="L8716" s="82" t="s">
        <v>19512</v>
      </c>
    </row>
    <row r="8717" spans="1:12" ht="84" customHeight="1" x14ac:dyDescent="0.3">
      <c r="A8717" s="2">
        <v>8713</v>
      </c>
      <c r="B8717" s="66" t="s">
        <v>10339</v>
      </c>
      <c r="C8717" s="66" t="s">
        <v>4206</v>
      </c>
      <c r="D8717" s="11">
        <v>4316.38</v>
      </c>
      <c r="E8717" s="11">
        <v>4316.38</v>
      </c>
      <c r="F8717" s="3">
        <v>38565</v>
      </c>
      <c r="G8717" s="2" t="s">
        <v>14104</v>
      </c>
      <c r="H8717" s="3">
        <v>43252</v>
      </c>
      <c r="I8717" s="2" t="s">
        <v>20478</v>
      </c>
      <c r="J8717" s="2" t="s">
        <v>13904</v>
      </c>
      <c r="K8717" s="2"/>
      <c r="L8717" s="82" t="s">
        <v>19512</v>
      </c>
    </row>
    <row r="8718" spans="1:12" ht="96" customHeight="1" x14ac:dyDescent="0.3">
      <c r="A8718" s="2">
        <v>8714</v>
      </c>
      <c r="B8718" s="66" t="s">
        <v>10340</v>
      </c>
      <c r="C8718" s="66" t="s">
        <v>4212</v>
      </c>
      <c r="D8718" s="244">
        <v>5181.05</v>
      </c>
      <c r="E8718" s="11">
        <v>5181.05</v>
      </c>
      <c r="F8718" s="3">
        <v>38565</v>
      </c>
      <c r="G8718" s="2" t="s">
        <v>14104</v>
      </c>
      <c r="H8718" s="3">
        <v>43252</v>
      </c>
      <c r="I8718" s="2" t="s">
        <v>20478</v>
      </c>
      <c r="J8718" s="2" t="s">
        <v>13904</v>
      </c>
      <c r="K8718" s="2" t="s">
        <v>19215</v>
      </c>
      <c r="L8718" s="82" t="s">
        <v>19512</v>
      </c>
    </row>
    <row r="8719" spans="1:12" ht="96" customHeight="1" x14ac:dyDescent="0.3">
      <c r="A8719" s="2">
        <v>8715</v>
      </c>
      <c r="B8719" s="66" t="s">
        <v>10341</v>
      </c>
      <c r="C8719" s="66" t="s">
        <v>4355</v>
      </c>
      <c r="D8719" s="244">
        <v>5463.55</v>
      </c>
      <c r="E8719" s="11">
        <v>5463.55</v>
      </c>
      <c r="F8719" s="3">
        <v>38385</v>
      </c>
      <c r="G8719" s="2" t="s">
        <v>14104</v>
      </c>
      <c r="H8719" s="3">
        <v>43252</v>
      </c>
      <c r="I8719" s="2" t="s">
        <v>20478</v>
      </c>
      <c r="J8719" s="2" t="s">
        <v>13904</v>
      </c>
      <c r="K8719" s="2" t="s">
        <v>19215</v>
      </c>
      <c r="L8719" s="82" t="s">
        <v>19512</v>
      </c>
    </row>
    <row r="8720" spans="1:12" ht="96" customHeight="1" x14ac:dyDescent="0.3">
      <c r="A8720" s="2">
        <v>8716</v>
      </c>
      <c r="B8720" s="66" t="s">
        <v>10055</v>
      </c>
      <c r="C8720" s="66" t="s">
        <v>4340</v>
      </c>
      <c r="D8720" s="244">
        <v>11623.2</v>
      </c>
      <c r="E8720" s="11">
        <v>11623.2</v>
      </c>
      <c r="F8720" s="3">
        <v>37104</v>
      </c>
      <c r="G8720" s="2" t="s">
        <v>14104</v>
      </c>
      <c r="H8720" s="3">
        <v>43252</v>
      </c>
      <c r="I8720" s="2" t="s">
        <v>20478</v>
      </c>
      <c r="J8720" s="2" t="s">
        <v>13904</v>
      </c>
      <c r="K8720" s="2" t="s">
        <v>19215</v>
      </c>
      <c r="L8720" s="82" t="s">
        <v>19512</v>
      </c>
    </row>
    <row r="8721" spans="1:12" ht="96" customHeight="1" x14ac:dyDescent="0.3">
      <c r="A8721" s="2">
        <v>8717</v>
      </c>
      <c r="B8721" s="66" t="s">
        <v>10055</v>
      </c>
      <c r="C8721" s="66" t="s">
        <v>4346</v>
      </c>
      <c r="D8721" s="244">
        <v>7779.25</v>
      </c>
      <c r="E8721" s="11">
        <v>7779.25</v>
      </c>
      <c r="F8721" s="3">
        <v>37105</v>
      </c>
      <c r="G8721" s="2" t="s">
        <v>14104</v>
      </c>
      <c r="H8721" s="3">
        <v>43252</v>
      </c>
      <c r="I8721" s="2" t="s">
        <v>20478</v>
      </c>
      <c r="J8721" s="2" t="s">
        <v>13904</v>
      </c>
      <c r="K8721" s="2" t="s">
        <v>19215</v>
      </c>
      <c r="L8721" s="82" t="s">
        <v>19512</v>
      </c>
    </row>
    <row r="8722" spans="1:12" ht="96" customHeight="1" x14ac:dyDescent="0.3">
      <c r="A8722" s="2">
        <v>8718</v>
      </c>
      <c r="B8722" s="66" t="s">
        <v>4742</v>
      </c>
      <c r="C8722" s="66" t="s">
        <v>10342</v>
      </c>
      <c r="D8722" s="244">
        <v>32747.360000000001</v>
      </c>
      <c r="E8722" s="11">
        <v>32747.360000000001</v>
      </c>
      <c r="F8722" s="3">
        <v>39057</v>
      </c>
      <c r="G8722" s="2" t="s">
        <v>14104</v>
      </c>
      <c r="H8722" s="3">
        <v>43252</v>
      </c>
      <c r="I8722" s="2" t="s">
        <v>20478</v>
      </c>
      <c r="J8722" s="2" t="s">
        <v>13904</v>
      </c>
      <c r="K8722" s="2" t="s">
        <v>19215</v>
      </c>
      <c r="L8722" s="82" t="s">
        <v>19512</v>
      </c>
    </row>
    <row r="8723" spans="1:12" ht="96" customHeight="1" x14ac:dyDescent="0.3">
      <c r="A8723" s="2">
        <v>8719</v>
      </c>
      <c r="B8723" s="66" t="s">
        <v>4742</v>
      </c>
      <c r="C8723" s="66" t="s">
        <v>10343</v>
      </c>
      <c r="D8723" s="244">
        <v>30946.959999999999</v>
      </c>
      <c r="E8723" s="11">
        <v>30946.959999999999</v>
      </c>
      <c r="F8723" s="3">
        <v>39057</v>
      </c>
      <c r="G8723" s="2" t="s">
        <v>14104</v>
      </c>
      <c r="H8723" s="3">
        <v>43252</v>
      </c>
      <c r="I8723" s="2" t="s">
        <v>20478</v>
      </c>
      <c r="J8723" s="2" t="s">
        <v>13904</v>
      </c>
      <c r="K8723" s="2" t="s">
        <v>19215</v>
      </c>
      <c r="L8723" s="82" t="s">
        <v>19512</v>
      </c>
    </row>
    <row r="8724" spans="1:12" ht="84" customHeight="1" x14ac:dyDescent="0.3">
      <c r="A8724" s="2">
        <v>8720</v>
      </c>
      <c r="B8724" s="66" t="s">
        <v>10344</v>
      </c>
      <c r="C8724" s="66" t="s">
        <v>10345</v>
      </c>
      <c r="D8724" s="11">
        <v>5977.86</v>
      </c>
      <c r="E8724" s="11">
        <v>5977.86</v>
      </c>
      <c r="F8724" s="3">
        <v>32275</v>
      </c>
      <c r="G8724" s="2" t="s">
        <v>14104</v>
      </c>
      <c r="H8724" s="3">
        <v>43252</v>
      </c>
      <c r="I8724" s="2" t="s">
        <v>20478</v>
      </c>
      <c r="J8724" s="2" t="s">
        <v>13904</v>
      </c>
      <c r="K8724" s="2"/>
      <c r="L8724" s="82" t="s">
        <v>19512</v>
      </c>
    </row>
    <row r="8725" spans="1:12" ht="96" customHeight="1" x14ac:dyDescent="0.3">
      <c r="A8725" s="2">
        <v>8721</v>
      </c>
      <c r="B8725" s="66" t="s">
        <v>3896</v>
      </c>
      <c r="C8725" s="66" t="s">
        <v>4914</v>
      </c>
      <c r="D8725" s="244">
        <v>27964</v>
      </c>
      <c r="E8725" s="11">
        <v>27964</v>
      </c>
      <c r="F8725" s="3">
        <v>40898</v>
      </c>
      <c r="G8725" s="2" t="s">
        <v>14104</v>
      </c>
      <c r="H8725" s="3">
        <v>43252</v>
      </c>
      <c r="I8725" s="2" t="s">
        <v>20478</v>
      </c>
      <c r="J8725" s="2" t="s">
        <v>13904</v>
      </c>
      <c r="K8725" s="2" t="s">
        <v>19215</v>
      </c>
      <c r="L8725" s="82" t="s">
        <v>19512</v>
      </c>
    </row>
    <row r="8726" spans="1:12" ht="84" customHeight="1" x14ac:dyDescent="0.3">
      <c r="A8726" s="2">
        <v>8722</v>
      </c>
      <c r="B8726" s="66" t="s">
        <v>5478</v>
      </c>
      <c r="C8726" s="66" t="s">
        <v>5482</v>
      </c>
      <c r="D8726" s="11">
        <v>8475</v>
      </c>
      <c r="E8726" s="11">
        <v>8475</v>
      </c>
      <c r="F8726" s="3">
        <v>38566</v>
      </c>
      <c r="G8726" s="2" t="s">
        <v>14104</v>
      </c>
      <c r="H8726" s="3">
        <v>43252</v>
      </c>
      <c r="I8726" s="2" t="s">
        <v>20478</v>
      </c>
      <c r="J8726" s="2" t="s">
        <v>13904</v>
      </c>
      <c r="K8726" s="2"/>
      <c r="L8726" s="82" t="s">
        <v>19512</v>
      </c>
    </row>
    <row r="8727" spans="1:12" ht="96" customHeight="1" x14ac:dyDescent="0.3">
      <c r="A8727" s="2">
        <v>8723</v>
      </c>
      <c r="B8727" s="66" t="s">
        <v>3172</v>
      </c>
      <c r="C8727" s="66" t="s">
        <v>3357</v>
      </c>
      <c r="D8727" s="244">
        <v>4000</v>
      </c>
      <c r="E8727" s="11">
        <v>4000</v>
      </c>
      <c r="F8727" s="3">
        <v>40898</v>
      </c>
      <c r="G8727" s="2" t="s">
        <v>14104</v>
      </c>
      <c r="H8727" s="3">
        <v>43252</v>
      </c>
      <c r="I8727" s="2" t="s">
        <v>20478</v>
      </c>
      <c r="J8727" s="2" t="s">
        <v>13904</v>
      </c>
      <c r="K8727" s="2" t="s">
        <v>19215</v>
      </c>
      <c r="L8727" s="82" t="s">
        <v>19512</v>
      </c>
    </row>
    <row r="8728" spans="1:12" ht="84" customHeight="1" x14ac:dyDescent="0.3">
      <c r="A8728" s="2">
        <v>8724</v>
      </c>
      <c r="B8728" s="66" t="s">
        <v>10346</v>
      </c>
      <c r="C8728" s="66" t="s">
        <v>3688</v>
      </c>
      <c r="D8728" s="11">
        <v>13668</v>
      </c>
      <c r="E8728" s="11">
        <v>13668</v>
      </c>
      <c r="F8728" s="3">
        <v>38729</v>
      </c>
      <c r="G8728" s="2" t="s">
        <v>14104</v>
      </c>
      <c r="H8728" s="3">
        <v>43252</v>
      </c>
      <c r="I8728" s="2" t="s">
        <v>20478</v>
      </c>
      <c r="J8728" s="2" t="s">
        <v>13904</v>
      </c>
      <c r="K8728" s="2"/>
      <c r="L8728" s="82" t="s">
        <v>19512</v>
      </c>
    </row>
    <row r="8729" spans="1:12" ht="96" customHeight="1" x14ac:dyDescent="0.3">
      <c r="A8729" s="2">
        <v>8725</v>
      </c>
      <c r="B8729" s="66" t="s">
        <v>4974</v>
      </c>
      <c r="C8729" s="66" t="s">
        <v>10347</v>
      </c>
      <c r="D8729" s="244">
        <v>30256.26</v>
      </c>
      <c r="E8729" s="11">
        <v>30256.26</v>
      </c>
      <c r="F8729" s="3">
        <v>38729</v>
      </c>
      <c r="G8729" s="2" t="s">
        <v>14104</v>
      </c>
      <c r="H8729" s="3">
        <v>43252</v>
      </c>
      <c r="I8729" s="2" t="s">
        <v>20478</v>
      </c>
      <c r="J8729" s="2" t="s">
        <v>13904</v>
      </c>
      <c r="K8729" s="2" t="s">
        <v>19215</v>
      </c>
      <c r="L8729" s="82" t="s">
        <v>19512</v>
      </c>
    </row>
    <row r="8730" spans="1:12" ht="96" customHeight="1" x14ac:dyDescent="0.3">
      <c r="A8730" s="2">
        <v>8726</v>
      </c>
      <c r="B8730" s="66" t="s">
        <v>223</v>
      </c>
      <c r="C8730" s="66" t="s">
        <v>3400</v>
      </c>
      <c r="D8730" s="244">
        <v>35516.400000000001</v>
      </c>
      <c r="E8730" s="11">
        <v>35516.400000000001</v>
      </c>
      <c r="F8730" s="3">
        <v>38729</v>
      </c>
      <c r="G8730" s="2" t="s">
        <v>14104</v>
      </c>
      <c r="H8730" s="3">
        <v>43252</v>
      </c>
      <c r="I8730" s="2" t="s">
        <v>20478</v>
      </c>
      <c r="J8730" s="2" t="s">
        <v>13904</v>
      </c>
      <c r="K8730" s="2" t="s">
        <v>19215</v>
      </c>
      <c r="L8730" s="82" t="s">
        <v>19512</v>
      </c>
    </row>
    <row r="8731" spans="1:12" ht="96" customHeight="1" x14ac:dyDescent="0.3">
      <c r="A8731" s="2">
        <v>8727</v>
      </c>
      <c r="B8731" s="66" t="s">
        <v>4926</v>
      </c>
      <c r="C8731" s="66" t="s">
        <v>10348</v>
      </c>
      <c r="D8731" s="244">
        <v>11222.04</v>
      </c>
      <c r="E8731" s="11">
        <v>11222.04</v>
      </c>
      <c r="F8731" s="3">
        <v>38729</v>
      </c>
      <c r="G8731" s="2" t="s">
        <v>14104</v>
      </c>
      <c r="H8731" s="3">
        <v>43252</v>
      </c>
      <c r="I8731" s="2" t="s">
        <v>20478</v>
      </c>
      <c r="J8731" s="2" t="s">
        <v>13904</v>
      </c>
      <c r="K8731" s="2" t="s">
        <v>19215</v>
      </c>
      <c r="L8731" s="82" t="s">
        <v>19512</v>
      </c>
    </row>
    <row r="8732" spans="1:12" ht="96" customHeight="1" x14ac:dyDescent="0.3">
      <c r="A8732" s="2">
        <v>8728</v>
      </c>
      <c r="B8732" s="66" t="s">
        <v>5591</v>
      </c>
      <c r="C8732" s="66" t="s">
        <v>5219</v>
      </c>
      <c r="D8732" s="244">
        <v>11222.04</v>
      </c>
      <c r="E8732" s="11">
        <v>11222.04</v>
      </c>
      <c r="F8732" s="3">
        <v>38729</v>
      </c>
      <c r="G8732" s="2" t="s">
        <v>14104</v>
      </c>
      <c r="H8732" s="3">
        <v>43252</v>
      </c>
      <c r="I8732" s="2" t="s">
        <v>20478</v>
      </c>
      <c r="J8732" s="2" t="s">
        <v>13904</v>
      </c>
      <c r="K8732" s="2" t="s">
        <v>19215</v>
      </c>
      <c r="L8732" s="82" t="s">
        <v>19512</v>
      </c>
    </row>
    <row r="8733" spans="1:12" ht="84" customHeight="1" x14ac:dyDescent="0.3">
      <c r="A8733" s="2">
        <v>8729</v>
      </c>
      <c r="B8733" s="66" t="s">
        <v>10349</v>
      </c>
      <c r="C8733" s="66" t="s">
        <v>3127</v>
      </c>
      <c r="D8733" s="11">
        <v>8723.2000000000007</v>
      </c>
      <c r="E8733" s="11">
        <v>8723.2000000000007</v>
      </c>
      <c r="F8733" s="3">
        <v>37135</v>
      </c>
      <c r="G8733" s="2" t="s">
        <v>14104</v>
      </c>
      <c r="H8733" s="3">
        <v>43252</v>
      </c>
      <c r="I8733" s="2" t="s">
        <v>20478</v>
      </c>
      <c r="J8733" s="2" t="s">
        <v>13904</v>
      </c>
      <c r="K8733" s="2"/>
      <c r="L8733" s="82" t="s">
        <v>19512</v>
      </c>
    </row>
    <row r="8734" spans="1:12" ht="84" customHeight="1" x14ac:dyDescent="0.3">
      <c r="A8734" s="2">
        <v>8730</v>
      </c>
      <c r="B8734" s="66" t="s">
        <v>10350</v>
      </c>
      <c r="C8734" s="66" t="s">
        <v>5223</v>
      </c>
      <c r="D8734" s="11">
        <v>10198.530000000001</v>
      </c>
      <c r="E8734" s="11">
        <v>10198.530000000001</v>
      </c>
      <c r="F8734" s="3">
        <v>37106</v>
      </c>
      <c r="G8734" s="2" t="s">
        <v>14104</v>
      </c>
      <c r="H8734" s="3">
        <v>43252</v>
      </c>
      <c r="I8734" s="2" t="s">
        <v>20478</v>
      </c>
      <c r="J8734" s="2" t="s">
        <v>13904</v>
      </c>
      <c r="K8734" s="2"/>
      <c r="L8734" s="82" t="s">
        <v>19512</v>
      </c>
    </row>
    <row r="8735" spans="1:12" ht="84" customHeight="1" x14ac:dyDescent="0.3">
      <c r="A8735" s="2">
        <v>8731</v>
      </c>
      <c r="B8735" s="66" t="s">
        <v>10351</v>
      </c>
      <c r="C8735" s="66" t="s">
        <v>3125</v>
      </c>
      <c r="D8735" s="11">
        <v>9113.76</v>
      </c>
      <c r="E8735" s="11">
        <v>9113.76</v>
      </c>
      <c r="F8735" s="3">
        <v>35866</v>
      </c>
      <c r="G8735" s="2" t="s">
        <v>14104</v>
      </c>
      <c r="H8735" s="3">
        <v>43252</v>
      </c>
      <c r="I8735" s="2" t="s">
        <v>20478</v>
      </c>
      <c r="J8735" s="2" t="s">
        <v>13904</v>
      </c>
      <c r="K8735" s="2"/>
      <c r="L8735" s="82" t="s">
        <v>19512</v>
      </c>
    </row>
    <row r="8736" spans="1:12" ht="84" customHeight="1" x14ac:dyDescent="0.3">
      <c r="A8736" s="2">
        <v>8732</v>
      </c>
      <c r="B8736" s="66" t="s">
        <v>10352</v>
      </c>
      <c r="C8736" s="66" t="s">
        <v>5594</v>
      </c>
      <c r="D8736" s="11">
        <v>12369.6</v>
      </c>
      <c r="E8736" s="11">
        <v>12369.6</v>
      </c>
      <c r="F8736" s="3">
        <v>32942</v>
      </c>
      <c r="G8736" s="2" t="s">
        <v>14104</v>
      </c>
      <c r="H8736" s="3">
        <v>43252</v>
      </c>
      <c r="I8736" s="2" t="s">
        <v>20478</v>
      </c>
      <c r="J8736" s="2" t="s">
        <v>13904</v>
      </c>
      <c r="K8736" s="2"/>
      <c r="L8736" s="82" t="s">
        <v>19512</v>
      </c>
    </row>
    <row r="8737" spans="1:12" ht="84" customHeight="1" x14ac:dyDescent="0.3">
      <c r="A8737" s="2">
        <v>8733</v>
      </c>
      <c r="B8737" s="66" t="s">
        <v>10352</v>
      </c>
      <c r="C8737" s="66" t="s">
        <v>5595</v>
      </c>
      <c r="D8737" s="11">
        <v>12371.04</v>
      </c>
      <c r="E8737" s="11">
        <v>12371.04</v>
      </c>
      <c r="F8737" s="3">
        <v>32942</v>
      </c>
      <c r="G8737" s="2" t="s">
        <v>14104</v>
      </c>
      <c r="H8737" s="3">
        <v>43252</v>
      </c>
      <c r="I8737" s="2" t="s">
        <v>20478</v>
      </c>
      <c r="J8737" s="2" t="s">
        <v>13904</v>
      </c>
      <c r="K8737" s="2"/>
      <c r="L8737" s="82" t="s">
        <v>19512</v>
      </c>
    </row>
    <row r="8738" spans="1:12" ht="96" customHeight="1" x14ac:dyDescent="0.3">
      <c r="A8738" s="2">
        <v>8734</v>
      </c>
      <c r="B8738" s="66" t="s">
        <v>5576</v>
      </c>
      <c r="C8738" s="66" t="s">
        <v>10353</v>
      </c>
      <c r="D8738" s="244">
        <v>6666</v>
      </c>
      <c r="E8738" s="11">
        <v>6666</v>
      </c>
      <c r="F8738" s="3">
        <v>39436</v>
      </c>
      <c r="G8738" s="2" t="s">
        <v>14104</v>
      </c>
      <c r="H8738" s="3">
        <v>43252</v>
      </c>
      <c r="I8738" s="2" t="s">
        <v>20478</v>
      </c>
      <c r="J8738" s="2" t="s">
        <v>13904</v>
      </c>
      <c r="K8738" s="2" t="s">
        <v>19215</v>
      </c>
      <c r="L8738" s="82" t="s">
        <v>19512</v>
      </c>
    </row>
    <row r="8739" spans="1:12" ht="96" customHeight="1" x14ac:dyDescent="0.3">
      <c r="A8739" s="2">
        <v>8735</v>
      </c>
      <c r="B8739" s="66" t="s">
        <v>10354</v>
      </c>
      <c r="C8739" s="66" t="s">
        <v>10355</v>
      </c>
      <c r="D8739" s="244">
        <v>6509.64</v>
      </c>
      <c r="E8739" s="11">
        <v>6509.64</v>
      </c>
      <c r="F8739" s="3">
        <v>39066</v>
      </c>
      <c r="G8739" s="2" t="s">
        <v>14104</v>
      </c>
      <c r="H8739" s="3">
        <v>43252</v>
      </c>
      <c r="I8739" s="2" t="s">
        <v>20478</v>
      </c>
      <c r="J8739" s="2" t="s">
        <v>13904</v>
      </c>
      <c r="K8739" s="2" t="s">
        <v>19215</v>
      </c>
      <c r="L8739" s="82" t="s">
        <v>19512</v>
      </c>
    </row>
    <row r="8740" spans="1:12" ht="84" customHeight="1" x14ac:dyDescent="0.3">
      <c r="A8740" s="2">
        <v>8736</v>
      </c>
      <c r="B8740" s="66" t="s">
        <v>10356</v>
      </c>
      <c r="C8740" s="66" t="s">
        <v>10357</v>
      </c>
      <c r="D8740" s="11">
        <v>5950</v>
      </c>
      <c r="E8740" s="11">
        <v>5950</v>
      </c>
      <c r="F8740" s="3">
        <v>37104</v>
      </c>
      <c r="G8740" s="2" t="s">
        <v>14104</v>
      </c>
      <c r="H8740" s="3">
        <v>43252</v>
      </c>
      <c r="I8740" s="2" t="s">
        <v>20478</v>
      </c>
      <c r="J8740" s="2" t="s">
        <v>13904</v>
      </c>
      <c r="K8740" s="2"/>
      <c r="L8740" s="82" t="s">
        <v>19512</v>
      </c>
    </row>
    <row r="8741" spans="1:12" ht="96" customHeight="1" x14ac:dyDescent="0.3">
      <c r="A8741" s="2">
        <v>8737</v>
      </c>
      <c r="B8741" s="66" t="s">
        <v>1343</v>
      </c>
      <c r="C8741" s="66" t="s">
        <v>5237</v>
      </c>
      <c r="D8741" s="244">
        <v>9000</v>
      </c>
      <c r="E8741" s="11">
        <v>9000</v>
      </c>
      <c r="F8741" s="3">
        <v>39400</v>
      </c>
      <c r="G8741" s="2" t="s">
        <v>14104</v>
      </c>
      <c r="H8741" s="3">
        <v>43252</v>
      </c>
      <c r="I8741" s="2" t="s">
        <v>20478</v>
      </c>
      <c r="J8741" s="2" t="s">
        <v>13904</v>
      </c>
      <c r="K8741" s="2" t="s">
        <v>19215</v>
      </c>
      <c r="L8741" s="82" t="s">
        <v>19512</v>
      </c>
    </row>
    <row r="8742" spans="1:12" ht="96" customHeight="1" x14ac:dyDescent="0.3">
      <c r="A8742" s="2">
        <v>8738</v>
      </c>
      <c r="B8742" s="66" t="s">
        <v>10358</v>
      </c>
      <c r="C8742" s="66" t="s">
        <v>10359</v>
      </c>
      <c r="D8742" s="244">
        <v>17099.990000000002</v>
      </c>
      <c r="E8742" s="11">
        <v>17099.990000000002</v>
      </c>
      <c r="F8742" s="3">
        <v>41145</v>
      </c>
      <c r="G8742" s="2" t="s">
        <v>14104</v>
      </c>
      <c r="H8742" s="3">
        <v>43252</v>
      </c>
      <c r="I8742" s="2" t="s">
        <v>20478</v>
      </c>
      <c r="J8742" s="2" t="s">
        <v>13904</v>
      </c>
      <c r="K8742" s="2" t="s">
        <v>19215</v>
      </c>
      <c r="L8742" s="82" t="s">
        <v>19512</v>
      </c>
    </row>
    <row r="8743" spans="1:12" ht="96" customHeight="1" x14ac:dyDescent="0.3">
      <c r="A8743" s="2">
        <v>8739</v>
      </c>
      <c r="B8743" s="66" t="s">
        <v>10360</v>
      </c>
      <c r="C8743" s="66" t="s">
        <v>5475</v>
      </c>
      <c r="D8743" s="244">
        <v>5463.55</v>
      </c>
      <c r="E8743" s="11">
        <v>5463.55</v>
      </c>
      <c r="F8743" s="3">
        <v>38565</v>
      </c>
      <c r="G8743" s="2" t="s">
        <v>14104</v>
      </c>
      <c r="H8743" s="3">
        <v>43252</v>
      </c>
      <c r="I8743" s="2" t="s">
        <v>20478</v>
      </c>
      <c r="J8743" s="2" t="s">
        <v>13904</v>
      </c>
      <c r="K8743" s="2" t="s">
        <v>19215</v>
      </c>
      <c r="L8743" s="82" t="s">
        <v>19512</v>
      </c>
    </row>
    <row r="8744" spans="1:12" ht="96" customHeight="1" x14ac:dyDescent="0.3">
      <c r="A8744" s="2">
        <v>8740</v>
      </c>
      <c r="B8744" s="66" t="s">
        <v>10360</v>
      </c>
      <c r="C8744" s="66" t="s">
        <v>4209</v>
      </c>
      <c r="D8744" s="244">
        <v>5463.55</v>
      </c>
      <c r="E8744" s="11">
        <v>5463.55</v>
      </c>
      <c r="F8744" s="3">
        <v>38565</v>
      </c>
      <c r="G8744" s="2" t="s">
        <v>14104</v>
      </c>
      <c r="H8744" s="3">
        <v>43252</v>
      </c>
      <c r="I8744" s="2" t="s">
        <v>20478</v>
      </c>
      <c r="J8744" s="2" t="s">
        <v>13904</v>
      </c>
      <c r="K8744" s="2" t="s">
        <v>19215</v>
      </c>
      <c r="L8744" s="82" t="s">
        <v>19512</v>
      </c>
    </row>
    <row r="8745" spans="1:12" ht="96" customHeight="1" x14ac:dyDescent="0.3">
      <c r="A8745" s="2">
        <v>8741</v>
      </c>
      <c r="B8745" s="66" t="s">
        <v>10360</v>
      </c>
      <c r="C8745" s="66" t="s">
        <v>3302</v>
      </c>
      <c r="D8745" s="244">
        <v>5463.55</v>
      </c>
      <c r="E8745" s="11">
        <v>5463.55</v>
      </c>
      <c r="F8745" s="3">
        <v>38565</v>
      </c>
      <c r="G8745" s="2" t="s">
        <v>14104</v>
      </c>
      <c r="H8745" s="3">
        <v>43252</v>
      </c>
      <c r="I8745" s="2" t="s">
        <v>20478</v>
      </c>
      <c r="J8745" s="2" t="s">
        <v>13904</v>
      </c>
      <c r="K8745" s="2" t="s">
        <v>19215</v>
      </c>
      <c r="L8745" s="82" t="s">
        <v>19512</v>
      </c>
    </row>
    <row r="8746" spans="1:12" ht="84" customHeight="1" x14ac:dyDescent="0.3">
      <c r="A8746" s="2">
        <v>8742</v>
      </c>
      <c r="B8746" s="66" t="s">
        <v>5478</v>
      </c>
      <c r="C8746" s="66" t="s">
        <v>3461</v>
      </c>
      <c r="D8746" s="11">
        <v>8475</v>
      </c>
      <c r="E8746" s="11">
        <v>8475</v>
      </c>
      <c r="F8746" s="3">
        <v>38566</v>
      </c>
      <c r="G8746" s="2" t="s">
        <v>14104</v>
      </c>
      <c r="H8746" s="3">
        <v>43252</v>
      </c>
      <c r="I8746" s="2" t="s">
        <v>20478</v>
      </c>
      <c r="J8746" s="2" t="s">
        <v>13904</v>
      </c>
      <c r="K8746" s="2"/>
      <c r="L8746" s="82" t="s">
        <v>19512</v>
      </c>
    </row>
    <row r="8747" spans="1:12" ht="96" customHeight="1" x14ac:dyDescent="0.3">
      <c r="A8747" s="2">
        <v>8743</v>
      </c>
      <c r="B8747" s="66" t="s">
        <v>10361</v>
      </c>
      <c r="C8747" s="66" t="s">
        <v>3459</v>
      </c>
      <c r="D8747" s="244">
        <v>36700</v>
      </c>
      <c r="E8747" s="11">
        <v>36700</v>
      </c>
      <c r="F8747" s="3">
        <v>41988</v>
      </c>
      <c r="G8747" s="2" t="s">
        <v>14104</v>
      </c>
      <c r="H8747" s="3">
        <v>43252</v>
      </c>
      <c r="I8747" s="2" t="s">
        <v>20478</v>
      </c>
      <c r="J8747" s="2" t="s">
        <v>13904</v>
      </c>
      <c r="K8747" s="2" t="s">
        <v>19215</v>
      </c>
      <c r="L8747" s="82" t="s">
        <v>19512</v>
      </c>
    </row>
    <row r="8748" spans="1:12" ht="96" customHeight="1" x14ac:dyDescent="0.3">
      <c r="A8748" s="2">
        <v>8744</v>
      </c>
      <c r="B8748" s="66" t="s">
        <v>10362</v>
      </c>
      <c r="C8748" s="66" t="s">
        <v>3790</v>
      </c>
      <c r="D8748" s="244">
        <v>36700</v>
      </c>
      <c r="E8748" s="11">
        <v>36700</v>
      </c>
      <c r="F8748" s="3">
        <v>41988</v>
      </c>
      <c r="G8748" s="2" t="s">
        <v>14104</v>
      </c>
      <c r="H8748" s="3">
        <v>43252</v>
      </c>
      <c r="I8748" s="2" t="s">
        <v>20478</v>
      </c>
      <c r="J8748" s="2" t="s">
        <v>13904</v>
      </c>
      <c r="K8748" s="2" t="s">
        <v>19215</v>
      </c>
      <c r="L8748" s="82" t="s">
        <v>19512</v>
      </c>
    </row>
    <row r="8749" spans="1:12" ht="96" customHeight="1" x14ac:dyDescent="0.3">
      <c r="A8749" s="2">
        <v>8745</v>
      </c>
      <c r="B8749" s="66" t="s">
        <v>10363</v>
      </c>
      <c r="C8749" s="66" t="s">
        <v>3763</v>
      </c>
      <c r="D8749" s="244">
        <v>35100</v>
      </c>
      <c r="E8749" s="11">
        <v>35100</v>
      </c>
      <c r="F8749" s="3">
        <v>41988</v>
      </c>
      <c r="G8749" s="2" t="s">
        <v>14104</v>
      </c>
      <c r="H8749" s="3">
        <v>43252</v>
      </c>
      <c r="I8749" s="2" t="s">
        <v>20478</v>
      </c>
      <c r="J8749" s="2" t="s">
        <v>13904</v>
      </c>
      <c r="K8749" s="2" t="s">
        <v>19215</v>
      </c>
      <c r="L8749" s="82" t="s">
        <v>19512</v>
      </c>
    </row>
    <row r="8750" spans="1:12" ht="96" customHeight="1" x14ac:dyDescent="0.3">
      <c r="A8750" s="2">
        <v>8746</v>
      </c>
      <c r="B8750" s="66" t="s">
        <v>10364</v>
      </c>
      <c r="C8750" s="66" t="s">
        <v>3840</v>
      </c>
      <c r="D8750" s="244">
        <v>35100</v>
      </c>
      <c r="E8750" s="11">
        <v>35100</v>
      </c>
      <c r="F8750" s="3">
        <v>41988</v>
      </c>
      <c r="G8750" s="2" t="s">
        <v>14104</v>
      </c>
      <c r="H8750" s="3">
        <v>43252</v>
      </c>
      <c r="I8750" s="2" t="s">
        <v>20478</v>
      </c>
      <c r="J8750" s="2" t="s">
        <v>13904</v>
      </c>
      <c r="K8750" s="2" t="s">
        <v>19215</v>
      </c>
      <c r="L8750" s="82" t="s">
        <v>19512</v>
      </c>
    </row>
    <row r="8751" spans="1:12" ht="96" customHeight="1" x14ac:dyDescent="0.3">
      <c r="A8751" s="2">
        <v>8747</v>
      </c>
      <c r="B8751" s="66" t="s">
        <v>10365</v>
      </c>
      <c r="C8751" s="66" t="s">
        <v>4904</v>
      </c>
      <c r="D8751" s="244">
        <v>7900</v>
      </c>
      <c r="E8751" s="11">
        <v>7900</v>
      </c>
      <c r="F8751" s="3">
        <v>41988</v>
      </c>
      <c r="G8751" s="2" t="s">
        <v>14104</v>
      </c>
      <c r="H8751" s="3">
        <v>43252</v>
      </c>
      <c r="I8751" s="2" t="s">
        <v>20478</v>
      </c>
      <c r="J8751" s="2" t="s">
        <v>13904</v>
      </c>
      <c r="K8751" s="2" t="s">
        <v>19215</v>
      </c>
      <c r="L8751" s="82" t="s">
        <v>19512</v>
      </c>
    </row>
    <row r="8752" spans="1:12" ht="96" customHeight="1" x14ac:dyDescent="0.3">
      <c r="A8752" s="2">
        <v>8748</v>
      </c>
      <c r="B8752" s="66" t="s">
        <v>10366</v>
      </c>
      <c r="C8752" s="66" t="s">
        <v>5072</v>
      </c>
      <c r="D8752" s="244">
        <v>7900</v>
      </c>
      <c r="E8752" s="11">
        <v>7900</v>
      </c>
      <c r="F8752" s="3">
        <v>41988</v>
      </c>
      <c r="G8752" s="2" t="s">
        <v>14104</v>
      </c>
      <c r="H8752" s="3">
        <v>43252</v>
      </c>
      <c r="I8752" s="2" t="s">
        <v>20478</v>
      </c>
      <c r="J8752" s="2" t="s">
        <v>13904</v>
      </c>
      <c r="K8752" s="2" t="s">
        <v>19215</v>
      </c>
      <c r="L8752" s="82" t="s">
        <v>19512</v>
      </c>
    </row>
    <row r="8753" spans="1:12" ht="96" customHeight="1" x14ac:dyDescent="0.3">
      <c r="A8753" s="2">
        <v>8749</v>
      </c>
      <c r="B8753" s="66" t="s">
        <v>10367</v>
      </c>
      <c r="C8753" s="66" t="s">
        <v>3152</v>
      </c>
      <c r="D8753" s="244">
        <v>3320</v>
      </c>
      <c r="E8753" s="11">
        <v>3320</v>
      </c>
      <c r="F8753" s="3">
        <v>41981</v>
      </c>
      <c r="G8753" s="2" t="s">
        <v>14104</v>
      </c>
      <c r="H8753" s="3">
        <v>43252</v>
      </c>
      <c r="I8753" s="2" t="s">
        <v>20478</v>
      </c>
      <c r="J8753" s="2" t="s">
        <v>13904</v>
      </c>
      <c r="K8753" s="2" t="s">
        <v>19215</v>
      </c>
      <c r="L8753" s="82" t="s">
        <v>19512</v>
      </c>
    </row>
    <row r="8754" spans="1:12" ht="96" customHeight="1" x14ac:dyDescent="0.3">
      <c r="A8754" s="2">
        <v>8750</v>
      </c>
      <c r="B8754" s="66" t="s">
        <v>5020</v>
      </c>
      <c r="C8754" s="66" t="s">
        <v>5309</v>
      </c>
      <c r="D8754" s="244">
        <v>33300</v>
      </c>
      <c r="E8754" s="11">
        <v>33300</v>
      </c>
      <c r="F8754" s="3">
        <v>41619</v>
      </c>
      <c r="G8754" s="2" t="s">
        <v>14104</v>
      </c>
      <c r="H8754" s="3">
        <v>43252</v>
      </c>
      <c r="I8754" s="2" t="s">
        <v>20478</v>
      </c>
      <c r="J8754" s="2" t="s">
        <v>13904</v>
      </c>
      <c r="K8754" s="2" t="s">
        <v>19215</v>
      </c>
      <c r="L8754" s="82" t="s">
        <v>19512</v>
      </c>
    </row>
    <row r="8755" spans="1:12" ht="96" customHeight="1" x14ac:dyDescent="0.3">
      <c r="A8755" s="2">
        <v>8751</v>
      </c>
      <c r="B8755" s="66" t="s">
        <v>5022</v>
      </c>
      <c r="C8755" s="66" t="s">
        <v>5023</v>
      </c>
      <c r="D8755" s="244">
        <v>7600</v>
      </c>
      <c r="E8755" s="11">
        <v>7600</v>
      </c>
      <c r="F8755" s="3">
        <v>41619</v>
      </c>
      <c r="G8755" s="2" t="s">
        <v>14104</v>
      </c>
      <c r="H8755" s="3">
        <v>43252</v>
      </c>
      <c r="I8755" s="2" t="s">
        <v>20478</v>
      </c>
      <c r="J8755" s="2" t="s">
        <v>13904</v>
      </c>
      <c r="K8755" s="2" t="s">
        <v>19215</v>
      </c>
      <c r="L8755" s="82" t="s">
        <v>19512</v>
      </c>
    </row>
    <row r="8756" spans="1:12" ht="96" customHeight="1" x14ac:dyDescent="0.3">
      <c r="A8756" s="2">
        <v>8752</v>
      </c>
      <c r="B8756" s="66" t="s">
        <v>5022</v>
      </c>
      <c r="C8756" s="66" t="s">
        <v>5024</v>
      </c>
      <c r="D8756" s="244">
        <v>7600</v>
      </c>
      <c r="E8756" s="11">
        <v>7600</v>
      </c>
      <c r="F8756" s="3">
        <v>41619</v>
      </c>
      <c r="G8756" s="2" t="s">
        <v>14104</v>
      </c>
      <c r="H8756" s="3">
        <v>43252</v>
      </c>
      <c r="I8756" s="2" t="s">
        <v>20478</v>
      </c>
      <c r="J8756" s="2" t="s">
        <v>13904</v>
      </c>
      <c r="K8756" s="2" t="s">
        <v>19215</v>
      </c>
      <c r="L8756" s="82" t="s">
        <v>19512</v>
      </c>
    </row>
    <row r="8757" spans="1:12" ht="96" customHeight="1" x14ac:dyDescent="0.3">
      <c r="A8757" s="2">
        <v>8753</v>
      </c>
      <c r="B8757" s="66" t="s">
        <v>5022</v>
      </c>
      <c r="C8757" s="66" t="s">
        <v>5025</v>
      </c>
      <c r="D8757" s="244">
        <v>7600</v>
      </c>
      <c r="E8757" s="11">
        <v>7600</v>
      </c>
      <c r="F8757" s="3">
        <v>41619</v>
      </c>
      <c r="G8757" s="2" t="s">
        <v>14104</v>
      </c>
      <c r="H8757" s="3">
        <v>43252</v>
      </c>
      <c r="I8757" s="2" t="s">
        <v>20478</v>
      </c>
      <c r="J8757" s="2" t="s">
        <v>13904</v>
      </c>
      <c r="K8757" s="2" t="s">
        <v>19215</v>
      </c>
      <c r="L8757" s="82" t="s">
        <v>19512</v>
      </c>
    </row>
    <row r="8758" spans="1:12" ht="84" customHeight="1" x14ac:dyDescent="0.3">
      <c r="A8758" s="2">
        <v>8754</v>
      </c>
      <c r="B8758" s="66" t="s">
        <v>5022</v>
      </c>
      <c r="C8758" s="66" t="s">
        <v>5026</v>
      </c>
      <c r="D8758" s="11">
        <v>7600</v>
      </c>
      <c r="E8758" s="11">
        <v>7600</v>
      </c>
      <c r="F8758" s="3">
        <v>41619</v>
      </c>
      <c r="G8758" s="2" t="s">
        <v>14104</v>
      </c>
      <c r="H8758" s="3">
        <v>43252</v>
      </c>
      <c r="I8758" s="2" t="s">
        <v>20478</v>
      </c>
      <c r="J8758" s="2" t="s">
        <v>13904</v>
      </c>
      <c r="K8758" s="2"/>
      <c r="L8758" s="82" t="s">
        <v>19512</v>
      </c>
    </row>
    <row r="8759" spans="1:12" ht="96" customHeight="1" x14ac:dyDescent="0.3">
      <c r="A8759" s="2">
        <v>8755</v>
      </c>
      <c r="B8759" s="66" t="s">
        <v>5027</v>
      </c>
      <c r="C8759" s="66" t="s">
        <v>5028</v>
      </c>
      <c r="D8759" s="244">
        <v>27700.43</v>
      </c>
      <c r="E8759" s="11">
        <v>27700.43</v>
      </c>
      <c r="F8759" s="3">
        <v>41619</v>
      </c>
      <c r="G8759" s="2" t="s">
        <v>14104</v>
      </c>
      <c r="H8759" s="3">
        <v>43252</v>
      </c>
      <c r="I8759" s="2" t="s">
        <v>20478</v>
      </c>
      <c r="J8759" s="2" t="s">
        <v>13904</v>
      </c>
      <c r="K8759" s="2" t="s">
        <v>19215</v>
      </c>
      <c r="L8759" s="82" t="s">
        <v>19512</v>
      </c>
    </row>
    <row r="8760" spans="1:12" ht="96" customHeight="1" x14ac:dyDescent="0.3">
      <c r="A8760" s="2">
        <v>8756</v>
      </c>
      <c r="B8760" s="66" t="s">
        <v>5029</v>
      </c>
      <c r="C8760" s="66" t="s">
        <v>5030</v>
      </c>
      <c r="D8760" s="244">
        <v>24203.14</v>
      </c>
      <c r="E8760" s="11">
        <v>24203.14</v>
      </c>
      <c r="F8760" s="3">
        <v>41619</v>
      </c>
      <c r="G8760" s="2" t="s">
        <v>14104</v>
      </c>
      <c r="H8760" s="3">
        <v>43252</v>
      </c>
      <c r="I8760" s="2" t="s">
        <v>20478</v>
      </c>
      <c r="J8760" s="2" t="s">
        <v>13904</v>
      </c>
      <c r="K8760" s="2" t="s">
        <v>19215</v>
      </c>
      <c r="L8760" s="82" t="s">
        <v>19512</v>
      </c>
    </row>
    <row r="8761" spans="1:12" ht="96" customHeight="1" x14ac:dyDescent="0.3">
      <c r="A8761" s="2">
        <v>8757</v>
      </c>
      <c r="B8761" s="66" t="s">
        <v>5029</v>
      </c>
      <c r="C8761" s="66" t="s">
        <v>5031</v>
      </c>
      <c r="D8761" s="244">
        <v>24203.14</v>
      </c>
      <c r="E8761" s="11">
        <v>24203.14</v>
      </c>
      <c r="F8761" s="3">
        <v>41619</v>
      </c>
      <c r="G8761" s="2" t="s">
        <v>14104</v>
      </c>
      <c r="H8761" s="3">
        <v>43252</v>
      </c>
      <c r="I8761" s="2" t="s">
        <v>20478</v>
      </c>
      <c r="J8761" s="2" t="s">
        <v>13904</v>
      </c>
      <c r="K8761" s="2" t="s">
        <v>19215</v>
      </c>
      <c r="L8761" s="82" t="s">
        <v>19512</v>
      </c>
    </row>
    <row r="8762" spans="1:12" ht="96" customHeight="1" x14ac:dyDescent="0.3">
      <c r="A8762" s="2">
        <v>8758</v>
      </c>
      <c r="B8762" s="66" t="s">
        <v>5029</v>
      </c>
      <c r="C8762" s="66" t="s">
        <v>5032</v>
      </c>
      <c r="D8762" s="244">
        <v>24203.14</v>
      </c>
      <c r="E8762" s="11">
        <v>24203.14</v>
      </c>
      <c r="F8762" s="3">
        <v>41619</v>
      </c>
      <c r="G8762" s="2" t="s">
        <v>14104</v>
      </c>
      <c r="H8762" s="3">
        <v>43252</v>
      </c>
      <c r="I8762" s="2" t="s">
        <v>20478</v>
      </c>
      <c r="J8762" s="2" t="s">
        <v>13904</v>
      </c>
      <c r="K8762" s="2" t="s">
        <v>19215</v>
      </c>
      <c r="L8762" s="82" t="s">
        <v>19512</v>
      </c>
    </row>
    <row r="8763" spans="1:12" ht="96" customHeight="1" x14ac:dyDescent="0.3">
      <c r="A8763" s="2">
        <v>8759</v>
      </c>
      <c r="B8763" s="66" t="s">
        <v>5029</v>
      </c>
      <c r="C8763" s="66" t="s">
        <v>5033</v>
      </c>
      <c r="D8763" s="244">
        <v>24203.14</v>
      </c>
      <c r="E8763" s="11">
        <v>24203.14</v>
      </c>
      <c r="F8763" s="3">
        <v>41619</v>
      </c>
      <c r="G8763" s="2" t="s">
        <v>14104</v>
      </c>
      <c r="H8763" s="3">
        <v>43252</v>
      </c>
      <c r="I8763" s="2" t="s">
        <v>20478</v>
      </c>
      <c r="J8763" s="2" t="s">
        <v>13904</v>
      </c>
      <c r="K8763" s="2" t="s">
        <v>19215</v>
      </c>
      <c r="L8763" s="82" t="s">
        <v>19512</v>
      </c>
    </row>
    <row r="8764" spans="1:12" ht="96" customHeight="1" x14ac:dyDescent="0.3">
      <c r="A8764" s="2">
        <v>8760</v>
      </c>
      <c r="B8764" s="66" t="s">
        <v>5029</v>
      </c>
      <c r="C8764" s="66" t="s">
        <v>5034</v>
      </c>
      <c r="D8764" s="244">
        <v>24203.14</v>
      </c>
      <c r="E8764" s="11">
        <v>24203.14</v>
      </c>
      <c r="F8764" s="3">
        <v>41619</v>
      </c>
      <c r="G8764" s="2" t="s">
        <v>14104</v>
      </c>
      <c r="H8764" s="3">
        <v>43252</v>
      </c>
      <c r="I8764" s="2" t="s">
        <v>20478</v>
      </c>
      <c r="J8764" s="2" t="s">
        <v>13904</v>
      </c>
      <c r="K8764" s="2" t="s">
        <v>19215</v>
      </c>
      <c r="L8764" s="82" t="s">
        <v>19512</v>
      </c>
    </row>
    <row r="8765" spans="1:12" ht="96" customHeight="1" x14ac:dyDescent="0.3">
      <c r="A8765" s="2">
        <v>8761</v>
      </c>
      <c r="B8765" s="66" t="s">
        <v>5029</v>
      </c>
      <c r="C8765" s="66" t="s">
        <v>5035</v>
      </c>
      <c r="D8765" s="244">
        <v>24203.14</v>
      </c>
      <c r="E8765" s="11">
        <v>24203.14</v>
      </c>
      <c r="F8765" s="3">
        <v>41619</v>
      </c>
      <c r="G8765" s="2" t="s">
        <v>14104</v>
      </c>
      <c r="H8765" s="3">
        <v>43252</v>
      </c>
      <c r="I8765" s="2" t="s">
        <v>20478</v>
      </c>
      <c r="J8765" s="2" t="s">
        <v>13904</v>
      </c>
      <c r="K8765" s="2" t="s">
        <v>19215</v>
      </c>
      <c r="L8765" s="82" t="s">
        <v>19512</v>
      </c>
    </row>
    <row r="8766" spans="1:12" ht="96" customHeight="1" x14ac:dyDescent="0.3">
      <c r="A8766" s="2">
        <v>8762</v>
      </c>
      <c r="B8766" s="66" t="s">
        <v>5029</v>
      </c>
      <c r="C8766" s="66" t="s">
        <v>5036</v>
      </c>
      <c r="D8766" s="244">
        <v>24203.14</v>
      </c>
      <c r="E8766" s="11">
        <v>24203.14</v>
      </c>
      <c r="F8766" s="3">
        <v>41619</v>
      </c>
      <c r="G8766" s="2" t="s">
        <v>14104</v>
      </c>
      <c r="H8766" s="3">
        <v>43252</v>
      </c>
      <c r="I8766" s="2" t="s">
        <v>20478</v>
      </c>
      <c r="J8766" s="2" t="s">
        <v>13904</v>
      </c>
      <c r="K8766" s="2" t="s">
        <v>19215</v>
      </c>
      <c r="L8766" s="82" t="s">
        <v>19512</v>
      </c>
    </row>
    <row r="8767" spans="1:12" ht="96" customHeight="1" x14ac:dyDescent="0.3">
      <c r="A8767" s="2">
        <v>8763</v>
      </c>
      <c r="B8767" s="66" t="s">
        <v>5029</v>
      </c>
      <c r="C8767" s="66" t="s">
        <v>5037</v>
      </c>
      <c r="D8767" s="244">
        <v>24203.14</v>
      </c>
      <c r="E8767" s="11">
        <v>24203.14</v>
      </c>
      <c r="F8767" s="3">
        <v>41619</v>
      </c>
      <c r="G8767" s="2" t="s">
        <v>14104</v>
      </c>
      <c r="H8767" s="3">
        <v>43252</v>
      </c>
      <c r="I8767" s="2" t="s">
        <v>20478</v>
      </c>
      <c r="J8767" s="2" t="s">
        <v>13904</v>
      </c>
      <c r="K8767" s="2" t="s">
        <v>19215</v>
      </c>
      <c r="L8767" s="82" t="s">
        <v>19512</v>
      </c>
    </row>
    <row r="8768" spans="1:12" ht="96" customHeight="1" x14ac:dyDescent="0.3">
      <c r="A8768" s="2">
        <v>8764</v>
      </c>
      <c r="B8768" s="66" t="s">
        <v>5029</v>
      </c>
      <c r="C8768" s="66" t="s">
        <v>5038</v>
      </c>
      <c r="D8768" s="244">
        <v>24203.14</v>
      </c>
      <c r="E8768" s="11">
        <v>24203.14</v>
      </c>
      <c r="F8768" s="3">
        <v>41619</v>
      </c>
      <c r="G8768" s="2" t="s">
        <v>14104</v>
      </c>
      <c r="H8768" s="3">
        <v>43252</v>
      </c>
      <c r="I8768" s="2" t="s">
        <v>20478</v>
      </c>
      <c r="J8768" s="2" t="s">
        <v>13904</v>
      </c>
      <c r="K8768" s="2" t="s">
        <v>19215</v>
      </c>
      <c r="L8768" s="82" t="s">
        <v>19512</v>
      </c>
    </row>
    <row r="8769" spans="1:12" ht="96" customHeight="1" x14ac:dyDescent="0.3">
      <c r="A8769" s="2">
        <v>8765</v>
      </c>
      <c r="B8769" s="66" t="s">
        <v>5029</v>
      </c>
      <c r="C8769" s="66" t="s">
        <v>5039</v>
      </c>
      <c r="D8769" s="244">
        <v>24203.14</v>
      </c>
      <c r="E8769" s="11">
        <v>24203.14</v>
      </c>
      <c r="F8769" s="3">
        <v>41619</v>
      </c>
      <c r="G8769" s="2" t="s">
        <v>14104</v>
      </c>
      <c r="H8769" s="3">
        <v>43252</v>
      </c>
      <c r="I8769" s="2" t="s">
        <v>20478</v>
      </c>
      <c r="J8769" s="2" t="s">
        <v>13904</v>
      </c>
      <c r="K8769" s="2" t="s">
        <v>19215</v>
      </c>
      <c r="L8769" s="82" t="s">
        <v>19512</v>
      </c>
    </row>
    <row r="8770" spans="1:12" ht="96" customHeight="1" x14ac:dyDescent="0.3">
      <c r="A8770" s="2">
        <v>8766</v>
      </c>
      <c r="B8770" s="66" t="s">
        <v>5029</v>
      </c>
      <c r="C8770" s="66" t="s">
        <v>5040</v>
      </c>
      <c r="D8770" s="244">
        <v>24203.14</v>
      </c>
      <c r="E8770" s="11">
        <v>24203.14</v>
      </c>
      <c r="F8770" s="3">
        <v>41619</v>
      </c>
      <c r="G8770" s="2" t="s">
        <v>14104</v>
      </c>
      <c r="H8770" s="3">
        <v>43252</v>
      </c>
      <c r="I8770" s="2" t="s">
        <v>20478</v>
      </c>
      <c r="J8770" s="2" t="s">
        <v>13904</v>
      </c>
      <c r="K8770" s="2" t="s">
        <v>19215</v>
      </c>
      <c r="L8770" s="82" t="s">
        <v>19512</v>
      </c>
    </row>
    <row r="8771" spans="1:12" ht="96" customHeight="1" x14ac:dyDescent="0.3">
      <c r="A8771" s="2">
        <v>8767</v>
      </c>
      <c r="B8771" s="66" t="s">
        <v>5029</v>
      </c>
      <c r="C8771" s="66" t="s">
        <v>5041</v>
      </c>
      <c r="D8771" s="244">
        <v>24203.14</v>
      </c>
      <c r="E8771" s="11">
        <v>24203.14</v>
      </c>
      <c r="F8771" s="3">
        <v>41619</v>
      </c>
      <c r="G8771" s="2" t="s">
        <v>14104</v>
      </c>
      <c r="H8771" s="3">
        <v>43252</v>
      </c>
      <c r="I8771" s="2" t="s">
        <v>20478</v>
      </c>
      <c r="J8771" s="2" t="s">
        <v>13904</v>
      </c>
      <c r="K8771" s="2" t="s">
        <v>19215</v>
      </c>
      <c r="L8771" s="82" t="s">
        <v>19512</v>
      </c>
    </row>
    <row r="8772" spans="1:12" ht="96" customHeight="1" x14ac:dyDescent="0.3">
      <c r="A8772" s="2">
        <v>8768</v>
      </c>
      <c r="B8772" s="66" t="s">
        <v>5029</v>
      </c>
      <c r="C8772" s="66" t="s">
        <v>5042</v>
      </c>
      <c r="D8772" s="244">
        <v>24203.14</v>
      </c>
      <c r="E8772" s="11">
        <v>24203.14</v>
      </c>
      <c r="F8772" s="3">
        <v>41619</v>
      </c>
      <c r="G8772" s="2" t="s">
        <v>14104</v>
      </c>
      <c r="H8772" s="3">
        <v>43252</v>
      </c>
      <c r="I8772" s="2" t="s">
        <v>20478</v>
      </c>
      <c r="J8772" s="2" t="s">
        <v>13904</v>
      </c>
      <c r="K8772" s="2" t="s">
        <v>19215</v>
      </c>
      <c r="L8772" s="82" t="s">
        <v>19512</v>
      </c>
    </row>
    <row r="8773" spans="1:12" ht="96" customHeight="1" x14ac:dyDescent="0.3">
      <c r="A8773" s="2">
        <v>8769</v>
      </c>
      <c r="B8773" s="66" t="s">
        <v>5043</v>
      </c>
      <c r="C8773" s="66" t="s">
        <v>5044</v>
      </c>
      <c r="D8773" s="244">
        <v>23900</v>
      </c>
      <c r="E8773" s="11">
        <v>23900</v>
      </c>
      <c r="F8773" s="3">
        <v>41619</v>
      </c>
      <c r="G8773" s="2" t="s">
        <v>14104</v>
      </c>
      <c r="H8773" s="3">
        <v>43252</v>
      </c>
      <c r="I8773" s="2" t="s">
        <v>20478</v>
      </c>
      <c r="J8773" s="2" t="s">
        <v>13904</v>
      </c>
      <c r="K8773" s="2" t="s">
        <v>19215</v>
      </c>
      <c r="L8773" s="82" t="s">
        <v>19512</v>
      </c>
    </row>
    <row r="8774" spans="1:12" ht="96" customHeight="1" x14ac:dyDescent="0.3">
      <c r="A8774" s="2">
        <v>8770</v>
      </c>
      <c r="B8774" s="66" t="s">
        <v>5045</v>
      </c>
      <c r="C8774" s="66" t="s">
        <v>5046</v>
      </c>
      <c r="D8774" s="244">
        <v>12250</v>
      </c>
      <c r="E8774" s="11">
        <v>12250</v>
      </c>
      <c r="F8774" s="3">
        <v>41619</v>
      </c>
      <c r="G8774" s="2" t="s">
        <v>14104</v>
      </c>
      <c r="H8774" s="3">
        <v>43252</v>
      </c>
      <c r="I8774" s="2" t="s">
        <v>20478</v>
      </c>
      <c r="J8774" s="2" t="s">
        <v>13904</v>
      </c>
      <c r="K8774" s="2" t="s">
        <v>19215</v>
      </c>
      <c r="L8774" s="82" t="s">
        <v>19512</v>
      </c>
    </row>
    <row r="8775" spans="1:12" ht="96" customHeight="1" x14ac:dyDescent="0.3">
      <c r="A8775" s="2">
        <v>8771</v>
      </c>
      <c r="B8775" s="66" t="s">
        <v>5047</v>
      </c>
      <c r="C8775" s="66" t="s">
        <v>5048</v>
      </c>
      <c r="D8775" s="244">
        <v>38584</v>
      </c>
      <c r="E8775" s="11">
        <v>38584</v>
      </c>
      <c r="F8775" s="3">
        <v>41619</v>
      </c>
      <c r="G8775" s="2" t="s">
        <v>14104</v>
      </c>
      <c r="H8775" s="3">
        <v>43252</v>
      </c>
      <c r="I8775" s="2" t="s">
        <v>20478</v>
      </c>
      <c r="J8775" s="2" t="s">
        <v>13904</v>
      </c>
      <c r="K8775" s="2" t="s">
        <v>19215</v>
      </c>
      <c r="L8775" s="82" t="s">
        <v>19512</v>
      </c>
    </row>
    <row r="8776" spans="1:12" ht="96" customHeight="1" x14ac:dyDescent="0.3">
      <c r="A8776" s="2">
        <v>8772</v>
      </c>
      <c r="B8776" s="66" t="s">
        <v>5049</v>
      </c>
      <c r="C8776" s="66" t="s">
        <v>5050</v>
      </c>
      <c r="D8776" s="244">
        <v>38749</v>
      </c>
      <c r="E8776" s="11">
        <v>38749</v>
      </c>
      <c r="F8776" s="3">
        <v>41619</v>
      </c>
      <c r="G8776" s="2" t="s">
        <v>14104</v>
      </c>
      <c r="H8776" s="3">
        <v>43252</v>
      </c>
      <c r="I8776" s="2" t="s">
        <v>20478</v>
      </c>
      <c r="J8776" s="2" t="s">
        <v>13904</v>
      </c>
      <c r="K8776" s="2" t="s">
        <v>19215</v>
      </c>
      <c r="L8776" s="82" t="s">
        <v>19512</v>
      </c>
    </row>
    <row r="8777" spans="1:12" ht="96" customHeight="1" x14ac:dyDescent="0.3">
      <c r="A8777" s="2">
        <v>8773</v>
      </c>
      <c r="B8777" s="66" t="s">
        <v>5049</v>
      </c>
      <c r="C8777" s="66" t="s">
        <v>5051</v>
      </c>
      <c r="D8777" s="244">
        <v>38749</v>
      </c>
      <c r="E8777" s="11">
        <v>38749</v>
      </c>
      <c r="F8777" s="3">
        <v>41619</v>
      </c>
      <c r="G8777" s="2" t="s">
        <v>14104</v>
      </c>
      <c r="H8777" s="3">
        <v>43252</v>
      </c>
      <c r="I8777" s="2" t="s">
        <v>20478</v>
      </c>
      <c r="J8777" s="2" t="s">
        <v>13904</v>
      </c>
      <c r="K8777" s="2" t="s">
        <v>19215</v>
      </c>
      <c r="L8777" s="82" t="s">
        <v>19512</v>
      </c>
    </row>
    <row r="8778" spans="1:12" ht="96" customHeight="1" x14ac:dyDescent="0.3">
      <c r="A8778" s="2">
        <v>8774</v>
      </c>
      <c r="B8778" s="66" t="s">
        <v>5049</v>
      </c>
      <c r="C8778" s="66" t="s">
        <v>5052</v>
      </c>
      <c r="D8778" s="244">
        <v>38749</v>
      </c>
      <c r="E8778" s="11">
        <v>38749</v>
      </c>
      <c r="F8778" s="3">
        <v>41619</v>
      </c>
      <c r="G8778" s="2" t="s">
        <v>14104</v>
      </c>
      <c r="H8778" s="3">
        <v>43252</v>
      </c>
      <c r="I8778" s="2" t="s">
        <v>20478</v>
      </c>
      <c r="J8778" s="2" t="s">
        <v>13904</v>
      </c>
      <c r="K8778" s="2" t="s">
        <v>19215</v>
      </c>
      <c r="L8778" s="82" t="s">
        <v>19512</v>
      </c>
    </row>
    <row r="8779" spans="1:12" ht="96" customHeight="1" x14ac:dyDescent="0.3">
      <c r="A8779" s="2">
        <v>8775</v>
      </c>
      <c r="B8779" s="66" t="s">
        <v>5049</v>
      </c>
      <c r="C8779" s="66" t="s">
        <v>5053</v>
      </c>
      <c r="D8779" s="244">
        <v>38749</v>
      </c>
      <c r="E8779" s="11">
        <v>38749</v>
      </c>
      <c r="F8779" s="3">
        <v>41619</v>
      </c>
      <c r="G8779" s="2" t="s">
        <v>14104</v>
      </c>
      <c r="H8779" s="3">
        <v>43252</v>
      </c>
      <c r="I8779" s="2" t="s">
        <v>20478</v>
      </c>
      <c r="J8779" s="2" t="s">
        <v>13904</v>
      </c>
      <c r="K8779" s="2" t="s">
        <v>19215</v>
      </c>
      <c r="L8779" s="82" t="s">
        <v>19512</v>
      </c>
    </row>
    <row r="8780" spans="1:12" ht="96" customHeight="1" x14ac:dyDescent="0.3">
      <c r="A8780" s="2">
        <v>8776</v>
      </c>
      <c r="B8780" s="66" t="s">
        <v>5054</v>
      </c>
      <c r="C8780" s="66" t="s">
        <v>5055</v>
      </c>
      <c r="D8780" s="244">
        <v>4586</v>
      </c>
      <c r="E8780" s="11">
        <v>4586</v>
      </c>
      <c r="F8780" s="3">
        <v>41619</v>
      </c>
      <c r="G8780" s="2" t="s">
        <v>14104</v>
      </c>
      <c r="H8780" s="3">
        <v>43252</v>
      </c>
      <c r="I8780" s="2" t="s">
        <v>20478</v>
      </c>
      <c r="J8780" s="2" t="s">
        <v>13904</v>
      </c>
      <c r="K8780" s="2" t="s">
        <v>19215</v>
      </c>
      <c r="L8780" s="82" t="s">
        <v>19512</v>
      </c>
    </row>
    <row r="8781" spans="1:12" ht="96" customHeight="1" x14ac:dyDescent="0.3">
      <c r="A8781" s="2">
        <v>8777</v>
      </c>
      <c r="B8781" s="66" t="s">
        <v>5054</v>
      </c>
      <c r="C8781" s="66" t="s">
        <v>5056</v>
      </c>
      <c r="D8781" s="244">
        <v>4586</v>
      </c>
      <c r="E8781" s="11">
        <v>4586</v>
      </c>
      <c r="F8781" s="3">
        <v>41619</v>
      </c>
      <c r="G8781" s="2" t="s">
        <v>14104</v>
      </c>
      <c r="H8781" s="3">
        <v>43252</v>
      </c>
      <c r="I8781" s="2" t="s">
        <v>20478</v>
      </c>
      <c r="J8781" s="2" t="s">
        <v>13904</v>
      </c>
      <c r="K8781" s="2" t="s">
        <v>19215</v>
      </c>
      <c r="L8781" s="82" t="s">
        <v>19512</v>
      </c>
    </row>
    <row r="8782" spans="1:12" ht="96" customHeight="1" x14ac:dyDescent="0.3">
      <c r="A8782" s="2">
        <v>8778</v>
      </c>
      <c r="B8782" s="66" t="s">
        <v>5054</v>
      </c>
      <c r="C8782" s="66" t="s">
        <v>5057</v>
      </c>
      <c r="D8782" s="244">
        <v>4586</v>
      </c>
      <c r="E8782" s="11">
        <v>4586</v>
      </c>
      <c r="F8782" s="3">
        <v>41619</v>
      </c>
      <c r="G8782" s="2" t="s">
        <v>14104</v>
      </c>
      <c r="H8782" s="3">
        <v>43252</v>
      </c>
      <c r="I8782" s="2" t="s">
        <v>20478</v>
      </c>
      <c r="J8782" s="2" t="s">
        <v>13904</v>
      </c>
      <c r="K8782" s="2" t="s">
        <v>19215</v>
      </c>
      <c r="L8782" s="82" t="s">
        <v>19512</v>
      </c>
    </row>
    <row r="8783" spans="1:12" ht="96" customHeight="1" x14ac:dyDescent="0.3">
      <c r="A8783" s="2">
        <v>8779</v>
      </c>
      <c r="B8783" s="66" t="s">
        <v>5054</v>
      </c>
      <c r="C8783" s="66" t="s">
        <v>5058</v>
      </c>
      <c r="D8783" s="244">
        <v>4586</v>
      </c>
      <c r="E8783" s="11">
        <v>4586</v>
      </c>
      <c r="F8783" s="3">
        <v>41619</v>
      </c>
      <c r="G8783" s="2" t="s">
        <v>14104</v>
      </c>
      <c r="H8783" s="3">
        <v>43252</v>
      </c>
      <c r="I8783" s="2" t="s">
        <v>20478</v>
      </c>
      <c r="J8783" s="2" t="s">
        <v>13904</v>
      </c>
      <c r="K8783" s="2" t="s">
        <v>19215</v>
      </c>
      <c r="L8783" s="82" t="s">
        <v>19512</v>
      </c>
    </row>
    <row r="8784" spans="1:12" ht="96" customHeight="1" x14ac:dyDescent="0.3">
      <c r="A8784" s="2">
        <v>8780</v>
      </c>
      <c r="B8784" s="66" t="s">
        <v>5059</v>
      </c>
      <c r="C8784" s="66" t="s">
        <v>5060</v>
      </c>
      <c r="D8784" s="244">
        <v>11760</v>
      </c>
      <c r="E8784" s="11">
        <v>11760</v>
      </c>
      <c r="F8784" s="3">
        <v>41619</v>
      </c>
      <c r="G8784" s="2" t="s">
        <v>14104</v>
      </c>
      <c r="H8784" s="3">
        <v>43252</v>
      </c>
      <c r="I8784" s="2" t="s">
        <v>20478</v>
      </c>
      <c r="J8784" s="2" t="s">
        <v>13904</v>
      </c>
      <c r="K8784" s="2" t="s">
        <v>19215</v>
      </c>
      <c r="L8784" s="82" t="s">
        <v>19512</v>
      </c>
    </row>
    <row r="8785" spans="1:12" ht="96" customHeight="1" x14ac:dyDescent="0.3">
      <c r="A8785" s="2">
        <v>8781</v>
      </c>
      <c r="B8785" s="66" t="s">
        <v>5061</v>
      </c>
      <c r="C8785" s="66" t="s">
        <v>5062</v>
      </c>
      <c r="D8785" s="244">
        <v>3490</v>
      </c>
      <c r="E8785" s="11">
        <v>3490</v>
      </c>
      <c r="F8785" s="3">
        <v>41619</v>
      </c>
      <c r="G8785" s="2" t="s">
        <v>14104</v>
      </c>
      <c r="H8785" s="3">
        <v>43252</v>
      </c>
      <c r="I8785" s="2" t="s">
        <v>20478</v>
      </c>
      <c r="J8785" s="2" t="s">
        <v>13904</v>
      </c>
      <c r="K8785" s="2" t="s">
        <v>19215</v>
      </c>
      <c r="L8785" s="82" t="s">
        <v>19512</v>
      </c>
    </row>
    <row r="8786" spans="1:12" ht="96" customHeight="1" x14ac:dyDescent="0.3">
      <c r="A8786" s="2">
        <v>8782</v>
      </c>
      <c r="B8786" s="66" t="s">
        <v>5063</v>
      </c>
      <c r="C8786" s="66" t="s">
        <v>5064</v>
      </c>
      <c r="D8786" s="244">
        <v>30638</v>
      </c>
      <c r="E8786" s="11">
        <v>30638</v>
      </c>
      <c r="F8786" s="3">
        <v>41619</v>
      </c>
      <c r="G8786" s="2" t="s">
        <v>14104</v>
      </c>
      <c r="H8786" s="3">
        <v>43252</v>
      </c>
      <c r="I8786" s="2" t="s">
        <v>20478</v>
      </c>
      <c r="J8786" s="2" t="s">
        <v>13904</v>
      </c>
      <c r="K8786" s="2" t="s">
        <v>19215</v>
      </c>
      <c r="L8786" s="82" t="s">
        <v>19512</v>
      </c>
    </row>
    <row r="8787" spans="1:12" ht="96" customHeight="1" x14ac:dyDescent="0.3">
      <c r="A8787" s="2">
        <v>8783</v>
      </c>
      <c r="B8787" s="66" t="s">
        <v>5063</v>
      </c>
      <c r="C8787" s="66" t="s">
        <v>5065</v>
      </c>
      <c r="D8787" s="244">
        <v>30638</v>
      </c>
      <c r="E8787" s="11">
        <v>30638</v>
      </c>
      <c r="F8787" s="3">
        <v>41619</v>
      </c>
      <c r="G8787" s="2" t="s">
        <v>14104</v>
      </c>
      <c r="H8787" s="3">
        <v>43252</v>
      </c>
      <c r="I8787" s="2" t="s">
        <v>20478</v>
      </c>
      <c r="J8787" s="2" t="s">
        <v>13904</v>
      </c>
      <c r="K8787" s="2" t="s">
        <v>19215</v>
      </c>
      <c r="L8787" s="82" t="s">
        <v>19512</v>
      </c>
    </row>
    <row r="8788" spans="1:12" ht="96" customHeight="1" x14ac:dyDescent="0.3">
      <c r="A8788" s="2">
        <v>8784</v>
      </c>
      <c r="B8788" s="66" t="s">
        <v>5066</v>
      </c>
      <c r="C8788" s="66" t="s">
        <v>5067</v>
      </c>
      <c r="D8788" s="244">
        <v>8600</v>
      </c>
      <c r="E8788" s="11">
        <v>8600</v>
      </c>
      <c r="F8788" s="3">
        <v>41619</v>
      </c>
      <c r="G8788" s="2" t="s">
        <v>14104</v>
      </c>
      <c r="H8788" s="3">
        <v>43252</v>
      </c>
      <c r="I8788" s="2" t="s">
        <v>20478</v>
      </c>
      <c r="J8788" s="2" t="s">
        <v>13904</v>
      </c>
      <c r="K8788" s="2" t="s">
        <v>19215</v>
      </c>
      <c r="L8788" s="82" t="s">
        <v>19512</v>
      </c>
    </row>
    <row r="8789" spans="1:12" ht="96" customHeight="1" x14ac:dyDescent="0.3">
      <c r="A8789" s="2">
        <v>8785</v>
      </c>
      <c r="B8789" s="66" t="s">
        <v>10368</v>
      </c>
      <c r="C8789" s="66" t="s">
        <v>3206</v>
      </c>
      <c r="D8789" s="244">
        <v>16250</v>
      </c>
      <c r="E8789" s="11">
        <v>16250</v>
      </c>
      <c r="F8789" s="3">
        <v>41981</v>
      </c>
      <c r="G8789" s="2" t="s">
        <v>14104</v>
      </c>
      <c r="H8789" s="3">
        <v>43252</v>
      </c>
      <c r="I8789" s="2" t="s">
        <v>20478</v>
      </c>
      <c r="J8789" s="2" t="s">
        <v>13904</v>
      </c>
      <c r="K8789" s="2" t="s">
        <v>19215</v>
      </c>
      <c r="L8789" s="82" t="s">
        <v>19512</v>
      </c>
    </row>
    <row r="8790" spans="1:12" ht="84" customHeight="1" x14ac:dyDescent="0.3">
      <c r="A8790" s="2">
        <v>8786</v>
      </c>
      <c r="B8790" s="66" t="s">
        <v>4931</v>
      </c>
      <c r="C8790" s="66" t="s">
        <v>10369</v>
      </c>
      <c r="D8790" s="11">
        <v>19010</v>
      </c>
      <c r="E8790" s="11">
        <v>19010</v>
      </c>
      <c r="F8790" s="3">
        <v>41099</v>
      </c>
      <c r="G8790" s="2" t="s">
        <v>14104</v>
      </c>
      <c r="H8790" s="3">
        <v>43252</v>
      </c>
      <c r="I8790" s="2" t="s">
        <v>20478</v>
      </c>
      <c r="J8790" s="2" t="s">
        <v>13904</v>
      </c>
      <c r="K8790" s="2"/>
      <c r="L8790" s="82" t="s">
        <v>19512</v>
      </c>
    </row>
    <row r="8791" spans="1:12" ht="96" customHeight="1" x14ac:dyDescent="0.3">
      <c r="A8791" s="2">
        <v>8787</v>
      </c>
      <c r="B8791" s="66" t="s">
        <v>10370</v>
      </c>
      <c r="C8791" s="66" t="s">
        <v>5343</v>
      </c>
      <c r="D8791" s="244">
        <v>7708</v>
      </c>
      <c r="E8791" s="11">
        <v>7708</v>
      </c>
      <c r="F8791" s="3">
        <v>40177</v>
      </c>
      <c r="G8791" s="2" t="s">
        <v>14104</v>
      </c>
      <c r="H8791" s="3">
        <v>43252</v>
      </c>
      <c r="I8791" s="2" t="s">
        <v>20478</v>
      </c>
      <c r="J8791" s="2" t="s">
        <v>13904</v>
      </c>
      <c r="K8791" s="2" t="s">
        <v>19215</v>
      </c>
      <c r="L8791" s="82" t="s">
        <v>19512</v>
      </c>
    </row>
    <row r="8792" spans="1:12" ht="96" customHeight="1" x14ac:dyDescent="0.3">
      <c r="A8792" s="2">
        <v>8788</v>
      </c>
      <c r="B8792" s="66" t="s">
        <v>10371</v>
      </c>
      <c r="C8792" s="66" t="s">
        <v>7307</v>
      </c>
      <c r="D8792" s="244">
        <v>14430</v>
      </c>
      <c r="E8792" s="11">
        <v>14430</v>
      </c>
      <c r="F8792" s="3">
        <v>40177</v>
      </c>
      <c r="G8792" s="2" t="s">
        <v>14104</v>
      </c>
      <c r="H8792" s="3">
        <v>43252</v>
      </c>
      <c r="I8792" s="2" t="s">
        <v>20478</v>
      </c>
      <c r="J8792" s="2" t="s">
        <v>13904</v>
      </c>
      <c r="K8792" s="2" t="s">
        <v>19215</v>
      </c>
      <c r="L8792" s="82" t="s">
        <v>19512</v>
      </c>
    </row>
    <row r="8793" spans="1:12" ht="96" customHeight="1" x14ac:dyDescent="0.3">
      <c r="A8793" s="2">
        <v>8789</v>
      </c>
      <c r="B8793" s="66" t="s">
        <v>1927</v>
      </c>
      <c r="C8793" s="66" t="s">
        <v>9911</v>
      </c>
      <c r="D8793" s="244">
        <v>18200</v>
      </c>
      <c r="E8793" s="11">
        <v>18200</v>
      </c>
      <c r="F8793" s="3">
        <v>39066</v>
      </c>
      <c r="G8793" s="2" t="s">
        <v>14104</v>
      </c>
      <c r="H8793" s="3">
        <v>43252</v>
      </c>
      <c r="I8793" s="2" t="s">
        <v>20478</v>
      </c>
      <c r="J8793" s="2" t="s">
        <v>13904</v>
      </c>
      <c r="K8793" s="2" t="s">
        <v>19215</v>
      </c>
      <c r="L8793" s="82" t="s">
        <v>19512</v>
      </c>
    </row>
    <row r="8794" spans="1:12" ht="96" customHeight="1" x14ac:dyDescent="0.3">
      <c r="A8794" s="2">
        <v>8790</v>
      </c>
      <c r="B8794" s="66" t="s">
        <v>10372</v>
      </c>
      <c r="C8794" s="66" t="s">
        <v>10373</v>
      </c>
      <c r="D8794" s="244">
        <v>3909.17</v>
      </c>
      <c r="E8794" s="11">
        <v>3909.17</v>
      </c>
      <c r="F8794" s="3">
        <v>39076</v>
      </c>
      <c r="G8794" s="2" t="s">
        <v>14104</v>
      </c>
      <c r="H8794" s="3">
        <v>43252</v>
      </c>
      <c r="I8794" s="2" t="s">
        <v>20478</v>
      </c>
      <c r="J8794" s="2" t="s">
        <v>13904</v>
      </c>
      <c r="K8794" s="2" t="s">
        <v>19215</v>
      </c>
      <c r="L8794" s="82" t="s">
        <v>19512</v>
      </c>
    </row>
    <row r="8795" spans="1:12" ht="84" customHeight="1" x14ac:dyDescent="0.3">
      <c r="A8795" s="2">
        <v>8791</v>
      </c>
      <c r="B8795" s="66" t="s">
        <v>10374</v>
      </c>
      <c r="C8795" s="66" t="s">
        <v>10375</v>
      </c>
      <c r="D8795" s="11">
        <v>8743.9500000000007</v>
      </c>
      <c r="E8795" s="11">
        <v>8743.9500000000007</v>
      </c>
      <c r="F8795" s="3">
        <v>33005</v>
      </c>
      <c r="G8795" s="2" t="s">
        <v>14104</v>
      </c>
      <c r="H8795" s="3">
        <v>43252</v>
      </c>
      <c r="I8795" s="2" t="s">
        <v>20478</v>
      </c>
      <c r="J8795" s="2" t="s">
        <v>13904</v>
      </c>
      <c r="K8795" s="2"/>
      <c r="L8795" s="82" t="s">
        <v>19512</v>
      </c>
    </row>
    <row r="8796" spans="1:12" ht="96" customHeight="1" x14ac:dyDescent="0.3">
      <c r="A8796" s="2">
        <v>8792</v>
      </c>
      <c r="B8796" s="66" t="s">
        <v>10376</v>
      </c>
      <c r="C8796" s="66" t="s">
        <v>4311</v>
      </c>
      <c r="D8796" s="244">
        <v>3600</v>
      </c>
      <c r="E8796" s="11">
        <v>3600</v>
      </c>
      <c r="F8796" s="3">
        <v>39102</v>
      </c>
      <c r="G8796" s="2" t="s">
        <v>14104</v>
      </c>
      <c r="H8796" s="3">
        <v>43252</v>
      </c>
      <c r="I8796" s="2" t="s">
        <v>20478</v>
      </c>
      <c r="J8796" s="2" t="s">
        <v>13904</v>
      </c>
      <c r="K8796" s="2" t="s">
        <v>19215</v>
      </c>
      <c r="L8796" s="82" t="s">
        <v>19512</v>
      </c>
    </row>
    <row r="8797" spans="1:12" ht="84" customHeight="1" x14ac:dyDescent="0.3">
      <c r="A8797" s="2">
        <v>8793</v>
      </c>
      <c r="B8797" s="66" t="s">
        <v>5369</v>
      </c>
      <c r="C8797" s="66" t="s">
        <v>10377</v>
      </c>
      <c r="D8797" s="11">
        <v>5800</v>
      </c>
      <c r="E8797" s="11">
        <v>5800</v>
      </c>
      <c r="F8797" s="3">
        <v>39420</v>
      </c>
      <c r="G8797" s="2" t="s">
        <v>14104</v>
      </c>
      <c r="H8797" s="3">
        <v>43252</v>
      </c>
      <c r="I8797" s="2" t="s">
        <v>20478</v>
      </c>
      <c r="J8797" s="2" t="s">
        <v>13904</v>
      </c>
      <c r="K8797" s="2"/>
      <c r="L8797" s="82" t="s">
        <v>19512</v>
      </c>
    </row>
    <row r="8798" spans="1:12" ht="96" customHeight="1" x14ac:dyDescent="0.3">
      <c r="A8798" s="2">
        <v>8794</v>
      </c>
      <c r="B8798" s="66" t="s">
        <v>5490</v>
      </c>
      <c r="C8798" s="66" t="s">
        <v>10378</v>
      </c>
      <c r="D8798" s="244">
        <v>4120</v>
      </c>
      <c r="E8798" s="11">
        <v>4120</v>
      </c>
      <c r="F8798" s="3">
        <v>39102</v>
      </c>
      <c r="G8798" s="2" t="s">
        <v>14104</v>
      </c>
      <c r="H8798" s="3">
        <v>43252</v>
      </c>
      <c r="I8798" s="2" t="s">
        <v>20478</v>
      </c>
      <c r="J8798" s="2" t="s">
        <v>13904</v>
      </c>
      <c r="K8798" s="2" t="s">
        <v>19215</v>
      </c>
      <c r="L8798" s="82" t="s">
        <v>19512</v>
      </c>
    </row>
    <row r="8799" spans="1:12" ht="84" customHeight="1" x14ac:dyDescent="0.3">
      <c r="A8799" s="2">
        <v>8795</v>
      </c>
      <c r="B8799" s="66" t="s">
        <v>10379</v>
      </c>
      <c r="C8799" s="66" t="s">
        <v>3529</v>
      </c>
      <c r="D8799" s="11">
        <v>4862.83</v>
      </c>
      <c r="E8799" s="11">
        <v>4862.83</v>
      </c>
      <c r="F8799" s="3">
        <v>36597</v>
      </c>
      <c r="G8799" s="2" t="s">
        <v>14104</v>
      </c>
      <c r="H8799" s="3">
        <v>43252</v>
      </c>
      <c r="I8799" s="2" t="s">
        <v>20478</v>
      </c>
      <c r="J8799" s="2" t="s">
        <v>13904</v>
      </c>
      <c r="K8799" s="2"/>
      <c r="L8799" s="82" t="s">
        <v>19512</v>
      </c>
    </row>
    <row r="8800" spans="1:12" ht="96" customHeight="1" x14ac:dyDescent="0.3">
      <c r="A8800" s="2">
        <v>8796</v>
      </c>
      <c r="B8800" s="66" t="s">
        <v>10380</v>
      </c>
      <c r="C8800" s="66" t="s">
        <v>3491</v>
      </c>
      <c r="D8800" s="244">
        <v>6286.5</v>
      </c>
      <c r="E8800" s="11">
        <v>6286.5</v>
      </c>
      <c r="F8800" s="3">
        <v>33005</v>
      </c>
      <c r="G8800" s="2" t="s">
        <v>14104</v>
      </c>
      <c r="H8800" s="3">
        <v>43252</v>
      </c>
      <c r="I8800" s="2" t="s">
        <v>20478</v>
      </c>
      <c r="J8800" s="2" t="s">
        <v>13904</v>
      </c>
      <c r="K8800" s="2" t="s">
        <v>19215</v>
      </c>
      <c r="L8800" s="82" t="s">
        <v>19512</v>
      </c>
    </row>
    <row r="8801" spans="1:12" ht="84" customHeight="1" x14ac:dyDescent="0.3">
      <c r="A8801" s="2">
        <v>8797</v>
      </c>
      <c r="B8801" s="66" t="s">
        <v>4933</v>
      </c>
      <c r="C8801" s="66" t="s">
        <v>10381</v>
      </c>
      <c r="D8801" s="11">
        <v>19500</v>
      </c>
      <c r="E8801" s="11">
        <v>19500</v>
      </c>
      <c r="F8801" s="3">
        <v>39588</v>
      </c>
      <c r="G8801" s="2" t="s">
        <v>14104</v>
      </c>
      <c r="H8801" s="3">
        <v>43252</v>
      </c>
      <c r="I8801" s="2" t="s">
        <v>20478</v>
      </c>
      <c r="J8801" s="2" t="s">
        <v>13904</v>
      </c>
      <c r="K8801" s="2"/>
      <c r="L8801" s="82" t="s">
        <v>19512</v>
      </c>
    </row>
    <row r="8802" spans="1:12" ht="84" customHeight="1" x14ac:dyDescent="0.3">
      <c r="A8802" s="2">
        <v>8798</v>
      </c>
      <c r="B8802" s="66" t="s">
        <v>4688</v>
      </c>
      <c r="C8802" s="66" t="s">
        <v>3630</v>
      </c>
      <c r="D8802" s="11">
        <v>4579.62</v>
      </c>
      <c r="E8802" s="11">
        <v>4579.62</v>
      </c>
      <c r="F8802" s="3">
        <v>32944</v>
      </c>
      <c r="G8802" s="2" t="s">
        <v>14104</v>
      </c>
      <c r="H8802" s="3">
        <v>43252</v>
      </c>
      <c r="I8802" s="2" t="s">
        <v>20478</v>
      </c>
      <c r="J8802" s="2" t="s">
        <v>13904</v>
      </c>
      <c r="K8802" s="2"/>
      <c r="L8802" s="82" t="s">
        <v>19512</v>
      </c>
    </row>
    <row r="8803" spans="1:12" ht="84" customHeight="1" x14ac:dyDescent="0.3">
      <c r="A8803" s="2">
        <v>8799</v>
      </c>
      <c r="B8803" s="66" t="s">
        <v>4935</v>
      </c>
      <c r="C8803" s="66" t="s">
        <v>4138</v>
      </c>
      <c r="D8803" s="11">
        <v>3741.42</v>
      </c>
      <c r="E8803" s="11">
        <v>3741.42</v>
      </c>
      <c r="F8803" s="3">
        <v>35866</v>
      </c>
      <c r="G8803" s="2" t="s">
        <v>14104</v>
      </c>
      <c r="H8803" s="3">
        <v>43252</v>
      </c>
      <c r="I8803" s="2" t="s">
        <v>20478</v>
      </c>
      <c r="J8803" s="2" t="s">
        <v>13904</v>
      </c>
      <c r="K8803" s="2"/>
      <c r="L8803" s="82" t="s">
        <v>19512</v>
      </c>
    </row>
    <row r="8804" spans="1:12" ht="96" customHeight="1" x14ac:dyDescent="0.3">
      <c r="A8804" s="2">
        <v>8800</v>
      </c>
      <c r="B8804" s="66" t="s">
        <v>4688</v>
      </c>
      <c r="C8804" s="66" t="s">
        <v>10382</v>
      </c>
      <c r="D8804" s="244">
        <v>5000</v>
      </c>
      <c r="E8804" s="11">
        <v>5000</v>
      </c>
      <c r="F8804" s="3">
        <v>39442</v>
      </c>
      <c r="G8804" s="2" t="s">
        <v>14104</v>
      </c>
      <c r="H8804" s="3">
        <v>43252</v>
      </c>
      <c r="I8804" s="2" t="s">
        <v>20478</v>
      </c>
      <c r="J8804" s="2" t="s">
        <v>13904</v>
      </c>
      <c r="K8804" s="2" t="s">
        <v>19215</v>
      </c>
      <c r="L8804" s="82" t="s">
        <v>19512</v>
      </c>
    </row>
    <row r="8805" spans="1:12" ht="96" customHeight="1" x14ac:dyDescent="0.3">
      <c r="A8805" s="2">
        <v>8801</v>
      </c>
      <c r="B8805" s="66" t="s">
        <v>10383</v>
      </c>
      <c r="C8805" s="66" t="s">
        <v>10384</v>
      </c>
      <c r="D8805" s="244">
        <v>4500</v>
      </c>
      <c r="E8805" s="11">
        <v>4500</v>
      </c>
      <c r="F8805" s="3">
        <v>39431</v>
      </c>
      <c r="G8805" s="2" t="s">
        <v>14104</v>
      </c>
      <c r="H8805" s="3">
        <v>43252</v>
      </c>
      <c r="I8805" s="2" t="s">
        <v>20478</v>
      </c>
      <c r="J8805" s="2" t="s">
        <v>13904</v>
      </c>
      <c r="K8805" s="2" t="s">
        <v>19215</v>
      </c>
      <c r="L8805" s="82" t="s">
        <v>19512</v>
      </c>
    </row>
    <row r="8806" spans="1:12" ht="96" customHeight="1" x14ac:dyDescent="0.3">
      <c r="A8806" s="2">
        <v>8802</v>
      </c>
      <c r="B8806" s="66" t="s">
        <v>10385</v>
      </c>
      <c r="C8806" s="66" t="s">
        <v>10386</v>
      </c>
      <c r="D8806" s="244">
        <v>6760</v>
      </c>
      <c r="E8806" s="11">
        <v>6760</v>
      </c>
      <c r="F8806" s="3">
        <v>40060</v>
      </c>
      <c r="G8806" s="2" t="s">
        <v>14104</v>
      </c>
      <c r="H8806" s="3">
        <v>43252</v>
      </c>
      <c r="I8806" s="2" t="s">
        <v>20478</v>
      </c>
      <c r="J8806" s="2" t="s">
        <v>13904</v>
      </c>
      <c r="K8806" s="2" t="s">
        <v>19215</v>
      </c>
      <c r="L8806" s="82" t="s">
        <v>19512</v>
      </c>
    </row>
    <row r="8807" spans="1:12" ht="96" customHeight="1" x14ac:dyDescent="0.3">
      <c r="A8807" s="2">
        <v>8803</v>
      </c>
      <c r="B8807" s="66" t="s">
        <v>10387</v>
      </c>
      <c r="C8807" s="66" t="s">
        <v>9903</v>
      </c>
      <c r="D8807" s="244">
        <v>6760</v>
      </c>
      <c r="E8807" s="11">
        <v>6760</v>
      </c>
      <c r="F8807" s="3">
        <v>40060</v>
      </c>
      <c r="G8807" s="2" t="s">
        <v>14104</v>
      </c>
      <c r="H8807" s="3">
        <v>43252</v>
      </c>
      <c r="I8807" s="2" t="s">
        <v>20478</v>
      </c>
      <c r="J8807" s="2" t="s">
        <v>13904</v>
      </c>
      <c r="K8807" s="2" t="s">
        <v>19215</v>
      </c>
      <c r="L8807" s="82" t="s">
        <v>19512</v>
      </c>
    </row>
    <row r="8808" spans="1:12" ht="96" customHeight="1" x14ac:dyDescent="0.3">
      <c r="A8808" s="2">
        <v>8804</v>
      </c>
      <c r="B8808" s="66" t="s">
        <v>10388</v>
      </c>
      <c r="C8808" s="66" t="s">
        <v>10389</v>
      </c>
      <c r="D8808" s="244">
        <v>6760</v>
      </c>
      <c r="E8808" s="11">
        <v>6760</v>
      </c>
      <c r="F8808" s="3">
        <v>40060</v>
      </c>
      <c r="G8808" s="2" t="s">
        <v>14104</v>
      </c>
      <c r="H8808" s="3">
        <v>43252</v>
      </c>
      <c r="I8808" s="2" t="s">
        <v>20478</v>
      </c>
      <c r="J8808" s="2" t="s">
        <v>13904</v>
      </c>
      <c r="K8808" s="2" t="s">
        <v>19215</v>
      </c>
      <c r="L8808" s="82" t="s">
        <v>19512</v>
      </c>
    </row>
    <row r="8809" spans="1:12" ht="96" customHeight="1" x14ac:dyDescent="0.3">
      <c r="A8809" s="2">
        <v>8805</v>
      </c>
      <c r="B8809" s="66" t="s">
        <v>10390</v>
      </c>
      <c r="C8809" s="66" t="s">
        <v>5341</v>
      </c>
      <c r="D8809" s="244">
        <v>7372.3</v>
      </c>
      <c r="E8809" s="11">
        <v>7372.3</v>
      </c>
      <c r="F8809" s="3">
        <v>40177</v>
      </c>
      <c r="G8809" s="2" t="s">
        <v>14104</v>
      </c>
      <c r="H8809" s="3">
        <v>43252</v>
      </c>
      <c r="I8809" s="2" t="s">
        <v>20478</v>
      </c>
      <c r="J8809" s="2" t="s">
        <v>13904</v>
      </c>
      <c r="K8809" s="2" t="s">
        <v>19215</v>
      </c>
      <c r="L8809" s="82" t="s">
        <v>19512</v>
      </c>
    </row>
    <row r="8810" spans="1:12" ht="84" customHeight="1" x14ac:dyDescent="0.3">
      <c r="A8810" s="2">
        <v>8806</v>
      </c>
      <c r="B8810" s="66" t="s">
        <v>10391</v>
      </c>
      <c r="C8810" s="66" t="s">
        <v>3597</v>
      </c>
      <c r="D8810" s="11">
        <v>11843.16</v>
      </c>
      <c r="E8810" s="11">
        <v>11843.16</v>
      </c>
      <c r="F8810" s="3">
        <v>33066</v>
      </c>
      <c r="G8810" s="2" t="s">
        <v>14104</v>
      </c>
      <c r="H8810" s="3">
        <v>43252</v>
      </c>
      <c r="I8810" s="2" t="s">
        <v>20478</v>
      </c>
      <c r="J8810" s="2" t="s">
        <v>13904</v>
      </c>
      <c r="K8810" s="2"/>
      <c r="L8810" s="82" t="s">
        <v>19512</v>
      </c>
    </row>
    <row r="8811" spans="1:12" ht="84" customHeight="1" x14ac:dyDescent="0.3">
      <c r="A8811" s="2">
        <v>8807</v>
      </c>
      <c r="B8811" s="66" t="s">
        <v>10391</v>
      </c>
      <c r="C8811" s="66" t="s">
        <v>4123</v>
      </c>
      <c r="D8811" s="11">
        <v>8061.27</v>
      </c>
      <c r="E8811" s="11">
        <v>8061.27</v>
      </c>
      <c r="F8811" s="3">
        <v>35197</v>
      </c>
      <c r="G8811" s="2" t="s">
        <v>14104</v>
      </c>
      <c r="H8811" s="3">
        <v>43252</v>
      </c>
      <c r="I8811" s="2" t="s">
        <v>20478</v>
      </c>
      <c r="J8811" s="2" t="s">
        <v>13904</v>
      </c>
      <c r="K8811" s="2"/>
      <c r="L8811" s="82" t="s">
        <v>19512</v>
      </c>
    </row>
    <row r="8812" spans="1:12" ht="96" customHeight="1" x14ac:dyDescent="0.3">
      <c r="A8812" s="2">
        <v>8808</v>
      </c>
      <c r="B8812" s="66" t="s">
        <v>10392</v>
      </c>
      <c r="C8812" s="66" t="s">
        <v>9881</v>
      </c>
      <c r="D8812" s="244">
        <v>4535.17</v>
      </c>
      <c r="E8812" s="11">
        <v>4535.17</v>
      </c>
      <c r="F8812" s="3">
        <v>33128</v>
      </c>
      <c r="G8812" s="2" t="s">
        <v>14104</v>
      </c>
      <c r="H8812" s="3">
        <v>43252</v>
      </c>
      <c r="I8812" s="2" t="s">
        <v>20478</v>
      </c>
      <c r="J8812" s="2" t="s">
        <v>13904</v>
      </c>
      <c r="K8812" s="2" t="s">
        <v>19215</v>
      </c>
      <c r="L8812" s="82" t="s">
        <v>19512</v>
      </c>
    </row>
    <row r="8813" spans="1:12" ht="96" customHeight="1" x14ac:dyDescent="0.3">
      <c r="A8813" s="2">
        <v>8809</v>
      </c>
      <c r="B8813" s="66" t="s">
        <v>3856</v>
      </c>
      <c r="C8813" s="66" t="s">
        <v>10393</v>
      </c>
      <c r="D8813" s="244">
        <v>5050.99</v>
      </c>
      <c r="E8813" s="11">
        <v>5050.99</v>
      </c>
      <c r="F8813" s="3">
        <v>40817</v>
      </c>
      <c r="G8813" s="2" t="s">
        <v>14104</v>
      </c>
      <c r="H8813" s="3">
        <v>43252</v>
      </c>
      <c r="I8813" s="2" t="s">
        <v>20478</v>
      </c>
      <c r="J8813" s="2" t="s">
        <v>13904</v>
      </c>
      <c r="K8813" s="2" t="s">
        <v>19215</v>
      </c>
      <c r="L8813" s="82" t="s">
        <v>19512</v>
      </c>
    </row>
    <row r="8814" spans="1:12" ht="96" customHeight="1" x14ac:dyDescent="0.3">
      <c r="A8814" s="2">
        <v>8810</v>
      </c>
      <c r="B8814" s="66" t="s">
        <v>10394</v>
      </c>
      <c r="C8814" s="66" t="s">
        <v>3699</v>
      </c>
      <c r="D8814" s="244">
        <v>6313</v>
      </c>
      <c r="E8814" s="11">
        <v>6313</v>
      </c>
      <c r="F8814" s="3">
        <v>38484</v>
      </c>
      <c r="G8814" s="2" t="s">
        <v>14104</v>
      </c>
      <c r="H8814" s="3">
        <v>43252</v>
      </c>
      <c r="I8814" s="2" t="s">
        <v>20478</v>
      </c>
      <c r="J8814" s="2" t="s">
        <v>13904</v>
      </c>
      <c r="K8814" s="2" t="s">
        <v>19215</v>
      </c>
      <c r="L8814" s="82" t="s">
        <v>19512</v>
      </c>
    </row>
    <row r="8815" spans="1:12" ht="96" customHeight="1" x14ac:dyDescent="0.3">
      <c r="A8815" s="2">
        <v>8811</v>
      </c>
      <c r="B8815" s="66" t="s">
        <v>10395</v>
      </c>
      <c r="C8815" s="66" t="s">
        <v>4144</v>
      </c>
      <c r="D8815" s="244">
        <v>4457.7</v>
      </c>
      <c r="E8815" s="11">
        <v>4457.7</v>
      </c>
      <c r="F8815" s="3">
        <v>36628</v>
      </c>
      <c r="G8815" s="2" t="s">
        <v>14104</v>
      </c>
      <c r="H8815" s="3">
        <v>43252</v>
      </c>
      <c r="I8815" s="2" t="s">
        <v>20478</v>
      </c>
      <c r="J8815" s="2" t="s">
        <v>13904</v>
      </c>
      <c r="K8815" s="2" t="s">
        <v>19215</v>
      </c>
      <c r="L8815" s="82" t="s">
        <v>19512</v>
      </c>
    </row>
    <row r="8816" spans="1:12" ht="96" customHeight="1" x14ac:dyDescent="0.3">
      <c r="A8816" s="2">
        <v>8812</v>
      </c>
      <c r="B8816" s="66" t="s">
        <v>253</v>
      </c>
      <c r="C8816" s="66" t="s">
        <v>4145</v>
      </c>
      <c r="D8816" s="244">
        <v>3201.67</v>
      </c>
      <c r="E8816" s="11">
        <v>3201.67</v>
      </c>
      <c r="F8816" s="3">
        <v>36781</v>
      </c>
      <c r="G8816" s="2" t="s">
        <v>14104</v>
      </c>
      <c r="H8816" s="3">
        <v>43252</v>
      </c>
      <c r="I8816" s="2" t="s">
        <v>20478</v>
      </c>
      <c r="J8816" s="2" t="s">
        <v>13904</v>
      </c>
      <c r="K8816" s="2" t="s">
        <v>19215</v>
      </c>
      <c r="L8816" s="82" t="s">
        <v>19512</v>
      </c>
    </row>
    <row r="8817" spans="1:12" ht="96" customHeight="1" x14ac:dyDescent="0.3">
      <c r="A8817" s="2">
        <v>8813</v>
      </c>
      <c r="B8817" s="66" t="s">
        <v>10396</v>
      </c>
      <c r="C8817" s="66" t="s">
        <v>10397</v>
      </c>
      <c r="D8817" s="244">
        <v>5699.99</v>
      </c>
      <c r="E8817" s="11">
        <v>5699.99</v>
      </c>
      <c r="F8817" s="3">
        <v>41145</v>
      </c>
      <c r="G8817" s="2" t="s">
        <v>14104</v>
      </c>
      <c r="H8817" s="3">
        <v>43252</v>
      </c>
      <c r="I8817" s="2" t="s">
        <v>20478</v>
      </c>
      <c r="J8817" s="2" t="s">
        <v>13904</v>
      </c>
      <c r="K8817" s="2" t="s">
        <v>19215</v>
      </c>
      <c r="L8817" s="82" t="s">
        <v>19512</v>
      </c>
    </row>
    <row r="8818" spans="1:12" ht="96" customHeight="1" x14ac:dyDescent="0.3">
      <c r="A8818" s="2">
        <v>8814</v>
      </c>
      <c r="B8818" s="66" t="s">
        <v>10396</v>
      </c>
      <c r="C8818" s="66" t="s">
        <v>10398</v>
      </c>
      <c r="D8818" s="244">
        <v>5699.99</v>
      </c>
      <c r="E8818" s="11">
        <v>5699.99</v>
      </c>
      <c r="F8818" s="3">
        <v>41145</v>
      </c>
      <c r="G8818" s="2" t="s">
        <v>14104</v>
      </c>
      <c r="H8818" s="3">
        <v>43252</v>
      </c>
      <c r="I8818" s="2" t="s">
        <v>20478</v>
      </c>
      <c r="J8818" s="2" t="s">
        <v>13904</v>
      </c>
      <c r="K8818" s="2" t="s">
        <v>19215</v>
      </c>
      <c r="L8818" s="82" t="s">
        <v>19512</v>
      </c>
    </row>
    <row r="8819" spans="1:12" ht="96" customHeight="1" x14ac:dyDescent="0.3">
      <c r="A8819" s="2">
        <v>8815</v>
      </c>
      <c r="B8819" s="66" t="s">
        <v>10396</v>
      </c>
      <c r="C8819" s="66" t="s">
        <v>10399</v>
      </c>
      <c r="D8819" s="244">
        <v>5699.99</v>
      </c>
      <c r="E8819" s="11">
        <v>5699.99</v>
      </c>
      <c r="F8819" s="3">
        <v>41145</v>
      </c>
      <c r="G8819" s="2" t="s">
        <v>14104</v>
      </c>
      <c r="H8819" s="3">
        <v>43252</v>
      </c>
      <c r="I8819" s="2" t="s">
        <v>20478</v>
      </c>
      <c r="J8819" s="2" t="s">
        <v>13904</v>
      </c>
      <c r="K8819" s="2" t="s">
        <v>19215</v>
      </c>
      <c r="L8819" s="82" t="s">
        <v>19512</v>
      </c>
    </row>
    <row r="8820" spans="1:12" ht="96" customHeight="1" x14ac:dyDescent="0.3">
      <c r="A8820" s="2">
        <v>8816</v>
      </c>
      <c r="B8820" s="66" t="s">
        <v>10400</v>
      </c>
      <c r="C8820" s="66" t="s">
        <v>10401</v>
      </c>
      <c r="D8820" s="244">
        <v>4880.01</v>
      </c>
      <c r="E8820" s="11">
        <v>4880.01</v>
      </c>
      <c r="F8820" s="3">
        <v>41145</v>
      </c>
      <c r="G8820" s="2" t="s">
        <v>14104</v>
      </c>
      <c r="H8820" s="3">
        <v>43252</v>
      </c>
      <c r="I8820" s="2" t="s">
        <v>20478</v>
      </c>
      <c r="J8820" s="2" t="s">
        <v>13904</v>
      </c>
      <c r="K8820" s="2" t="s">
        <v>19215</v>
      </c>
      <c r="L8820" s="82" t="s">
        <v>19512</v>
      </c>
    </row>
    <row r="8821" spans="1:12" ht="96" customHeight="1" x14ac:dyDescent="0.3">
      <c r="A8821" s="2">
        <v>8817</v>
      </c>
      <c r="B8821" s="66" t="s">
        <v>10400</v>
      </c>
      <c r="C8821" s="66" t="s">
        <v>10402</v>
      </c>
      <c r="D8821" s="244">
        <v>4880.01</v>
      </c>
      <c r="E8821" s="11">
        <v>4880.01</v>
      </c>
      <c r="F8821" s="3">
        <v>41145</v>
      </c>
      <c r="G8821" s="2" t="s">
        <v>14104</v>
      </c>
      <c r="H8821" s="3">
        <v>43252</v>
      </c>
      <c r="I8821" s="2" t="s">
        <v>20478</v>
      </c>
      <c r="J8821" s="2" t="s">
        <v>13904</v>
      </c>
      <c r="K8821" s="2" t="s">
        <v>19215</v>
      </c>
      <c r="L8821" s="82" t="s">
        <v>19512</v>
      </c>
    </row>
    <row r="8822" spans="1:12" ht="96" customHeight="1" x14ac:dyDescent="0.3">
      <c r="A8822" s="2">
        <v>8818</v>
      </c>
      <c r="B8822" s="66" t="s">
        <v>10403</v>
      </c>
      <c r="C8822" s="66" t="s">
        <v>10404</v>
      </c>
      <c r="D8822" s="244">
        <v>4290</v>
      </c>
      <c r="E8822" s="11">
        <v>4290</v>
      </c>
      <c r="F8822" s="3">
        <v>41913</v>
      </c>
      <c r="G8822" s="2" t="s">
        <v>14104</v>
      </c>
      <c r="H8822" s="3">
        <v>43252</v>
      </c>
      <c r="I8822" s="2" t="s">
        <v>20478</v>
      </c>
      <c r="J8822" s="2" t="s">
        <v>13904</v>
      </c>
      <c r="K8822" s="2" t="s">
        <v>19215</v>
      </c>
      <c r="L8822" s="82" t="s">
        <v>19512</v>
      </c>
    </row>
    <row r="8823" spans="1:12" ht="96" customHeight="1" x14ac:dyDescent="0.3">
      <c r="A8823" s="2">
        <v>8819</v>
      </c>
      <c r="B8823" s="66" t="s">
        <v>10405</v>
      </c>
      <c r="C8823" s="66" t="s">
        <v>4699</v>
      </c>
      <c r="D8823" s="244">
        <v>8800</v>
      </c>
      <c r="E8823" s="11">
        <v>8800</v>
      </c>
      <c r="F8823" s="3">
        <v>41981</v>
      </c>
      <c r="G8823" s="2" t="s">
        <v>14104</v>
      </c>
      <c r="H8823" s="3">
        <v>43252</v>
      </c>
      <c r="I8823" s="2" t="s">
        <v>20478</v>
      </c>
      <c r="J8823" s="2" t="s">
        <v>13904</v>
      </c>
      <c r="K8823" s="2" t="s">
        <v>19215</v>
      </c>
      <c r="L8823" s="82" t="s">
        <v>19512</v>
      </c>
    </row>
    <row r="8824" spans="1:12" ht="96" customHeight="1" x14ac:dyDescent="0.3">
      <c r="A8824" s="2">
        <v>8820</v>
      </c>
      <c r="B8824" s="66" t="s">
        <v>10406</v>
      </c>
      <c r="C8824" s="66" t="s">
        <v>4692</v>
      </c>
      <c r="D8824" s="244">
        <v>7500</v>
      </c>
      <c r="E8824" s="11">
        <v>7500</v>
      </c>
      <c r="F8824" s="3">
        <v>41981</v>
      </c>
      <c r="G8824" s="2" t="s">
        <v>14104</v>
      </c>
      <c r="H8824" s="3">
        <v>43252</v>
      </c>
      <c r="I8824" s="2" t="s">
        <v>20478</v>
      </c>
      <c r="J8824" s="2" t="s">
        <v>13904</v>
      </c>
      <c r="K8824" s="2" t="s">
        <v>19215</v>
      </c>
      <c r="L8824" s="82" t="s">
        <v>19512</v>
      </c>
    </row>
    <row r="8825" spans="1:12" ht="96" customHeight="1" x14ac:dyDescent="0.3">
      <c r="A8825" s="2">
        <v>8821</v>
      </c>
      <c r="B8825" s="66" t="s">
        <v>10407</v>
      </c>
      <c r="C8825" s="66" t="s">
        <v>5107</v>
      </c>
      <c r="D8825" s="244">
        <v>3755.1</v>
      </c>
      <c r="E8825" s="11">
        <v>3755.1</v>
      </c>
      <c r="F8825" s="3">
        <v>41558</v>
      </c>
      <c r="G8825" s="2" t="s">
        <v>14104</v>
      </c>
      <c r="H8825" s="3">
        <v>43252</v>
      </c>
      <c r="I8825" s="2" t="s">
        <v>20478</v>
      </c>
      <c r="J8825" s="2" t="s">
        <v>13904</v>
      </c>
      <c r="K8825" s="2" t="s">
        <v>19215</v>
      </c>
      <c r="L8825" s="82" t="s">
        <v>19512</v>
      </c>
    </row>
    <row r="8826" spans="1:12" ht="96" customHeight="1" x14ac:dyDescent="0.3">
      <c r="A8826" s="2">
        <v>8822</v>
      </c>
      <c r="B8826" s="66" t="s">
        <v>10408</v>
      </c>
      <c r="C8826" s="66" t="s">
        <v>3146</v>
      </c>
      <c r="D8826" s="244">
        <v>6450</v>
      </c>
      <c r="E8826" s="11">
        <v>6450</v>
      </c>
      <c r="F8826" s="3">
        <v>41913</v>
      </c>
      <c r="G8826" s="2" t="s">
        <v>14104</v>
      </c>
      <c r="H8826" s="3">
        <v>43252</v>
      </c>
      <c r="I8826" s="2" t="s">
        <v>20478</v>
      </c>
      <c r="J8826" s="2" t="s">
        <v>13904</v>
      </c>
      <c r="K8826" s="2" t="s">
        <v>19215</v>
      </c>
      <c r="L8826" s="82" t="s">
        <v>19512</v>
      </c>
    </row>
    <row r="8827" spans="1:12" ht="96" customHeight="1" x14ac:dyDescent="0.3">
      <c r="A8827" s="2">
        <v>8823</v>
      </c>
      <c r="B8827" s="66" t="s">
        <v>10409</v>
      </c>
      <c r="C8827" s="66" t="s">
        <v>10410</v>
      </c>
      <c r="D8827" s="244">
        <v>4290</v>
      </c>
      <c r="E8827" s="11">
        <v>4290</v>
      </c>
      <c r="F8827" s="3">
        <v>41913</v>
      </c>
      <c r="G8827" s="2" t="s">
        <v>14104</v>
      </c>
      <c r="H8827" s="3">
        <v>43252</v>
      </c>
      <c r="I8827" s="2" t="s">
        <v>20478</v>
      </c>
      <c r="J8827" s="2" t="s">
        <v>13904</v>
      </c>
      <c r="K8827" s="2" t="s">
        <v>19215</v>
      </c>
      <c r="L8827" s="82" t="s">
        <v>19512</v>
      </c>
    </row>
    <row r="8828" spans="1:12" ht="96" customHeight="1" x14ac:dyDescent="0.3">
      <c r="A8828" s="2">
        <v>8824</v>
      </c>
      <c r="B8828" s="66" t="s">
        <v>10411</v>
      </c>
      <c r="C8828" s="66" t="s">
        <v>10412</v>
      </c>
      <c r="D8828" s="244">
        <v>3930</v>
      </c>
      <c r="E8828" s="11">
        <v>3930</v>
      </c>
      <c r="F8828" s="3">
        <v>41913</v>
      </c>
      <c r="G8828" s="2" t="s">
        <v>14104</v>
      </c>
      <c r="H8828" s="3">
        <v>43252</v>
      </c>
      <c r="I8828" s="2" t="s">
        <v>20478</v>
      </c>
      <c r="J8828" s="2" t="s">
        <v>13904</v>
      </c>
      <c r="K8828" s="2" t="s">
        <v>19215</v>
      </c>
      <c r="L8828" s="82" t="s">
        <v>19512</v>
      </c>
    </row>
    <row r="8829" spans="1:12" ht="96" customHeight="1" x14ac:dyDescent="0.3">
      <c r="A8829" s="2">
        <v>8825</v>
      </c>
      <c r="B8829" s="66" t="s">
        <v>10413</v>
      </c>
      <c r="C8829" s="66" t="s">
        <v>10414</v>
      </c>
      <c r="D8829" s="244">
        <v>3930</v>
      </c>
      <c r="E8829" s="11">
        <v>3930</v>
      </c>
      <c r="F8829" s="3">
        <v>41913</v>
      </c>
      <c r="G8829" s="2" t="s">
        <v>14104</v>
      </c>
      <c r="H8829" s="3">
        <v>43252</v>
      </c>
      <c r="I8829" s="2" t="s">
        <v>20478</v>
      </c>
      <c r="J8829" s="2" t="s">
        <v>13904</v>
      </c>
      <c r="K8829" s="2" t="s">
        <v>19215</v>
      </c>
      <c r="L8829" s="82" t="s">
        <v>19512</v>
      </c>
    </row>
    <row r="8830" spans="1:12" ht="96" customHeight="1" x14ac:dyDescent="0.3">
      <c r="A8830" s="2">
        <v>8826</v>
      </c>
      <c r="B8830" s="66" t="s">
        <v>4935</v>
      </c>
      <c r="C8830" s="66" t="s">
        <v>3538</v>
      </c>
      <c r="D8830" s="244">
        <v>3741.42</v>
      </c>
      <c r="E8830" s="11">
        <v>3741.42</v>
      </c>
      <c r="F8830" s="3">
        <v>35866</v>
      </c>
      <c r="G8830" s="2" t="s">
        <v>14104</v>
      </c>
      <c r="H8830" s="3">
        <v>43252</v>
      </c>
      <c r="I8830" s="2" t="s">
        <v>20478</v>
      </c>
      <c r="J8830" s="2" t="s">
        <v>13904</v>
      </c>
      <c r="K8830" s="2" t="s">
        <v>19215</v>
      </c>
      <c r="L8830" s="82" t="s">
        <v>19512</v>
      </c>
    </row>
    <row r="8831" spans="1:12" ht="96" customHeight="1" x14ac:dyDescent="0.3">
      <c r="A8831" s="2">
        <v>8827</v>
      </c>
      <c r="B8831" s="66" t="s">
        <v>4688</v>
      </c>
      <c r="C8831" s="66" t="s">
        <v>10415</v>
      </c>
      <c r="D8831" s="244">
        <v>5000</v>
      </c>
      <c r="E8831" s="11">
        <v>5000</v>
      </c>
      <c r="F8831" s="3">
        <v>39442</v>
      </c>
      <c r="G8831" s="2" t="s">
        <v>14104</v>
      </c>
      <c r="H8831" s="3">
        <v>43252</v>
      </c>
      <c r="I8831" s="2" t="s">
        <v>20478</v>
      </c>
      <c r="J8831" s="2" t="s">
        <v>13904</v>
      </c>
      <c r="K8831" s="2" t="s">
        <v>19215</v>
      </c>
      <c r="L8831" s="82" t="s">
        <v>19512</v>
      </c>
    </row>
    <row r="8832" spans="1:12" ht="96" customHeight="1" x14ac:dyDescent="0.3">
      <c r="A8832" s="2">
        <v>8828</v>
      </c>
      <c r="B8832" s="66" t="s">
        <v>4688</v>
      </c>
      <c r="C8832" s="66" t="s">
        <v>10416</v>
      </c>
      <c r="D8832" s="244">
        <v>5000</v>
      </c>
      <c r="E8832" s="11">
        <v>5000</v>
      </c>
      <c r="F8832" s="3">
        <v>39442</v>
      </c>
      <c r="G8832" s="2" t="s">
        <v>14104</v>
      </c>
      <c r="H8832" s="3">
        <v>43252</v>
      </c>
      <c r="I8832" s="2" t="s">
        <v>20478</v>
      </c>
      <c r="J8832" s="2" t="s">
        <v>13904</v>
      </c>
      <c r="K8832" s="2" t="s">
        <v>19215</v>
      </c>
      <c r="L8832" s="82" t="s">
        <v>19512</v>
      </c>
    </row>
    <row r="8833" spans="1:15" ht="96" customHeight="1" x14ac:dyDescent="0.3">
      <c r="A8833" s="2">
        <v>8829</v>
      </c>
      <c r="B8833" s="66" t="s">
        <v>4688</v>
      </c>
      <c r="C8833" s="66" t="s">
        <v>10417</v>
      </c>
      <c r="D8833" s="244">
        <v>5000</v>
      </c>
      <c r="E8833" s="11">
        <v>5000</v>
      </c>
      <c r="F8833" s="3">
        <v>39442</v>
      </c>
      <c r="G8833" s="2" t="s">
        <v>14104</v>
      </c>
      <c r="H8833" s="3">
        <v>43252</v>
      </c>
      <c r="I8833" s="2" t="s">
        <v>20478</v>
      </c>
      <c r="J8833" s="2" t="s">
        <v>13904</v>
      </c>
      <c r="K8833" s="2" t="s">
        <v>19215</v>
      </c>
      <c r="L8833" s="82" t="s">
        <v>19512</v>
      </c>
    </row>
    <row r="8834" spans="1:15" ht="96" customHeight="1" x14ac:dyDescent="0.3">
      <c r="A8834" s="2">
        <v>8830</v>
      </c>
      <c r="B8834" s="66" t="s">
        <v>10418</v>
      </c>
      <c r="C8834" s="66" t="s">
        <v>10419</v>
      </c>
      <c r="D8834" s="244">
        <v>3007</v>
      </c>
      <c r="E8834" s="11">
        <v>3007</v>
      </c>
      <c r="F8834" s="3">
        <v>40743</v>
      </c>
      <c r="G8834" s="2" t="s">
        <v>14104</v>
      </c>
      <c r="H8834" s="3">
        <v>43252</v>
      </c>
      <c r="I8834" s="2" t="s">
        <v>20478</v>
      </c>
      <c r="J8834" s="2" t="s">
        <v>13904</v>
      </c>
      <c r="K8834" s="2" t="s">
        <v>19215</v>
      </c>
      <c r="L8834" s="82" t="s">
        <v>19512</v>
      </c>
    </row>
    <row r="8835" spans="1:15" ht="96" customHeight="1" x14ac:dyDescent="0.3">
      <c r="A8835" s="2">
        <v>8831</v>
      </c>
      <c r="B8835" s="66" t="s">
        <v>10418</v>
      </c>
      <c r="C8835" s="66" t="s">
        <v>10420</v>
      </c>
      <c r="D8835" s="244">
        <v>3007</v>
      </c>
      <c r="E8835" s="11">
        <v>3007</v>
      </c>
      <c r="F8835" s="3">
        <v>40743</v>
      </c>
      <c r="G8835" s="2" t="s">
        <v>14104</v>
      </c>
      <c r="H8835" s="3">
        <v>43252</v>
      </c>
      <c r="I8835" s="2" t="s">
        <v>20478</v>
      </c>
      <c r="J8835" s="2" t="s">
        <v>13904</v>
      </c>
      <c r="K8835" s="2" t="s">
        <v>19215</v>
      </c>
      <c r="L8835" s="82" t="s">
        <v>19512</v>
      </c>
    </row>
    <row r="8836" spans="1:15" ht="96" customHeight="1" x14ac:dyDescent="0.3">
      <c r="A8836" s="2">
        <v>8832</v>
      </c>
      <c r="B8836" s="66" t="s">
        <v>10421</v>
      </c>
      <c r="C8836" s="66" t="s">
        <v>10422</v>
      </c>
      <c r="D8836" s="244">
        <v>6600</v>
      </c>
      <c r="E8836" s="11">
        <v>6600</v>
      </c>
      <c r="F8836" s="3">
        <v>41264</v>
      </c>
      <c r="G8836" s="2" t="s">
        <v>14104</v>
      </c>
      <c r="H8836" s="3">
        <v>43252</v>
      </c>
      <c r="I8836" s="2" t="s">
        <v>20478</v>
      </c>
      <c r="J8836" s="2" t="s">
        <v>13904</v>
      </c>
      <c r="K8836" s="2" t="s">
        <v>19215</v>
      </c>
      <c r="L8836" s="82" t="s">
        <v>19512</v>
      </c>
    </row>
    <row r="8837" spans="1:15" ht="96" customHeight="1" x14ac:dyDescent="0.3">
      <c r="A8837" s="2">
        <v>8833</v>
      </c>
      <c r="B8837" s="66" t="s">
        <v>10423</v>
      </c>
      <c r="C8837" s="66" t="s">
        <v>3147</v>
      </c>
      <c r="D8837" s="244">
        <v>7900</v>
      </c>
      <c r="E8837" s="11">
        <v>7900</v>
      </c>
      <c r="F8837" s="3">
        <v>41913</v>
      </c>
      <c r="G8837" s="2" t="s">
        <v>14104</v>
      </c>
      <c r="H8837" s="3">
        <v>43252</v>
      </c>
      <c r="I8837" s="2" t="s">
        <v>20478</v>
      </c>
      <c r="J8837" s="2" t="s">
        <v>13904</v>
      </c>
      <c r="K8837" s="2" t="s">
        <v>19215</v>
      </c>
      <c r="L8837" s="82" t="s">
        <v>19512</v>
      </c>
    </row>
    <row r="8838" spans="1:15" ht="96" customHeight="1" x14ac:dyDescent="0.3">
      <c r="A8838" s="2">
        <v>8834</v>
      </c>
      <c r="B8838" s="66" t="s">
        <v>3377</v>
      </c>
      <c r="C8838" s="66" t="s">
        <v>3246</v>
      </c>
      <c r="D8838" s="244">
        <v>3930</v>
      </c>
      <c r="E8838" s="11">
        <v>3930</v>
      </c>
      <c r="F8838" s="3">
        <v>41913</v>
      </c>
      <c r="G8838" s="2" t="s">
        <v>14104</v>
      </c>
      <c r="H8838" s="3">
        <v>43252</v>
      </c>
      <c r="I8838" s="2" t="s">
        <v>20478</v>
      </c>
      <c r="J8838" s="2" t="s">
        <v>13904</v>
      </c>
      <c r="K8838" s="2" t="s">
        <v>19215</v>
      </c>
      <c r="L8838" s="82" t="s">
        <v>19512</v>
      </c>
    </row>
    <row r="8839" spans="1:15" ht="96" customHeight="1" x14ac:dyDescent="0.3">
      <c r="A8839" s="2">
        <v>8835</v>
      </c>
      <c r="B8839" s="66" t="s">
        <v>10424</v>
      </c>
      <c r="C8839" s="66" t="s">
        <v>3151</v>
      </c>
      <c r="D8839" s="244">
        <v>3350</v>
      </c>
      <c r="E8839" s="11">
        <v>3350</v>
      </c>
      <c r="F8839" s="3">
        <v>41981</v>
      </c>
      <c r="G8839" s="2" t="s">
        <v>14104</v>
      </c>
      <c r="H8839" s="3">
        <v>43252</v>
      </c>
      <c r="I8839" s="2" t="s">
        <v>20478</v>
      </c>
      <c r="J8839" s="2" t="s">
        <v>13904</v>
      </c>
      <c r="K8839" s="2" t="s">
        <v>19215</v>
      </c>
      <c r="L8839" s="82" t="s">
        <v>19512</v>
      </c>
    </row>
    <row r="8840" spans="1:15" ht="96" customHeight="1" x14ac:dyDescent="0.3">
      <c r="A8840" s="2">
        <v>8836</v>
      </c>
      <c r="B8840" s="66" t="s">
        <v>10425</v>
      </c>
      <c r="C8840" s="66" t="s">
        <v>3153</v>
      </c>
      <c r="D8840" s="244">
        <v>3350</v>
      </c>
      <c r="E8840" s="11">
        <v>3350</v>
      </c>
      <c r="F8840" s="3">
        <v>41981</v>
      </c>
      <c r="G8840" s="2" t="s">
        <v>14104</v>
      </c>
      <c r="H8840" s="3">
        <v>43252</v>
      </c>
      <c r="I8840" s="2" t="s">
        <v>20478</v>
      </c>
      <c r="J8840" s="2" t="s">
        <v>13904</v>
      </c>
      <c r="K8840" s="2" t="s">
        <v>19215</v>
      </c>
      <c r="L8840" s="82" t="s">
        <v>19512</v>
      </c>
    </row>
    <row r="8841" spans="1:15" ht="96" customHeight="1" x14ac:dyDescent="0.3">
      <c r="A8841" s="2">
        <v>8837</v>
      </c>
      <c r="B8841" s="66" t="s">
        <v>10426</v>
      </c>
      <c r="C8841" s="66" t="s">
        <v>5106</v>
      </c>
      <c r="D8841" s="244">
        <v>3479.82</v>
      </c>
      <c r="E8841" s="11">
        <v>3479.82</v>
      </c>
      <c r="F8841" s="3">
        <v>41558</v>
      </c>
      <c r="G8841" s="2" t="s">
        <v>14104</v>
      </c>
      <c r="H8841" s="3">
        <v>43252</v>
      </c>
      <c r="I8841" s="2" t="s">
        <v>20478</v>
      </c>
      <c r="J8841" s="2" t="s">
        <v>13904</v>
      </c>
      <c r="K8841" s="2" t="s">
        <v>19215</v>
      </c>
      <c r="L8841" s="82" t="s">
        <v>19512</v>
      </c>
    </row>
    <row r="8842" spans="1:15" ht="96" customHeight="1" x14ac:dyDescent="0.3">
      <c r="A8842" s="2">
        <v>8838</v>
      </c>
      <c r="B8842" s="66" t="s">
        <v>10427</v>
      </c>
      <c r="C8842" s="66" t="s">
        <v>10428</v>
      </c>
      <c r="D8842" s="244">
        <v>3549.91</v>
      </c>
      <c r="E8842" s="11">
        <v>3549.91</v>
      </c>
      <c r="F8842" s="3">
        <v>41558</v>
      </c>
      <c r="G8842" s="2" t="s">
        <v>14104</v>
      </c>
      <c r="H8842" s="3">
        <v>43252</v>
      </c>
      <c r="I8842" s="2" t="s">
        <v>20478</v>
      </c>
      <c r="J8842" s="2" t="s">
        <v>13904</v>
      </c>
      <c r="K8842" s="2" t="s">
        <v>19215</v>
      </c>
      <c r="L8842" s="82" t="s">
        <v>19512</v>
      </c>
    </row>
    <row r="8843" spans="1:15" ht="96" customHeight="1" x14ac:dyDescent="0.3">
      <c r="A8843" s="2">
        <v>8839</v>
      </c>
      <c r="B8843" s="66" t="s">
        <v>10427</v>
      </c>
      <c r="C8843" s="66" t="s">
        <v>10429</v>
      </c>
      <c r="D8843" s="244">
        <v>3549.91</v>
      </c>
      <c r="E8843" s="11">
        <v>3549.91</v>
      </c>
      <c r="F8843" s="3">
        <v>41558</v>
      </c>
      <c r="G8843" s="2" t="s">
        <v>14104</v>
      </c>
      <c r="H8843" s="3">
        <v>43252</v>
      </c>
      <c r="I8843" s="2" t="s">
        <v>20478</v>
      </c>
      <c r="J8843" s="2" t="s">
        <v>13904</v>
      </c>
      <c r="K8843" s="2" t="s">
        <v>19215</v>
      </c>
      <c r="L8843" s="82" t="s">
        <v>19512</v>
      </c>
    </row>
    <row r="8844" spans="1:15" ht="96" customHeight="1" x14ac:dyDescent="0.3">
      <c r="A8844" s="2">
        <v>8840</v>
      </c>
      <c r="B8844" s="66" t="s">
        <v>10430</v>
      </c>
      <c r="C8844" s="66" t="s">
        <v>10431</v>
      </c>
      <c r="D8844" s="244">
        <v>6780.04</v>
      </c>
      <c r="E8844" s="11">
        <v>6780.04</v>
      </c>
      <c r="F8844" s="3">
        <v>41558</v>
      </c>
      <c r="G8844" s="2" t="s">
        <v>14104</v>
      </c>
      <c r="H8844" s="3">
        <v>43252</v>
      </c>
      <c r="I8844" s="2" t="s">
        <v>20478</v>
      </c>
      <c r="J8844" s="2" t="s">
        <v>13904</v>
      </c>
      <c r="K8844" s="2" t="s">
        <v>19215</v>
      </c>
      <c r="L8844" s="82" t="s">
        <v>19512</v>
      </c>
    </row>
    <row r="8845" spans="1:15" ht="96" customHeight="1" x14ac:dyDescent="0.3">
      <c r="A8845" s="2">
        <v>8841</v>
      </c>
      <c r="B8845" s="66" t="s">
        <v>10432</v>
      </c>
      <c r="C8845" s="66" t="s">
        <v>3154</v>
      </c>
      <c r="D8845" s="244">
        <v>3350</v>
      </c>
      <c r="E8845" s="11">
        <v>3350</v>
      </c>
      <c r="F8845" s="3" t="s">
        <v>11552</v>
      </c>
      <c r="G8845" s="2" t="s">
        <v>14104</v>
      </c>
      <c r="H8845" s="3">
        <v>43053</v>
      </c>
      <c r="I8845" s="2" t="s">
        <v>19506</v>
      </c>
      <c r="J8845" s="2" t="s">
        <v>13904</v>
      </c>
      <c r="K8845" s="2" t="s">
        <v>19215</v>
      </c>
      <c r="L8845" s="82" t="s">
        <v>19512</v>
      </c>
    </row>
    <row r="8846" spans="1:15" s="19" customFormat="1" ht="96" customHeight="1" x14ac:dyDescent="0.3">
      <c r="A8846" s="2">
        <v>8842</v>
      </c>
      <c r="B8846" s="66" t="s">
        <v>11553</v>
      </c>
      <c r="C8846" s="66" t="s">
        <v>10433</v>
      </c>
      <c r="D8846" s="11">
        <v>178900</v>
      </c>
      <c r="E8846" s="11">
        <v>178900</v>
      </c>
      <c r="F8846" s="3">
        <v>41260</v>
      </c>
      <c r="G8846" s="2" t="s">
        <v>14104</v>
      </c>
      <c r="H8846" s="2"/>
      <c r="I8846" s="2"/>
      <c r="J8846" s="2" t="s">
        <v>13904</v>
      </c>
      <c r="K8846" s="2" t="s">
        <v>19699</v>
      </c>
      <c r="L8846" s="82" t="s">
        <v>19700</v>
      </c>
      <c r="M8846" s="18"/>
      <c r="N8846" s="18"/>
      <c r="O8846" s="18"/>
    </row>
    <row r="8847" spans="1:15" ht="84" customHeight="1" x14ac:dyDescent="0.3">
      <c r="A8847" s="2">
        <v>8843</v>
      </c>
      <c r="B8847" s="66" t="s">
        <v>10434</v>
      </c>
      <c r="C8847" s="66" t="s">
        <v>10435</v>
      </c>
      <c r="D8847" s="11">
        <v>25000</v>
      </c>
      <c r="E8847" s="11">
        <v>25000</v>
      </c>
      <c r="F8847" s="3">
        <v>41729</v>
      </c>
      <c r="G8847" s="2" t="s">
        <v>14104</v>
      </c>
      <c r="H8847" s="3">
        <v>43053</v>
      </c>
      <c r="I8847" s="2" t="s">
        <v>19506</v>
      </c>
      <c r="J8847" s="2" t="s">
        <v>13904</v>
      </c>
      <c r="K8847" s="2" t="s">
        <v>18672</v>
      </c>
      <c r="L8847" s="82" t="s">
        <v>19512</v>
      </c>
    </row>
    <row r="8848" spans="1:15" ht="84" customHeight="1" x14ac:dyDescent="0.3">
      <c r="A8848" s="2">
        <v>8844</v>
      </c>
      <c r="B8848" s="66" t="s">
        <v>10436</v>
      </c>
      <c r="C8848" s="66" t="s">
        <v>3301</v>
      </c>
      <c r="D8848" s="11">
        <v>32790</v>
      </c>
      <c r="E8848" s="11">
        <v>32790</v>
      </c>
      <c r="F8848" s="3">
        <v>39387</v>
      </c>
      <c r="G8848" s="2" t="s">
        <v>14104</v>
      </c>
      <c r="H8848" s="3">
        <v>43053</v>
      </c>
      <c r="I8848" s="2" t="s">
        <v>19506</v>
      </c>
      <c r="J8848" s="2" t="s">
        <v>13904</v>
      </c>
      <c r="K8848" s="2" t="s">
        <v>18672</v>
      </c>
      <c r="L8848" s="82" t="s">
        <v>19512</v>
      </c>
    </row>
    <row r="8849" spans="1:12" ht="84" customHeight="1" x14ac:dyDescent="0.3">
      <c r="A8849" s="2">
        <v>8845</v>
      </c>
      <c r="B8849" s="66" t="s">
        <v>5414</v>
      </c>
      <c r="C8849" s="66" t="s">
        <v>3296</v>
      </c>
      <c r="D8849" s="11">
        <v>27797</v>
      </c>
      <c r="E8849" s="11">
        <v>27797</v>
      </c>
      <c r="F8849" s="3">
        <v>40898</v>
      </c>
      <c r="G8849" s="2" t="s">
        <v>14104</v>
      </c>
      <c r="H8849" s="3">
        <v>43053</v>
      </c>
      <c r="I8849" s="2" t="s">
        <v>19506</v>
      </c>
      <c r="J8849" s="2" t="s">
        <v>13904</v>
      </c>
      <c r="K8849" s="2" t="s">
        <v>18672</v>
      </c>
      <c r="L8849" s="82" t="s">
        <v>19512</v>
      </c>
    </row>
    <row r="8850" spans="1:12" ht="84" customHeight="1" x14ac:dyDescent="0.3">
      <c r="A8850" s="2">
        <v>8846</v>
      </c>
      <c r="B8850" s="66" t="s">
        <v>10437</v>
      </c>
      <c r="C8850" s="66" t="s">
        <v>5594</v>
      </c>
      <c r="D8850" s="11">
        <v>3740</v>
      </c>
      <c r="E8850" s="11">
        <v>3740</v>
      </c>
      <c r="F8850" s="3">
        <v>39393</v>
      </c>
      <c r="G8850" s="2" t="s">
        <v>14104</v>
      </c>
      <c r="H8850" s="3">
        <v>43053</v>
      </c>
      <c r="I8850" s="2" t="s">
        <v>19506</v>
      </c>
      <c r="J8850" s="2" t="s">
        <v>13904</v>
      </c>
      <c r="K8850" s="2" t="s">
        <v>18672</v>
      </c>
      <c r="L8850" s="82" t="s">
        <v>19512</v>
      </c>
    </row>
    <row r="8851" spans="1:12" ht="84" customHeight="1" x14ac:dyDescent="0.3">
      <c r="A8851" s="2">
        <v>8847</v>
      </c>
      <c r="B8851" s="66" t="s">
        <v>4205</v>
      </c>
      <c r="C8851" s="66" t="s">
        <v>10438</v>
      </c>
      <c r="D8851" s="11">
        <v>10810.8</v>
      </c>
      <c r="E8851" s="11">
        <v>10810.8</v>
      </c>
      <c r="F8851" s="3">
        <v>38729</v>
      </c>
      <c r="G8851" s="2" t="s">
        <v>14104</v>
      </c>
      <c r="H8851" s="3">
        <v>43053</v>
      </c>
      <c r="I8851" s="2" t="s">
        <v>19506</v>
      </c>
      <c r="J8851" s="2" t="s">
        <v>13904</v>
      </c>
      <c r="K8851" s="2" t="s">
        <v>18672</v>
      </c>
      <c r="L8851" s="82" t="s">
        <v>19512</v>
      </c>
    </row>
    <row r="8852" spans="1:12" ht="84" customHeight="1" x14ac:dyDescent="0.3">
      <c r="A8852" s="2">
        <v>8848</v>
      </c>
      <c r="B8852" s="66" t="s">
        <v>10439</v>
      </c>
      <c r="C8852" s="66" t="s">
        <v>10440</v>
      </c>
      <c r="D8852" s="11">
        <v>5184.1000000000004</v>
      </c>
      <c r="E8852" s="11">
        <v>5184.1000000000004</v>
      </c>
      <c r="F8852" s="3">
        <v>40864</v>
      </c>
      <c r="G8852" s="2" t="s">
        <v>14104</v>
      </c>
      <c r="H8852" s="3">
        <v>43053</v>
      </c>
      <c r="I8852" s="2" t="s">
        <v>19506</v>
      </c>
      <c r="J8852" s="2" t="s">
        <v>13904</v>
      </c>
      <c r="K8852" s="2" t="s">
        <v>18672</v>
      </c>
      <c r="L8852" s="82" t="s">
        <v>19512</v>
      </c>
    </row>
    <row r="8853" spans="1:12" ht="84" customHeight="1" x14ac:dyDescent="0.3">
      <c r="A8853" s="2">
        <v>8849</v>
      </c>
      <c r="B8853" s="66" t="s">
        <v>10439</v>
      </c>
      <c r="C8853" s="66" t="s">
        <v>10441</v>
      </c>
      <c r="D8853" s="11">
        <v>3537.8</v>
      </c>
      <c r="E8853" s="11">
        <v>3537.8</v>
      </c>
      <c r="F8853" s="3">
        <v>40864</v>
      </c>
      <c r="G8853" s="2" t="s">
        <v>14104</v>
      </c>
      <c r="H8853" s="3">
        <v>43053</v>
      </c>
      <c r="I8853" s="2" t="s">
        <v>19506</v>
      </c>
      <c r="J8853" s="2" t="s">
        <v>13904</v>
      </c>
      <c r="K8853" s="2" t="s">
        <v>18672</v>
      </c>
      <c r="L8853" s="82" t="s">
        <v>19512</v>
      </c>
    </row>
    <row r="8854" spans="1:12" ht="84" customHeight="1" x14ac:dyDescent="0.3">
      <c r="A8854" s="2">
        <v>8850</v>
      </c>
      <c r="B8854" s="66" t="s">
        <v>10439</v>
      </c>
      <c r="C8854" s="66" t="s">
        <v>10442</v>
      </c>
      <c r="D8854" s="11">
        <v>3537.8</v>
      </c>
      <c r="E8854" s="11">
        <v>3537.8</v>
      </c>
      <c r="F8854" s="3">
        <v>40864</v>
      </c>
      <c r="G8854" s="2" t="s">
        <v>14104</v>
      </c>
      <c r="H8854" s="3">
        <v>43053</v>
      </c>
      <c r="I8854" s="2" t="s">
        <v>19506</v>
      </c>
      <c r="J8854" s="2" t="s">
        <v>13904</v>
      </c>
      <c r="K8854" s="2" t="s">
        <v>18672</v>
      </c>
      <c r="L8854" s="82" t="s">
        <v>19512</v>
      </c>
    </row>
    <row r="8855" spans="1:12" ht="84" customHeight="1" x14ac:dyDescent="0.3">
      <c r="A8855" s="2">
        <v>8851</v>
      </c>
      <c r="B8855" s="66" t="s">
        <v>10443</v>
      </c>
      <c r="C8855" s="66" t="s">
        <v>10444</v>
      </c>
      <c r="D8855" s="11">
        <v>3672</v>
      </c>
      <c r="E8855" s="11">
        <v>3672</v>
      </c>
      <c r="F8855" s="3">
        <v>40864</v>
      </c>
      <c r="G8855" s="2" t="s">
        <v>14104</v>
      </c>
      <c r="H8855" s="3">
        <v>43053</v>
      </c>
      <c r="I8855" s="2" t="s">
        <v>19506</v>
      </c>
      <c r="J8855" s="2" t="s">
        <v>13904</v>
      </c>
      <c r="K8855" s="2" t="s">
        <v>18672</v>
      </c>
      <c r="L8855" s="82" t="s">
        <v>19512</v>
      </c>
    </row>
    <row r="8856" spans="1:12" ht="84" customHeight="1" x14ac:dyDescent="0.3">
      <c r="A8856" s="2">
        <v>8852</v>
      </c>
      <c r="B8856" s="66" t="s">
        <v>10445</v>
      </c>
      <c r="C8856" s="66" t="s">
        <v>10446</v>
      </c>
      <c r="D8856" s="11">
        <v>8300</v>
      </c>
      <c r="E8856" s="11">
        <v>8300</v>
      </c>
      <c r="F8856" s="3">
        <v>40864</v>
      </c>
      <c r="G8856" s="2" t="s">
        <v>14104</v>
      </c>
      <c r="H8856" s="3">
        <v>43053</v>
      </c>
      <c r="I8856" s="2" t="s">
        <v>19506</v>
      </c>
      <c r="J8856" s="2" t="s">
        <v>13904</v>
      </c>
      <c r="K8856" s="2" t="s">
        <v>18672</v>
      </c>
      <c r="L8856" s="82" t="s">
        <v>19512</v>
      </c>
    </row>
    <row r="8857" spans="1:12" ht="84" customHeight="1" x14ac:dyDescent="0.3">
      <c r="A8857" s="2">
        <v>8853</v>
      </c>
      <c r="B8857" s="66" t="s">
        <v>10447</v>
      </c>
      <c r="C8857" s="66" t="s">
        <v>4144</v>
      </c>
      <c r="D8857" s="11">
        <v>6000</v>
      </c>
      <c r="E8857" s="11">
        <v>6000</v>
      </c>
      <c r="F8857" s="3">
        <v>38806</v>
      </c>
      <c r="G8857" s="2" t="s">
        <v>14104</v>
      </c>
      <c r="H8857" s="3">
        <v>43053</v>
      </c>
      <c r="I8857" s="2" t="s">
        <v>19506</v>
      </c>
      <c r="J8857" s="2" t="s">
        <v>13904</v>
      </c>
      <c r="K8857" s="2" t="s">
        <v>18672</v>
      </c>
      <c r="L8857" s="82" t="s">
        <v>19512</v>
      </c>
    </row>
    <row r="8858" spans="1:12" ht="84" customHeight="1" x14ac:dyDescent="0.3">
      <c r="A8858" s="2">
        <v>8854</v>
      </c>
      <c r="B8858" s="66" t="s">
        <v>10448</v>
      </c>
      <c r="C8858" s="66" t="s">
        <v>10449</v>
      </c>
      <c r="D8858" s="11">
        <v>3119</v>
      </c>
      <c r="E8858" s="11">
        <v>3119</v>
      </c>
      <c r="F8858" s="3">
        <v>39432</v>
      </c>
      <c r="G8858" s="2" t="s">
        <v>14104</v>
      </c>
      <c r="H8858" s="3">
        <v>43053</v>
      </c>
      <c r="I8858" s="2" t="s">
        <v>19506</v>
      </c>
      <c r="J8858" s="2" t="s">
        <v>13904</v>
      </c>
      <c r="K8858" s="2" t="s">
        <v>18672</v>
      </c>
      <c r="L8858" s="82" t="s">
        <v>19512</v>
      </c>
    </row>
    <row r="8859" spans="1:12" ht="84" customHeight="1" x14ac:dyDescent="0.3">
      <c r="A8859" s="2">
        <v>8855</v>
      </c>
      <c r="B8859" s="66" t="s">
        <v>3488</v>
      </c>
      <c r="C8859" s="66" t="s">
        <v>10450</v>
      </c>
      <c r="D8859" s="11">
        <v>7544.94</v>
      </c>
      <c r="E8859" s="11">
        <v>7544.94</v>
      </c>
      <c r="F8859" s="3">
        <v>39051</v>
      </c>
      <c r="G8859" s="2" t="s">
        <v>14104</v>
      </c>
      <c r="H8859" s="3">
        <v>43053</v>
      </c>
      <c r="I8859" s="2" t="s">
        <v>19506</v>
      </c>
      <c r="J8859" s="2" t="s">
        <v>13904</v>
      </c>
      <c r="K8859" s="2" t="s">
        <v>18672</v>
      </c>
      <c r="L8859" s="82" t="s">
        <v>19512</v>
      </c>
    </row>
    <row r="8860" spans="1:12" ht="84" customHeight="1" x14ac:dyDescent="0.3">
      <c r="A8860" s="2">
        <v>8856</v>
      </c>
      <c r="B8860" s="66" t="s">
        <v>10451</v>
      </c>
      <c r="C8860" s="66" t="s">
        <v>4139</v>
      </c>
      <c r="D8860" s="11">
        <v>7068</v>
      </c>
      <c r="E8860" s="11">
        <v>7068</v>
      </c>
      <c r="F8860" s="3">
        <v>39428</v>
      </c>
      <c r="G8860" s="2" t="s">
        <v>14104</v>
      </c>
      <c r="H8860" s="3">
        <v>43053</v>
      </c>
      <c r="I8860" s="2" t="s">
        <v>19506</v>
      </c>
      <c r="J8860" s="2" t="s">
        <v>13904</v>
      </c>
      <c r="K8860" s="2" t="s">
        <v>18672</v>
      </c>
      <c r="L8860" s="82" t="s">
        <v>19512</v>
      </c>
    </row>
    <row r="8861" spans="1:12" ht="84" customHeight="1" x14ac:dyDescent="0.3">
      <c r="A8861" s="2">
        <v>8857</v>
      </c>
      <c r="B8861" s="66" t="s">
        <v>10452</v>
      </c>
      <c r="C8861" s="66" t="s">
        <v>10453</v>
      </c>
      <c r="D8861" s="11">
        <v>6665</v>
      </c>
      <c r="E8861" s="11">
        <v>6665</v>
      </c>
      <c r="F8861" s="3">
        <v>40763</v>
      </c>
      <c r="G8861" s="2" t="s">
        <v>14104</v>
      </c>
      <c r="H8861" s="3">
        <v>43053</v>
      </c>
      <c r="I8861" s="2" t="s">
        <v>19506</v>
      </c>
      <c r="J8861" s="2" t="s">
        <v>13904</v>
      </c>
      <c r="K8861" s="2" t="s">
        <v>18672</v>
      </c>
      <c r="L8861" s="82" t="s">
        <v>19512</v>
      </c>
    </row>
    <row r="8862" spans="1:12" ht="84" customHeight="1" x14ac:dyDescent="0.3">
      <c r="A8862" s="2">
        <v>8858</v>
      </c>
      <c r="B8862" s="66" t="s">
        <v>10454</v>
      </c>
      <c r="C8862" s="66" t="s">
        <v>10455</v>
      </c>
      <c r="D8862" s="11">
        <v>3177.97</v>
      </c>
      <c r="E8862" s="11">
        <v>3177.97</v>
      </c>
      <c r="F8862" s="3">
        <v>39440</v>
      </c>
      <c r="G8862" s="2" t="s">
        <v>14104</v>
      </c>
      <c r="H8862" s="3">
        <v>43053</v>
      </c>
      <c r="I8862" s="2" t="s">
        <v>19506</v>
      </c>
      <c r="J8862" s="2" t="s">
        <v>13904</v>
      </c>
      <c r="K8862" s="2" t="s">
        <v>18672</v>
      </c>
      <c r="L8862" s="82" t="s">
        <v>19512</v>
      </c>
    </row>
    <row r="8863" spans="1:12" ht="84" customHeight="1" x14ac:dyDescent="0.3">
      <c r="A8863" s="2">
        <v>8859</v>
      </c>
      <c r="B8863" s="66" t="s">
        <v>5490</v>
      </c>
      <c r="C8863" s="66" t="s">
        <v>10456</v>
      </c>
      <c r="D8863" s="11">
        <v>12400</v>
      </c>
      <c r="E8863" s="11">
        <v>12400</v>
      </c>
      <c r="F8863" s="3">
        <v>39419</v>
      </c>
      <c r="G8863" s="2" t="s">
        <v>14104</v>
      </c>
      <c r="H8863" s="3">
        <v>43053</v>
      </c>
      <c r="I8863" s="2" t="s">
        <v>19506</v>
      </c>
      <c r="J8863" s="2" t="s">
        <v>13904</v>
      </c>
      <c r="K8863" s="2" t="s">
        <v>18672</v>
      </c>
      <c r="L8863" s="82" t="s">
        <v>19512</v>
      </c>
    </row>
    <row r="8864" spans="1:12" ht="84" customHeight="1" x14ac:dyDescent="0.3">
      <c r="A8864" s="2">
        <v>8860</v>
      </c>
      <c r="B8864" s="66" t="s">
        <v>10457</v>
      </c>
      <c r="C8864" s="66" t="s">
        <v>10375</v>
      </c>
      <c r="D8864" s="11">
        <v>22500</v>
      </c>
      <c r="E8864" s="11">
        <v>22500</v>
      </c>
      <c r="F8864" s="3">
        <v>39432</v>
      </c>
      <c r="G8864" s="2" t="s">
        <v>14104</v>
      </c>
      <c r="H8864" s="3">
        <v>43053</v>
      </c>
      <c r="I8864" s="2" t="s">
        <v>19506</v>
      </c>
      <c r="J8864" s="2" t="s">
        <v>13904</v>
      </c>
      <c r="K8864" s="2" t="s">
        <v>18672</v>
      </c>
      <c r="L8864" s="82" t="s">
        <v>19512</v>
      </c>
    </row>
    <row r="8865" spans="1:12" ht="84" customHeight="1" x14ac:dyDescent="0.3">
      <c r="A8865" s="2">
        <v>8861</v>
      </c>
      <c r="B8865" s="66" t="s">
        <v>7140</v>
      </c>
      <c r="C8865" s="66" t="s">
        <v>9912</v>
      </c>
      <c r="D8865" s="11">
        <v>6791.16</v>
      </c>
      <c r="E8865" s="11">
        <v>6791.16</v>
      </c>
      <c r="F8865" s="3">
        <v>39051</v>
      </c>
      <c r="G8865" s="2" t="s">
        <v>14104</v>
      </c>
      <c r="H8865" s="3">
        <v>43053</v>
      </c>
      <c r="I8865" s="2" t="s">
        <v>19506</v>
      </c>
      <c r="J8865" s="2" t="s">
        <v>13904</v>
      </c>
      <c r="K8865" s="2" t="s">
        <v>18672</v>
      </c>
      <c r="L8865" s="82" t="s">
        <v>19512</v>
      </c>
    </row>
    <row r="8866" spans="1:12" ht="84" customHeight="1" x14ac:dyDescent="0.3">
      <c r="A8866" s="2">
        <v>8862</v>
      </c>
      <c r="B8866" s="66" t="s">
        <v>10458</v>
      </c>
      <c r="C8866" s="66" t="s">
        <v>10459</v>
      </c>
      <c r="D8866" s="11">
        <v>3828.8</v>
      </c>
      <c r="E8866" s="11">
        <v>3828.8</v>
      </c>
      <c r="F8866" s="3">
        <v>40520</v>
      </c>
      <c r="G8866" s="2" t="s">
        <v>14104</v>
      </c>
      <c r="H8866" s="3">
        <v>43053</v>
      </c>
      <c r="I8866" s="2" t="s">
        <v>19506</v>
      </c>
      <c r="J8866" s="2" t="s">
        <v>13904</v>
      </c>
      <c r="K8866" s="2" t="s">
        <v>18672</v>
      </c>
      <c r="L8866" s="82" t="s">
        <v>19512</v>
      </c>
    </row>
    <row r="8867" spans="1:12" ht="84" customHeight="1" x14ac:dyDescent="0.3">
      <c r="A8867" s="2">
        <v>8863</v>
      </c>
      <c r="B8867" s="66" t="s">
        <v>10460</v>
      </c>
      <c r="C8867" s="66" t="s">
        <v>10461</v>
      </c>
      <c r="D8867" s="11">
        <v>14366.73</v>
      </c>
      <c r="E8867" s="11">
        <v>14366.73</v>
      </c>
      <c r="F8867" s="3">
        <v>40520</v>
      </c>
      <c r="G8867" s="2" t="s">
        <v>14104</v>
      </c>
      <c r="H8867" s="3">
        <v>43053</v>
      </c>
      <c r="I8867" s="2" t="s">
        <v>19506</v>
      </c>
      <c r="J8867" s="2" t="s">
        <v>13904</v>
      </c>
      <c r="K8867" s="2" t="s">
        <v>18672</v>
      </c>
      <c r="L8867" s="82" t="s">
        <v>19512</v>
      </c>
    </row>
    <row r="8868" spans="1:12" ht="84" customHeight="1" x14ac:dyDescent="0.3">
      <c r="A8868" s="2">
        <v>8864</v>
      </c>
      <c r="B8868" s="66" t="s">
        <v>10462</v>
      </c>
      <c r="C8868" s="66" t="s">
        <v>10463</v>
      </c>
      <c r="D8868" s="11">
        <v>12209.4</v>
      </c>
      <c r="E8868" s="11">
        <v>12209.4</v>
      </c>
      <c r="F8868" s="3">
        <v>38762</v>
      </c>
      <c r="G8868" s="2" t="s">
        <v>14104</v>
      </c>
      <c r="H8868" s="3">
        <v>43053</v>
      </c>
      <c r="I8868" s="2" t="s">
        <v>19506</v>
      </c>
      <c r="J8868" s="2" t="s">
        <v>13904</v>
      </c>
      <c r="K8868" s="2" t="s">
        <v>18672</v>
      </c>
      <c r="L8868" s="82" t="s">
        <v>19512</v>
      </c>
    </row>
    <row r="8869" spans="1:12" ht="84" customHeight="1" x14ac:dyDescent="0.3">
      <c r="A8869" s="2">
        <v>8865</v>
      </c>
      <c r="B8869" s="66" t="s">
        <v>10464</v>
      </c>
      <c r="C8869" s="66" t="s">
        <v>10465</v>
      </c>
      <c r="D8869" s="11">
        <v>13250</v>
      </c>
      <c r="E8869" s="11">
        <v>13250</v>
      </c>
      <c r="F8869" s="3">
        <v>41267</v>
      </c>
      <c r="G8869" s="2" t="s">
        <v>14104</v>
      </c>
      <c r="H8869" s="3">
        <v>43053</v>
      </c>
      <c r="I8869" s="2" t="s">
        <v>19506</v>
      </c>
      <c r="J8869" s="2" t="s">
        <v>13904</v>
      </c>
      <c r="K8869" s="2" t="s">
        <v>18672</v>
      </c>
      <c r="L8869" s="82" t="s">
        <v>19512</v>
      </c>
    </row>
    <row r="8870" spans="1:12" ht="84" customHeight="1" x14ac:dyDescent="0.3">
      <c r="A8870" s="2">
        <v>8866</v>
      </c>
      <c r="B8870" s="66" t="s">
        <v>10466</v>
      </c>
      <c r="C8870" s="66" t="s">
        <v>10467</v>
      </c>
      <c r="D8870" s="11">
        <v>28590.22</v>
      </c>
      <c r="E8870" s="11">
        <v>28590.22</v>
      </c>
      <c r="F8870" s="3">
        <v>41270</v>
      </c>
      <c r="G8870" s="2" t="s">
        <v>14104</v>
      </c>
      <c r="H8870" s="3">
        <v>43053</v>
      </c>
      <c r="I8870" s="2" t="s">
        <v>19506</v>
      </c>
      <c r="J8870" s="2" t="s">
        <v>13904</v>
      </c>
      <c r="K8870" s="2" t="s">
        <v>18672</v>
      </c>
      <c r="L8870" s="82" t="s">
        <v>19512</v>
      </c>
    </row>
    <row r="8871" spans="1:12" ht="84" customHeight="1" x14ac:dyDescent="0.3">
      <c r="A8871" s="2">
        <v>8867</v>
      </c>
      <c r="B8871" s="66" t="s">
        <v>10468</v>
      </c>
      <c r="C8871" s="66" t="s">
        <v>10469</v>
      </c>
      <c r="D8871" s="11">
        <v>3849.99</v>
      </c>
      <c r="E8871" s="11">
        <v>3849.99</v>
      </c>
      <c r="F8871" s="3">
        <v>41206</v>
      </c>
      <c r="G8871" s="2" t="s">
        <v>14104</v>
      </c>
      <c r="H8871" s="3">
        <v>43053</v>
      </c>
      <c r="I8871" s="2" t="s">
        <v>19506</v>
      </c>
      <c r="J8871" s="2" t="s">
        <v>13904</v>
      </c>
      <c r="K8871" s="2" t="s">
        <v>18672</v>
      </c>
      <c r="L8871" s="82" t="s">
        <v>19512</v>
      </c>
    </row>
    <row r="8872" spans="1:12" ht="84" customHeight="1" x14ac:dyDescent="0.3">
      <c r="A8872" s="2">
        <v>8868</v>
      </c>
      <c r="B8872" s="66" t="s">
        <v>10468</v>
      </c>
      <c r="C8872" s="66" t="s">
        <v>10470</v>
      </c>
      <c r="D8872" s="11">
        <v>3849.99</v>
      </c>
      <c r="E8872" s="11">
        <v>3849.99</v>
      </c>
      <c r="F8872" s="3">
        <v>41206</v>
      </c>
      <c r="G8872" s="2" t="s">
        <v>14104</v>
      </c>
      <c r="H8872" s="3">
        <v>43053</v>
      </c>
      <c r="I8872" s="2" t="s">
        <v>19506</v>
      </c>
      <c r="J8872" s="2" t="s">
        <v>13904</v>
      </c>
      <c r="K8872" s="2" t="s">
        <v>18672</v>
      </c>
      <c r="L8872" s="82" t="s">
        <v>19512</v>
      </c>
    </row>
    <row r="8873" spans="1:12" ht="84" customHeight="1" x14ac:dyDescent="0.3">
      <c r="A8873" s="2">
        <v>8869</v>
      </c>
      <c r="B8873" s="66" t="s">
        <v>10468</v>
      </c>
      <c r="C8873" s="66" t="s">
        <v>10471</v>
      </c>
      <c r="D8873" s="11">
        <v>3849.99</v>
      </c>
      <c r="E8873" s="11">
        <v>3849.99</v>
      </c>
      <c r="F8873" s="3">
        <v>41206</v>
      </c>
      <c r="G8873" s="2" t="s">
        <v>14104</v>
      </c>
      <c r="H8873" s="3">
        <v>43053</v>
      </c>
      <c r="I8873" s="2" t="s">
        <v>19506</v>
      </c>
      <c r="J8873" s="2" t="s">
        <v>13904</v>
      </c>
      <c r="K8873" s="2" t="s">
        <v>18672</v>
      </c>
      <c r="L8873" s="82" t="s">
        <v>19512</v>
      </c>
    </row>
    <row r="8874" spans="1:12" ht="84" customHeight="1" x14ac:dyDescent="0.3">
      <c r="A8874" s="2">
        <v>8870</v>
      </c>
      <c r="B8874" s="66" t="s">
        <v>10468</v>
      </c>
      <c r="C8874" s="66" t="s">
        <v>10472</v>
      </c>
      <c r="D8874" s="11">
        <v>3849.99</v>
      </c>
      <c r="E8874" s="11">
        <v>3849.99</v>
      </c>
      <c r="F8874" s="3">
        <v>41206</v>
      </c>
      <c r="G8874" s="2" t="s">
        <v>14104</v>
      </c>
      <c r="H8874" s="3">
        <v>43053</v>
      </c>
      <c r="I8874" s="2" t="s">
        <v>19506</v>
      </c>
      <c r="J8874" s="2" t="s">
        <v>13904</v>
      </c>
      <c r="K8874" s="2" t="s">
        <v>18672</v>
      </c>
      <c r="L8874" s="82" t="s">
        <v>19512</v>
      </c>
    </row>
    <row r="8875" spans="1:12" ht="84" customHeight="1" x14ac:dyDescent="0.3">
      <c r="A8875" s="2">
        <v>8871</v>
      </c>
      <c r="B8875" s="66" t="s">
        <v>10468</v>
      </c>
      <c r="C8875" s="66" t="s">
        <v>10473</v>
      </c>
      <c r="D8875" s="11">
        <v>3849.99</v>
      </c>
      <c r="E8875" s="11">
        <v>3849.99</v>
      </c>
      <c r="F8875" s="3">
        <v>41206</v>
      </c>
      <c r="G8875" s="2" t="s">
        <v>14104</v>
      </c>
      <c r="H8875" s="3">
        <v>43053</v>
      </c>
      <c r="I8875" s="2" t="s">
        <v>19506</v>
      </c>
      <c r="J8875" s="2" t="s">
        <v>13904</v>
      </c>
      <c r="K8875" s="2" t="s">
        <v>18672</v>
      </c>
      <c r="L8875" s="82" t="s">
        <v>19512</v>
      </c>
    </row>
    <row r="8876" spans="1:12" ht="84" customHeight="1" x14ac:dyDescent="0.3">
      <c r="A8876" s="2">
        <v>8872</v>
      </c>
      <c r="B8876" s="66" t="s">
        <v>10468</v>
      </c>
      <c r="C8876" s="66" t="s">
        <v>10474</v>
      </c>
      <c r="D8876" s="11">
        <v>3849.99</v>
      </c>
      <c r="E8876" s="11">
        <v>3849.99</v>
      </c>
      <c r="F8876" s="3">
        <v>41206</v>
      </c>
      <c r="G8876" s="2" t="s">
        <v>14104</v>
      </c>
      <c r="H8876" s="3">
        <v>43053</v>
      </c>
      <c r="I8876" s="2" t="s">
        <v>19506</v>
      </c>
      <c r="J8876" s="2" t="s">
        <v>13904</v>
      </c>
      <c r="K8876" s="2" t="s">
        <v>18672</v>
      </c>
      <c r="L8876" s="82" t="s">
        <v>19512</v>
      </c>
    </row>
    <row r="8877" spans="1:12" ht="84" customHeight="1" x14ac:dyDescent="0.3">
      <c r="A8877" s="2">
        <v>8873</v>
      </c>
      <c r="B8877" s="66" t="s">
        <v>10468</v>
      </c>
      <c r="C8877" s="66" t="s">
        <v>10475</v>
      </c>
      <c r="D8877" s="11">
        <v>3849.99</v>
      </c>
      <c r="E8877" s="11">
        <v>3849.99</v>
      </c>
      <c r="F8877" s="3">
        <v>41206</v>
      </c>
      <c r="G8877" s="2" t="s">
        <v>14104</v>
      </c>
      <c r="H8877" s="3">
        <v>43053</v>
      </c>
      <c r="I8877" s="2" t="s">
        <v>19506</v>
      </c>
      <c r="J8877" s="2" t="s">
        <v>13904</v>
      </c>
      <c r="K8877" s="2" t="s">
        <v>18672</v>
      </c>
      <c r="L8877" s="82" t="s">
        <v>19512</v>
      </c>
    </row>
    <row r="8878" spans="1:12" ht="84" customHeight="1" x14ac:dyDescent="0.3">
      <c r="A8878" s="2">
        <v>8874</v>
      </c>
      <c r="B8878" s="66" t="s">
        <v>10468</v>
      </c>
      <c r="C8878" s="66" t="s">
        <v>10476</v>
      </c>
      <c r="D8878" s="11">
        <v>3849.99</v>
      </c>
      <c r="E8878" s="11">
        <v>3849.99</v>
      </c>
      <c r="F8878" s="3">
        <v>41206</v>
      </c>
      <c r="G8878" s="2" t="s">
        <v>14104</v>
      </c>
      <c r="H8878" s="3">
        <v>43053</v>
      </c>
      <c r="I8878" s="2" t="s">
        <v>19506</v>
      </c>
      <c r="J8878" s="2" t="s">
        <v>13904</v>
      </c>
      <c r="K8878" s="2" t="s">
        <v>18672</v>
      </c>
      <c r="L8878" s="82" t="s">
        <v>19512</v>
      </c>
    </row>
    <row r="8879" spans="1:12" ht="84" customHeight="1" x14ac:dyDescent="0.3">
      <c r="A8879" s="2">
        <v>8875</v>
      </c>
      <c r="B8879" s="66" t="s">
        <v>10468</v>
      </c>
      <c r="C8879" s="66" t="s">
        <v>10477</v>
      </c>
      <c r="D8879" s="11">
        <v>3849.99</v>
      </c>
      <c r="E8879" s="11">
        <v>3849.99</v>
      </c>
      <c r="F8879" s="3">
        <v>41206</v>
      </c>
      <c r="G8879" s="2" t="s">
        <v>14104</v>
      </c>
      <c r="H8879" s="3">
        <v>43053</v>
      </c>
      <c r="I8879" s="2" t="s">
        <v>19506</v>
      </c>
      <c r="J8879" s="2" t="s">
        <v>13904</v>
      </c>
      <c r="K8879" s="2" t="s">
        <v>18672</v>
      </c>
      <c r="L8879" s="82" t="s">
        <v>19512</v>
      </c>
    </row>
    <row r="8880" spans="1:12" ht="84" customHeight="1" x14ac:dyDescent="0.3">
      <c r="A8880" s="2">
        <v>8876</v>
      </c>
      <c r="B8880" s="66" t="s">
        <v>10468</v>
      </c>
      <c r="C8880" s="66" t="s">
        <v>10478</v>
      </c>
      <c r="D8880" s="11">
        <v>3850.07</v>
      </c>
      <c r="E8880" s="11">
        <v>3850.07</v>
      </c>
      <c r="F8880" s="3">
        <v>41206</v>
      </c>
      <c r="G8880" s="2" t="s">
        <v>14104</v>
      </c>
      <c r="H8880" s="3">
        <v>43053</v>
      </c>
      <c r="I8880" s="2" t="s">
        <v>19506</v>
      </c>
      <c r="J8880" s="2" t="s">
        <v>13904</v>
      </c>
      <c r="K8880" s="2" t="s">
        <v>18672</v>
      </c>
      <c r="L8880" s="82" t="s">
        <v>19512</v>
      </c>
    </row>
    <row r="8881" spans="1:12" ht="84" customHeight="1" x14ac:dyDescent="0.3">
      <c r="A8881" s="2">
        <v>8877</v>
      </c>
      <c r="B8881" s="66" t="s">
        <v>10479</v>
      </c>
      <c r="C8881" s="66" t="s">
        <v>10480</v>
      </c>
      <c r="D8881" s="11">
        <v>11550</v>
      </c>
      <c r="E8881" s="11">
        <v>11550</v>
      </c>
      <c r="F8881" s="3">
        <v>41206</v>
      </c>
      <c r="G8881" s="2" t="s">
        <v>14104</v>
      </c>
      <c r="H8881" s="3">
        <v>43053</v>
      </c>
      <c r="I8881" s="2" t="s">
        <v>19506</v>
      </c>
      <c r="J8881" s="2" t="s">
        <v>13904</v>
      </c>
      <c r="K8881" s="2" t="s">
        <v>18672</v>
      </c>
      <c r="L8881" s="82" t="s">
        <v>19512</v>
      </c>
    </row>
    <row r="8882" spans="1:12" ht="84" customHeight="1" x14ac:dyDescent="0.3">
      <c r="A8882" s="2">
        <v>8878</v>
      </c>
      <c r="B8882" s="66" t="s">
        <v>10479</v>
      </c>
      <c r="C8882" s="66" t="s">
        <v>10481</v>
      </c>
      <c r="D8882" s="11">
        <v>11550.01</v>
      </c>
      <c r="E8882" s="11">
        <v>11550.01</v>
      </c>
      <c r="F8882" s="3">
        <v>41206</v>
      </c>
      <c r="G8882" s="2" t="s">
        <v>14104</v>
      </c>
      <c r="H8882" s="3">
        <v>43053</v>
      </c>
      <c r="I8882" s="2" t="s">
        <v>19506</v>
      </c>
      <c r="J8882" s="2" t="s">
        <v>13904</v>
      </c>
      <c r="K8882" s="2" t="s">
        <v>18672</v>
      </c>
      <c r="L8882" s="82" t="s">
        <v>19512</v>
      </c>
    </row>
    <row r="8883" spans="1:12" ht="84" customHeight="1" x14ac:dyDescent="0.3">
      <c r="A8883" s="2">
        <v>8879</v>
      </c>
      <c r="B8883" s="66" t="s">
        <v>10482</v>
      </c>
      <c r="C8883" s="66" t="s">
        <v>10483</v>
      </c>
      <c r="D8883" s="11">
        <v>3500</v>
      </c>
      <c r="E8883" s="11">
        <v>3500</v>
      </c>
      <c r="F8883" s="3">
        <v>41206</v>
      </c>
      <c r="G8883" s="2" t="s">
        <v>14104</v>
      </c>
      <c r="H8883" s="3">
        <v>43053</v>
      </c>
      <c r="I8883" s="2" t="s">
        <v>19506</v>
      </c>
      <c r="J8883" s="2" t="s">
        <v>13904</v>
      </c>
      <c r="K8883" s="2" t="s">
        <v>18672</v>
      </c>
      <c r="L8883" s="82" t="s">
        <v>19512</v>
      </c>
    </row>
    <row r="8884" spans="1:12" ht="84" customHeight="1" x14ac:dyDescent="0.3">
      <c r="A8884" s="2">
        <v>8880</v>
      </c>
      <c r="B8884" s="66" t="s">
        <v>10484</v>
      </c>
      <c r="C8884" s="66" t="s">
        <v>6985</v>
      </c>
      <c r="D8884" s="11">
        <v>3500</v>
      </c>
      <c r="E8884" s="11">
        <v>3500</v>
      </c>
      <c r="F8884" s="3">
        <v>41257</v>
      </c>
      <c r="G8884" s="2" t="s">
        <v>14104</v>
      </c>
      <c r="H8884" s="3">
        <v>43053</v>
      </c>
      <c r="I8884" s="2" t="s">
        <v>19506</v>
      </c>
      <c r="J8884" s="2" t="s">
        <v>13904</v>
      </c>
      <c r="K8884" s="2" t="s">
        <v>18672</v>
      </c>
      <c r="L8884" s="82" t="s">
        <v>19512</v>
      </c>
    </row>
    <row r="8885" spans="1:12" ht="84" customHeight="1" x14ac:dyDescent="0.3">
      <c r="A8885" s="2">
        <v>8881</v>
      </c>
      <c r="B8885" s="66" t="s">
        <v>10485</v>
      </c>
      <c r="C8885" s="66" t="s">
        <v>10486</v>
      </c>
      <c r="D8885" s="11">
        <v>3500</v>
      </c>
      <c r="E8885" s="11">
        <v>3500</v>
      </c>
      <c r="F8885" s="3">
        <v>41257</v>
      </c>
      <c r="G8885" s="2" t="s">
        <v>14104</v>
      </c>
      <c r="H8885" s="3">
        <v>43053</v>
      </c>
      <c r="I8885" s="2" t="s">
        <v>19506</v>
      </c>
      <c r="J8885" s="2" t="s">
        <v>13904</v>
      </c>
      <c r="K8885" s="2" t="s">
        <v>18672</v>
      </c>
      <c r="L8885" s="82" t="s">
        <v>19512</v>
      </c>
    </row>
    <row r="8886" spans="1:12" ht="84" customHeight="1" x14ac:dyDescent="0.3">
      <c r="A8886" s="2">
        <v>8882</v>
      </c>
      <c r="B8886" s="66" t="s">
        <v>10487</v>
      </c>
      <c r="C8886" s="66" t="s">
        <v>10488</v>
      </c>
      <c r="D8886" s="11">
        <v>3500</v>
      </c>
      <c r="E8886" s="11">
        <v>3500</v>
      </c>
      <c r="F8886" s="3">
        <v>41257</v>
      </c>
      <c r="G8886" s="2" t="s">
        <v>14104</v>
      </c>
      <c r="H8886" s="3">
        <v>43053</v>
      </c>
      <c r="I8886" s="2" t="s">
        <v>19506</v>
      </c>
      <c r="J8886" s="2" t="s">
        <v>13904</v>
      </c>
      <c r="K8886" s="2" t="s">
        <v>18672</v>
      </c>
      <c r="L8886" s="82" t="s">
        <v>19512</v>
      </c>
    </row>
    <row r="8887" spans="1:12" ht="84" customHeight="1" x14ac:dyDescent="0.3">
      <c r="A8887" s="2">
        <v>8883</v>
      </c>
      <c r="B8887" s="66" t="s">
        <v>10487</v>
      </c>
      <c r="C8887" s="66" t="s">
        <v>6969</v>
      </c>
      <c r="D8887" s="11">
        <v>3500</v>
      </c>
      <c r="E8887" s="11">
        <v>3500</v>
      </c>
      <c r="F8887" s="3">
        <v>41257</v>
      </c>
      <c r="G8887" s="2" t="s">
        <v>14104</v>
      </c>
      <c r="H8887" s="3">
        <v>43053</v>
      </c>
      <c r="I8887" s="2" t="s">
        <v>19506</v>
      </c>
      <c r="J8887" s="2" t="s">
        <v>13904</v>
      </c>
      <c r="K8887" s="2" t="s">
        <v>18672</v>
      </c>
      <c r="L8887" s="82" t="s">
        <v>19512</v>
      </c>
    </row>
    <row r="8888" spans="1:12" ht="84" customHeight="1" x14ac:dyDescent="0.3">
      <c r="A8888" s="2">
        <v>8884</v>
      </c>
      <c r="B8888" s="66" t="s">
        <v>10458</v>
      </c>
      <c r="C8888" s="66" t="s">
        <v>7245</v>
      </c>
      <c r="D8888" s="11">
        <v>4777.74</v>
      </c>
      <c r="E8888" s="11">
        <v>4777.74</v>
      </c>
      <c r="F8888" s="3">
        <v>36986</v>
      </c>
      <c r="G8888" s="2" t="s">
        <v>14104</v>
      </c>
      <c r="H8888" s="3">
        <v>43053</v>
      </c>
      <c r="I8888" s="2" t="s">
        <v>19506</v>
      </c>
      <c r="J8888" s="2" t="s">
        <v>13904</v>
      </c>
      <c r="K8888" s="2" t="s">
        <v>18672</v>
      </c>
      <c r="L8888" s="82" t="s">
        <v>19512</v>
      </c>
    </row>
    <row r="8889" spans="1:12" ht="84" customHeight="1" x14ac:dyDescent="0.3">
      <c r="A8889" s="2">
        <v>8885</v>
      </c>
      <c r="B8889" s="66" t="s">
        <v>10458</v>
      </c>
      <c r="C8889" s="66" t="s">
        <v>3565</v>
      </c>
      <c r="D8889" s="11">
        <v>4777.74</v>
      </c>
      <c r="E8889" s="11">
        <v>4777.74</v>
      </c>
      <c r="F8889" s="3">
        <v>36986</v>
      </c>
      <c r="G8889" s="2" t="s">
        <v>14104</v>
      </c>
      <c r="H8889" s="3">
        <v>43053</v>
      </c>
      <c r="I8889" s="2" t="s">
        <v>19506</v>
      </c>
      <c r="J8889" s="2" t="s">
        <v>13904</v>
      </c>
      <c r="K8889" s="2" t="s">
        <v>18672</v>
      </c>
      <c r="L8889" s="82" t="s">
        <v>19512</v>
      </c>
    </row>
    <row r="8890" spans="1:12" ht="84" customHeight="1" x14ac:dyDescent="0.3">
      <c r="A8890" s="2">
        <v>8886</v>
      </c>
      <c r="B8890" s="66" t="s">
        <v>10458</v>
      </c>
      <c r="C8890" s="66" t="s">
        <v>5990</v>
      </c>
      <c r="D8890" s="11">
        <v>4777.74</v>
      </c>
      <c r="E8890" s="11">
        <v>4777.74</v>
      </c>
      <c r="F8890" s="3">
        <v>36986</v>
      </c>
      <c r="G8890" s="2" t="s">
        <v>14104</v>
      </c>
      <c r="H8890" s="3">
        <v>43053</v>
      </c>
      <c r="I8890" s="2" t="s">
        <v>19506</v>
      </c>
      <c r="J8890" s="2" t="s">
        <v>13904</v>
      </c>
      <c r="K8890" s="2" t="s">
        <v>18672</v>
      </c>
      <c r="L8890" s="82" t="s">
        <v>19512</v>
      </c>
    </row>
    <row r="8891" spans="1:12" ht="84" customHeight="1" x14ac:dyDescent="0.3">
      <c r="A8891" s="2">
        <v>8887</v>
      </c>
      <c r="B8891" s="66" t="s">
        <v>10458</v>
      </c>
      <c r="C8891" s="66" t="s">
        <v>3362</v>
      </c>
      <c r="D8891" s="11">
        <v>4777.74</v>
      </c>
      <c r="E8891" s="11">
        <v>4777.74</v>
      </c>
      <c r="F8891" s="3">
        <v>36986</v>
      </c>
      <c r="G8891" s="2" t="s">
        <v>14104</v>
      </c>
      <c r="H8891" s="3">
        <v>43053</v>
      </c>
      <c r="I8891" s="2" t="s">
        <v>19506</v>
      </c>
      <c r="J8891" s="2" t="s">
        <v>13904</v>
      </c>
      <c r="K8891" s="2" t="s">
        <v>18672</v>
      </c>
      <c r="L8891" s="82" t="s">
        <v>19512</v>
      </c>
    </row>
    <row r="8892" spans="1:12" ht="84" customHeight="1" x14ac:dyDescent="0.3">
      <c r="A8892" s="2">
        <v>8888</v>
      </c>
      <c r="B8892" s="66" t="s">
        <v>10458</v>
      </c>
      <c r="C8892" s="66" t="s">
        <v>5991</v>
      </c>
      <c r="D8892" s="11">
        <v>4777.74</v>
      </c>
      <c r="E8892" s="11">
        <v>4777.74</v>
      </c>
      <c r="F8892" s="3">
        <v>36986</v>
      </c>
      <c r="G8892" s="2" t="s">
        <v>14104</v>
      </c>
      <c r="H8892" s="3">
        <v>43053</v>
      </c>
      <c r="I8892" s="2" t="s">
        <v>19506</v>
      </c>
      <c r="J8892" s="2" t="s">
        <v>13904</v>
      </c>
      <c r="K8892" s="2" t="s">
        <v>18672</v>
      </c>
      <c r="L8892" s="82" t="s">
        <v>19512</v>
      </c>
    </row>
    <row r="8893" spans="1:12" ht="84" customHeight="1" x14ac:dyDescent="0.3">
      <c r="A8893" s="2">
        <v>8889</v>
      </c>
      <c r="B8893" s="66" t="s">
        <v>10458</v>
      </c>
      <c r="C8893" s="66" t="s">
        <v>8224</v>
      </c>
      <c r="D8893" s="11">
        <v>4777.74</v>
      </c>
      <c r="E8893" s="11">
        <v>4777.74</v>
      </c>
      <c r="F8893" s="3">
        <v>36986</v>
      </c>
      <c r="G8893" s="2" t="s">
        <v>14104</v>
      </c>
      <c r="H8893" s="3">
        <v>43053</v>
      </c>
      <c r="I8893" s="2" t="s">
        <v>19506</v>
      </c>
      <c r="J8893" s="2" t="s">
        <v>13904</v>
      </c>
      <c r="K8893" s="2" t="s">
        <v>18672</v>
      </c>
      <c r="L8893" s="82" t="s">
        <v>19512</v>
      </c>
    </row>
    <row r="8894" spans="1:12" ht="84" customHeight="1" x14ac:dyDescent="0.3">
      <c r="A8894" s="2">
        <v>8890</v>
      </c>
      <c r="B8894" s="66" t="s">
        <v>10458</v>
      </c>
      <c r="C8894" s="66" t="s">
        <v>3902</v>
      </c>
      <c r="D8894" s="11">
        <v>4777.74</v>
      </c>
      <c r="E8894" s="11">
        <v>4777.74</v>
      </c>
      <c r="F8894" s="3">
        <v>36986</v>
      </c>
      <c r="G8894" s="2" t="s">
        <v>14104</v>
      </c>
      <c r="H8894" s="3">
        <v>43053</v>
      </c>
      <c r="I8894" s="2" t="s">
        <v>19506</v>
      </c>
      <c r="J8894" s="2" t="s">
        <v>13904</v>
      </c>
      <c r="K8894" s="2" t="s">
        <v>18672</v>
      </c>
      <c r="L8894" s="82" t="s">
        <v>19512</v>
      </c>
    </row>
    <row r="8895" spans="1:12" ht="84" customHeight="1" x14ac:dyDescent="0.3">
      <c r="A8895" s="2">
        <v>8891</v>
      </c>
      <c r="B8895" s="66" t="s">
        <v>10458</v>
      </c>
      <c r="C8895" s="66" t="s">
        <v>3635</v>
      </c>
      <c r="D8895" s="11">
        <v>4777.74</v>
      </c>
      <c r="E8895" s="11">
        <v>4777.74</v>
      </c>
      <c r="F8895" s="3">
        <v>36986</v>
      </c>
      <c r="G8895" s="2" t="s">
        <v>14104</v>
      </c>
      <c r="H8895" s="3">
        <v>43053</v>
      </c>
      <c r="I8895" s="2" t="s">
        <v>19506</v>
      </c>
      <c r="J8895" s="2" t="s">
        <v>13904</v>
      </c>
      <c r="K8895" s="2" t="s">
        <v>18672</v>
      </c>
      <c r="L8895" s="82" t="s">
        <v>19512</v>
      </c>
    </row>
    <row r="8896" spans="1:12" ht="84" customHeight="1" x14ac:dyDescent="0.3">
      <c r="A8896" s="2">
        <v>8892</v>
      </c>
      <c r="B8896" s="66" t="s">
        <v>10458</v>
      </c>
      <c r="C8896" s="66" t="s">
        <v>4080</v>
      </c>
      <c r="D8896" s="11">
        <v>4777.74</v>
      </c>
      <c r="E8896" s="11">
        <v>4777.74</v>
      </c>
      <c r="F8896" s="3">
        <v>36986</v>
      </c>
      <c r="G8896" s="2" t="s">
        <v>14104</v>
      </c>
      <c r="H8896" s="3">
        <v>43053</v>
      </c>
      <c r="I8896" s="2" t="s">
        <v>19506</v>
      </c>
      <c r="J8896" s="2" t="s">
        <v>13904</v>
      </c>
      <c r="K8896" s="2" t="s">
        <v>18672</v>
      </c>
      <c r="L8896" s="82" t="s">
        <v>19512</v>
      </c>
    </row>
    <row r="8897" spans="1:12" ht="84" customHeight="1" x14ac:dyDescent="0.3">
      <c r="A8897" s="2">
        <v>8893</v>
      </c>
      <c r="B8897" s="66" t="s">
        <v>10458</v>
      </c>
      <c r="C8897" s="66" t="s">
        <v>3855</v>
      </c>
      <c r="D8897" s="11">
        <v>4777.74</v>
      </c>
      <c r="E8897" s="11">
        <v>4777.74</v>
      </c>
      <c r="F8897" s="3">
        <v>36986</v>
      </c>
      <c r="G8897" s="2" t="s">
        <v>14104</v>
      </c>
      <c r="H8897" s="3">
        <v>43053</v>
      </c>
      <c r="I8897" s="2" t="s">
        <v>19506</v>
      </c>
      <c r="J8897" s="2" t="s">
        <v>13904</v>
      </c>
      <c r="K8897" s="2" t="s">
        <v>18672</v>
      </c>
      <c r="L8897" s="82" t="s">
        <v>19512</v>
      </c>
    </row>
    <row r="8898" spans="1:12" ht="84" customHeight="1" x14ac:dyDescent="0.3">
      <c r="A8898" s="2">
        <v>8894</v>
      </c>
      <c r="B8898" s="66" t="s">
        <v>10458</v>
      </c>
      <c r="C8898" s="66" t="s">
        <v>10489</v>
      </c>
      <c r="D8898" s="11">
        <v>4777.74</v>
      </c>
      <c r="E8898" s="11">
        <v>4777.74</v>
      </c>
      <c r="F8898" s="3">
        <v>36986</v>
      </c>
      <c r="G8898" s="2" t="s">
        <v>14104</v>
      </c>
      <c r="H8898" s="3">
        <v>43053</v>
      </c>
      <c r="I8898" s="2" t="s">
        <v>19506</v>
      </c>
      <c r="J8898" s="2" t="s">
        <v>13904</v>
      </c>
      <c r="K8898" s="2" t="s">
        <v>18672</v>
      </c>
      <c r="L8898" s="82" t="s">
        <v>19512</v>
      </c>
    </row>
    <row r="8899" spans="1:12" ht="84" customHeight="1" x14ac:dyDescent="0.3">
      <c r="A8899" s="2">
        <v>8895</v>
      </c>
      <c r="B8899" s="66" t="s">
        <v>10458</v>
      </c>
      <c r="C8899" s="66" t="s">
        <v>6001</v>
      </c>
      <c r="D8899" s="11">
        <v>4777.74</v>
      </c>
      <c r="E8899" s="11">
        <v>4777.74</v>
      </c>
      <c r="F8899" s="3">
        <v>36986</v>
      </c>
      <c r="G8899" s="2" t="s">
        <v>14104</v>
      </c>
      <c r="H8899" s="3">
        <v>43053</v>
      </c>
      <c r="I8899" s="2" t="s">
        <v>19506</v>
      </c>
      <c r="J8899" s="2" t="s">
        <v>13904</v>
      </c>
      <c r="K8899" s="2" t="s">
        <v>18672</v>
      </c>
      <c r="L8899" s="82" t="s">
        <v>19512</v>
      </c>
    </row>
    <row r="8900" spans="1:12" ht="84" customHeight="1" x14ac:dyDescent="0.3">
      <c r="A8900" s="2">
        <v>8896</v>
      </c>
      <c r="B8900" s="66" t="s">
        <v>10458</v>
      </c>
      <c r="C8900" s="66" t="s">
        <v>3798</v>
      </c>
      <c r="D8900" s="11">
        <v>4777.74</v>
      </c>
      <c r="E8900" s="11">
        <v>4777.74</v>
      </c>
      <c r="F8900" s="3">
        <v>36986</v>
      </c>
      <c r="G8900" s="2" t="s">
        <v>14104</v>
      </c>
      <c r="H8900" s="3">
        <v>43053</v>
      </c>
      <c r="I8900" s="2" t="s">
        <v>19506</v>
      </c>
      <c r="J8900" s="2" t="s">
        <v>13904</v>
      </c>
      <c r="K8900" s="2" t="s">
        <v>18672</v>
      </c>
      <c r="L8900" s="82" t="s">
        <v>19512</v>
      </c>
    </row>
    <row r="8901" spans="1:12" ht="84" customHeight="1" x14ac:dyDescent="0.3">
      <c r="A8901" s="2">
        <v>8897</v>
      </c>
      <c r="B8901" s="66" t="s">
        <v>10458</v>
      </c>
      <c r="C8901" s="66" t="s">
        <v>3314</v>
      </c>
      <c r="D8901" s="11">
        <v>4777.74</v>
      </c>
      <c r="E8901" s="11">
        <v>4777.74</v>
      </c>
      <c r="F8901" s="3">
        <v>36986</v>
      </c>
      <c r="G8901" s="2" t="s">
        <v>14104</v>
      </c>
      <c r="H8901" s="3">
        <v>43053</v>
      </c>
      <c r="I8901" s="2" t="s">
        <v>19506</v>
      </c>
      <c r="J8901" s="2" t="s">
        <v>13904</v>
      </c>
      <c r="K8901" s="2" t="s">
        <v>18672</v>
      </c>
      <c r="L8901" s="82" t="s">
        <v>19512</v>
      </c>
    </row>
    <row r="8902" spans="1:12" ht="84" customHeight="1" x14ac:dyDescent="0.3">
      <c r="A8902" s="2">
        <v>8898</v>
      </c>
      <c r="B8902" s="66" t="s">
        <v>10458</v>
      </c>
      <c r="C8902" s="66" t="s">
        <v>3636</v>
      </c>
      <c r="D8902" s="11">
        <v>4777.74</v>
      </c>
      <c r="E8902" s="11">
        <v>4777.74</v>
      </c>
      <c r="F8902" s="3">
        <v>36986</v>
      </c>
      <c r="G8902" s="2" t="s">
        <v>14104</v>
      </c>
      <c r="H8902" s="3">
        <v>43053</v>
      </c>
      <c r="I8902" s="2" t="s">
        <v>19506</v>
      </c>
      <c r="J8902" s="2" t="s">
        <v>13904</v>
      </c>
      <c r="K8902" s="2" t="s">
        <v>18672</v>
      </c>
      <c r="L8902" s="82" t="s">
        <v>19512</v>
      </c>
    </row>
    <row r="8903" spans="1:12" ht="84" customHeight="1" x14ac:dyDescent="0.3">
      <c r="A8903" s="2">
        <v>8899</v>
      </c>
      <c r="B8903" s="66" t="s">
        <v>10458</v>
      </c>
      <c r="C8903" s="66" t="s">
        <v>3293</v>
      </c>
      <c r="D8903" s="11">
        <v>4777.74</v>
      </c>
      <c r="E8903" s="11">
        <v>4777.74</v>
      </c>
      <c r="F8903" s="3">
        <v>36986</v>
      </c>
      <c r="G8903" s="2" t="s">
        <v>14104</v>
      </c>
      <c r="H8903" s="3">
        <v>43053</v>
      </c>
      <c r="I8903" s="2" t="s">
        <v>19506</v>
      </c>
      <c r="J8903" s="2" t="s">
        <v>13904</v>
      </c>
      <c r="K8903" s="2" t="s">
        <v>18672</v>
      </c>
      <c r="L8903" s="82" t="s">
        <v>19512</v>
      </c>
    </row>
    <row r="8904" spans="1:12" ht="84" customHeight="1" x14ac:dyDescent="0.3">
      <c r="A8904" s="2">
        <v>8900</v>
      </c>
      <c r="B8904" s="66" t="s">
        <v>10458</v>
      </c>
      <c r="C8904" s="66" t="s">
        <v>3294</v>
      </c>
      <c r="D8904" s="11">
        <v>4777.74</v>
      </c>
      <c r="E8904" s="11">
        <v>4777.74</v>
      </c>
      <c r="F8904" s="3">
        <v>36986</v>
      </c>
      <c r="G8904" s="2" t="s">
        <v>14104</v>
      </c>
      <c r="H8904" s="3">
        <v>43053</v>
      </c>
      <c r="I8904" s="2" t="s">
        <v>19506</v>
      </c>
      <c r="J8904" s="2" t="s">
        <v>13904</v>
      </c>
      <c r="K8904" s="2" t="s">
        <v>18672</v>
      </c>
      <c r="L8904" s="82" t="s">
        <v>19512</v>
      </c>
    </row>
    <row r="8905" spans="1:12" ht="84" customHeight="1" x14ac:dyDescent="0.3">
      <c r="A8905" s="2">
        <v>8901</v>
      </c>
      <c r="B8905" s="66" t="s">
        <v>10458</v>
      </c>
      <c r="C8905" s="66" t="s">
        <v>10490</v>
      </c>
      <c r="D8905" s="11">
        <v>4777.74</v>
      </c>
      <c r="E8905" s="11">
        <v>4777.74</v>
      </c>
      <c r="F8905" s="3">
        <v>36986</v>
      </c>
      <c r="G8905" s="2" t="s">
        <v>14104</v>
      </c>
      <c r="H8905" s="3">
        <v>43053</v>
      </c>
      <c r="I8905" s="2" t="s">
        <v>19506</v>
      </c>
      <c r="J8905" s="2" t="s">
        <v>13904</v>
      </c>
      <c r="K8905" s="2" t="s">
        <v>18672</v>
      </c>
      <c r="L8905" s="82" t="s">
        <v>19512</v>
      </c>
    </row>
    <row r="8906" spans="1:12" ht="84" customHeight="1" x14ac:dyDescent="0.3">
      <c r="A8906" s="2">
        <v>8902</v>
      </c>
      <c r="B8906" s="66" t="s">
        <v>10458</v>
      </c>
      <c r="C8906" s="66" t="s">
        <v>4079</v>
      </c>
      <c r="D8906" s="11">
        <v>4777.74</v>
      </c>
      <c r="E8906" s="11">
        <v>4777.74</v>
      </c>
      <c r="F8906" s="3">
        <v>36986</v>
      </c>
      <c r="G8906" s="2" t="s">
        <v>14104</v>
      </c>
      <c r="H8906" s="3">
        <v>43053</v>
      </c>
      <c r="I8906" s="2" t="s">
        <v>19506</v>
      </c>
      <c r="J8906" s="2" t="s">
        <v>13904</v>
      </c>
      <c r="K8906" s="2" t="s">
        <v>18672</v>
      </c>
      <c r="L8906" s="82" t="s">
        <v>19512</v>
      </c>
    </row>
    <row r="8907" spans="1:12" ht="84" customHeight="1" x14ac:dyDescent="0.3">
      <c r="A8907" s="2">
        <v>8903</v>
      </c>
      <c r="B8907" s="66" t="s">
        <v>10458</v>
      </c>
      <c r="C8907" s="66" t="s">
        <v>9852</v>
      </c>
      <c r="D8907" s="11">
        <v>4777.74</v>
      </c>
      <c r="E8907" s="11">
        <v>4777.74</v>
      </c>
      <c r="F8907" s="3">
        <v>36986</v>
      </c>
      <c r="G8907" s="2" t="s">
        <v>14104</v>
      </c>
      <c r="H8907" s="3">
        <v>43053</v>
      </c>
      <c r="I8907" s="2" t="s">
        <v>19506</v>
      </c>
      <c r="J8907" s="2" t="s">
        <v>13904</v>
      </c>
      <c r="K8907" s="2" t="s">
        <v>18672</v>
      </c>
      <c r="L8907" s="82" t="s">
        <v>19512</v>
      </c>
    </row>
    <row r="8908" spans="1:12" ht="84" customHeight="1" x14ac:dyDescent="0.3">
      <c r="A8908" s="2">
        <v>8904</v>
      </c>
      <c r="B8908" s="66" t="s">
        <v>10458</v>
      </c>
      <c r="C8908" s="66" t="s">
        <v>3979</v>
      </c>
      <c r="D8908" s="11">
        <v>4777.74</v>
      </c>
      <c r="E8908" s="11">
        <v>4777.74</v>
      </c>
      <c r="F8908" s="3">
        <v>36986</v>
      </c>
      <c r="G8908" s="2" t="s">
        <v>14104</v>
      </c>
      <c r="H8908" s="3">
        <v>43053</v>
      </c>
      <c r="I8908" s="2" t="s">
        <v>19506</v>
      </c>
      <c r="J8908" s="2" t="s">
        <v>13904</v>
      </c>
      <c r="K8908" s="2" t="s">
        <v>18672</v>
      </c>
      <c r="L8908" s="82" t="s">
        <v>19512</v>
      </c>
    </row>
    <row r="8909" spans="1:12" ht="84" customHeight="1" x14ac:dyDescent="0.3">
      <c r="A8909" s="2">
        <v>8905</v>
      </c>
      <c r="B8909" s="66" t="s">
        <v>10458</v>
      </c>
      <c r="C8909" s="66" t="s">
        <v>10491</v>
      </c>
      <c r="D8909" s="11">
        <v>4777.74</v>
      </c>
      <c r="E8909" s="11">
        <v>4777.74</v>
      </c>
      <c r="F8909" s="3">
        <v>36986</v>
      </c>
      <c r="G8909" s="2" t="s">
        <v>14104</v>
      </c>
      <c r="H8909" s="3">
        <v>43053</v>
      </c>
      <c r="I8909" s="2" t="s">
        <v>19506</v>
      </c>
      <c r="J8909" s="2" t="s">
        <v>13904</v>
      </c>
      <c r="K8909" s="2" t="s">
        <v>18672</v>
      </c>
      <c r="L8909" s="82" t="s">
        <v>19512</v>
      </c>
    </row>
    <row r="8910" spans="1:12" ht="84" customHeight="1" x14ac:dyDescent="0.3">
      <c r="A8910" s="2">
        <v>8906</v>
      </c>
      <c r="B8910" s="66" t="s">
        <v>10458</v>
      </c>
      <c r="C8910" s="66" t="s">
        <v>3870</v>
      </c>
      <c r="D8910" s="11">
        <v>4777.74</v>
      </c>
      <c r="E8910" s="11">
        <v>4777.74</v>
      </c>
      <c r="F8910" s="3">
        <v>36986</v>
      </c>
      <c r="G8910" s="2" t="s">
        <v>14104</v>
      </c>
      <c r="H8910" s="3">
        <v>43053</v>
      </c>
      <c r="I8910" s="2" t="s">
        <v>19506</v>
      </c>
      <c r="J8910" s="2" t="s">
        <v>13904</v>
      </c>
      <c r="K8910" s="2" t="s">
        <v>18672</v>
      </c>
      <c r="L8910" s="82" t="s">
        <v>19512</v>
      </c>
    </row>
    <row r="8911" spans="1:12" ht="84" customHeight="1" x14ac:dyDescent="0.3">
      <c r="A8911" s="2">
        <v>8907</v>
      </c>
      <c r="B8911" s="66" t="s">
        <v>10458</v>
      </c>
      <c r="C8911" s="66" t="s">
        <v>10492</v>
      </c>
      <c r="D8911" s="11">
        <v>4777.74</v>
      </c>
      <c r="E8911" s="11">
        <v>4777.74</v>
      </c>
      <c r="F8911" s="3">
        <v>36986</v>
      </c>
      <c r="G8911" s="2" t="s">
        <v>14104</v>
      </c>
      <c r="H8911" s="3">
        <v>43053</v>
      </c>
      <c r="I8911" s="2" t="s">
        <v>19506</v>
      </c>
      <c r="J8911" s="2" t="s">
        <v>13904</v>
      </c>
      <c r="K8911" s="2" t="s">
        <v>18672</v>
      </c>
      <c r="L8911" s="82" t="s">
        <v>19512</v>
      </c>
    </row>
    <row r="8912" spans="1:12" ht="84" customHeight="1" x14ac:dyDescent="0.3">
      <c r="A8912" s="2">
        <v>8908</v>
      </c>
      <c r="B8912" s="66" t="s">
        <v>10458</v>
      </c>
      <c r="C8912" s="66" t="s">
        <v>3522</v>
      </c>
      <c r="D8912" s="11">
        <v>4777.74</v>
      </c>
      <c r="E8912" s="11">
        <v>4777.74</v>
      </c>
      <c r="F8912" s="3">
        <v>36986</v>
      </c>
      <c r="G8912" s="2" t="s">
        <v>14104</v>
      </c>
      <c r="H8912" s="3">
        <v>43053</v>
      </c>
      <c r="I8912" s="2" t="s">
        <v>19506</v>
      </c>
      <c r="J8912" s="2" t="s">
        <v>13904</v>
      </c>
      <c r="K8912" s="2" t="s">
        <v>18672</v>
      </c>
      <c r="L8912" s="82" t="s">
        <v>19512</v>
      </c>
    </row>
    <row r="8913" spans="1:12" ht="84" customHeight="1" x14ac:dyDescent="0.3">
      <c r="A8913" s="2">
        <v>8909</v>
      </c>
      <c r="B8913" s="66" t="s">
        <v>10493</v>
      </c>
      <c r="C8913" s="66" t="s">
        <v>3849</v>
      </c>
      <c r="D8913" s="11">
        <v>6375</v>
      </c>
      <c r="E8913" s="11">
        <v>6375</v>
      </c>
      <c r="F8913" s="3">
        <v>39079</v>
      </c>
      <c r="G8913" s="2" t="s">
        <v>14104</v>
      </c>
      <c r="H8913" s="3">
        <v>43053</v>
      </c>
      <c r="I8913" s="2" t="s">
        <v>19506</v>
      </c>
      <c r="J8913" s="2" t="s">
        <v>13904</v>
      </c>
      <c r="K8913" s="2" t="s">
        <v>18672</v>
      </c>
      <c r="L8913" s="82" t="s">
        <v>19512</v>
      </c>
    </row>
    <row r="8914" spans="1:12" ht="84" customHeight="1" x14ac:dyDescent="0.3">
      <c r="A8914" s="2">
        <v>8910</v>
      </c>
      <c r="B8914" s="66" t="s">
        <v>10493</v>
      </c>
      <c r="C8914" s="66" t="s">
        <v>10494</v>
      </c>
      <c r="D8914" s="11">
        <v>6375</v>
      </c>
      <c r="E8914" s="11">
        <v>6375</v>
      </c>
      <c r="F8914" s="3">
        <v>39079</v>
      </c>
      <c r="G8914" s="2" t="s">
        <v>14104</v>
      </c>
      <c r="H8914" s="3">
        <v>43053</v>
      </c>
      <c r="I8914" s="2" t="s">
        <v>19506</v>
      </c>
      <c r="J8914" s="2" t="s">
        <v>13904</v>
      </c>
      <c r="K8914" s="2" t="s">
        <v>18672</v>
      </c>
      <c r="L8914" s="82" t="s">
        <v>19512</v>
      </c>
    </row>
    <row r="8915" spans="1:12" ht="84" customHeight="1" x14ac:dyDescent="0.3">
      <c r="A8915" s="2">
        <v>8911</v>
      </c>
      <c r="B8915" s="66" t="s">
        <v>10458</v>
      </c>
      <c r="C8915" s="66" t="s">
        <v>3312</v>
      </c>
      <c r="D8915" s="11">
        <v>4777.74</v>
      </c>
      <c r="E8915" s="11">
        <v>4777.74</v>
      </c>
      <c r="F8915" s="3">
        <v>36986</v>
      </c>
      <c r="G8915" s="2" t="s">
        <v>14104</v>
      </c>
      <c r="H8915" s="3">
        <v>43053</v>
      </c>
      <c r="I8915" s="2" t="s">
        <v>19506</v>
      </c>
      <c r="J8915" s="2" t="s">
        <v>13904</v>
      </c>
      <c r="K8915" s="2" t="s">
        <v>18672</v>
      </c>
      <c r="L8915" s="82" t="s">
        <v>19512</v>
      </c>
    </row>
    <row r="8916" spans="1:12" ht="84" customHeight="1" x14ac:dyDescent="0.3">
      <c r="A8916" s="2">
        <v>8912</v>
      </c>
      <c r="B8916" s="66" t="s">
        <v>10458</v>
      </c>
      <c r="C8916" s="66" t="s">
        <v>5989</v>
      </c>
      <c r="D8916" s="11">
        <v>4777.74</v>
      </c>
      <c r="E8916" s="11">
        <v>4777.74</v>
      </c>
      <c r="F8916" s="3">
        <v>36986</v>
      </c>
      <c r="G8916" s="2" t="s">
        <v>14104</v>
      </c>
      <c r="H8916" s="3">
        <v>43053</v>
      </c>
      <c r="I8916" s="2" t="s">
        <v>19506</v>
      </c>
      <c r="J8916" s="2" t="s">
        <v>13904</v>
      </c>
      <c r="K8916" s="2" t="s">
        <v>18672</v>
      </c>
      <c r="L8916" s="82" t="s">
        <v>19512</v>
      </c>
    </row>
    <row r="8917" spans="1:12" ht="84" customHeight="1" x14ac:dyDescent="0.3">
      <c r="A8917" s="2">
        <v>8913</v>
      </c>
      <c r="B8917" s="66" t="s">
        <v>10452</v>
      </c>
      <c r="C8917" s="66" t="s">
        <v>6989</v>
      </c>
      <c r="D8917" s="11">
        <v>6665</v>
      </c>
      <c r="E8917" s="11">
        <v>6665</v>
      </c>
      <c r="F8917" s="3">
        <v>37111</v>
      </c>
      <c r="G8917" s="2" t="s">
        <v>14104</v>
      </c>
      <c r="H8917" s="3">
        <v>43053</v>
      </c>
      <c r="I8917" s="2" t="s">
        <v>19506</v>
      </c>
      <c r="J8917" s="2" t="s">
        <v>13904</v>
      </c>
      <c r="K8917" s="2" t="s">
        <v>18672</v>
      </c>
      <c r="L8917" s="82" t="s">
        <v>19512</v>
      </c>
    </row>
    <row r="8918" spans="1:12" ht="84" customHeight="1" x14ac:dyDescent="0.3">
      <c r="A8918" s="2">
        <v>8914</v>
      </c>
      <c r="B8918" s="66" t="s">
        <v>10452</v>
      </c>
      <c r="C8918" s="66" t="s">
        <v>10495</v>
      </c>
      <c r="D8918" s="11">
        <v>6665</v>
      </c>
      <c r="E8918" s="11">
        <v>6665</v>
      </c>
      <c r="F8918" s="3">
        <v>37111</v>
      </c>
      <c r="G8918" s="2" t="s">
        <v>14104</v>
      </c>
      <c r="H8918" s="3">
        <v>43053</v>
      </c>
      <c r="I8918" s="2" t="s">
        <v>19506</v>
      </c>
      <c r="J8918" s="2" t="s">
        <v>13904</v>
      </c>
      <c r="K8918" s="2" t="s">
        <v>18672</v>
      </c>
      <c r="L8918" s="82" t="s">
        <v>19512</v>
      </c>
    </row>
    <row r="8919" spans="1:12" ht="84" customHeight="1" x14ac:dyDescent="0.3">
      <c r="A8919" s="2">
        <v>8915</v>
      </c>
      <c r="B8919" s="66" t="s">
        <v>10452</v>
      </c>
      <c r="C8919" s="66" t="s">
        <v>10496</v>
      </c>
      <c r="D8919" s="11">
        <v>6665</v>
      </c>
      <c r="E8919" s="11">
        <v>6665</v>
      </c>
      <c r="F8919" s="3">
        <v>37111</v>
      </c>
      <c r="G8919" s="2" t="s">
        <v>14104</v>
      </c>
      <c r="H8919" s="3">
        <v>43053</v>
      </c>
      <c r="I8919" s="2" t="s">
        <v>19506</v>
      </c>
      <c r="J8919" s="2" t="s">
        <v>13904</v>
      </c>
      <c r="K8919" s="2" t="s">
        <v>18672</v>
      </c>
      <c r="L8919" s="82" t="s">
        <v>19512</v>
      </c>
    </row>
    <row r="8920" spans="1:12" ht="84" customHeight="1" x14ac:dyDescent="0.3">
      <c r="A8920" s="2">
        <v>8916</v>
      </c>
      <c r="B8920" s="66" t="s">
        <v>10452</v>
      </c>
      <c r="C8920" s="66" t="s">
        <v>10497</v>
      </c>
      <c r="D8920" s="11">
        <v>6665</v>
      </c>
      <c r="E8920" s="11">
        <v>6665</v>
      </c>
      <c r="F8920" s="3">
        <v>37111</v>
      </c>
      <c r="G8920" s="2" t="s">
        <v>14104</v>
      </c>
      <c r="H8920" s="3">
        <v>43053</v>
      </c>
      <c r="I8920" s="2" t="s">
        <v>19506</v>
      </c>
      <c r="J8920" s="2" t="s">
        <v>13904</v>
      </c>
      <c r="K8920" s="2" t="s">
        <v>18672</v>
      </c>
      <c r="L8920" s="82" t="s">
        <v>19512</v>
      </c>
    </row>
    <row r="8921" spans="1:12" ht="84" customHeight="1" x14ac:dyDescent="0.3">
      <c r="A8921" s="2">
        <v>8917</v>
      </c>
      <c r="B8921" s="66" t="s">
        <v>10452</v>
      </c>
      <c r="C8921" s="66" t="s">
        <v>10498</v>
      </c>
      <c r="D8921" s="11">
        <v>6665</v>
      </c>
      <c r="E8921" s="11">
        <v>6665</v>
      </c>
      <c r="F8921" s="3">
        <v>37111</v>
      </c>
      <c r="G8921" s="2" t="s">
        <v>14104</v>
      </c>
      <c r="H8921" s="3">
        <v>43053</v>
      </c>
      <c r="I8921" s="2" t="s">
        <v>19506</v>
      </c>
      <c r="J8921" s="2" t="s">
        <v>13904</v>
      </c>
      <c r="K8921" s="2" t="s">
        <v>18672</v>
      </c>
      <c r="L8921" s="82" t="s">
        <v>19512</v>
      </c>
    </row>
    <row r="8922" spans="1:12" ht="84" customHeight="1" x14ac:dyDescent="0.3">
      <c r="A8922" s="2">
        <v>8918</v>
      </c>
      <c r="B8922" s="66" t="s">
        <v>10458</v>
      </c>
      <c r="C8922" s="66" t="s">
        <v>3809</v>
      </c>
      <c r="D8922" s="11">
        <v>4777.74</v>
      </c>
      <c r="E8922" s="11">
        <v>4777.74</v>
      </c>
      <c r="F8922" s="3">
        <v>36986</v>
      </c>
      <c r="G8922" s="2" t="s">
        <v>14104</v>
      </c>
      <c r="H8922" s="3">
        <v>43053</v>
      </c>
      <c r="I8922" s="2" t="s">
        <v>19506</v>
      </c>
      <c r="J8922" s="2" t="s">
        <v>13904</v>
      </c>
      <c r="K8922" s="2" t="s">
        <v>18672</v>
      </c>
      <c r="L8922" s="82" t="s">
        <v>19512</v>
      </c>
    </row>
    <row r="8923" spans="1:12" ht="84" customHeight="1" x14ac:dyDescent="0.3">
      <c r="A8923" s="2">
        <v>8919</v>
      </c>
      <c r="B8923" s="66" t="s">
        <v>10458</v>
      </c>
      <c r="C8923" s="66" t="s">
        <v>3867</v>
      </c>
      <c r="D8923" s="11">
        <v>4777.74</v>
      </c>
      <c r="E8923" s="11">
        <v>4777.74</v>
      </c>
      <c r="F8923" s="3">
        <v>36986</v>
      </c>
      <c r="G8923" s="2" t="s">
        <v>14104</v>
      </c>
      <c r="H8923" s="3">
        <v>43053</v>
      </c>
      <c r="I8923" s="2" t="s">
        <v>19506</v>
      </c>
      <c r="J8923" s="2" t="s">
        <v>13904</v>
      </c>
      <c r="K8923" s="2" t="s">
        <v>18672</v>
      </c>
      <c r="L8923" s="82" t="s">
        <v>19512</v>
      </c>
    </row>
    <row r="8924" spans="1:12" ht="84" customHeight="1" x14ac:dyDescent="0.3">
      <c r="A8924" s="2">
        <v>8920</v>
      </c>
      <c r="B8924" s="66" t="s">
        <v>10458</v>
      </c>
      <c r="C8924" s="66" t="s">
        <v>3869</v>
      </c>
      <c r="D8924" s="11">
        <v>4777.74</v>
      </c>
      <c r="E8924" s="11">
        <v>4777.74</v>
      </c>
      <c r="F8924" s="3">
        <v>36986</v>
      </c>
      <c r="G8924" s="2" t="s">
        <v>14104</v>
      </c>
      <c r="H8924" s="3">
        <v>43053</v>
      </c>
      <c r="I8924" s="2" t="s">
        <v>19506</v>
      </c>
      <c r="J8924" s="2" t="s">
        <v>13904</v>
      </c>
      <c r="K8924" s="2" t="s">
        <v>18672</v>
      </c>
      <c r="L8924" s="82" t="s">
        <v>19512</v>
      </c>
    </row>
    <row r="8925" spans="1:12" ht="84" customHeight="1" x14ac:dyDescent="0.3">
      <c r="A8925" s="2">
        <v>8921</v>
      </c>
      <c r="B8925" s="66" t="s">
        <v>10458</v>
      </c>
      <c r="C8925" s="66" t="s">
        <v>3497</v>
      </c>
      <c r="D8925" s="11">
        <v>4777.74</v>
      </c>
      <c r="E8925" s="11">
        <v>4777.74</v>
      </c>
      <c r="F8925" s="3">
        <v>36986</v>
      </c>
      <c r="G8925" s="2" t="s">
        <v>14104</v>
      </c>
      <c r="H8925" s="3">
        <v>43053</v>
      </c>
      <c r="I8925" s="2" t="s">
        <v>19506</v>
      </c>
      <c r="J8925" s="2" t="s">
        <v>13904</v>
      </c>
      <c r="K8925" s="2" t="s">
        <v>18672</v>
      </c>
      <c r="L8925" s="82" t="s">
        <v>19512</v>
      </c>
    </row>
    <row r="8926" spans="1:12" ht="84" customHeight="1" x14ac:dyDescent="0.3">
      <c r="A8926" s="2">
        <v>8922</v>
      </c>
      <c r="B8926" s="66" t="s">
        <v>10458</v>
      </c>
      <c r="C8926" s="66" t="s">
        <v>3138</v>
      </c>
      <c r="D8926" s="11">
        <v>4777.74</v>
      </c>
      <c r="E8926" s="11">
        <v>4777.74</v>
      </c>
      <c r="F8926" s="3">
        <v>36986</v>
      </c>
      <c r="G8926" s="2" t="s">
        <v>14104</v>
      </c>
      <c r="H8926" s="3">
        <v>43053</v>
      </c>
      <c r="I8926" s="2" t="s">
        <v>19506</v>
      </c>
      <c r="J8926" s="2" t="s">
        <v>13904</v>
      </c>
      <c r="K8926" s="2" t="s">
        <v>18672</v>
      </c>
      <c r="L8926" s="82" t="s">
        <v>19512</v>
      </c>
    </row>
    <row r="8927" spans="1:12" ht="84" customHeight="1" x14ac:dyDescent="0.3">
      <c r="A8927" s="2">
        <v>8923</v>
      </c>
      <c r="B8927" s="66" t="s">
        <v>10458</v>
      </c>
      <c r="C8927" s="66" t="s">
        <v>10499</v>
      </c>
      <c r="D8927" s="11">
        <v>3828.8</v>
      </c>
      <c r="E8927" s="11">
        <v>3828.8</v>
      </c>
      <c r="F8927" s="3">
        <v>40520</v>
      </c>
      <c r="G8927" s="2" t="s">
        <v>14104</v>
      </c>
      <c r="H8927" s="3">
        <v>43053</v>
      </c>
      <c r="I8927" s="2" t="s">
        <v>19506</v>
      </c>
      <c r="J8927" s="2" t="s">
        <v>13904</v>
      </c>
      <c r="K8927" s="2" t="s">
        <v>18672</v>
      </c>
      <c r="L8927" s="82" t="s">
        <v>19512</v>
      </c>
    </row>
    <row r="8928" spans="1:12" ht="84" customHeight="1" x14ac:dyDescent="0.3">
      <c r="A8928" s="2">
        <v>8924</v>
      </c>
      <c r="B8928" s="66" t="s">
        <v>10458</v>
      </c>
      <c r="C8928" s="66" t="s">
        <v>10500</v>
      </c>
      <c r="D8928" s="11">
        <v>3828.8</v>
      </c>
      <c r="E8928" s="11">
        <v>3828.8</v>
      </c>
      <c r="F8928" s="3">
        <v>40520</v>
      </c>
      <c r="G8928" s="2" t="s">
        <v>14104</v>
      </c>
      <c r="H8928" s="3">
        <v>43053</v>
      </c>
      <c r="I8928" s="2" t="s">
        <v>19506</v>
      </c>
      <c r="J8928" s="2" t="s">
        <v>13904</v>
      </c>
      <c r="K8928" s="2" t="s">
        <v>18672</v>
      </c>
      <c r="L8928" s="82" t="s">
        <v>19512</v>
      </c>
    </row>
    <row r="8929" spans="1:12" ht="84" customHeight="1" x14ac:dyDescent="0.3">
      <c r="A8929" s="2">
        <v>8925</v>
      </c>
      <c r="B8929" s="66" t="s">
        <v>10458</v>
      </c>
      <c r="C8929" s="66" t="s">
        <v>10501</v>
      </c>
      <c r="D8929" s="11">
        <v>3828.8</v>
      </c>
      <c r="E8929" s="11">
        <v>3828.8</v>
      </c>
      <c r="F8929" s="3">
        <v>40520</v>
      </c>
      <c r="G8929" s="2" t="s">
        <v>14104</v>
      </c>
      <c r="H8929" s="3">
        <v>43053</v>
      </c>
      <c r="I8929" s="2" t="s">
        <v>19506</v>
      </c>
      <c r="J8929" s="2" t="s">
        <v>13904</v>
      </c>
      <c r="K8929" s="2" t="s">
        <v>18672</v>
      </c>
      <c r="L8929" s="82" t="s">
        <v>19512</v>
      </c>
    </row>
    <row r="8930" spans="1:12" ht="84" customHeight="1" x14ac:dyDescent="0.3">
      <c r="A8930" s="2">
        <v>8926</v>
      </c>
      <c r="B8930" s="66" t="s">
        <v>10458</v>
      </c>
      <c r="C8930" s="66" t="s">
        <v>10502</v>
      </c>
      <c r="D8930" s="11">
        <v>3828.8</v>
      </c>
      <c r="E8930" s="11">
        <v>3828.8</v>
      </c>
      <c r="F8930" s="3">
        <v>40520</v>
      </c>
      <c r="G8930" s="2" t="s">
        <v>14104</v>
      </c>
      <c r="H8930" s="3">
        <v>43053</v>
      </c>
      <c r="I8930" s="2" t="s">
        <v>19506</v>
      </c>
      <c r="J8930" s="2" t="s">
        <v>13904</v>
      </c>
      <c r="K8930" s="2" t="s">
        <v>18672</v>
      </c>
      <c r="L8930" s="82" t="s">
        <v>19512</v>
      </c>
    </row>
    <row r="8931" spans="1:12" ht="84" customHeight="1" x14ac:dyDescent="0.3">
      <c r="A8931" s="2">
        <v>8927</v>
      </c>
      <c r="B8931" s="66" t="s">
        <v>10458</v>
      </c>
      <c r="C8931" s="66" t="s">
        <v>10503</v>
      </c>
      <c r="D8931" s="11">
        <v>3828.8</v>
      </c>
      <c r="E8931" s="11">
        <v>3828.8</v>
      </c>
      <c r="F8931" s="3">
        <v>40520</v>
      </c>
      <c r="G8931" s="2" t="s">
        <v>14104</v>
      </c>
      <c r="H8931" s="3">
        <v>43053</v>
      </c>
      <c r="I8931" s="2" t="s">
        <v>19506</v>
      </c>
      <c r="J8931" s="2" t="s">
        <v>13904</v>
      </c>
      <c r="K8931" s="2" t="s">
        <v>18672</v>
      </c>
      <c r="L8931" s="82" t="s">
        <v>19512</v>
      </c>
    </row>
    <row r="8932" spans="1:12" ht="84" customHeight="1" x14ac:dyDescent="0.3">
      <c r="A8932" s="2">
        <v>8928</v>
      </c>
      <c r="B8932" s="66" t="s">
        <v>10458</v>
      </c>
      <c r="C8932" s="66" t="s">
        <v>10504</v>
      </c>
      <c r="D8932" s="11">
        <v>3828.8</v>
      </c>
      <c r="E8932" s="11">
        <v>3828.8</v>
      </c>
      <c r="F8932" s="3">
        <v>40520</v>
      </c>
      <c r="G8932" s="2" t="s">
        <v>14104</v>
      </c>
      <c r="H8932" s="3">
        <v>43053</v>
      </c>
      <c r="I8932" s="2" t="s">
        <v>19506</v>
      </c>
      <c r="J8932" s="2" t="s">
        <v>13904</v>
      </c>
      <c r="K8932" s="2" t="s">
        <v>18672</v>
      </c>
      <c r="L8932" s="82" t="s">
        <v>19512</v>
      </c>
    </row>
    <row r="8933" spans="1:12" ht="84" customHeight="1" x14ac:dyDescent="0.3">
      <c r="A8933" s="2">
        <v>8929</v>
      </c>
      <c r="B8933" s="66" t="s">
        <v>10458</v>
      </c>
      <c r="C8933" s="66" t="s">
        <v>10505</v>
      </c>
      <c r="D8933" s="11">
        <v>3828.8</v>
      </c>
      <c r="E8933" s="11">
        <v>3828.8</v>
      </c>
      <c r="F8933" s="3">
        <v>40520</v>
      </c>
      <c r="G8933" s="2" t="s">
        <v>14104</v>
      </c>
      <c r="H8933" s="3">
        <v>43053</v>
      </c>
      <c r="I8933" s="2" t="s">
        <v>19506</v>
      </c>
      <c r="J8933" s="2" t="s">
        <v>13904</v>
      </c>
      <c r="K8933" s="2" t="s">
        <v>18672</v>
      </c>
      <c r="L8933" s="82" t="s">
        <v>19512</v>
      </c>
    </row>
    <row r="8934" spans="1:12" ht="84" customHeight="1" x14ac:dyDescent="0.3">
      <c r="A8934" s="2">
        <v>8930</v>
      </c>
      <c r="B8934" s="66" t="s">
        <v>10458</v>
      </c>
      <c r="C8934" s="66" t="s">
        <v>10506</v>
      </c>
      <c r="D8934" s="11">
        <v>3828.8</v>
      </c>
      <c r="E8934" s="11">
        <v>3828.8</v>
      </c>
      <c r="F8934" s="3">
        <v>40520</v>
      </c>
      <c r="G8934" s="2" t="s">
        <v>14104</v>
      </c>
      <c r="H8934" s="3">
        <v>43053</v>
      </c>
      <c r="I8934" s="2" t="s">
        <v>19506</v>
      </c>
      <c r="J8934" s="2" t="s">
        <v>13904</v>
      </c>
      <c r="K8934" s="2" t="s">
        <v>18672</v>
      </c>
      <c r="L8934" s="82" t="s">
        <v>19512</v>
      </c>
    </row>
    <row r="8935" spans="1:12" ht="84" customHeight="1" x14ac:dyDescent="0.3">
      <c r="A8935" s="2">
        <v>8931</v>
      </c>
      <c r="B8935" s="66" t="s">
        <v>10458</v>
      </c>
      <c r="C8935" s="66" t="s">
        <v>10507</v>
      </c>
      <c r="D8935" s="11">
        <v>3828.8</v>
      </c>
      <c r="E8935" s="11">
        <v>3828.8</v>
      </c>
      <c r="F8935" s="3">
        <v>40520</v>
      </c>
      <c r="G8935" s="2" t="s">
        <v>14104</v>
      </c>
      <c r="H8935" s="3">
        <v>43053</v>
      </c>
      <c r="I8935" s="2" t="s">
        <v>19506</v>
      </c>
      <c r="J8935" s="2" t="s">
        <v>13904</v>
      </c>
      <c r="K8935" s="2" t="s">
        <v>18672</v>
      </c>
      <c r="L8935" s="82" t="s">
        <v>19512</v>
      </c>
    </row>
    <row r="8936" spans="1:12" ht="84" customHeight="1" x14ac:dyDescent="0.3">
      <c r="A8936" s="2">
        <v>8932</v>
      </c>
      <c r="B8936" s="66" t="s">
        <v>10458</v>
      </c>
      <c r="C8936" s="66" t="s">
        <v>10508</v>
      </c>
      <c r="D8936" s="11">
        <v>3828.8</v>
      </c>
      <c r="E8936" s="11">
        <v>3828.8</v>
      </c>
      <c r="F8936" s="3">
        <v>40520</v>
      </c>
      <c r="G8936" s="2" t="s">
        <v>14104</v>
      </c>
      <c r="H8936" s="3">
        <v>43053</v>
      </c>
      <c r="I8936" s="2" t="s">
        <v>19506</v>
      </c>
      <c r="J8936" s="2" t="s">
        <v>13904</v>
      </c>
      <c r="K8936" s="2" t="s">
        <v>18672</v>
      </c>
      <c r="L8936" s="82" t="s">
        <v>19512</v>
      </c>
    </row>
    <row r="8937" spans="1:12" ht="84" customHeight="1" x14ac:dyDescent="0.3">
      <c r="A8937" s="2">
        <v>8933</v>
      </c>
      <c r="B8937" s="66" t="s">
        <v>10458</v>
      </c>
      <c r="C8937" s="66" t="s">
        <v>10509</v>
      </c>
      <c r="D8937" s="11">
        <v>3828.8</v>
      </c>
      <c r="E8937" s="11">
        <v>3828.8</v>
      </c>
      <c r="F8937" s="3">
        <v>40520</v>
      </c>
      <c r="G8937" s="2" t="s">
        <v>14104</v>
      </c>
      <c r="H8937" s="3">
        <v>43053</v>
      </c>
      <c r="I8937" s="2" t="s">
        <v>19506</v>
      </c>
      <c r="J8937" s="2" t="s">
        <v>13904</v>
      </c>
      <c r="K8937" s="2" t="s">
        <v>18672</v>
      </c>
      <c r="L8937" s="82" t="s">
        <v>19512</v>
      </c>
    </row>
    <row r="8938" spans="1:12" ht="84" customHeight="1" x14ac:dyDescent="0.3">
      <c r="A8938" s="2">
        <v>8934</v>
      </c>
      <c r="B8938" s="66" t="s">
        <v>10458</v>
      </c>
      <c r="C8938" s="66" t="s">
        <v>10510</v>
      </c>
      <c r="D8938" s="11">
        <v>3828.8</v>
      </c>
      <c r="E8938" s="11">
        <v>3828.8</v>
      </c>
      <c r="F8938" s="3">
        <v>40520</v>
      </c>
      <c r="G8938" s="2" t="s">
        <v>14104</v>
      </c>
      <c r="H8938" s="3">
        <v>43053</v>
      </c>
      <c r="I8938" s="2" t="s">
        <v>19506</v>
      </c>
      <c r="J8938" s="2" t="s">
        <v>13904</v>
      </c>
      <c r="K8938" s="2" t="s">
        <v>18672</v>
      </c>
      <c r="L8938" s="82" t="s">
        <v>19512</v>
      </c>
    </row>
    <row r="8939" spans="1:12" ht="84" customHeight="1" x14ac:dyDescent="0.3">
      <c r="A8939" s="2">
        <v>8935</v>
      </c>
      <c r="B8939" s="66" t="s">
        <v>10458</v>
      </c>
      <c r="C8939" s="66" t="s">
        <v>10511</v>
      </c>
      <c r="D8939" s="11">
        <v>3828.8</v>
      </c>
      <c r="E8939" s="11">
        <v>3828.8</v>
      </c>
      <c r="F8939" s="3">
        <v>40520</v>
      </c>
      <c r="G8939" s="2" t="s">
        <v>14104</v>
      </c>
      <c r="H8939" s="3">
        <v>43053</v>
      </c>
      <c r="I8939" s="2" t="s">
        <v>19506</v>
      </c>
      <c r="J8939" s="2" t="s">
        <v>13904</v>
      </c>
      <c r="K8939" s="2" t="s">
        <v>18672</v>
      </c>
      <c r="L8939" s="82" t="s">
        <v>19512</v>
      </c>
    </row>
    <row r="8940" spans="1:12" ht="84" customHeight="1" x14ac:dyDescent="0.3">
      <c r="A8940" s="2">
        <v>8936</v>
      </c>
      <c r="B8940" s="66" t="s">
        <v>10458</v>
      </c>
      <c r="C8940" s="66" t="s">
        <v>10512</v>
      </c>
      <c r="D8940" s="11">
        <v>3828.8</v>
      </c>
      <c r="E8940" s="11">
        <v>3828.8</v>
      </c>
      <c r="F8940" s="3">
        <v>40520</v>
      </c>
      <c r="G8940" s="2" t="s">
        <v>14104</v>
      </c>
      <c r="H8940" s="3">
        <v>43053</v>
      </c>
      <c r="I8940" s="2" t="s">
        <v>19506</v>
      </c>
      <c r="J8940" s="2" t="s">
        <v>13904</v>
      </c>
      <c r="K8940" s="2" t="s">
        <v>18672</v>
      </c>
      <c r="L8940" s="82" t="s">
        <v>19512</v>
      </c>
    </row>
    <row r="8941" spans="1:12" ht="84" customHeight="1" x14ac:dyDescent="0.3">
      <c r="A8941" s="2">
        <v>8937</v>
      </c>
      <c r="B8941" s="66" t="s">
        <v>10458</v>
      </c>
      <c r="C8941" s="66" t="s">
        <v>10513</v>
      </c>
      <c r="D8941" s="11">
        <v>3828.8</v>
      </c>
      <c r="E8941" s="11">
        <v>3828.8</v>
      </c>
      <c r="F8941" s="3">
        <v>40520</v>
      </c>
      <c r="G8941" s="2" t="s">
        <v>14104</v>
      </c>
      <c r="H8941" s="3">
        <v>43053</v>
      </c>
      <c r="I8941" s="2" t="s">
        <v>19506</v>
      </c>
      <c r="J8941" s="2" t="s">
        <v>13904</v>
      </c>
      <c r="K8941" s="2" t="s">
        <v>18672</v>
      </c>
      <c r="L8941" s="82" t="s">
        <v>19512</v>
      </c>
    </row>
    <row r="8942" spans="1:12" ht="84" customHeight="1" x14ac:dyDescent="0.3">
      <c r="A8942" s="2">
        <v>8938</v>
      </c>
      <c r="B8942" s="66" t="s">
        <v>10458</v>
      </c>
      <c r="C8942" s="66" t="s">
        <v>10514</v>
      </c>
      <c r="D8942" s="11">
        <v>3828.8</v>
      </c>
      <c r="E8942" s="11">
        <v>3828.8</v>
      </c>
      <c r="F8942" s="3">
        <v>40520</v>
      </c>
      <c r="G8942" s="2" t="s">
        <v>14104</v>
      </c>
      <c r="H8942" s="3">
        <v>43053</v>
      </c>
      <c r="I8942" s="2" t="s">
        <v>19506</v>
      </c>
      <c r="J8942" s="2" t="s">
        <v>13904</v>
      </c>
      <c r="K8942" s="2" t="s">
        <v>18672</v>
      </c>
      <c r="L8942" s="82" t="s">
        <v>19512</v>
      </c>
    </row>
    <row r="8943" spans="1:12" ht="84" customHeight="1" x14ac:dyDescent="0.3">
      <c r="A8943" s="2">
        <v>8939</v>
      </c>
      <c r="B8943" s="66" t="s">
        <v>10458</v>
      </c>
      <c r="C8943" s="66" t="s">
        <v>10515</v>
      </c>
      <c r="D8943" s="11">
        <v>3828.8</v>
      </c>
      <c r="E8943" s="11">
        <v>3828.8</v>
      </c>
      <c r="F8943" s="3">
        <v>40520</v>
      </c>
      <c r="G8943" s="2" t="s">
        <v>14104</v>
      </c>
      <c r="H8943" s="3">
        <v>43053</v>
      </c>
      <c r="I8943" s="2" t="s">
        <v>19506</v>
      </c>
      <c r="J8943" s="2" t="s">
        <v>13904</v>
      </c>
      <c r="K8943" s="2" t="s">
        <v>18672</v>
      </c>
      <c r="L8943" s="82" t="s">
        <v>19512</v>
      </c>
    </row>
    <row r="8944" spans="1:12" ht="84" customHeight="1" x14ac:dyDescent="0.3">
      <c r="A8944" s="2">
        <v>8940</v>
      </c>
      <c r="B8944" s="66" t="s">
        <v>10458</v>
      </c>
      <c r="C8944" s="66" t="s">
        <v>10516</v>
      </c>
      <c r="D8944" s="11">
        <v>3828.8</v>
      </c>
      <c r="E8944" s="11">
        <v>3828.8</v>
      </c>
      <c r="F8944" s="3">
        <v>40520</v>
      </c>
      <c r="G8944" s="2" t="s">
        <v>14104</v>
      </c>
      <c r="H8944" s="3">
        <v>43053</v>
      </c>
      <c r="I8944" s="2" t="s">
        <v>19506</v>
      </c>
      <c r="J8944" s="2" t="s">
        <v>13904</v>
      </c>
      <c r="K8944" s="2" t="s">
        <v>18672</v>
      </c>
      <c r="L8944" s="82" t="s">
        <v>19512</v>
      </c>
    </row>
    <row r="8945" spans="1:12" ht="84" customHeight="1" x14ac:dyDescent="0.3">
      <c r="A8945" s="2">
        <v>8941</v>
      </c>
      <c r="B8945" s="66" t="s">
        <v>10458</v>
      </c>
      <c r="C8945" s="66" t="s">
        <v>10517</v>
      </c>
      <c r="D8945" s="11">
        <v>3828.8</v>
      </c>
      <c r="E8945" s="11">
        <v>3828.8</v>
      </c>
      <c r="F8945" s="3">
        <v>40520</v>
      </c>
      <c r="G8945" s="2" t="s">
        <v>14104</v>
      </c>
      <c r="H8945" s="3">
        <v>43053</v>
      </c>
      <c r="I8945" s="2" t="s">
        <v>19506</v>
      </c>
      <c r="J8945" s="2" t="s">
        <v>13904</v>
      </c>
      <c r="K8945" s="2" t="s">
        <v>18672</v>
      </c>
      <c r="L8945" s="82" t="s">
        <v>19512</v>
      </c>
    </row>
    <row r="8946" spans="1:12" ht="84" customHeight="1" x14ac:dyDescent="0.3">
      <c r="A8946" s="2">
        <v>8942</v>
      </c>
      <c r="B8946" s="66" t="s">
        <v>10458</v>
      </c>
      <c r="C8946" s="66" t="s">
        <v>10518</v>
      </c>
      <c r="D8946" s="11">
        <v>3828.8</v>
      </c>
      <c r="E8946" s="11">
        <v>3828.8</v>
      </c>
      <c r="F8946" s="3">
        <v>40520</v>
      </c>
      <c r="G8946" s="2" t="s">
        <v>14104</v>
      </c>
      <c r="H8946" s="3">
        <v>43053</v>
      </c>
      <c r="I8946" s="2" t="s">
        <v>19506</v>
      </c>
      <c r="J8946" s="2" t="s">
        <v>13904</v>
      </c>
      <c r="K8946" s="2" t="s">
        <v>18672</v>
      </c>
      <c r="L8946" s="82" t="s">
        <v>19512</v>
      </c>
    </row>
    <row r="8947" spans="1:12" ht="84" customHeight="1" x14ac:dyDescent="0.3">
      <c r="A8947" s="2">
        <v>8943</v>
      </c>
      <c r="B8947" s="66" t="s">
        <v>10458</v>
      </c>
      <c r="C8947" s="66" t="s">
        <v>10519</v>
      </c>
      <c r="D8947" s="11">
        <v>3828.8</v>
      </c>
      <c r="E8947" s="11">
        <v>3828.8</v>
      </c>
      <c r="F8947" s="3">
        <v>40520</v>
      </c>
      <c r="G8947" s="2" t="s">
        <v>14104</v>
      </c>
      <c r="H8947" s="3">
        <v>43053</v>
      </c>
      <c r="I8947" s="2" t="s">
        <v>19506</v>
      </c>
      <c r="J8947" s="2" t="s">
        <v>13904</v>
      </c>
      <c r="K8947" s="2" t="s">
        <v>18672</v>
      </c>
      <c r="L8947" s="82" t="s">
        <v>19512</v>
      </c>
    </row>
    <row r="8948" spans="1:12" ht="84" customHeight="1" x14ac:dyDescent="0.3">
      <c r="A8948" s="2">
        <v>8944</v>
      </c>
      <c r="B8948" s="66" t="s">
        <v>10458</v>
      </c>
      <c r="C8948" s="66" t="s">
        <v>10520</v>
      </c>
      <c r="D8948" s="11">
        <v>3828.8</v>
      </c>
      <c r="E8948" s="11">
        <v>3828.8</v>
      </c>
      <c r="F8948" s="3">
        <v>40520</v>
      </c>
      <c r="G8948" s="2" t="s">
        <v>14104</v>
      </c>
      <c r="H8948" s="3">
        <v>43053</v>
      </c>
      <c r="I8948" s="2" t="s">
        <v>19506</v>
      </c>
      <c r="J8948" s="2" t="s">
        <v>13904</v>
      </c>
      <c r="K8948" s="2" t="s">
        <v>18672</v>
      </c>
      <c r="L8948" s="82" t="s">
        <v>19512</v>
      </c>
    </row>
    <row r="8949" spans="1:12" ht="84" customHeight="1" x14ac:dyDescent="0.3">
      <c r="A8949" s="2">
        <v>8945</v>
      </c>
      <c r="B8949" s="66" t="s">
        <v>10458</v>
      </c>
      <c r="C8949" s="66" t="s">
        <v>10521</v>
      </c>
      <c r="D8949" s="11">
        <v>3828.8</v>
      </c>
      <c r="E8949" s="11">
        <v>3828.8</v>
      </c>
      <c r="F8949" s="3">
        <v>40520</v>
      </c>
      <c r="G8949" s="2" t="s">
        <v>14104</v>
      </c>
      <c r="H8949" s="3">
        <v>43053</v>
      </c>
      <c r="I8949" s="2" t="s">
        <v>19506</v>
      </c>
      <c r="J8949" s="2" t="s">
        <v>13904</v>
      </c>
      <c r="K8949" s="2" t="s">
        <v>18672</v>
      </c>
      <c r="L8949" s="82" t="s">
        <v>19512</v>
      </c>
    </row>
    <row r="8950" spans="1:12" ht="84" customHeight="1" x14ac:dyDescent="0.3">
      <c r="A8950" s="2">
        <v>8946</v>
      </c>
      <c r="B8950" s="66" t="s">
        <v>10458</v>
      </c>
      <c r="C8950" s="66" t="s">
        <v>10522</v>
      </c>
      <c r="D8950" s="11">
        <v>3828.8</v>
      </c>
      <c r="E8950" s="11">
        <v>3828.8</v>
      </c>
      <c r="F8950" s="3">
        <v>40520</v>
      </c>
      <c r="G8950" s="2" t="s">
        <v>14104</v>
      </c>
      <c r="H8950" s="3">
        <v>43053</v>
      </c>
      <c r="I8950" s="2" t="s">
        <v>19506</v>
      </c>
      <c r="J8950" s="2" t="s">
        <v>13904</v>
      </c>
      <c r="K8950" s="2" t="s">
        <v>18672</v>
      </c>
      <c r="L8950" s="82" t="s">
        <v>19512</v>
      </c>
    </row>
    <row r="8951" spans="1:12" ht="84" customHeight="1" x14ac:dyDescent="0.3">
      <c r="A8951" s="2">
        <v>8947</v>
      </c>
      <c r="B8951" s="66" t="s">
        <v>10458</v>
      </c>
      <c r="C8951" s="66" t="s">
        <v>10523</v>
      </c>
      <c r="D8951" s="11">
        <v>3828.8</v>
      </c>
      <c r="E8951" s="11">
        <v>3828.8</v>
      </c>
      <c r="F8951" s="3">
        <v>40520</v>
      </c>
      <c r="G8951" s="2" t="s">
        <v>14104</v>
      </c>
      <c r="H8951" s="3">
        <v>43053</v>
      </c>
      <c r="I8951" s="2" t="s">
        <v>19506</v>
      </c>
      <c r="J8951" s="2" t="s">
        <v>13904</v>
      </c>
      <c r="K8951" s="2" t="s">
        <v>18672</v>
      </c>
      <c r="L8951" s="82" t="s">
        <v>19512</v>
      </c>
    </row>
    <row r="8952" spans="1:12" ht="84" customHeight="1" x14ac:dyDescent="0.3">
      <c r="A8952" s="2">
        <v>8948</v>
      </c>
      <c r="B8952" s="66" t="s">
        <v>10458</v>
      </c>
      <c r="C8952" s="66" t="s">
        <v>10524</v>
      </c>
      <c r="D8952" s="11">
        <v>3828.8</v>
      </c>
      <c r="E8952" s="11">
        <v>3828.8</v>
      </c>
      <c r="F8952" s="3">
        <v>40520</v>
      </c>
      <c r="G8952" s="2" t="s">
        <v>14104</v>
      </c>
      <c r="H8952" s="3">
        <v>43053</v>
      </c>
      <c r="I8952" s="2" t="s">
        <v>19506</v>
      </c>
      <c r="J8952" s="2" t="s">
        <v>13904</v>
      </c>
      <c r="K8952" s="2" t="s">
        <v>18672</v>
      </c>
      <c r="L8952" s="82" t="s">
        <v>19512</v>
      </c>
    </row>
    <row r="8953" spans="1:12" ht="84" customHeight="1" x14ac:dyDescent="0.3">
      <c r="A8953" s="2">
        <v>8949</v>
      </c>
      <c r="B8953" s="66" t="s">
        <v>10458</v>
      </c>
      <c r="C8953" s="66" t="s">
        <v>10525</v>
      </c>
      <c r="D8953" s="11">
        <v>3828.8</v>
      </c>
      <c r="E8953" s="11">
        <v>3828.8</v>
      </c>
      <c r="F8953" s="3">
        <v>40520</v>
      </c>
      <c r="G8953" s="2" t="s">
        <v>14104</v>
      </c>
      <c r="H8953" s="3">
        <v>43053</v>
      </c>
      <c r="I8953" s="2" t="s">
        <v>19506</v>
      </c>
      <c r="J8953" s="2" t="s">
        <v>13904</v>
      </c>
      <c r="K8953" s="2" t="s">
        <v>18672</v>
      </c>
      <c r="L8953" s="82" t="s">
        <v>19512</v>
      </c>
    </row>
    <row r="8954" spans="1:12" ht="84" customHeight="1" x14ac:dyDescent="0.3">
      <c r="A8954" s="2">
        <v>8950</v>
      </c>
      <c r="B8954" s="66" t="s">
        <v>10458</v>
      </c>
      <c r="C8954" s="66" t="s">
        <v>10526</v>
      </c>
      <c r="D8954" s="11">
        <v>3828.8</v>
      </c>
      <c r="E8954" s="11">
        <v>3828.8</v>
      </c>
      <c r="F8954" s="3">
        <v>40520</v>
      </c>
      <c r="G8954" s="2" t="s">
        <v>14104</v>
      </c>
      <c r="H8954" s="3">
        <v>43053</v>
      </c>
      <c r="I8954" s="2" t="s">
        <v>19506</v>
      </c>
      <c r="J8954" s="2" t="s">
        <v>13904</v>
      </c>
      <c r="K8954" s="2" t="s">
        <v>18672</v>
      </c>
      <c r="L8954" s="82" t="s">
        <v>19512</v>
      </c>
    </row>
    <row r="8955" spans="1:12" ht="84" customHeight="1" x14ac:dyDescent="0.3">
      <c r="A8955" s="2">
        <v>8951</v>
      </c>
      <c r="B8955" s="66" t="s">
        <v>10458</v>
      </c>
      <c r="C8955" s="66" t="s">
        <v>10527</v>
      </c>
      <c r="D8955" s="11">
        <v>3828.8</v>
      </c>
      <c r="E8955" s="11">
        <v>3828.8</v>
      </c>
      <c r="F8955" s="3">
        <v>40520</v>
      </c>
      <c r="G8955" s="2" t="s">
        <v>14104</v>
      </c>
      <c r="H8955" s="3">
        <v>43053</v>
      </c>
      <c r="I8955" s="2" t="s">
        <v>19506</v>
      </c>
      <c r="J8955" s="2" t="s">
        <v>13904</v>
      </c>
      <c r="K8955" s="2" t="s">
        <v>18672</v>
      </c>
      <c r="L8955" s="82" t="s">
        <v>19512</v>
      </c>
    </row>
    <row r="8956" spans="1:12" ht="84" customHeight="1" x14ac:dyDescent="0.3">
      <c r="A8956" s="2">
        <v>8952</v>
      </c>
      <c r="B8956" s="66" t="s">
        <v>10458</v>
      </c>
      <c r="C8956" s="66" t="s">
        <v>10528</v>
      </c>
      <c r="D8956" s="11">
        <v>3828.8</v>
      </c>
      <c r="E8956" s="11">
        <v>3828.8</v>
      </c>
      <c r="F8956" s="3">
        <v>40520</v>
      </c>
      <c r="G8956" s="2" t="s">
        <v>14104</v>
      </c>
      <c r="H8956" s="3">
        <v>43053</v>
      </c>
      <c r="I8956" s="2" t="s">
        <v>19506</v>
      </c>
      <c r="J8956" s="2" t="s">
        <v>13904</v>
      </c>
      <c r="K8956" s="2" t="s">
        <v>18672</v>
      </c>
      <c r="L8956" s="82" t="s">
        <v>19512</v>
      </c>
    </row>
    <row r="8957" spans="1:12" ht="84" customHeight="1" x14ac:dyDescent="0.3">
      <c r="A8957" s="2">
        <v>8953</v>
      </c>
      <c r="B8957" s="66" t="s">
        <v>10458</v>
      </c>
      <c r="C8957" s="66" t="s">
        <v>10529</v>
      </c>
      <c r="D8957" s="11">
        <v>3828.8</v>
      </c>
      <c r="E8957" s="11">
        <v>3828.8</v>
      </c>
      <c r="F8957" s="3">
        <v>40520</v>
      </c>
      <c r="G8957" s="2" t="s">
        <v>14104</v>
      </c>
      <c r="H8957" s="3">
        <v>43053</v>
      </c>
      <c r="I8957" s="2" t="s">
        <v>19506</v>
      </c>
      <c r="J8957" s="2" t="s">
        <v>13904</v>
      </c>
      <c r="K8957" s="2" t="s">
        <v>18672</v>
      </c>
      <c r="L8957" s="82" t="s">
        <v>19512</v>
      </c>
    </row>
    <row r="8958" spans="1:12" ht="84" customHeight="1" x14ac:dyDescent="0.3">
      <c r="A8958" s="2">
        <v>8954</v>
      </c>
      <c r="B8958" s="66" t="s">
        <v>10458</v>
      </c>
      <c r="C8958" s="66" t="s">
        <v>10530</v>
      </c>
      <c r="D8958" s="11">
        <v>3828.8</v>
      </c>
      <c r="E8958" s="11">
        <v>3828.8</v>
      </c>
      <c r="F8958" s="3">
        <v>40520</v>
      </c>
      <c r="G8958" s="2" t="s">
        <v>14104</v>
      </c>
      <c r="H8958" s="3">
        <v>43053</v>
      </c>
      <c r="I8958" s="2" t="s">
        <v>19506</v>
      </c>
      <c r="J8958" s="2" t="s">
        <v>13904</v>
      </c>
      <c r="K8958" s="2" t="s">
        <v>18672</v>
      </c>
      <c r="L8958" s="82" t="s">
        <v>19512</v>
      </c>
    </row>
    <row r="8959" spans="1:12" ht="84" customHeight="1" x14ac:dyDescent="0.3">
      <c r="A8959" s="2">
        <v>8955</v>
      </c>
      <c r="B8959" s="66" t="s">
        <v>10458</v>
      </c>
      <c r="C8959" s="66" t="s">
        <v>10531</v>
      </c>
      <c r="D8959" s="11">
        <v>3828.8</v>
      </c>
      <c r="E8959" s="11">
        <v>3828.8</v>
      </c>
      <c r="F8959" s="3">
        <v>40520</v>
      </c>
      <c r="G8959" s="2" t="s">
        <v>14104</v>
      </c>
      <c r="H8959" s="3">
        <v>43053</v>
      </c>
      <c r="I8959" s="2" t="s">
        <v>19506</v>
      </c>
      <c r="J8959" s="2" t="s">
        <v>13904</v>
      </c>
      <c r="K8959" s="2" t="s">
        <v>18672</v>
      </c>
      <c r="L8959" s="82" t="s">
        <v>19512</v>
      </c>
    </row>
    <row r="8960" spans="1:12" ht="84" customHeight="1" x14ac:dyDescent="0.3">
      <c r="A8960" s="2">
        <v>8956</v>
      </c>
      <c r="B8960" s="66" t="s">
        <v>10458</v>
      </c>
      <c r="C8960" s="66" t="s">
        <v>10532</v>
      </c>
      <c r="D8960" s="11">
        <v>3828.8</v>
      </c>
      <c r="E8960" s="11">
        <v>3828.8</v>
      </c>
      <c r="F8960" s="3">
        <v>40520</v>
      </c>
      <c r="G8960" s="2" t="s">
        <v>14104</v>
      </c>
      <c r="H8960" s="3">
        <v>43053</v>
      </c>
      <c r="I8960" s="2" t="s">
        <v>19506</v>
      </c>
      <c r="J8960" s="2" t="s">
        <v>13904</v>
      </c>
      <c r="K8960" s="2" t="s">
        <v>18672</v>
      </c>
      <c r="L8960" s="82" t="s">
        <v>19512</v>
      </c>
    </row>
    <row r="8961" spans="1:15" ht="84" customHeight="1" x14ac:dyDescent="0.3">
      <c r="A8961" s="2">
        <v>8957</v>
      </c>
      <c r="B8961" s="66" t="s">
        <v>10458</v>
      </c>
      <c r="C8961" s="66" t="s">
        <v>10533</v>
      </c>
      <c r="D8961" s="11">
        <v>3828.8</v>
      </c>
      <c r="E8961" s="11">
        <v>3828.8</v>
      </c>
      <c r="F8961" s="3">
        <v>40520</v>
      </c>
      <c r="G8961" s="2" t="s">
        <v>14104</v>
      </c>
      <c r="H8961" s="3">
        <v>43053</v>
      </c>
      <c r="I8961" s="2" t="s">
        <v>19506</v>
      </c>
      <c r="J8961" s="2" t="s">
        <v>13904</v>
      </c>
      <c r="K8961" s="2" t="s">
        <v>18672</v>
      </c>
      <c r="L8961" s="82" t="s">
        <v>19512</v>
      </c>
    </row>
    <row r="8962" spans="1:15" ht="84" customHeight="1" x14ac:dyDescent="0.3">
      <c r="A8962" s="2">
        <v>8958</v>
      </c>
      <c r="B8962" s="66" t="s">
        <v>10458</v>
      </c>
      <c r="C8962" s="66" t="s">
        <v>10534</v>
      </c>
      <c r="D8962" s="11">
        <v>3828.8</v>
      </c>
      <c r="E8962" s="11">
        <v>3828.8</v>
      </c>
      <c r="F8962" s="3">
        <v>40520</v>
      </c>
      <c r="G8962" s="2" t="s">
        <v>14104</v>
      </c>
      <c r="H8962" s="3">
        <v>43053</v>
      </c>
      <c r="I8962" s="2" t="s">
        <v>19506</v>
      </c>
      <c r="J8962" s="2" t="s">
        <v>13904</v>
      </c>
      <c r="K8962" s="2" t="s">
        <v>18672</v>
      </c>
      <c r="L8962" s="82" t="s">
        <v>19512</v>
      </c>
    </row>
    <row r="8963" spans="1:15" ht="84" customHeight="1" x14ac:dyDescent="0.3">
      <c r="A8963" s="2">
        <v>8959</v>
      </c>
      <c r="B8963" s="66" t="s">
        <v>10458</v>
      </c>
      <c r="C8963" s="66" t="s">
        <v>10535</v>
      </c>
      <c r="D8963" s="11">
        <v>3828.8</v>
      </c>
      <c r="E8963" s="11">
        <v>3828.8</v>
      </c>
      <c r="F8963" s="3">
        <v>40520</v>
      </c>
      <c r="G8963" s="2" t="s">
        <v>14104</v>
      </c>
      <c r="H8963" s="3">
        <v>43053</v>
      </c>
      <c r="I8963" s="2" t="s">
        <v>19506</v>
      </c>
      <c r="J8963" s="2" t="s">
        <v>13904</v>
      </c>
      <c r="K8963" s="2" t="s">
        <v>18672</v>
      </c>
      <c r="L8963" s="82" t="s">
        <v>19512</v>
      </c>
    </row>
    <row r="8964" spans="1:15" ht="84" customHeight="1" x14ac:dyDescent="0.3">
      <c r="A8964" s="2">
        <v>8960</v>
      </c>
      <c r="B8964" s="66" t="s">
        <v>10458</v>
      </c>
      <c r="C8964" s="66" t="s">
        <v>10536</v>
      </c>
      <c r="D8964" s="11">
        <v>3828.8</v>
      </c>
      <c r="E8964" s="11">
        <v>3828.8</v>
      </c>
      <c r="F8964" s="3">
        <v>40520</v>
      </c>
      <c r="G8964" s="2" t="s">
        <v>14104</v>
      </c>
      <c r="H8964" s="3">
        <v>43053</v>
      </c>
      <c r="I8964" s="2" t="s">
        <v>19506</v>
      </c>
      <c r="J8964" s="2" t="s">
        <v>13904</v>
      </c>
      <c r="K8964" s="2" t="s">
        <v>18672</v>
      </c>
      <c r="L8964" s="82" t="s">
        <v>19512</v>
      </c>
    </row>
    <row r="8965" spans="1:15" ht="84" customHeight="1" x14ac:dyDescent="0.3">
      <c r="A8965" s="2">
        <v>8961</v>
      </c>
      <c r="B8965" s="66" t="s">
        <v>10458</v>
      </c>
      <c r="C8965" s="66" t="s">
        <v>10537</v>
      </c>
      <c r="D8965" s="11">
        <v>3828.8</v>
      </c>
      <c r="E8965" s="11">
        <v>3828.8</v>
      </c>
      <c r="F8965" s="3">
        <v>40520</v>
      </c>
      <c r="G8965" s="2" t="s">
        <v>14104</v>
      </c>
      <c r="H8965" s="3">
        <v>43053</v>
      </c>
      <c r="I8965" s="2" t="s">
        <v>19506</v>
      </c>
      <c r="J8965" s="2" t="s">
        <v>13904</v>
      </c>
      <c r="K8965" s="2" t="s">
        <v>18672</v>
      </c>
      <c r="L8965" s="82" t="s">
        <v>19512</v>
      </c>
    </row>
    <row r="8966" spans="1:15" ht="84" customHeight="1" x14ac:dyDescent="0.3">
      <c r="A8966" s="2">
        <v>8962</v>
      </c>
      <c r="B8966" s="66" t="s">
        <v>251</v>
      </c>
      <c r="C8966" s="66" t="s">
        <v>10538</v>
      </c>
      <c r="D8966" s="11">
        <v>4800</v>
      </c>
      <c r="E8966" s="11">
        <v>4800</v>
      </c>
      <c r="F8966" s="3">
        <v>41186</v>
      </c>
      <c r="G8966" s="2" t="s">
        <v>14104</v>
      </c>
      <c r="H8966" s="3">
        <v>43053</v>
      </c>
      <c r="I8966" s="2" t="s">
        <v>19506</v>
      </c>
      <c r="J8966" s="2" t="s">
        <v>13904</v>
      </c>
      <c r="K8966" s="2" t="s">
        <v>18672</v>
      </c>
      <c r="L8966" s="82" t="s">
        <v>19512</v>
      </c>
    </row>
    <row r="8967" spans="1:15" ht="84" customHeight="1" x14ac:dyDescent="0.3">
      <c r="A8967" s="2">
        <v>8963</v>
      </c>
      <c r="B8967" s="66" t="s">
        <v>3739</v>
      </c>
      <c r="C8967" s="66" t="s">
        <v>3742</v>
      </c>
      <c r="D8967" s="11">
        <v>685.31</v>
      </c>
      <c r="E8967" s="11">
        <v>685.31</v>
      </c>
      <c r="F8967" s="3">
        <v>38735</v>
      </c>
      <c r="G8967" s="2" t="s">
        <v>14104</v>
      </c>
      <c r="H8967" s="3">
        <v>43053</v>
      </c>
      <c r="I8967" s="2" t="s">
        <v>19506</v>
      </c>
      <c r="J8967" s="2" t="s">
        <v>13904</v>
      </c>
      <c r="K8967" s="2" t="s">
        <v>18672</v>
      </c>
      <c r="L8967" s="82" t="s">
        <v>19512</v>
      </c>
    </row>
    <row r="8968" spans="1:15" s="19" customFormat="1" ht="84" customHeight="1" x14ac:dyDescent="0.3">
      <c r="A8968" s="2">
        <v>8964</v>
      </c>
      <c r="B8968" s="66" t="s">
        <v>20074</v>
      </c>
      <c r="C8968" s="66">
        <v>4101250011</v>
      </c>
      <c r="D8968" s="11">
        <v>700000</v>
      </c>
      <c r="E8968" s="11">
        <v>484116.07</v>
      </c>
      <c r="F8968" s="3">
        <v>42930</v>
      </c>
      <c r="G8968" s="2" t="s">
        <v>14104</v>
      </c>
      <c r="H8968" s="3"/>
      <c r="I8968" s="2"/>
      <c r="J8968" s="2" t="s">
        <v>13904</v>
      </c>
      <c r="K8968" s="2" t="s">
        <v>20075</v>
      </c>
      <c r="L8968" s="82"/>
      <c r="M8968" s="18"/>
      <c r="N8968" s="18"/>
      <c r="O8968" s="18"/>
    </row>
    <row r="8969" spans="1:15" ht="96" customHeight="1" x14ac:dyDescent="0.3">
      <c r="A8969" s="2">
        <v>8965</v>
      </c>
      <c r="B8969" s="66" t="s">
        <v>218</v>
      </c>
      <c r="C8969" s="66" t="s">
        <v>3461</v>
      </c>
      <c r="D8969" s="11">
        <v>37740</v>
      </c>
      <c r="E8969" s="11">
        <v>36760.980000000003</v>
      </c>
      <c r="F8969" s="3">
        <v>38729</v>
      </c>
      <c r="G8969" s="2" t="s">
        <v>14104</v>
      </c>
      <c r="H8969" s="3">
        <v>43053</v>
      </c>
      <c r="I8969" s="2" t="s">
        <v>19506</v>
      </c>
      <c r="J8969" s="2" t="s">
        <v>13904</v>
      </c>
      <c r="K8969" s="2" t="s">
        <v>19242</v>
      </c>
      <c r="L8969" s="82" t="s">
        <v>19512</v>
      </c>
    </row>
    <row r="8970" spans="1:15" ht="96" customHeight="1" x14ac:dyDescent="0.3">
      <c r="A8970" s="2">
        <v>8966</v>
      </c>
      <c r="B8970" s="66" t="s">
        <v>10539</v>
      </c>
      <c r="C8970" s="66" t="s">
        <v>5475</v>
      </c>
      <c r="D8970" s="11">
        <v>29900</v>
      </c>
      <c r="E8970" s="11">
        <v>22459.68</v>
      </c>
      <c r="F8970" s="3">
        <v>39445</v>
      </c>
      <c r="G8970" s="2" t="s">
        <v>14104</v>
      </c>
      <c r="H8970" s="3">
        <v>43053</v>
      </c>
      <c r="I8970" s="2" t="s">
        <v>19506</v>
      </c>
      <c r="J8970" s="2" t="s">
        <v>13904</v>
      </c>
      <c r="K8970" s="2" t="s">
        <v>19242</v>
      </c>
      <c r="L8970" s="82" t="s">
        <v>19512</v>
      </c>
    </row>
    <row r="8971" spans="1:15" ht="96" customHeight="1" x14ac:dyDescent="0.3">
      <c r="A8971" s="2">
        <v>8967</v>
      </c>
      <c r="B8971" s="66" t="s">
        <v>10540</v>
      </c>
      <c r="C8971" s="66" t="s">
        <v>10541</v>
      </c>
      <c r="D8971" s="11">
        <v>294929.03999999998</v>
      </c>
      <c r="E8971" s="11">
        <v>294929.03999999998</v>
      </c>
      <c r="F8971" s="3">
        <v>37378</v>
      </c>
      <c r="G8971" s="2" t="s">
        <v>14104</v>
      </c>
      <c r="H8971" s="3">
        <v>42842</v>
      </c>
      <c r="I8971" s="2" t="s">
        <v>18689</v>
      </c>
      <c r="J8971" s="2" t="s">
        <v>13904</v>
      </c>
      <c r="K8971" s="2" t="s">
        <v>19242</v>
      </c>
      <c r="L8971" s="82" t="s">
        <v>18607</v>
      </c>
    </row>
    <row r="8972" spans="1:15" ht="96" customHeight="1" x14ac:dyDescent="0.3">
      <c r="A8972" s="2">
        <v>8968</v>
      </c>
      <c r="B8972" s="66" t="s">
        <v>23846</v>
      </c>
      <c r="C8972" s="66" t="s">
        <v>10542</v>
      </c>
      <c r="D8972" s="11">
        <v>1919520.1</v>
      </c>
      <c r="E8972" s="11">
        <v>959760</v>
      </c>
      <c r="F8972" s="3">
        <v>41779</v>
      </c>
      <c r="G8972" s="2" t="s">
        <v>14104</v>
      </c>
      <c r="H8972" s="2"/>
      <c r="I8972" s="2"/>
      <c r="J8972" s="2" t="s">
        <v>13904</v>
      </c>
      <c r="K8972" s="242" t="s">
        <v>23851</v>
      </c>
      <c r="L8972" s="82" t="s">
        <v>23852</v>
      </c>
    </row>
    <row r="8973" spans="1:15" ht="96" customHeight="1" x14ac:dyDescent="0.3">
      <c r="A8973" s="2">
        <v>8969</v>
      </c>
      <c r="B8973" s="66" t="s">
        <v>1077</v>
      </c>
      <c r="C8973" s="66" t="s">
        <v>3140</v>
      </c>
      <c r="D8973" s="11">
        <v>21331</v>
      </c>
      <c r="E8973" s="11">
        <v>21331</v>
      </c>
      <c r="F8973" s="3">
        <v>40116</v>
      </c>
      <c r="G8973" s="2" t="s">
        <v>14104</v>
      </c>
      <c r="H8973" s="3">
        <v>43053</v>
      </c>
      <c r="I8973" s="2" t="s">
        <v>19506</v>
      </c>
      <c r="J8973" s="2" t="s">
        <v>13904</v>
      </c>
      <c r="K8973" s="2" t="s">
        <v>19242</v>
      </c>
      <c r="L8973" s="82" t="s">
        <v>19512</v>
      </c>
    </row>
    <row r="8974" spans="1:15" ht="96" customHeight="1" x14ac:dyDescent="0.3">
      <c r="A8974" s="2">
        <v>8970</v>
      </c>
      <c r="B8974" s="66" t="s">
        <v>10543</v>
      </c>
      <c r="C8974" s="66" t="s">
        <v>3206</v>
      </c>
      <c r="D8974" s="11">
        <v>4995</v>
      </c>
      <c r="E8974" s="11">
        <v>4995</v>
      </c>
      <c r="F8974" s="3">
        <v>41821</v>
      </c>
      <c r="G8974" s="2" t="s">
        <v>14104</v>
      </c>
      <c r="H8974" s="3">
        <v>43053</v>
      </c>
      <c r="I8974" s="2" t="s">
        <v>19506</v>
      </c>
      <c r="J8974" s="2" t="s">
        <v>13904</v>
      </c>
      <c r="K8974" s="2" t="s">
        <v>19242</v>
      </c>
      <c r="L8974" s="82" t="s">
        <v>19512</v>
      </c>
    </row>
    <row r="8975" spans="1:15" ht="96" customHeight="1" x14ac:dyDescent="0.3">
      <c r="A8975" s="2">
        <v>8971</v>
      </c>
      <c r="B8975" s="66" t="s">
        <v>1062</v>
      </c>
      <c r="C8975" s="66">
        <v>4101240001</v>
      </c>
      <c r="D8975" s="11">
        <v>73499</v>
      </c>
      <c r="E8975" s="11" t="s">
        <v>19243</v>
      </c>
      <c r="F8975" s="3">
        <v>42643</v>
      </c>
      <c r="G8975" s="2" t="s">
        <v>14104</v>
      </c>
      <c r="H8975" s="2"/>
      <c r="I8975" s="2"/>
      <c r="J8975" s="2" t="s">
        <v>13904</v>
      </c>
      <c r="K8975" s="2" t="s">
        <v>19242</v>
      </c>
      <c r="L8975" s="82" t="s">
        <v>18607</v>
      </c>
    </row>
    <row r="8976" spans="1:15" ht="96" customHeight="1" x14ac:dyDescent="0.3">
      <c r="A8976" s="2">
        <v>8972</v>
      </c>
      <c r="B8976" s="66" t="s">
        <v>10544</v>
      </c>
      <c r="C8976" s="66" t="s">
        <v>3128</v>
      </c>
      <c r="D8976" s="11">
        <v>6999</v>
      </c>
      <c r="E8976" s="11">
        <v>6999</v>
      </c>
      <c r="F8976" s="3">
        <v>39445</v>
      </c>
      <c r="G8976" s="2" t="s">
        <v>14104</v>
      </c>
      <c r="H8976" s="3">
        <v>43053</v>
      </c>
      <c r="I8976" s="2" t="s">
        <v>19506</v>
      </c>
      <c r="J8976" s="2" t="s">
        <v>13904</v>
      </c>
      <c r="K8976" s="2" t="s">
        <v>19242</v>
      </c>
      <c r="L8976" s="82" t="s">
        <v>19512</v>
      </c>
    </row>
    <row r="8977" spans="1:12" ht="96" customHeight="1" x14ac:dyDescent="0.3">
      <c r="A8977" s="2">
        <v>8973</v>
      </c>
      <c r="B8977" s="66" t="s">
        <v>10545</v>
      </c>
      <c r="C8977" s="66" t="s">
        <v>4340</v>
      </c>
      <c r="D8977" s="11">
        <v>7950.9</v>
      </c>
      <c r="E8977" s="11">
        <v>7950.9</v>
      </c>
      <c r="F8977" s="3">
        <v>39051</v>
      </c>
      <c r="G8977" s="2" t="s">
        <v>14104</v>
      </c>
      <c r="H8977" s="3">
        <v>43053</v>
      </c>
      <c r="I8977" s="2" t="s">
        <v>19506</v>
      </c>
      <c r="J8977" s="2" t="s">
        <v>13904</v>
      </c>
      <c r="K8977" s="2" t="s">
        <v>19242</v>
      </c>
      <c r="L8977" s="82" t="s">
        <v>19512</v>
      </c>
    </row>
    <row r="8978" spans="1:12" ht="96" customHeight="1" x14ac:dyDescent="0.3">
      <c r="A8978" s="2">
        <v>8974</v>
      </c>
      <c r="B8978" s="66" t="s">
        <v>4216</v>
      </c>
      <c r="C8978" s="66" t="s">
        <v>5223</v>
      </c>
      <c r="D8978" s="11">
        <v>5674.24</v>
      </c>
      <c r="E8978" s="11">
        <v>5674.24</v>
      </c>
      <c r="F8978" s="3">
        <v>39051</v>
      </c>
      <c r="G8978" s="2" t="s">
        <v>14104</v>
      </c>
      <c r="H8978" s="3">
        <v>43053</v>
      </c>
      <c r="I8978" s="2" t="s">
        <v>19506</v>
      </c>
      <c r="J8978" s="2" t="s">
        <v>13904</v>
      </c>
      <c r="K8978" s="2" t="s">
        <v>19242</v>
      </c>
      <c r="L8978" s="82" t="s">
        <v>19512</v>
      </c>
    </row>
    <row r="8979" spans="1:12" ht="96" customHeight="1" x14ac:dyDescent="0.3">
      <c r="A8979" s="2">
        <v>8975</v>
      </c>
      <c r="B8979" s="66" t="s">
        <v>10546</v>
      </c>
      <c r="C8979" s="66" t="s">
        <v>10547</v>
      </c>
      <c r="D8979" s="11">
        <v>20747.36</v>
      </c>
      <c r="E8979" s="11">
        <v>20747.36</v>
      </c>
      <c r="F8979" s="3">
        <v>39812</v>
      </c>
      <c r="G8979" s="2" t="s">
        <v>14104</v>
      </c>
      <c r="H8979" s="3">
        <v>43053</v>
      </c>
      <c r="I8979" s="2" t="s">
        <v>19506</v>
      </c>
      <c r="J8979" s="2" t="s">
        <v>13904</v>
      </c>
      <c r="K8979" s="2" t="s">
        <v>19242</v>
      </c>
      <c r="L8979" s="82" t="s">
        <v>19512</v>
      </c>
    </row>
    <row r="8980" spans="1:12" ht="96" customHeight="1" x14ac:dyDescent="0.3">
      <c r="A8980" s="2">
        <v>8976</v>
      </c>
      <c r="B8980" s="66" t="s">
        <v>10548</v>
      </c>
      <c r="C8980" s="66" t="s">
        <v>3843</v>
      </c>
      <c r="D8980" s="11">
        <v>10409.1</v>
      </c>
      <c r="E8980" s="11">
        <v>10409.1</v>
      </c>
      <c r="F8980" s="3">
        <v>38729</v>
      </c>
      <c r="G8980" s="2" t="s">
        <v>14104</v>
      </c>
      <c r="H8980" s="3">
        <v>43053</v>
      </c>
      <c r="I8980" s="2" t="s">
        <v>19506</v>
      </c>
      <c r="J8980" s="2" t="s">
        <v>13904</v>
      </c>
      <c r="K8980" s="2" t="s">
        <v>19242</v>
      </c>
      <c r="L8980" s="82" t="s">
        <v>19512</v>
      </c>
    </row>
    <row r="8981" spans="1:12" ht="96" customHeight="1" x14ac:dyDescent="0.3">
      <c r="A8981" s="2">
        <v>8977</v>
      </c>
      <c r="B8981" s="66" t="s">
        <v>10549</v>
      </c>
      <c r="C8981" s="66" t="s">
        <v>5222</v>
      </c>
      <c r="D8981" s="11">
        <v>4112.6400000000003</v>
      </c>
      <c r="E8981" s="11">
        <v>4112.6400000000003</v>
      </c>
      <c r="F8981" s="3">
        <v>39051</v>
      </c>
      <c r="G8981" s="2" t="s">
        <v>14104</v>
      </c>
      <c r="H8981" s="3">
        <v>43053</v>
      </c>
      <c r="I8981" s="2" t="s">
        <v>19506</v>
      </c>
      <c r="J8981" s="2" t="s">
        <v>13904</v>
      </c>
      <c r="K8981" s="2" t="s">
        <v>19242</v>
      </c>
      <c r="L8981" s="82" t="s">
        <v>19512</v>
      </c>
    </row>
    <row r="8982" spans="1:12" ht="96" customHeight="1" x14ac:dyDescent="0.3">
      <c r="A8982" s="2">
        <v>8978</v>
      </c>
      <c r="B8982" s="66" t="s">
        <v>10550</v>
      </c>
      <c r="C8982" s="66" t="s">
        <v>4206</v>
      </c>
      <c r="D8982" s="11">
        <v>16972.8</v>
      </c>
      <c r="E8982" s="11">
        <v>16972.8</v>
      </c>
      <c r="F8982" s="3">
        <v>38729</v>
      </c>
      <c r="G8982" s="2" t="s">
        <v>14104</v>
      </c>
      <c r="H8982" s="3">
        <v>43053</v>
      </c>
      <c r="I8982" s="2" t="s">
        <v>19506</v>
      </c>
      <c r="J8982" s="2" t="s">
        <v>13904</v>
      </c>
      <c r="K8982" s="2" t="s">
        <v>19242</v>
      </c>
      <c r="L8982" s="82" t="s">
        <v>19512</v>
      </c>
    </row>
    <row r="8983" spans="1:12" ht="96" customHeight="1" x14ac:dyDescent="0.3">
      <c r="A8983" s="2">
        <v>8979</v>
      </c>
      <c r="B8983" s="66" t="s">
        <v>220</v>
      </c>
      <c r="C8983" s="66" t="s">
        <v>3130</v>
      </c>
      <c r="D8983" s="11">
        <v>4810</v>
      </c>
      <c r="E8983" s="11">
        <v>4810</v>
      </c>
      <c r="F8983" s="3">
        <v>39051</v>
      </c>
      <c r="G8983" s="2" t="s">
        <v>14104</v>
      </c>
      <c r="H8983" s="3">
        <v>43053</v>
      </c>
      <c r="I8983" s="2" t="s">
        <v>19506</v>
      </c>
      <c r="J8983" s="2" t="s">
        <v>13904</v>
      </c>
      <c r="K8983" s="2" t="s">
        <v>19242</v>
      </c>
      <c r="L8983" s="82" t="s">
        <v>19512</v>
      </c>
    </row>
    <row r="8984" spans="1:12" ht="96" customHeight="1" x14ac:dyDescent="0.3">
      <c r="A8984" s="2">
        <v>8980</v>
      </c>
      <c r="B8984" s="66" t="s">
        <v>10551</v>
      </c>
      <c r="C8984" s="66" t="s">
        <v>3303</v>
      </c>
      <c r="D8984" s="11">
        <v>6700</v>
      </c>
      <c r="E8984" s="11">
        <v>6700</v>
      </c>
      <c r="F8984" s="3">
        <v>39445</v>
      </c>
      <c r="G8984" s="2" t="s">
        <v>14104</v>
      </c>
      <c r="H8984" s="3">
        <v>43053</v>
      </c>
      <c r="I8984" s="2" t="s">
        <v>19506</v>
      </c>
      <c r="J8984" s="2" t="s">
        <v>13904</v>
      </c>
      <c r="K8984" s="2" t="s">
        <v>19242</v>
      </c>
      <c r="L8984" s="82" t="s">
        <v>19512</v>
      </c>
    </row>
    <row r="8985" spans="1:12" ht="96" customHeight="1" x14ac:dyDescent="0.3">
      <c r="A8985" s="2">
        <v>8981</v>
      </c>
      <c r="B8985" s="66" t="s">
        <v>227</v>
      </c>
      <c r="C8985" s="66" t="s">
        <v>5221</v>
      </c>
      <c r="D8985" s="11">
        <v>7882.56</v>
      </c>
      <c r="E8985" s="11">
        <v>7882.56</v>
      </c>
      <c r="F8985" s="3">
        <v>39051</v>
      </c>
      <c r="G8985" s="2" t="s">
        <v>14104</v>
      </c>
      <c r="H8985" s="3">
        <v>43053</v>
      </c>
      <c r="I8985" s="2" t="s">
        <v>19506</v>
      </c>
      <c r="J8985" s="2" t="s">
        <v>13904</v>
      </c>
      <c r="K8985" s="2" t="s">
        <v>19242</v>
      </c>
      <c r="L8985" s="82" t="s">
        <v>19512</v>
      </c>
    </row>
    <row r="8986" spans="1:12" ht="96" customHeight="1" x14ac:dyDescent="0.3">
      <c r="A8986" s="2">
        <v>8982</v>
      </c>
      <c r="B8986" s="66" t="s">
        <v>227</v>
      </c>
      <c r="C8986" s="66" t="s">
        <v>4212</v>
      </c>
      <c r="D8986" s="11">
        <v>18349.8</v>
      </c>
      <c r="E8986" s="11">
        <v>18349.8</v>
      </c>
      <c r="F8986" s="3">
        <v>38729</v>
      </c>
      <c r="G8986" s="2" t="s">
        <v>14104</v>
      </c>
      <c r="H8986" s="3">
        <v>43053</v>
      </c>
      <c r="I8986" s="2" t="s">
        <v>19506</v>
      </c>
      <c r="J8986" s="2" t="s">
        <v>13904</v>
      </c>
      <c r="K8986" s="2" t="s">
        <v>19242</v>
      </c>
      <c r="L8986" s="82" t="s">
        <v>19512</v>
      </c>
    </row>
    <row r="8987" spans="1:12" ht="96" customHeight="1" x14ac:dyDescent="0.3">
      <c r="A8987" s="2">
        <v>8983</v>
      </c>
      <c r="B8987" s="66" t="s">
        <v>5414</v>
      </c>
      <c r="C8987" s="66" t="s">
        <v>5216</v>
      </c>
      <c r="D8987" s="11">
        <v>27797</v>
      </c>
      <c r="E8987" s="11">
        <v>27797</v>
      </c>
      <c r="F8987" s="3">
        <v>40898</v>
      </c>
      <c r="G8987" s="2" t="s">
        <v>14104</v>
      </c>
      <c r="H8987" s="3">
        <v>43053</v>
      </c>
      <c r="I8987" s="2" t="s">
        <v>19506</v>
      </c>
      <c r="J8987" s="2" t="s">
        <v>13904</v>
      </c>
      <c r="K8987" s="2" t="s">
        <v>19242</v>
      </c>
      <c r="L8987" s="82" t="s">
        <v>19512</v>
      </c>
    </row>
    <row r="8988" spans="1:12" ht="96" customHeight="1" x14ac:dyDescent="0.3">
      <c r="A8988" s="2">
        <v>8984</v>
      </c>
      <c r="B8988" s="66" t="s">
        <v>4568</v>
      </c>
      <c r="C8988" s="66" t="s">
        <v>5474</v>
      </c>
      <c r="D8988" s="11">
        <v>14005.62</v>
      </c>
      <c r="E8988" s="11">
        <v>14005.62</v>
      </c>
      <c r="F8988" s="3">
        <v>38729</v>
      </c>
      <c r="G8988" s="2" t="s">
        <v>14104</v>
      </c>
      <c r="H8988" s="3">
        <v>43053</v>
      </c>
      <c r="I8988" s="2" t="s">
        <v>19506</v>
      </c>
      <c r="J8988" s="2" t="s">
        <v>13904</v>
      </c>
      <c r="K8988" s="2" t="s">
        <v>19242</v>
      </c>
      <c r="L8988" s="82" t="s">
        <v>19512</v>
      </c>
    </row>
    <row r="8989" spans="1:12" ht="96" customHeight="1" x14ac:dyDescent="0.3">
      <c r="A8989" s="2">
        <v>8985</v>
      </c>
      <c r="B8989" s="66" t="s">
        <v>10552</v>
      </c>
      <c r="C8989" s="66" t="s">
        <v>4209</v>
      </c>
      <c r="D8989" s="11">
        <v>13400</v>
      </c>
      <c r="E8989" s="11">
        <v>13400</v>
      </c>
      <c r="F8989" s="3">
        <v>39445</v>
      </c>
      <c r="G8989" s="2" t="s">
        <v>14104</v>
      </c>
      <c r="H8989" s="3">
        <v>43053</v>
      </c>
      <c r="I8989" s="2" t="s">
        <v>19506</v>
      </c>
      <c r="J8989" s="2" t="s">
        <v>13904</v>
      </c>
      <c r="K8989" s="2" t="s">
        <v>19242</v>
      </c>
      <c r="L8989" s="82" t="s">
        <v>19512</v>
      </c>
    </row>
    <row r="8990" spans="1:12" ht="96" customHeight="1" x14ac:dyDescent="0.3">
      <c r="A8990" s="2">
        <v>8986</v>
      </c>
      <c r="B8990" s="66" t="s">
        <v>1074</v>
      </c>
      <c r="C8990" s="66" t="s">
        <v>3436</v>
      </c>
      <c r="D8990" s="11">
        <v>9664.5</v>
      </c>
      <c r="E8990" s="11">
        <v>9664.5</v>
      </c>
      <c r="F8990" s="3">
        <v>39051</v>
      </c>
      <c r="G8990" s="2" t="s">
        <v>14104</v>
      </c>
      <c r="H8990" s="3">
        <v>43053</v>
      </c>
      <c r="I8990" s="2" t="s">
        <v>19506</v>
      </c>
      <c r="J8990" s="2" t="s">
        <v>13904</v>
      </c>
      <c r="K8990" s="2" t="s">
        <v>19242</v>
      </c>
      <c r="L8990" s="82" t="s">
        <v>19512</v>
      </c>
    </row>
    <row r="8991" spans="1:12" ht="96" customHeight="1" x14ac:dyDescent="0.3">
      <c r="A8991" s="2">
        <v>8987</v>
      </c>
      <c r="B8991" s="66" t="s">
        <v>10553</v>
      </c>
      <c r="C8991" s="66" t="s">
        <v>3133</v>
      </c>
      <c r="D8991" s="11">
        <v>6760</v>
      </c>
      <c r="E8991" s="11">
        <v>6760</v>
      </c>
      <c r="F8991" s="3">
        <v>39051</v>
      </c>
      <c r="G8991" s="2" t="s">
        <v>14104</v>
      </c>
      <c r="H8991" s="3">
        <v>43053</v>
      </c>
      <c r="I8991" s="2" t="s">
        <v>19506</v>
      </c>
      <c r="J8991" s="2" t="s">
        <v>13904</v>
      </c>
      <c r="K8991" s="2" t="s">
        <v>19242</v>
      </c>
      <c r="L8991" s="82" t="s">
        <v>19512</v>
      </c>
    </row>
    <row r="8992" spans="1:12" ht="96" customHeight="1" x14ac:dyDescent="0.3">
      <c r="A8992" s="2">
        <v>8988</v>
      </c>
      <c r="B8992" s="66" t="s">
        <v>10554</v>
      </c>
      <c r="C8992" s="66" t="s">
        <v>5219</v>
      </c>
      <c r="D8992" s="11">
        <v>6168.96</v>
      </c>
      <c r="E8992" s="11">
        <v>6168.96</v>
      </c>
      <c r="F8992" s="3">
        <v>39051</v>
      </c>
      <c r="G8992" s="2" t="s">
        <v>14104</v>
      </c>
      <c r="H8992" s="3">
        <v>43053</v>
      </c>
      <c r="I8992" s="2" t="s">
        <v>19506</v>
      </c>
      <c r="J8992" s="2" t="s">
        <v>13904</v>
      </c>
      <c r="K8992" s="2" t="s">
        <v>19242</v>
      </c>
      <c r="L8992" s="82" t="s">
        <v>19512</v>
      </c>
    </row>
    <row r="8993" spans="1:12" ht="96" customHeight="1" x14ac:dyDescent="0.3">
      <c r="A8993" s="2">
        <v>8989</v>
      </c>
      <c r="B8993" s="66" t="s">
        <v>4211</v>
      </c>
      <c r="C8993" s="66" t="s">
        <v>4571</v>
      </c>
      <c r="D8993" s="11">
        <v>11605.56</v>
      </c>
      <c r="E8993" s="11">
        <v>11605.56</v>
      </c>
      <c r="F8993" s="3">
        <v>38729</v>
      </c>
      <c r="G8993" s="2" t="s">
        <v>14104</v>
      </c>
      <c r="H8993" s="3">
        <v>43053</v>
      </c>
      <c r="I8993" s="2" t="s">
        <v>19506</v>
      </c>
      <c r="J8993" s="2" t="s">
        <v>13904</v>
      </c>
      <c r="K8993" s="2" t="s">
        <v>19242</v>
      </c>
      <c r="L8993" s="82" t="s">
        <v>19512</v>
      </c>
    </row>
    <row r="8994" spans="1:12" ht="96" customHeight="1" x14ac:dyDescent="0.3">
      <c r="A8994" s="2">
        <v>8990</v>
      </c>
      <c r="B8994" s="66" t="s">
        <v>10555</v>
      </c>
      <c r="C8994" s="66" t="s">
        <v>3824</v>
      </c>
      <c r="D8994" s="11">
        <v>5654.88</v>
      </c>
      <c r="E8994" s="11">
        <v>5654.88</v>
      </c>
      <c r="F8994" s="3">
        <v>39051</v>
      </c>
      <c r="G8994" s="2" t="s">
        <v>14104</v>
      </c>
      <c r="H8994" s="3">
        <v>43053</v>
      </c>
      <c r="I8994" s="2" t="s">
        <v>19506</v>
      </c>
      <c r="J8994" s="2" t="s">
        <v>13904</v>
      </c>
      <c r="K8994" s="2" t="s">
        <v>19242</v>
      </c>
      <c r="L8994" s="82" t="s">
        <v>19512</v>
      </c>
    </row>
    <row r="8995" spans="1:12" ht="96" customHeight="1" x14ac:dyDescent="0.3">
      <c r="A8995" s="2">
        <v>8991</v>
      </c>
      <c r="B8995" s="66" t="s">
        <v>10556</v>
      </c>
      <c r="C8995" s="66" t="s">
        <v>3429</v>
      </c>
      <c r="D8995" s="11">
        <v>5437.62</v>
      </c>
      <c r="E8995" s="11">
        <v>5437.62</v>
      </c>
      <c r="F8995" s="3">
        <v>39051</v>
      </c>
      <c r="G8995" s="2" t="s">
        <v>14104</v>
      </c>
      <c r="H8995" s="3">
        <v>43053</v>
      </c>
      <c r="I8995" s="2" t="s">
        <v>19506</v>
      </c>
      <c r="J8995" s="2" t="s">
        <v>13904</v>
      </c>
      <c r="K8995" s="2" t="s">
        <v>19242</v>
      </c>
      <c r="L8995" s="82" t="s">
        <v>19512</v>
      </c>
    </row>
    <row r="8996" spans="1:12" ht="96" customHeight="1" x14ac:dyDescent="0.3">
      <c r="A8996" s="2">
        <v>8992</v>
      </c>
      <c r="B8996" s="66" t="s">
        <v>10557</v>
      </c>
      <c r="C8996" s="66" t="s">
        <v>10558</v>
      </c>
      <c r="D8996" s="11">
        <v>19857</v>
      </c>
      <c r="E8996" s="11">
        <v>19857</v>
      </c>
      <c r="F8996" s="3">
        <v>41267</v>
      </c>
      <c r="G8996" s="2" t="s">
        <v>14104</v>
      </c>
      <c r="H8996" s="3">
        <v>43053</v>
      </c>
      <c r="I8996" s="2" t="s">
        <v>19506</v>
      </c>
      <c r="J8996" s="2" t="s">
        <v>13904</v>
      </c>
      <c r="K8996" s="2" t="s">
        <v>19242</v>
      </c>
      <c r="L8996" s="82" t="s">
        <v>19512</v>
      </c>
    </row>
    <row r="8997" spans="1:12" ht="96" customHeight="1" x14ac:dyDescent="0.3">
      <c r="A8997" s="2">
        <v>8993</v>
      </c>
      <c r="B8997" s="66" t="s">
        <v>10559</v>
      </c>
      <c r="C8997" s="66" t="s">
        <v>10560</v>
      </c>
      <c r="D8997" s="11">
        <v>25470</v>
      </c>
      <c r="E8997" s="11">
        <v>25470</v>
      </c>
      <c r="F8997" s="3">
        <v>41576</v>
      </c>
      <c r="G8997" s="2" t="s">
        <v>14104</v>
      </c>
      <c r="H8997" s="3">
        <v>43053</v>
      </c>
      <c r="I8997" s="2" t="s">
        <v>19506</v>
      </c>
      <c r="J8997" s="2" t="s">
        <v>13904</v>
      </c>
      <c r="K8997" s="2" t="s">
        <v>19242</v>
      </c>
      <c r="L8997" s="82" t="s">
        <v>19512</v>
      </c>
    </row>
    <row r="8998" spans="1:12" ht="96" customHeight="1" x14ac:dyDescent="0.3">
      <c r="A8998" s="2">
        <v>8994</v>
      </c>
      <c r="B8998" s="66" t="s">
        <v>10561</v>
      </c>
      <c r="C8998" s="66" t="s">
        <v>10562</v>
      </c>
      <c r="D8998" s="11">
        <v>4100</v>
      </c>
      <c r="E8998" s="11">
        <v>4100</v>
      </c>
      <c r="F8998" s="3">
        <v>41639</v>
      </c>
      <c r="G8998" s="2" t="s">
        <v>14104</v>
      </c>
      <c r="H8998" s="3">
        <v>43053</v>
      </c>
      <c r="I8998" s="2" t="s">
        <v>19506</v>
      </c>
      <c r="J8998" s="2" t="s">
        <v>13904</v>
      </c>
      <c r="K8998" s="2" t="s">
        <v>19242</v>
      </c>
      <c r="L8998" s="82" t="s">
        <v>19512</v>
      </c>
    </row>
    <row r="8999" spans="1:12" ht="96" customHeight="1" x14ac:dyDescent="0.3">
      <c r="A8999" s="2">
        <v>8995</v>
      </c>
      <c r="B8999" s="66" t="s">
        <v>10563</v>
      </c>
      <c r="C8999" s="66" t="s">
        <v>10564</v>
      </c>
      <c r="D8999" s="11">
        <v>3850</v>
      </c>
      <c r="E8999" s="11">
        <v>3850</v>
      </c>
      <c r="F8999" s="3">
        <v>41639</v>
      </c>
      <c r="G8999" s="2" t="s">
        <v>14104</v>
      </c>
      <c r="H8999" s="3">
        <v>43053</v>
      </c>
      <c r="I8999" s="2" t="s">
        <v>19506</v>
      </c>
      <c r="J8999" s="2" t="s">
        <v>13904</v>
      </c>
      <c r="K8999" s="2" t="s">
        <v>19242</v>
      </c>
      <c r="L8999" s="82" t="s">
        <v>19512</v>
      </c>
    </row>
    <row r="9000" spans="1:12" ht="96" customHeight="1" x14ac:dyDescent="0.3">
      <c r="A9000" s="2">
        <v>8996</v>
      </c>
      <c r="B9000" s="66" t="s">
        <v>10565</v>
      </c>
      <c r="C9000" s="66" t="s">
        <v>5469</v>
      </c>
      <c r="D9000" s="11">
        <v>8000</v>
      </c>
      <c r="E9000" s="11">
        <v>8000</v>
      </c>
      <c r="F9000" s="3">
        <v>39447</v>
      </c>
      <c r="G9000" s="2" t="s">
        <v>14104</v>
      </c>
      <c r="H9000" s="3">
        <v>43053</v>
      </c>
      <c r="I9000" s="2" t="s">
        <v>19506</v>
      </c>
      <c r="J9000" s="2" t="s">
        <v>13904</v>
      </c>
      <c r="K9000" s="2" t="s">
        <v>19242</v>
      </c>
      <c r="L9000" s="82" t="s">
        <v>19512</v>
      </c>
    </row>
    <row r="9001" spans="1:12" ht="96" customHeight="1" x14ac:dyDescent="0.3">
      <c r="A9001" s="2">
        <v>8997</v>
      </c>
      <c r="B9001" s="66" t="s">
        <v>10566</v>
      </c>
      <c r="C9001" s="66" t="s">
        <v>3459</v>
      </c>
      <c r="D9001" s="11">
        <v>29830</v>
      </c>
      <c r="E9001" s="11">
        <v>29830</v>
      </c>
      <c r="F9001" s="3">
        <v>41841</v>
      </c>
      <c r="G9001" s="2" t="s">
        <v>14104</v>
      </c>
      <c r="H9001" s="3">
        <v>43053</v>
      </c>
      <c r="I9001" s="2" t="s">
        <v>19506</v>
      </c>
      <c r="J9001" s="2" t="s">
        <v>13904</v>
      </c>
      <c r="K9001" s="2" t="s">
        <v>19242</v>
      </c>
      <c r="L9001" s="82" t="s">
        <v>19512</v>
      </c>
    </row>
    <row r="9002" spans="1:12" ht="96" customHeight="1" x14ac:dyDescent="0.3">
      <c r="A9002" s="2">
        <v>8998</v>
      </c>
      <c r="B9002" s="66" t="s">
        <v>10567</v>
      </c>
      <c r="C9002" s="66" t="s">
        <v>3763</v>
      </c>
      <c r="D9002" s="11">
        <v>23800</v>
      </c>
      <c r="E9002" s="11">
        <v>23800</v>
      </c>
      <c r="F9002" s="3">
        <v>41841</v>
      </c>
      <c r="G9002" s="2" t="s">
        <v>14104</v>
      </c>
      <c r="H9002" s="3">
        <v>43053</v>
      </c>
      <c r="I9002" s="2" t="s">
        <v>19506</v>
      </c>
      <c r="J9002" s="2" t="s">
        <v>13904</v>
      </c>
      <c r="K9002" s="2" t="s">
        <v>19242</v>
      </c>
      <c r="L9002" s="82" t="s">
        <v>19512</v>
      </c>
    </row>
    <row r="9003" spans="1:12" ht="96" customHeight="1" x14ac:dyDescent="0.3">
      <c r="A9003" s="2">
        <v>8999</v>
      </c>
      <c r="B9003" s="66" t="s">
        <v>10568</v>
      </c>
      <c r="C9003" s="66" t="s">
        <v>3790</v>
      </c>
      <c r="D9003" s="11">
        <v>6370</v>
      </c>
      <c r="E9003" s="11">
        <v>6370</v>
      </c>
      <c r="F9003" s="3">
        <v>41841</v>
      </c>
      <c r="G9003" s="2" t="s">
        <v>14104</v>
      </c>
      <c r="H9003" s="3">
        <v>43053</v>
      </c>
      <c r="I9003" s="2" t="s">
        <v>19506</v>
      </c>
      <c r="J9003" s="2" t="s">
        <v>13904</v>
      </c>
      <c r="K9003" s="2" t="s">
        <v>19242</v>
      </c>
      <c r="L9003" s="82" t="s">
        <v>19512</v>
      </c>
    </row>
    <row r="9004" spans="1:12" ht="96" customHeight="1" x14ac:dyDescent="0.3">
      <c r="A9004" s="2">
        <v>9000</v>
      </c>
      <c r="B9004" s="66" t="s">
        <v>10569</v>
      </c>
      <c r="C9004" s="66" t="s">
        <v>3840</v>
      </c>
      <c r="D9004" s="11">
        <v>20000</v>
      </c>
      <c r="E9004" s="11">
        <v>20000</v>
      </c>
      <c r="F9004" s="3">
        <v>41996</v>
      </c>
      <c r="G9004" s="2" t="s">
        <v>14104</v>
      </c>
      <c r="H9004" s="3">
        <v>43053</v>
      </c>
      <c r="I9004" s="2" t="s">
        <v>19506</v>
      </c>
      <c r="J9004" s="2" t="s">
        <v>13904</v>
      </c>
      <c r="K9004" s="2" t="s">
        <v>19242</v>
      </c>
      <c r="L9004" s="82" t="s">
        <v>19512</v>
      </c>
    </row>
    <row r="9005" spans="1:12" ht="96" customHeight="1" x14ac:dyDescent="0.3">
      <c r="A9005" s="2">
        <v>9001</v>
      </c>
      <c r="B9005" s="66" t="s">
        <v>10570</v>
      </c>
      <c r="C9005" s="66" t="s">
        <v>4906</v>
      </c>
      <c r="D9005" s="11">
        <v>3988.5</v>
      </c>
      <c r="E9005" s="11">
        <v>3988.5</v>
      </c>
      <c r="F9005" s="3">
        <v>41995</v>
      </c>
      <c r="G9005" s="2" t="s">
        <v>14104</v>
      </c>
      <c r="H9005" s="3">
        <v>43053</v>
      </c>
      <c r="I9005" s="2" t="s">
        <v>19506</v>
      </c>
      <c r="J9005" s="2" t="s">
        <v>13904</v>
      </c>
      <c r="K9005" s="2" t="s">
        <v>19242</v>
      </c>
      <c r="L9005" s="82" t="s">
        <v>19512</v>
      </c>
    </row>
    <row r="9006" spans="1:12" ht="96" customHeight="1" x14ac:dyDescent="0.3">
      <c r="A9006" s="2">
        <v>9002</v>
      </c>
      <c r="B9006" s="66" t="s">
        <v>10570</v>
      </c>
      <c r="C9006" s="66" t="s">
        <v>3469</v>
      </c>
      <c r="D9006" s="11">
        <v>3988.5</v>
      </c>
      <c r="E9006" s="11">
        <v>3988.5</v>
      </c>
      <c r="F9006" s="3">
        <v>41995</v>
      </c>
      <c r="G9006" s="2" t="s">
        <v>14104</v>
      </c>
      <c r="H9006" s="3">
        <v>43053</v>
      </c>
      <c r="I9006" s="2" t="s">
        <v>19506</v>
      </c>
      <c r="J9006" s="2" t="s">
        <v>13904</v>
      </c>
      <c r="K9006" s="2" t="s">
        <v>19242</v>
      </c>
      <c r="L9006" s="82" t="s">
        <v>19512</v>
      </c>
    </row>
    <row r="9007" spans="1:12" ht="96" customHeight="1" x14ac:dyDescent="0.3">
      <c r="A9007" s="2">
        <v>9003</v>
      </c>
      <c r="B9007" s="66" t="s">
        <v>10571</v>
      </c>
      <c r="C9007" s="66" t="s">
        <v>3489</v>
      </c>
      <c r="D9007" s="11">
        <v>21500</v>
      </c>
      <c r="E9007" s="11">
        <v>21500</v>
      </c>
      <c r="F9007" s="3">
        <v>39422</v>
      </c>
      <c r="G9007" s="2" t="s">
        <v>14104</v>
      </c>
      <c r="H9007" s="3">
        <v>43053</v>
      </c>
      <c r="I9007" s="2" t="s">
        <v>19506</v>
      </c>
      <c r="J9007" s="2" t="s">
        <v>13904</v>
      </c>
      <c r="K9007" s="2" t="s">
        <v>19242</v>
      </c>
      <c r="L9007" s="82" t="s">
        <v>19512</v>
      </c>
    </row>
    <row r="9008" spans="1:12" ht="96" customHeight="1" x14ac:dyDescent="0.3">
      <c r="A9008" s="2">
        <v>9004</v>
      </c>
      <c r="B9008" s="66" t="s">
        <v>216</v>
      </c>
      <c r="C9008" s="66" t="s">
        <v>3541</v>
      </c>
      <c r="D9008" s="11">
        <v>10000</v>
      </c>
      <c r="E9008" s="11">
        <v>10000</v>
      </c>
      <c r="F9008" s="3">
        <v>39445</v>
      </c>
      <c r="G9008" s="2" t="s">
        <v>14104</v>
      </c>
      <c r="H9008" s="3">
        <v>43053</v>
      </c>
      <c r="I9008" s="2" t="s">
        <v>19506</v>
      </c>
      <c r="J9008" s="2" t="s">
        <v>13904</v>
      </c>
      <c r="K9008" s="2" t="s">
        <v>19242</v>
      </c>
      <c r="L9008" s="82" t="s">
        <v>19512</v>
      </c>
    </row>
    <row r="9009" spans="1:12" ht="96" customHeight="1" x14ac:dyDescent="0.3">
      <c r="A9009" s="2">
        <v>9005</v>
      </c>
      <c r="B9009" s="66" t="s">
        <v>10572</v>
      </c>
      <c r="C9009" s="66" t="s">
        <v>4395</v>
      </c>
      <c r="D9009" s="11">
        <v>4000</v>
      </c>
      <c r="E9009" s="11">
        <v>4000</v>
      </c>
      <c r="F9009" s="3">
        <v>39445</v>
      </c>
      <c r="G9009" s="2" t="s">
        <v>14104</v>
      </c>
      <c r="H9009" s="3">
        <v>43053</v>
      </c>
      <c r="I9009" s="2" t="s">
        <v>19506</v>
      </c>
      <c r="J9009" s="2" t="s">
        <v>13904</v>
      </c>
      <c r="K9009" s="2" t="s">
        <v>19242</v>
      </c>
      <c r="L9009" s="82" t="s">
        <v>19512</v>
      </c>
    </row>
    <row r="9010" spans="1:12" ht="96" customHeight="1" x14ac:dyDescent="0.3">
      <c r="A9010" s="2">
        <v>9006</v>
      </c>
      <c r="B9010" s="66" t="s">
        <v>4391</v>
      </c>
      <c r="C9010" s="66" t="s">
        <v>4255</v>
      </c>
      <c r="D9010" s="11">
        <v>3195.06</v>
      </c>
      <c r="E9010" s="11">
        <v>3195.06</v>
      </c>
      <c r="F9010" s="3">
        <v>36635</v>
      </c>
      <c r="G9010" s="2" t="s">
        <v>14104</v>
      </c>
      <c r="H9010" s="3">
        <v>43053</v>
      </c>
      <c r="I9010" s="2" t="s">
        <v>19506</v>
      </c>
      <c r="J9010" s="2" t="s">
        <v>13904</v>
      </c>
      <c r="K9010" s="2" t="s">
        <v>19242</v>
      </c>
      <c r="L9010" s="82" t="s">
        <v>19512</v>
      </c>
    </row>
    <row r="9011" spans="1:12" ht="96" customHeight="1" x14ac:dyDescent="0.3">
      <c r="A9011" s="2">
        <v>9007</v>
      </c>
      <c r="B9011" s="66" t="s">
        <v>10573</v>
      </c>
      <c r="C9011" s="66" t="s">
        <v>10574</v>
      </c>
      <c r="D9011" s="11">
        <v>5080.8500000000004</v>
      </c>
      <c r="E9011" s="11">
        <v>5080.8500000000004</v>
      </c>
      <c r="F9011" s="3">
        <v>36628</v>
      </c>
      <c r="G9011" s="2" t="s">
        <v>14104</v>
      </c>
      <c r="H9011" s="3">
        <v>43053</v>
      </c>
      <c r="I9011" s="2" t="s">
        <v>19506</v>
      </c>
      <c r="J9011" s="2" t="s">
        <v>13904</v>
      </c>
      <c r="K9011" s="2" t="s">
        <v>19242</v>
      </c>
      <c r="L9011" s="82" t="s">
        <v>19512</v>
      </c>
    </row>
    <row r="9012" spans="1:12" ht="96" customHeight="1" x14ac:dyDescent="0.3">
      <c r="A9012" s="2">
        <v>9008</v>
      </c>
      <c r="B9012" s="66" t="s">
        <v>10575</v>
      </c>
      <c r="C9012" s="66" t="s">
        <v>4123</v>
      </c>
      <c r="D9012" s="11">
        <v>3902.71</v>
      </c>
      <c r="E9012" s="11">
        <v>3902.71</v>
      </c>
      <c r="F9012" s="3">
        <v>36636</v>
      </c>
      <c r="G9012" s="2" t="s">
        <v>14104</v>
      </c>
      <c r="H9012" s="3">
        <v>43053</v>
      </c>
      <c r="I9012" s="2" t="s">
        <v>19506</v>
      </c>
      <c r="J9012" s="2" t="s">
        <v>13904</v>
      </c>
      <c r="K9012" s="2" t="s">
        <v>19242</v>
      </c>
      <c r="L9012" s="82" t="s">
        <v>19512</v>
      </c>
    </row>
    <row r="9013" spans="1:12" ht="96" customHeight="1" x14ac:dyDescent="0.3">
      <c r="A9013" s="2">
        <v>9009</v>
      </c>
      <c r="B9013" s="66" t="s">
        <v>10576</v>
      </c>
      <c r="C9013" s="66" t="s">
        <v>10577</v>
      </c>
      <c r="D9013" s="11">
        <v>5355.63</v>
      </c>
      <c r="E9013" s="11">
        <v>5355.63</v>
      </c>
      <c r="F9013" s="3">
        <v>39423</v>
      </c>
      <c r="G9013" s="2" t="s">
        <v>14104</v>
      </c>
      <c r="H9013" s="3">
        <v>43053</v>
      </c>
      <c r="I9013" s="2" t="s">
        <v>19506</v>
      </c>
      <c r="J9013" s="2" t="s">
        <v>13904</v>
      </c>
      <c r="K9013" s="2" t="s">
        <v>19242</v>
      </c>
      <c r="L9013" s="82" t="s">
        <v>19512</v>
      </c>
    </row>
    <row r="9014" spans="1:12" ht="96" customHeight="1" x14ac:dyDescent="0.3">
      <c r="A9014" s="2">
        <v>9010</v>
      </c>
      <c r="B9014" s="66" t="s">
        <v>10578</v>
      </c>
      <c r="C9014" s="66" t="s">
        <v>3553</v>
      </c>
      <c r="D9014" s="11">
        <v>4653</v>
      </c>
      <c r="E9014" s="11">
        <v>4653</v>
      </c>
      <c r="F9014" s="3">
        <v>36621</v>
      </c>
      <c r="G9014" s="2" t="s">
        <v>14104</v>
      </c>
      <c r="H9014" s="3">
        <v>43053</v>
      </c>
      <c r="I9014" s="2" t="s">
        <v>19506</v>
      </c>
      <c r="J9014" s="2" t="s">
        <v>13904</v>
      </c>
      <c r="K9014" s="2" t="s">
        <v>19242</v>
      </c>
      <c r="L9014" s="82" t="s">
        <v>19512</v>
      </c>
    </row>
    <row r="9015" spans="1:12" ht="96" customHeight="1" x14ac:dyDescent="0.3">
      <c r="A9015" s="2">
        <v>9011</v>
      </c>
      <c r="B9015" s="66" t="s">
        <v>10579</v>
      </c>
      <c r="C9015" s="66" t="s">
        <v>3520</v>
      </c>
      <c r="D9015" s="11">
        <v>6278.88</v>
      </c>
      <c r="E9015" s="11">
        <v>6278.88</v>
      </c>
      <c r="F9015" s="3">
        <v>36629</v>
      </c>
      <c r="G9015" s="2" t="s">
        <v>14104</v>
      </c>
      <c r="H9015" s="3">
        <v>43053</v>
      </c>
      <c r="I9015" s="2" t="s">
        <v>19506</v>
      </c>
      <c r="J9015" s="2" t="s">
        <v>13904</v>
      </c>
      <c r="K9015" s="2" t="s">
        <v>19242</v>
      </c>
      <c r="L9015" s="82" t="s">
        <v>19512</v>
      </c>
    </row>
    <row r="9016" spans="1:12" ht="96" customHeight="1" x14ac:dyDescent="0.3">
      <c r="A9016" s="2">
        <v>9012</v>
      </c>
      <c r="B9016" s="66" t="s">
        <v>10580</v>
      </c>
      <c r="C9016" s="66" t="s">
        <v>4117</v>
      </c>
      <c r="D9016" s="11">
        <v>33317.18</v>
      </c>
      <c r="E9016" s="11">
        <v>33317.18</v>
      </c>
      <c r="F9016" s="3">
        <v>36634</v>
      </c>
      <c r="G9016" s="2" t="s">
        <v>14104</v>
      </c>
      <c r="H9016" s="3">
        <v>43053</v>
      </c>
      <c r="I9016" s="2" t="s">
        <v>19506</v>
      </c>
      <c r="J9016" s="2" t="s">
        <v>13904</v>
      </c>
      <c r="K9016" s="2" t="s">
        <v>19242</v>
      </c>
      <c r="L9016" s="82" t="s">
        <v>19512</v>
      </c>
    </row>
    <row r="9017" spans="1:12" ht="96" customHeight="1" x14ac:dyDescent="0.3">
      <c r="A9017" s="2">
        <v>9013</v>
      </c>
      <c r="B9017" s="66" t="s">
        <v>10581</v>
      </c>
      <c r="C9017" s="66" t="s">
        <v>10582</v>
      </c>
      <c r="D9017" s="11">
        <v>9306.16</v>
      </c>
      <c r="E9017" s="11">
        <v>9306.16</v>
      </c>
      <c r="F9017" s="3">
        <v>37728</v>
      </c>
      <c r="G9017" s="2" t="s">
        <v>14104</v>
      </c>
      <c r="H9017" s="3">
        <v>43053</v>
      </c>
      <c r="I9017" s="2" t="s">
        <v>19506</v>
      </c>
      <c r="J9017" s="2" t="s">
        <v>13904</v>
      </c>
      <c r="K9017" s="2" t="s">
        <v>19242</v>
      </c>
      <c r="L9017" s="82" t="s">
        <v>19512</v>
      </c>
    </row>
    <row r="9018" spans="1:12" ht="96" customHeight="1" x14ac:dyDescent="0.3">
      <c r="A9018" s="2">
        <v>9014</v>
      </c>
      <c r="B9018" s="66" t="s">
        <v>10583</v>
      </c>
      <c r="C9018" s="66" t="s">
        <v>10378</v>
      </c>
      <c r="D9018" s="11">
        <v>9306.16</v>
      </c>
      <c r="E9018" s="11">
        <v>9306.16</v>
      </c>
      <c r="F9018" s="3">
        <v>37638</v>
      </c>
      <c r="G9018" s="2" t="s">
        <v>14104</v>
      </c>
      <c r="H9018" s="3">
        <v>43053</v>
      </c>
      <c r="I9018" s="2" t="s">
        <v>19506</v>
      </c>
      <c r="J9018" s="2" t="s">
        <v>13904</v>
      </c>
      <c r="K9018" s="2" t="s">
        <v>19242</v>
      </c>
      <c r="L9018" s="82" t="s">
        <v>19512</v>
      </c>
    </row>
    <row r="9019" spans="1:12" ht="96" customHeight="1" x14ac:dyDescent="0.3">
      <c r="A9019" s="2">
        <v>9015</v>
      </c>
      <c r="B9019" s="66" t="s">
        <v>10584</v>
      </c>
      <c r="C9019" s="66" t="s">
        <v>10585</v>
      </c>
      <c r="D9019" s="11">
        <v>9997.7999999999993</v>
      </c>
      <c r="E9019" s="11">
        <v>9997.7999999999993</v>
      </c>
      <c r="F9019" s="3">
        <v>38028</v>
      </c>
      <c r="G9019" s="2" t="s">
        <v>14104</v>
      </c>
      <c r="H9019" s="3">
        <v>43053</v>
      </c>
      <c r="I9019" s="2" t="s">
        <v>19506</v>
      </c>
      <c r="J9019" s="2" t="s">
        <v>13904</v>
      </c>
      <c r="K9019" s="2" t="s">
        <v>19242</v>
      </c>
      <c r="L9019" s="82" t="s">
        <v>19512</v>
      </c>
    </row>
    <row r="9020" spans="1:12" ht="96" customHeight="1" x14ac:dyDescent="0.3">
      <c r="A9020" s="2">
        <v>9016</v>
      </c>
      <c r="B9020" s="66" t="s">
        <v>1080</v>
      </c>
      <c r="C9020" s="66" t="s">
        <v>10586</v>
      </c>
      <c r="D9020" s="11">
        <v>3600.94</v>
      </c>
      <c r="E9020" s="11">
        <v>3600.94</v>
      </c>
      <c r="F9020" s="3">
        <v>36629</v>
      </c>
      <c r="G9020" s="2" t="s">
        <v>14104</v>
      </c>
      <c r="H9020" s="3">
        <v>43053</v>
      </c>
      <c r="I9020" s="2" t="s">
        <v>19506</v>
      </c>
      <c r="J9020" s="2" t="s">
        <v>13904</v>
      </c>
      <c r="K9020" s="2" t="s">
        <v>19242</v>
      </c>
      <c r="L9020" s="82" t="s">
        <v>19512</v>
      </c>
    </row>
    <row r="9021" spans="1:12" ht="96" customHeight="1" x14ac:dyDescent="0.3">
      <c r="A9021" s="2">
        <v>9017</v>
      </c>
      <c r="B9021" s="66" t="s">
        <v>10587</v>
      </c>
      <c r="C9021" s="66" t="s">
        <v>4936</v>
      </c>
      <c r="D9021" s="11">
        <v>5103.91</v>
      </c>
      <c r="E9021" s="11">
        <v>5103.91</v>
      </c>
      <c r="F9021" s="3">
        <v>36635</v>
      </c>
      <c r="G9021" s="2" t="s">
        <v>14104</v>
      </c>
      <c r="H9021" s="3">
        <v>43053</v>
      </c>
      <c r="I9021" s="2" t="s">
        <v>19506</v>
      </c>
      <c r="J9021" s="2" t="s">
        <v>13904</v>
      </c>
      <c r="K9021" s="2" t="s">
        <v>19242</v>
      </c>
      <c r="L9021" s="82" t="s">
        <v>19512</v>
      </c>
    </row>
    <row r="9022" spans="1:12" ht="96" customHeight="1" x14ac:dyDescent="0.3">
      <c r="A9022" s="2">
        <v>9018</v>
      </c>
      <c r="B9022" s="66" t="s">
        <v>10588</v>
      </c>
      <c r="C9022" s="66" t="s">
        <v>5095</v>
      </c>
      <c r="D9022" s="11">
        <v>5717.95</v>
      </c>
      <c r="E9022" s="11">
        <v>5717.95</v>
      </c>
      <c r="F9022" s="3">
        <v>37000</v>
      </c>
      <c r="G9022" s="2" t="s">
        <v>14104</v>
      </c>
      <c r="H9022" s="3">
        <v>43053</v>
      </c>
      <c r="I9022" s="2" t="s">
        <v>19506</v>
      </c>
      <c r="J9022" s="2" t="s">
        <v>13904</v>
      </c>
      <c r="K9022" s="2" t="s">
        <v>19242</v>
      </c>
      <c r="L9022" s="82" t="s">
        <v>19512</v>
      </c>
    </row>
    <row r="9023" spans="1:12" ht="96" customHeight="1" x14ac:dyDescent="0.3">
      <c r="A9023" s="2">
        <v>9019</v>
      </c>
      <c r="B9023" s="66" t="s">
        <v>10589</v>
      </c>
      <c r="C9023" s="66" t="s">
        <v>10590</v>
      </c>
      <c r="D9023" s="11">
        <v>4458</v>
      </c>
      <c r="E9023" s="11">
        <v>4458</v>
      </c>
      <c r="F9023" s="3">
        <v>39445</v>
      </c>
      <c r="G9023" s="2" t="s">
        <v>14104</v>
      </c>
      <c r="H9023" s="3">
        <v>43053</v>
      </c>
      <c r="I9023" s="2" t="s">
        <v>19506</v>
      </c>
      <c r="J9023" s="2" t="s">
        <v>13904</v>
      </c>
      <c r="K9023" s="2" t="s">
        <v>19242</v>
      </c>
      <c r="L9023" s="82" t="s">
        <v>19512</v>
      </c>
    </row>
    <row r="9024" spans="1:12" ht="96" customHeight="1" x14ac:dyDescent="0.3">
      <c r="A9024" s="2">
        <v>9020</v>
      </c>
      <c r="B9024" s="66" t="s">
        <v>10591</v>
      </c>
      <c r="C9024" s="66" t="s">
        <v>10592</v>
      </c>
      <c r="D9024" s="11">
        <v>35430.480000000003</v>
      </c>
      <c r="E9024" s="11">
        <v>35430.480000000003</v>
      </c>
      <c r="F9024" s="3">
        <v>36992</v>
      </c>
      <c r="G9024" s="2" t="s">
        <v>14104</v>
      </c>
      <c r="H9024" s="3">
        <v>43053</v>
      </c>
      <c r="I9024" s="2" t="s">
        <v>19506</v>
      </c>
      <c r="J9024" s="2" t="s">
        <v>13904</v>
      </c>
      <c r="K9024" s="2" t="s">
        <v>19242</v>
      </c>
      <c r="L9024" s="82" t="s">
        <v>19512</v>
      </c>
    </row>
    <row r="9025" spans="1:12" ht="96" customHeight="1" x14ac:dyDescent="0.3">
      <c r="A9025" s="2">
        <v>9021</v>
      </c>
      <c r="B9025" s="66" t="s">
        <v>10593</v>
      </c>
      <c r="C9025" s="66" t="s">
        <v>10594</v>
      </c>
      <c r="D9025" s="11">
        <v>4626.72</v>
      </c>
      <c r="E9025" s="11">
        <v>4626.72</v>
      </c>
      <c r="F9025" s="3">
        <v>36635</v>
      </c>
      <c r="G9025" s="2" t="s">
        <v>14104</v>
      </c>
      <c r="H9025" s="3">
        <v>43053</v>
      </c>
      <c r="I9025" s="2" t="s">
        <v>19506</v>
      </c>
      <c r="J9025" s="2" t="s">
        <v>13904</v>
      </c>
      <c r="K9025" s="2" t="s">
        <v>19242</v>
      </c>
      <c r="L9025" s="82" t="s">
        <v>19512</v>
      </c>
    </row>
    <row r="9026" spans="1:12" ht="96" customHeight="1" x14ac:dyDescent="0.3">
      <c r="A9026" s="2">
        <v>9022</v>
      </c>
      <c r="B9026" s="66" t="s">
        <v>10595</v>
      </c>
      <c r="C9026" s="66" t="s">
        <v>10596</v>
      </c>
      <c r="D9026" s="11">
        <v>8000</v>
      </c>
      <c r="E9026" s="11">
        <v>8000</v>
      </c>
      <c r="F9026" s="3">
        <v>36978</v>
      </c>
      <c r="G9026" s="2" t="s">
        <v>14104</v>
      </c>
      <c r="H9026" s="3">
        <v>43053</v>
      </c>
      <c r="I9026" s="2" t="s">
        <v>19506</v>
      </c>
      <c r="J9026" s="2" t="s">
        <v>13904</v>
      </c>
      <c r="K9026" s="2" t="s">
        <v>19242</v>
      </c>
      <c r="L9026" s="82" t="s">
        <v>19512</v>
      </c>
    </row>
    <row r="9027" spans="1:12" ht="96" customHeight="1" x14ac:dyDescent="0.3">
      <c r="A9027" s="2">
        <v>9023</v>
      </c>
      <c r="B9027" s="66" t="s">
        <v>10597</v>
      </c>
      <c r="C9027" s="66" t="s">
        <v>10598</v>
      </c>
      <c r="D9027" s="11">
        <v>3316.53</v>
      </c>
      <c r="E9027" s="11">
        <v>3316.53</v>
      </c>
      <c r="F9027" s="3">
        <v>36636</v>
      </c>
      <c r="G9027" s="2" t="s">
        <v>14104</v>
      </c>
      <c r="H9027" s="3">
        <v>43053</v>
      </c>
      <c r="I9027" s="2" t="s">
        <v>19506</v>
      </c>
      <c r="J9027" s="2" t="s">
        <v>13904</v>
      </c>
      <c r="K9027" s="2" t="s">
        <v>19242</v>
      </c>
      <c r="L9027" s="82" t="s">
        <v>19512</v>
      </c>
    </row>
    <row r="9028" spans="1:12" ht="96" customHeight="1" x14ac:dyDescent="0.3">
      <c r="A9028" s="2">
        <v>9024</v>
      </c>
      <c r="B9028" s="66" t="s">
        <v>10599</v>
      </c>
      <c r="C9028" s="66" t="s">
        <v>10600</v>
      </c>
      <c r="D9028" s="11">
        <v>3496.32</v>
      </c>
      <c r="E9028" s="11">
        <v>3496.32</v>
      </c>
      <c r="F9028" s="3">
        <v>36629</v>
      </c>
      <c r="G9028" s="2" t="s">
        <v>14104</v>
      </c>
      <c r="H9028" s="3">
        <v>43053</v>
      </c>
      <c r="I9028" s="2" t="s">
        <v>19506</v>
      </c>
      <c r="J9028" s="2" t="s">
        <v>13904</v>
      </c>
      <c r="K9028" s="2" t="s">
        <v>19242</v>
      </c>
      <c r="L9028" s="82" t="s">
        <v>19512</v>
      </c>
    </row>
    <row r="9029" spans="1:12" ht="96" customHeight="1" x14ac:dyDescent="0.3">
      <c r="A9029" s="2">
        <v>9025</v>
      </c>
      <c r="B9029" s="66" t="s">
        <v>10599</v>
      </c>
      <c r="C9029" s="66" t="s">
        <v>10601</v>
      </c>
      <c r="D9029" s="11">
        <v>3496.32</v>
      </c>
      <c r="E9029" s="11">
        <v>3496.32</v>
      </c>
      <c r="F9029" s="3">
        <v>36629</v>
      </c>
      <c r="G9029" s="2" t="s">
        <v>14104</v>
      </c>
      <c r="H9029" s="3">
        <v>43053</v>
      </c>
      <c r="I9029" s="2" t="s">
        <v>19506</v>
      </c>
      <c r="J9029" s="2" t="s">
        <v>13904</v>
      </c>
      <c r="K9029" s="2" t="s">
        <v>19242</v>
      </c>
      <c r="L9029" s="82" t="s">
        <v>19512</v>
      </c>
    </row>
    <row r="9030" spans="1:12" ht="96" customHeight="1" x14ac:dyDescent="0.3">
      <c r="A9030" s="2">
        <v>9026</v>
      </c>
      <c r="B9030" s="66" t="s">
        <v>10602</v>
      </c>
      <c r="C9030" s="66" t="s">
        <v>10603</v>
      </c>
      <c r="D9030" s="11">
        <v>4586.26</v>
      </c>
      <c r="E9030" s="11">
        <v>4586.26</v>
      </c>
      <c r="F9030" s="3">
        <v>36621</v>
      </c>
      <c r="G9030" s="2" t="s">
        <v>14104</v>
      </c>
      <c r="H9030" s="3">
        <v>43053</v>
      </c>
      <c r="I9030" s="2" t="s">
        <v>19506</v>
      </c>
      <c r="J9030" s="2" t="s">
        <v>13904</v>
      </c>
      <c r="K9030" s="2" t="s">
        <v>19242</v>
      </c>
      <c r="L9030" s="82" t="s">
        <v>19512</v>
      </c>
    </row>
    <row r="9031" spans="1:12" ht="96" customHeight="1" x14ac:dyDescent="0.3">
      <c r="A9031" s="2">
        <v>9027</v>
      </c>
      <c r="B9031" s="66" t="s">
        <v>10604</v>
      </c>
      <c r="C9031" s="66" t="s">
        <v>10605</v>
      </c>
      <c r="D9031" s="11">
        <v>3363.29</v>
      </c>
      <c r="E9031" s="11">
        <v>3363.29</v>
      </c>
      <c r="F9031" s="3">
        <v>36628</v>
      </c>
      <c r="G9031" s="2" t="s">
        <v>14104</v>
      </c>
      <c r="H9031" s="3">
        <v>43053</v>
      </c>
      <c r="I9031" s="2" t="s">
        <v>19506</v>
      </c>
      <c r="J9031" s="2" t="s">
        <v>13904</v>
      </c>
      <c r="K9031" s="2" t="s">
        <v>19242</v>
      </c>
      <c r="L9031" s="82" t="s">
        <v>19512</v>
      </c>
    </row>
    <row r="9032" spans="1:12" ht="96" customHeight="1" x14ac:dyDescent="0.3">
      <c r="A9032" s="2">
        <v>9028</v>
      </c>
      <c r="B9032" s="66" t="s">
        <v>10606</v>
      </c>
      <c r="C9032" s="66" t="s">
        <v>10607</v>
      </c>
      <c r="D9032" s="11">
        <v>4842.66</v>
      </c>
      <c r="E9032" s="11">
        <v>4842.66</v>
      </c>
      <c r="F9032" s="3">
        <v>36621</v>
      </c>
      <c r="G9032" s="2" t="s">
        <v>14104</v>
      </c>
      <c r="H9032" s="3">
        <v>43053</v>
      </c>
      <c r="I9032" s="2" t="s">
        <v>19506</v>
      </c>
      <c r="J9032" s="2" t="s">
        <v>13904</v>
      </c>
      <c r="K9032" s="2" t="s">
        <v>19242</v>
      </c>
      <c r="L9032" s="82" t="s">
        <v>19512</v>
      </c>
    </row>
    <row r="9033" spans="1:12" ht="96" customHeight="1" x14ac:dyDescent="0.3">
      <c r="A9033" s="2">
        <v>9029</v>
      </c>
      <c r="B9033" s="66" t="s">
        <v>10608</v>
      </c>
      <c r="C9033" s="66" t="s">
        <v>3143</v>
      </c>
      <c r="D9033" s="11">
        <v>29999</v>
      </c>
      <c r="E9033" s="11">
        <v>29999</v>
      </c>
      <c r="F9033" s="3">
        <v>41272</v>
      </c>
      <c r="G9033" s="2" t="s">
        <v>14104</v>
      </c>
      <c r="H9033" s="3">
        <v>43053</v>
      </c>
      <c r="I9033" s="2" t="s">
        <v>19506</v>
      </c>
      <c r="J9033" s="2" t="s">
        <v>13904</v>
      </c>
      <c r="K9033" s="2" t="s">
        <v>19242</v>
      </c>
      <c r="L9033" s="82" t="s">
        <v>19512</v>
      </c>
    </row>
    <row r="9034" spans="1:12" ht="96" customHeight="1" x14ac:dyDescent="0.3">
      <c r="A9034" s="2">
        <v>9030</v>
      </c>
      <c r="B9034" s="66" t="s">
        <v>10609</v>
      </c>
      <c r="C9034" s="66" t="s">
        <v>3336</v>
      </c>
      <c r="D9034" s="11">
        <v>5535</v>
      </c>
      <c r="E9034" s="11">
        <v>5535</v>
      </c>
      <c r="F9034" s="3">
        <v>41272</v>
      </c>
      <c r="G9034" s="2" t="s">
        <v>14104</v>
      </c>
      <c r="H9034" s="3">
        <v>43053</v>
      </c>
      <c r="I9034" s="2" t="s">
        <v>19506</v>
      </c>
      <c r="J9034" s="2" t="s">
        <v>13904</v>
      </c>
      <c r="K9034" s="2" t="s">
        <v>19242</v>
      </c>
      <c r="L9034" s="82" t="s">
        <v>19512</v>
      </c>
    </row>
    <row r="9035" spans="1:12" ht="96" customHeight="1" x14ac:dyDescent="0.3">
      <c r="A9035" s="2">
        <v>9031</v>
      </c>
      <c r="B9035" s="66" t="s">
        <v>10578</v>
      </c>
      <c r="C9035" s="66" t="s">
        <v>7533</v>
      </c>
      <c r="D9035" s="11">
        <v>4653</v>
      </c>
      <c r="E9035" s="11">
        <v>4653</v>
      </c>
      <c r="F9035" s="3">
        <v>36621</v>
      </c>
      <c r="G9035" s="2" t="s">
        <v>14104</v>
      </c>
      <c r="H9035" s="3">
        <v>43053</v>
      </c>
      <c r="I9035" s="2" t="s">
        <v>19506</v>
      </c>
      <c r="J9035" s="2" t="s">
        <v>13904</v>
      </c>
      <c r="K9035" s="2" t="s">
        <v>19242</v>
      </c>
      <c r="L9035" s="82" t="s">
        <v>19512</v>
      </c>
    </row>
    <row r="9036" spans="1:12" ht="96" customHeight="1" x14ac:dyDescent="0.3">
      <c r="A9036" s="2">
        <v>9032</v>
      </c>
      <c r="B9036" s="66" t="s">
        <v>10593</v>
      </c>
      <c r="C9036" s="66" t="s">
        <v>10610</v>
      </c>
      <c r="D9036" s="11">
        <v>4626.72</v>
      </c>
      <c r="E9036" s="11">
        <v>4626.72</v>
      </c>
      <c r="F9036" s="3">
        <v>36635</v>
      </c>
      <c r="G9036" s="2" t="s">
        <v>14104</v>
      </c>
      <c r="H9036" s="3">
        <v>43053</v>
      </c>
      <c r="I9036" s="2" t="s">
        <v>19506</v>
      </c>
      <c r="J9036" s="2" t="s">
        <v>13904</v>
      </c>
      <c r="K9036" s="2" t="s">
        <v>19242</v>
      </c>
      <c r="L9036" s="82" t="s">
        <v>19512</v>
      </c>
    </row>
    <row r="9037" spans="1:12" ht="96" customHeight="1" x14ac:dyDescent="0.3">
      <c r="A9037" s="2">
        <v>9033</v>
      </c>
      <c r="B9037" s="66" t="s">
        <v>10573</v>
      </c>
      <c r="C9037" s="66" t="s">
        <v>10611</v>
      </c>
      <c r="D9037" s="11">
        <v>5080.8500000000004</v>
      </c>
      <c r="E9037" s="11">
        <v>5080.8500000000004</v>
      </c>
      <c r="F9037" s="3">
        <v>36628</v>
      </c>
      <c r="G9037" s="2" t="s">
        <v>14104</v>
      </c>
      <c r="H9037" s="3">
        <v>43053</v>
      </c>
      <c r="I9037" s="2" t="s">
        <v>19506</v>
      </c>
      <c r="J9037" s="2" t="s">
        <v>13904</v>
      </c>
      <c r="K9037" s="2" t="s">
        <v>19242</v>
      </c>
      <c r="L9037" s="82" t="s">
        <v>19512</v>
      </c>
    </row>
    <row r="9038" spans="1:12" ht="96" customHeight="1" x14ac:dyDescent="0.3">
      <c r="A9038" s="2">
        <v>9034</v>
      </c>
      <c r="B9038" s="66" t="s">
        <v>10573</v>
      </c>
      <c r="C9038" s="66" t="s">
        <v>9824</v>
      </c>
      <c r="D9038" s="11">
        <v>5080.84</v>
      </c>
      <c r="E9038" s="11">
        <v>5080.84</v>
      </c>
      <c r="F9038" s="3">
        <v>36628</v>
      </c>
      <c r="G9038" s="2" t="s">
        <v>14104</v>
      </c>
      <c r="H9038" s="3">
        <v>43053</v>
      </c>
      <c r="I9038" s="2" t="s">
        <v>19506</v>
      </c>
      <c r="J9038" s="2" t="s">
        <v>13904</v>
      </c>
      <c r="K9038" s="2" t="s">
        <v>19242</v>
      </c>
      <c r="L9038" s="82" t="s">
        <v>19512</v>
      </c>
    </row>
    <row r="9039" spans="1:12" ht="96" customHeight="1" x14ac:dyDescent="0.3">
      <c r="A9039" s="2">
        <v>9035</v>
      </c>
      <c r="B9039" s="66" t="s">
        <v>10589</v>
      </c>
      <c r="C9039" s="66" t="s">
        <v>10612</v>
      </c>
      <c r="D9039" s="11">
        <v>4458</v>
      </c>
      <c r="E9039" s="11">
        <v>4458</v>
      </c>
      <c r="F9039" s="3">
        <v>39445</v>
      </c>
      <c r="G9039" s="2" t="s">
        <v>14104</v>
      </c>
      <c r="H9039" s="3">
        <v>43053</v>
      </c>
      <c r="I9039" s="2" t="s">
        <v>19506</v>
      </c>
      <c r="J9039" s="2" t="s">
        <v>13904</v>
      </c>
      <c r="K9039" s="2" t="s">
        <v>19242</v>
      </c>
      <c r="L9039" s="82" t="s">
        <v>19512</v>
      </c>
    </row>
    <row r="9040" spans="1:12" ht="96" customHeight="1" x14ac:dyDescent="0.3">
      <c r="A9040" s="2">
        <v>9036</v>
      </c>
      <c r="B9040" s="66" t="s">
        <v>10589</v>
      </c>
      <c r="C9040" s="66" t="s">
        <v>10613</v>
      </c>
      <c r="D9040" s="11">
        <v>4458</v>
      </c>
      <c r="E9040" s="11">
        <v>4458</v>
      </c>
      <c r="F9040" s="3">
        <v>39445</v>
      </c>
      <c r="G9040" s="2" t="s">
        <v>14104</v>
      </c>
      <c r="H9040" s="3">
        <v>43053</v>
      </c>
      <c r="I9040" s="2" t="s">
        <v>19506</v>
      </c>
      <c r="J9040" s="2" t="s">
        <v>13904</v>
      </c>
      <c r="K9040" s="2" t="s">
        <v>19242</v>
      </c>
      <c r="L9040" s="82" t="s">
        <v>19512</v>
      </c>
    </row>
    <row r="9041" spans="1:15" ht="96" customHeight="1" x14ac:dyDescent="0.3">
      <c r="A9041" s="2">
        <v>9037</v>
      </c>
      <c r="B9041" s="66" t="s">
        <v>10589</v>
      </c>
      <c r="C9041" s="66" t="s">
        <v>4711</v>
      </c>
      <c r="D9041" s="11">
        <v>4458</v>
      </c>
      <c r="E9041" s="11">
        <v>4458</v>
      </c>
      <c r="F9041" s="3">
        <v>39445</v>
      </c>
      <c r="G9041" s="2" t="s">
        <v>14104</v>
      </c>
      <c r="H9041" s="3">
        <v>43053</v>
      </c>
      <c r="I9041" s="2" t="s">
        <v>19506</v>
      </c>
      <c r="J9041" s="2" t="s">
        <v>13904</v>
      </c>
      <c r="K9041" s="2" t="s">
        <v>19242</v>
      </c>
      <c r="L9041" s="82" t="s">
        <v>19512</v>
      </c>
    </row>
    <row r="9042" spans="1:15" ht="96" customHeight="1" x14ac:dyDescent="0.3">
      <c r="A9042" s="2">
        <v>9038</v>
      </c>
      <c r="B9042" s="66" t="s">
        <v>10602</v>
      </c>
      <c r="C9042" s="66" t="s">
        <v>10614</v>
      </c>
      <c r="D9042" s="11">
        <v>4586.26</v>
      </c>
      <c r="E9042" s="11">
        <v>4586.26</v>
      </c>
      <c r="F9042" s="3">
        <v>36621</v>
      </c>
      <c r="G9042" s="2" t="s">
        <v>14104</v>
      </c>
      <c r="H9042" s="3">
        <v>43053</v>
      </c>
      <c r="I9042" s="2" t="s">
        <v>19506</v>
      </c>
      <c r="J9042" s="2" t="s">
        <v>13904</v>
      </c>
      <c r="K9042" s="2" t="s">
        <v>19242</v>
      </c>
      <c r="L9042" s="82" t="s">
        <v>19512</v>
      </c>
    </row>
    <row r="9043" spans="1:15" ht="96" customHeight="1" x14ac:dyDescent="0.3">
      <c r="A9043" s="2">
        <v>9039</v>
      </c>
      <c r="B9043" s="66" t="s">
        <v>10602</v>
      </c>
      <c r="C9043" s="66" t="s">
        <v>10615</v>
      </c>
      <c r="D9043" s="11">
        <v>4586.26</v>
      </c>
      <c r="E9043" s="11">
        <v>4586.26</v>
      </c>
      <c r="F9043" s="3">
        <v>41634</v>
      </c>
      <c r="G9043" s="2" t="s">
        <v>14104</v>
      </c>
      <c r="H9043" s="3">
        <v>43053</v>
      </c>
      <c r="I9043" s="2" t="s">
        <v>19506</v>
      </c>
      <c r="J9043" s="2" t="s">
        <v>13904</v>
      </c>
      <c r="K9043" s="2" t="s">
        <v>19242</v>
      </c>
      <c r="L9043" s="82" t="s">
        <v>19512</v>
      </c>
    </row>
    <row r="9044" spans="1:15" ht="96" customHeight="1" x14ac:dyDescent="0.3">
      <c r="A9044" s="2">
        <v>9040</v>
      </c>
      <c r="B9044" s="66" t="s">
        <v>10602</v>
      </c>
      <c r="C9044" s="66" t="s">
        <v>10616</v>
      </c>
      <c r="D9044" s="11">
        <v>4586.26</v>
      </c>
      <c r="E9044" s="11">
        <v>4586.26</v>
      </c>
      <c r="F9044" s="3">
        <v>36621</v>
      </c>
      <c r="G9044" s="2" t="s">
        <v>14104</v>
      </c>
      <c r="H9044" s="3">
        <v>43053</v>
      </c>
      <c r="I9044" s="2" t="s">
        <v>19506</v>
      </c>
      <c r="J9044" s="2" t="s">
        <v>13904</v>
      </c>
      <c r="K9044" s="2" t="s">
        <v>19242</v>
      </c>
      <c r="L9044" s="82" t="s">
        <v>19512</v>
      </c>
    </row>
    <row r="9045" spans="1:15" ht="96" customHeight="1" x14ac:dyDescent="0.3">
      <c r="A9045" s="2">
        <v>9041</v>
      </c>
      <c r="B9045" s="66" t="s">
        <v>10602</v>
      </c>
      <c r="C9045" s="66" t="s">
        <v>10617</v>
      </c>
      <c r="D9045" s="11">
        <v>4586.26</v>
      </c>
      <c r="E9045" s="11">
        <v>4586.26</v>
      </c>
      <c r="F9045" s="3"/>
      <c r="G9045" s="2" t="s">
        <v>14104</v>
      </c>
      <c r="H9045" s="3">
        <v>43053</v>
      </c>
      <c r="I9045" s="2" t="s">
        <v>19506</v>
      </c>
      <c r="J9045" s="2" t="s">
        <v>13904</v>
      </c>
      <c r="K9045" s="2" t="s">
        <v>19242</v>
      </c>
      <c r="L9045" s="82" t="s">
        <v>19512</v>
      </c>
    </row>
    <row r="9046" spans="1:15" ht="96" customHeight="1" x14ac:dyDescent="0.3">
      <c r="A9046" s="2">
        <v>9042</v>
      </c>
      <c r="B9046" s="66" t="s">
        <v>10618</v>
      </c>
      <c r="C9046" s="66" t="s">
        <v>10619</v>
      </c>
      <c r="D9046" s="11">
        <v>4400</v>
      </c>
      <c r="E9046" s="11">
        <v>4400</v>
      </c>
      <c r="F9046" s="3"/>
      <c r="G9046" s="2" t="s">
        <v>14104</v>
      </c>
      <c r="H9046" s="3">
        <v>43053</v>
      </c>
      <c r="I9046" s="2" t="s">
        <v>19506</v>
      </c>
      <c r="J9046" s="2" t="s">
        <v>13904</v>
      </c>
      <c r="K9046" s="2" t="s">
        <v>19242</v>
      </c>
      <c r="L9046" s="82" t="s">
        <v>19512</v>
      </c>
    </row>
    <row r="9047" spans="1:15" ht="96" customHeight="1" x14ac:dyDescent="0.3">
      <c r="A9047" s="2">
        <v>9043</v>
      </c>
      <c r="B9047" s="66" t="s">
        <v>3739</v>
      </c>
      <c r="C9047" s="66" t="s">
        <v>3742</v>
      </c>
      <c r="D9047" s="11">
        <v>1984.9</v>
      </c>
      <c r="E9047" s="11">
        <v>1984.9</v>
      </c>
      <c r="F9047" s="3">
        <v>38735</v>
      </c>
      <c r="G9047" s="2" t="s">
        <v>14104</v>
      </c>
      <c r="H9047" s="3">
        <v>43053</v>
      </c>
      <c r="I9047" s="2" t="s">
        <v>19506</v>
      </c>
      <c r="J9047" s="2" t="s">
        <v>13904</v>
      </c>
      <c r="K9047" s="2" t="s">
        <v>19242</v>
      </c>
      <c r="L9047" s="82" t="s">
        <v>19512</v>
      </c>
    </row>
    <row r="9048" spans="1:15" ht="96" customHeight="1" x14ac:dyDescent="0.3">
      <c r="A9048" s="2">
        <v>9044</v>
      </c>
      <c r="B9048" s="66" t="s">
        <v>10620</v>
      </c>
      <c r="C9048" s="66" t="s">
        <v>10621</v>
      </c>
      <c r="D9048" s="11">
        <v>3500</v>
      </c>
      <c r="E9048" s="11">
        <v>3500</v>
      </c>
      <c r="F9048" s="3">
        <v>41029</v>
      </c>
      <c r="G9048" s="2" t="s">
        <v>14104</v>
      </c>
      <c r="H9048" s="3">
        <v>43053</v>
      </c>
      <c r="I9048" s="2" t="s">
        <v>19506</v>
      </c>
      <c r="J9048" s="2" t="s">
        <v>13904</v>
      </c>
      <c r="K9048" s="2" t="s">
        <v>19242</v>
      </c>
      <c r="L9048" s="82" t="s">
        <v>19512</v>
      </c>
    </row>
    <row r="9049" spans="1:15" s="19" customFormat="1" ht="84" customHeight="1" x14ac:dyDescent="0.3">
      <c r="A9049" s="2">
        <v>9045</v>
      </c>
      <c r="B9049" s="66" t="s">
        <v>10622</v>
      </c>
      <c r="C9049" s="66" t="s">
        <v>5216</v>
      </c>
      <c r="D9049" s="11">
        <v>16212</v>
      </c>
      <c r="E9049" s="11">
        <v>16212</v>
      </c>
      <c r="F9049" s="3">
        <v>40282</v>
      </c>
      <c r="G9049" s="2"/>
      <c r="H9049" s="2"/>
      <c r="I9049" s="2"/>
      <c r="J9049" s="2" t="s">
        <v>13904</v>
      </c>
      <c r="K9049" s="2" t="s">
        <v>23850</v>
      </c>
      <c r="L9049" s="2" t="s">
        <v>22280</v>
      </c>
      <c r="M9049" s="18"/>
      <c r="N9049" s="18"/>
      <c r="O9049" s="18"/>
    </row>
    <row r="9050" spans="1:15" ht="84" customHeight="1" x14ac:dyDescent="0.3">
      <c r="A9050" s="2">
        <v>9046</v>
      </c>
      <c r="B9050" s="66" t="s">
        <v>10623</v>
      </c>
      <c r="C9050" s="66" t="s">
        <v>10624</v>
      </c>
      <c r="D9050" s="11">
        <v>48150</v>
      </c>
      <c r="E9050" s="11">
        <v>46887.75</v>
      </c>
      <c r="F9050" s="3">
        <v>40282</v>
      </c>
      <c r="G9050" s="2"/>
      <c r="H9050" s="2"/>
      <c r="I9050" s="2"/>
      <c r="J9050" s="2" t="s">
        <v>13904</v>
      </c>
      <c r="K9050" s="2" t="s">
        <v>19262</v>
      </c>
      <c r="L9050" s="242" t="s">
        <v>22280</v>
      </c>
    </row>
    <row r="9051" spans="1:15" ht="84" customHeight="1" x14ac:dyDescent="0.3">
      <c r="A9051" s="2">
        <v>9047</v>
      </c>
      <c r="B9051" s="66" t="s">
        <v>5485</v>
      </c>
      <c r="C9051" s="66" t="s">
        <v>5220</v>
      </c>
      <c r="D9051" s="11">
        <v>11362.8</v>
      </c>
      <c r="E9051" s="11">
        <v>11362.8</v>
      </c>
      <c r="F9051" s="3">
        <v>40282</v>
      </c>
      <c r="G9051" s="2"/>
      <c r="H9051" s="2"/>
      <c r="I9051" s="2"/>
      <c r="J9051" s="2" t="s">
        <v>13904</v>
      </c>
      <c r="K9051" s="2" t="s">
        <v>19262</v>
      </c>
      <c r="L9051" s="242" t="s">
        <v>22280</v>
      </c>
    </row>
    <row r="9052" spans="1:15" ht="84" customHeight="1" x14ac:dyDescent="0.3">
      <c r="A9052" s="2">
        <v>9048</v>
      </c>
      <c r="B9052" s="66" t="s">
        <v>10625</v>
      </c>
      <c r="C9052" s="66" t="s">
        <v>10626</v>
      </c>
      <c r="D9052" s="11">
        <v>11362.8</v>
      </c>
      <c r="E9052" s="11">
        <v>11362.8</v>
      </c>
      <c r="F9052" s="3">
        <v>40282</v>
      </c>
      <c r="G9052" s="2"/>
      <c r="H9052" s="2"/>
      <c r="I9052" s="2"/>
      <c r="J9052" s="2" t="s">
        <v>13904</v>
      </c>
      <c r="K9052" s="2" t="s">
        <v>19262</v>
      </c>
      <c r="L9052" s="242" t="s">
        <v>22280</v>
      </c>
    </row>
    <row r="9053" spans="1:15" ht="84" customHeight="1" x14ac:dyDescent="0.3">
      <c r="A9053" s="2">
        <v>9049</v>
      </c>
      <c r="B9053" s="66" t="s">
        <v>10627</v>
      </c>
      <c r="C9053" s="66" t="s">
        <v>10628</v>
      </c>
      <c r="D9053" s="11">
        <v>11362.8</v>
      </c>
      <c r="E9053" s="11">
        <v>11362.8</v>
      </c>
      <c r="F9053" s="3">
        <v>40282</v>
      </c>
      <c r="G9053" s="2"/>
      <c r="H9053" s="2"/>
      <c r="I9053" s="2"/>
      <c r="J9053" s="2" t="s">
        <v>13904</v>
      </c>
      <c r="K9053" s="2" t="s">
        <v>19262</v>
      </c>
      <c r="L9053" s="242" t="s">
        <v>22280</v>
      </c>
    </row>
    <row r="9054" spans="1:15" ht="84" customHeight="1" x14ac:dyDescent="0.3">
      <c r="A9054" s="2">
        <v>9050</v>
      </c>
      <c r="B9054" s="66" t="s">
        <v>5485</v>
      </c>
      <c r="C9054" s="66" t="s">
        <v>10629</v>
      </c>
      <c r="D9054" s="11">
        <v>11362.8</v>
      </c>
      <c r="E9054" s="11">
        <v>11362.8</v>
      </c>
      <c r="F9054" s="3">
        <v>40282</v>
      </c>
      <c r="G9054" s="2"/>
      <c r="H9054" s="2"/>
      <c r="I9054" s="2"/>
      <c r="J9054" s="2" t="s">
        <v>13904</v>
      </c>
      <c r="K9054" s="2" t="s">
        <v>19262</v>
      </c>
      <c r="L9054" s="242" t="s">
        <v>22280</v>
      </c>
    </row>
    <row r="9055" spans="1:15" ht="84" customHeight="1" x14ac:dyDescent="0.3">
      <c r="A9055" s="2">
        <v>9051</v>
      </c>
      <c r="B9055" s="66" t="s">
        <v>10630</v>
      </c>
      <c r="C9055" s="66" t="s">
        <v>10631</v>
      </c>
      <c r="D9055" s="11">
        <v>168000</v>
      </c>
      <c r="E9055" s="11">
        <v>134770.91</v>
      </c>
      <c r="F9055" s="3">
        <v>39171</v>
      </c>
      <c r="G9055" s="2"/>
      <c r="H9055" s="2"/>
      <c r="I9055" s="2"/>
      <c r="J9055" s="2" t="s">
        <v>13904</v>
      </c>
      <c r="K9055" s="2" t="s">
        <v>19262</v>
      </c>
      <c r="L9055" s="82"/>
    </row>
    <row r="9056" spans="1:15" ht="84" customHeight="1" x14ac:dyDescent="0.3">
      <c r="A9056" s="2">
        <v>9052</v>
      </c>
      <c r="B9056" s="66" t="s">
        <v>10632</v>
      </c>
      <c r="C9056" s="66" t="s">
        <v>10633</v>
      </c>
      <c r="D9056" s="11">
        <v>6000</v>
      </c>
      <c r="E9056" s="11">
        <v>6000</v>
      </c>
      <c r="F9056" s="3">
        <v>40282</v>
      </c>
      <c r="G9056" s="2"/>
      <c r="H9056" s="2"/>
      <c r="I9056" s="2"/>
      <c r="J9056" s="2" t="s">
        <v>13904</v>
      </c>
      <c r="K9056" s="2" t="s">
        <v>19262</v>
      </c>
      <c r="L9056" s="242" t="s">
        <v>22280</v>
      </c>
    </row>
    <row r="9057" spans="1:12" ht="84" customHeight="1" x14ac:dyDescent="0.3">
      <c r="A9057" s="2">
        <v>9053</v>
      </c>
      <c r="B9057" s="66" t="s">
        <v>10634</v>
      </c>
      <c r="C9057" s="66" t="s">
        <v>4567</v>
      </c>
      <c r="D9057" s="11">
        <v>14880</v>
      </c>
      <c r="E9057" s="11">
        <v>14880</v>
      </c>
      <c r="F9057" s="3">
        <v>40282</v>
      </c>
      <c r="G9057" s="2"/>
      <c r="H9057" s="2"/>
      <c r="I9057" s="2"/>
      <c r="J9057" s="2" t="s">
        <v>13904</v>
      </c>
      <c r="K9057" s="2" t="s">
        <v>19262</v>
      </c>
      <c r="L9057" s="242" t="s">
        <v>22280</v>
      </c>
    </row>
    <row r="9058" spans="1:12" ht="84" customHeight="1" x14ac:dyDescent="0.3">
      <c r="A9058" s="2">
        <v>9054</v>
      </c>
      <c r="B9058" s="66" t="s">
        <v>10635</v>
      </c>
      <c r="C9058" s="66" t="s">
        <v>10636</v>
      </c>
      <c r="D9058" s="11">
        <v>30406.2</v>
      </c>
      <c r="E9058" s="11">
        <v>30406.2</v>
      </c>
      <c r="F9058" s="3">
        <v>40282</v>
      </c>
      <c r="G9058" s="2"/>
      <c r="H9058" s="2"/>
      <c r="I9058" s="2"/>
      <c r="J9058" s="2" t="s">
        <v>13904</v>
      </c>
      <c r="K9058" s="2" t="s">
        <v>19262</v>
      </c>
      <c r="L9058" s="242" t="s">
        <v>22280</v>
      </c>
    </row>
    <row r="9059" spans="1:12" ht="84" customHeight="1" x14ac:dyDescent="0.3">
      <c r="A9059" s="2">
        <v>9055</v>
      </c>
      <c r="B9059" s="66" t="s">
        <v>10637</v>
      </c>
      <c r="C9059" s="66" t="s">
        <v>10638</v>
      </c>
      <c r="D9059" s="11">
        <v>30406.2</v>
      </c>
      <c r="E9059" s="11">
        <v>30406.2</v>
      </c>
      <c r="F9059" s="3">
        <v>40282</v>
      </c>
      <c r="G9059" s="2"/>
      <c r="H9059" s="3">
        <v>42458</v>
      </c>
      <c r="I9059" s="2" t="s">
        <v>16268</v>
      </c>
      <c r="J9059" s="2" t="s">
        <v>13904</v>
      </c>
      <c r="K9059" s="2" t="s">
        <v>19262</v>
      </c>
      <c r="L9059" s="82"/>
    </row>
    <row r="9060" spans="1:12" ht="84" customHeight="1" x14ac:dyDescent="0.3">
      <c r="A9060" s="2">
        <v>9056</v>
      </c>
      <c r="B9060" s="66" t="s">
        <v>10639</v>
      </c>
      <c r="C9060" s="66" t="s">
        <v>10640</v>
      </c>
      <c r="D9060" s="11">
        <v>6000</v>
      </c>
      <c r="E9060" s="11">
        <v>6000</v>
      </c>
      <c r="F9060" s="3">
        <v>40282</v>
      </c>
      <c r="G9060" s="2"/>
      <c r="H9060" s="2"/>
      <c r="I9060" s="2"/>
      <c r="J9060" s="2" t="s">
        <v>13904</v>
      </c>
      <c r="K9060" s="2" t="s">
        <v>19262</v>
      </c>
      <c r="L9060" s="242" t="s">
        <v>22280</v>
      </c>
    </row>
    <row r="9061" spans="1:12" ht="84" customHeight="1" x14ac:dyDescent="0.3">
      <c r="A9061" s="2">
        <v>9057</v>
      </c>
      <c r="B9061" s="66" t="s">
        <v>10641</v>
      </c>
      <c r="C9061" s="66" t="s">
        <v>10642</v>
      </c>
      <c r="D9061" s="11">
        <v>11061</v>
      </c>
      <c r="E9061" s="11">
        <v>11061</v>
      </c>
      <c r="F9061" s="3">
        <v>40282</v>
      </c>
      <c r="G9061" s="2"/>
      <c r="H9061" s="2"/>
      <c r="I9061" s="2"/>
      <c r="J9061" s="2" t="s">
        <v>13904</v>
      </c>
      <c r="K9061" s="2" t="s">
        <v>19262</v>
      </c>
      <c r="L9061" s="242" t="s">
        <v>22280</v>
      </c>
    </row>
    <row r="9062" spans="1:12" ht="84" customHeight="1" x14ac:dyDescent="0.3">
      <c r="A9062" s="2">
        <v>9058</v>
      </c>
      <c r="B9062" s="66" t="s">
        <v>10643</v>
      </c>
      <c r="C9062" s="66" t="s">
        <v>10644</v>
      </c>
      <c r="D9062" s="11">
        <v>15000</v>
      </c>
      <c r="E9062" s="11">
        <v>15000</v>
      </c>
      <c r="F9062" s="3">
        <v>41884</v>
      </c>
      <c r="G9062" s="2"/>
      <c r="H9062" s="2"/>
      <c r="I9062" s="2"/>
      <c r="J9062" s="2" t="s">
        <v>13904</v>
      </c>
      <c r="K9062" s="2" t="s">
        <v>19262</v>
      </c>
      <c r="L9062" s="242" t="s">
        <v>22280</v>
      </c>
    </row>
    <row r="9063" spans="1:12" ht="84" customHeight="1" x14ac:dyDescent="0.3">
      <c r="A9063" s="2">
        <v>9059</v>
      </c>
      <c r="B9063" s="66" t="s">
        <v>10643</v>
      </c>
      <c r="C9063" s="66" t="s">
        <v>10645</v>
      </c>
      <c r="D9063" s="11">
        <v>15000</v>
      </c>
      <c r="E9063" s="11">
        <v>15000</v>
      </c>
      <c r="F9063" s="3">
        <v>41884</v>
      </c>
      <c r="G9063" s="2"/>
      <c r="H9063" s="2"/>
      <c r="I9063" s="2"/>
      <c r="J9063" s="2" t="s">
        <v>13904</v>
      </c>
      <c r="K9063" s="2" t="s">
        <v>19262</v>
      </c>
      <c r="L9063" s="242" t="s">
        <v>22280</v>
      </c>
    </row>
    <row r="9064" spans="1:12" ht="84" customHeight="1" x14ac:dyDescent="0.3">
      <c r="A9064" s="2">
        <v>9060</v>
      </c>
      <c r="B9064" s="66" t="s">
        <v>10646</v>
      </c>
      <c r="C9064" s="66" t="s">
        <v>10647</v>
      </c>
      <c r="D9064" s="11">
        <v>6316.28</v>
      </c>
      <c r="E9064" s="11">
        <v>6316.28</v>
      </c>
      <c r="F9064" s="3">
        <v>41052</v>
      </c>
      <c r="G9064" s="2"/>
      <c r="H9064" s="2"/>
      <c r="I9064" s="2"/>
      <c r="J9064" s="2" t="s">
        <v>13904</v>
      </c>
      <c r="K9064" s="2" t="s">
        <v>19262</v>
      </c>
      <c r="L9064" s="242" t="s">
        <v>22280</v>
      </c>
    </row>
    <row r="9065" spans="1:12" ht="84" customHeight="1" x14ac:dyDescent="0.3">
      <c r="A9065" s="2">
        <v>9061</v>
      </c>
      <c r="B9065" s="66" t="s">
        <v>273</v>
      </c>
      <c r="C9065" s="66" t="s">
        <v>10648</v>
      </c>
      <c r="D9065" s="11">
        <v>31000</v>
      </c>
      <c r="E9065" s="11">
        <v>31000</v>
      </c>
      <c r="F9065" s="3">
        <v>41911</v>
      </c>
      <c r="G9065" s="2"/>
      <c r="H9065" s="2"/>
      <c r="I9065" s="2"/>
      <c r="J9065" s="2" t="s">
        <v>13904</v>
      </c>
      <c r="K9065" s="2" t="s">
        <v>19262</v>
      </c>
      <c r="L9065" s="242" t="s">
        <v>22280</v>
      </c>
    </row>
    <row r="9066" spans="1:12" ht="84" customHeight="1" x14ac:dyDescent="0.3">
      <c r="A9066" s="2">
        <v>9062</v>
      </c>
      <c r="B9066" s="66" t="s">
        <v>10649</v>
      </c>
      <c r="C9066" s="66" t="s">
        <v>10650</v>
      </c>
      <c r="D9066" s="11">
        <v>15400</v>
      </c>
      <c r="E9066" s="11">
        <v>15400</v>
      </c>
      <c r="F9066" s="3">
        <v>41610</v>
      </c>
      <c r="G9066" s="2"/>
      <c r="H9066" s="2"/>
      <c r="I9066" s="2"/>
      <c r="J9066" s="2" t="s">
        <v>13904</v>
      </c>
      <c r="K9066" s="2" t="s">
        <v>19262</v>
      </c>
      <c r="L9066" s="242" t="s">
        <v>22280</v>
      </c>
    </row>
    <row r="9067" spans="1:12" ht="84" customHeight="1" x14ac:dyDescent="0.3">
      <c r="A9067" s="2">
        <v>9063</v>
      </c>
      <c r="B9067" s="66" t="s">
        <v>10651</v>
      </c>
      <c r="C9067" s="66" t="s">
        <v>10652</v>
      </c>
      <c r="D9067" s="11">
        <v>4550</v>
      </c>
      <c r="E9067" s="11">
        <v>4550</v>
      </c>
      <c r="F9067" s="3">
        <v>41635</v>
      </c>
      <c r="G9067" s="2"/>
      <c r="H9067" s="2"/>
      <c r="I9067" s="2"/>
      <c r="J9067" s="2" t="s">
        <v>13904</v>
      </c>
      <c r="K9067" s="2" t="s">
        <v>19262</v>
      </c>
      <c r="L9067" s="242" t="s">
        <v>22280</v>
      </c>
    </row>
    <row r="9068" spans="1:12" ht="84" customHeight="1" x14ac:dyDescent="0.3">
      <c r="A9068" s="2">
        <v>9064</v>
      </c>
      <c r="B9068" s="66" t="s">
        <v>10653</v>
      </c>
      <c r="C9068" s="66" t="s">
        <v>10654</v>
      </c>
      <c r="D9068" s="11">
        <v>26270</v>
      </c>
      <c r="E9068" s="11">
        <v>26270</v>
      </c>
      <c r="F9068" s="3">
        <v>41347</v>
      </c>
      <c r="G9068" s="2"/>
      <c r="H9068" s="2"/>
      <c r="I9068" s="2"/>
      <c r="J9068" s="2" t="s">
        <v>13904</v>
      </c>
      <c r="K9068" s="2" t="s">
        <v>19262</v>
      </c>
      <c r="L9068" s="242" t="s">
        <v>22280</v>
      </c>
    </row>
    <row r="9069" spans="1:12" ht="84" customHeight="1" x14ac:dyDescent="0.3">
      <c r="A9069" s="2">
        <v>9065</v>
      </c>
      <c r="B9069" s="66" t="s">
        <v>10655</v>
      </c>
      <c r="C9069" s="66" t="s">
        <v>10656</v>
      </c>
      <c r="D9069" s="11">
        <v>3572.1</v>
      </c>
      <c r="E9069" s="11">
        <v>3572.1</v>
      </c>
      <c r="F9069" s="3">
        <v>40282</v>
      </c>
      <c r="G9069" s="2"/>
      <c r="H9069" s="2"/>
      <c r="I9069" s="2"/>
      <c r="J9069" s="2" t="s">
        <v>13904</v>
      </c>
      <c r="K9069" s="2" t="s">
        <v>19262</v>
      </c>
      <c r="L9069" s="242" t="s">
        <v>22280</v>
      </c>
    </row>
    <row r="9070" spans="1:12" ht="84" customHeight="1" x14ac:dyDescent="0.3">
      <c r="A9070" s="2">
        <v>9066</v>
      </c>
      <c r="B9070" s="66" t="s">
        <v>10657</v>
      </c>
      <c r="C9070" s="66" t="s">
        <v>10658</v>
      </c>
      <c r="D9070" s="11">
        <v>6385.99</v>
      </c>
      <c r="E9070" s="11">
        <v>6385.99</v>
      </c>
      <c r="F9070" s="3">
        <v>40282</v>
      </c>
      <c r="G9070" s="2"/>
      <c r="H9070" s="2"/>
      <c r="I9070" s="2"/>
      <c r="J9070" s="2" t="s">
        <v>13904</v>
      </c>
      <c r="K9070" s="2" t="s">
        <v>19262</v>
      </c>
      <c r="L9070" s="242" t="s">
        <v>22280</v>
      </c>
    </row>
    <row r="9071" spans="1:12" ht="84" customHeight="1" x14ac:dyDescent="0.3">
      <c r="A9071" s="2">
        <v>9067</v>
      </c>
      <c r="B9071" s="66" t="s">
        <v>10659</v>
      </c>
      <c r="C9071" s="66" t="s">
        <v>10660</v>
      </c>
      <c r="D9071" s="11">
        <v>8995</v>
      </c>
      <c r="E9071" s="11">
        <v>8995</v>
      </c>
      <c r="F9071" s="3">
        <v>40282</v>
      </c>
      <c r="G9071" s="2"/>
      <c r="H9071" s="2"/>
      <c r="I9071" s="2"/>
      <c r="J9071" s="2" t="s">
        <v>13904</v>
      </c>
      <c r="K9071" s="2" t="s">
        <v>19262</v>
      </c>
      <c r="L9071" s="242" t="s">
        <v>22280</v>
      </c>
    </row>
    <row r="9072" spans="1:12" ht="84" customHeight="1" x14ac:dyDescent="0.3">
      <c r="A9072" s="2">
        <v>9068</v>
      </c>
      <c r="B9072" s="66" t="s">
        <v>10661</v>
      </c>
      <c r="C9072" s="66" t="s">
        <v>10662</v>
      </c>
      <c r="D9072" s="11">
        <v>8995</v>
      </c>
      <c r="E9072" s="11">
        <v>8995</v>
      </c>
      <c r="F9072" s="3">
        <v>40282</v>
      </c>
      <c r="G9072" s="2"/>
      <c r="H9072" s="2"/>
      <c r="I9072" s="2"/>
      <c r="J9072" s="2" t="s">
        <v>13904</v>
      </c>
      <c r="K9072" s="2" t="s">
        <v>19262</v>
      </c>
      <c r="L9072" s="242" t="s">
        <v>22280</v>
      </c>
    </row>
    <row r="9073" spans="1:12" ht="84" customHeight="1" x14ac:dyDescent="0.3">
      <c r="A9073" s="2">
        <v>9069</v>
      </c>
      <c r="B9073" s="66" t="s">
        <v>10663</v>
      </c>
      <c r="C9073" s="66" t="s">
        <v>10664</v>
      </c>
      <c r="D9073" s="11">
        <v>4370</v>
      </c>
      <c r="E9073" s="11">
        <v>4370</v>
      </c>
      <c r="F9073" s="3">
        <v>40282</v>
      </c>
      <c r="G9073" s="2"/>
      <c r="H9073" s="2"/>
      <c r="I9073" s="2"/>
      <c r="J9073" s="2" t="s">
        <v>13904</v>
      </c>
      <c r="K9073" s="2" t="s">
        <v>19262</v>
      </c>
      <c r="L9073" s="242" t="s">
        <v>22280</v>
      </c>
    </row>
    <row r="9074" spans="1:12" ht="84" customHeight="1" x14ac:dyDescent="0.3">
      <c r="A9074" s="2">
        <v>9070</v>
      </c>
      <c r="B9074" s="66" t="s">
        <v>10665</v>
      </c>
      <c r="C9074" s="66" t="s">
        <v>5373</v>
      </c>
      <c r="D9074" s="11">
        <v>8158.5</v>
      </c>
      <c r="E9074" s="11">
        <v>8158.5</v>
      </c>
      <c r="F9074" s="3">
        <v>40282</v>
      </c>
      <c r="G9074" s="2"/>
      <c r="H9074" s="2"/>
      <c r="I9074" s="2"/>
      <c r="J9074" s="2" t="s">
        <v>13904</v>
      </c>
      <c r="K9074" s="2" t="s">
        <v>19262</v>
      </c>
      <c r="L9074" s="242" t="s">
        <v>22280</v>
      </c>
    </row>
    <row r="9075" spans="1:12" ht="84" customHeight="1" x14ac:dyDescent="0.3">
      <c r="A9075" s="2">
        <v>9071</v>
      </c>
      <c r="B9075" s="66" t="s">
        <v>10666</v>
      </c>
      <c r="C9075" s="66" t="s">
        <v>10667</v>
      </c>
      <c r="D9075" s="11">
        <v>5439</v>
      </c>
      <c r="E9075" s="11">
        <v>5439</v>
      </c>
      <c r="F9075" s="3">
        <v>40282</v>
      </c>
      <c r="G9075" s="2"/>
      <c r="H9075" s="2"/>
      <c r="I9075" s="2"/>
      <c r="J9075" s="2" t="s">
        <v>13904</v>
      </c>
      <c r="K9075" s="2" t="s">
        <v>19262</v>
      </c>
      <c r="L9075" s="242" t="s">
        <v>22280</v>
      </c>
    </row>
    <row r="9076" spans="1:12" ht="84" customHeight="1" x14ac:dyDescent="0.3">
      <c r="A9076" s="2">
        <v>9072</v>
      </c>
      <c r="B9076" s="66" t="s">
        <v>10668</v>
      </c>
      <c r="C9076" s="66" t="s">
        <v>10669</v>
      </c>
      <c r="D9076" s="11">
        <v>21028</v>
      </c>
      <c r="E9076" s="11">
        <v>21028</v>
      </c>
      <c r="F9076" s="3">
        <v>40282</v>
      </c>
      <c r="G9076" s="2"/>
      <c r="H9076" s="2"/>
      <c r="I9076" s="2"/>
      <c r="J9076" s="2" t="s">
        <v>13904</v>
      </c>
      <c r="K9076" s="2" t="s">
        <v>19262</v>
      </c>
      <c r="L9076" s="242" t="s">
        <v>22280</v>
      </c>
    </row>
    <row r="9077" spans="1:12" ht="84" customHeight="1" x14ac:dyDescent="0.3">
      <c r="A9077" s="2">
        <v>9073</v>
      </c>
      <c r="B9077" s="66" t="s">
        <v>10670</v>
      </c>
      <c r="C9077" s="66" t="s">
        <v>10590</v>
      </c>
      <c r="D9077" s="11">
        <v>4473</v>
      </c>
      <c r="E9077" s="11">
        <v>4473</v>
      </c>
      <c r="F9077" s="3">
        <v>40282</v>
      </c>
      <c r="G9077" s="2"/>
      <c r="H9077" s="2"/>
      <c r="I9077" s="2"/>
      <c r="J9077" s="2" t="s">
        <v>13904</v>
      </c>
      <c r="K9077" s="2" t="s">
        <v>19262</v>
      </c>
      <c r="L9077" s="242" t="s">
        <v>22280</v>
      </c>
    </row>
    <row r="9078" spans="1:12" ht="84" customHeight="1" x14ac:dyDescent="0.3">
      <c r="A9078" s="2">
        <v>9074</v>
      </c>
      <c r="B9078" s="66" t="s">
        <v>10671</v>
      </c>
      <c r="C9078" s="66" t="s">
        <v>6007</v>
      </c>
      <c r="D9078" s="11">
        <v>5439</v>
      </c>
      <c r="E9078" s="11">
        <v>5439</v>
      </c>
      <c r="F9078" s="3">
        <v>40282</v>
      </c>
      <c r="G9078" s="2"/>
      <c r="H9078" s="2"/>
      <c r="I9078" s="2"/>
      <c r="J9078" s="2" t="s">
        <v>13904</v>
      </c>
      <c r="K9078" s="2" t="s">
        <v>19262</v>
      </c>
      <c r="L9078" s="242" t="s">
        <v>22280</v>
      </c>
    </row>
    <row r="9079" spans="1:12" ht="84" customHeight="1" x14ac:dyDescent="0.3">
      <c r="A9079" s="2">
        <v>9075</v>
      </c>
      <c r="B9079" s="66" t="s">
        <v>10672</v>
      </c>
      <c r="C9079" s="66" t="s">
        <v>10673</v>
      </c>
      <c r="D9079" s="11">
        <v>5216.3999999999996</v>
      </c>
      <c r="E9079" s="11">
        <v>5216.3999999999996</v>
      </c>
      <c r="F9079" s="3">
        <v>40282</v>
      </c>
      <c r="G9079" s="2"/>
      <c r="H9079" s="2"/>
      <c r="I9079" s="2"/>
      <c r="J9079" s="2" t="s">
        <v>13904</v>
      </c>
      <c r="K9079" s="2" t="s">
        <v>19262</v>
      </c>
      <c r="L9079" s="242" t="s">
        <v>22280</v>
      </c>
    </row>
    <row r="9080" spans="1:12" ht="84" customHeight="1" x14ac:dyDescent="0.3">
      <c r="A9080" s="2">
        <v>9076</v>
      </c>
      <c r="B9080" s="66" t="s">
        <v>10674</v>
      </c>
      <c r="C9080" s="66" t="s">
        <v>10675</v>
      </c>
      <c r="D9080" s="11">
        <v>5090.3999999999996</v>
      </c>
      <c r="E9080" s="11">
        <v>5090.3999999999996</v>
      </c>
      <c r="F9080" s="3">
        <v>40282</v>
      </c>
      <c r="G9080" s="2"/>
      <c r="H9080" s="2"/>
      <c r="I9080" s="2"/>
      <c r="J9080" s="2" t="s">
        <v>13904</v>
      </c>
      <c r="K9080" s="2" t="s">
        <v>19262</v>
      </c>
      <c r="L9080" s="242" t="s">
        <v>22280</v>
      </c>
    </row>
    <row r="9081" spans="1:12" ht="84" customHeight="1" x14ac:dyDescent="0.3">
      <c r="A9081" s="2">
        <v>9077</v>
      </c>
      <c r="B9081" s="66" t="s">
        <v>10676</v>
      </c>
      <c r="C9081" s="66" t="s">
        <v>10677</v>
      </c>
      <c r="D9081" s="11">
        <v>5090.3999999999996</v>
      </c>
      <c r="E9081" s="11">
        <v>5090.3999999999996</v>
      </c>
      <c r="F9081" s="3">
        <v>40282</v>
      </c>
      <c r="G9081" s="2"/>
      <c r="H9081" s="2"/>
      <c r="I9081" s="2"/>
      <c r="J9081" s="2" t="s">
        <v>13904</v>
      </c>
      <c r="K9081" s="2" t="s">
        <v>19262</v>
      </c>
      <c r="L9081" s="242" t="s">
        <v>22280</v>
      </c>
    </row>
    <row r="9082" spans="1:12" ht="84" customHeight="1" x14ac:dyDescent="0.3">
      <c r="A9082" s="2">
        <v>9078</v>
      </c>
      <c r="B9082" s="66" t="s">
        <v>10678</v>
      </c>
      <c r="C9082" s="66" t="s">
        <v>7694</v>
      </c>
      <c r="D9082" s="11">
        <v>4958.1000000000004</v>
      </c>
      <c r="E9082" s="11">
        <v>4958.1000000000004</v>
      </c>
      <c r="F9082" s="3">
        <v>40282</v>
      </c>
      <c r="G9082" s="2"/>
      <c r="H9082" s="2"/>
      <c r="I9082" s="2"/>
      <c r="J9082" s="2" t="s">
        <v>13904</v>
      </c>
      <c r="K9082" s="2" t="s">
        <v>19262</v>
      </c>
      <c r="L9082" s="242" t="s">
        <v>22280</v>
      </c>
    </row>
    <row r="9083" spans="1:12" ht="84" customHeight="1" x14ac:dyDescent="0.3">
      <c r="A9083" s="2">
        <v>9079</v>
      </c>
      <c r="B9083" s="66" t="s">
        <v>10679</v>
      </c>
      <c r="C9083" s="66" t="s">
        <v>10680</v>
      </c>
      <c r="D9083" s="11">
        <v>5137.43</v>
      </c>
      <c r="E9083" s="11">
        <v>5137.43</v>
      </c>
      <c r="F9083" s="3">
        <v>40282</v>
      </c>
      <c r="G9083" s="2"/>
      <c r="H9083" s="2"/>
      <c r="I9083" s="2"/>
      <c r="J9083" s="2" t="s">
        <v>13904</v>
      </c>
      <c r="K9083" s="2" t="s">
        <v>19262</v>
      </c>
      <c r="L9083" s="242" t="s">
        <v>22280</v>
      </c>
    </row>
    <row r="9084" spans="1:12" ht="84" customHeight="1" x14ac:dyDescent="0.3">
      <c r="A9084" s="2">
        <v>9080</v>
      </c>
      <c r="B9084" s="66" t="s">
        <v>10681</v>
      </c>
      <c r="C9084" s="66" t="s">
        <v>10682</v>
      </c>
      <c r="D9084" s="11">
        <v>10915.8</v>
      </c>
      <c r="E9084" s="11">
        <v>10915.8</v>
      </c>
      <c r="F9084" s="3">
        <v>40282</v>
      </c>
      <c r="G9084" s="2"/>
      <c r="H9084" s="2"/>
      <c r="I9084" s="2"/>
      <c r="J9084" s="2" t="s">
        <v>13904</v>
      </c>
      <c r="K9084" s="2" t="s">
        <v>19262</v>
      </c>
      <c r="L9084" s="242" t="s">
        <v>22280</v>
      </c>
    </row>
    <row r="9085" spans="1:12" ht="84" customHeight="1" x14ac:dyDescent="0.3">
      <c r="A9085" s="2">
        <v>9081</v>
      </c>
      <c r="B9085" s="66" t="s">
        <v>10683</v>
      </c>
      <c r="C9085" s="66" t="s">
        <v>10684</v>
      </c>
      <c r="D9085" s="11">
        <v>10915.81</v>
      </c>
      <c r="E9085" s="11">
        <v>10915.81</v>
      </c>
      <c r="F9085" s="3">
        <v>40282</v>
      </c>
      <c r="G9085" s="2"/>
      <c r="H9085" s="2"/>
      <c r="I9085" s="2"/>
      <c r="J9085" s="2" t="s">
        <v>13904</v>
      </c>
      <c r="K9085" s="2" t="s">
        <v>19262</v>
      </c>
      <c r="L9085" s="242" t="s">
        <v>22280</v>
      </c>
    </row>
    <row r="9086" spans="1:12" ht="84" customHeight="1" x14ac:dyDescent="0.3">
      <c r="A9086" s="2">
        <v>9082</v>
      </c>
      <c r="B9086" s="66" t="s">
        <v>10685</v>
      </c>
      <c r="C9086" s="66" t="s">
        <v>10686</v>
      </c>
      <c r="D9086" s="11">
        <v>10915.8</v>
      </c>
      <c r="E9086" s="11">
        <v>10915.8</v>
      </c>
      <c r="F9086" s="3">
        <v>40282</v>
      </c>
      <c r="G9086" s="2"/>
      <c r="H9086" s="2"/>
      <c r="I9086" s="2"/>
      <c r="J9086" s="2" t="s">
        <v>13904</v>
      </c>
      <c r="K9086" s="2" t="s">
        <v>19262</v>
      </c>
      <c r="L9086" s="242" t="s">
        <v>22280</v>
      </c>
    </row>
    <row r="9087" spans="1:12" ht="84" customHeight="1" x14ac:dyDescent="0.3">
      <c r="A9087" s="2">
        <v>9083</v>
      </c>
      <c r="B9087" s="66" t="s">
        <v>10687</v>
      </c>
      <c r="C9087" s="66" t="s">
        <v>10688</v>
      </c>
      <c r="D9087" s="11">
        <v>9964.5</v>
      </c>
      <c r="E9087" s="11">
        <v>9964.5</v>
      </c>
      <c r="F9087" s="3">
        <v>40282</v>
      </c>
      <c r="G9087" s="2"/>
      <c r="H9087" s="2"/>
      <c r="I9087" s="2"/>
      <c r="J9087" s="2" t="s">
        <v>13904</v>
      </c>
      <c r="K9087" s="2" t="s">
        <v>19262</v>
      </c>
      <c r="L9087" s="242" t="s">
        <v>22280</v>
      </c>
    </row>
    <row r="9088" spans="1:12" ht="84" customHeight="1" x14ac:dyDescent="0.3">
      <c r="A9088" s="2">
        <v>9084</v>
      </c>
      <c r="B9088" s="66" t="s">
        <v>10689</v>
      </c>
      <c r="C9088" s="66" t="s">
        <v>10690</v>
      </c>
      <c r="D9088" s="11">
        <v>9964.5</v>
      </c>
      <c r="E9088" s="11">
        <v>9964.5</v>
      </c>
      <c r="F9088" s="3">
        <v>40282</v>
      </c>
      <c r="G9088" s="2"/>
      <c r="H9088" s="2"/>
      <c r="I9088" s="2"/>
      <c r="J9088" s="2" t="s">
        <v>13904</v>
      </c>
      <c r="K9088" s="2" t="s">
        <v>19262</v>
      </c>
      <c r="L9088" s="242" t="s">
        <v>22280</v>
      </c>
    </row>
    <row r="9089" spans="1:12" ht="84" customHeight="1" x14ac:dyDescent="0.3">
      <c r="A9089" s="2">
        <v>9085</v>
      </c>
      <c r="B9089" s="66" t="s">
        <v>10689</v>
      </c>
      <c r="C9089" s="66" t="s">
        <v>5978</v>
      </c>
      <c r="D9089" s="11">
        <v>8303.74</v>
      </c>
      <c r="E9089" s="11">
        <v>8303.74</v>
      </c>
      <c r="F9089" s="3">
        <v>40282</v>
      </c>
      <c r="G9089" s="2"/>
      <c r="H9089" s="2"/>
      <c r="I9089" s="2"/>
      <c r="J9089" s="2" t="s">
        <v>13904</v>
      </c>
      <c r="K9089" s="2" t="s">
        <v>19262</v>
      </c>
      <c r="L9089" s="242" t="s">
        <v>22280</v>
      </c>
    </row>
    <row r="9090" spans="1:12" ht="84" customHeight="1" x14ac:dyDescent="0.3">
      <c r="A9090" s="2">
        <v>9086</v>
      </c>
      <c r="B9090" s="66" t="s">
        <v>10691</v>
      </c>
      <c r="C9090" s="66" t="s">
        <v>10692</v>
      </c>
      <c r="D9090" s="11">
        <v>6153.01</v>
      </c>
      <c r="E9090" s="11">
        <v>6153.01</v>
      </c>
      <c r="F9090" s="3">
        <v>40282</v>
      </c>
      <c r="G9090" s="2"/>
      <c r="H9090" s="2"/>
      <c r="I9090" s="2"/>
      <c r="J9090" s="2" t="s">
        <v>13904</v>
      </c>
      <c r="K9090" s="2" t="s">
        <v>19262</v>
      </c>
      <c r="L9090" s="242" t="s">
        <v>22280</v>
      </c>
    </row>
    <row r="9091" spans="1:12" ht="84" customHeight="1" x14ac:dyDescent="0.3">
      <c r="A9091" s="2">
        <v>9087</v>
      </c>
      <c r="B9091" s="66" t="s">
        <v>10661</v>
      </c>
      <c r="C9091" s="66" t="s">
        <v>10693</v>
      </c>
      <c r="D9091" s="11">
        <v>8995.16</v>
      </c>
      <c r="E9091" s="11">
        <v>8995.16</v>
      </c>
      <c r="F9091" s="3">
        <v>40282</v>
      </c>
      <c r="G9091" s="2"/>
      <c r="H9091" s="2"/>
      <c r="I9091" s="2"/>
      <c r="J9091" s="2" t="s">
        <v>13904</v>
      </c>
      <c r="K9091" s="2" t="s">
        <v>19262</v>
      </c>
      <c r="L9091" s="242" t="s">
        <v>22280</v>
      </c>
    </row>
    <row r="9092" spans="1:12" ht="84" customHeight="1" x14ac:dyDescent="0.3">
      <c r="A9092" s="2">
        <v>9088</v>
      </c>
      <c r="B9092" s="66" t="s">
        <v>10694</v>
      </c>
      <c r="C9092" s="66" t="s">
        <v>10695</v>
      </c>
      <c r="D9092" s="11">
        <v>4473</v>
      </c>
      <c r="E9092" s="11">
        <v>4473</v>
      </c>
      <c r="F9092" s="3">
        <v>40282</v>
      </c>
      <c r="G9092" s="2"/>
      <c r="H9092" s="2"/>
      <c r="I9092" s="2"/>
      <c r="J9092" s="2" t="s">
        <v>13904</v>
      </c>
      <c r="K9092" s="2" t="s">
        <v>19262</v>
      </c>
      <c r="L9092" s="242" t="s">
        <v>22280</v>
      </c>
    </row>
    <row r="9093" spans="1:12" ht="84" customHeight="1" x14ac:dyDescent="0.3">
      <c r="A9093" s="2">
        <v>9089</v>
      </c>
      <c r="B9093" s="66" t="s">
        <v>10696</v>
      </c>
      <c r="C9093" s="66" t="s">
        <v>10697</v>
      </c>
      <c r="D9093" s="11">
        <v>5439</v>
      </c>
      <c r="E9093" s="11">
        <v>5439</v>
      </c>
      <c r="F9093" s="3">
        <v>40282</v>
      </c>
      <c r="G9093" s="2"/>
      <c r="H9093" s="2"/>
      <c r="I9093" s="2"/>
      <c r="J9093" s="2" t="s">
        <v>13904</v>
      </c>
      <c r="K9093" s="2" t="s">
        <v>19262</v>
      </c>
      <c r="L9093" s="242" t="s">
        <v>22280</v>
      </c>
    </row>
    <row r="9094" spans="1:12" ht="84" customHeight="1" x14ac:dyDescent="0.3">
      <c r="A9094" s="2">
        <v>9090</v>
      </c>
      <c r="B9094" s="66" t="s">
        <v>10674</v>
      </c>
      <c r="C9094" s="66" t="s">
        <v>10698</v>
      </c>
      <c r="D9094" s="11">
        <v>5090.3999999999996</v>
      </c>
      <c r="E9094" s="11">
        <v>5090.3999999999996</v>
      </c>
      <c r="F9094" s="3">
        <v>40282</v>
      </c>
      <c r="G9094" s="2"/>
      <c r="H9094" s="2"/>
      <c r="I9094" s="2"/>
      <c r="J9094" s="2" t="s">
        <v>13904</v>
      </c>
      <c r="K9094" s="2" t="s">
        <v>19262</v>
      </c>
      <c r="L9094" s="242" t="s">
        <v>22280</v>
      </c>
    </row>
    <row r="9095" spans="1:12" ht="84" customHeight="1" x14ac:dyDescent="0.3">
      <c r="A9095" s="2">
        <v>9091</v>
      </c>
      <c r="B9095" s="66" t="s">
        <v>10665</v>
      </c>
      <c r="C9095" s="66" t="s">
        <v>10699</v>
      </c>
      <c r="D9095" s="11">
        <v>8158.49</v>
      </c>
      <c r="E9095" s="11">
        <v>8158.49</v>
      </c>
      <c r="F9095" s="3">
        <v>40282</v>
      </c>
      <c r="G9095" s="2"/>
      <c r="H9095" s="2"/>
      <c r="I9095" s="2"/>
      <c r="J9095" s="2" t="s">
        <v>13904</v>
      </c>
      <c r="K9095" s="2" t="s">
        <v>19262</v>
      </c>
      <c r="L9095" s="242" t="s">
        <v>22280</v>
      </c>
    </row>
    <row r="9096" spans="1:12" ht="84" customHeight="1" x14ac:dyDescent="0.3">
      <c r="A9096" s="2">
        <v>9092</v>
      </c>
      <c r="B9096" s="66" t="s">
        <v>10681</v>
      </c>
      <c r="C9096" s="66" t="s">
        <v>10700</v>
      </c>
      <c r="D9096" s="11">
        <v>10915.8</v>
      </c>
      <c r="E9096" s="11">
        <v>10915.8</v>
      </c>
      <c r="F9096" s="3">
        <v>40282</v>
      </c>
      <c r="G9096" s="2"/>
      <c r="H9096" s="2"/>
      <c r="I9096" s="2"/>
      <c r="J9096" s="2" t="s">
        <v>13904</v>
      </c>
      <c r="K9096" s="2" t="s">
        <v>19262</v>
      </c>
      <c r="L9096" s="242" t="s">
        <v>22280</v>
      </c>
    </row>
    <row r="9097" spans="1:12" ht="84" customHeight="1" x14ac:dyDescent="0.3">
      <c r="A9097" s="2">
        <v>9093</v>
      </c>
      <c r="B9097" s="66" t="s">
        <v>10701</v>
      </c>
      <c r="C9097" s="66" t="s">
        <v>10702</v>
      </c>
      <c r="D9097" s="11">
        <v>9964.5</v>
      </c>
      <c r="E9097" s="11">
        <v>9964.5</v>
      </c>
      <c r="F9097" s="3">
        <v>40282</v>
      </c>
      <c r="G9097" s="2"/>
      <c r="H9097" s="2"/>
      <c r="I9097" s="2"/>
      <c r="J9097" s="2" t="s">
        <v>13904</v>
      </c>
      <c r="K9097" s="2" t="s">
        <v>19262</v>
      </c>
      <c r="L9097" s="242" t="s">
        <v>22280</v>
      </c>
    </row>
    <row r="9098" spans="1:12" ht="84" customHeight="1" x14ac:dyDescent="0.3">
      <c r="A9098" s="2">
        <v>9094</v>
      </c>
      <c r="B9098" s="66" t="s">
        <v>10701</v>
      </c>
      <c r="C9098" s="66" t="s">
        <v>10703</v>
      </c>
      <c r="D9098" s="11">
        <v>9964.5</v>
      </c>
      <c r="E9098" s="11">
        <v>9964.5</v>
      </c>
      <c r="F9098" s="3">
        <v>40282</v>
      </c>
      <c r="G9098" s="2"/>
      <c r="H9098" s="2"/>
      <c r="I9098" s="2"/>
      <c r="J9098" s="2" t="s">
        <v>13904</v>
      </c>
      <c r="K9098" s="2" t="s">
        <v>19262</v>
      </c>
      <c r="L9098" s="242" t="s">
        <v>22280</v>
      </c>
    </row>
    <row r="9099" spans="1:12" ht="84" customHeight="1" x14ac:dyDescent="0.3">
      <c r="A9099" s="2">
        <v>9095</v>
      </c>
      <c r="B9099" s="66" t="s">
        <v>10704</v>
      </c>
      <c r="C9099" s="66" t="s">
        <v>10705</v>
      </c>
      <c r="D9099" s="11">
        <v>4073.99</v>
      </c>
      <c r="E9099" s="11">
        <v>4073.99</v>
      </c>
      <c r="F9099" s="3">
        <v>40282</v>
      </c>
      <c r="G9099" s="2"/>
      <c r="H9099" s="2"/>
      <c r="I9099" s="2"/>
      <c r="J9099" s="2" t="s">
        <v>13904</v>
      </c>
      <c r="K9099" s="2" t="s">
        <v>19262</v>
      </c>
      <c r="L9099" s="242" t="s">
        <v>22280</v>
      </c>
    </row>
    <row r="9100" spans="1:12" ht="84" customHeight="1" x14ac:dyDescent="0.3">
      <c r="A9100" s="2">
        <v>9096</v>
      </c>
      <c r="B9100" s="66" t="s">
        <v>10704</v>
      </c>
      <c r="C9100" s="66" t="s">
        <v>10706</v>
      </c>
      <c r="D9100" s="11">
        <v>4073.99</v>
      </c>
      <c r="E9100" s="11">
        <v>4073.99</v>
      </c>
      <c r="F9100" s="3">
        <v>40282</v>
      </c>
      <c r="G9100" s="2"/>
      <c r="H9100" s="2"/>
      <c r="I9100" s="2"/>
      <c r="J9100" s="2" t="s">
        <v>13904</v>
      </c>
      <c r="K9100" s="2" t="s">
        <v>19262</v>
      </c>
      <c r="L9100" s="242" t="s">
        <v>22280</v>
      </c>
    </row>
    <row r="9101" spans="1:12" ht="84" customHeight="1" x14ac:dyDescent="0.3">
      <c r="A9101" s="2">
        <v>9097</v>
      </c>
      <c r="B9101" s="66" t="s">
        <v>10704</v>
      </c>
      <c r="C9101" s="66" t="s">
        <v>10707</v>
      </c>
      <c r="D9101" s="11">
        <v>4073.99</v>
      </c>
      <c r="E9101" s="11">
        <v>4073.99</v>
      </c>
      <c r="F9101" s="3">
        <v>40282</v>
      </c>
      <c r="G9101" s="2"/>
      <c r="H9101" s="2"/>
      <c r="I9101" s="2"/>
      <c r="J9101" s="2" t="s">
        <v>13904</v>
      </c>
      <c r="K9101" s="2" t="s">
        <v>19262</v>
      </c>
      <c r="L9101" s="242" t="s">
        <v>22280</v>
      </c>
    </row>
    <row r="9102" spans="1:12" ht="84" customHeight="1" x14ac:dyDescent="0.3">
      <c r="A9102" s="2">
        <v>9098</v>
      </c>
      <c r="B9102" s="66" t="s">
        <v>10704</v>
      </c>
      <c r="C9102" s="66" t="s">
        <v>10708</v>
      </c>
      <c r="D9102" s="11">
        <v>4073.99</v>
      </c>
      <c r="E9102" s="11">
        <v>4073.99</v>
      </c>
      <c r="F9102" s="3">
        <v>40282</v>
      </c>
      <c r="G9102" s="2"/>
      <c r="H9102" s="2"/>
      <c r="I9102" s="2"/>
      <c r="J9102" s="2" t="s">
        <v>13904</v>
      </c>
      <c r="K9102" s="2" t="s">
        <v>19262</v>
      </c>
      <c r="L9102" s="242" t="s">
        <v>22280</v>
      </c>
    </row>
    <row r="9103" spans="1:12" ht="84" customHeight="1" x14ac:dyDescent="0.3">
      <c r="A9103" s="2">
        <v>9099</v>
      </c>
      <c r="B9103" s="66" t="s">
        <v>10704</v>
      </c>
      <c r="C9103" s="66" t="s">
        <v>10709</v>
      </c>
      <c r="D9103" s="11">
        <v>4073.99</v>
      </c>
      <c r="E9103" s="11">
        <v>4073.99</v>
      </c>
      <c r="F9103" s="3">
        <v>40282</v>
      </c>
      <c r="G9103" s="2"/>
      <c r="H9103" s="2"/>
      <c r="I9103" s="2"/>
      <c r="J9103" s="2" t="s">
        <v>13904</v>
      </c>
      <c r="K9103" s="2" t="s">
        <v>19262</v>
      </c>
      <c r="L9103" s="242" t="s">
        <v>22280</v>
      </c>
    </row>
    <row r="9104" spans="1:12" ht="84" customHeight="1" x14ac:dyDescent="0.3">
      <c r="A9104" s="2">
        <v>9100</v>
      </c>
      <c r="B9104" s="66" t="s">
        <v>10704</v>
      </c>
      <c r="C9104" s="66" t="s">
        <v>10710</v>
      </c>
      <c r="D9104" s="11">
        <v>4073.99</v>
      </c>
      <c r="E9104" s="11">
        <v>4073.99</v>
      </c>
      <c r="F9104" s="3">
        <v>40282</v>
      </c>
      <c r="G9104" s="2"/>
      <c r="H9104" s="2"/>
      <c r="I9104" s="2"/>
      <c r="J9104" s="2" t="s">
        <v>13904</v>
      </c>
      <c r="K9104" s="2" t="s">
        <v>19262</v>
      </c>
      <c r="L9104" s="242" t="s">
        <v>22280</v>
      </c>
    </row>
    <row r="9105" spans="1:12" ht="84" customHeight="1" x14ac:dyDescent="0.3">
      <c r="A9105" s="2">
        <v>9101</v>
      </c>
      <c r="B9105" s="66" t="s">
        <v>10704</v>
      </c>
      <c r="C9105" s="66" t="s">
        <v>10711</v>
      </c>
      <c r="D9105" s="11">
        <v>4073.99</v>
      </c>
      <c r="E9105" s="11">
        <v>4073.99</v>
      </c>
      <c r="F9105" s="3">
        <v>40282</v>
      </c>
      <c r="G9105" s="2"/>
      <c r="H9105" s="2"/>
      <c r="I9105" s="2"/>
      <c r="J9105" s="2" t="s">
        <v>13904</v>
      </c>
      <c r="K9105" s="2" t="s">
        <v>19262</v>
      </c>
      <c r="L9105" s="242" t="s">
        <v>22280</v>
      </c>
    </row>
    <row r="9106" spans="1:12" ht="84" customHeight="1" x14ac:dyDescent="0.3">
      <c r="A9106" s="2">
        <v>9102</v>
      </c>
      <c r="B9106" s="66" t="s">
        <v>10704</v>
      </c>
      <c r="C9106" s="66" t="s">
        <v>10712</v>
      </c>
      <c r="D9106" s="11">
        <v>4073.99</v>
      </c>
      <c r="E9106" s="11">
        <v>4073.99</v>
      </c>
      <c r="F9106" s="3">
        <v>40282</v>
      </c>
      <c r="G9106" s="2"/>
      <c r="H9106" s="2"/>
      <c r="I9106" s="2"/>
      <c r="J9106" s="2" t="s">
        <v>13904</v>
      </c>
      <c r="K9106" s="2" t="s">
        <v>19262</v>
      </c>
      <c r="L9106" s="242" t="s">
        <v>22280</v>
      </c>
    </row>
    <row r="9107" spans="1:12" ht="84" customHeight="1" x14ac:dyDescent="0.3">
      <c r="A9107" s="2">
        <v>9103</v>
      </c>
      <c r="B9107" s="66" t="s">
        <v>10704</v>
      </c>
      <c r="C9107" s="66" t="s">
        <v>10713</v>
      </c>
      <c r="D9107" s="11">
        <v>4073.99</v>
      </c>
      <c r="E9107" s="11">
        <v>4073.99</v>
      </c>
      <c r="F9107" s="3">
        <v>40282</v>
      </c>
      <c r="G9107" s="2"/>
      <c r="H9107" s="2"/>
      <c r="I9107" s="2"/>
      <c r="J9107" s="2" t="s">
        <v>13904</v>
      </c>
      <c r="K9107" s="2" t="s">
        <v>19262</v>
      </c>
      <c r="L9107" s="242" t="s">
        <v>22280</v>
      </c>
    </row>
    <row r="9108" spans="1:12" ht="84" customHeight="1" x14ac:dyDescent="0.3">
      <c r="A9108" s="2">
        <v>9104</v>
      </c>
      <c r="B9108" s="66" t="s">
        <v>10704</v>
      </c>
      <c r="C9108" s="66" t="s">
        <v>10714</v>
      </c>
      <c r="D9108" s="11">
        <v>4073.99</v>
      </c>
      <c r="E9108" s="11">
        <v>4073.99</v>
      </c>
      <c r="F9108" s="3">
        <v>40282</v>
      </c>
      <c r="G9108" s="2"/>
      <c r="H9108" s="2"/>
      <c r="I9108" s="2"/>
      <c r="J9108" s="2" t="s">
        <v>13904</v>
      </c>
      <c r="K9108" s="2" t="s">
        <v>19262</v>
      </c>
      <c r="L9108" s="242" t="s">
        <v>22280</v>
      </c>
    </row>
    <row r="9109" spans="1:12" ht="84" customHeight="1" x14ac:dyDescent="0.3">
      <c r="A9109" s="2">
        <v>9105</v>
      </c>
      <c r="B9109" s="66" t="s">
        <v>10704</v>
      </c>
      <c r="C9109" s="66" t="s">
        <v>10715</v>
      </c>
      <c r="D9109" s="11">
        <v>4073.99</v>
      </c>
      <c r="E9109" s="11">
        <v>4073.99</v>
      </c>
      <c r="F9109" s="3">
        <v>40282</v>
      </c>
      <c r="G9109" s="2"/>
      <c r="H9109" s="2"/>
      <c r="I9109" s="2"/>
      <c r="J9109" s="2" t="s">
        <v>13904</v>
      </c>
      <c r="K9109" s="2" t="s">
        <v>19262</v>
      </c>
      <c r="L9109" s="242" t="s">
        <v>22280</v>
      </c>
    </row>
    <row r="9110" spans="1:12" ht="84" customHeight="1" x14ac:dyDescent="0.3">
      <c r="A9110" s="2">
        <v>9106</v>
      </c>
      <c r="B9110" s="66" t="s">
        <v>10704</v>
      </c>
      <c r="C9110" s="66" t="s">
        <v>10716</v>
      </c>
      <c r="D9110" s="11">
        <v>4073.99</v>
      </c>
      <c r="E9110" s="11">
        <v>4073.99</v>
      </c>
      <c r="F9110" s="3">
        <v>40282</v>
      </c>
      <c r="G9110" s="2"/>
      <c r="H9110" s="2"/>
      <c r="I9110" s="2"/>
      <c r="J9110" s="2" t="s">
        <v>13904</v>
      </c>
      <c r="K9110" s="2" t="s">
        <v>19262</v>
      </c>
      <c r="L9110" s="242" t="s">
        <v>22280</v>
      </c>
    </row>
    <row r="9111" spans="1:12" ht="84" customHeight="1" x14ac:dyDescent="0.3">
      <c r="A9111" s="2">
        <v>9107</v>
      </c>
      <c r="B9111" s="66" t="s">
        <v>10704</v>
      </c>
      <c r="C9111" s="66" t="s">
        <v>10717</v>
      </c>
      <c r="D9111" s="11">
        <v>4073.99</v>
      </c>
      <c r="E9111" s="11">
        <v>4073.99</v>
      </c>
      <c r="F9111" s="3">
        <v>40282</v>
      </c>
      <c r="G9111" s="2"/>
      <c r="H9111" s="2"/>
      <c r="I9111" s="2"/>
      <c r="J9111" s="2" t="s">
        <v>13904</v>
      </c>
      <c r="K9111" s="2" t="s">
        <v>19262</v>
      </c>
      <c r="L9111" s="242" t="s">
        <v>22280</v>
      </c>
    </row>
    <row r="9112" spans="1:12" ht="84" customHeight="1" x14ac:dyDescent="0.3">
      <c r="A9112" s="2">
        <v>9108</v>
      </c>
      <c r="B9112" s="66" t="s">
        <v>10704</v>
      </c>
      <c r="C9112" s="66" t="s">
        <v>10718</v>
      </c>
      <c r="D9112" s="11">
        <v>4073.99</v>
      </c>
      <c r="E9112" s="11">
        <v>4073.99</v>
      </c>
      <c r="F9112" s="3">
        <v>40282</v>
      </c>
      <c r="G9112" s="2"/>
      <c r="H9112" s="2"/>
      <c r="I9112" s="2"/>
      <c r="J9112" s="2" t="s">
        <v>13904</v>
      </c>
      <c r="K9112" s="2" t="s">
        <v>19262</v>
      </c>
      <c r="L9112" s="242" t="s">
        <v>22280</v>
      </c>
    </row>
    <row r="9113" spans="1:12" ht="84" customHeight="1" x14ac:dyDescent="0.3">
      <c r="A9113" s="2">
        <v>9109</v>
      </c>
      <c r="B9113" s="66" t="s">
        <v>10691</v>
      </c>
      <c r="C9113" s="66" t="s">
        <v>10719</v>
      </c>
      <c r="D9113" s="11">
        <v>6153</v>
      </c>
      <c r="E9113" s="11">
        <v>6153</v>
      </c>
      <c r="F9113" s="3">
        <v>40282</v>
      </c>
      <c r="G9113" s="2"/>
      <c r="H9113" s="2"/>
      <c r="I9113" s="2"/>
      <c r="J9113" s="2" t="s">
        <v>13904</v>
      </c>
      <c r="K9113" s="2" t="s">
        <v>19262</v>
      </c>
      <c r="L9113" s="242" t="s">
        <v>22280</v>
      </c>
    </row>
    <row r="9114" spans="1:12" ht="84" customHeight="1" x14ac:dyDescent="0.3">
      <c r="A9114" s="2">
        <v>9110</v>
      </c>
      <c r="B9114" s="66" t="s">
        <v>10691</v>
      </c>
      <c r="C9114" s="66" t="s">
        <v>10720</v>
      </c>
      <c r="D9114" s="11">
        <v>6153</v>
      </c>
      <c r="E9114" s="11">
        <v>6153</v>
      </c>
      <c r="F9114" s="3">
        <v>40282</v>
      </c>
      <c r="G9114" s="2"/>
      <c r="H9114" s="2"/>
      <c r="I9114" s="2"/>
      <c r="J9114" s="2" t="s">
        <v>13904</v>
      </c>
      <c r="K9114" s="2" t="s">
        <v>19262</v>
      </c>
      <c r="L9114" s="242" t="s">
        <v>22280</v>
      </c>
    </row>
    <row r="9115" spans="1:12" ht="84" customHeight="1" x14ac:dyDescent="0.3">
      <c r="A9115" s="2">
        <v>9111</v>
      </c>
      <c r="B9115" s="66" t="s">
        <v>10679</v>
      </c>
      <c r="C9115" s="66" t="s">
        <v>10721</v>
      </c>
      <c r="D9115" s="11">
        <v>5137.43</v>
      </c>
      <c r="E9115" s="11">
        <v>5137.43</v>
      </c>
      <c r="F9115" s="3">
        <v>40282</v>
      </c>
      <c r="G9115" s="2"/>
      <c r="H9115" s="2"/>
      <c r="I9115" s="2"/>
      <c r="J9115" s="2" t="s">
        <v>13904</v>
      </c>
      <c r="K9115" s="2" t="s">
        <v>19262</v>
      </c>
      <c r="L9115" s="242" t="s">
        <v>22280</v>
      </c>
    </row>
    <row r="9116" spans="1:12" ht="84" customHeight="1" x14ac:dyDescent="0.3">
      <c r="A9116" s="2">
        <v>9112</v>
      </c>
      <c r="B9116" s="66" t="s">
        <v>10679</v>
      </c>
      <c r="C9116" s="66" t="s">
        <v>10722</v>
      </c>
      <c r="D9116" s="11">
        <v>5137.43</v>
      </c>
      <c r="E9116" s="11">
        <v>5137.43</v>
      </c>
      <c r="F9116" s="3">
        <v>40282</v>
      </c>
      <c r="G9116" s="2"/>
      <c r="H9116" s="2"/>
      <c r="I9116" s="2"/>
      <c r="J9116" s="2" t="s">
        <v>13904</v>
      </c>
      <c r="K9116" s="2" t="s">
        <v>19262</v>
      </c>
      <c r="L9116" s="242" t="s">
        <v>22280</v>
      </c>
    </row>
    <row r="9117" spans="1:12" ht="84" customHeight="1" x14ac:dyDescent="0.3">
      <c r="A9117" s="2">
        <v>9113</v>
      </c>
      <c r="B9117" s="66" t="s">
        <v>10679</v>
      </c>
      <c r="C9117" s="66" t="s">
        <v>10723</v>
      </c>
      <c r="D9117" s="11">
        <v>5137.43</v>
      </c>
      <c r="E9117" s="11">
        <v>5137.43</v>
      </c>
      <c r="F9117" s="3">
        <v>40282</v>
      </c>
      <c r="G9117" s="2"/>
      <c r="H9117" s="2"/>
      <c r="I9117" s="2"/>
      <c r="J9117" s="2" t="s">
        <v>13904</v>
      </c>
      <c r="K9117" s="2" t="s">
        <v>19262</v>
      </c>
      <c r="L9117" s="242" t="s">
        <v>22280</v>
      </c>
    </row>
    <row r="9118" spans="1:12" ht="84" customHeight="1" x14ac:dyDescent="0.3">
      <c r="A9118" s="2">
        <v>9114</v>
      </c>
      <c r="B9118" s="66" t="s">
        <v>10679</v>
      </c>
      <c r="C9118" s="66" t="s">
        <v>10724</v>
      </c>
      <c r="D9118" s="11">
        <v>5137.43</v>
      </c>
      <c r="E9118" s="11">
        <v>5137.43</v>
      </c>
      <c r="F9118" s="3">
        <v>40282</v>
      </c>
      <c r="G9118" s="2"/>
      <c r="H9118" s="2"/>
      <c r="I9118" s="2"/>
      <c r="J9118" s="2" t="s">
        <v>13904</v>
      </c>
      <c r="K9118" s="2" t="s">
        <v>19262</v>
      </c>
      <c r="L9118" s="242" t="s">
        <v>22280</v>
      </c>
    </row>
    <row r="9119" spans="1:12" ht="84" customHeight="1" x14ac:dyDescent="0.3">
      <c r="A9119" s="2">
        <v>9115</v>
      </c>
      <c r="B9119" s="66" t="s">
        <v>10689</v>
      </c>
      <c r="C9119" s="66" t="s">
        <v>5973</v>
      </c>
      <c r="D9119" s="11">
        <v>8303.74</v>
      </c>
      <c r="E9119" s="11">
        <v>8303.74</v>
      </c>
      <c r="F9119" s="3">
        <v>40282</v>
      </c>
      <c r="G9119" s="2"/>
      <c r="H9119" s="2"/>
      <c r="I9119" s="2"/>
      <c r="J9119" s="2" t="s">
        <v>13904</v>
      </c>
      <c r="K9119" s="2" t="s">
        <v>19262</v>
      </c>
      <c r="L9119" s="242" t="s">
        <v>22280</v>
      </c>
    </row>
    <row r="9120" spans="1:12" ht="84" customHeight="1" x14ac:dyDescent="0.3">
      <c r="A9120" s="2">
        <v>9116</v>
      </c>
      <c r="B9120" s="66" t="s">
        <v>10689</v>
      </c>
      <c r="C9120" s="66" t="s">
        <v>5975</v>
      </c>
      <c r="D9120" s="11">
        <v>8303.74</v>
      </c>
      <c r="E9120" s="11">
        <v>8303.74</v>
      </c>
      <c r="F9120" s="3">
        <v>40282</v>
      </c>
      <c r="G9120" s="2"/>
      <c r="H9120" s="2"/>
      <c r="I9120" s="2"/>
      <c r="J9120" s="2" t="s">
        <v>13904</v>
      </c>
      <c r="K9120" s="2" t="s">
        <v>19262</v>
      </c>
      <c r="L9120" s="242" t="s">
        <v>22280</v>
      </c>
    </row>
    <row r="9121" spans="1:15" ht="84" customHeight="1" x14ac:dyDescent="0.3">
      <c r="A9121" s="2">
        <v>9117</v>
      </c>
      <c r="B9121" s="66" t="s">
        <v>10725</v>
      </c>
      <c r="C9121" s="66" t="s">
        <v>10726</v>
      </c>
      <c r="D9121" s="11">
        <v>10915.8</v>
      </c>
      <c r="E9121" s="11">
        <v>10915.8</v>
      </c>
      <c r="F9121" s="3">
        <v>40282</v>
      </c>
      <c r="G9121" s="2"/>
      <c r="H9121" s="2"/>
      <c r="I9121" s="2"/>
      <c r="J9121" s="2" t="s">
        <v>13904</v>
      </c>
      <c r="K9121" s="2" t="s">
        <v>19262</v>
      </c>
      <c r="L9121" s="242" t="s">
        <v>22280</v>
      </c>
    </row>
    <row r="9122" spans="1:15" ht="84" customHeight="1" x14ac:dyDescent="0.3">
      <c r="A9122" s="2">
        <v>9118</v>
      </c>
      <c r="B9122" s="66" t="s">
        <v>10725</v>
      </c>
      <c r="C9122" s="66" t="s">
        <v>10727</v>
      </c>
      <c r="D9122" s="11">
        <v>10915.8</v>
      </c>
      <c r="E9122" s="11">
        <v>10915.8</v>
      </c>
      <c r="F9122" s="3">
        <v>40282</v>
      </c>
      <c r="G9122" s="2"/>
      <c r="H9122" s="2"/>
      <c r="I9122" s="2"/>
      <c r="J9122" s="2" t="s">
        <v>13904</v>
      </c>
      <c r="K9122" s="2" t="s">
        <v>19262</v>
      </c>
      <c r="L9122" s="242" t="s">
        <v>22280</v>
      </c>
    </row>
    <row r="9123" spans="1:15" ht="84" customHeight="1" x14ac:dyDescent="0.3">
      <c r="A9123" s="2">
        <v>9119</v>
      </c>
      <c r="B9123" s="66" t="s">
        <v>10683</v>
      </c>
      <c r="C9123" s="66" t="s">
        <v>10728</v>
      </c>
      <c r="D9123" s="11">
        <v>10915.8</v>
      </c>
      <c r="E9123" s="11">
        <v>10915.8</v>
      </c>
      <c r="F9123" s="3">
        <v>40282</v>
      </c>
      <c r="G9123" s="2"/>
      <c r="H9123" s="2"/>
      <c r="I9123" s="2"/>
      <c r="J9123" s="2" t="s">
        <v>13904</v>
      </c>
      <c r="K9123" s="2" t="s">
        <v>19262</v>
      </c>
      <c r="L9123" s="242" t="s">
        <v>22280</v>
      </c>
    </row>
    <row r="9124" spans="1:15" ht="84" customHeight="1" x14ac:dyDescent="0.3">
      <c r="A9124" s="2">
        <v>9120</v>
      </c>
      <c r="B9124" s="66" t="s">
        <v>10683</v>
      </c>
      <c r="C9124" s="66" t="s">
        <v>10729</v>
      </c>
      <c r="D9124" s="11">
        <v>10915.8</v>
      </c>
      <c r="E9124" s="11">
        <v>10915.8</v>
      </c>
      <c r="F9124" s="3">
        <v>40282</v>
      </c>
      <c r="G9124" s="2"/>
      <c r="H9124" s="2"/>
      <c r="I9124" s="2"/>
      <c r="J9124" s="2" t="s">
        <v>13904</v>
      </c>
      <c r="K9124" s="2" t="s">
        <v>19262</v>
      </c>
      <c r="L9124" s="242" t="s">
        <v>22280</v>
      </c>
    </row>
    <row r="9125" spans="1:15" ht="84" customHeight="1" x14ac:dyDescent="0.3">
      <c r="A9125" s="2">
        <v>9121</v>
      </c>
      <c r="B9125" s="66" t="s">
        <v>10685</v>
      </c>
      <c r="C9125" s="66" t="s">
        <v>10730</v>
      </c>
      <c r="D9125" s="11">
        <v>10915.8</v>
      </c>
      <c r="E9125" s="11">
        <v>10915.8</v>
      </c>
      <c r="F9125" s="3">
        <v>40282</v>
      </c>
      <c r="G9125" s="2"/>
      <c r="H9125" s="2"/>
      <c r="I9125" s="2"/>
      <c r="J9125" s="2" t="s">
        <v>13904</v>
      </c>
      <c r="K9125" s="2" t="s">
        <v>19262</v>
      </c>
      <c r="L9125" s="242" t="s">
        <v>22280</v>
      </c>
    </row>
    <row r="9126" spans="1:15" ht="84" customHeight="1" x14ac:dyDescent="0.3">
      <c r="A9126" s="2">
        <v>9122</v>
      </c>
      <c r="B9126" s="66" t="s">
        <v>10685</v>
      </c>
      <c r="C9126" s="66" t="s">
        <v>10662</v>
      </c>
      <c r="D9126" s="11">
        <v>10915.8</v>
      </c>
      <c r="E9126" s="11">
        <v>10915.8</v>
      </c>
      <c r="F9126" s="3">
        <v>40282</v>
      </c>
      <c r="G9126" s="2"/>
      <c r="H9126" s="2"/>
      <c r="I9126" s="2"/>
      <c r="J9126" s="2" t="s">
        <v>13904</v>
      </c>
      <c r="K9126" s="2" t="s">
        <v>19262</v>
      </c>
      <c r="L9126" s="242" t="s">
        <v>22280</v>
      </c>
    </row>
    <row r="9127" spans="1:15" ht="84" customHeight="1" x14ac:dyDescent="0.3">
      <c r="A9127" s="2">
        <v>9123</v>
      </c>
      <c r="B9127" s="66" t="s">
        <v>10685</v>
      </c>
      <c r="C9127" s="66" t="s">
        <v>10731</v>
      </c>
      <c r="D9127" s="11">
        <v>10915.8</v>
      </c>
      <c r="E9127" s="11">
        <v>10915.8</v>
      </c>
      <c r="F9127" s="3">
        <v>40282</v>
      </c>
      <c r="G9127" s="2"/>
      <c r="H9127" s="2"/>
      <c r="I9127" s="2"/>
      <c r="J9127" s="2" t="s">
        <v>13904</v>
      </c>
      <c r="K9127" s="2" t="s">
        <v>19262</v>
      </c>
      <c r="L9127" s="242" t="s">
        <v>22280</v>
      </c>
    </row>
    <row r="9128" spans="1:15" ht="84" customHeight="1" x14ac:dyDescent="0.3">
      <c r="A9128" s="2">
        <v>9124</v>
      </c>
      <c r="B9128" s="66" t="s">
        <v>10685</v>
      </c>
      <c r="C9128" s="66" t="s">
        <v>10732</v>
      </c>
      <c r="D9128" s="11">
        <v>10915.8</v>
      </c>
      <c r="E9128" s="11">
        <v>10915.8</v>
      </c>
      <c r="F9128" s="3">
        <v>40282</v>
      </c>
      <c r="G9128" s="2"/>
      <c r="H9128" s="2"/>
      <c r="I9128" s="2"/>
      <c r="J9128" s="2" t="s">
        <v>13904</v>
      </c>
      <c r="K9128" s="2" t="s">
        <v>19262</v>
      </c>
      <c r="L9128" s="242" t="s">
        <v>22280</v>
      </c>
    </row>
    <row r="9129" spans="1:15" ht="84" customHeight="1" x14ac:dyDescent="0.3">
      <c r="A9129" s="2">
        <v>9125</v>
      </c>
      <c r="B9129" s="66" t="s">
        <v>10685</v>
      </c>
      <c r="C9129" s="66" t="s">
        <v>10733</v>
      </c>
      <c r="D9129" s="11">
        <v>10915.8</v>
      </c>
      <c r="E9129" s="11">
        <v>10915.8</v>
      </c>
      <c r="F9129" s="3">
        <v>40282</v>
      </c>
      <c r="G9129" s="2"/>
      <c r="H9129" s="2"/>
      <c r="I9129" s="2"/>
      <c r="J9129" s="2" t="s">
        <v>13904</v>
      </c>
      <c r="K9129" s="2" t="s">
        <v>19262</v>
      </c>
      <c r="L9129" s="242" t="s">
        <v>22280</v>
      </c>
    </row>
    <row r="9130" spans="1:15" ht="84" customHeight="1" x14ac:dyDescent="0.3">
      <c r="A9130" s="2">
        <v>9126</v>
      </c>
      <c r="B9130" s="66" t="s">
        <v>10685</v>
      </c>
      <c r="C9130" s="66" t="s">
        <v>10734</v>
      </c>
      <c r="D9130" s="11">
        <v>10915.8</v>
      </c>
      <c r="E9130" s="11">
        <v>10915.8</v>
      </c>
      <c r="F9130" s="3">
        <v>40282</v>
      </c>
      <c r="G9130" s="2"/>
      <c r="H9130" s="2"/>
      <c r="I9130" s="2"/>
      <c r="J9130" s="2" t="s">
        <v>13904</v>
      </c>
      <c r="K9130" s="2" t="s">
        <v>19262</v>
      </c>
      <c r="L9130" s="242" t="s">
        <v>22280</v>
      </c>
    </row>
    <row r="9131" spans="1:15" ht="84" customHeight="1" x14ac:dyDescent="0.3">
      <c r="A9131" s="2">
        <v>9127</v>
      </c>
      <c r="B9131" s="66" t="s">
        <v>3739</v>
      </c>
      <c r="C9131" s="66" t="s">
        <v>10735</v>
      </c>
      <c r="D9131" s="11">
        <v>545.16999999999996</v>
      </c>
      <c r="E9131" s="11">
        <v>545.16999999999996</v>
      </c>
      <c r="F9131" s="3">
        <v>40282</v>
      </c>
      <c r="G9131" s="2"/>
      <c r="H9131" s="2"/>
      <c r="I9131" s="2"/>
      <c r="J9131" s="2" t="s">
        <v>13904</v>
      </c>
      <c r="K9131" s="2" t="s">
        <v>19262</v>
      </c>
      <c r="L9131" s="242" t="s">
        <v>22280</v>
      </c>
    </row>
    <row r="9132" spans="1:15" ht="84" customHeight="1" x14ac:dyDescent="0.3">
      <c r="A9132" s="2">
        <v>9128</v>
      </c>
      <c r="B9132" s="66" t="s">
        <v>10736</v>
      </c>
      <c r="C9132" s="66"/>
      <c r="D9132" s="11">
        <v>520</v>
      </c>
      <c r="E9132" s="11">
        <v>520</v>
      </c>
      <c r="F9132" s="3">
        <v>40674</v>
      </c>
      <c r="G9132" s="2"/>
      <c r="H9132" s="2"/>
      <c r="I9132" s="2"/>
      <c r="J9132" s="2" t="s">
        <v>13904</v>
      </c>
      <c r="K9132" s="2" t="s">
        <v>19262</v>
      </c>
      <c r="L9132" s="242" t="s">
        <v>22280</v>
      </c>
    </row>
    <row r="9133" spans="1:15" ht="84" customHeight="1" x14ac:dyDescent="0.3">
      <c r="A9133" s="2">
        <v>9129</v>
      </c>
      <c r="B9133" s="66" t="s">
        <v>3741</v>
      </c>
      <c r="C9133" s="66"/>
      <c r="D9133" s="11">
        <v>84760.22</v>
      </c>
      <c r="E9133" s="11">
        <v>84760.22</v>
      </c>
      <c r="F9133" s="3">
        <v>40282</v>
      </c>
      <c r="G9133" s="2"/>
      <c r="H9133" s="2"/>
      <c r="I9133" s="2"/>
      <c r="J9133" s="2" t="s">
        <v>13904</v>
      </c>
      <c r="K9133" s="2" t="s">
        <v>19262</v>
      </c>
      <c r="L9133" s="82"/>
    </row>
    <row r="9134" spans="1:15" ht="84" customHeight="1" x14ac:dyDescent="0.3">
      <c r="A9134" s="2">
        <v>9130</v>
      </c>
      <c r="B9134" s="66" t="s">
        <v>4546</v>
      </c>
      <c r="C9134" s="66" t="s">
        <v>10737</v>
      </c>
      <c r="D9134" s="11">
        <v>27784.82</v>
      </c>
      <c r="E9134" s="11">
        <v>27784.82</v>
      </c>
      <c r="F9134" s="3">
        <v>40282</v>
      </c>
      <c r="G9134" s="2"/>
      <c r="H9134" s="2"/>
      <c r="I9134" s="2"/>
      <c r="J9134" s="2" t="s">
        <v>13904</v>
      </c>
      <c r="K9134" s="2" t="s">
        <v>19262</v>
      </c>
      <c r="L9134" s="242" t="s">
        <v>22280</v>
      </c>
    </row>
    <row r="9135" spans="1:15" s="19" customFormat="1" ht="84" customHeight="1" x14ac:dyDescent="0.3">
      <c r="A9135" s="2">
        <v>9131</v>
      </c>
      <c r="B9135" s="66" t="s">
        <v>23173</v>
      </c>
      <c r="C9135" s="66">
        <v>4101240002</v>
      </c>
      <c r="D9135" s="11">
        <v>51473.54</v>
      </c>
      <c r="E9135" s="11">
        <v>51473.54</v>
      </c>
      <c r="F9135" s="3" t="s">
        <v>23174</v>
      </c>
      <c r="G9135" s="2" t="s">
        <v>23175</v>
      </c>
      <c r="H9135" s="2"/>
      <c r="I9135" s="2"/>
      <c r="J9135" s="2" t="s">
        <v>13904</v>
      </c>
      <c r="K9135" s="2" t="s">
        <v>23260</v>
      </c>
      <c r="L9135" s="246" t="s">
        <v>23176</v>
      </c>
      <c r="M9135" s="18"/>
      <c r="N9135" s="18"/>
      <c r="O9135" s="18"/>
    </row>
    <row r="9136" spans="1:15" ht="84" customHeight="1" x14ac:dyDescent="0.3">
      <c r="A9136" s="2">
        <v>9132</v>
      </c>
      <c r="B9136" s="66" t="s">
        <v>10738</v>
      </c>
      <c r="C9136" s="66" t="s">
        <v>10650</v>
      </c>
      <c r="D9136" s="11">
        <v>4169.7</v>
      </c>
      <c r="E9136" s="11">
        <v>4169.7</v>
      </c>
      <c r="F9136" s="3">
        <v>43028</v>
      </c>
      <c r="G9136" s="2" t="s">
        <v>19720</v>
      </c>
      <c r="H9136" s="2"/>
      <c r="I9136" s="2"/>
      <c r="J9136" s="2" t="s">
        <v>13904</v>
      </c>
      <c r="K9136" s="2" t="s">
        <v>19724</v>
      </c>
      <c r="L9136" s="242" t="s">
        <v>22280</v>
      </c>
    </row>
    <row r="9137" spans="1:12" ht="84" customHeight="1" x14ac:dyDescent="0.3">
      <c r="A9137" s="2">
        <v>9133</v>
      </c>
      <c r="B9137" s="66" t="s">
        <v>10739</v>
      </c>
      <c r="C9137" s="66" t="s">
        <v>10644</v>
      </c>
      <c r="D9137" s="11">
        <v>26139.29</v>
      </c>
      <c r="E9137" s="11">
        <v>26139.29</v>
      </c>
      <c r="F9137" s="3">
        <v>43028</v>
      </c>
      <c r="G9137" s="2" t="s">
        <v>19720</v>
      </c>
      <c r="H9137" s="2"/>
      <c r="I9137" s="2"/>
      <c r="J9137" s="2" t="s">
        <v>13904</v>
      </c>
      <c r="K9137" s="2" t="s">
        <v>19724</v>
      </c>
      <c r="L9137" s="242" t="s">
        <v>22280</v>
      </c>
    </row>
    <row r="9138" spans="1:12" ht="84" customHeight="1" x14ac:dyDescent="0.3">
      <c r="A9138" s="2">
        <v>9134</v>
      </c>
      <c r="B9138" s="66" t="s">
        <v>3088</v>
      </c>
      <c r="C9138" s="66" t="s">
        <v>10740</v>
      </c>
      <c r="D9138" s="11">
        <v>25000</v>
      </c>
      <c r="E9138" s="11">
        <v>25000</v>
      </c>
      <c r="F9138" s="3">
        <v>43028</v>
      </c>
      <c r="G9138" s="2" t="s">
        <v>19715</v>
      </c>
      <c r="H9138" s="2"/>
      <c r="I9138" s="2"/>
      <c r="J9138" s="2" t="s">
        <v>13904</v>
      </c>
      <c r="K9138" s="2" t="s">
        <v>19724</v>
      </c>
      <c r="L9138" s="242" t="s">
        <v>22280</v>
      </c>
    </row>
    <row r="9139" spans="1:12" ht="84" customHeight="1" x14ac:dyDescent="0.3">
      <c r="A9139" s="2">
        <v>9135</v>
      </c>
      <c r="B9139" s="66" t="s">
        <v>10741</v>
      </c>
      <c r="C9139" s="66" t="s">
        <v>10742</v>
      </c>
      <c r="D9139" s="11">
        <v>5025.28</v>
      </c>
      <c r="E9139" s="11">
        <v>5025.28</v>
      </c>
      <c r="F9139" s="3">
        <v>43028</v>
      </c>
      <c r="G9139" s="2" t="s">
        <v>19715</v>
      </c>
      <c r="H9139" s="2"/>
      <c r="I9139" s="2"/>
      <c r="J9139" s="2" t="s">
        <v>13904</v>
      </c>
      <c r="K9139" s="2" t="s">
        <v>19724</v>
      </c>
      <c r="L9139" s="242" t="s">
        <v>22280</v>
      </c>
    </row>
    <row r="9140" spans="1:12" ht="84" customHeight="1" x14ac:dyDescent="0.3">
      <c r="A9140" s="2">
        <v>9136</v>
      </c>
      <c r="B9140" s="66" t="s">
        <v>10741</v>
      </c>
      <c r="C9140" s="66" t="s">
        <v>10743</v>
      </c>
      <c r="D9140" s="11">
        <v>5025.28</v>
      </c>
      <c r="E9140" s="11">
        <v>5025.28</v>
      </c>
      <c r="F9140" s="3">
        <v>43028</v>
      </c>
      <c r="G9140" s="2" t="s">
        <v>19715</v>
      </c>
      <c r="H9140" s="2"/>
      <c r="I9140" s="2"/>
      <c r="J9140" s="2" t="s">
        <v>13904</v>
      </c>
      <c r="K9140" s="2" t="s">
        <v>19724</v>
      </c>
      <c r="L9140" s="242" t="s">
        <v>22280</v>
      </c>
    </row>
    <row r="9141" spans="1:12" ht="84" customHeight="1" x14ac:dyDescent="0.3">
      <c r="A9141" s="2">
        <v>9137</v>
      </c>
      <c r="B9141" s="66" t="s">
        <v>10741</v>
      </c>
      <c r="C9141" s="66" t="s">
        <v>10744</v>
      </c>
      <c r="D9141" s="11">
        <v>5025.28</v>
      </c>
      <c r="E9141" s="11">
        <v>5025.28</v>
      </c>
      <c r="F9141" s="3">
        <v>43028</v>
      </c>
      <c r="G9141" s="2" t="s">
        <v>19719</v>
      </c>
      <c r="H9141" s="2"/>
      <c r="I9141" s="2"/>
      <c r="J9141" s="2" t="s">
        <v>13904</v>
      </c>
      <c r="K9141" s="2" t="s">
        <v>19724</v>
      </c>
      <c r="L9141" s="242" t="s">
        <v>22280</v>
      </c>
    </row>
    <row r="9142" spans="1:12" ht="84" customHeight="1" x14ac:dyDescent="0.3">
      <c r="A9142" s="2">
        <v>9138</v>
      </c>
      <c r="B9142" s="66" t="s">
        <v>19322</v>
      </c>
      <c r="C9142" s="66" t="s">
        <v>19325</v>
      </c>
      <c r="D9142" s="11">
        <v>56100</v>
      </c>
      <c r="E9142" s="11">
        <v>56100</v>
      </c>
      <c r="F9142" s="3">
        <v>41229</v>
      </c>
      <c r="G9142" s="2" t="s">
        <v>19323</v>
      </c>
      <c r="H9142" s="2"/>
      <c r="I9142" s="2"/>
      <c r="J9142" s="2" t="s">
        <v>14091</v>
      </c>
      <c r="K9142" s="2" t="s">
        <v>17535</v>
      </c>
      <c r="L9142" s="82"/>
    </row>
    <row r="9143" spans="1:12" ht="84" customHeight="1" x14ac:dyDescent="0.3">
      <c r="A9143" s="2">
        <v>9139</v>
      </c>
      <c r="B9143" s="66" t="s">
        <v>10745</v>
      </c>
      <c r="C9143" s="66" t="s">
        <v>10654</v>
      </c>
      <c r="D9143" s="11">
        <v>18718.400000000001</v>
      </c>
      <c r="E9143" s="11">
        <v>18718.400000000001</v>
      </c>
      <c r="F9143" s="3">
        <v>43028</v>
      </c>
      <c r="G9143" s="2" t="s">
        <v>19720</v>
      </c>
      <c r="H9143" s="2"/>
      <c r="I9143" s="2"/>
      <c r="J9143" s="2" t="s">
        <v>13904</v>
      </c>
      <c r="K9143" s="2" t="s">
        <v>19724</v>
      </c>
      <c r="L9143" s="242" t="s">
        <v>22280</v>
      </c>
    </row>
    <row r="9144" spans="1:12" ht="96" customHeight="1" x14ac:dyDescent="0.3">
      <c r="A9144" s="2">
        <v>9140</v>
      </c>
      <c r="B9144" s="66" t="s">
        <v>23847</v>
      </c>
      <c r="C9144" s="66" t="s">
        <v>9747</v>
      </c>
      <c r="D9144" s="11">
        <v>303808.82</v>
      </c>
      <c r="E9144" s="11">
        <v>303808.82</v>
      </c>
      <c r="F9144" s="3">
        <v>43028</v>
      </c>
      <c r="G9144" s="2" t="s">
        <v>19715</v>
      </c>
      <c r="H9144" s="2"/>
      <c r="I9144" s="2"/>
      <c r="J9144" s="2" t="s">
        <v>13904</v>
      </c>
      <c r="K9144" s="242" t="s">
        <v>23851</v>
      </c>
      <c r="L9144" s="246" t="s">
        <v>23852</v>
      </c>
    </row>
    <row r="9145" spans="1:12" ht="132" customHeight="1" x14ac:dyDescent="0.3">
      <c r="A9145" s="2">
        <v>9141</v>
      </c>
      <c r="B9145" s="66" t="s">
        <v>10746</v>
      </c>
      <c r="C9145" s="66" t="s">
        <v>9319</v>
      </c>
      <c r="D9145" s="11">
        <v>653200</v>
      </c>
      <c r="E9145" s="11">
        <v>653200</v>
      </c>
      <c r="F9145" s="3">
        <v>40282</v>
      </c>
      <c r="G9145" s="2"/>
      <c r="H9145" s="2" t="s">
        <v>18694</v>
      </c>
      <c r="I9145" s="2" t="s">
        <v>18695</v>
      </c>
      <c r="J9145" s="2" t="s">
        <v>13904</v>
      </c>
      <c r="K9145" s="2" t="s">
        <v>18693</v>
      </c>
      <c r="L9145" s="82"/>
    </row>
    <row r="9146" spans="1:12" ht="96" customHeight="1" x14ac:dyDescent="0.3">
      <c r="A9146" s="2">
        <v>9142</v>
      </c>
      <c r="B9146" s="66" t="s">
        <v>23848</v>
      </c>
      <c r="C9146" s="66" t="s">
        <v>9981</v>
      </c>
      <c r="D9146" s="11">
        <v>249384.72</v>
      </c>
      <c r="E9146" s="11">
        <v>249384.72</v>
      </c>
      <c r="F9146" s="3">
        <v>43028</v>
      </c>
      <c r="G9146" s="2" t="s">
        <v>19718</v>
      </c>
      <c r="H9146" s="2"/>
      <c r="I9146" s="2"/>
      <c r="J9146" s="2" t="s">
        <v>13904</v>
      </c>
      <c r="K9146" s="242" t="s">
        <v>23851</v>
      </c>
      <c r="L9146" s="246" t="s">
        <v>23852</v>
      </c>
    </row>
    <row r="9147" spans="1:12" ht="96" customHeight="1" x14ac:dyDescent="0.3">
      <c r="A9147" s="2">
        <v>9143</v>
      </c>
      <c r="B9147" s="66" t="s">
        <v>23849</v>
      </c>
      <c r="C9147" s="66" t="s">
        <v>10747</v>
      </c>
      <c r="D9147" s="11">
        <v>4200000</v>
      </c>
      <c r="E9147" s="11">
        <v>1950000</v>
      </c>
      <c r="F9147" s="3">
        <v>43028</v>
      </c>
      <c r="G9147" s="2" t="s">
        <v>19720</v>
      </c>
      <c r="H9147" s="2"/>
      <c r="I9147" s="2"/>
      <c r="J9147" s="2" t="s">
        <v>13904</v>
      </c>
      <c r="K9147" s="242" t="s">
        <v>23851</v>
      </c>
      <c r="L9147" s="246" t="s">
        <v>23852</v>
      </c>
    </row>
    <row r="9148" spans="1:12" ht="96" customHeight="1" x14ac:dyDescent="0.3">
      <c r="A9148" s="2">
        <v>9144</v>
      </c>
      <c r="B9148" s="66" t="s">
        <v>10748</v>
      </c>
      <c r="C9148" s="66" t="s">
        <v>10749</v>
      </c>
      <c r="D9148" s="11">
        <v>18187</v>
      </c>
      <c r="E9148" s="11">
        <v>18187</v>
      </c>
      <c r="F9148" s="3">
        <v>43028</v>
      </c>
      <c r="G9148" s="2" t="s">
        <v>19720</v>
      </c>
      <c r="H9148" s="2"/>
      <c r="I9148" s="2"/>
      <c r="J9148" s="2" t="s">
        <v>13904</v>
      </c>
      <c r="K9148" s="2" t="s">
        <v>19722</v>
      </c>
      <c r="L9148" s="246" t="s">
        <v>22280</v>
      </c>
    </row>
    <row r="9149" spans="1:12" ht="84" customHeight="1" x14ac:dyDescent="0.3">
      <c r="A9149" s="2">
        <v>9145</v>
      </c>
      <c r="B9149" s="66" t="s">
        <v>10750</v>
      </c>
      <c r="C9149" s="66" t="s">
        <v>3809</v>
      </c>
      <c r="D9149" s="11">
        <v>3010</v>
      </c>
      <c r="E9149" s="11">
        <v>3010</v>
      </c>
      <c r="F9149" s="3">
        <v>43028</v>
      </c>
      <c r="G9149" s="2" t="s">
        <v>19718</v>
      </c>
      <c r="H9149" s="2"/>
      <c r="I9149" s="2"/>
      <c r="J9149" s="2" t="s">
        <v>13904</v>
      </c>
      <c r="K9149" s="2" t="s">
        <v>19721</v>
      </c>
      <c r="L9149" s="246" t="s">
        <v>22280</v>
      </c>
    </row>
    <row r="9150" spans="1:12" ht="84" customHeight="1" x14ac:dyDescent="0.3">
      <c r="A9150" s="2">
        <v>9146</v>
      </c>
      <c r="B9150" s="66" t="s">
        <v>19324</v>
      </c>
      <c r="C9150" s="66" t="s">
        <v>19326</v>
      </c>
      <c r="D9150" s="11">
        <v>90000</v>
      </c>
      <c r="E9150" s="11">
        <v>90000</v>
      </c>
      <c r="F9150" s="3">
        <v>41626</v>
      </c>
      <c r="G9150" s="2" t="s">
        <v>19327</v>
      </c>
      <c r="H9150" s="2"/>
      <c r="I9150" s="2"/>
      <c r="J9150" s="2" t="s">
        <v>14091</v>
      </c>
      <c r="K9150" s="2" t="s">
        <v>17535</v>
      </c>
      <c r="L9150" s="82"/>
    </row>
    <row r="9151" spans="1:12" ht="84" customHeight="1" x14ac:dyDescent="0.3">
      <c r="A9151" s="2">
        <v>9147</v>
      </c>
      <c r="B9151" s="66" t="s">
        <v>10751</v>
      </c>
      <c r="C9151" s="66" t="s">
        <v>10752</v>
      </c>
      <c r="D9151" s="11">
        <v>40500</v>
      </c>
      <c r="E9151" s="11">
        <v>40500</v>
      </c>
      <c r="F9151" s="3">
        <v>43028</v>
      </c>
      <c r="G9151" s="2" t="s">
        <v>19715</v>
      </c>
      <c r="H9151" s="2"/>
      <c r="I9151" s="2"/>
      <c r="J9151" s="2" t="s">
        <v>13904</v>
      </c>
      <c r="K9151" s="2" t="s">
        <v>19721</v>
      </c>
      <c r="L9151" s="246" t="s">
        <v>22280</v>
      </c>
    </row>
    <row r="9152" spans="1:12" ht="84" customHeight="1" x14ac:dyDescent="0.3">
      <c r="A9152" s="2">
        <v>9148</v>
      </c>
      <c r="B9152" s="66" t="s">
        <v>10753</v>
      </c>
      <c r="C9152" s="66" t="s">
        <v>10754</v>
      </c>
      <c r="D9152" s="11">
        <v>5200</v>
      </c>
      <c r="E9152" s="11">
        <v>5200</v>
      </c>
      <c r="F9152" s="3">
        <v>43028</v>
      </c>
      <c r="G9152" s="2" t="s">
        <v>19718</v>
      </c>
      <c r="H9152" s="2"/>
      <c r="I9152" s="2"/>
      <c r="J9152" s="2" t="s">
        <v>13904</v>
      </c>
      <c r="K9152" s="2" t="s">
        <v>19724</v>
      </c>
      <c r="L9152" s="242" t="s">
        <v>22280</v>
      </c>
    </row>
    <row r="9153" spans="1:12" ht="84" customHeight="1" x14ac:dyDescent="0.3">
      <c r="A9153" s="2">
        <v>9149</v>
      </c>
      <c r="B9153" s="66" t="s">
        <v>19328</v>
      </c>
      <c r="C9153" s="66" t="s">
        <v>12073</v>
      </c>
      <c r="D9153" s="11">
        <v>61890</v>
      </c>
      <c r="E9153" s="11">
        <v>61890</v>
      </c>
      <c r="F9153" s="3">
        <v>40483</v>
      </c>
      <c r="G9153" s="2" t="s">
        <v>19329</v>
      </c>
      <c r="H9153" s="2"/>
      <c r="I9153" s="2"/>
      <c r="J9153" s="2" t="s">
        <v>14091</v>
      </c>
      <c r="K9153" s="2" t="s">
        <v>17535</v>
      </c>
      <c r="L9153" s="82"/>
    </row>
    <row r="9154" spans="1:12" ht="84" customHeight="1" x14ac:dyDescent="0.3">
      <c r="A9154" s="2">
        <v>9150</v>
      </c>
      <c r="B9154" s="66" t="s">
        <v>19330</v>
      </c>
      <c r="C9154" s="66" t="s">
        <v>18555</v>
      </c>
      <c r="D9154" s="11">
        <v>334002.33</v>
      </c>
      <c r="E9154" s="11">
        <v>194834.64</v>
      </c>
      <c r="F9154" s="3" t="s">
        <v>17946</v>
      </c>
      <c r="G9154" s="2" t="s">
        <v>19331</v>
      </c>
      <c r="H9154" s="2"/>
      <c r="I9154" s="2"/>
      <c r="J9154" s="2" t="s">
        <v>14091</v>
      </c>
      <c r="K9154" s="2" t="s">
        <v>17535</v>
      </c>
      <c r="L9154" s="82"/>
    </row>
    <row r="9155" spans="1:12" ht="84" customHeight="1" x14ac:dyDescent="0.3">
      <c r="A9155" s="2">
        <v>9151</v>
      </c>
      <c r="B9155" s="66" t="s">
        <v>10755</v>
      </c>
      <c r="C9155" s="66" t="s">
        <v>10756</v>
      </c>
      <c r="D9155" s="11">
        <v>15822.92</v>
      </c>
      <c r="E9155" s="11">
        <v>15822.92</v>
      </c>
      <c r="F9155" s="3">
        <v>43028</v>
      </c>
      <c r="G9155" s="2" t="s">
        <v>19718</v>
      </c>
      <c r="H9155" s="2"/>
      <c r="I9155" s="2"/>
      <c r="J9155" s="2" t="s">
        <v>13904</v>
      </c>
      <c r="K9155" s="2" t="s">
        <v>19724</v>
      </c>
      <c r="L9155" s="242" t="s">
        <v>22280</v>
      </c>
    </row>
    <row r="9156" spans="1:12" ht="84" customHeight="1" x14ac:dyDescent="0.3">
      <c r="A9156" s="2">
        <v>9152</v>
      </c>
      <c r="B9156" s="66" t="s">
        <v>10757</v>
      </c>
      <c r="C9156" s="66" t="s">
        <v>10758</v>
      </c>
      <c r="D9156" s="11">
        <v>4090</v>
      </c>
      <c r="E9156" s="11">
        <v>4090</v>
      </c>
      <c r="F9156" s="3">
        <v>43028</v>
      </c>
      <c r="G9156" s="2" t="s">
        <v>19718</v>
      </c>
      <c r="H9156" s="2"/>
      <c r="I9156" s="2"/>
      <c r="J9156" s="2" t="s">
        <v>13904</v>
      </c>
      <c r="K9156" s="2" t="s">
        <v>19724</v>
      </c>
      <c r="L9156" s="242" t="s">
        <v>22280</v>
      </c>
    </row>
    <row r="9157" spans="1:12" ht="84" customHeight="1" x14ac:dyDescent="0.3">
      <c r="A9157" s="2">
        <v>9153</v>
      </c>
      <c r="B9157" s="66" t="s">
        <v>4741</v>
      </c>
      <c r="C9157" s="66" t="s">
        <v>10759</v>
      </c>
      <c r="D9157" s="11">
        <v>5000</v>
      </c>
      <c r="E9157" s="11">
        <v>5000</v>
      </c>
      <c r="F9157" s="3">
        <v>43028</v>
      </c>
      <c r="G9157" s="2" t="s">
        <v>19715</v>
      </c>
      <c r="H9157" s="2"/>
      <c r="I9157" s="2"/>
      <c r="J9157" s="2" t="s">
        <v>13904</v>
      </c>
      <c r="K9157" s="2" t="s">
        <v>19724</v>
      </c>
      <c r="L9157" s="242" t="s">
        <v>22280</v>
      </c>
    </row>
    <row r="9158" spans="1:12" ht="84" customHeight="1" x14ac:dyDescent="0.3">
      <c r="A9158" s="2">
        <v>9154</v>
      </c>
      <c r="B9158" s="66" t="s">
        <v>10760</v>
      </c>
      <c r="C9158" s="66" t="s">
        <v>10761</v>
      </c>
      <c r="D9158" s="11">
        <v>11000</v>
      </c>
      <c r="E9158" s="11">
        <v>11000</v>
      </c>
      <c r="F9158" s="3">
        <v>43028</v>
      </c>
      <c r="G9158" s="2" t="s">
        <v>19716</v>
      </c>
      <c r="H9158" s="2"/>
      <c r="I9158" s="2"/>
      <c r="J9158" s="2" t="s">
        <v>13904</v>
      </c>
      <c r="K9158" s="2" t="s">
        <v>19724</v>
      </c>
      <c r="L9158" s="242" t="s">
        <v>22280</v>
      </c>
    </row>
    <row r="9159" spans="1:12" ht="84" customHeight="1" x14ac:dyDescent="0.3">
      <c r="A9159" s="2">
        <v>9155</v>
      </c>
      <c r="B9159" s="66" t="s">
        <v>2398</v>
      </c>
      <c r="C9159" s="66" t="s">
        <v>10762</v>
      </c>
      <c r="D9159" s="11">
        <v>3900</v>
      </c>
      <c r="E9159" s="11">
        <v>3900</v>
      </c>
      <c r="F9159" s="3">
        <v>43028</v>
      </c>
      <c r="G9159" s="2" t="s">
        <v>19720</v>
      </c>
      <c r="H9159" s="2"/>
      <c r="I9159" s="2"/>
      <c r="J9159" s="2" t="s">
        <v>13904</v>
      </c>
      <c r="K9159" s="2" t="s">
        <v>19724</v>
      </c>
      <c r="L9159" s="242" t="s">
        <v>22280</v>
      </c>
    </row>
    <row r="9160" spans="1:12" ht="84" customHeight="1" x14ac:dyDescent="0.3">
      <c r="A9160" s="2">
        <v>9156</v>
      </c>
      <c r="B9160" s="66" t="s">
        <v>10763</v>
      </c>
      <c r="C9160" s="66" t="s">
        <v>10764</v>
      </c>
      <c r="D9160" s="11">
        <v>17550</v>
      </c>
      <c r="E9160" s="11">
        <v>17550</v>
      </c>
      <c r="F9160" s="3" t="s">
        <v>19717</v>
      </c>
      <c r="G9160" s="2" t="s">
        <v>19718</v>
      </c>
      <c r="H9160" s="2"/>
      <c r="I9160" s="2"/>
      <c r="J9160" s="2" t="s">
        <v>13904</v>
      </c>
      <c r="K9160" s="2" t="s">
        <v>19724</v>
      </c>
      <c r="L9160" s="242" t="s">
        <v>22280</v>
      </c>
    </row>
    <row r="9161" spans="1:12" ht="84" customHeight="1" x14ac:dyDescent="0.3">
      <c r="A9161" s="2">
        <v>9157</v>
      </c>
      <c r="B9161" s="66" t="s">
        <v>10765</v>
      </c>
      <c r="C9161" s="66" t="s">
        <v>10766</v>
      </c>
      <c r="D9161" s="11">
        <v>9095</v>
      </c>
      <c r="E9161" s="11">
        <v>9095</v>
      </c>
      <c r="F9161" s="3">
        <v>43028</v>
      </c>
      <c r="G9161" s="2" t="s">
        <v>19718</v>
      </c>
      <c r="H9161" s="2"/>
      <c r="I9161" s="2"/>
      <c r="J9161" s="2" t="s">
        <v>13904</v>
      </c>
      <c r="K9161" s="2" t="s">
        <v>19724</v>
      </c>
      <c r="L9161" s="242" t="s">
        <v>22280</v>
      </c>
    </row>
    <row r="9162" spans="1:12" ht="120" customHeight="1" x14ac:dyDescent="0.3">
      <c r="A9162" s="2">
        <v>9158</v>
      </c>
      <c r="B9162" s="66" t="s">
        <v>10767</v>
      </c>
      <c r="C9162" s="66" t="s">
        <v>10768</v>
      </c>
      <c r="D9162" s="11">
        <v>10259.040000000001</v>
      </c>
      <c r="E9162" s="11">
        <v>10259.040000000001</v>
      </c>
      <c r="F9162" s="3">
        <v>42828</v>
      </c>
      <c r="G9162" s="2" t="s">
        <v>18707</v>
      </c>
      <c r="H9162" s="3">
        <v>43053</v>
      </c>
      <c r="I9162" s="2" t="s">
        <v>19506</v>
      </c>
      <c r="J9162" s="2" t="s">
        <v>15048</v>
      </c>
      <c r="K9162" s="2"/>
      <c r="L9162" s="82" t="s">
        <v>19512</v>
      </c>
    </row>
    <row r="9163" spans="1:12" ht="84" customHeight="1" x14ac:dyDescent="0.3">
      <c r="A9163" s="2">
        <v>9159</v>
      </c>
      <c r="B9163" s="66" t="s">
        <v>10769</v>
      </c>
      <c r="C9163" s="66" t="s">
        <v>10770</v>
      </c>
      <c r="D9163" s="11">
        <v>10320</v>
      </c>
      <c r="E9163" s="11">
        <v>10320</v>
      </c>
      <c r="F9163" s="3">
        <v>43028</v>
      </c>
      <c r="G9163" s="2" t="s">
        <v>19718</v>
      </c>
      <c r="H9163" s="2"/>
      <c r="I9163" s="2"/>
      <c r="J9163" s="2" t="s">
        <v>13904</v>
      </c>
      <c r="K9163" s="2" t="s">
        <v>19721</v>
      </c>
      <c r="L9163" s="246" t="s">
        <v>22280</v>
      </c>
    </row>
    <row r="9164" spans="1:12" ht="84" customHeight="1" x14ac:dyDescent="0.3">
      <c r="A9164" s="2">
        <v>9160</v>
      </c>
      <c r="B9164" s="66" t="s">
        <v>10771</v>
      </c>
      <c r="C9164" s="66" t="s">
        <v>10772</v>
      </c>
      <c r="D9164" s="11">
        <v>3145.79</v>
      </c>
      <c r="E9164" s="11">
        <v>3145.79</v>
      </c>
      <c r="F9164" s="3">
        <v>43028</v>
      </c>
      <c r="G9164" s="2" t="s">
        <v>19720</v>
      </c>
      <c r="H9164" s="2"/>
      <c r="I9164" s="2"/>
      <c r="J9164" s="2" t="s">
        <v>13904</v>
      </c>
      <c r="K9164" s="2" t="s">
        <v>19724</v>
      </c>
      <c r="L9164" s="242" t="s">
        <v>22280</v>
      </c>
    </row>
    <row r="9165" spans="1:12" ht="84" customHeight="1" x14ac:dyDescent="0.3">
      <c r="A9165" s="2">
        <v>9161</v>
      </c>
      <c r="B9165" s="66" t="s">
        <v>10773</v>
      </c>
      <c r="C9165" s="66" t="s">
        <v>10774</v>
      </c>
      <c r="D9165" s="11">
        <v>10551.8</v>
      </c>
      <c r="E9165" s="11">
        <v>10551.8</v>
      </c>
      <c r="F9165" s="3">
        <v>43028</v>
      </c>
      <c r="G9165" s="2" t="s">
        <v>19718</v>
      </c>
      <c r="H9165" s="2"/>
      <c r="I9165" s="2"/>
      <c r="J9165" s="2" t="s">
        <v>13904</v>
      </c>
      <c r="K9165" s="2" t="s">
        <v>19724</v>
      </c>
      <c r="L9165" s="242" t="s">
        <v>22280</v>
      </c>
    </row>
    <row r="9166" spans="1:12" ht="120" customHeight="1" x14ac:dyDescent="0.3">
      <c r="A9166" s="2">
        <v>9162</v>
      </c>
      <c r="B9166" s="66" t="s">
        <v>10775</v>
      </c>
      <c r="C9166" s="66" t="s">
        <v>10776</v>
      </c>
      <c r="D9166" s="11">
        <v>25526.2</v>
      </c>
      <c r="E9166" s="11">
        <v>25526.2</v>
      </c>
      <c r="F9166" s="3">
        <v>42828</v>
      </c>
      <c r="G9166" s="2" t="s">
        <v>18707</v>
      </c>
      <c r="H9166" s="3">
        <v>43053</v>
      </c>
      <c r="I9166" s="2" t="s">
        <v>19506</v>
      </c>
      <c r="J9166" s="2" t="s">
        <v>15048</v>
      </c>
      <c r="K9166" s="2"/>
      <c r="L9166" s="82" t="s">
        <v>19512</v>
      </c>
    </row>
    <row r="9167" spans="1:12" ht="120" customHeight="1" x14ac:dyDescent="0.3">
      <c r="A9167" s="2">
        <v>9163</v>
      </c>
      <c r="B9167" s="66" t="s">
        <v>10777</v>
      </c>
      <c r="C9167" s="66" t="s">
        <v>10778</v>
      </c>
      <c r="D9167" s="11">
        <v>16951.2</v>
      </c>
      <c r="E9167" s="11">
        <v>16951.2</v>
      </c>
      <c r="F9167" s="3">
        <v>42828</v>
      </c>
      <c r="G9167" s="2" t="s">
        <v>18707</v>
      </c>
      <c r="H9167" s="3">
        <v>43053</v>
      </c>
      <c r="I9167" s="2" t="s">
        <v>19506</v>
      </c>
      <c r="J9167" s="2" t="s">
        <v>15048</v>
      </c>
      <c r="K9167" s="2"/>
      <c r="L9167" s="82" t="s">
        <v>19512</v>
      </c>
    </row>
    <row r="9168" spans="1:12" ht="84" customHeight="1" x14ac:dyDescent="0.3">
      <c r="A9168" s="2">
        <v>9164</v>
      </c>
      <c r="B9168" s="66" t="s">
        <v>10779</v>
      </c>
      <c r="C9168" s="66" t="s">
        <v>10780</v>
      </c>
      <c r="D9168" s="11">
        <v>4074</v>
      </c>
      <c r="E9168" s="11">
        <v>4074</v>
      </c>
      <c r="F9168" s="3">
        <v>43028</v>
      </c>
      <c r="G9168" s="2" t="s">
        <v>19715</v>
      </c>
      <c r="H9168" s="2"/>
      <c r="I9168" s="2"/>
      <c r="J9168" s="2" t="s">
        <v>13904</v>
      </c>
      <c r="K9168" s="2" t="s">
        <v>19725</v>
      </c>
      <c r="L9168" s="82"/>
    </row>
    <row r="9169" spans="1:12" ht="120" customHeight="1" x14ac:dyDescent="0.3">
      <c r="A9169" s="2">
        <v>9165</v>
      </c>
      <c r="B9169" s="66" t="s">
        <v>10781</v>
      </c>
      <c r="C9169" s="66" t="s">
        <v>7759</v>
      </c>
      <c r="D9169" s="11">
        <v>5439</v>
      </c>
      <c r="E9169" s="11">
        <v>5439</v>
      </c>
      <c r="F9169" s="3">
        <v>43028</v>
      </c>
      <c r="G9169" s="2" t="s">
        <v>19715</v>
      </c>
      <c r="H9169" s="242" t="s">
        <v>22975</v>
      </c>
      <c r="I9169" s="2" t="s">
        <v>22977</v>
      </c>
      <c r="J9169" s="2" t="s">
        <v>13904</v>
      </c>
      <c r="K9169" s="2" t="s">
        <v>19723</v>
      </c>
      <c r="L9169" s="82" t="s">
        <v>19512</v>
      </c>
    </row>
    <row r="9170" spans="1:12" ht="120" customHeight="1" x14ac:dyDescent="0.3">
      <c r="A9170" s="2">
        <v>9166</v>
      </c>
      <c r="B9170" s="66" t="s">
        <v>10782</v>
      </c>
      <c r="C9170" s="66" t="s">
        <v>10783</v>
      </c>
      <c r="D9170" s="11">
        <v>5439</v>
      </c>
      <c r="E9170" s="11">
        <v>5439</v>
      </c>
      <c r="F9170" s="3">
        <v>43028</v>
      </c>
      <c r="G9170" s="2" t="s">
        <v>19718</v>
      </c>
      <c r="H9170" s="242" t="s">
        <v>22975</v>
      </c>
      <c r="I9170" s="242" t="s">
        <v>22977</v>
      </c>
      <c r="J9170" s="2" t="s">
        <v>13904</v>
      </c>
      <c r="K9170" s="2" t="s">
        <v>19723</v>
      </c>
      <c r="L9170" s="246" t="s">
        <v>19512</v>
      </c>
    </row>
    <row r="9171" spans="1:12" ht="264" x14ac:dyDescent="0.3">
      <c r="A9171" s="2">
        <v>9167</v>
      </c>
      <c r="B9171" s="245" t="s">
        <v>23490</v>
      </c>
      <c r="C9171" s="66" t="s">
        <v>23491</v>
      </c>
      <c r="D9171" s="11">
        <v>6806449.8200000003</v>
      </c>
      <c r="E9171" s="11"/>
      <c r="F9171" s="3" t="s">
        <v>23492</v>
      </c>
      <c r="G9171" s="2" t="s">
        <v>23493</v>
      </c>
      <c r="H9171" s="3"/>
      <c r="I9171" s="2"/>
      <c r="J9171" s="242" t="s">
        <v>12550</v>
      </c>
      <c r="K9171" s="2"/>
      <c r="L9171" s="246" t="s">
        <v>17869</v>
      </c>
    </row>
    <row r="9172" spans="1:12" ht="120" customHeight="1" x14ac:dyDescent="0.3">
      <c r="A9172" s="2">
        <v>9168</v>
      </c>
      <c r="B9172" s="66" t="s">
        <v>10784</v>
      </c>
      <c r="C9172" s="66" t="s">
        <v>10785</v>
      </c>
      <c r="D9172" s="11">
        <v>5439</v>
      </c>
      <c r="E9172" s="11">
        <v>5439</v>
      </c>
      <c r="F9172" s="3">
        <v>43028</v>
      </c>
      <c r="G9172" s="2" t="s">
        <v>19718</v>
      </c>
      <c r="H9172" s="242" t="s">
        <v>22975</v>
      </c>
      <c r="I9172" s="242" t="s">
        <v>22977</v>
      </c>
      <c r="J9172" s="2" t="s">
        <v>13904</v>
      </c>
      <c r="K9172" s="2" t="s">
        <v>19723</v>
      </c>
      <c r="L9172" s="246" t="s">
        <v>19512</v>
      </c>
    </row>
    <row r="9173" spans="1:12" ht="84" customHeight="1" x14ac:dyDescent="0.3">
      <c r="A9173" s="2">
        <v>9169</v>
      </c>
      <c r="B9173" s="66" t="s">
        <v>10786</v>
      </c>
      <c r="C9173" s="66" t="s">
        <v>10787</v>
      </c>
      <c r="D9173" s="11">
        <v>4500</v>
      </c>
      <c r="E9173" s="11">
        <v>4500</v>
      </c>
      <c r="F9173" s="3">
        <v>43028</v>
      </c>
      <c r="G9173" s="2" t="s">
        <v>19720</v>
      </c>
      <c r="H9173" s="2"/>
      <c r="I9173" s="2"/>
      <c r="J9173" s="2" t="s">
        <v>13904</v>
      </c>
      <c r="K9173" s="2" t="s">
        <v>19721</v>
      </c>
      <c r="L9173" s="246" t="s">
        <v>22280</v>
      </c>
    </row>
    <row r="9174" spans="1:12" ht="108" customHeight="1" x14ac:dyDescent="0.3">
      <c r="A9174" s="2">
        <v>9170</v>
      </c>
      <c r="B9174" s="66" t="s">
        <v>19726</v>
      </c>
      <c r="C9174" s="245" t="s">
        <v>19727</v>
      </c>
      <c r="D9174" s="11">
        <v>54450</v>
      </c>
      <c r="E9174" s="11"/>
      <c r="F9174" s="3" t="s">
        <v>19735</v>
      </c>
      <c r="G9174" s="2" t="s">
        <v>19736</v>
      </c>
      <c r="H9174" s="3"/>
      <c r="I9174" s="2"/>
      <c r="J9174" s="2" t="s">
        <v>13904</v>
      </c>
      <c r="K9174" s="2" t="s">
        <v>19734</v>
      </c>
      <c r="L9174" s="242" t="s">
        <v>23817</v>
      </c>
    </row>
    <row r="9175" spans="1:12" ht="84" customHeight="1" x14ac:dyDescent="0.3">
      <c r="A9175" s="2">
        <v>9171</v>
      </c>
      <c r="B9175" s="66" t="s">
        <v>10788</v>
      </c>
      <c r="C9175" s="66" t="s">
        <v>10789</v>
      </c>
      <c r="D9175" s="11">
        <v>5090.3999999999996</v>
      </c>
      <c r="E9175" s="11">
        <v>5090.3999999999996</v>
      </c>
      <c r="F9175" s="3">
        <v>43028</v>
      </c>
      <c r="G9175" s="2" t="s">
        <v>19718</v>
      </c>
      <c r="H9175" s="2"/>
      <c r="I9175" s="2"/>
      <c r="J9175" s="2" t="s">
        <v>13904</v>
      </c>
      <c r="K9175" s="2" t="s">
        <v>19724</v>
      </c>
      <c r="L9175" s="242" t="s">
        <v>22280</v>
      </c>
    </row>
    <row r="9176" spans="1:12" ht="108" customHeight="1" x14ac:dyDescent="0.3">
      <c r="A9176" s="2">
        <v>9172</v>
      </c>
      <c r="B9176" s="66" t="s">
        <v>19728</v>
      </c>
      <c r="C9176" s="245" t="s">
        <v>19729</v>
      </c>
      <c r="D9176" s="11">
        <v>1690202.25</v>
      </c>
      <c r="E9176" s="11"/>
      <c r="F9176" s="3" t="s">
        <v>19735</v>
      </c>
      <c r="G9176" s="2" t="s">
        <v>19736</v>
      </c>
      <c r="H9176" s="3"/>
      <c r="I9176" s="2"/>
      <c r="J9176" s="2" t="s">
        <v>13904</v>
      </c>
      <c r="K9176" s="2" t="s">
        <v>19734</v>
      </c>
      <c r="L9176" s="242" t="s">
        <v>23817</v>
      </c>
    </row>
    <row r="9177" spans="1:12" ht="108" customHeight="1" x14ac:dyDescent="0.3">
      <c r="A9177" s="2">
        <v>9173</v>
      </c>
      <c r="B9177" s="66" t="s">
        <v>19730</v>
      </c>
      <c r="C9177" s="245" t="s">
        <v>19731</v>
      </c>
      <c r="D9177" s="11">
        <v>31766.63</v>
      </c>
      <c r="E9177" s="11">
        <v>31766.63</v>
      </c>
      <c r="F9177" s="3">
        <v>42941</v>
      </c>
      <c r="G9177" s="2" t="s">
        <v>19736</v>
      </c>
      <c r="H9177" s="3"/>
      <c r="I9177" s="2"/>
      <c r="J9177" s="2" t="s">
        <v>13904</v>
      </c>
      <c r="K9177" s="2" t="s">
        <v>19734</v>
      </c>
      <c r="L9177" s="242" t="s">
        <v>23817</v>
      </c>
    </row>
    <row r="9178" spans="1:12" ht="120" customHeight="1" x14ac:dyDescent="0.3">
      <c r="A9178" s="2">
        <v>9174</v>
      </c>
      <c r="B9178" s="66" t="s">
        <v>10790</v>
      </c>
      <c r="C9178" s="66" t="s">
        <v>7054</v>
      </c>
      <c r="D9178" s="11">
        <v>4958.1000000000004</v>
      </c>
      <c r="E9178" s="11">
        <v>4958.1000000000004</v>
      </c>
      <c r="F9178" s="3">
        <v>43028</v>
      </c>
      <c r="G9178" s="2" t="s">
        <v>19718</v>
      </c>
      <c r="H9178" s="242" t="s">
        <v>22975</v>
      </c>
      <c r="I9178" s="242" t="s">
        <v>22977</v>
      </c>
      <c r="J9178" s="2" t="s">
        <v>13904</v>
      </c>
      <c r="K9178" s="2" t="s">
        <v>19723</v>
      </c>
      <c r="L9178" s="246" t="s">
        <v>19512</v>
      </c>
    </row>
    <row r="9179" spans="1:12" ht="108" customHeight="1" x14ac:dyDescent="0.3">
      <c r="A9179" s="2">
        <v>9175</v>
      </c>
      <c r="B9179" s="66" t="s">
        <v>19732</v>
      </c>
      <c r="C9179" s="245" t="s">
        <v>19733</v>
      </c>
      <c r="D9179" s="11">
        <v>55081.120000000003</v>
      </c>
      <c r="E9179" s="11"/>
      <c r="F9179" s="3">
        <v>42941</v>
      </c>
      <c r="G9179" s="2" t="s">
        <v>19736</v>
      </c>
      <c r="H9179" s="3"/>
      <c r="I9179" s="2"/>
      <c r="J9179" s="2" t="s">
        <v>13904</v>
      </c>
      <c r="K9179" s="2" t="s">
        <v>19734</v>
      </c>
      <c r="L9179" s="242" t="s">
        <v>23817</v>
      </c>
    </row>
    <row r="9180" spans="1:12" ht="252" x14ac:dyDescent="0.3">
      <c r="A9180" s="2">
        <v>9176</v>
      </c>
      <c r="B9180" s="66" t="s">
        <v>23489</v>
      </c>
      <c r="C9180" s="66" t="s">
        <v>23486</v>
      </c>
      <c r="D9180" s="11">
        <v>7280809.8899999997</v>
      </c>
      <c r="E9180" s="11"/>
      <c r="F9180" s="3" t="s">
        <v>23487</v>
      </c>
      <c r="G9180" s="2" t="s">
        <v>23488</v>
      </c>
      <c r="H9180" s="3"/>
      <c r="I9180" s="2"/>
      <c r="J9180" s="2" t="s">
        <v>12550</v>
      </c>
      <c r="K9180" s="2"/>
      <c r="L9180" s="82" t="s">
        <v>17869</v>
      </c>
    </row>
    <row r="9181" spans="1:12" ht="120" customHeight="1" x14ac:dyDescent="0.3">
      <c r="A9181" s="2">
        <v>9177</v>
      </c>
      <c r="B9181" s="66" t="s">
        <v>10791</v>
      </c>
      <c r="C9181" s="66" t="s">
        <v>8303</v>
      </c>
      <c r="D9181" s="11">
        <v>4762.79</v>
      </c>
      <c r="E9181" s="11">
        <v>4762.79</v>
      </c>
      <c r="F9181" s="3">
        <v>43028</v>
      </c>
      <c r="G9181" s="2" t="s">
        <v>19718</v>
      </c>
      <c r="H9181" s="242" t="s">
        <v>22975</v>
      </c>
      <c r="I9181" s="242" t="s">
        <v>22977</v>
      </c>
      <c r="J9181" s="2" t="s">
        <v>13904</v>
      </c>
      <c r="K9181" s="2" t="s">
        <v>19723</v>
      </c>
      <c r="L9181" s="246" t="s">
        <v>19512</v>
      </c>
    </row>
    <row r="9182" spans="1:12" ht="120" customHeight="1" x14ac:dyDescent="0.3">
      <c r="A9182" s="2">
        <v>9178</v>
      </c>
      <c r="B9182" s="66" t="s">
        <v>10792</v>
      </c>
      <c r="C9182" s="66" t="s">
        <v>10793</v>
      </c>
      <c r="D9182" s="11">
        <v>4762.79</v>
      </c>
      <c r="E9182" s="11">
        <v>4762.79</v>
      </c>
      <c r="F9182" s="3">
        <v>43028</v>
      </c>
      <c r="G9182" s="2" t="s">
        <v>19715</v>
      </c>
      <c r="H9182" s="242" t="s">
        <v>22975</v>
      </c>
      <c r="I9182" s="242" t="s">
        <v>22977</v>
      </c>
      <c r="J9182" s="2" t="s">
        <v>13904</v>
      </c>
      <c r="K9182" s="2" t="s">
        <v>19723</v>
      </c>
      <c r="L9182" s="246" t="s">
        <v>19512</v>
      </c>
    </row>
    <row r="9183" spans="1:12" ht="120" customHeight="1" x14ac:dyDescent="0.3">
      <c r="A9183" s="2">
        <v>9179</v>
      </c>
      <c r="B9183" s="66" t="s">
        <v>23428</v>
      </c>
      <c r="C9183" s="66">
        <v>110136023</v>
      </c>
      <c r="D9183" s="11">
        <v>270000</v>
      </c>
      <c r="E9183" s="11"/>
      <c r="F9183" s="3" t="s">
        <v>23429</v>
      </c>
      <c r="G9183" s="2" t="s">
        <v>23430</v>
      </c>
      <c r="H9183" s="3"/>
      <c r="I9183" s="2"/>
      <c r="J9183" s="242" t="s">
        <v>13904</v>
      </c>
      <c r="K9183" s="2" t="s">
        <v>23432</v>
      </c>
      <c r="L9183" s="82" t="s">
        <v>23431</v>
      </c>
    </row>
    <row r="9184" spans="1:12" ht="120" customHeight="1" x14ac:dyDescent="0.3">
      <c r="A9184" s="2">
        <v>9180</v>
      </c>
      <c r="B9184" s="245" t="s">
        <v>23394</v>
      </c>
      <c r="C9184" s="245" t="s">
        <v>23517</v>
      </c>
      <c r="D9184" s="244">
        <v>100000</v>
      </c>
      <c r="E9184" s="244">
        <v>100000</v>
      </c>
      <c r="F9184" s="243" t="s">
        <v>23395</v>
      </c>
      <c r="G9184" s="242" t="s">
        <v>23396</v>
      </c>
      <c r="H9184" s="243"/>
      <c r="I9184" s="242"/>
      <c r="J9184" s="242" t="s">
        <v>15048</v>
      </c>
      <c r="K9184" s="2"/>
      <c r="L9184" s="82" t="s">
        <v>23393</v>
      </c>
    </row>
    <row r="9185" spans="1:15" ht="108" customHeight="1" x14ac:dyDescent="0.3">
      <c r="A9185" s="2">
        <v>9181</v>
      </c>
      <c r="B9185" s="66" t="s">
        <v>22285</v>
      </c>
      <c r="C9185" s="66">
        <v>4369088</v>
      </c>
      <c r="D9185" s="11">
        <v>399960</v>
      </c>
      <c r="E9185" s="11">
        <v>86658</v>
      </c>
      <c r="F9185" s="3" t="s">
        <v>19717</v>
      </c>
      <c r="G9185" s="2" t="s">
        <v>22286</v>
      </c>
      <c r="H9185" s="3"/>
      <c r="I9185" s="2"/>
      <c r="J9185" s="2" t="s">
        <v>14091</v>
      </c>
      <c r="K9185" s="2" t="s">
        <v>22284</v>
      </c>
      <c r="L9185" s="82" t="s">
        <v>23002</v>
      </c>
    </row>
    <row r="9186" spans="1:15" ht="108" customHeight="1" x14ac:dyDescent="0.3">
      <c r="A9186" s="2">
        <v>9182</v>
      </c>
      <c r="B9186" s="66" t="s">
        <v>22287</v>
      </c>
      <c r="C9186" s="66">
        <v>4369089</v>
      </c>
      <c r="D9186" s="11">
        <v>58200</v>
      </c>
      <c r="E9186" s="11">
        <v>11640</v>
      </c>
      <c r="F9186" s="3" t="s">
        <v>22288</v>
      </c>
      <c r="G9186" s="2" t="s">
        <v>22289</v>
      </c>
      <c r="H9186" s="3"/>
      <c r="I9186" s="2"/>
      <c r="J9186" s="2" t="s">
        <v>14091</v>
      </c>
      <c r="K9186" s="2" t="s">
        <v>22284</v>
      </c>
      <c r="L9186" s="246" t="s">
        <v>23002</v>
      </c>
    </row>
    <row r="9187" spans="1:15" ht="84" customHeight="1" x14ac:dyDescent="0.3">
      <c r="A9187" s="2">
        <v>9183</v>
      </c>
      <c r="B9187" s="66" t="s">
        <v>21024</v>
      </c>
      <c r="C9187" s="66">
        <v>41012600013</v>
      </c>
      <c r="D9187" s="11">
        <v>100782</v>
      </c>
      <c r="E9187" s="11">
        <v>0</v>
      </c>
      <c r="F9187" s="3">
        <v>42919</v>
      </c>
      <c r="G9187" s="2" t="s">
        <v>19747</v>
      </c>
      <c r="H9187" s="2"/>
      <c r="I9187" s="2"/>
      <c r="J9187" s="2" t="s">
        <v>13904</v>
      </c>
      <c r="K9187" s="2" t="s">
        <v>18541</v>
      </c>
      <c r="L9187" s="82" t="s">
        <v>20508</v>
      </c>
    </row>
    <row r="9188" spans="1:15" ht="84" customHeight="1" x14ac:dyDescent="0.3">
      <c r="A9188" s="2">
        <v>9184</v>
      </c>
      <c r="B9188" s="66" t="s">
        <v>21025</v>
      </c>
      <c r="C9188" s="66">
        <v>41012600014</v>
      </c>
      <c r="D9188" s="11">
        <v>96265.1</v>
      </c>
      <c r="E9188" s="11">
        <v>0</v>
      </c>
      <c r="F9188" s="3">
        <v>42919</v>
      </c>
      <c r="G9188" s="2" t="s">
        <v>19747</v>
      </c>
      <c r="H9188" s="2"/>
      <c r="I9188" s="2"/>
      <c r="J9188" s="2" t="s">
        <v>13904</v>
      </c>
      <c r="K9188" s="2" t="s">
        <v>18541</v>
      </c>
      <c r="L9188" s="82" t="s">
        <v>20509</v>
      </c>
    </row>
    <row r="9189" spans="1:15" ht="120" customHeight="1" x14ac:dyDescent="0.3">
      <c r="A9189" s="2">
        <v>9185</v>
      </c>
      <c r="B9189" s="66" t="s">
        <v>23255</v>
      </c>
      <c r="C9189" s="66" t="s">
        <v>12396</v>
      </c>
      <c r="D9189" s="11">
        <v>125067.18</v>
      </c>
      <c r="E9189" s="11"/>
      <c r="F9189" s="3" t="s">
        <v>23256</v>
      </c>
      <c r="G9189" s="2" t="s">
        <v>23257</v>
      </c>
      <c r="H9189" s="242"/>
      <c r="I9189" s="242"/>
      <c r="J9189" s="2" t="s">
        <v>13904</v>
      </c>
      <c r="K9189" s="242" t="s">
        <v>23258</v>
      </c>
      <c r="L9189" s="246" t="s">
        <v>23259</v>
      </c>
    </row>
    <row r="9190" spans="1:15" ht="84" customHeight="1" x14ac:dyDescent="0.3">
      <c r="A9190" s="2">
        <v>9186</v>
      </c>
      <c r="B9190" s="66" t="s">
        <v>10790</v>
      </c>
      <c r="C9190" s="66" t="s">
        <v>7052</v>
      </c>
      <c r="D9190" s="11">
        <v>4958.1000000000004</v>
      </c>
      <c r="E9190" s="11">
        <v>4958.1000000000004</v>
      </c>
      <c r="F9190" s="3">
        <v>43028</v>
      </c>
      <c r="G9190" s="2" t="s">
        <v>19716</v>
      </c>
      <c r="H9190" s="2"/>
      <c r="I9190" s="2"/>
      <c r="J9190" s="2" t="s">
        <v>13904</v>
      </c>
      <c r="K9190" s="2" t="s">
        <v>19725</v>
      </c>
      <c r="L9190" s="82" t="s">
        <v>22280</v>
      </c>
    </row>
    <row r="9191" spans="1:15" ht="84" customHeight="1" x14ac:dyDescent="0.3">
      <c r="A9191" s="2">
        <v>9187</v>
      </c>
      <c r="B9191" s="66" t="s">
        <v>21026</v>
      </c>
      <c r="C9191" s="66">
        <v>41012600015</v>
      </c>
      <c r="D9191" s="11">
        <v>163003.5</v>
      </c>
      <c r="E9191" s="11">
        <v>0</v>
      </c>
      <c r="F9191" s="3">
        <v>42919</v>
      </c>
      <c r="G9191" s="2" t="s">
        <v>19747</v>
      </c>
      <c r="H9191" s="2"/>
      <c r="I9191" s="2"/>
      <c r="J9191" s="2" t="s">
        <v>13904</v>
      </c>
      <c r="K9191" s="2" t="s">
        <v>18541</v>
      </c>
      <c r="L9191" s="82" t="s">
        <v>20508</v>
      </c>
    </row>
    <row r="9192" spans="1:15" ht="84" customHeight="1" x14ac:dyDescent="0.3">
      <c r="A9192" s="2">
        <v>9188</v>
      </c>
      <c r="B9192" s="66" t="s">
        <v>10794</v>
      </c>
      <c r="C9192" s="66" t="s">
        <v>10494</v>
      </c>
      <c r="D9192" s="11">
        <v>4762.79</v>
      </c>
      <c r="E9192" s="11">
        <v>4762.79</v>
      </c>
      <c r="F9192" s="3">
        <v>43028</v>
      </c>
      <c r="G9192" s="2" t="s">
        <v>19718</v>
      </c>
      <c r="H9192" s="2"/>
      <c r="I9192" s="2"/>
      <c r="J9192" s="2" t="s">
        <v>13904</v>
      </c>
      <c r="K9192" s="2" t="s">
        <v>19724</v>
      </c>
      <c r="L9192" s="242" t="s">
        <v>22280</v>
      </c>
    </row>
    <row r="9193" spans="1:15" ht="120" customHeight="1" x14ac:dyDescent="0.3">
      <c r="A9193" s="2">
        <v>9189</v>
      </c>
      <c r="B9193" s="66" t="s">
        <v>10795</v>
      </c>
      <c r="C9193" s="66" t="s">
        <v>10796</v>
      </c>
      <c r="D9193" s="11">
        <v>14946.74</v>
      </c>
      <c r="E9193" s="11">
        <v>14946.74</v>
      </c>
      <c r="F9193" s="3">
        <v>43028</v>
      </c>
      <c r="G9193" s="2" t="s">
        <v>19718</v>
      </c>
      <c r="H9193" s="242" t="s">
        <v>22975</v>
      </c>
      <c r="I9193" s="242" t="s">
        <v>22977</v>
      </c>
      <c r="J9193" s="2" t="s">
        <v>13904</v>
      </c>
      <c r="K9193" s="2" t="s">
        <v>19723</v>
      </c>
      <c r="L9193" s="246" t="s">
        <v>19512</v>
      </c>
    </row>
    <row r="9194" spans="1:15" ht="120" customHeight="1" x14ac:dyDescent="0.3">
      <c r="A9194" s="2">
        <v>9190</v>
      </c>
      <c r="B9194" s="66" t="s">
        <v>10795</v>
      </c>
      <c r="C9194" s="66" t="s">
        <v>10797</v>
      </c>
      <c r="D9194" s="11">
        <v>14946.75</v>
      </c>
      <c r="E9194" s="11">
        <v>14946.75</v>
      </c>
      <c r="F9194" s="3">
        <v>43028</v>
      </c>
      <c r="G9194" s="2" t="s">
        <v>19718</v>
      </c>
      <c r="H9194" s="242" t="s">
        <v>22975</v>
      </c>
      <c r="I9194" s="242" t="s">
        <v>22977</v>
      </c>
      <c r="J9194" s="2" t="s">
        <v>13904</v>
      </c>
      <c r="K9194" s="2" t="s">
        <v>19723</v>
      </c>
      <c r="L9194" s="246" t="s">
        <v>19512</v>
      </c>
    </row>
    <row r="9195" spans="1:15" ht="84" customHeight="1" x14ac:dyDescent="0.3">
      <c r="A9195" s="2">
        <v>9191</v>
      </c>
      <c r="B9195" s="66" t="s">
        <v>10798</v>
      </c>
      <c r="C9195" s="66" t="s">
        <v>10799</v>
      </c>
      <c r="D9195" s="11">
        <v>5045.62</v>
      </c>
      <c r="E9195" s="11">
        <v>5045.62</v>
      </c>
      <c r="F9195" s="3">
        <v>43028</v>
      </c>
      <c r="G9195" s="2" t="s">
        <v>19718</v>
      </c>
      <c r="H9195" s="2"/>
      <c r="I9195" s="2"/>
      <c r="J9195" s="2" t="s">
        <v>13904</v>
      </c>
      <c r="K9195" s="2" t="s">
        <v>19724</v>
      </c>
      <c r="L9195" s="242" t="s">
        <v>22280</v>
      </c>
    </row>
    <row r="9196" spans="1:15" ht="84" customHeight="1" x14ac:dyDescent="0.3">
      <c r="A9196" s="2">
        <v>9192</v>
      </c>
      <c r="B9196" s="66" t="s">
        <v>10800</v>
      </c>
      <c r="C9196" s="66" t="s">
        <v>10801</v>
      </c>
      <c r="D9196" s="11">
        <v>5550</v>
      </c>
      <c r="E9196" s="11">
        <v>5550</v>
      </c>
      <c r="F9196" s="3">
        <v>43028</v>
      </c>
      <c r="G9196" s="2" t="s">
        <v>19715</v>
      </c>
      <c r="H9196" s="2"/>
      <c r="I9196" s="2"/>
      <c r="J9196" s="2" t="s">
        <v>13904</v>
      </c>
      <c r="K9196" s="2" t="s">
        <v>19724</v>
      </c>
      <c r="L9196" s="242" t="s">
        <v>22280</v>
      </c>
    </row>
    <row r="9197" spans="1:15" s="19" customFormat="1" ht="84" customHeight="1" x14ac:dyDescent="0.3">
      <c r="A9197" s="2">
        <v>9193</v>
      </c>
      <c r="B9197" s="66" t="s">
        <v>10802</v>
      </c>
      <c r="C9197" s="66" t="s">
        <v>10803</v>
      </c>
      <c r="D9197" s="11">
        <v>39130.42</v>
      </c>
      <c r="E9197" s="11">
        <v>39130.42</v>
      </c>
      <c r="F9197" s="3">
        <v>40177</v>
      </c>
      <c r="G9197" s="2"/>
      <c r="H9197" s="242" t="s">
        <v>22975</v>
      </c>
      <c r="I9197" s="242" t="s">
        <v>22977</v>
      </c>
      <c r="J9197" s="2" t="s">
        <v>13904</v>
      </c>
      <c r="K9197" s="2" t="s">
        <v>22281</v>
      </c>
      <c r="L9197" s="246" t="s">
        <v>19512</v>
      </c>
      <c r="M9197" s="18"/>
      <c r="N9197" s="18"/>
      <c r="O9197" s="18"/>
    </row>
    <row r="9198" spans="1:15" ht="84" customHeight="1" x14ac:dyDescent="0.3">
      <c r="A9198" s="2">
        <v>9194</v>
      </c>
      <c r="B9198" s="66" t="s">
        <v>10804</v>
      </c>
      <c r="C9198" s="66" t="s">
        <v>10805</v>
      </c>
      <c r="D9198" s="11">
        <v>26557.4</v>
      </c>
      <c r="E9198" s="11">
        <v>26557.4</v>
      </c>
      <c r="F9198" s="3">
        <v>40282</v>
      </c>
      <c r="G9198" s="2"/>
      <c r="H9198" s="242" t="s">
        <v>22975</v>
      </c>
      <c r="I9198" s="242" t="s">
        <v>22977</v>
      </c>
      <c r="J9198" s="2" t="s">
        <v>13904</v>
      </c>
      <c r="K9198" s="2" t="s">
        <v>22281</v>
      </c>
      <c r="L9198" s="246" t="s">
        <v>19512</v>
      </c>
    </row>
    <row r="9199" spans="1:15" ht="84" customHeight="1" x14ac:dyDescent="0.3">
      <c r="A9199" s="2">
        <v>9195</v>
      </c>
      <c r="B9199" s="66" t="s">
        <v>10806</v>
      </c>
      <c r="C9199" s="66" t="s">
        <v>10807</v>
      </c>
      <c r="D9199" s="11">
        <v>25995.65</v>
      </c>
      <c r="E9199" s="11">
        <v>25995.65</v>
      </c>
      <c r="F9199" s="3">
        <v>40282</v>
      </c>
      <c r="G9199" s="2"/>
      <c r="H9199" s="242" t="s">
        <v>22975</v>
      </c>
      <c r="I9199" s="242" t="s">
        <v>22977</v>
      </c>
      <c r="J9199" s="2" t="s">
        <v>13904</v>
      </c>
      <c r="K9199" s="2" t="s">
        <v>22281</v>
      </c>
      <c r="L9199" s="246" t="s">
        <v>19512</v>
      </c>
    </row>
    <row r="9200" spans="1:15" ht="84" customHeight="1" x14ac:dyDescent="0.3">
      <c r="A9200" s="2">
        <v>9196</v>
      </c>
      <c r="B9200" s="66" t="s">
        <v>10808</v>
      </c>
      <c r="C9200" s="66" t="s">
        <v>5417</v>
      </c>
      <c r="D9200" s="11">
        <v>20173.78</v>
      </c>
      <c r="E9200" s="11">
        <v>20173.78</v>
      </c>
      <c r="F9200" s="3">
        <v>40282</v>
      </c>
      <c r="G9200" s="2"/>
      <c r="H9200" s="242" t="s">
        <v>22975</v>
      </c>
      <c r="I9200" s="242" t="s">
        <v>22977</v>
      </c>
      <c r="J9200" s="2" t="s">
        <v>13904</v>
      </c>
      <c r="K9200" s="2" t="s">
        <v>22281</v>
      </c>
      <c r="L9200" s="246" t="s">
        <v>19512</v>
      </c>
    </row>
    <row r="9201" spans="1:12" ht="84" customHeight="1" x14ac:dyDescent="0.3">
      <c r="A9201" s="2">
        <v>9197</v>
      </c>
      <c r="B9201" s="66" t="s">
        <v>10809</v>
      </c>
      <c r="C9201" s="66" t="s">
        <v>4798</v>
      </c>
      <c r="D9201" s="11">
        <v>39067.839999999997</v>
      </c>
      <c r="E9201" s="11">
        <v>39067.839999999997</v>
      </c>
      <c r="F9201" s="3">
        <v>40282</v>
      </c>
      <c r="G9201" s="2"/>
      <c r="H9201" s="242" t="s">
        <v>22975</v>
      </c>
      <c r="I9201" s="242" t="s">
        <v>22977</v>
      </c>
      <c r="J9201" s="2" t="s">
        <v>13904</v>
      </c>
      <c r="K9201" s="2" t="s">
        <v>22281</v>
      </c>
      <c r="L9201" s="246" t="s">
        <v>19512</v>
      </c>
    </row>
    <row r="9202" spans="1:12" ht="84" customHeight="1" x14ac:dyDescent="0.3">
      <c r="A9202" s="2">
        <v>9198</v>
      </c>
      <c r="B9202" s="66" t="s">
        <v>10810</v>
      </c>
      <c r="C9202" s="66" t="s">
        <v>10811</v>
      </c>
      <c r="D9202" s="11">
        <v>35241.519999999997</v>
      </c>
      <c r="E9202" s="11">
        <v>35241.519999999997</v>
      </c>
      <c r="F9202" s="3">
        <v>40282</v>
      </c>
      <c r="G9202" s="2"/>
      <c r="H9202" s="242" t="s">
        <v>22975</v>
      </c>
      <c r="I9202" s="242" t="s">
        <v>22977</v>
      </c>
      <c r="J9202" s="2" t="s">
        <v>13904</v>
      </c>
      <c r="K9202" s="2" t="s">
        <v>22281</v>
      </c>
      <c r="L9202" s="246" t="s">
        <v>19512</v>
      </c>
    </row>
    <row r="9203" spans="1:12" ht="84" customHeight="1" x14ac:dyDescent="0.3">
      <c r="A9203" s="2">
        <v>9199</v>
      </c>
      <c r="B9203" s="66" t="s">
        <v>273</v>
      </c>
      <c r="C9203" s="66" t="s">
        <v>10812</v>
      </c>
      <c r="D9203" s="11">
        <v>30208</v>
      </c>
      <c r="E9203" s="11">
        <v>30208</v>
      </c>
      <c r="F9203" s="3" t="s">
        <v>11554</v>
      </c>
      <c r="G9203" s="2"/>
      <c r="H9203" s="242" t="s">
        <v>22975</v>
      </c>
      <c r="I9203" s="242" t="s">
        <v>22977</v>
      </c>
      <c r="J9203" s="2" t="s">
        <v>13904</v>
      </c>
      <c r="K9203" s="2" t="s">
        <v>22281</v>
      </c>
      <c r="L9203" s="246" t="s">
        <v>19512</v>
      </c>
    </row>
    <row r="9204" spans="1:12" ht="84" customHeight="1" x14ac:dyDescent="0.3">
      <c r="A9204" s="2">
        <v>9200</v>
      </c>
      <c r="B9204" s="66" t="s">
        <v>273</v>
      </c>
      <c r="C9204" s="66" t="s">
        <v>10813</v>
      </c>
      <c r="D9204" s="11">
        <v>23609.439999999999</v>
      </c>
      <c r="E9204" s="11">
        <v>23609.439999999999</v>
      </c>
      <c r="F9204" s="3" t="s">
        <v>11554</v>
      </c>
      <c r="G9204" s="2"/>
      <c r="H9204" s="242" t="s">
        <v>22975</v>
      </c>
      <c r="I9204" s="242" t="s">
        <v>22977</v>
      </c>
      <c r="J9204" s="2" t="s">
        <v>13904</v>
      </c>
      <c r="K9204" s="2" t="s">
        <v>22281</v>
      </c>
      <c r="L9204" s="246" t="s">
        <v>19512</v>
      </c>
    </row>
    <row r="9205" spans="1:12" ht="84" customHeight="1" x14ac:dyDescent="0.3">
      <c r="A9205" s="2">
        <v>9201</v>
      </c>
      <c r="B9205" s="66" t="s">
        <v>10814</v>
      </c>
      <c r="C9205" s="66" t="s">
        <v>10815</v>
      </c>
      <c r="D9205" s="11">
        <v>4068</v>
      </c>
      <c r="E9205" s="11">
        <v>4068</v>
      </c>
      <c r="F9205" s="3">
        <v>40116</v>
      </c>
      <c r="G9205" s="2"/>
      <c r="H9205" s="242" t="s">
        <v>22975</v>
      </c>
      <c r="I9205" s="242" t="s">
        <v>22977</v>
      </c>
      <c r="J9205" s="2" t="s">
        <v>13904</v>
      </c>
      <c r="K9205" s="2" t="s">
        <v>22281</v>
      </c>
      <c r="L9205" s="246" t="s">
        <v>19512</v>
      </c>
    </row>
    <row r="9206" spans="1:12" ht="84" customHeight="1" x14ac:dyDescent="0.3">
      <c r="A9206" s="2">
        <v>9202</v>
      </c>
      <c r="B9206" s="66" t="s">
        <v>10816</v>
      </c>
      <c r="C9206" s="66" t="s">
        <v>10817</v>
      </c>
      <c r="D9206" s="11">
        <v>6900</v>
      </c>
      <c r="E9206" s="11">
        <v>6900</v>
      </c>
      <c r="F9206" s="3">
        <v>40282</v>
      </c>
      <c r="G9206" s="2"/>
      <c r="H9206" s="242" t="s">
        <v>22975</v>
      </c>
      <c r="I9206" s="242" t="s">
        <v>22977</v>
      </c>
      <c r="J9206" s="2" t="s">
        <v>13904</v>
      </c>
      <c r="K9206" s="2" t="s">
        <v>22281</v>
      </c>
      <c r="L9206" s="246" t="s">
        <v>19512</v>
      </c>
    </row>
    <row r="9207" spans="1:12" ht="84" customHeight="1" x14ac:dyDescent="0.3">
      <c r="A9207" s="2">
        <v>9203</v>
      </c>
      <c r="B9207" s="66" t="s">
        <v>10818</v>
      </c>
      <c r="C9207" s="66" t="s">
        <v>10819</v>
      </c>
      <c r="D9207" s="11">
        <v>6900</v>
      </c>
      <c r="E9207" s="11">
        <v>6900</v>
      </c>
      <c r="F9207" s="3">
        <v>40282</v>
      </c>
      <c r="G9207" s="2"/>
      <c r="H9207" s="242" t="s">
        <v>22975</v>
      </c>
      <c r="I9207" s="242" t="s">
        <v>22977</v>
      </c>
      <c r="J9207" s="2" t="s">
        <v>13904</v>
      </c>
      <c r="K9207" s="2" t="s">
        <v>22281</v>
      </c>
      <c r="L9207" s="246" t="s">
        <v>19512</v>
      </c>
    </row>
    <row r="9208" spans="1:12" ht="84" customHeight="1" x14ac:dyDescent="0.3">
      <c r="A9208" s="2">
        <v>9204</v>
      </c>
      <c r="B9208" s="66" t="s">
        <v>10820</v>
      </c>
      <c r="C9208" s="66" t="s">
        <v>10821</v>
      </c>
      <c r="D9208" s="11">
        <v>6900</v>
      </c>
      <c r="E9208" s="11">
        <v>6900</v>
      </c>
      <c r="F9208" s="3">
        <v>40282</v>
      </c>
      <c r="G9208" s="2"/>
      <c r="H9208" s="3">
        <v>42458</v>
      </c>
      <c r="I9208" s="2" t="s">
        <v>16269</v>
      </c>
      <c r="J9208" s="2" t="s">
        <v>13904</v>
      </c>
      <c r="K9208" s="2" t="s">
        <v>22281</v>
      </c>
      <c r="L9208" s="82" t="s">
        <v>22280</v>
      </c>
    </row>
    <row r="9209" spans="1:12" ht="84" customHeight="1" x14ac:dyDescent="0.3">
      <c r="A9209" s="2">
        <v>9205</v>
      </c>
      <c r="B9209" s="66" t="s">
        <v>10822</v>
      </c>
      <c r="C9209" s="66" t="s">
        <v>10823</v>
      </c>
      <c r="D9209" s="11">
        <v>6900</v>
      </c>
      <c r="E9209" s="11">
        <v>6900</v>
      </c>
      <c r="F9209" s="3">
        <v>40282</v>
      </c>
      <c r="G9209" s="2"/>
      <c r="H9209" s="242" t="s">
        <v>22975</v>
      </c>
      <c r="I9209" s="242" t="s">
        <v>22977</v>
      </c>
      <c r="J9209" s="2" t="s">
        <v>13904</v>
      </c>
      <c r="K9209" s="2" t="s">
        <v>22281</v>
      </c>
      <c r="L9209" s="246" t="s">
        <v>19512</v>
      </c>
    </row>
    <row r="9210" spans="1:12" ht="84" customHeight="1" x14ac:dyDescent="0.3">
      <c r="A9210" s="2">
        <v>9206</v>
      </c>
      <c r="B9210" s="66" t="s">
        <v>10824</v>
      </c>
      <c r="C9210" s="66" t="s">
        <v>10825</v>
      </c>
      <c r="D9210" s="11">
        <v>6629.99</v>
      </c>
      <c r="E9210" s="11">
        <v>6629.99</v>
      </c>
      <c r="F9210" s="3">
        <v>40876</v>
      </c>
      <c r="G9210" s="2"/>
      <c r="H9210" s="242" t="s">
        <v>22975</v>
      </c>
      <c r="I9210" s="242" t="s">
        <v>22977</v>
      </c>
      <c r="J9210" s="2" t="s">
        <v>13904</v>
      </c>
      <c r="K9210" s="2" t="s">
        <v>22281</v>
      </c>
      <c r="L9210" s="246" t="s">
        <v>19512</v>
      </c>
    </row>
    <row r="9211" spans="1:12" ht="84" customHeight="1" x14ac:dyDescent="0.3">
      <c r="A9211" s="2">
        <v>9207</v>
      </c>
      <c r="B9211" s="66" t="s">
        <v>10826</v>
      </c>
      <c r="C9211" s="66" t="s">
        <v>10640</v>
      </c>
      <c r="D9211" s="11">
        <v>6630</v>
      </c>
      <c r="E9211" s="11">
        <v>6630</v>
      </c>
      <c r="F9211" s="3">
        <v>40876</v>
      </c>
      <c r="G9211" s="2"/>
      <c r="H9211" s="242" t="s">
        <v>22975</v>
      </c>
      <c r="I9211" s="242" t="s">
        <v>22977</v>
      </c>
      <c r="J9211" s="2" t="s">
        <v>13904</v>
      </c>
      <c r="K9211" s="2" t="s">
        <v>22281</v>
      </c>
      <c r="L9211" s="246" t="s">
        <v>19512</v>
      </c>
    </row>
    <row r="9212" spans="1:12" ht="84" customHeight="1" x14ac:dyDescent="0.3">
      <c r="A9212" s="2">
        <v>9208</v>
      </c>
      <c r="B9212" s="66" t="s">
        <v>18548</v>
      </c>
      <c r="C9212" s="66" t="s">
        <v>18547</v>
      </c>
      <c r="D9212" s="11">
        <v>556706.1</v>
      </c>
      <c r="E9212" s="11">
        <v>556706.1</v>
      </c>
      <c r="F9212" s="3">
        <v>40282</v>
      </c>
      <c r="G9212" s="2"/>
      <c r="H9212" s="242" t="s">
        <v>22975</v>
      </c>
      <c r="I9212" s="242" t="s">
        <v>22977</v>
      </c>
      <c r="J9212" s="2" t="s">
        <v>13904</v>
      </c>
      <c r="K9212" s="2" t="s">
        <v>22281</v>
      </c>
      <c r="L9212" s="246" t="s">
        <v>19512</v>
      </c>
    </row>
    <row r="9213" spans="1:12" ht="84" customHeight="1" x14ac:dyDescent="0.3">
      <c r="A9213" s="2">
        <v>9209</v>
      </c>
      <c r="B9213" s="66" t="s">
        <v>10827</v>
      </c>
      <c r="C9213" s="66" t="s">
        <v>4104</v>
      </c>
      <c r="D9213" s="11">
        <v>9648.19</v>
      </c>
      <c r="E9213" s="11">
        <v>9648.19</v>
      </c>
      <c r="F9213" s="3">
        <v>40282</v>
      </c>
      <c r="G9213" s="2"/>
      <c r="H9213" s="242" t="s">
        <v>22975</v>
      </c>
      <c r="I9213" s="242" t="s">
        <v>22977</v>
      </c>
      <c r="J9213" s="2" t="s">
        <v>13904</v>
      </c>
      <c r="K9213" s="2" t="s">
        <v>22281</v>
      </c>
      <c r="L9213" s="246" t="s">
        <v>19512</v>
      </c>
    </row>
    <row r="9214" spans="1:12" ht="84" customHeight="1" x14ac:dyDescent="0.3">
      <c r="A9214" s="2">
        <v>9210</v>
      </c>
      <c r="B9214" s="66" t="s">
        <v>10828</v>
      </c>
      <c r="C9214" s="66" t="s">
        <v>10829</v>
      </c>
      <c r="D9214" s="11">
        <v>5700</v>
      </c>
      <c r="E9214" s="11">
        <v>5700</v>
      </c>
      <c r="F9214" s="3">
        <v>40282</v>
      </c>
      <c r="G9214" s="2"/>
      <c r="H9214" s="242" t="s">
        <v>22975</v>
      </c>
      <c r="I9214" s="242" t="s">
        <v>22977</v>
      </c>
      <c r="J9214" s="2" t="s">
        <v>13904</v>
      </c>
      <c r="K9214" s="2" t="s">
        <v>22281</v>
      </c>
      <c r="L9214" s="246" t="s">
        <v>19512</v>
      </c>
    </row>
    <row r="9215" spans="1:12" ht="84" customHeight="1" x14ac:dyDescent="0.3">
      <c r="A9215" s="2">
        <v>9211</v>
      </c>
      <c r="B9215" s="66" t="s">
        <v>10830</v>
      </c>
      <c r="C9215" s="66" t="s">
        <v>10831</v>
      </c>
      <c r="D9215" s="11">
        <v>7300</v>
      </c>
      <c r="E9215" s="11">
        <v>7300</v>
      </c>
      <c r="F9215" s="3">
        <v>40436</v>
      </c>
      <c r="G9215" s="2"/>
      <c r="H9215" s="3">
        <v>42458</v>
      </c>
      <c r="I9215" s="2" t="s">
        <v>16269</v>
      </c>
      <c r="J9215" s="2" t="s">
        <v>13904</v>
      </c>
      <c r="K9215" s="2" t="s">
        <v>22281</v>
      </c>
      <c r="L9215" s="82" t="s">
        <v>22280</v>
      </c>
    </row>
    <row r="9216" spans="1:12" ht="84" customHeight="1" x14ac:dyDescent="0.3">
      <c r="A9216" s="2">
        <v>9212</v>
      </c>
      <c r="B9216" s="66" t="s">
        <v>10832</v>
      </c>
      <c r="C9216" s="66" t="s">
        <v>10833</v>
      </c>
      <c r="D9216" s="11">
        <v>11872</v>
      </c>
      <c r="E9216" s="11">
        <v>11872</v>
      </c>
      <c r="F9216" s="3">
        <v>40282</v>
      </c>
      <c r="G9216" s="2"/>
      <c r="H9216" s="3">
        <v>42458</v>
      </c>
      <c r="I9216" s="2" t="s">
        <v>16269</v>
      </c>
      <c r="J9216" s="2" t="s">
        <v>13904</v>
      </c>
      <c r="K9216" s="2" t="s">
        <v>22281</v>
      </c>
      <c r="L9216" s="82" t="s">
        <v>22280</v>
      </c>
    </row>
    <row r="9217" spans="1:12" ht="84" customHeight="1" x14ac:dyDescent="0.3">
      <c r="A9217" s="2">
        <v>9213</v>
      </c>
      <c r="B9217" s="66" t="s">
        <v>10834</v>
      </c>
      <c r="C9217" s="66" t="s">
        <v>10835</v>
      </c>
      <c r="D9217" s="11">
        <v>5080.32</v>
      </c>
      <c r="E9217" s="11">
        <v>5080.32</v>
      </c>
      <c r="F9217" s="3">
        <v>40177</v>
      </c>
      <c r="G9217" s="2"/>
      <c r="H9217" s="242" t="s">
        <v>22975</v>
      </c>
      <c r="I9217" s="242" t="s">
        <v>22977</v>
      </c>
      <c r="J9217" s="2" t="s">
        <v>13904</v>
      </c>
      <c r="K9217" s="2" t="s">
        <v>22281</v>
      </c>
      <c r="L9217" s="246" t="s">
        <v>19512</v>
      </c>
    </row>
    <row r="9218" spans="1:12" ht="84" customHeight="1" x14ac:dyDescent="0.3">
      <c r="A9218" s="2">
        <v>9214</v>
      </c>
      <c r="B9218" s="66" t="s">
        <v>10836</v>
      </c>
      <c r="C9218" s="66" t="s">
        <v>4209</v>
      </c>
      <c r="D9218" s="11">
        <v>14880</v>
      </c>
      <c r="E9218" s="11">
        <v>14880</v>
      </c>
      <c r="F9218" s="3">
        <v>40282</v>
      </c>
      <c r="G9218" s="2"/>
      <c r="H9218" s="3">
        <v>42458</v>
      </c>
      <c r="I9218" s="2" t="s">
        <v>16269</v>
      </c>
      <c r="J9218" s="2" t="s">
        <v>13904</v>
      </c>
      <c r="K9218" s="2" t="s">
        <v>22281</v>
      </c>
      <c r="L9218" s="82" t="s">
        <v>22280</v>
      </c>
    </row>
    <row r="9219" spans="1:12" ht="84" customHeight="1" x14ac:dyDescent="0.3">
      <c r="A9219" s="2">
        <v>9215</v>
      </c>
      <c r="B9219" s="66" t="s">
        <v>10837</v>
      </c>
      <c r="C9219" s="66" t="s">
        <v>10838</v>
      </c>
      <c r="D9219" s="11">
        <v>20580.009999999998</v>
      </c>
      <c r="E9219" s="11">
        <v>20580.009999999998</v>
      </c>
      <c r="F9219" s="3">
        <v>40876</v>
      </c>
      <c r="G9219" s="2"/>
      <c r="H9219" s="242" t="s">
        <v>22975</v>
      </c>
      <c r="I9219" s="242" t="s">
        <v>22977</v>
      </c>
      <c r="J9219" s="2" t="s">
        <v>13904</v>
      </c>
      <c r="K9219" s="2" t="s">
        <v>22281</v>
      </c>
      <c r="L9219" s="246" t="s">
        <v>19512</v>
      </c>
    </row>
    <row r="9220" spans="1:12" ht="84" customHeight="1" x14ac:dyDescent="0.3">
      <c r="A9220" s="2">
        <v>9216</v>
      </c>
      <c r="B9220" s="66" t="s">
        <v>10839</v>
      </c>
      <c r="C9220" s="66" t="s">
        <v>10840</v>
      </c>
      <c r="D9220" s="11">
        <v>20580</v>
      </c>
      <c r="E9220" s="11">
        <v>20580</v>
      </c>
      <c r="F9220" s="3">
        <v>40876</v>
      </c>
      <c r="G9220" s="2"/>
      <c r="H9220" s="242" t="s">
        <v>22975</v>
      </c>
      <c r="I9220" s="242" t="s">
        <v>22977</v>
      </c>
      <c r="J9220" s="2" t="s">
        <v>13904</v>
      </c>
      <c r="K9220" s="2" t="s">
        <v>22281</v>
      </c>
      <c r="L9220" s="246" t="s">
        <v>19512</v>
      </c>
    </row>
    <row r="9221" spans="1:12" ht="84" customHeight="1" x14ac:dyDescent="0.3">
      <c r="A9221" s="2">
        <v>9217</v>
      </c>
      <c r="B9221" s="66" t="s">
        <v>10841</v>
      </c>
      <c r="C9221" s="66" t="s">
        <v>10842</v>
      </c>
      <c r="D9221" s="11">
        <v>15900</v>
      </c>
      <c r="E9221" s="11">
        <v>15900</v>
      </c>
      <c r="F9221" s="3">
        <v>40282</v>
      </c>
      <c r="G9221" s="2"/>
      <c r="H9221" s="242" t="s">
        <v>22975</v>
      </c>
      <c r="I9221" s="242" t="s">
        <v>22977</v>
      </c>
      <c r="J9221" s="2" t="s">
        <v>13904</v>
      </c>
      <c r="K9221" s="2" t="s">
        <v>22281</v>
      </c>
      <c r="L9221" s="246" t="s">
        <v>19512</v>
      </c>
    </row>
    <row r="9222" spans="1:12" ht="84" customHeight="1" x14ac:dyDescent="0.3">
      <c r="A9222" s="2">
        <v>9218</v>
      </c>
      <c r="B9222" s="66" t="s">
        <v>10843</v>
      </c>
      <c r="C9222" s="66" t="s">
        <v>10844</v>
      </c>
      <c r="D9222" s="11">
        <v>15900</v>
      </c>
      <c r="E9222" s="11">
        <v>15900</v>
      </c>
      <c r="F9222" s="3">
        <v>40282</v>
      </c>
      <c r="G9222" s="2"/>
      <c r="H9222" s="242" t="s">
        <v>22975</v>
      </c>
      <c r="I9222" s="242" t="s">
        <v>22977</v>
      </c>
      <c r="J9222" s="2" t="s">
        <v>13904</v>
      </c>
      <c r="K9222" s="2" t="s">
        <v>22281</v>
      </c>
      <c r="L9222" s="246" t="s">
        <v>19512</v>
      </c>
    </row>
    <row r="9223" spans="1:12" ht="84" customHeight="1" x14ac:dyDescent="0.3">
      <c r="A9223" s="2">
        <v>9219</v>
      </c>
      <c r="B9223" s="66" t="s">
        <v>10845</v>
      </c>
      <c r="C9223" s="66" t="s">
        <v>5223</v>
      </c>
      <c r="D9223" s="11">
        <v>6355.8</v>
      </c>
      <c r="E9223" s="11">
        <v>6355.8</v>
      </c>
      <c r="F9223" s="3">
        <v>40282</v>
      </c>
      <c r="G9223" s="2"/>
      <c r="H9223" s="3">
        <v>42458</v>
      </c>
      <c r="I9223" s="2" t="s">
        <v>16269</v>
      </c>
      <c r="J9223" s="2" t="s">
        <v>13904</v>
      </c>
      <c r="K9223" s="2" t="s">
        <v>22281</v>
      </c>
      <c r="L9223" s="82" t="s">
        <v>22280</v>
      </c>
    </row>
    <row r="9224" spans="1:12" ht="84" customHeight="1" x14ac:dyDescent="0.3">
      <c r="A9224" s="2">
        <v>9220</v>
      </c>
      <c r="B9224" s="66" t="s">
        <v>3432</v>
      </c>
      <c r="C9224" s="66" t="s">
        <v>5222</v>
      </c>
      <c r="D9224" s="11">
        <v>6805.12</v>
      </c>
      <c r="E9224" s="11">
        <v>6805.12</v>
      </c>
      <c r="F9224" s="3">
        <v>40282</v>
      </c>
      <c r="G9224" s="2"/>
      <c r="H9224" s="242" t="s">
        <v>22975</v>
      </c>
      <c r="I9224" s="242" t="s">
        <v>22977</v>
      </c>
      <c r="J9224" s="2" t="s">
        <v>13904</v>
      </c>
      <c r="K9224" s="2" t="s">
        <v>22281</v>
      </c>
      <c r="L9224" s="246" t="s">
        <v>19512</v>
      </c>
    </row>
    <row r="9225" spans="1:12" ht="84" customHeight="1" x14ac:dyDescent="0.3">
      <c r="A9225" s="2">
        <v>9221</v>
      </c>
      <c r="B9225" s="66" t="s">
        <v>10846</v>
      </c>
      <c r="C9225" s="66" t="s">
        <v>10847</v>
      </c>
      <c r="D9225" s="11">
        <v>4550</v>
      </c>
      <c r="E9225" s="11">
        <v>4550</v>
      </c>
      <c r="F9225" s="3">
        <v>41614</v>
      </c>
      <c r="G9225" s="2"/>
      <c r="H9225" s="242" t="s">
        <v>22975</v>
      </c>
      <c r="I9225" s="242" t="s">
        <v>22977</v>
      </c>
      <c r="J9225" s="2" t="s">
        <v>13904</v>
      </c>
      <c r="K9225" s="2" t="s">
        <v>22281</v>
      </c>
      <c r="L9225" s="246" t="s">
        <v>19512</v>
      </c>
    </row>
    <row r="9226" spans="1:12" ht="84" customHeight="1" x14ac:dyDescent="0.3">
      <c r="A9226" s="2">
        <v>9222</v>
      </c>
      <c r="B9226" s="66" t="s">
        <v>10848</v>
      </c>
      <c r="C9226" s="66" t="s">
        <v>10849</v>
      </c>
      <c r="D9226" s="11">
        <v>9304</v>
      </c>
      <c r="E9226" s="11">
        <v>9304</v>
      </c>
      <c r="F9226" s="3">
        <v>41260</v>
      </c>
      <c r="G9226" s="2"/>
      <c r="H9226" s="242" t="s">
        <v>22975</v>
      </c>
      <c r="I9226" s="242" t="s">
        <v>22977</v>
      </c>
      <c r="J9226" s="2" t="s">
        <v>13904</v>
      </c>
      <c r="K9226" s="2" t="s">
        <v>22281</v>
      </c>
      <c r="L9226" s="246" t="s">
        <v>19512</v>
      </c>
    </row>
    <row r="9227" spans="1:12" ht="84" customHeight="1" x14ac:dyDescent="0.3">
      <c r="A9227" s="2">
        <v>9223</v>
      </c>
      <c r="B9227" s="66" t="s">
        <v>18536</v>
      </c>
      <c r="C9227" s="66" t="s">
        <v>5221</v>
      </c>
      <c r="D9227" s="11">
        <v>9648.19</v>
      </c>
      <c r="E9227" s="11">
        <v>9648.19</v>
      </c>
      <c r="F9227" s="3">
        <v>40282</v>
      </c>
      <c r="G9227" s="2"/>
      <c r="H9227" s="3">
        <v>42458</v>
      </c>
      <c r="I9227" s="2" t="s">
        <v>16269</v>
      </c>
      <c r="J9227" s="2" t="s">
        <v>13904</v>
      </c>
      <c r="K9227" s="2" t="s">
        <v>22281</v>
      </c>
      <c r="L9227" s="82" t="s">
        <v>22280</v>
      </c>
    </row>
    <row r="9228" spans="1:12" ht="84" customHeight="1" x14ac:dyDescent="0.3">
      <c r="A9228" s="2">
        <v>9224</v>
      </c>
      <c r="B9228" s="66" t="s">
        <v>10827</v>
      </c>
      <c r="C9228" s="66" t="s">
        <v>3614</v>
      </c>
      <c r="D9228" s="11">
        <v>9648.19</v>
      </c>
      <c r="E9228" s="11">
        <v>9648.19</v>
      </c>
      <c r="F9228" s="3">
        <v>40282</v>
      </c>
      <c r="G9228" s="2"/>
      <c r="H9228" s="242" t="s">
        <v>22975</v>
      </c>
      <c r="I9228" s="242" t="s">
        <v>22977</v>
      </c>
      <c r="J9228" s="2" t="s">
        <v>13904</v>
      </c>
      <c r="K9228" s="2" t="s">
        <v>22281</v>
      </c>
      <c r="L9228" s="246" t="s">
        <v>19512</v>
      </c>
    </row>
    <row r="9229" spans="1:12" ht="84" customHeight="1" x14ac:dyDescent="0.3">
      <c r="A9229" s="2">
        <v>9225</v>
      </c>
      <c r="B9229" s="66" t="s">
        <v>10827</v>
      </c>
      <c r="C9229" s="66" t="s">
        <v>3613</v>
      </c>
      <c r="D9229" s="11">
        <v>9648.19</v>
      </c>
      <c r="E9229" s="11">
        <v>9648.19</v>
      </c>
      <c r="F9229" s="3">
        <v>40282</v>
      </c>
      <c r="G9229" s="2"/>
      <c r="H9229" s="242" t="s">
        <v>22975</v>
      </c>
      <c r="I9229" s="242" t="s">
        <v>22977</v>
      </c>
      <c r="J9229" s="2" t="s">
        <v>13904</v>
      </c>
      <c r="K9229" s="2" t="s">
        <v>22281</v>
      </c>
      <c r="L9229" s="246" t="s">
        <v>19512</v>
      </c>
    </row>
    <row r="9230" spans="1:12" ht="84" customHeight="1" x14ac:dyDescent="0.3">
      <c r="A9230" s="2">
        <v>9226</v>
      </c>
      <c r="B9230" s="66" t="s">
        <v>10827</v>
      </c>
      <c r="C9230" s="66" t="s">
        <v>3681</v>
      </c>
      <c r="D9230" s="11">
        <v>9648.19</v>
      </c>
      <c r="E9230" s="11">
        <v>9648.19</v>
      </c>
      <c r="F9230" s="3">
        <v>40282</v>
      </c>
      <c r="G9230" s="2"/>
      <c r="H9230" s="242" t="s">
        <v>22975</v>
      </c>
      <c r="I9230" s="242" t="s">
        <v>22977</v>
      </c>
      <c r="J9230" s="2" t="s">
        <v>13904</v>
      </c>
      <c r="K9230" s="2" t="s">
        <v>22281</v>
      </c>
      <c r="L9230" s="246" t="s">
        <v>19512</v>
      </c>
    </row>
    <row r="9231" spans="1:12" ht="84" customHeight="1" x14ac:dyDescent="0.3">
      <c r="A9231" s="2">
        <v>9227</v>
      </c>
      <c r="B9231" s="66" t="s">
        <v>10827</v>
      </c>
      <c r="C9231" s="66" t="s">
        <v>3602</v>
      </c>
      <c r="D9231" s="11">
        <v>9648.19</v>
      </c>
      <c r="E9231" s="11">
        <v>9648.19</v>
      </c>
      <c r="F9231" s="3">
        <v>40282</v>
      </c>
      <c r="G9231" s="2"/>
      <c r="H9231" s="242" t="s">
        <v>22975</v>
      </c>
      <c r="I9231" s="242" t="s">
        <v>22977</v>
      </c>
      <c r="J9231" s="2" t="s">
        <v>13904</v>
      </c>
      <c r="K9231" s="2" t="s">
        <v>22281</v>
      </c>
      <c r="L9231" s="246" t="s">
        <v>19512</v>
      </c>
    </row>
    <row r="9232" spans="1:12" ht="84" customHeight="1" x14ac:dyDescent="0.3">
      <c r="A9232" s="2">
        <v>9228</v>
      </c>
      <c r="B9232" s="66" t="s">
        <v>10850</v>
      </c>
      <c r="C9232" s="66" t="s">
        <v>6953</v>
      </c>
      <c r="D9232" s="11">
        <v>25000</v>
      </c>
      <c r="E9232" s="11">
        <v>25000</v>
      </c>
      <c r="F9232" s="3">
        <v>41129</v>
      </c>
      <c r="G9232" s="2"/>
      <c r="H9232" s="242" t="s">
        <v>22975</v>
      </c>
      <c r="I9232" s="242" t="s">
        <v>22977</v>
      </c>
      <c r="J9232" s="2" t="s">
        <v>13904</v>
      </c>
      <c r="K9232" s="2" t="s">
        <v>22281</v>
      </c>
      <c r="L9232" s="246" t="s">
        <v>19512</v>
      </c>
    </row>
    <row r="9233" spans="1:12" ht="84" customHeight="1" x14ac:dyDescent="0.3">
      <c r="A9233" s="2">
        <v>9229</v>
      </c>
      <c r="B9233" s="66" t="s">
        <v>10851</v>
      </c>
      <c r="C9233" s="66" t="s">
        <v>6009</v>
      </c>
      <c r="D9233" s="11">
        <v>28000</v>
      </c>
      <c r="E9233" s="11">
        <v>28000</v>
      </c>
      <c r="F9233" s="3">
        <v>41129</v>
      </c>
      <c r="G9233" s="2"/>
      <c r="H9233" s="242" t="s">
        <v>22975</v>
      </c>
      <c r="I9233" s="242" t="s">
        <v>22977</v>
      </c>
      <c r="J9233" s="2" t="s">
        <v>13904</v>
      </c>
      <c r="K9233" s="2" t="s">
        <v>22281</v>
      </c>
      <c r="L9233" s="246" t="s">
        <v>19512</v>
      </c>
    </row>
    <row r="9234" spans="1:12" ht="84" customHeight="1" x14ac:dyDescent="0.3">
      <c r="A9234" s="2">
        <v>9230</v>
      </c>
      <c r="B9234" s="66" t="s">
        <v>10851</v>
      </c>
      <c r="C9234" s="66" t="s">
        <v>5915</v>
      </c>
      <c r="D9234" s="11">
        <v>29000</v>
      </c>
      <c r="E9234" s="11">
        <v>29000</v>
      </c>
      <c r="F9234" s="3">
        <v>41129</v>
      </c>
      <c r="G9234" s="2"/>
      <c r="H9234" s="242" t="s">
        <v>22975</v>
      </c>
      <c r="I9234" s="242" t="s">
        <v>22977</v>
      </c>
      <c r="J9234" s="2" t="s">
        <v>13904</v>
      </c>
      <c r="K9234" s="2" t="s">
        <v>22281</v>
      </c>
      <c r="L9234" s="246" t="s">
        <v>19512</v>
      </c>
    </row>
    <row r="9235" spans="1:12" ht="84" customHeight="1" x14ac:dyDescent="0.3">
      <c r="A9235" s="2">
        <v>9231</v>
      </c>
      <c r="B9235" s="66" t="s">
        <v>10852</v>
      </c>
      <c r="C9235" s="66" t="s">
        <v>10654</v>
      </c>
      <c r="D9235" s="11">
        <v>15000</v>
      </c>
      <c r="E9235" s="11">
        <v>15000</v>
      </c>
      <c r="F9235" s="3">
        <v>41884</v>
      </c>
      <c r="G9235" s="2"/>
      <c r="H9235" s="242" t="s">
        <v>22975</v>
      </c>
      <c r="I9235" s="242" t="s">
        <v>22977</v>
      </c>
      <c r="J9235" s="2" t="s">
        <v>13904</v>
      </c>
      <c r="K9235" s="2" t="s">
        <v>22281</v>
      </c>
      <c r="L9235" s="246" t="s">
        <v>19512</v>
      </c>
    </row>
    <row r="9236" spans="1:12" ht="108" customHeight="1" x14ac:dyDescent="0.3">
      <c r="A9236" s="2">
        <v>9232</v>
      </c>
      <c r="B9236" s="66" t="s">
        <v>10853</v>
      </c>
      <c r="C9236" s="66" t="s">
        <v>4857</v>
      </c>
      <c r="D9236" s="11">
        <v>60560</v>
      </c>
      <c r="E9236" s="11">
        <v>60560</v>
      </c>
      <c r="F9236" s="3">
        <v>41248</v>
      </c>
      <c r="G9236" s="14" t="s">
        <v>22293</v>
      </c>
      <c r="H9236" s="2"/>
      <c r="I9236" s="2"/>
      <c r="J9236" s="2" t="s">
        <v>13904</v>
      </c>
      <c r="K9236" s="2" t="s">
        <v>22290</v>
      </c>
      <c r="L9236" s="82"/>
    </row>
    <row r="9237" spans="1:12" ht="84" customHeight="1" x14ac:dyDescent="0.3">
      <c r="A9237" s="2">
        <v>9233</v>
      </c>
      <c r="B9237" s="66" t="s">
        <v>10854</v>
      </c>
      <c r="C9237" s="66" t="s">
        <v>10855</v>
      </c>
      <c r="D9237" s="11">
        <v>21181</v>
      </c>
      <c r="E9237" s="11">
        <v>21181</v>
      </c>
      <c r="F9237" s="3">
        <v>41946</v>
      </c>
      <c r="G9237" s="2"/>
      <c r="H9237" s="242" t="s">
        <v>22975</v>
      </c>
      <c r="I9237" s="242" t="s">
        <v>22977</v>
      </c>
      <c r="J9237" s="2" t="s">
        <v>13904</v>
      </c>
      <c r="K9237" s="2" t="s">
        <v>22281</v>
      </c>
      <c r="L9237" s="246" t="s">
        <v>19512</v>
      </c>
    </row>
    <row r="9238" spans="1:12" ht="84" customHeight="1" x14ac:dyDescent="0.3">
      <c r="A9238" s="2">
        <v>9234</v>
      </c>
      <c r="B9238" s="66" t="s">
        <v>10856</v>
      </c>
      <c r="C9238" s="66" t="s">
        <v>10650</v>
      </c>
      <c r="D9238" s="11">
        <v>5015.5</v>
      </c>
      <c r="E9238" s="11">
        <v>5015.5</v>
      </c>
      <c r="F9238" s="3">
        <v>41997</v>
      </c>
      <c r="G9238" s="2"/>
      <c r="H9238" s="242" t="s">
        <v>22975</v>
      </c>
      <c r="I9238" s="242" t="s">
        <v>22977</v>
      </c>
      <c r="J9238" s="2" t="s">
        <v>13904</v>
      </c>
      <c r="K9238" s="2" t="s">
        <v>22281</v>
      </c>
      <c r="L9238" s="246" t="s">
        <v>19512</v>
      </c>
    </row>
    <row r="9239" spans="1:12" ht="84" customHeight="1" x14ac:dyDescent="0.3">
      <c r="A9239" s="2">
        <v>9235</v>
      </c>
      <c r="B9239" s="66" t="s">
        <v>10857</v>
      </c>
      <c r="C9239" s="66" t="s">
        <v>10652</v>
      </c>
      <c r="D9239" s="11">
        <v>24138.33</v>
      </c>
      <c r="E9239" s="11">
        <v>24138.33</v>
      </c>
      <c r="F9239" s="3">
        <v>41997</v>
      </c>
      <c r="G9239" s="2"/>
      <c r="H9239" s="242" t="s">
        <v>22975</v>
      </c>
      <c r="I9239" s="242" t="s">
        <v>22977</v>
      </c>
      <c r="J9239" s="2" t="s">
        <v>13904</v>
      </c>
      <c r="K9239" s="2" t="s">
        <v>22281</v>
      </c>
      <c r="L9239" s="246" t="s">
        <v>19512</v>
      </c>
    </row>
    <row r="9240" spans="1:12" ht="84" customHeight="1" x14ac:dyDescent="0.3">
      <c r="A9240" s="2">
        <v>9236</v>
      </c>
      <c r="B9240" s="66" t="s">
        <v>10857</v>
      </c>
      <c r="C9240" s="66" t="s">
        <v>10645</v>
      </c>
      <c r="D9240" s="11">
        <v>24138.33</v>
      </c>
      <c r="E9240" s="11">
        <v>24138.33</v>
      </c>
      <c r="F9240" s="3">
        <v>41997</v>
      </c>
      <c r="G9240" s="2"/>
      <c r="H9240" s="242" t="s">
        <v>22975</v>
      </c>
      <c r="I9240" s="242" t="s">
        <v>22977</v>
      </c>
      <c r="J9240" s="2" t="s">
        <v>13904</v>
      </c>
      <c r="K9240" s="2" t="s">
        <v>22281</v>
      </c>
      <c r="L9240" s="246" t="s">
        <v>19512</v>
      </c>
    </row>
    <row r="9241" spans="1:12" ht="84" customHeight="1" x14ac:dyDescent="0.3">
      <c r="A9241" s="2">
        <v>9237</v>
      </c>
      <c r="B9241" s="66" t="s">
        <v>10858</v>
      </c>
      <c r="C9241" s="66" t="s">
        <v>10644</v>
      </c>
      <c r="D9241" s="11">
        <v>3319.78</v>
      </c>
      <c r="E9241" s="11">
        <v>3319.78</v>
      </c>
      <c r="F9241" s="3">
        <v>41997</v>
      </c>
      <c r="G9241" s="2"/>
      <c r="H9241" s="242" t="s">
        <v>22975</v>
      </c>
      <c r="I9241" s="242" t="s">
        <v>22977</v>
      </c>
      <c r="J9241" s="2" t="s">
        <v>13904</v>
      </c>
      <c r="K9241" s="2" t="s">
        <v>22281</v>
      </c>
      <c r="L9241" s="246" t="s">
        <v>19512</v>
      </c>
    </row>
    <row r="9242" spans="1:12" ht="84" customHeight="1" x14ac:dyDescent="0.3">
      <c r="A9242" s="2">
        <v>9238</v>
      </c>
      <c r="B9242" s="66" t="s">
        <v>2407</v>
      </c>
      <c r="C9242" s="66" t="s">
        <v>10859</v>
      </c>
      <c r="D9242" s="11">
        <v>5450</v>
      </c>
      <c r="E9242" s="11">
        <v>5450</v>
      </c>
      <c r="F9242" s="3">
        <v>40282</v>
      </c>
      <c r="G9242" s="2"/>
      <c r="H9242" s="242" t="s">
        <v>22975</v>
      </c>
      <c r="I9242" s="242" t="s">
        <v>22977</v>
      </c>
      <c r="J9242" s="2" t="s">
        <v>13904</v>
      </c>
      <c r="K9242" s="2" t="s">
        <v>22281</v>
      </c>
      <c r="L9242" s="246" t="s">
        <v>19512</v>
      </c>
    </row>
    <row r="9243" spans="1:12" ht="108" customHeight="1" x14ac:dyDescent="0.3">
      <c r="A9243" s="2">
        <v>9239</v>
      </c>
      <c r="B9243" s="66" t="s">
        <v>10860</v>
      </c>
      <c r="C9243" s="66" t="s">
        <v>10861</v>
      </c>
      <c r="D9243" s="11">
        <v>59061.08</v>
      </c>
      <c r="E9243" s="11">
        <v>59061.08</v>
      </c>
      <c r="F9243" s="3">
        <v>40543</v>
      </c>
      <c r="G9243" s="14" t="s">
        <v>875</v>
      </c>
      <c r="H9243" s="2"/>
      <c r="I9243" s="2"/>
      <c r="J9243" s="2" t="s">
        <v>13904</v>
      </c>
      <c r="K9243" s="2" t="s">
        <v>22290</v>
      </c>
      <c r="L9243" s="82"/>
    </row>
    <row r="9244" spans="1:12" ht="84" customHeight="1" x14ac:dyDescent="0.3">
      <c r="A9244" s="2">
        <v>9240</v>
      </c>
      <c r="B9244" s="66" t="s">
        <v>10862</v>
      </c>
      <c r="C9244" s="66" t="s">
        <v>10330</v>
      </c>
      <c r="D9244" s="11">
        <v>33026</v>
      </c>
      <c r="E9244" s="11">
        <v>33026</v>
      </c>
      <c r="F9244" s="3">
        <v>40057</v>
      </c>
      <c r="G9244" s="2"/>
      <c r="H9244" s="242" t="s">
        <v>22975</v>
      </c>
      <c r="I9244" s="242" t="s">
        <v>22977</v>
      </c>
      <c r="J9244" s="2" t="s">
        <v>13904</v>
      </c>
      <c r="K9244" s="2" t="s">
        <v>22281</v>
      </c>
      <c r="L9244" s="246" t="s">
        <v>19512</v>
      </c>
    </row>
    <row r="9245" spans="1:12" ht="84" customHeight="1" x14ac:dyDescent="0.3">
      <c r="A9245" s="2">
        <v>9241</v>
      </c>
      <c r="B9245" s="66" t="s">
        <v>10863</v>
      </c>
      <c r="C9245" s="66" t="s">
        <v>4850</v>
      </c>
      <c r="D9245" s="11">
        <v>20800</v>
      </c>
      <c r="E9245" s="11">
        <v>20800</v>
      </c>
      <c r="F9245" s="3">
        <v>41610</v>
      </c>
      <c r="G9245" s="2"/>
      <c r="H9245" s="242" t="s">
        <v>22975</v>
      </c>
      <c r="I9245" s="242" t="s">
        <v>22977</v>
      </c>
      <c r="J9245" s="2" t="s">
        <v>13904</v>
      </c>
      <c r="K9245" s="2" t="s">
        <v>22281</v>
      </c>
      <c r="L9245" s="246" t="s">
        <v>19512</v>
      </c>
    </row>
    <row r="9246" spans="1:12" ht="84" customHeight="1" x14ac:dyDescent="0.3">
      <c r="A9246" s="2">
        <v>9242</v>
      </c>
      <c r="B9246" s="66" t="s">
        <v>10864</v>
      </c>
      <c r="C9246" s="66" t="s">
        <v>10647</v>
      </c>
      <c r="D9246" s="11">
        <v>6000</v>
      </c>
      <c r="E9246" s="11">
        <v>6000</v>
      </c>
      <c r="F9246" s="3">
        <v>41863</v>
      </c>
      <c r="G9246" s="2"/>
      <c r="H9246" s="242" t="s">
        <v>22975</v>
      </c>
      <c r="I9246" s="242" t="s">
        <v>22977</v>
      </c>
      <c r="J9246" s="2" t="s">
        <v>13904</v>
      </c>
      <c r="K9246" s="2" t="s">
        <v>22281</v>
      </c>
      <c r="L9246" s="246" t="s">
        <v>19512</v>
      </c>
    </row>
    <row r="9247" spans="1:12" ht="84" customHeight="1" x14ac:dyDescent="0.3">
      <c r="A9247" s="2">
        <v>9243</v>
      </c>
      <c r="B9247" s="66" t="s">
        <v>10865</v>
      </c>
      <c r="C9247" s="66" t="s">
        <v>10648</v>
      </c>
      <c r="D9247" s="11">
        <v>14090</v>
      </c>
      <c r="E9247" s="11">
        <v>14090</v>
      </c>
      <c r="F9247" s="3">
        <v>42048</v>
      </c>
      <c r="G9247" s="2"/>
      <c r="H9247" s="242" t="s">
        <v>22975</v>
      </c>
      <c r="I9247" s="242" t="s">
        <v>22977</v>
      </c>
      <c r="J9247" s="2" t="s">
        <v>13904</v>
      </c>
      <c r="K9247" s="2" t="s">
        <v>22281</v>
      </c>
      <c r="L9247" s="246" t="s">
        <v>19512</v>
      </c>
    </row>
    <row r="9248" spans="1:12" ht="84" customHeight="1" x14ac:dyDescent="0.3">
      <c r="A9248" s="2">
        <v>9244</v>
      </c>
      <c r="B9248" s="66" t="s">
        <v>10866</v>
      </c>
      <c r="C9248" s="66" t="s">
        <v>4729</v>
      </c>
      <c r="D9248" s="11">
        <v>3572.1</v>
      </c>
      <c r="E9248" s="11">
        <v>3572.1</v>
      </c>
      <c r="F9248" s="3">
        <v>40282</v>
      </c>
      <c r="G9248" s="2"/>
      <c r="H9248" s="242" t="s">
        <v>22975</v>
      </c>
      <c r="I9248" s="242" t="s">
        <v>22977</v>
      </c>
      <c r="J9248" s="2" t="s">
        <v>13904</v>
      </c>
      <c r="K9248" s="2" t="s">
        <v>22281</v>
      </c>
      <c r="L9248" s="246" t="s">
        <v>19512</v>
      </c>
    </row>
    <row r="9249" spans="1:12" ht="84" customHeight="1" x14ac:dyDescent="0.3">
      <c r="A9249" s="2">
        <v>9245</v>
      </c>
      <c r="B9249" s="66" t="s">
        <v>10867</v>
      </c>
      <c r="C9249" s="66" t="s">
        <v>10868</v>
      </c>
      <c r="D9249" s="11">
        <v>3572.09</v>
      </c>
      <c r="E9249" s="11">
        <v>3572.09</v>
      </c>
      <c r="F9249" s="3">
        <v>40282</v>
      </c>
      <c r="G9249" s="2"/>
      <c r="H9249" s="242" t="s">
        <v>22975</v>
      </c>
      <c r="I9249" s="242" t="s">
        <v>22977</v>
      </c>
      <c r="J9249" s="2" t="s">
        <v>13904</v>
      </c>
      <c r="K9249" s="2" t="s">
        <v>22281</v>
      </c>
      <c r="L9249" s="246" t="s">
        <v>19512</v>
      </c>
    </row>
    <row r="9250" spans="1:12" ht="84" customHeight="1" x14ac:dyDescent="0.3">
      <c r="A9250" s="2">
        <v>9246</v>
      </c>
      <c r="B9250" s="66" t="s">
        <v>10869</v>
      </c>
      <c r="C9250" s="66" t="s">
        <v>7221</v>
      </c>
      <c r="D9250" s="11">
        <v>3572.1</v>
      </c>
      <c r="E9250" s="11">
        <v>3572.1</v>
      </c>
      <c r="F9250" s="3">
        <v>40282</v>
      </c>
      <c r="G9250" s="2"/>
      <c r="H9250" s="242" t="s">
        <v>22975</v>
      </c>
      <c r="I9250" s="242" t="s">
        <v>22977</v>
      </c>
      <c r="J9250" s="2" t="s">
        <v>13904</v>
      </c>
      <c r="K9250" s="2" t="s">
        <v>22281</v>
      </c>
      <c r="L9250" s="246" t="s">
        <v>19512</v>
      </c>
    </row>
    <row r="9251" spans="1:12" ht="84" customHeight="1" x14ac:dyDescent="0.3">
      <c r="A9251" s="2">
        <v>9247</v>
      </c>
      <c r="B9251" s="66" t="s">
        <v>10869</v>
      </c>
      <c r="C9251" s="66" t="s">
        <v>7223</v>
      </c>
      <c r="D9251" s="11">
        <v>3572.1</v>
      </c>
      <c r="E9251" s="11">
        <v>3572.1</v>
      </c>
      <c r="F9251" s="3">
        <v>40282</v>
      </c>
      <c r="G9251" s="2"/>
      <c r="H9251" s="242" t="s">
        <v>22975</v>
      </c>
      <c r="I9251" s="242" t="s">
        <v>22977</v>
      </c>
      <c r="J9251" s="2" t="s">
        <v>13904</v>
      </c>
      <c r="K9251" s="2" t="s">
        <v>22281</v>
      </c>
      <c r="L9251" s="246" t="s">
        <v>19512</v>
      </c>
    </row>
    <row r="9252" spans="1:12" ht="84" customHeight="1" x14ac:dyDescent="0.3">
      <c r="A9252" s="2">
        <v>9248</v>
      </c>
      <c r="B9252" s="66" t="s">
        <v>10869</v>
      </c>
      <c r="C9252" s="66" t="s">
        <v>7222</v>
      </c>
      <c r="D9252" s="11">
        <v>3572.1</v>
      </c>
      <c r="E9252" s="11">
        <v>3572.1</v>
      </c>
      <c r="F9252" s="3">
        <v>40282</v>
      </c>
      <c r="G9252" s="2"/>
      <c r="H9252" s="242" t="s">
        <v>22975</v>
      </c>
      <c r="I9252" s="242" t="s">
        <v>22977</v>
      </c>
      <c r="J9252" s="2" t="s">
        <v>13904</v>
      </c>
      <c r="K9252" s="2" t="s">
        <v>22281</v>
      </c>
      <c r="L9252" s="246" t="s">
        <v>19512</v>
      </c>
    </row>
    <row r="9253" spans="1:12" ht="84" customHeight="1" x14ac:dyDescent="0.3">
      <c r="A9253" s="2">
        <v>9249</v>
      </c>
      <c r="B9253" s="66" t="s">
        <v>10870</v>
      </c>
      <c r="C9253" s="66" t="s">
        <v>5625</v>
      </c>
      <c r="D9253" s="11">
        <v>5817</v>
      </c>
      <c r="E9253" s="11">
        <v>5817</v>
      </c>
      <c r="F9253" s="3">
        <v>40526</v>
      </c>
      <c r="G9253" s="2"/>
      <c r="H9253" s="242" t="s">
        <v>22975</v>
      </c>
      <c r="I9253" s="242" t="s">
        <v>22977</v>
      </c>
      <c r="J9253" s="2" t="s">
        <v>13904</v>
      </c>
      <c r="K9253" s="2" t="s">
        <v>22281</v>
      </c>
      <c r="L9253" s="246" t="s">
        <v>19512</v>
      </c>
    </row>
    <row r="9254" spans="1:12" ht="84" customHeight="1" x14ac:dyDescent="0.3">
      <c r="A9254" s="2">
        <v>9250</v>
      </c>
      <c r="B9254" s="66" t="s">
        <v>10871</v>
      </c>
      <c r="C9254" s="66" t="s">
        <v>3216</v>
      </c>
      <c r="D9254" s="11">
        <v>4000</v>
      </c>
      <c r="E9254" s="11">
        <v>4000</v>
      </c>
      <c r="F9254" s="3">
        <v>40282</v>
      </c>
      <c r="G9254" s="2"/>
      <c r="H9254" s="242" t="s">
        <v>22975</v>
      </c>
      <c r="I9254" s="242" t="s">
        <v>22977</v>
      </c>
      <c r="J9254" s="2" t="s">
        <v>13904</v>
      </c>
      <c r="K9254" s="2" t="s">
        <v>22281</v>
      </c>
      <c r="L9254" s="246" t="s">
        <v>19512</v>
      </c>
    </row>
    <row r="9255" spans="1:12" ht="84" customHeight="1" x14ac:dyDescent="0.3">
      <c r="A9255" s="2">
        <v>9251</v>
      </c>
      <c r="B9255" s="66" t="s">
        <v>10872</v>
      </c>
      <c r="C9255" s="66" t="s">
        <v>10873</v>
      </c>
      <c r="D9255" s="11">
        <v>9175.6</v>
      </c>
      <c r="E9255" s="11">
        <v>9175.6</v>
      </c>
      <c r="F9255" s="3">
        <v>40282</v>
      </c>
      <c r="G9255" s="2"/>
      <c r="H9255" s="242" t="s">
        <v>22975</v>
      </c>
      <c r="I9255" s="242" t="s">
        <v>22977</v>
      </c>
      <c r="J9255" s="2" t="s">
        <v>13904</v>
      </c>
      <c r="K9255" s="2" t="s">
        <v>22281</v>
      </c>
      <c r="L9255" s="246" t="s">
        <v>19512</v>
      </c>
    </row>
    <row r="9256" spans="1:12" ht="84" customHeight="1" x14ac:dyDescent="0.3">
      <c r="A9256" s="2">
        <v>9252</v>
      </c>
      <c r="B9256" s="66" t="s">
        <v>10874</v>
      </c>
      <c r="C9256" s="66" t="s">
        <v>10875</v>
      </c>
      <c r="D9256" s="11">
        <v>8995</v>
      </c>
      <c r="E9256" s="11">
        <v>8995</v>
      </c>
      <c r="F9256" s="3">
        <v>40282</v>
      </c>
      <c r="G9256" s="2"/>
      <c r="H9256" s="242" t="s">
        <v>22975</v>
      </c>
      <c r="I9256" s="242" t="s">
        <v>22977</v>
      </c>
      <c r="J9256" s="2" t="s">
        <v>13904</v>
      </c>
      <c r="K9256" s="2" t="s">
        <v>22281</v>
      </c>
      <c r="L9256" s="246" t="s">
        <v>19512</v>
      </c>
    </row>
    <row r="9257" spans="1:12" ht="84" customHeight="1" x14ac:dyDescent="0.3">
      <c r="A9257" s="2">
        <v>9253</v>
      </c>
      <c r="B9257" s="66" t="s">
        <v>10874</v>
      </c>
      <c r="C9257" s="66" t="s">
        <v>10876</v>
      </c>
      <c r="D9257" s="11">
        <v>8995</v>
      </c>
      <c r="E9257" s="11">
        <v>8995</v>
      </c>
      <c r="F9257" s="3">
        <v>40282</v>
      </c>
      <c r="G9257" s="2"/>
      <c r="H9257" s="242" t="s">
        <v>22975</v>
      </c>
      <c r="I9257" s="242" t="s">
        <v>22977</v>
      </c>
      <c r="J9257" s="2" t="s">
        <v>13904</v>
      </c>
      <c r="K9257" s="2" t="s">
        <v>22281</v>
      </c>
      <c r="L9257" s="246" t="s">
        <v>19512</v>
      </c>
    </row>
    <row r="9258" spans="1:12" ht="84" customHeight="1" x14ac:dyDescent="0.3">
      <c r="A9258" s="2">
        <v>9254</v>
      </c>
      <c r="B9258" s="66" t="s">
        <v>10877</v>
      </c>
      <c r="C9258" s="66" t="s">
        <v>5984</v>
      </c>
      <c r="D9258" s="11">
        <v>8995</v>
      </c>
      <c r="E9258" s="11">
        <v>8995</v>
      </c>
      <c r="F9258" s="3">
        <v>40282</v>
      </c>
      <c r="G9258" s="2"/>
      <c r="H9258" s="242" t="s">
        <v>22975</v>
      </c>
      <c r="I9258" s="242" t="s">
        <v>22977</v>
      </c>
      <c r="J9258" s="2" t="s">
        <v>13904</v>
      </c>
      <c r="K9258" s="2" t="s">
        <v>22281</v>
      </c>
      <c r="L9258" s="246" t="s">
        <v>19512</v>
      </c>
    </row>
    <row r="9259" spans="1:12" ht="84" customHeight="1" x14ac:dyDescent="0.3">
      <c r="A9259" s="2">
        <v>9255</v>
      </c>
      <c r="B9259" s="66" t="s">
        <v>10877</v>
      </c>
      <c r="C9259" s="66" t="s">
        <v>10878</v>
      </c>
      <c r="D9259" s="11">
        <v>8995</v>
      </c>
      <c r="E9259" s="11">
        <v>8995</v>
      </c>
      <c r="F9259" s="3">
        <v>40282</v>
      </c>
      <c r="G9259" s="2"/>
      <c r="H9259" s="242" t="s">
        <v>22975</v>
      </c>
      <c r="I9259" s="242" t="s">
        <v>22977</v>
      </c>
      <c r="J9259" s="2" t="s">
        <v>13904</v>
      </c>
      <c r="K9259" s="2" t="s">
        <v>22281</v>
      </c>
      <c r="L9259" s="246" t="s">
        <v>19512</v>
      </c>
    </row>
    <row r="9260" spans="1:12" ht="84" customHeight="1" x14ac:dyDescent="0.3">
      <c r="A9260" s="2">
        <v>9256</v>
      </c>
      <c r="B9260" s="66" t="s">
        <v>10879</v>
      </c>
      <c r="C9260" s="66" t="s">
        <v>10880</v>
      </c>
      <c r="D9260" s="11">
        <v>12092.5</v>
      </c>
      <c r="E9260" s="11">
        <v>12092.5</v>
      </c>
      <c r="F9260" s="3">
        <v>40282</v>
      </c>
      <c r="G9260" s="2"/>
      <c r="H9260" s="242" t="s">
        <v>22975</v>
      </c>
      <c r="I9260" s="242" t="s">
        <v>22977</v>
      </c>
      <c r="J9260" s="2" t="s">
        <v>13904</v>
      </c>
      <c r="K9260" s="2" t="s">
        <v>22281</v>
      </c>
      <c r="L9260" s="246" t="s">
        <v>19512</v>
      </c>
    </row>
    <row r="9261" spans="1:12" ht="84" customHeight="1" x14ac:dyDescent="0.3">
      <c r="A9261" s="2">
        <v>9257</v>
      </c>
      <c r="B9261" s="66" t="s">
        <v>10879</v>
      </c>
      <c r="C9261" s="66" t="s">
        <v>10881</v>
      </c>
      <c r="D9261" s="11">
        <v>12092.5</v>
      </c>
      <c r="E9261" s="11">
        <v>12092.5</v>
      </c>
      <c r="F9261" s="3">
        <v>40282</v>
      </c>
      <c r="G9261" s="2"/>
      <c r="H9261" s="242" t="s">
        <v>22975</v>
      </c>
      <c r="I9261" s="242" t="s">
        <v>22977</v>
      </c>
      <c r="J9261" s="2" t="s">
        <v>13904</v>
      </c>
      <c r="K9261" s="2" t="s">
        <v>22281</v>
      </c>
      <c r="L9261" s="246" t="s">
        <v>19512</v>
      </c>
    </row>
    <row r="9262" spans="1:12" ht="84" customHeight="1" x14ac:dyDescent="0.3">
      <c r="A9262" s="2">
        <v>9258</v>
      </c>
      <c r="B9262" s="66" t="s">
        <v>10882</v>
      </c>
      <c r="C9262" s="66" t="s">
        <v>6841</v>
      </c>
      <c r="D9262" s="11">
        <v>8995</v>
      </c>
      <c r="E9262" s="11">
        <v>8995</v>
      </c>
      <c r="F9262" s="3">
        <v>40282</v>
      </c>
      <c r="G9262" s="2"/>
      <c r="H9262" s="242" t="s">
        <v>22975</v>
      </c>
      <c r="I9262" s="242" t="s">
        <v>22977</v>
      </c>
      <c r="J9262" s="2" t="s">
        <v>13904</v>
      </c>
      <c r="K9262" s="2" t="s">
        <v>22281</v>
      </c>
      <c r="L9262" s="246" t="s">
        <v>19512</v>
      </c>
    </row>
    <row r="9263" spans="1:12" ht="84" customHeight="1" x14ac:dyDescent="0.3">
      <c r="A9263" s="2">
        <v>9259</v>
      </c>
      <c r="B9263" s="66" t="s">
        <v>10883</v>
      </c>
      <c r="C9263" s="66" t="s">
        <v>3865</v>
      </c>
      <c r="D9263" s="11">
        <v>3413.61</v>
      </c>
      <c r="E9263" s="11">
        <v>3413.61</v>
      </c>
      <c r="F9263" s="3">
        <v>40282</v>
      </c>
      <c r="G9263" s="2"/>
      <c r="H9263" s="242" t="s">
        <v>22975</v>
      </c>
      <c r="I9263" s="242" t="s">
        <v>22977</v>
      </c>
      <c r="J9263" s="2" t="s">
        <v>13904</v>
      </c>
      <c r="K9263" s="2" t="s">
        <v>22281</v>
      </c>
      <c r="L9263" s="246" t="s">
        <v>19512</v>
      </c>
    </row>
    <row r="9264" spans="1:12" ht="84" customHeight="1" x14ac:dyDescent="0.3">
      <c r="A9264" s="2">
        <v>9260</v>
      </c>
      <c r="B9264" s="66" t="s">
        <v>10884</v>
      </c>
      <c r="C9264" s="66" t="s">
        <v>3871</v>
      </c>
      <c r="D9264" s="11">
        <v>3102.42</v>
      </c>
      <c r="E9264" s="11">
        <v>3102.42</v>
      </c>
      <c r="F9264" s="3">
        <v>40282</v>
      </c>
      <c r="G9264" s="2"/>
      <c r="H9264" s="242" t="s">
        <v>22975</v>
      </c>
      <c r="I9264" s="242" t="s">
        <v>22977</v>
      </c>
      <c r="J9264" s="2" t="s">
        <v>13904</v>
      </c>
      <c r="K9264" s="2" t="s">
        <v>22281</v>
      </c>
      <c r="L9264" s="246" t="s">
        <v>19512</v>
      </c>
    </row>
    <row r="9265" spans="1:12" ht="84" customHeight="1" x14ac:dyDescent="0.3">
      <c r="A9265" s="2">
        <v>9261</v>
      </c>
      <c r="B9265" s="66" t="s">
        <v>10885</v>
      </c>
      <c r="C9265" s="66" t="s">
        <v>10886</v>
      </c>
      <c r="D9265" s="11">
        <v>4588.5</v>
      </c>
      <c r="E9265" s="11">
        <v>4588.5</v>
      </c>
      <c r="F9265" s="3">
        <v>40282</v>
      </c>
      <c r="G9265" s="2"/>
      <c r="H9265" s="242" t="s">
        <v>22975</v>
      </c>
      <c r="I9265" s="242" t="s">
        <v>22977</v>
      </c>
      <c r="J9265" s="2" t="s">
        <v>13904</v>
      </c>
      <c r="K9265" s="2" t="s">
        <v>22281</v>
      </c>
      <c r="L9265" s="246" t="s">
        <v>19512</v>
      </c>
    </row>
    <row r="9266" spans="1:12" ht="84" customHeight="1" x14ac:dyDescent="0.3">
      <c r="A9266" s="2">
        <v>9262</v>
      </c>
      <c r="B9266" s="66" t="s">
        <v>10887</v>
      </c>
      <c r="C9266" s="66" t="s">
        <v>10888</v>
      </c>
      <c r="D9266" s="11">
        <v>4588.5</v>
      </c>
      <c r="E9266" s="11">
        <v>4588.5</v>
      </c>
      <c r="F9266" s="3">
        <v>40282</v>
      </c>
      <c r="G9266" s="2"/>
      <c r="H9266" s="242" t="s">
        <v>22975</v>
      </c>
      <c r="I9266" s="242" t="s">
        <v>22977</v>
      </c>
      <c r="J9266" s="2" t="s">
        <v>13904</v>
      </c>
      <c r="K9266" s="2" t="s">
        <v>22281</v>
      </c>
      <c r="L9266" s="246" t="s">
        <v>19512</v>
      </c>
    </row>
    <row r="9267" spans="1:12" ht="84" customHeight="1" x14ac:dyDescent="0.3">
      <c r="A9267" s="2">
        <v>9263</v>
      </c>
      <c r="B9267" s="66" t="s">
        <v>10889</v>
      </c>
      <c r="C9267" s="66" t="s">
        <v>10890</v>
      </c>
      <c r="D9267" s="11">
        <v>4588.33</v>
      </c>
      <c r="E9267" s="11">
        <v>4588.33</v>
      </c>
      <c r="F9267" s="3">
        <v>40282</v>
      </c>
      <c r="G9267" s="2"/>
      <c r="H9267" s="242" t="s">
        <v>22975</v>
      </c>
      <c r="I9267" s="242" t="s">
        <v>22977</v>
      </c>
      <c r="J9267" s="2" t="s">
        <v>13904</v>
      </c>
      <c r="K9267" s="2" t="s">
        <v>22281</v>
      </c>
      <c r="L9267" s="246" t="s">
        <v>19512</v>
      </c>
    </row>
    <row r="9268" spans="1:12" ht="84" customHeight="1" x14ac:dyDescent="0.3">
      <c r="A9268" s="2">
        <v>9264</v>
      </c>
      <c r="B9268" s="66" t="s">
        <v>10889</v>
      </c>
      <c r="C9268" s="66" t="s">
        <v>10891</v>
      </c>
      <c r="D9268" s="11">
        <v>4588.33</v>
      </c>
      <c r="E9268" s="11">
        <v>4588.33</v>
      </c>
      <c r="F9268" s="3">
        <v>40282</v>
      </c>
      <c r="G9268" s="2"/>
      <c r="H9268" s="242" t="s">
        <v>22975</v>
      </c>
      <c r="I9268" s="242" t="s">
        <v>22977</v>
      </c>
      <c r="J9268" s="2" t="s">
        <v>13904</v>
      </c>
      <c r="K9268" s="2" t="s">
        <v>22281</v>
      </c>
      <c r="L9268" s="246" t="s">
        <v>19512</v>
      </c>
    </row>
    <row r="9269" spans="1:12" ht="84" customHeight="1" x14ac:dyDescent="0.3">
      <c r="A9269" s="2">
        <v>9265</v>
      </c>
      <c r="B9269" s="66" t="s">
        <v>10889</v>
      </c>
      <c r="C9269" s="66" t="s">
        <v>10892</v>
      </c>
      <c r="D9269" s="11">
        <v>4588.33</v>
      </c>
      <c r="E9269" s="11">
        <v>4588.33</v>
      </c>
      <c r="F9269" s="3">
        <v>40282</v>
      </c>
      <c r="G9269" s="2"/>
      <c r="H9269" s="242" t="s">
        <v>22975</v>
      </c>
      <c r="I9269" s="242" t="s">
        <v>22977</v>
      </c>
      <c r="J9269" s="2" t="s">
        <v>13904</v>
      </c>
      <c r="K9269" s="2" t="s">
        <v>22281</v>
      </c>
      <c r="L9269" s="246" t="s">
        <v>19512</v>
      </c>
    </row>
    <row r="9270" spans="1:12" ht="84" customHeight="1" x14ac:dyDescent="0.3">
      <c r="A9270" s="2">
        <v>9266</v>
      </c>
      <c r="B9270" s="66" t="s">
        <v>10893</v>
      </c>
      <c r="C9270" s="66" t="s">
        <v>10894</v>
      </c>
      <c r="D9270" s="11">
        <v>5439</v>
      </c>
      <c r="E9270" s="11">
        <v>5439</v>
      </c>
      <c r="F9270" s="3">
        <v>40282</v>
      </c>
      <c r="G9270" s="2"/>
      <c r="H9270" s="242" t="s">
        <v>22975</v>
      </c>
      <c r="I9270" s="242" t="s">
        <v>22977</v>
      </c>
      <c r="J9270" s="2" t="s">
        <v>13904</v>
      </c>
      <c r="K9270" s="2" t="s">
        <v>22281</v>
      </c>
      <c r="L9270" s="246" t="s">
        <v>19512</v>
      </c>
    </row>
    <row r="9271" spans="1:12" ht="84" customHeight="1" x14ac:dyDescent="0.3">
      <c r="A9271" s="2">
        <v>9267</v>
      </c>
      <c r="B9271" s="66" t="s">
        <v>10895</v>
      </c>
      <c r="C9271" s="66" t="s">
        <v>10896</v>
      </c>
      <c r="D9271" s="11">
        <v>4105.5</v>
      </c>
      <c r="E9271" s="11">
        <v>4105.5</v>
      </c>
      <c r="F9271" s="3">
        <v>40282</v>
      </c>
      <c r="G9271" s="2"/>
      <c r="H9271" s="242" t="s">
        <v>22975</v>
      </c>
      <c r="I9271" s="242" t="s">
        <v>22977</v>
      </c>
      <c r="J9271" s="2" t="s">
        <v>13904</v>
      </c>
      <c r="K9271" s="2" t="s">
        <v>22281</v>
      </c>
      <c r="L9271" s="246" t="s">
        <v>19512</v>
      </c>
    </row>
    <row r="9272" spans="1:12" ht="84" customHeight="1" x14ac:dyDescent="0.3">
      <c r="A9272" s="2">
        <v>9268</v>
      </c>
      <c r="B9272" s="66" t="s">
        <v>10897</v>
      </c>
      <c r="C9272" s="66" t="s">
        <v>7913</v>
      </c>
      <c r="D9272" s="11">
        <v>4074</v>
      </c>
      <c r="E9272" s="11">
        <v>4074</v>
      </c>
      <c r="F9272" s="3">
        <v>40282</v>
      </c>
      <c r="G9272" s="2"/>
      <c r="H9272" s="242" t="s">
        <v>22975</v>
      </c>
      <c r="I9272" s="242" t="s">
        <v>22977</v>
      </c>
      <c r="J9272" s="2" t="s">
        <v>13904</v>
      </c>
      <c r="K9272" s="2" t="s">
        <v>22281</v>
      </c>
      <c r="L9272" s="246" t="s">
        <v>19512</v>
      </c>
    </row>
    <row r="9273" spans="1:12" ht="84" customHeight="1" x14ac:dyDescent="0.3">
      <c r="A9273" s="2">
        <v>9269</v>
      </c>
      <c r="B9273" s="66" t="s">
        <v>10898</v>
      </c>
      <c r="C9273" s="66" t="s">
        <v>6005</v>
      </c>
      <c r="D9273" s="11">
        <v>5439</v>
      </c>
      <c r="E9273" s="11">
        <v>5439</v>
      </c>
      <c r="F9273" s="3">
        <v>40282</v>
      </c>
      <c r="G9273" s="2"/>
      <c r="H9273" s="242" t="s">
        <v>22975</v>
      </c>
      <c r="I9273" s="242" t="s">
        <v>22977</v>
      </c>
      <c r="J9273" s="2" t="s">
        <v>13904</v>
      </c>
      <c r="K9273" s="2" t="s">
        <v>22281</v>
      </c>
      <c r="L9273" s="246" t="s">
        <v>19512</v>
      </c>
    </row>
    <row r="9274" spans="1:12" ht="84" customHeight="1" x14ac:dyDescent="0.3">
      <c r="A9274" s="2">
        <v>9270</v>
      </c>
      <c r="B9274" s="66" t="s">
        <v>10899</v>
      </c>
      <c r="C9274" s="66" t="s">
        <v>10900</v>
      </c>
      <c r="D9274" s="11">
        <v>5439</v>
      </c>
      <c r="E9274" s="11">
        <v>5439</v>
      </c>
      <c r="F9274" s="3">
        <v>40282</v>
      </c>
      <c r="G9274" s="2"/>
      <c r="H9274" s="242" t="s">
        <v>22975</v>
      </c>
      <c r="I9274" s="242" t="s">
        <v>22977</v>
      </c>
      <c r="J9274" s="2" t="s">
        <v>13904</v>
      </c>
      <c r="K9274" s="2" t="s">
        <v>22281</v>
      </c>
      <c r="L9274" s="246" t="s">
        <v>19512</v>
      </c>
    </row>
    <row r="9275" spans="1:12" ht="84" customHeight="1" x14ac:dyDescent="0.3">
      <c r="A9275" s="2">
        <v>9271</v>
      </c>
      <c r="B9275" s="66" t="s">
        <v>10899</v>
      </c>
      <c r="C9275" s="66" t="s">
        <v>8366</v>
      </c>
      <c r="D9275" s="11">
        <v>5439</v>
      </c>
      <c r="E9275" s="11">
        <v>5439</v>
      </c>
      <c r="F9275" s="3">
        <v>40282</v>
      </c>
      <c r="G9275" s="2"/>
      <c r="H9275" s="242" t="s">
        <v>22975</v>
      </c>
      <c r="I9275" s="242" t="s">
        <v>22977</v>
      </c>
      <c r="J9275" s="2" t="s">
        <v>13904</v>
      </c>
      <c r="K9275" s="2" t="s">
        <v>22281</v>
      </c>
      <c r="L9275" s="246" t="s">
        <v>19512</v>
      </c>
    </row>
    <row r="9276" spans="1:12" ht="84" customHeight="1" x14ac:dyDescent="0.3">
      <c r="A9276" s="2">
        <v>9272</v>
      </c>
      <c r="B9276" s="66" t="s">
        <v>10901</v>
      </c>
      <c r="C9276" s="66" t="s">
        <v>7987</v>
      </c>
      <c r="D9276" s="11">
        <v>5439</v>
      </c>
      <c r="E9276" s="11">
        <v>5439</v>
      </c>
      <c r="F9276" s="3">
        <v>40282</v>
      </c>
      <c r="G9276" s="2"/>
      <c r="H9276" s="242" t="s">
        <v>22975</v>
      </c>
      <c r="I9276" s="242" t="s">
        <v>22977</v>
      </c>
      <c r="J9276" s="2" t="s">
        <v>13904</v>
      </c>
      <c r="K9276" s="2" t="s">
        <v>22281</v>
      </c>
      <c r="L9276" s="246" t="s">
        <v>19512</v>
      </c>
    </row>
    <row r="9277" spans="1:12" ht="84" customHeight="1" x14ac:dyDescent="0.3">
      <c r="A9277" s="2">
        <v>9273</v>
      </c>
      <c r="B9277" s="66" t="s">
        <v>10901</v>
      </c>
      <c r="C9277" s="66" t="s">
        <v>10902</v>
      </c>
      <c r="D9277" s="11">
        <v>5439</v>
      </c>
      <c r="E9277" s="11">
        <v>5439</v>
      </c>
      <c r="F9277" s="3">
        <v>40282</v>
      </c>
      <c r="G9277" s="2"/>
      <c r="H9277" s="242" t="s">
        <v>22975</v>
      </c>
      <c r="I9277" s="242" t="s">
        <v>22977</v>
      </c>
      <c r="J9277" s="2" t="s">
        <v>13904</v>
      </c>
      <c r="K9277" s="2" t="s">
        <v>22281</v>
      </c>
      <c r="L9277" s="246" t="s">
        <v>19512</v>
      </c>
    </row>
    <row r="9278" spans="1:12" ht="84" customHeight="1" x14ac:dyDescent="0.3">
      <c r="A9278" s="2">
        <v>9274</v>
      </c>
      <c r="B9278" s="66" t="s">
        <v>10903</v>
      </c>
      <c r="C9278" s="66" t="s">
        <v>10904</v>
      </c>
      <c r="D9278" s="11">
        <v>5439</v>
      </c>
      <c r="E9278" s="11">
        <v>5439</v>
      </c>
      <c r="F9278" s="3">
        <v>40282</v>
      </c>
      <c r="G9278" s="2"/>
      <c r="H9278" s="242" t="s">
        <v>22975</v>
      </c>
      <c r="I9278" s="242" t="s">
        <v>22977</v>
      </c>
      <c r="J9278" s="2" t="s">
        <v>13904</v>
      </c>
      <c r="K9278" s="2" t="s">
        <v>22281</v>
      </c>
      <c r="L9278" s="246" t="s">
        <v>19512</v>
      </c>
    </row>
    <row r="9279" spans="1:12" ht="84" customHeight="1" x14ac:dyDescent="0.3">
      <c r="A9279" s="2">
        <v>9275</v>
      </c>
      <c r="B9279" s="66" t="s">
        <v>10903</v>
      </c>
      <c r="C9279" s="66" t="s">
        <v>10905</v>
      </c>
      <c r="D9279" s="11">
        <v>5439</v>
      </c>
      <c r="E9279" s="11">
        <v>5439</v>
      </c>
      <c r="F9279" s="3">
        <v>40282</v>
      </c>
      <c r="G9279" s="2"/>
      <c r="H9279" s="242" t="s">
        <v>22975</v>
      </c>
      <c r="I9279" s="242" t="s">
        <v>22977</v>
      </c>
      <c r="J9279" s="2" t="s">
        <v>13904</v>
      </c>
      <c r="K9279" s="2" t="s">
        <v>22281</v>
      </c>
      <c r="L9279" s="246" t="s">
        <v>19512</v>
      </c>
    </row>
    <row r="9280" spans="1:12" ht="84" customHeight="1" x14ac:dyDescent="0.3">
      <c r="A9280" s="2">
        <v>9276</v>
      </c>
      <c r="B9280" s="66" t="s">
        <v>10906</v>
      </c>
      <c r="C9280" s="66" t="s">
        <v>10907</v>
      </c>
      <c r="D9280" s="11">
        <v>5439</v>
      </c>
      <c r="E9280" s="11">
        <v>5439</v>
      </c>
      <c r="F9280" s="3">
        <v>40282</v>
      </c>
      <c r="G9280" s="2"/>
      <c r="H9280" s="242" t="s">
        <v>22975</v>
      </c>
      <c r="I9280" s="242" t="s">
        <v>22977</v>
      </c>
      <c r="J9280" s="2" t="s">
        <v>13904</v>
      </c>
      <c r="K9280" s="2" t="s">
        <v>22281</v>
      </c>
      <c r="L9280" s="246" t="s">
        <v>19512</v>
      </c>
    </row>
    <row r="9281" spans="1:15" ht="84" customHeight="1" x14ac:dyDescent="0.3">
      <c r="A9281" s="2">
        <v>9277</v>
      </c>
      <c r="B9281" s="66" t="s">
        <v>10906</v>
      </c>
      <c r="C9281" s="66" t="s">
        <v>10908</v>
      </c>
      <c r="D9281" s="11">
        <v>5439</v>
      </c>
      <c r="E9281" s="11">
        <v>5439</v>
      </c>
      <c r="F9281" s="3">
        <v>40282</v>
      </c>
      <c r="G9281" s="2"/>
      <c r="H9281" s="242" t="s">
        <v>22975</v>
      </c>
      <c r="I9281" s="242" t="s">
        <v>22977</v>
      </c>
      <c r="J9281" s="2" t="s">
        <v>13904</v>
      </c>
      <c r="K9281" s="2" t="s">
        <v>22281</v>
      </c>
      <c r="L9281" s="246" t="s">
        <v>19512</v>
      </c>
    </row>
    <row r="9282" spans="1:15" ht="84" customHeight="1" x14ac:dyDescent="0.3">
      <c r="A9282" s="2">
        <v>9278</v>
      </c>
      <c r="B9282" s="66" t="s">
        <v>10906</v>
      </c>
      <c r="C9282" s="66" t="s">
        <v>10909</v>
      </c>
      <c r="D9282" s="11">
        <v>5439</v>
      </c>
      <c r="E9282" s="11">
        <v>5439</v>
      </c>
      <c r="F9282" s="3">
        <v>40282</v>
      </c>
      <c r="G9282" s="2"/>
      <c r="H9282" s="242" t="s">
        <v>22975</v>
      </c>
      <c r="I9282" s="242" t="s">
        <v>22977</v>
      </c>
      <c r="J9282" s="2" t="s">
        <v>13904</v>
      </c>
      <c r="K9282" s="2" t="s">
        <v>22281</v>
      </c>
      <c r="L9282" s="246" t="s">
        <v>19512</v>
      </c>
    </row>
    <row r="9283" spans="1:15" ht="84" customHeight="1" x14ac:dyDescent="0.3">
      <c r="A9283" s="2">
        <v>9279</v>
      </c>
      <c r="B9283" s="66" t="s">
        <v>10910</v>
      </c>
      <c r="C9283" s="66" t="s">
        <v>10911</v>
      </c>
      <c r="D9283" s="11">
        <v>5439</v>
      </c>
      <c r="E9283" s="11">
        <v>5439</v>
      </c>
      <c r="F9283" s="3">
        <v>40282</v>
      </c>
      <c r="G9283" s="2"/>
      <c r="H9283" s="242" t="s">
        <v>22975</v>
      </c>
      <c r="I9283" s="242" t="s">
        <v>22977</v>
      </c>
      <c r="J9283" s="2" t="s">
        <v>13904</v>
      </c>
      <c r="K9283" s="2" t="s">
        <v>22281</v>
      </c>
      <c r="L9283" s="246" t="s">
        <v>19512</v>
      </c>
    </row>
    <row r="9284" spans="1:15" ht="144" customHeight="1" x14ac:dyDescent="0.3">
      <c r="A9284" s="2">
        <v>9280</v>
      </c>
      <c r="B9284" s="245" t="s">
        <v>19418</v>
      </c>
      <c r="C9284" s="66"/>
      <c r="D9284" s="11">
        <v>4120808.17</v>
      </c>
      <c r="E9284" s="11"/>
      <c r="F9284" s="3">
        <v>43014</v>
      </c>
      <c r="G9284" s="2" t="s">
        <v>19416</v>
      </c>
      <c r="H9284" s="2"/>
      <c r="I9284" s="2"/>
      <c r="J9284" s="2" t="s">
        <v>12550</v>
      </c>
      <c r="K9284" s="2"/>
      <c r="L9284" s="82"/>
    </row>
    <row r="9285" spans="1:15" ht="132" customHeight="1" x14ac:dyDescent="0.3">
      <c r="A9285" s="2">
        <v>9281</v>
      </c>
      <c r="B9285" s="66" t="s">
        <v>19626</v>
      </c>
      <c r="C9285" s="66"/>
      <c r="D9285" s="11">
        <v>4532723.62</v>
      </c>
      <c r="E9285" s="11"/>
      <c r="F9285" s="3">
        <v>43014</v>
      </c>
      <c r="G9285" s="2" t="s">
        <v>19417</v>
      </c>
      <c r="H9285" s="2"/>
      <c r="I9285" s="2"/>
      <c r="J9285" s="2" t="s">
        <v>12550</v>
      </c>
      <c r="K9285" s="2"/>
      <c r="L9285" s="82"/>
    </row>
    <row r="9286" spans="1:15" ht="84" customHeight="1" x14ac:dyDescent="0.3">
      <c r="A9286" s="2">
        <v>9282</v>
      </c>
      <c r="B9286" s="66" t="s">
        <v>10912</v>
      </c>
      <c r="C9286" s="66" t="s">
        <v>10913</v>
      </c>
      <c r="D9286" s="11">
        <v>4074</v>
      </c>
      <c r="E9286" s="11">
        <v>4074</v>
      </c>
      <c r="F9286" s="3">
        <v>40282</v>
      </c>
      <c r="G9286" s="2"/>
      <c r="H9286" s="242" t="s">
        <v>22975</v>
      </c>
      <c r="I9286" s="242" t="s">
        <v>22977</v>
      </c>
      <c r="J9286" s="2" t="s">
        <v>13904</v>
      </c>
      <c r="K9286" s="2" t="s">
        <v>22281</v>
      </c>
      <c r="L9286" s="246" t="s">
        <v>19512</v>
      </c>
    </row>
    <row r="9287" spans="1:15" s="19" customFormat="1" ht="108" customHeight="1" x14ac:dyDescent="0.3">
      <c r="A9287" s="2">
        <v>9283</v>
      </c>
      <c r="B9287" s="66" t="s">
        <v>19627</v>
      </c>
      <c r="C9287" s="66"/>
      <c r="D9287" s="11">
        <v>3510262.76</v>
      </c>
      <c r="E9287" s="11"/>
      <c r="F9287" s="3">
        <v>43041</v>
      </c>
      <c r="G9287" s="2" t="s">
        <v>19628</v>
      </c>
      <c r="H9287" s="3"/>
      <c r="I9287" s="2"/>
      <c r="J9287" s="2" t="s">
        <v>12550</v>
      </c>
      <c r="K9287" s="2"/>
      <c r="L9287" s="82"/>
      <c r="M9287" s="18"/>
      <c r="N9287" s="18"/>
      <c r="O9287" s="18"/>
    </row>
    <row r="9288" spans="1:15" s="19" customFormat="1" ht="84" customHeight="1" x14ac:dyDescent="0.3">
      <c r="A9288" s="2">
        <v>9284</v>
      </c>
      <c r="B9288" s="66" t="s">
        <v>10914</v>
      </c>
      <c r="C9288" s="66" t="s">
        <v>10915</v>
      </c>
      <c r="D9288" s="11">
        <v>4840.5</v>
      </c>
      <c r="E9288" s="11">
        <v>4840.5</v>
      </c>
      <c r="F9288" s="3">
        <v>40282</v>
      </c>
      <c r="G9288" s="2"/>
      <c r="H9288" s="3">
        <v>43053</v>
      </c>
      <c r="I9288" s="2" t="s">
        <v>19506</v>
      </c>
      <c r="J9288" s="2" t="s">
        <v>13904</v>
      </c>
      <c r="K9288" s="2" t="s">
        <v>22281</v>
      </c>
      <c r="L9288" s="82" t="s">
        <v>19512</v>
      </c>
      <c r="M9288" s="18"/>
      <c r="N9288" s="18"/>
      <c r="O9288" s="18"/>
    </row>
    <row r="9289" spans="1:15" s="19" customFormat="1" ht="84" customHeight="1" x14ac:dyDescent="0.3">
      <c r="A9289" s="2">
        <v>9285</v>
      </c>
      <c r="B9289" s="66" t="s">
        <v>10916</v>
      </c>
      <c r="C9289" s="66" t="s">
        <v>10917</v>
      </c>
      <c r="D9289" s="11">
        <v>13410.6</v>
      </c>
      <c r="E9289" s="11">
        <v>13410.6</v>
      </c>
      <c r="F9289" s="3">
        <v>40282</v>
      </c>
      <c r="G9289" s="2"/>
      <c r="H9289" s="3">
        <v>43053</v>
      </c>
      <c r="I9289" s="2" t="s">
        <v>19506</v>
      </c>
      <c r="J9289" s="2" t="s">
        <v>13904</v>
      </c>
      <c r="K9289" s="2" t="s">
        <v>22281</v>
      </c>
      <c r="L9289" s="82" t="s">
        <v>19512</v>
      </c>
      <c r="M9289" s="18"/>
      <c r="N9289" s="18"/>
      <c r="O9289" s="18"/>
    </row>
    <row r="9290" spans="1:15" s="19" customFormat="1" ht="84" customHeight="1" x14ac:dyDescent="0.3">
      <c r="A9290" s="2">
        <v>9286</v>
      </c>
      <c r="B9290" s="66" t="s">
        <v>10918</v>
      </c>
      <c r="C9290" s="66" t="s">
        <v>10667</v>
      </c>
      <c r="D9290" s="11">
        <v>6705.3</v>
      </c>
      <c r="E9290" s="11">
        <v>6705.3</v>
      </c>
      <c r="F9290" s="3">
        <v>40282</v>
      </c>
      <c r="G9290" s="2"/>
      <c r="H9290" s="3">
        <v>43053</v>
      </c>
      <c r="I9290" s="2" t="s">
        <v>19506</v>
      </c>
      <c r="J9290" s="2" t="s">
        <v>13904</v>
      </c>
      <c r="K9290" s="2" t="s">
        <v>22281</v>
      </c>
      <c r="L9290" s="82" t="s">
        <v>19512</v>
      </c>
      <c r="M9290" s="18"/>
      <c r="N9290" s="18"/>
      <c r="O9290" s="18"/>
    </row>
    <row r="9291" spans="1:15" s="19" customFormat="1" ht="84" customHeight="1" x14ac:dyDescent="0.3">
      <c r="A9291" s="2">
        <v>9287</v>
      </c>
      <c r="B9291" s="66" t="s">
        <v>10919</v>
      </c>
      <c r="C9291" s="66" t="s">
        <v>10920</v>
      </c>
      <c r="D9291" s="11">
        <v>5439</v>
      </c>
      <c r="E9291" s="11">
        <v>5439</v>
      </c>
      <c r="F9291" s="3">
        <v>40452</v>
      </c>
      <c r="G9291" s="2"/>
      <c r="H9291" s="242" t="s">
        <v>22975</v>
      </c>
      <c r="I9291" s="242" t="s">
        <v>22977</v>
      </c>
      <c r="J9291" s="2" t="s">
        <v>13904</v>
      </c>
      <c r="K9291" s="2" t="s">
        <v>22281</v>
      </c>
      <c r="L9291" s="246" t="s">
        <v>19512</v>
      </c>
      <c r="M9291" s="18"/>
      <c r="N9291" s="18"/>
      <c r="O9291" s="18"/>
    </row>
    <row r="9292" spans="1:15" s="19" customFormat="1" ht="84" customHeight="1" x14ac:dyDescent="0.3">
      <c r="A9292" s="2">
        <v>9288</v>
      </c>
      <c r="B9292" s="66" t="s">
        <v>10919</v>
      </c>
      <c r="C9292" s="66" t="s">
        <v>10921</v>
      </c>
      <c r="D9292" s="11">
        <v>5439</v>
      </c>
      <c r="E9292" s="11">
        <v>5439</v>
      </c>
      <c r="F9292" s="3">
        <v>40452</v>
      </c>
      <c r="G9292" s="2"/>
      <c r="H9292" s="242" t="s">
        <v>22975</v>
      </c>
      <c r="I9292" s="242" t="s">
        <v>22977</v>
      </c>
      <c r="J9292" s="2" t="s">
        <v>13904</v>
      </c>
      <c r="K9292" s="2" t="s">
        <v>22281</v>
      </c>
      <c r="L9292" s="246" t="s">
        <v>19512</v>
      </c>
      <c r="M9292" s="18"/>
      <c r="N9292" s="18"/>
      <c r="O9292" s="18"/>
    </row>
    <row r="9293" spans="1:15" s="19" customFormat="1" ht="84" customHeight="1" x14ac:dyDescent="0.3">
      <c r="A9293" s="2">
        <v>9289</v>
      </c>
      <c r="B9293" s="66" t="s">
        <v>10922</v>
      </c>
      <c r="C9293" s="66" t="s">
        <v>10715</v>
      </c>
      <c r="D9293" s="11">
        <v>5439</v>
      </c>
      <c r="E9293" s="11">
        <v>5439</v>
      </c>
      <c r="F9293" s="3">
        <v>40282</v>
      </c>
      <c r="G9293" s="2"/>
      <c r="H9293" s="242" t="s">
        <v>22975</v>
      </c>
      <c r="I9293" s="242" t="s">
        <v>22977</v>
      </c>
      <c r="J9293" s="2" t="s">
        <v>13904</v>
      </c>
      <c r="K9293" s="2" t="s">
        <v>22281</v>
      </c>
      <c r="L9293" s="246" t="s">
        <v>19512</v>
      </c>
      <c r="M9293" s="18"/>
      <c r="N9293" s="18"/>
      <c r="O9293" s="18"/>
    </row>
    <row r="9294" spans="1:15" s="19" customFormat="1" ht="84" customHeight="1" x14ac:dyDescent="0.3">
      <c r="A9294" s="2">
        <v>9290</v>
      </c>
      <c r="B9294" s="66" t="s">
        <v>10923</v>
      </c>
      <c r="C9294" s="66" t="s">
        <v>10616</v>
      </c>
      <c r="D9294" s="11">
        <v>5090.41</v>
      </c>
      <c r="E9294" s="11">
        <v>5090.41</v>
      </c>
      <c r="F9294" s="3">
        <v>40282</v>
      </c>
      <c r="G9294" s="2"/>
      <c r="H9294" s="242" t="s">
        <v>22975</v>
      </c>
      <c r="I9294" s="242" t="s">
        <v>22977</v>
      </c>
      <c r="J9294" s="2" t="s">
        <v>13904</v>
      </c>
      <c r="K9294" s="2" t="s">
        <v>22281</v>
      </c>
      <c r="L9294" s="246" t="s">
        <v>19512</v>
      </c>
      <c r="M9294" s="18"/>
      <c r="N9294" s="18"/>
      <c r="O9294" s="18"/>
    </row>
    <row r="9295" spans="1:15" s="19" customFormat="1" ht="84" customHeight="1" x14ac:dyDescent="0.3">
      <c r="A9295" s="2">
        <v>9291</v>
      </c>
      <c r="B9295" s="66" t="s">
        <v>10924</v>
      </c>
      <c r="C9295" s="66" t="s">
        <v>10925</v>
      </c>
      <c r="D9295" s="11">
        <v>4847.99</v>
      </c>
      <c r="E9295" s="11">
        <v>4847.99</v>
      </c>
      <c r="F9295" s="3">
        <v>40282</v>
      </c>
      <c r="G9295" s="2"/>
      <c r="H9295" s="242" t="s">
        <v>22975</v>
      </c>
      <c r="I9295" s="242" t="s">
        <v>22977</v>
      </c>
      <c r="J9295" s="2" t="s">
        <v>13904</v>
      </c>
      <c r="K9295" s="2" t="s">
        <v>22281</v>
      </c>
      <c r="L9295" s="246" t="s">
        <v>19512</v>
      </c>
      <c r="M9295" s="18"/>
      <c r="N9295" s="18"/>
      <c r="O9295" s="18"/>
    </row>
    <row r="9296" spans="1:15" s="19" customFormat="1" ht="84" customHeight="1" x14ac:dyDescent="0.3">
      <c r="A9296" s="2">
        <v>9292</v>
      </c>
      <c r="B9296" s="66" t="s">
        <v>10926</v>
      </c>
      <c r="C9296" s="66" t="s">
        <v>10927</v>
      </c>
      <c r="D9296" s="11">
        <v>10651.2</v>
      </c>
      <c r="E9296" s="11">
        <v>10651.2</v>
      </c>
      <c r="F9296" s="3">
        <v>40282</v>
      </c>
      <c r="G9296" s="2"/>
      <c r="H9296" s="242" t="s">
        <v>22975</v>
      </c>
      <c r="I9296" s="242" t="s">
        <v>22977</v>
      </c>
      <c r="J9296" s="2" t="s">
        <v>13904</v>
      </c>
      <c r="K9296" s="2" t="s">
        <v>22281</v>
      </c>
      <c r="L9296" s="246" t="s">
        <v>19512</v>
      </c>
      <c r="M9296" s="18"/>
      <c r="N9296" s="18"/>
      <c r="O9296" s="18"/>
    </row>
    <row r="9297" spans="1:15" s="19" customFormat="1" ht="84" customHeight="1" x14ac:dyDescent="0.3">
      <c r="A9297" s="2">
        <v>9293</v>
      </c>
      <c r="B9297" s="66" t="s">
        <v>10928</v>
      </c>
      <c r="C9297" s="66" t="s">
        <v>10929</v>
      </c>
      <c r="D9297" s="11">
        <v>5090.3999999999996</v>
      </c>
      <c r="E9297" s="11">
        <v>5090.3999999999996</v>
      </c>
      <c r="F9297" s="3">
        <v>40282</v>
      </c>
      <c r="G9297" s="2"/>
      <c r="H9297" s="242" t="s">
        <v>22975</v>
      </c>
      <c r="I9297" s="242" t="s">
        <v>22977</v>
      </c>
      <c r="J9297" s="2" t="s">
        <v>13904</v>
      </c>
      <c r="K9297" s="2" t="s">
        <v>22281</v>
      </c>
      <c r="L9297" s="246" t="s">
        <v>19512</v>
      </c>
      <c r="M9297" s="18"/>
      <c r="N9297" s="18"/>
      <c r="O9297" s="18"/>
    </row>
    <row r="9298" spans="1:15" s="19" customFormat="1" ht="84" customHeight="1" x14ac:dyDescent="0.3">
      <c r="A9298" s="2">
        <v>9294</v>
      </c>
      <c r="B9298" s="66" t="s">
        <v>10930</v>
      </c>
      <c r="C9298" s="66" t="s">
        <v>10931</v>
      </c>
      <c r="D9298" s="11">
        <v>5090.3999999999996</v>
      </c>
      <c r="E9298" s="11">
        <v>5090.3999999999996</v>
      </c>
      <c r="F9298" s="3">
        <v>40282</v>
      </c>
      <c r="G9298" s="2"/>
      <c r="H9298" s="242" t="s">
        <v>22975</v>
      </c>
      <c r="I9298" s="242" t="s">
        <v>22977</v>
      </c>
      <c r="J9298" s="2" t="s">
        <v>13904</v>
      </c>
      <c r="K9298" s="2" t="s">
        <v>22281</v>
      </c>
      <c r="L9298" s="246" t="s">
        <v>19512</v>
      </c>
      <c r="M9298" s="18"/>
      <c r="N9298" s="18"/>
      <c r="O9298" s="18"/>
    </row>
    <row r="9299" spans="1:15" s="19" customFormat="1" ht="84" customHeight="1" x14ac:dyDescent="0.3">
      <c r="A9299" s="2">
        <v>9295</v>
      </c>
      <c r="B9299" s="66" t="s">
        <v>10932</v>
      </c>
      <c r="C9299" s="66" t="s">
        <v>10933</v>
      </c>
      <c r="D9299" s="11">
        <v>5090.3999999999996</v>
      </c>
      <c r="E9299" s="11">
        <v>5090.3999999999996</v>
      </c>
      <c r="F9299" s="3">
        <v>40282</v>
      </c>
      <c r="G9299" s="2"/>
      <c r="H9299" s="242" t="s">
        <v>22975</v>
      </c>
      <c r="I9299" s="242" t="s">
        <v>22977</v>
      </c>
      <c r="J9299" s="2" t="s">
        <v>13904</v>
      </c>
      <c r="K9299" s="2" t="s">
        <v>22281</v>
      </c>
      <c r="L9299" s="246" t="s">
        <v>19512</v>
      </c>
      <c r="M9299" s="18"/>
      <c r="N9299" s="18"/>
      <c r="O9299" s="18"/>
    </row>
    <row r="9300" spans="1:15" s="19" customFormat="1" ht="84" customHeight="1" x14ac:dyDescent="0.3">
      <c r="A9300" s="2">
        <v>9296</v>
      </c>
      <c r="B9300" s="66" t="s">
        <v>10934</v>
      </c>
      <c r="C9300" s="66" t="s">
        <v>3214</v>
      </c>
      <c r="D9300" s="11">
        <v>4958.1000000000004</v>
      </c>
      <c r="E9300" s="11">
        <v>4958.1000000000004</v>
      </c>
      <c r="F9300" s="3">
        <v>40282</v>
      </c>
      <c r="G9300" s="2"/>
      <c r="H9300" s="242" t="s">
        <v>22975</v>
      </c>
      <c r="I9300" s="242" t="s">
        <v>22977</v>
      </c>
      <c r="J9300" s="2" t="s">
        <v>13904</v>
      </c>
      <c r="K9300" s="2" t="s">
        <v>22281</v>
      </c>
      <c r="L9300" s="246" t="s">
        <v>19512</v>
      </c>
      <c r="M9300" s="18"/>
      <c r="N9300" s="18"/>
      <c r="O9300" s="18"/>
    </row>
    <row r="9301" spans="1:15" s="19" customFormat="1" ht="84" customHeight="1" x14ac:dyDescent="0.3">
      <c r="A9301" s="2">
        <v>9297</v>
      </c>
      <c r="B9301" s="66" t="s">
        <v>10935</v>
      </c>
      <c r="C9301" s="66" t="s">
        <v>10936</v>
      </c>
      <c r="D9301" s="11">
        <v>4958.1000000000004</v>
      </c>
      <c r="E9301" s="11">
        <v>4958.1000000000004</v>
      </c>
      <c r="F9301" s="3">
        <v>40282</v>
      </c>
      <c r="G9301" s="2"/>
      <c r="H9301" s="242" t="s">
        <v>22975</v>
      </c>
      <c r="I9301" s="242" t="s">
        <v>22977</v>
      </c>
      <c r="J9301" s="2" t="s">
        <v>13904</v>
      </c>
      <c r="K9301" s="2" t="s">
        <v>22281</v>
      </c>
      <c r="L9301" s="246" t="s">
        <v>19512</v>
      </c>
      <c r="M9301" s="18"/>
      <c r="N9301" s="18"/>
      <c r="O9301" s="18"/>
    </row>
    <row r="9302" spans="1:15" s="19" customFormat="1" ht="84" customHeight="1" x14ac:dyDescent="0.3">
      <c r="A9302" s="2">
        <v>9298</v>
      </c>
      <c r="B9302" s="66" t="s">
        <v>10937</v>
      </c>
      <c r="C9302" s="66" t="s">
        <v>10938</v>
      </c>
      <c r="D9302" s="11">
        <v>9632.69</v>
      </c>
      <c r="E9302" s="11">
        <v>9632.69</v>
      </c>
      <c r="F9302" s="3">
        <v>40282</v>
      </c>
      <c r="G9302" s="2"/>
      <c r="H9302" s="242" t="s">
        <v>22975</v>
      </c>
      <c r="I9302" s="242" t="s">
        <v>22977</v>
      </c>
      <c r="J9302" s="2" t="s">
        <v>13904</v>
      </c>
      <c r="K9302" s="2" t="s">
        <v>22281</v>
      </c>
      <c r="L9302" s="246" t="s">
        <v>19512</v>
      </c>
      <c r="M9302" s="18"/>
      <c r="N9302" s="18"/>
      <c r="O9302" s="18"/>
    </row>
    <row r="9303" spans="1:15" s="19" customFormat="1" ht="84" customHeight="1" x14ac:dyDescent="0.3">
      <c r="A9303" s="2">
        <v>9299</v>
      </c>
      <c r="B9303" s="66" t="s">
        <v>10937</v>
      </c>
      <c r="C9303" s="66" t="s">
        <v>10939</v>
      </c>
      <c r="D9303" s="11">
        <v>9632.69</v>
      </c>
      <c r="E9303" s="11">
        <v>9632.69</v>
      </c>
      <c r="F9303" s="3">
        <v>40282</v>
      </c>
      <c r="G9303" s="2"/>
      <c r="H9303" s="242" t="s">
        <v>22975</v>
      </c>
      <c r="I9303" s="242" t="s">
        <v>22977</v>
      </c>
      <c r="J9303" s="2" t="s">
        <v>13904</v>
      </c>
      <c r="K9303" s="2" t="s">
        <v>22281</v>
      </c>
      <c r="L9303" s="246" t="s">
        <v>19512</v>
      </c>
      <c r="M9303" s="18"/>
      <c r="N9303" s="18"/>
      <c r="O9303" s="18"/>
    </row>
    <row r="9304" spans="1:15" s="19" customFormat="1" ht="84" customHeight="1" x14ac:dyDescent="0.3">
      <c r="A9304" s="2">
        <v>9300</v>
      </c>
      <c r="B9304" s="66" t="s">
        <v>10937</v>
      </c>
      <c r="C9304" s="66" t="s">
        <v>10940</v>
      </c>
      <c r="D9304" s="11">
        <v>9632.69</v>
      </c>
      <c r="E9304" s="11">
        <v>9632.69</v>
      </c>
      <c r="F9304" s="3">
        <v>40282</v>
      </c>
      <c r="G9304" s="2"/>
      <c r="H9304" s="242" t="s">
        <v>22975</v>
      </c>
      <c r="I9304" s="242" t="s">
        <v>22977</v>
      </c>
      <c r="J9304" s="2" t="s">
        <v>13904</v>
      </c>
      <c r="K9304" s="2" t="s">
        <v>22281</v>
      </c>
      <c r="L9304" s="246" t="s">
        <v>19512</v>
      </c>
      <c r="M9304" s="18"/>
      <c r="N9304" s="18"/>
      <c r="O9304" s="18"/>
    </row>
    <row r="9305" spans="1:15" s="19" customFormat="1" ht="84" customHeight="1" x14ac:dyDescent="0.3">
      <c r="A9305" s="2">
        <v>9301</v>
      </c>
      <c r="B9305" s="66" t="s">
        <v>10937</v>
      </c>
      <c r="C9305" s="66" t="s">
        <v>10941</v>
      </c>
      <c r="D9305" s="11">
        <v>9632.69</v>
      </c>
      <c r="E9305" s="11">
        <v>9632.69</v>
      </c>
      <c r="F9305" s="3">
        <v>40282</v>
      </c>
      <c r="G9305" s="2"/>
      <c r="H9305" s="242" t="s">
        <v>22975</v>
      </c>
      <c r="I9305" s="242" t="s">
        <v>22977</v>
      </c>
      <c r="J9305" s="2" t="s">
        <v>13904</v>
      </c>
      <c r="K9305" s="2" t="s">
        <v>22281</v>
      </c>
      <c r="L9305" s="246" t="s">
        <v>19512</v>
      </c>
      <c r="M9305" s="18"/>
      <c r="N9305" s="18"/>
      <c r="O9305" s="18"/>
    </row>
    <row r="9306" spans="1:15" s="19" customFormat="1" ht="84" customHeight="1" x14ac:dyDescent="0.3">
      <c r="A9306" s="2">
        <v>9302</v>
      </c>
      <c r="B9306" s="66" t="s">
        <v>10942</v>
      </c>
      <c r="C9306" s="66" t="s">
        <v>7700</v>
      </c>
      <c r="D9306" s="11">
        <v>6421.8</v>
      </c>
      <c r="E9306" s="11">
        <v>6421.8</v>
      </c>
      <c r="F9306" s="3">
        <v>40282</v>
      </c>
      <c r="G9306" s="2"/>
      <c r="H9306" s="242" t="s">
        <v>22975</v>
      </c>
      <c r="I9306" s="242" t="s">
        <v>22977</v>
      </c>
      <c r="J9306" s="2" t="s">
        <v>13904</v>
      </c>
      <c r="K9306" s="2" t="s">
        <v>22281</v>
      </c>
      <c r="L9306" s="246" t="s">
        <v>19512</v>
      </c>
      <c r="M9306" s="18"/>
      <c r="N9306" s="18"/>
      <c r="O9306" s="18"/>
    </row>
    <row r="9307" spans="1:15" s="19" customFormat="1" ht="84" customHeight="1" x14ac:dyDescent="0.3">
      <c r="A9307" s="2">
        <v>9303</v>
      </c>
      <c r="B9307" s="66" t="s">
        <v>10942</v>
      </c>
      <c r="C9307" s="66" t="s">
        <v>5939</v>
      </c>
      <c r="D9307" s="11">
        <v>6421.8</v>
      </c>
      <c r="E9307" s="11">
        <v>6421.8</v>
      </c>
      <c r="F9307" s="3">
        <v>40282</v>
      </c>
      <c r="G9307" s="2"/>
      <c r="H9307" s="242" t="s">
        <v>22975</v>
      </c>
      <c r="I9307" s="242" t="s">
        <v>22977</v>
      </c>
      <c r="J9307" s="2" t="s">
        <v>13904</v>
      </c>
      <c r="K9307" s="2" t="s">
        <v>22281</v>
      </c>
      <c r="L9307" s="246" t="s">
        <v>19512</v>
      </c>
      <c r="M9307" s="18"/>
      <c r="N9307" s="18"/>
      <c r="O9307" s="18"/>
    </row>
    <row r="9308" spans="1:15" s="19" customFormat="1" ht="84" customHeight="1" x14ac:dyDescent="0.3">
      <c r="A9308" s="2">
        <v>9304</v>
      </c>
      <c r="B9308" s="66" t="s">
        <v>10942</v>
      </c>
      <c r="C9308" s="66" t="s">
        <v>7986</v>
      </c>
      <c r="D9308" s="11">
        <v>6421.8</v>
      </c>
      <c r="E9308" s="11">
        <v>6421.8</v>
      </c>
      <c r="F9308" s="3">
        <v>40282</v>
      </c>
      <c r="G9308" s="2"/>
      <c r="H9308" s="242" t="s">
        <v>22975</v>
      </c>
      <c r="I9308" s="242" t="s">
        <v>22977</v>
      </c>
      <c r="J9308" s="2" t="s">
        <v>13904</v>
      </c>
      <c r="K9308" s="2" t="s">
        <v>22281</v>
      </c>
      <c r="L9308" s="246" t="s">
        <v>19512</v>
      </c>
      <c r="M9308" s="18"/>
      <c r="N9308" s="18"/>
      <c r="O9308" s="18"/>
    </row>
    <row r="9309" spans="1:15" s="19" customFormat="1" ht="84" customHeight="1" x14ac:dyDescent="0.3">
      <c r="A9309" s="2">
        <v>9305</v>
      </c>
      <c r="B9309" s="66" t="s">
        <v>10942</v>
      </c>
      <c r="C9309" s="66" t="s">
        <v>10943</v>
      </c>
      <c r="D9309" s="11">
        <v>6421.8</v>
      </c>
      <c r="E9309" s="11">
        <v>6421.8</v>
      </c>
      <c r="F9309" s="3">
        <v>40282</v>
      </c>
      <c r="G9309" s="2"/>
      <c r="H9309" s="242" t="s">
        <v>22975</v>
      </c>
      <c r="I9309" s="242" t="s">
        <v>22977</v>
      </c>
      <c r="J9309" s="2" t="s">
        <v>13904</v>
      </c>
      <c r="K9309" s="2" t="s">
        <v>22281</v>
      </c>
      <c r="L9309" s="246" t="s">
        <v>19512</v>
      </c>
      <c r="M9309" s="18"/>
      <c r="N9309" s="18"/>
      <c r="O9309" s="18"/>
    </row>
    <row r="9310" spans="1:15" s="19" customFormat="1" ht="84" customHeight="1" x14ac:dyDescent="0.3">
      <c r="A9310" s="2">
        <v>9306</v>
      </c>
      <c r="B9310" s="66" t="s">
        <v>10944</v>
      </c>
      <c r="C9310" s="66" t="s">
        <v>10945</v>
      </c>
      <c r="D9310" s="11">
        <v>6421.79</v>
      </c>
      <c r="E9310" s="11">
        <v>6421.79</v>
      </c>
      <c r="F9310" s="3">
        <v>40282</v>
      </c>
      <c r="G9310" s="2"/>
      <c r="H9310" s="242" t="s">
        <v>22975</v>
      </c>
      <c r="I9310" s="242" t="s">
        <v>22977</v>
      </c>
      <c r="J9310" s="2" t="s">
        <v>13904</v>
      </c>
      <c r="K9310" s="2" t="s">
        <v>22281</v>
      </c>
      <c r="L9310" s="246" t="s">
        <v>19512</v>
      </c>
      <c r="M9310" s="18"/>
      <c r="N9310" s="18"/>
      <c r="O9310" s="18"/>
    </row>
    <row r="9311" spans="1:15" s="19" customFormat="1" ht="84" customHeight="1" x14ac:dyDescent="0.3">
      <c r="A9311" s="2">
        <v>9307</v>
      </c>
      <c r="B9311" s="66" t="s">
        <v>10946</v>
      </c>
      <c r="C9311" s="66" t="s">
        <v>3501</v>
      </c>
      <c r="D9311" s="11">
        <v>11852.4</v>
      </c>
      <c r="E9311" s="11">
        <v>11852.4</v>
      </c>
      <c r="F9311" s="3">
        <v>40282</v>
      </c>
      <c r="G9311" s="2"/>
      <c r="H9311" s="242" t="s">
        <v>22975</v>
      </c>
      <c r="I9311" s="242" t="s">
        <v>22977</v>
      </c>
      <c r="J9311" s="2" t="s">
        <v>13904</v>
      </c>
      <c r="K9311" s="2" t="s">
        <v>22281</v>
      </c>
      <c r="L9311" s="246" t="s">
        <v>19512</v>
      </c>
      <c r="M9311" s="18"/>
      <c r="N9311" s="18"/>
      <c r="O9311" s="18"/>
    </row>
    <row r="9312" spans="1:15" s="19" customFormat="1" ht="84" customHeight="1" x14ac:dyDescent="0.3">
      <c r="A9312" s="2">
        <v>9308</v>
      </c>
      <c r="B9312" s="66" t="s">
        <v>10947</v>
      </c>
      <c r="C9312" s="66" t="s">
        <v>5975</v>
      </c>
      <c r="D9312" s="11">
        <v>10915.8</v>
      </c>
      <c r="E9312" s="11">
        <v>10915.8</v>
      </c>
      <c r="F9312" s="3">
        <v>40282</v>
      </c>
      <c r="G9312" s="2"/>
      <c r="H9312" s="242" t="s">
        <v>22975</v>
      </c>
      <c r="I9312" s="242" t="s">
        <v>22977</v>
      </c>
      <c r="J9312" s="2" t="s">
        <v>13904</v>
      </c>
      <c r="K9312" s="2" t="s">
        <v>22281</v>
      </c>
      <c r="L9312" s="246" t="s">
        <v>19512</v>
      </c>
      <c r="M9312" s="18"/>
      <c r="N9312" s="18"/>
      <c r="O9312" s="18"/>
    </row>
    <row r="9313" spans="1:15" s="19" customFormat="1" ht="84" customHeight="1" x14ac:dyDescent="0.3">
      <c r="A9313" s="2">
        <v>9309</v>
      </c>
      <c r="B9313" s="66" t="s">
        <v>10948</v>
      </c>
      <c r="C9313" s="66" t="s">
        <v>10949</v>
      </c>
      <c r="D9313" s="11">
        <v>12735.1</v>
      </c>
      <c r="E9313" s="11">
        <v>12735.1</v>
      </c>
      <c r="F9313" s="3">
        <v>40282</v>
      </c>
      <c r="G9313" s="2"/>
      <c r="H9313" s="242" t="s">
        <v>22975</v>
      </c>
      <c r="I9313" s="242" t="s">
        <v>22977</v>
      </c>
      <c r="J9313" s="2" t="s">
        <v>13904</v>
      </c>
      <c r="K9313" s="2" t="s">
        <v>22281</v>
      </c>
      <c r="L9313" s="246" t="s">
        <v>19512</v>
      </c>
      <c r="M9313" s="18"/>
      <c r="N9313" s="18"/>
      <c r="O9313" s="18"/>
    </row>
    <row r="9314" spans="1:15" s="19" customFormat="1" ht="84" customHeight="1" x14ac:dyDescent="0.3">
      <c r="A9314" s="2">
        <v>9310</v>
      </c>
      <c r="B9314" s="66" t="s">
        <v>10948</v>
      </c>
      <c r="C9314" s="66" t="s">
        <v>10950</v>
      </c>
      <c r="D9314" s="11">
        <v>12735.1</v>
      </c>
      <c r="E9314" s="11">
        <v>12735.1</v>
      </c>
      <c r="F9314" s="3">
        <v>40282</v>
      </c>
      <c r="G9314" s="2"/>
      <c r="H9314" s="242" t="s">
        <v>22975</v>
      </c>
      <c r="I9314" s="242" t="s">
        <v>22977</v>
      </c>
      <c r="J9314" s="2" t="s">
        <v>13904</v>
      </c>
      <c r="K9314" s="2" t="s">
        <v>22281</v>
      </c>
      <c r="L9314" s="246" t="s">
        <v>19512</v>
      </c>
      <c r="M9314" s="18"/>
      <c r="N9314" s="18"/>
      <c r="O9314" s="18"/>
    </row>
    <row r="9315" spans="1:15" s="19" customFormat="1" ht="84" customHeight="1" x14ac:dyDescent="0.3">
      <c r="A9315" s="2">
        <v>9311</v>
      </c>
      <c r="B9315" s="66" t="s">
        <v>10948</v>
      </c>
      <c r="C9315" s="66" t="s">
        <v>10951</v>
      </c>
      <c r="D9315" s="11">
        <v>12735.1</v>
      </c>
      <c r="E9315" s="11">
        <v>12735.1</v>
      </c>
      <c r="F9315" s="3">
        <v>40282</v>
      </c>
      <c r="G9315" s="2"/>
      <c r="H9315" s="242" t="s">
        <v>22975</v>
      </c>
      <c r="I9315" s="242" t="s">
        <v>22977</v>
      </c>
      <c r="J9315" s="2" t="s">
        <v>13904</v>
      </c>
      <c r="K9315" s="2" t="s">
        <v>22281</v>
      </c>
      <c r="L9315" s="246" t="s">
        <v>19512</v>
      </c>
      <c r="M9315" s="18"/>
      <c r="N9315" s="18"/>
      <c r="O9315" s="18"/>
    </row>
    <row r="9316" spans="1:15" s="19" customFormat="1" ht="84" customHeight="1" x14ac:dyDescent="0.3">
      <c r="A9316" s="2">
        <v>9312</v>
      </c>
      <c r="B9316" s="66" t="s">
        <v>10948</v>
      </c>
      <c r="C9316" s="66" t="s">
        <v>10952</v>
      </c>
      <c r="D9316" s="11">
        <v>12735.1</v>
      </c>
      <c r="E9316" s="11">
        <v>12735.1</v>
      </c>
      <c r="F9316" s="3">
        <v>40282</v>
      </c>
      <c r="G9316" s="2"/>
      <c r="H9316" s="242" t="s">
        <v>22975</v>
      </c>
      <c r="I9316" s="242" t="s">
        <v>22977</v>
      </c>
      <c r="J9316" s="2" t="s">
        <v>13904</v>
      </c>
      <c r="K9316" s="2" t="s">
        <v>22281</v>
      </c>
      <c r="L9316" s="246" t="s">
        <v>19512</v>
      </c>
      <c r="M9316" s="18"/>
      <c r="N9316" s="18"/>
      <c r="O9316" s="18"/>
    </row>
    <row r="9317" spans="1:15" s="19" customFormat="1" ht="84" customHeight="1" x14ac:dyDescent="0.3">
      <c r="A9317" s="2">
        <v>9313</v>
      </c>
      <c r="B9317" s="66" t="s">
        <v>10948</v>
      </c>
      <c r="C9317" s="66" t="s">
        <v>10953</v>
      </c>
      <c r="D9317" s="11">
        <v>12735.1</v>
      </c>
      <c r="E9317" s="11">
        <v>12735.1</v>
      </c>
      <c r="F9317" s="3">
        <v>40282</v>
      </c>
      <c r="G9317" s="2"/>
      <c r="H9317" s="242" t="s">
        <v>22975</v>
      </c>
      <c r="I9317" s="242" t="s">
        <v>22977</v>
      </c>
      <c r="J9317" s="2" t="s">
        <v>13904</v>
      </c>
      <c r="K9317" s="2" t="s">
        <v>22281</v>
      </c>
      <c r="L9317" s="246" t="s">
        <v>19512</v>
      </c>
      <c r="M9317" s="18"/>
      <c r="N9317" s="18"/>
      <c r="O9317" s="18"/>
    </row>
    <row r="9318" spans="1:15" s="19" customFormat="1" ht="84" customHeight="1" x14ac:dyDescent="0.3">
      <c r="A9318" s="2">
        <v>9314</v>
      </c>
      <c r="B9318" s="66" t="s">
        <v>10954</v>
      </c>
      <c r="C9318" s="66" t="s">
        <v>10955</v>
      </c>
      <c r="D9318" s="11">
        <v>10396</v>
      </c>
      <c r="E9318" s="11">
        <v>10396</v>
      </c>
      <c r="F9318" s="3">
        <v>40282</v>
      </c>
      <c r="G9318" s="2"/>
      <c r="H9318" s="242" t="s">
        <v>22975</v>
      </c>
      <c r="I9318" s="242" t="s">
        <v>22977</v>
      </c>
      <c r="J9318" s="2" t="s">
        <v>13904</v>
      </c>
      <c r="K9318" s="2" t="s">
        <v>22281</v>
      </c>
      <c r="L9318" s="246" t="s">
        <v>19512</v>
      </c>
      <c r="M9318" s="18"/>
      <c r="N9318" s="18"/>
      <c r="O9318" s="18"/>
    </row>
    <row r="9319" spans="1:15" s="19" customFormat="1" ht="84" customHeight="1" x14ac:dyDescent="0.3">
      <c r="A9319" s="2">
        <v>9315</v>
      </c>
      <c r="B9319" s="66" t="s">
        <v>10954</v>
      </c>
      <c r="C9319" s="66" t="s">
        <v>10956</v>
      </c>
      <c r="D9319" s="11">
        <v>10396</v>
      </c>
      <c r="E9319" s="11">
        <v>10396</v>
      </c>
      <c r="F9319" s="3">
        <v>40282</v>
      </c>
      <c r="G9319" s="2"/>
      <c r="H9319" s="242" t="s">
        <v>22975</v>
      </c>
      <c r="I9319" s="242" t="s">
        <v>22977</v>
      </c>
      <c r="J9319" s="2" t="s">
        <v>13904</v>
      </c>
      <c r="K9319" s="2" t="s">
        <v>22281</v>
      </c>
      <c r="L9319" s="246" t="s">
        <v>19512</v>
      </c>
      <c r="M9319" s="18"/>
      <c r="N9319" s="18"/>
      <c r="O9319" s="18"/>
    </row>
    <row r="9320" spans="1:15" s="19" customFormat="1" ht="84" customHeight="1" x14ac:dyDescent="0.3">
      <c r="A9320" s="2">
        <v>9316</v>
      </c>
      <c r="B9320" s="66" t="s">
        <v>10954</v>
      </c>
      <c r="C9320" s="66" t="s">
        <v>10957</v>
      </c>
      <c r="D9320" s="11">
        <v>10396</v>
      </c>
      <c r="E9320" s="11">
        <v>10396</v>
      </c>
      <c r="F9320" s="3">
        <v>40282</v>
      </c>
      <c r="G9320" s="2"/>
      <c r="H9320" s="242" t="s">
        <v>22975</v>
      </c>
      <c r="I9320" s="242" t="s">
        <v>22977</v>
      </c>
      <c r="J9320" s="2" t="s">
        <v>13904</v>
      </c>
      <c r="K9320" s="2" t="s">
        <v>22281</v>
      </c>
      <c r="L9320" s="246" t="s">
        <v>19512</v>
      </c>
      <c r="M9320" s="18"/>
      <c r="N9320" s="18"/>
      <c r="O9320" s="18"/>
    </row>
    <row r="9321" spans="1:15" s="19" customFormat="1" ht="84" customHeight="1" x14ac:dyDescent="0.3">
      <c r="A9321" s="2">
        <v>9317</v>
      </c>
      <c r="B9321" s="66" t="s">
        <v>10954</v>
      </c>
      <c r="C9321" s="66" t="s">
        <v>10958</v>
      </c>
      <c r="D9321" s="11">
        <v>10396</v>
      </c>
      <c r="E9321" s="11">
        <v>10396</v>
      </c>
      <c r="F9321" s="3">
        <v>40282</v>
      </c>
      <c r="G9321" s="2"/>
      <c r="H9321" s="242" t="s">
        <v>22975</v>
      </c>
      <c r="I9321" s="242" t="s">
        <v>22977</v>
      </c>
      <c r="J9321" s="2" t="s">
        <v>13904</v>
      </c>
      <c r="K9321" s="2" t="s">
        <v>22281</v>
      </c>
      <c r="L9321" s="246" t="s">
        <v>19512</v>
      </c>
      <c r="M9321" s="18"/>
      <c r="N9321" s="18"/>
      <c r="O9321" s="18"/>
    </row>
    <row r="9322" spans="1:15" s="19" customFormat="1" ht="84" customHeight="1" x14ac:dyDescent="0.3">
      <c r="A9322" s="2">
        <v>9318</v>
      </c>
      <c r="B9322" s="66" t="s">
        <v>10959</v>
      </c>
      <c r="C9322" s="66" t="s">
        <v>6840</v>
      </c>
      <c r="D9322" s="11">
        <v>10915.8</v>
      </c>
      <c r="E9322" s="11">
        <v>10915.8</v>
      </c>
      <c r="F9322" s="3">
        <v>40282</v>
      </c>
      <c r="G9322" s="2"/>
      <c r="H9322" s="242" t="s">
        <v>22975</v>
      </c>
      <c r="I9322" s="242" t="s">
        <v>22977</v>
      </c>
      <c r="J9322" s="2" t="s">
        <v>13904</v>
      </c>
      <c r="K9322" s="2" t="s">
        <v>22281</v>
      </c>
      <c r="L9322" s="246" t="s">
        <v>19512</v>
      </c>
      <c r="M9322" s="18"/>
      <c r="N9322" s="18"/>
      <c r="O9322" s="18"/>
    </row>
    <row r="9323" spans="1:15" s="19" customFormat="1" ht="84" customHeight="1" x14ac:dyDescent="0.3">
      <c r="A9323" s="2">
        <v>9319</v>
      </c>
      <c r="B9323" s="66" t="s">
        <v>10959</v>
      </c>
      <c r="C9323" s="66" t="s">
        <v>6843</v>
      </c>
      <c r="D9323" s="11">
        <v>10915.8</v>
      </c>
      <c r="E9323" s="11">
        <v>10915.8</v>
      </c>
      <c r="F9323" s="3">
        <v>40282</v>
      </c>
      <c r="G9323" s="2"/>
      <c r="H9323" s="242" t="s">
        <v>22975</v>
      </c>
      <c r="I9323" s="242" t="s">
        <v>22977</v>
      </c>
      <c r="J9323" s="2" t="s">
        <v>13904</v>
      </c>
      <c r="K9323" s="2" t="s">
        <v>22281</v>
      </c>
      <c r="L9323" s="246" t="s">
        <v>19512</v>
      </c>
      <c r="M9323" s="18"/>
      <c r="N9323" s="18"/>
      <c r="O9323" s="18"/>
    </row>
    <row r="9324" spans="1:15" s="19" customFormat="1" ht="84" customHeight="1" x14ac:dyDescent="0.3">
      <c r="A9324" s="2">
        <v>9320</v>
      </c>
      <c r="B9324" s="66" t="s">
        <v>10959</v>
      </c>
      <c r="C9324" s="66" t="s">
        <v>10960</v>
      </c>
      <c r="D9324" s="11">
        <v>10915.8</v>
      </c>
      <c r="E9324" s="11">
        <v>10915.8</v>
      </c>
      <c r="F9324" s="3">
        <v>40282</v>
      </c>
      <c r="G9324" s="2"/>
      <c r="H9324" s="242" t="s">
        <v>22975</v>
      </c>
      <c r="I9324" s="242" t="s">
        <v>22977</v>
      </c>
      <c r="J9324" s="2" t="s">
        <v>13904</v>
      </c>
      <c r="K9324" s="2" t="s">
        <v>22281</v>
      </c>
      <c r="L9324" s="246" t="s">
        <v>19512</v>
      </c>
      <c r="M9324" s="18"/>
      <c r="N9324" s="18"/>
      <c r="O9324" s="18"/>
    </row>
    <row r="9325" spans="1:15" s="19" customFormat="1" ht="84" customHeight="1" x14ac:dyDescent="0.3">
      <c r="A9325" s="2">
        <v>9321</v>
      </c>
      <c r="B9325" s="66" t="s">
        <v>10959</v>
      </c>
      <c r="C9325" s="66" t="s">
        <v>10961</v>
      </c>
      <c r="D9325" s="11">
        <v>10915.8</v>
      </c>
      <c r="E9325" s="11">
        <v>10915.8</v>
      </c>
      <c r="F9325" s="3">
        <v>40282</v>
      </c>
      <c r="G9325" s="2"/>
      <c r="H9325" s="242" t="s">
        <v>22975</v>
      </c>
      <c r="I9325" s="242" t="s">
        <v>22977</v>
      </c>
      <c r="J9325" s="2" t="s">
        <v>13904</v>
      </c>
      <c r="K9325" s="2" t="s">
        <v>22281</v>
      </c>
      <c r="L9325" s="246" t="s">
        <v>19512</v>
      </c>
      <c r="M9325" s="18"/>
      <c r="N9325" s="18"/>
      <c r="O9325" s="18"/>
    </row>
    <row r="9326" spans="1:15" s="19" customFormat="1" ht="84" customHeight="1" x14ac:dyDescent="0.3">
      <c r="A9326" s="2">
        <v>9322</v>
      </c>
      <c r="B9326" s="66" t="s">
        <v>10959</v>
      </c>
      <c r="C9326" s="66" t="s">
        <v>6850</v>
      </c>
      <c r="D9326" s="11">
        <v>10915.8</v>
      </c>
      <c r="E9326" s="11">
        <v>10915.8</v>
      </c>
      <c r="F9326" s="3">
        <v>40282</v>
      </c>
      <c r="G9326" s="2"/>
      <c r="H9326" s="242" t="s">
        <v>22975</v>
      </c>
      <c r="I9326" s="242" t="s">
        <v>22977</v>
      </c>
      <c r="J9326" s="2" t="s">
        <v>13904</v>
      </c>
      <c r="K9326" s="2" t="s">
        <v>22281</v>
      </c>
      <c r="L9326" s="246" t="s">
        <v>19512</v>
      </c>
      <c r="M9326" s="18"/>
      <c r="N9326" s="18"/>
      <c r="O9326" s="18"/>
    </row>
    <row r="9327" spans="1:15" s="19" customFormat="1" ht="84" customHeight="1" x14ac:dyDescent="0.3">
      <c r="A9327" s="2">
        <v>9323</v>
      </c>
      <c r="B9327" s="66" t="s">
        <v>10959</v>
      </c>
      <c r="C9327" s="66" t="s">
        <v>10962</v>
      </c>
      <c r="D9327" s="11">
        <v>10915.8</v>
      </c>
      <c r="E9327" s="11">
        <v>10915.8</v>
      </c>
      <c r="F9327" s="3">
        <v>40282</v>
      </c>
      <c r="G9327" s="2"/>
      <c r="H9327" s="242" t="s">
        <v>22975</v>
      </c>
      <c r="I9327" s="242" t="s">
        <v>22977</v>
      </c>
      <c r="J9327" s="2" t="s">
        <v>13904</v>
      </c>
      <c r="K9327" s="2" t="s">
        <v>22281</v>
      </c>
      <c r="L9327" s="246" t="s">
        <v>19512</v>
      </c>
      <c r="M9327" s="18"/>
      <c r="N9327" s="18"/>
      <c r="O9327" s="18"/>
    </row>
    <row r="9328" spans="1:15" s="19" customFormat="1" ht="84" customHeight="1" x14ac:dyDescent="0.3">
      <c r="A9328" s="2">
        <v>9324</v>
      </c>
      <c r="B9328" s="66" t="s">
        <v>10959</v>
      </c>
      <c r="C9328" s="66" t="s">
        <v>10963</v>
      </c>
      <c r="D9328" s="11">
        <v>10915.8</v>
      </c>
      <c r="E9328" s="11">
        <v>10915.8</v>
      </c>
      <c r="F9328" s="3">
        <v>40282</v>
      </c>
      <c r="G9328" s="2"/>
      <c r="H9328" s="242" t="s">
        <v>22975</v>
      </c>
      <c r="I9328" s="242" t="s">
        <v>22977</v>
      </c>
      <c r="J9328" s="2" t="s">
        <v>13904</v>
      </c>
      <c r="K9328" s="2" t="s">
        <v>22281</v>
      </c>
      <c r="L9328" s="246" t="s">
        <v>19512</v>
      </c>
      <c r="M9328" s="18"/>
      <c r="N9328" s="18"/>
      <c r="O9328" s="18"/>
    </row>
    <row r="9329" spans="1:15" s="19" customFormat="1" ht="84" customHeight="1" x14ac:dyDescent="0.3">
      <c r="A9329" s="2">
        <v>9325</v>
      </c>
      <c r="B9329" s="66" t="s">
        <v>10964</v>
      </c>
      <c r="C9329" s="66" t="s">
        <v>10965</v>
      </c>
      <c r="D9329" s="11">
        <v>10915.8</v>
      </c>
      <c r="E9329" s="11">
        <v>10915.8</v>
      </c>
      <c r="F9329" s="3">
        <v>40282</v>
      </c>
      <c r="G9329" s="2"/>
      <c r="H9329" s="242" t="s">
        <v>22975</v>
      </c>
      <c r="I9329" s="242" t="s">
        <v>22977</v>
      </c>
      <c r="J9329" s="2" t="s">
        <v>13904</v>
      </c>
      <c r="K9329" s="2" t="s">
        <v>22281</v>
      </c>
      <c r="L9329" s="246" t="s">
        <v>19512</v>
      </c>
      <c r="M9329" s="18"/>
      <c r="N9329" s="18"/>
      <c r="O9329" s="18"/>
    </row>
    <row r="9330" spans="1:15" s="19" customFormat="1" ht="84" customHeight="1" x14ac:dyDescent="0.3">
      <c r="A9330" s="2">
        <v>9326</v>
      </c>
      <c r="B9330" s="66" t="s">
        <v>10964</v>
      </c>
      <c r="C9330" s="66" t="s">
        <v>10966</v>
      </c>
      <c r="D9330" s="11">
        <v>10915.8</v>
      </c>
      <c r="E9330" s="11">
        <v>10915.8</v>
      </c>
      <c r="F9330" s="3">
        <v>40282</v>
      </c>
      <c r="G9330" s="2"/>
      <c r="H9330" s="242" t="s">
        <v>22975</v>
      </c>
      <c r="I9330" s="242" t="s">
        <v>22977</v>
      </c>
      <c r="J9330" s="2" t="s">
        <v>13904</v>
      </c>
      <c r="K9330" s="2" t="s">
        <v>22281</v>
      </c>
      <c r="L9330" s="246" t="s">
        <v>19512</v>
      </c>
      <c r="M9330" s="18"/>
      <c r="N9330" s="18"/>
      <c r="O9330" s="18"/>
    </row>
    <row r="9331" spans="1:15" s="19" customFormat="1" ht="84" customHeight="1" x14ac:dyDescent="0.3">
      <c r="A9331" s="2">
        <v>9327</v>
      </c>
      <c r="B9331" s="66" t="s">
        <v>10964</v>
      </c>
      <c r="C9331" s="66" t="s">
        <v>10967</v>
      </c>
      <c r="D9331" s="11">
        <v>10915.8</v>
      </c>
      <c r="E9331" s="11">
        <v>10915.8</v>
      </c>
      <c r="F9331" s="3">
        <v>40282</v>
      </c>
      <c r="G9331" s="2"/>
      <c r="H9331" s="242" t="s">
        <v>22975</v>
      </c>
      <c r="I9331" s="242" t="s">
        <v>22977</v>
      </c>
      <c r="J9331" s="2" t="s">
        <v>13904</v>
      </c>
      <c r="K9331" s="2" t="s">
        <v>22281</v>
      </c>
      <c r="L9331" s="246" t="s">
        <v>19512</v>
      </c>
      <c r="M9331" s="18"/>
      <c r="N9331" s="18"/>
      <c r="O9331" s="18"/>
    </row>
    <row r="9332" spans="1:15" s="19" customFormat="1" ht="84" customHeight="1" x14ac:dyDescent="0.3">
      <c r="A9332" s="2">
        <v>9328</v>
      </c>
      <c r="B9332" s="66" t="s">
        <v>10968</v>
      </c>
      <c r="C9332" s="66" t="s">
        <v>7057</v>
      </c>
      <c r="D9332" s="11">
        <v>9964.5</v>
      </c>
      <c r="E9332" s="11">
        <v>9964.5</v>
      </c>
      <c r="F9332" s="3">
        <v>40282</v>
      </c>
      <c r="G9332" s="2"/>
      <c r="H9332" s="242" t="s">
        <v>22975</v>
      </c>
      <c r="I9332" s="242" t="s">
        <v>22977</v>
      </c>
      <c r="J9332" s="2" t="s">
        <v>13904</v>
      </c>
      <c r="K9332" s="2" t="s">
        <v>22281</v>
      </c>
      <c r="L9332" s="246" t="s">
        <v>19512</v>
      </c>
      <c r="M9332" s="18"/>
      <c r="N9332" s="18"/>
      <c r="O9332" s="18"/>
    </row>
    <row r="9333" spans="1:15" s="19" customFormat="1" ht="84" customHeight="1" x14ac:dyDescent="0.3">
      <c r="A9333" s="2">
        <v>9329</v>
      </c>
      <c r="B9333" s="66" t="s">
        <v>10969</v>
      </c>
      <c r="C9333" s="66" t="s">
        <v>10970</v>
      </c>
      <c r="D9333" s="11">
        <v>9964.5</v>
      </c>
      <c r="E9333" s="11">
        <v>9964.5</v>
      </c>
      <c r="F9333" s="3">
        <v>40282</v>
      </c>
      <c r="G9333" s="2"/>
      <c r="H9333" s="242" t="s">
        <v>22975</v>
      </c>
      <c r="I9333" s="242" t="s">
        <v>22977</v>
      </c>
      <c r="J9333" s="2" t="s">
        <v>13904</v>
      </c>
      <c r="K9333" s="2" t="s">
        <v>22281</v>
      </c>
      <c r="L9333" s="246" t="s">
        <v>19512</v>
      </c>
      <c r="M9333" s="18"/>
      <c r="N9333" s="18"/>
      <c r="O9333" s="18"/>
    </row>
    <row r="9334" spans="1:15" s="19" customFormat="1" ht="84" customHeight="1" x14ac:dyDescent="0.3">
      <c r="A9334" s="2">
        <v>9330</v>
      </c>
      <c r="B9334" s="66" t="s">
        <v>10971</v>
      </c>
      <c r="C9334" s="66" t="s">
        <v>8242</v>
      </c>
      <c r="D9334" s="11">
        <v>12455.63</v>
      </c>
      <c r="E9334" s="11">
        <v>12455.63</v>
      </c>
      <c r="F9334" s="3">
        <v>40282</v>
      </c>
      <c r="G9334" s="2"/>
      <c r="H9334" s="242" t="s">
        <v>22975</v>
      </c>
      <c r="I9334" s="242" t="s">
        <v>22977</v>
      </c>
      <c r="J9334" s="2" t="s">
        <v>13904</v>
      </c>
      <c r="K9334" s="2" t="s">
        <v>22281</v>
      </c>
      <c r="L9334" s="246" t="s">
        <v>19512</v>
      </c>
      <c r="M9334" s="18"/>
      <c r="N9334" s="18"/>
      <c r="O9334" s="18"/>
    </row>
    <row r="9335" spans="1:15" s="19" customFormat="1" ht="84" customHeight="1" x14ac:dyDescent="0.3">
      <c r="A9335" s="2">
        <v>9331</v>
      </c>
      <c r="B9335" s="66" t="s">
        <v>10972</v>
      </c>
      <c r="C9335" s="66" t="s">
        <v>10973</v>
      </c>
      <c r="D9335" s="11">
        <v>9964.5</v>
      </c>
      <c r="E9335" s="11">
        <v>9964.5</v>
      </c>
      <c r="F9335" s="3">
        <v>40282</v>
      </c>
      <c r="G9335" s="2"/>
      <c r="H9335" s="242" t="s">
        <v>22975</v>
      </c>
      <c r="I9335" s="242" t="s">
        <v>22977</v>
      </c>
      <c r="J9335" s="2" t="s">
        <v>13904</v>
      </c>
      <c r="K9335" s="2" t="s">
        <v>22281</v>
      </c>
      <c r="L9335" s="246" t="s">
        <v>19512</v>
      </c>
      <c r="M9335" s="18"/>
      <c r="N9335" s="18"/>
      <c r="O9335" s="18"/>
    </row>
    <row r="9336" spans="1:15" s="19" customFormat="1" ht="84" customHeight="1" x14ac:dyDescent="0.3">
      <c r="A9336" s="2">
        <v>9332</v>
      </c>
      <c r="B9336" s="66" t="s">
        <v>10974</v>
      </c>
      <c r="C9336" s="66" t="s">
        <v>8382</v>
      </c>
      <c r="D9336" s="11">
        <v>9964.5</v>
      </c>
      <c r="E9336" s="11">
        <v>9964.5</v>
      </c>
      <c r="F9336" s="3">
        <v>40282</v>
      </c>
      <c r="G9336" s="2"/>
      <c r="H9336" s="242" t="s">
        <v>22975</v>
      </c>
      <c r="I9336" s="242" t="s">
        <v>22977</v>
      </c>
      <c r="J9336" s="2" t="s">
        <v>13904</v>
      </c>
      <c r="K9336" s="2" t="s">
        <v>22281</v>
      </c>
      <c r="L9336" s="246" t="s">
        <v>19512</v>
      </c>
      <c r="M9336" s="18"/>
      <c r="N9336" s="18"/>
      <c r="O9336" s="18"/>
    </row>
    <row r="9337" spans="1:15" s="19" customFormat="1" ht="84" customHeight="1" x14ac:dyDescent="0.3">
      <c r="A9337" s="2">
        <v>9333</v>
      </c>
      <c r="B9337" s="66" t="s">
        <v>10975</v>
      </c>
      <c r="C9337" s="66" t="s">
        <v>10722</v>
      </c>
      <c r="D9337" s="11">
        <v>3572.1</v>
      </c>
      <c r="E9337" s="11">
        <v>3572.1</v>
      </c>
      <c r="F9337" s="3">
        <v>40282</v>
      </c>
      <c r="G9337" s="2"/>
      <c r="H9337" s="242" t="s">
        <v>22975</v>
      </c>
      <c r="I9337" s="242" t="s">
        <v>22977</v>
      </c>
      <c r="J9337" s="2" t="s">
        <v>13904</v>
      </c>
      <c r="K9337" s="2" t="s">
        <v>22281</v>
      </c>
      <c r="L9337" s="246" t="s">
        <v>19512</v>
      </c>
      <c r="M9337" s="18"/>
      <c r="N9337" s="18"/>
      <c r="O9337" s="18"/>
    </row>
    <row r="9338" spans="1:15" s="19" customFormat="1" ht="84" customHeight="1" x14ac:dyDescent="0.3">
      <c r="A9338" s="2">
        <v>9334</v>
      </c>
      <c r="B9338" s="66" t="s">
        <v>10867</v>
      </c>
      <c r="C9338" s="66" t="s">
        <v>10976</v>
      </c>
      <c r="D9338" s="11">
        <v>3572.09</v>
      </c>
      <c r="E9338" s="11">
        <v>3572.09</v>
      </c>
      <c r="F9338" s="3">
        <v>40282</v>
      </c>
      <c r="G9338" s="2"/>
      <c r="H9338" s="242" t="s">
        <v>22975</v>
      </c>
      <c r="I9338" s="242" t="s">
        <v>22977</v>
      </c>
      <c r="J9338" s="2" t="s">
        <v>13904</v>
      </c>
      <c r="K9338" s="2" t="s">
        <v>22281</v>
      </c>
      <c r="L9338" s="246" t="s">
        <v>19512</v>
      </c>
      <c r="M9338" s="18"/>
      <c r="N9338" s="18"/>
      <c r="O9338" s="18"/>
    </row>
    <row r="9339" spans="1:15" s="19" customFormat="1" ht="84" customHeight="1" x14ac:dyDescent="0.3">
      <c r="A9339" s="2">
        <v>9335</v>
      </c>
      <c r="B9339" s="66" t="s">
        <v>10977</v>
      </c>
      <c r="C9339" s="66" t="s">
        <v>10978</v>
      </c>
      <c r="D9339" s="11">
        <v>5300</v>
      </c>
      <c r="E9339" s="11">
        <v>5300</v>
      </c>
      <c r="F9339" s="3">
        <v>41993</v>
      </c>
      <c r="G9339" s="2"/>
      <c r="H9339" s="242" t="s">
        <v>22975</v>
      </c>
      <c r="I9339" s="242" t="s">
        <v>22977</v>
      </c>
      <c r="J9339" s="2" t="s">
        <v>13904</v>
      </c>
      <c r="K9339" s="2" t="s">
        <v>22281</v>
      </c>
      <c r="L9339" s="246" t="s">
        <v>19512</v>
      </c>
      <c r="M9339" s="18"/>
      <c r="N9339" s="18"/>
      <c r="O9339" s="18"/>
    </row>
    <row r="9340" spans="1:15" s="19" customFormat="1" ht="84" customHeight="1" x14ac:dyDescent="0.3">
      <c r="A9340" s="2">
        <v>9336</v>
      </c>
      <c r="B9340" s="66" t="s">
        <v>10979</v>
      </c>
      <c r="C9340" s="66" t="s">
        <v>10980</v>
      </c>
      <c r="D9340" s="11">
        <v>6300</v>
      </c>
      <c r="E9340" s="11">
        <v>6300</v>
      </c>
      <c r="F9340" s="3">
        <v>41993</v>
      </c>
      <c r="G9340" s="2"/>
      <c r="H9340" s="242" t="s">
        <v>22975</v>
      </c>
      <c r="I9340" s="242" t="s">
        <v>22977</v>
      </c>
      <c r="J9340" s="2" t="s">
        <v>13904</v>
      </c>
      <c r="K9340" s="2" t="s">
        <v>22281</v>
      </c>
      <c r="L9340" s="246" t="s">
        <v>19512</v>
      </c>
      <c r="M9340" s="18"/>
      <c r="N9340" s="18"/>
      <c r="O9340" s="18"/>
    </row>
    <row r="9341" spans="1:15" s="19" customFormat="1" ht="84" customHeight="1" x14ac:dyDescent="0.3">
      <c r="A9341" s="2">
        <v>9337</v>
      </c>
      <c r="B9341" s="66" t="s">
        <v>10981</v>
      </c>
      <c r="C9341" s="66" t="s">
        <v>10982</v>
      </c>
      <c r="D9341" s="11">
        <v>21332.93</v>
      </c>
      <c r="E9341" s="11">
        <v>21332.93</v>
      </c>
      <c r="F9341" s="3">
        <v>41272</v>
      </c>
      <c r="G9341" s="2"/>
      <c r="H9341" s="242" t="s">
        <v>22975</v>
      </c>
      <c r="I9341" s="242" t="s">
        <v>22977</v>
      </c>
      <c r="J9341" s="2" t="s">
        <v>13904</v>
      </c>
      <c r="K9341" s="2" t="s">
        <v>22281</v>
      </c>
      <c r="L9341" s="246" t="s">
        <v>19512</v>
      </c>
      <c r="M9341" s="18"/>
      <c r="N9341" s="18"/>
      <c r="O9341" s="18"/>
    </row>
    <row r="9342" spans="1:15" s="19" customFormat="1" ht="84" customHeight="1" x14ac:dyDescent="0.3">
      <c r="A9342" s="2">
        <v>9338</v>
      </c>
      <c r="B9342" s="66" t="s">
        <v>10983</v>
      </c>
      <c r="C9342" s="66" t="s">
        <v>10984</v>
      </c>
      <c r="D9342" s="11">
        <v>7108.79</v>
      </c>
      <c r="E9342" s="11">
        <v>7108.79</v>
      </c>
      <c r="F9342" s="3">
        <v>41272</v>
      </c>
      <c r="G9342" s="2"/>
      <c r="H9342" s="242" t="s">
        <v>22975</v>
      </c>
      <c r="I9342" s="242" t="s">
        <v>22977</v>
      </c>
      <c r="J9342" s="2" t="s">
        <v>13904</v>
      </c>
      <c r="K9342" s="2" t="s">
        <v>22281</v>
      </c>
      <c r="L9342" s="246" t="s">
        <v>19512</v>
      </c>
      <c r="M9342" s="18"/>
      <c r="N9342" s="18"/>
      <c r="O9342" s="18"/>
    </row>
    <row r="9343" spans="1:15" s="19" customFormat="1" ht="84" customHeight="1" x14ac:dyDescent="0.3">
      <c r="A9343" s="2">
        <v>9339</v>
      </c>
      <c r="B9343" s="66" t="s">
        <v>10985</v>
      </c>
      <c r="C9343" s="66" t="s">
        <v>10986</v>
      </c>
      <c r="D9343" s="11">
        <v>6421.8</v>
      </c>
      <c r="E9343" s="11">
        <v>6421.8</v>
      </c>
      <c r="F9343" s="3">
        <v>40282</v>
      </c>
      <c r="G9343" s="2"/>
      <c r="H9343" s="242" t="s">
        <v>22975</v>
      </c>
      <c r="I9343" s="242" t="s">
        <v>22977</v>
      </c>
      <c r="J9343" s="2" t="s">
        <v>13904</v>
      </c>
      <c r="K9343" s="2" t="s">
        <v>22281</v>
      </c>
      <c r="L9343" s="246" t="s">
        <v>19512</v>
      </c>
      <c r="M9343" s="18"/>
      <c r="N9343" s="18"/>
      <c r="O9343" s="18"/>
    </row>
    <row r="9344" spans="1:15" s="19" customFormat="1" ht="84" customHeight="1" x14ac:dyDescent="0.3">
      <c r="A9344" s="2">
        <v>9340</v>
      </c>
      <c r="B9344" s="66" t="s">
        <v>10987</v>
      </c>
      <c r="C9344" s="66" t="s">
        <v>10988</v>
      </c>
      <c r="D9344" s="11">
        <v>6421.79</v>
      </c>
      <c r="E9344" s="11">
        <v>6421.79</v>
      </c>
      <c r="F9344" s="3">
        <v>40282</v>
      </c>
      <c r="G9344" s="2"/>
      <c r="H9344" s="242" t="s">
        <v>22975</v>
      </c>
      <c r="I9344" s="242" t="s">
        <v>22977</v>
      </c>
      <c r="J9344" s="2" t="s">
        <v>13904</v>
      </c>
      <c r="K9344" s="2" t="s">
        <v>22281</v>
      </c>
      <c r="L9344" s="246" t="s">
        <v>19512</v>
      </c>
      <c r="M9344" s="18"/>
      <c r="N9344" s="18"/>
      <c r="O9344" s="18"/>
    </row>
    <row r="9345" spans="1:15" s="19" customFormat="1" ht="84" customHeight="1" x14ac:dyDescent="0.3">
      <c r="A9345" s="2">
        <v>9341</v>
      </c>
      <c r="B9345" s="66" t="s">
        <v>10987</v>
      </c>
      <c r="C9345" s="66" t="s">
        <v>10989</v>
      </c>
      <c r="D9345" s="11">
        <v>6421.79</v>
      </c>
      <c r="E9345" s="11">
        <v>6421.79</v>
      </c>
      <c r="F9345" s="3">
        <v>40282</v>
      </c>
      <c r="G9345" s="2"/>
      <c r="H9345" s="242" t="s">
        <v>22975</v>
      </c>
      <c r="I9345" s="242" t="s">
        <v>22977</v>
      </c>
      <c r="J9345" s="2" t="s">
        <v>13904</v>
      </c>
      <c r="K9345" s="2" t="s">
        <v>22281</v>
      </c>
      <c r="L9345" s="246" t="s">
        <v>19512</v>
      </c>
      <c r="M9345" s="18"/>
      <c r="N9345" s="18"/>
      <c r="O9345" s="18"/>
    </row>
    <row r="9346" spans="1:15" s="19" customFormat="1" ht="84" customHeight="1" x14ac:dyDescent="0.3">
      <c r="A9346" s="2">
        <v>9342</v>
      </c>
      <c r="B9346" s="66" t="s">
        <v>10987</v>
      </c>
      <c r="C9346" s="66" t="s">
        <v>4811</v>
      </c>
      <c r="D9346" s="11">
        <v>6421.79</v>
      </c>
      <c r="E9346" s="11">
        <v>6421.79</v>
      </c>
      <c r="F9346" s="3">
        <v>40282</v>
      </c>
      <c r="G9346" s="2"/>
      <c r="H9346" s="242" t="s">
        <v>22975</v>
      </c>
      <c r="I9346" s="242" t="s">
        <v>22977</v>
      </c>
      <c r="J9346" s="2" t="s">
        <v>13904</v>
      </c>
      <c r="K9346" s="2" t="s">
        <v>22281</v>
      </c>
      <c r="L9346" s="246" t="s">
        <v>19512</v>
      </c>
      <c r="M9346" s="18"/>
      <c r="N9346" s="18"/>
      <c r="O9346" s="18"/>
    </row>
    <row r="9347" spans="1:15" s="19" customFormat="1" ht="84" customHeight="1" x14ac:dyDescent="0.3">
      <c r="A9347" s="2">
        <v>9343</v>
      </c>
      <c r="B9347" s="66" t="s">
        <v>10987</v>
      </c>
      <c r="C9347" s="66" t="s">
        <v>10990</v>
      </c>
      <c r="D9347" s="11">
        <v>6421.79</v>
      </c>
      <c r="E9347" s="11">
        <v>6421.79</v>
      </c>
      <c r="F9347" s="3">
        <v>40282</v>
      </c>
      <c r="G9347" s="2"/>
      <c r="H9347" s="242" t="s">
        <v>22975</v>
      </c>
      <c r="I9347" s="242" t="s">
        <v>22977</v>
      </c>
      <c r="J9347" s="2" t="s">
        <v>13904</v>
      </c>
      <c r="K9347" s="2" t="s">
        <v>22281</v>
      </c>
      <c r="L9347" s="246" t="s">
        <v>19512</v>
      </c>
      <c r="M9347" s="18"/>
      <c r="N9347" s="18"/>
      <c r="O9347" s="18"/>
    </row>
    <row r="9348" spans="1:15" s="19" customFormat="1" ht="84" customHeight="1" x14ac:dyDescent="0.3">
      <c r="A9348" s="2">
        <v>9344</v>
      </c>
      <c r="B9348" s="66" t="s">
        <v>10944</v>
      </c>
      <c r="C9348" s="66" t="s">
        <v>10991</v>
      </c>
      <c r="D9348" s="11">
        <v>6421.79</v>
      </c>
      <c r="E9348" s="11">
        <v>6421.79</v>
      </c>
      <c r="F9348" s="3">
        <v>40282</v>
      </c>
      <c r="G9348" s="2"/>
      <c r="H9348" s="242" t="s">
        <v>22975</v>
      </c>
      <c r="I9348" s="242" t="s">
        <v>22977</v>
      </c>
      <c r="J9348" s="2" t="s">
        <v>13904</v>
      </c>
      <c r="K9348" s="2" t="s">
        <v>22281</v>
      </c>
      <c r="L9348" s="246" t="s">
        <v>19512</v>
      </c>
      <c r="M9348" s="18"/>
      <c r="N9348" s="18"/>
      <c r="O9348" s="18"/>
    </row>
    <row r="9349" spans="1:15" s="19" customFormat="1" ht="84" customHeight="1" x14ac:dyDescent="0.3">
      <c r="A9349" s="2">
        <v>9345</v>
      </c>
      <c r="B9349" s="66" t="s">
        <v>10882</v>
      </c>
      <c r="C9349" s="66" t="s">
        <v>6842</v>
      </c>
      <c r="D9349" s="11">
        <v>8995</v>
      </c>
      <c r="E9349" s="11">
        <v>8995</v>
      </c>
      <c r="F9349" s="3">
        <v>40282</v>
      </c>
      <c r="G9349" s="2"/>
      <c r="H9349" s="242" t="s">
        <v>22975</v>
      </c>
      <c r="I9349" s="242" t="s">
        <v>22977</v>
      </c>
      <c r="J9349" s="2" t="s">
        <v>13904</v>
      </c>
      <c r="K9349" s="2" t="s">
        <v>22281</v>
      </c>
      <c r="L9349" s="246" t="s">
        <v>19512</v>
      </c>
      <c r="M9349" s="18"/>
      <c r="N9349" s="18"/>
      <c r="O9349" s="18"/>
    </row>
    <row r="9350" spans="1:15" s="19" customFormat="1" ht="84" customHeight="1" x14ac:dyDescent="0.3">
      <c r="A9350" s="2">
        <v>9346</v>
      </c>
      <c r="B9350" s="66" t="s">
        <v>10882</v>
      </c>
      <c r="C9350" s="66" t="s">
        <v>10992</v>
      </c>
      <c r="D9350" s="11">
        <v>8995</v>
      </c>
      <c r="E9350" s="11">
        <v>8995</v>
      </c>
      <c r="F9350" s="3">
        <v>40282</v>
      </c>
      <c r="G9350" s="2"/>
      <c r="H9350" s="242" t="s">
        <v>22975</v>
      </c>
      <c r="I9350" s="242" t="s">
        <v>22977</v>
      </c>
      <c r="J9350" s="2" t="s">
        <v>13904</v>
      </c>
      <c r="K9350" s="2" t="s">
        <v>22281</v>
      </c>
      <c r="L9350" s="246" t="s">
        <v>19512</v>
      </c>
      <c r="M9350" s="18"/>
      <c r="N9350" s="18"/>
      <c r="O9350" s="18"/>
    </row>
    <row r="9351" spans="1:15" s="19" customFormat="1" ht="84" customHeight="1" x14ac:dyDescent="0.3">
      <c r="A9351" s="2">
        <v>9347</v>
      </c>
      <c r="B9351" s="66" t="s">
        <v>10993</v>
      </c>
      <c r="C9351" s="66" t="s">
        <v>8103</v>
      </c>
      <c r="D9351" s="11">
        <v>4074</v>
      </c>
      <c r="E9351" s="11">
        <v>4074</v>
      </c>
      <c r="F9351" s="3">
        <v>40282</v>
      </c>
      <c r="G9351" s="2"/>
      <c r="H9351" s="242" t="s">
        <v>22975</v>
      </c>
      <c r="I9351" s="242" t="s">
        <v>22977</v>
      </c>
      <c r="J9351" s="2" t="s">
        <v>13904</v>
      </c>
      <c r="K9351" s="2" t="s">
        <v>22281</v>
      </c>
      <c r="L9351" s="246" t="s">
        <v>19512</v>
      </c>
      <c r="M9351" s="18"/>
      <c r="N9351" s="18"/>
      <c r="O9351" s="18"/>
    </row>
    <row r="9352" spans="1:15" s="19" customFormat="1" ht="84" customHeight="1" x14ac:dyDescent="0.3">
      <c r="A9352" s="2">
        <v>9348</v>
      </c>
      <c r="B9352" s="66" t="s">
        <v>10993</v>
      </c>
      <c r="C9352" s="66" t="s">
        <v>7763</v>
      </c>
      <c r="D9352" s="11">
        <v>4074</v>
      </c>
      <c r="E9352" s="11">
        <v>4074</v>
      </c>
      <c r="F9352" s="3">
        <v>40282</v>
      </c>
      <c r="G9352" s="2"/>
      <c r="H9352" s="242" t="s">
        <v>22975</v>
      </c>
      <c r="I9352" s="242" t="s">
        <v>22977</v>
      </c>
      <c r="J9352" s="2" t="s">
        <v>13904</v>
      </c>
      <c r="K9352" s="2" t="s">
        <v>22281</v>
      </c>
      <c r="L9352" s="246" t="s">
        <v>19512</v>
      </c>
      <c r="M9352" s="18"/>
      <c r="N9352" s="18"/>
      <c r="O9352" s="18"/>
    </row>
    <row r="9353" spans="1:15" s="19" customFormat="1" ht="84" customHeight="1" x14ac:dyDescent="0.3">
      <c r="A9353" s="2">
        <v>9349</v>
      </c>
      <c r="B9353" s="66" t="s">
        <v>10932</v>
      </c>
      <c r="C9353" s="66" t="s">
        <v>7550</v>
      </c>
      <c r="D9353" s="11">
        <v>5090.3999999999996</v>
      </c>
      <c r="E9353" s="11">
        <v>5090.3999999999996</v>
      </c>
      <c r="F9353" s="3">
        <v>40282</v>
      </c>
      <c r="G9353" s="2"/>
      <c r="H9353" s="242" t="s">
        <v>22975</v>
      </c>
      <c r="I9353" s="242" t="s">
        <v>22977</v>
      </c>
      <c r="J9353" s="2" t="s">
        <v>13904</v>
      </c>
      <c r="K9353" s="2" t="s">
        <v>22281</v>
      </c>
      <c r="L9353" s="246" t="s">
        <v>19512</v>
      </c>
      <c r="M9353" s="18"/>
      <c r="N9353" s="18"/>
      <c r="O9353" s="18"/>
    </row>
    <row r="9354" spans="1:15" s="19" customFormat="1" ht="84" customHeight="1" x14ac:dyDescent="0.3">
      <c r="A9354" s="2">
        <v>9350</v>
      </c>
      <c r="B9354" s="66" t="s">
        <v>10994</v>
      </c>
      <c r="C9354" s="66" t="s">
        <v>10718</v>
      </c>
      <c r="D9354" s="11">
        <v>5439</v>
      </c>
      <c r="E9354" s="11">
        <v>5439</v>
      </c>
      <c r="F9354" s="3">
        <v>40282</v>
      </c>
      <c r="G9354" s="2"/>
      <c r="H9354" s="242" t="s">
        <v>22975</v>
      </c>
      <c r="I9354" s="242" t="s">
        <v>22977</v>
      </c>
      <c r="J9354" s="2" t="s">
        <v>13904</v>
      </c>
      <c r="K9354" s="2" t="s">
        <v>22281</v>
      </c>
      <c r="L9354" s="246" t="s">
        <v>19512</v>
      </c>
      <c r="M9354" s="18"/>
      <c r="N9354" s="18"/>
      <c r="O9354" s="18"/>
    </row>
    <row r="9355" spans="1:15" s="19" customFormat="1" ht="84" customHeight="1" x14ac:dyDescent="0.3">
      <c r="A9355" s="2">
        <v>9351</v>
      </c>
      <c r="B9355" s="66" t="s">
        <v>10995</v>
      </c>
      <c r="C9355" s="66" t="s">
        <v>10699</v>
      </c>
      <c r="D9355" s="11">
        <v>5439</v>
      </c>
      <c r="E9355" s="11">
        <v>5439</v>
      </c>
      <c r="F9355" s="3">
        <v>40282</v>
      </c>
      <c r="G9355" s="2"/>
      <c r="H9355" s="242" t="s">
        <v>22975</v>
      </c>
      <c r="I9355" s="242" t="s">
        <v>22977</v>
      </c>
      <c r="J9355" s="2" t="s">
        <v>13904</v>
      </c>
      <c r="K9355" s="2" t="s">
        <v>22281</v>
      </c>
      <c r="L9355" s="246" t="s">
        <v>19512</v>
      </c>
      <c r="M9355" s="18"/>
      <c r="N9355" s="18"/>
      <c r="O9355" s="18"/>
    </row>
    <row r="9356" spans="1:15" s="19" customFormat="1" ht="84" customHeight="1" x14ac:dyDescent="0.3">
      <c r="A9356" s="2">
        <v>9352</v>
      </c>
      <c r="B9356" s="66" t="s">
        <v>10971</v>
      </c>
      <c r="C9356" s="66" t="s">
        <v>5977</v>
      </c>
      <c r="D9356" s="11">
        <v>12455.63</v>
      </c>
      <c r="E9356" s="11">
        <v>12455.63</v>
      </c>
      <c r="F9356" s="3">
        <v>40282</v>
      </c>
      <c r="G9356" s="2"/>
      <c r="H9356" s="242" t="s">
        <v>22975</v>
      </c>
      <c r="I9356" s="242" t="s">
        <v>22977</v>
      </c>
      <c r="J9356" s="2" t="s">
        <v>13904</v>
      </c>
      <c r="K9356" s="2" t="s">
        <v>22281</v>
      </c>
      <c r="L9356" s="246" t="s">
        <v>19512</v>
      </c>
      <c r="M9356" s="18"/>
      <c r="N9356" s="18"/>
      <c r="O9356" s="18"/>
    </row>
    <row r="9357" spans="1:15" ht="84" customHeight="1" x14ac:dyDescent="0.3">
      <c r="A9357" s="2">
        <v>9353</v>
      </c>
      <c r="B9357" s="66" t="s">
        <v>10996</v>
      </c>
      <c r="C9357" s="66" t="s">
        <v>10997</v>
      </c>
      <c r="D9357" s="11">
        <v>6421.8</v>
      </c>
      <c r="E9357" s="11">
        <v>6421.8</v>
      </c>
      <c r="F9357" s="3">
        <v>40282</v>
      </c>
      <c r="G9357" s="2"/>
      <c r="H9357" s="242" t="s">
        <v>22975</v>
      </c>
      <c r="I9357" s="242" t="s">
        <v>22977</v>
      </c>
      <c r="J9357" s="2" t="s">
        <v>13904</v>
      </c>
      <c r="K9357" s="2" t="s">
        <v>22281</v>
      </c>
      <c r="L9357" s="246" t="s">
        <v>19512</v>
      </c>
    </row>
    <row r="9358" spans="1:15" ht="84" customHeight="1" x14ac:dyDescent="0.3">
      <c r="A9358" s="2">
        <v>9354</v>
      </c>
      <c r="B9358" s="66" t="s">
        <v>10998</v>
      </c>
      <c r="C9358" s="66" t="s">
        <v>10999</v>
      </c>
      <c r="D9358" s="11">
        <v>6421.79</v>
      </c>
      <c r="E9358" s="11">
        <v>6421.79</v>
      </c>
      <c r="F9358" s="3">
        <v>40282</v>
      </c>
      <c r="G9358" s="2"/>
      <c r="H9358" s="242" t="s">
        <v>22975</v>
      </c>
      <c r="I9358" s="242" t="s">
        <v>22977</v>
      </c>
      <c r="J9358" s="2" t="s">
        <v>13904</v>
      </c>
      <c r="K9358" s="2" t="s">
        <v>22281</v>
      </c>
      <c r="L9358" s="246" t="s">
        <v>19512</v>
      </c>
    </row>
    <row r="9359" spans="1:15" ht="84" customHeight="1" x14ac:dyDescent="0.3">
      <c r="A9359" s="2">
        <v>9355</v>
      </c>
      <c r="B9359" s="66" t="s">
        <v>10987</v>
      </c>
      <c r="C9359" s="66" t="s">
        <v>4505</v>
      </c>
      <c r="D9359" s="11">
        <v>6421.76</v>
      </c>
      <c r="E9359" s="11">
        <v>6421.76</v>
      </c>
      <c r="F9359" s="3">
        <v>40282</v>
      </c>
      <c r="G9359" s="2"/>
      <c r="H9359" s="242" t="s">
        <v>22975</v>
      </c>
      <c r="I9359" s="242" t="s">
        <v>22977</v>
      </c>
      <c r="J9359" s="2" t="s">
        <v>13904</v>
      </c>
      <c r="K9359" s="2" t="s">
        <v>22281</v>
      </c>
      <c r="L9359" s="246" t="s">
        <v>19512</v>
      </c>
    </row>
    <row r="9360" spans="1:15" ht="84" customHeight="1" x14ac:dyDescent="0.3">
      <c r="A9360" s="2">
        <v>9356</v>
      </c>
      <c r="B9360" s="66" t="s">
        <v>11000</v>
      </c>
      <c r="C9360" s="66" t="s">
        <v>11001</v>
      </c>
      <c r="D9360" s="11">
        <v>10915.82</v>
      </c>
      <c r="E9360" s="11">
        <v>10915.82</v>
      </c>
      <c r="F9360" s="3">
        <v>40282</v>
      </c>
      <c r="G9360" s="2"/>
      <c r="H9360" s="242" t="s">
        <v>22975</v>
      </c>
      <c r="I9360" s="242" t="s">
        <v>22977</v>
      </c>
      <c r="J9360" s="2" t="s">
        <v>13904</v>
      </c>
      <c r="K9360" s="2" t="s">
        <v>22281</v>
      </c>
      <c r="L9360" s="246" t="s">
        <v>19512</v>
      </c>
    </row>
    <row r="9361" spans="1:12" ht="84" customHeight="1" x14ac:dyDescent="0.3">
      <c r="A9361" s="2">
        <v>9357</v>
      </c>
      <c r="B9361" s="66" t="s">
        <v>10964</v>
      </c>
      <c r="C9361" s="66" t="s">
        <v>11002</v>
      </c>
      <c r="D9361" s="11">
        <v>10915.81</v>
      </c>
      <c r="E9361" s="11">
        <v>10915.81</v>
      </c>
      <c r="F9361" s="3">
        <v>40282</v>
      </c>
      <c r="G9361" s="2"/>
      <c r="H9361" s="242" t="s">
        <v>22975</v>
      </c>
      <c r="I9361" s="242" t="s">
        <v>22977</v>
      </c>
      <c r="J9361" s="2" t="s">
        <v>13904</v>
      </c>
      <c r="K9361" s="2" t="s">
        <v>22281</v>
      </c>
      <c r="L9361" s="246" t="s">
        <v>19512</v>
      </c>
    </row>
    <row r="9362" spans="1:12" ht="84" customHeight="1" x14ac:dyDescent="0.3">
      <c r="A9362" s="2">
        <v>9358</v>
      </c>
      <c r="B9362" s="66" t="s">
        <v>10944</v>
      </c>
      <c r="C9362" s="66" t="s">
        <v>11003</v>
      </c>
      <c r="D9362" s="11">
        <v>6421.81</v>
      </c>
      <c r="E9362" s="11">
        <v>6421.81</v>
      </c>
      <c r="F9362" s="3">
        <v>40282</v>
      </c>
      <c r="G9362" s="2"/>
      <c r="H9362" s="242" t="s">
        <v>22975</v>
      </c>
      <c r="I9362" s="242" t="s">
        <v>22977</v>
      </c>
      <c r="J9362" s="2" t="s">
        <v>13904</v>
      </c>
      <c r="K9362" s="2" t="s">
        <v>22281</v>
      </c>
      <c r="L9362" s="246" t="s">
        <v>19512</v>
      </c>
    </row>
    <row r="9363" spans="1:12" ht="84" customHeight="1" x14ac:dyDescent="0.3">
      <c r="A9363" s="2">
        <v>9359</v>
      </c>
      <c r="B9363" s="66" t="s">
        <v>10948</v>
      </c>
      <c r="C9363" s="66" t="s">
        <v>11004</v>
      </c>
      <c r="D9363" s="11">
        <v>12735.12</v>
      </c>
      <c r="E9363" s="11">
        <v>12735.12</v>
      </c>
      <c r="F9363" s="3">
        <v>40282</v>
      </c>
      <c r="G9363" s="2"/>
      <c r="H9363" s="242" t="s">
        <v>22975</v>
      </c>
      <c r="I9363" s="242" t="s">
        <v>22977</v>
      </c>
      <c r="J9363" s="2" t="s">
        <v>13904</v>
      </c>
      <c r="K9363" s="2" t="s">
        <v>22281</v>
      </c>
      <c r="L9363" s="246" t="s">
        <v>19512</v>
      </c>
    </row>
    <row r="9364" spans="1:12" ht="84" customHeight="1" x14ac:dyDescent="0.3">
      <c r="A9364" s="2">
        <v>9360</v>
      </c>
      <c r="B9364" s="66" t="s">
        <v>11005</v>
      </c>
      <c r="C9364" s="66" t="s">
        <v>11006</v>
      </c>
      <c r="D9364" s="11">
        <v>5700</v>
      </c>
      <c r="E9364" s="11">
        <v>5700</v>
      </c>
      <c r="F9364" s="3">
        <v>41992</v>
      </c>
      <c r="G9364" s="2"/>
      <c r="H9364" s="242" t="s">
        <v>22975</v>
      </c>
      <c r="I9364" s="242" t="s">
        <v>22977</v>
      </c>
      <c r="J9364" s="2" t="s">
        <v>13904</v>
      </c>
      <c r="K9364" s="2" t="s">
        <v>22281</v>
      </c>
      <c r="L9364" s="246" t="s">
        <v>19512</v>
      </c>
    </row>
    <row r="9365" spans="1:12" ht="84" customHeight="1" x14ac:dyDescent="0.3">
      <c r="A9365" s="2">
        <v>9361</v>
      </c>
      <c r="B9365" s="66" t="s">
        <v>11005</v>
      </c>
      <c r="C9365" s="66" t="s">
        <v>11007</v>
      </c>
      <c r="D9365" s="11">
        <v>5700</v>
      </c>
      <c r="E9365" s="11">
        <v>5700</v>
      </c>
      <c r="F9365" s="3">
        <v>41992</v>
      </c>
      <c r="G9365" s="2"/>
      <c r="H9365" s="242" t="s">
        <v>22975</v>
      </c>
      <c r="I9365" s="242" t="s">
        <v>22977</v>
      </c>
      <c r="J9365" s="2" t="s">
        <v>13904</v>
      </c>
      <c r="K9365" s="2" t="s">
        <v>22281</v>
      </c>
      <c r="L9365" s="246" t="s">
        <v>19512</v>
      </c>
    </row>
    <row r="9366" spans="1:12" ht="84" customHeight="1" x14ac:dyDescent="0.3">
      <c r="A9366" s="2">
        <v>9362</v>
      </c>
      <c r="B9366" s="66" t="s">
        <v>11005</v>
      </c>
      <c r="C9366" s="66" t="s">
        <v>11008</v>
      </c>
      <c r="D9366" s="11">
        <v>5700</v>
      </c>
      <c r="E9366" s="11">
        <v>5700</v>
      </c>
      <c r="F9366" s="3">
        <v>41992</v>
      </c>
      <c r="G9366" s="2"/>
      <c r="H9366" s="242" t="s">
        <v>22975</v>
      </c>
      <c r="I9366" s="242" t="s">
        <v>22977</v>
      </c>
      <c r="J9366" s="2" t="s">
        <v>13904</v>
      </c>
      <c r="K9366" s="2" t="s">
        <v>22281</v>
      </c>
      <c r="L9366" s="246" t="s">
        <v>19512</v>
      </c>
    </row>
    <row r="9367" spans="1:12" ht="84" customHeight="1" x14ac:dyDescent="0.3">
      <c r="A9367" s="2">
        <v>9363</v>
      </c>
      <c r="B9367" s="66" t="s">
        <v>11005</v>
      </c>
      <c r="C9367" s="66" t="s">
        <v>11009</v>
      </c>
      <c r="D9367" s="11">
        <v>5700</v>
      </c>
      <c r="E9367" s="11">
        <v>5700</v>
      </c>
      <c r="F9367" s="3">
        <v>41992</v>
      </c>
      <c r="G9367" s="2"/>
      <c r="H9367" s="242" t="s">
        <v>22975</v>
      </c>
      <c r="I9367" s="242" t="s">
        <v>22977</v>
      </c>
      <c r="J9367" s="2" t="s">
        <v>13904</v>
      </c>
      <c r="K9367" s="2" t="s">
        <v>22281</v>
      </c>
      <c r="L9367" s="246" t="s">
        <v>19512</v>
      </c>
    </row>
    <row r="9368" spans="1:12" ht="84" customHeight="1" x14ac:dyDescent="0.3">
      <c r="A9368" s="2">
        <v>9364</v>
      </c>
      <c r="B9368" s="66" t="s">
        <v>11005</v>
      </c>
      <c r="C9368" s="66" t="s">
        <v>11010</v>
      </c>
      <c r="D9368" s="11">
        <v>5700</v>
      </c>
      <c r="E9368" s="11">
        <v>5700</v>
      </c>
      <c r="F9368" s="3">
        <v>41992</v>
      </c>
      <c r="G9368" s="2"/>
      <c r="H9368" s="242" t="s">
        <v>22975</v>
      </c>
      <c r="I9368" s="242" t="s">
        <v>22977</v>
      </c>
      <c r="J9368" s="2" t="s">
        <v>13904</v>
      </c>
      <c r="K9368" s="2" t="s">
        <v>22281</v>
      </c>
      <c r="L9368" s="246" t="s">
        <v>19512</v>
      </c>
    </row>
    <row r="9369" spans="1:12" ht="84" customHeight="1" x14ac:dyDescent="0.3">
      <c r="A9369" s="2">
        <v>9365</v>
      </c>
      <c r="B9369" s="66" t="s">
        <v>11005</v>
      </c>
      <c r="C9369" s="66" t="s">
        <v>11011</v>
      </c>
      <c r="D9369" s="11">
        <v>5700</v>
      </c>
      <c r="E9369" s="11">
        <v>5700</v>
      </c>
      <c r="F9369" s="3">
        <v>41992</v>
      </c>
      <c r="G9369" s="2"/>
      <c r="H9369" s="242" t="s">
        <v>22975</v>
      </c>
      <c r="I9369" s="242" t="s">
        <v>22977</v>
      </c>
      <c r="J9369" s="2" t="s">
        <v>13904</v>
      </c>
      <c r="K9369" s="2" t="s">
        <v>22281</v>
      </c>
      <c r="L9369" s="246" t="s">
        <v>19512</v>
      </c>
    </row>
    <row r="9370" spans="1:12" ht="84" customHeight="1" x14ac:dyDescent="0.3">
      <c r="A9370" s="2">
        <v>9366</v>
      </c>
      <c r="B9370" s="66" t="s">
        <v>11005</v>
      </c>
      <c r="C9370" s="66" t="s">
        <v>11012</v>
      </c>
      <c r="D9370" s="11">
        <v>5700</v>
      </c>
      <c r="E9370" s="11">
        <v>5700</v>
      </c>
      <c r="F9370" s="3">
        <v>41992</v>
      </c>
      <c r="G9370" s="2"/>
      <c r="H9370" s="242" t="s">
        <v>22975</v>
      </c>
      <c r="I9370" s="242" t="s">
        <v>22977</v>
      </c>
      <c r="J9370" s="2" t="s">
        <v>13904</v>
      </c>
      <c r="K9370" s="2" t="s">
        <v>22281</v>
      </c>
      <c r="L9370" s="246" t="s">
        <v>19512</v>
      </c>
    </row>
    <row r="9371" spans="1:12" ht="84" customHeight="1" x14ac:dyDescent="0.3">
      <c r="A9371" s="2">
        <v>9367</v>
      </c>
      <c r="B9371" s="66" t="s">
        <v>11005</v>
      </c>
      <c r="C9371" s="66" t="s">
        <v>11013</v>
      </c>
      <c r="D9371" s="11">
        <v>5700</v>
      </c>
      <c r="E9371" s="11">
        <v>5700</v>
      </c>
      <c r="F9371" s="3">
        <v>41992</v>
      </c>
      <c r="G9371" s="2"/>
      <c r="H9371" s="242" t="s">
        <v>22975</v>
      </c>
      <c r="I9371" s="242" t="s">
        <v>22977</v>
      </c>
      <c r="J9371" s="2" t="s">
        <v>13904</v>
      </c>
      <c r="K9371" s="2" t="s">
        <v>22281</v>
      </c>
      <c r="L9371" s="246" t="s">
        <v>19512</v>
      </c>
    </row>
    <row r="9372" spans="1:12" ht="84" customHeight="1" x14ac:dyDescent="0.3">
      <c r="A9372" s="2">
        <v>9368</v>
      </c>
      <c r="B9372" s="66" t="s">
        <v>11005</v>
      </c>
      <c r="C9372" s="66" t="s">
        <v>11014</v>
      </c>
      <c r="D9372" s="11">
        <v>5700</v>
      </c>
      <c r="E9372" s="11">
        <v>5700</v>
      </c>
      <c r="F9372" s="3">
        <v>41992</v>
      </c>
      <c r="G9372" s="2"/>
      <c r="H9372" s="242" t="s">
        <v>22975</v>
      </c>
      <c r="I9372" s="242" t="s">
        <v>22977</v>
      </c>
      <c r="J9372" s="2" t="s">
        <v>13904</v>
      </c>
      <c r="K9372" s="2" t="s">
        <v>22281</v>
      </c>
      <c r="L9372" s="246" t="s">
        <v>19512</v>
      </c>
    </row>
    <row r="9373" spans="1:12" ht="84" customHeight="1" x14ac:dyDescent="0.3">
      <c r="A9373" s="2">
        <v>9369</v>
      </c>
      <c r="B9373" s="66" t="s">
        <v>11005</v>
      </c>
      <c r="C9373" s="66" t="s">
        <v>11015</v>
      </c>
      <c r="D9373" s="11">
        <v>5700</v>
      </c>
      <c r="E9373" s="11">
        <v>5700</v>
      </c>
      <c r="F9373" s="3">
        <v>41992</v>
      </c>
      <c r="G9373" s="2"/>
      <c r="H9373" s="242" t="s">
        <v>22975</v>
      </c>
      <c r="I9373" s="242" t="s">
        <v>22977</v>
      </c>
      <c r="J9373" s="2" t="s">
        <v>13904</v>
      </c>
      <c r="K9373" s="2" t="s">
        <v>22281</v>
      </c>
      <c r="L9373" s="246" t="s">
        <v>19512</v>
      </c>
    </row>
    <row r="9374" spans="1:12" ht="84" customHeight="1" x14ac:dyDescent="0.3">
      <c r="A9374" s="2">
        <v>9370</v>
      </c>
      <c r="B9374" s="66" t="s">
        <v>11016</v>
      </c>
      <c r="C9374" s="66" t="s">
        <v>11017</v>
      </c>
      <c r="D9374" s="11">
        <v>3800</v>
      </c>
      <c r="E9374" s="11">
        <v>3800</v>
      </c>
      <c r="F9374" s="3">
        <v>41992</v>
      </c>
      <c r="G9374" s="2"/>
      <c r="H9374" s="242" t="s">
        <v>22975</v>
      </c>
      <c r="I9374" s="242" t="s">
        <v>22977</v>
      </c>
      <c r="J9374" s="2" t="s">
        <v>13904</v>
      </c>
      <c r="K9374" s="2" t="s">
        <v>22281</v>
      </c>
      <c r="L9374" s="246" t="s">
        <v>19512</v>
      </c>
    </row>
    <row r="9375" spans="1:12" ht="84" customHeight="1" x14ac:dyDescent="0.3">
      <c r="A9375" s="2">
        <v>9371</v>
      </c>
      <c r="B9375" s="66" t="s">
        <v>11018</v>
      </c>
      <c r="C9375" s="66" t="s">
        <v>11019</v>
      </c>
      <c r="D9375" s="11">
        <v>5900</v>
      </c>
      <c r="E9375" s="11">
        <v>5900</v>
      </c>
      <c r="F9375" s="3">
        <v>41992</v>
      </c>
      <c r="G9375" s="2"/>
      <c r="H9375" s="242" t="s">
        <v>22975</v>
      </c>
      <c r="I9375" s="242" t="s">
        <v>22977</v>
      </c>
      <c r="J9375" s="2" t="s">
        <v>13904</v>
      </c>
      <c r="K9375" s="2" t="s">
        <v>22281</v>
      </c>
      <c r="L9375" s="246" t="s">
        <v>19512</v>
      </c>
    </row>
    <row r="9376" spans="1:12" ht="84" customHeight="1" x14ac:dyDescent="0.3">
      <c r="A9376" s="2">
        <v>9372</v>
      </c>
      <c r="B9376" s="66" t="s">
        <v>11020</v>
      </c>
      <c r="C9376" s="66" t="s">
        <v>11021</v>
      </c>
      <c r="D9376" s="11">
        <v>5000</v>
      </c>
      <c r="E9376" s="11">
        <v>5000</v>
      </c>
      <c r="F9376" s="3">
        <v>41992</v>
      </c>
      <c r="G9376" s="2"/>
      <c r="H9376" s="242" t="s">
        <v>22975</v>
      </c>
      <c r="I9376" s="242" t="s">
        <v>22977</v>
      </c>
      <c r="J9376" s="2" t="s">
        <v>13904</v>
      </c>
      <c r="K9376" s="2" t="s">
        <v>22281</v>
      </c>
      <c r="L9376" s="246" t="s">
        <v>19512</v>
      </c>
    </row>
    <row r="9377" spans="1:15" ht="84" customHeight="1" x14ac:dyDescent="0.3">
      <c r="A9377" s="2">
        <v>9373</v>
      </c>
      <c r="B9377" s="66" t="s">
        <v>11022</v>
      </c>
      <c r="C9377" s="66" t="s">
        <v>11023</v>
      </c>
      <c r="D9377" s="11">
        <v>3200</v>
      </c>
      <c r="E9377" s="11">
        <v>3200</v>
      </c>
      <c r="F9377" s="3">
        <v>41992</v>
      </c>
      <c r="G9377" s="2"/>
      <c r="H9377" s="242" t="s">
        <v>22975</v>
      </c>
      <c r="I9377" s="242" t="s">
        <v>22977</v>
      </c>
      <c r="J9377" s="2" t="s">
        <v>13904</v>
      </c>
      <c r="K9377" s="2" t="s">
        <v>22281</v>
      </c>
      <c r="L9377" s="246" t="s">
        <v>19512</v>
      </c>
    </row>
    <row r="9378" spans="1:15" ht="84" customHeight="1" x14ac:dyDescent="0.3">
      <c r="A9378" s="2">
        <v>9374</v>
      </c>
      <c r="B9378" s="66" t="s">
        <v>11024</v>
      </c>
      <c r="C9378" s="66" t="s">
        <v>11025</v>
      </c>
      <c r="D9378" s="11">
        <v>3200</v>
      </c>
      <c r="E9378" s="11">
        <v>3200</v>
      </c>
      <c r="F9378" s="3">
        <v>41992</v>
      </c>
      <c r="G9378" s="2"/>
      <c r="H9378" s="242" t="s">
        <v>22975</v>
      </c>
      <c r="I9378" s="242" t="s">
        <v>22977</v>
      </c>
      <c r="J9378" s="2" t="s">
        <v>13904</v>
      </c>
      <c r="K9378" s="2" t="s">
        <v>22281</v>
      </c>
      <c r="L9378" s="246" t="s">
        <v>19512</v>
      </c>
    </row>
    <row r="9379" spans="1:15" ht="84" customHeight="1" x14ac:dyDescent="0.3">
      <c r="A9379" s="2">
        <v>9375</v>
      </c>
      <c r="B9379" s="66" t="s">
        <v>11024</v>
      </c>
      <c r="C9379" s="66" t="s">
        <v>11026</v>
      </c>
      <c r="D9379" s="11">
        <v>3200</v>
      </c>
      <c r="E9379" s="11">
        <v>3200</v>
      </c>
      <c r="F9379" s="3">
        <v>41992</v>
      </c>
      <c r="G9379" s="2"/>
      <c r="H9379" s="242" t="s">
        <v>22975</v>
      </c>
      <c r="I9379" s="242" t="s">
        <v>22977</v>
      </c>
      <c r="J9379" s="2" t="s">
        <v>13904</v>
      </c>
      <c r="K9379" s="2" t="s">
        <v>22281</v>
      </c>
      <c r="L9379" s="246" t="s">
        <v>19512</v>
      </c>
    </row>
    <row r="9380" spans="1:15" ht="84" customHeight="1" x14ac:dyDescent="0.3">
      <c r="A9380" s="2">
        <v>9376</v>
      </c>
      <c r="B9380" s="66" t="s">
        <v>11027</v>
      </c>
      <c r="C9380" s="66" t="s">
        <v>11028</v>
      </c>
      <c r="D9380" s="11">
        <v>8800</v>
      </c>
      <c r="E9380" s="11">
        <v>8800</v>
      </c>
      <c r="F9380" s="3">
        <v>41992</v>
      </c>
      <c r="G9380" s="2"/>
      <c r="H9380" s="242" t="s">
        <v>22975</v>
      </c>
      <c r="I9380" s="242" t="s">
        <v>22977</v>
      </c>
      <c r="J9380" s="2" t="s">
        <v>13904</v>
      </c>
      <c r="K9380" s="2" t="s">
        <v>22281</v>
      </c>
      <c r="L9380" s="246" t="s">
        <v>19512</v>
      </c>
    </row>
    <row r="9381" spans="1:15" ht="84" customHeight="1" x14ac:dyDescent="0.3">
      <c r="A9381" s="2">
        <v>9377</v>
      </c>
      <c r="B9381" s="66" t="s">
        <v>11029</v>
      </c>
      <c r="C9381" s="66" t="s">
        <v>11030</v>
      </c>
      <c r="D9381" s="11">
        <v>4600</v>
      </c>
      <c r="E9381" s="11">
        <v>4600</v>
      </c>
      <c r="F9381" s="3">
        <v>41992</v>
      </c>
      <c r="G9381" s="2"/>
      <c r="H9381" s="242" t="s">
        <v>22975</v>
      </c>
      <c r="I9381" s="242" t="s">
        <v>22977</v>
      </c>
      <c r="J9381" s="2" t="s">
        <v>13904</v>
      </c>
      <c r="K9381" s="2" t="s">
        <v>22281</v>
      </c>
      <c r="L9381" s="246" t="s">
        <v>19512</v>
      </c>
    </row>
    <row r="9382" spans="1:15" ht="84" customHeight="1" x14ac:dyDescent="0.3">
      <c r="A9382" s="2">
        <v>9378</v>
      </c>
      <c r="B9382" s="66" t="s">
        <v>11031</v>
      </c>
      <c r="C9382" s="66" t="s">
        <v>11032</v>
      </c>
      <c r="D9382" s="11">
        <v>4800</v>
      </c>
      <c r="E9382" s="11">
        <v>4800</v>
      </c>
      <c r="F9382" s="3">
        <v>41992</v>
      </c>
      <c r="G9382" s="2"/>
      <c r="H9382" s="242" t="s">
        <v>22975</v>
      </c>
      <c r="I9382" s="242" t="s">
        <v>22977</v>
      </c>
      <c r="J9382" s="2" t="s">
        <v>13904</v>
      </c>
      <c r="K9382" s="2" t="s">
        <v>22281</v>
      </c>
      <c r="L9382" s="246" t="s">
        <v>19512</v>
      </c>
    </row>
    <row r="9383" spans="1:15" ht="84" customHeight="1" x14ac:dyDescent="0.3">
      <c r="A9383" s="2">
        <v>9379</v>
      </c>
      <c r="B9383" s="66" t="s">
        <v>11033</v>
      </c>
      <c r="C9383" s="66" t="s">
        <v>11034</v>
      </c>
      <c r="D9383" s="11">
        <v>4800</v>
      </c>
      <c r="E9383" s="11">
        <v>4800</v>
      </c>
      <c r="F9383" s="3">
        <v>41992</v>
      </c>
      <c r="G9383" s="2"/>
      <c r="H9383" s="242" t="s">
        <v>22975</v>
      </c>
      <c r="I9383" s="242" t="s">
        <v>22977</v>
      </c>
      <c r="J9383" s="2" t="s">
        <v>13904</v>
      </c>
      <c r="K9383" s="2" t="s">
        <v>22281</v>
      </c>
      <c r="L9383" s="246" t="s">
        <v>19512</v>
      </c>
    </row>
    <row r="9384" spans="1:15" ht="84" customHeight="1" x14ac:dyDescent="0.3">
      <c r="A9384" s="2">
        <v>9380</v>
      </c>
      <c r="B9384" s="66" t="s">
        <v>11035</v>
      </c>
      <c r="C9384" s="66" t="s">
        <v>11036</v>
      </c>
      <c r="D9384" s="11">
        <v>4367</v>
      </c>
      <c r="E9384" s="11">
        <v>4367</v>
      </c>
      <c r="F9384" s="3">
        <v>41480</v>
      </c>
      <c r="G9384" s="2"/>
      <c r="H9384" s="242" t="s">
        <v>22975</v>
      </c>
      <c r="I9384" s="242" t="s">
        <v>22977</v>
      </c>
      <c r="J9384" s="2" t="s">
        <v>13904</v>
      </c>
      <c r="K9384" s="2" t="s">
        <v>22281</v>
      </c>
      <c r="L9384" s="246" t="s">
        <v>19512</v>
      </c>
    </row>
    <row r="9385" spans="1:15" ht="84" customHeight="1" x14ac:dyDescent="0.3">
      <c r="A9385" s="2">
        <v>9381</v>
      </c>
      <c r="B9385" s="66" t="s">
        <v>11037</v>
      </c>
      <c r="C9385" s="66" t="s">
        <v>11038</v>
      </c>
      <c r="D9385" s="11">
        <v>4367</v>
      </c>
      <c r="E9385" s="11">
        <v>4367</v>
      </c>
      <c r="F9385" s="3">
        <v>41480</v>
      </c>
      <c r="G9385" s="2"/>
      <c r="H9385" s="242" t="s">
        <v>22975</v>
      </c>
      <c r="I9385" s="242" t="s">
        <v>22977</v>
      </c>
      <c r="J9385" s="2" t="s">
        <v>13904</v>
      </c>
      <c r="K9385" s="2" t="s">
        <v>22281</v>
      </c>
      <c r="L9385" s="246" t="s">
        <v>19512</v>
      </c>
    </row>
    <row r="9386" spans="1:15" ht="84" customHeight="1" x14ac:dyDescent="0.3">
      <c r="A9386" s="2">
        <v>9382</v>
      </c>
      <c r="B9386" s="66" t="s">
        <v>3739</v>
      </c>
      <c r="C9386" s="66" t="s">
        <v>11039</v>
      </c>
      <c r="D9386" s="11">
        <v>499.2</v>
      </c>
      <c r="E9386" s="11">
        <v>499.2</v>
      </c>
      <c r="F9386" s="3">
        <v>40282</v>
      </c>
      <c r="G9386" s="2"/>
      <c r="H9386" s="242" t="s">
        <v>22975</v>
      </c>
      <c r="I9386" s="242" t="s">
        <v>22977</v>
      </c>
      <c r="J9386" s="2" t="s">
        <v>13904</v>
      </c>
      <c r="K9386" s="2" t="s">
        <v>22281</v>
      </c>
      <c r="L9386" s="246" t="s">
        <v>19512</v>
      </c>
    </row>
    <row r="9387" spans="1:15" ht="84" customHeight="1" x14ac:dyDescent="0.3">
      <c r="A9387" s="2">
        <v>9383</v>
      </c>
      <c r="B9387" s="66" t="s">
        <v>11040</v>
      </c>
      <c r="C9387" s="66" t="s">
        <v>11041</v>
      </c>
      <c r="D9387" s="11">
        <v>6269</v>
      </c>
      <c r="E9387" s="11">
        <v>6269</v>
      </c>
      <c r="F9387" s="3">
        <v>41887</v>
      </c>
      <c r="G9387" s="2"/>
      <c r="H9387" s="242" t="s">
        <v>22975</v>
      </c>
      <c r="I9387" s="242" t="s">
        <v>22977</v>
      </c>
      <c r="J9387" s="2" t="s">
        <v>13904</v>
      </c>
      <c r="K9387" s="2" t="s">
        <v>22281</v>
      </c>
      <c r="L9387" s="246" t="s">
        <v>19512</v>
      </c>
    </row>
    <row r="9388" spans="1:15" s="19" customFormat="1" ht="84" customHeight="1" x14ac:dyDescent="0.3">
      <c r="A9388" s="2">
        <v>9384</v>
      </c>
      <c r="B9388" s="66" t="s">
        <v>11042</v>
      </c>
      <c r="C9388" s="66" t="s">
        <v>11043</v>
      </c>
      <c r="D9388" s="11">
        <v>27797</v>
      </c>
      <c r="E9388" s="11">
        <v>27797</v>
      </c>
      <c r="F9388" s="3">
        <v>40898</v>
      </c>
      <c r="G9388" s="2"/>
      <c r="H9388" s="3">
        <v>43252</v>
      </c>
      <c r="I9388" s="2" t="s">
        <v>20478</v>
      </c>
      <c r="J9388" s="2" t="s">
        <v>13904</v>
      </c>
      <c r="K9388" s="2" t="s">
        <v>19265</v>
      </c>
      <c r="L9388" s="82" t="s">
        <v>19512</v>
      </c>
      <c r="M9388" s="18"/>
      <c r="N9388" s="18"/>
      <c r="O9388" s="18"/>
    </row>
    <row r="9389" spans="1:15" ht="84" customHeight="1" x14ac:dyDescent="0.3">
      <c r="A9389" s="2">
        <v>9385</v>
      </c>
      <c r="B9389" s="66" t="s">
        <v>11044</v>
      </c>
      <c r="C9389" s="66" t="s">
        <v>5413</v>
      </c>
      <c r="D9389" s="11">
        <v>47689.9</v>
      </c>
      <c r="E9389" s="11">
        <v>47689.9</v>
      </c>
      <c r="F9389" s="3">
        <v>40282</v>
      </c>
      <c r="G9389" s="2"/>
      <c r="H9389" s="3">
        <v>43252</v>
      </c>
      <c r="I9389" s="2" t="s">
        <v>20478</v>
      </c>
      <c r="J9389" s="2" t="s">
        <v>13904</v>
      </c>
      <c r="K9389" s="2" t="s">
        <v>19265</v>
      </c>
      <c r="L9389" s="82" t="s">
        <v>19512</v>
      </c>
    </row>
    <row r="9390" spans="1:15" ht="84" customHeight="1" x14ac:dyDescent="0.3">
      <c r="A9390" s="2">
        <v>9386</v>
      </c>
      <c r="B9390" s="66" t="s">
        <v>11045</v>
      </c>
      <c r="C9390" s="66" t="s">
        <v>11046</v>
      </c>
      <c r="D9390" s="11">
        <v>45950.400000000001</v>
      </c>
      <c r="E9390" s="11">
        <v>45950.400000000001</v>
      </c>
      <c r="F9390" s="3">
        <v>40282</v>
      </c>
      <c r="G9390" s="2"/>
      <c r="H9390" s="3">
        <v>43252</v>
      </c>
      <c r="I9390" s="2" t="s">
        <v>20478</v>
      </c>
      <c r="J9390" s="2" t="s">
        <v>13904</v>
      </c>
      <c r="K9390" s="2" t="s">
        <v>19265</v>
      </c>
      <c r="L9390" s="82" t="s">
        <v>19512</v>
      </c>
    </row>
    <row r="9391" spans="1:15" ht="84" customHeight="1" x14ac:dyDescent="0.3">
      <c r="A9391" s="2">
        <v>9387</v>
      </c>
      <c r="B9391" s="66" t="s">
        <v>273</v>
      </c>
      <c r="C9391" s="66" t="s">
        <v>11047</v>
      </c>
      <c r="D9391" s="11">
        <v>97000</v>
      </c>
      <c r="E9391" s="11">
        <v>97000</v>
      </c>
      <c r="F9391" s="3">
        <v>40282</v>
      </c>
      <c r="G9391" s="2"/>
      <c r="H9391" s="2"/>
      <c r="I9391" s="2"/>
      <c r="J9391" s="2" t="s">
        <v>13904</v>
      </c>
      <c r="K9391" s="2" t="s">
        <v>19265</v>
      </c>
      <c r="L9391" s="82"/>
    </row>
    <row r="9392" spans="1:15" ht="84" customHeight="1" x14ac:dyDescent="0.3">
      <c r="A9392" s="2">
        <v>9388</v>
      </c>
      <c r="B9392" s="66" t="s">
        <v>11048</v>
      </c>
      <c r="C9392" s="66" t="s">
        <v>4206</v>
      </c>
      <c r="D9392" s="11">
        <v>9850</v>
      </c>
      <c r="E9392" s="11">
        <v>9850</v>
      </c>
      <c r="F9392" s="3">
        <v>39445</v>
      </c>
      <c r="G9392" s="2"/>
      <c r="H9392" s="3">
        <v>43053</v>
      </c>
      <c r="I9392" s="2" t="s">
        <v>19506</v>
      </c>
      <c r="J9392" s="2" t="s">
        <v>13904</v>
      </c>
      <c r="K9392" s="2" t="s">
        <v>19265</v>
      </c>
      <c r="L9392" s="82" t="s">
        <v>19512</v>
      </c>
    </row>
    <row r="9393" spans="1:12" ht="84" customHeight="1" x14ac:dyDescent="0.3">
      <c r="A9393" s="2">
        <v>9389</v>
      </c>
      <c r="B9393" s="66" t="s">
        <v>11049</v>
      </c>
      <c r="C9393" s="66" t="s">
        <v>11050</v>
      </c>
      <c r="D9393" s="11">
        <v>11362.8</v>
      </c>
      <c r="E9393" s="11">
        <v>11362.8</v>
      </c>
      <c r="F9393" s="3">
        <v>40282</v>
      </c>
      <c r="G9393" s="2"/>
      <c r="H9393" s="3">
        <v>43053</v>
      </c>
      <c r="I9393" s="2" t="s">
        <v>19506</v>
      </c>
      <c r="J9393" s="2" t="s">
        <v>13904</v>
      </c>
      <c r="K9393" s="2" t="s">
        <v>19265</v>
      </c>
      <c r="L9393" s="82" t="s">
        <v>19512</v>
      </c>
    </row>
    <row r="9394" spans="1:12" ht="84" customHeight="1" x14ac:dyDescent="0.3">
      <c r="A9394" s="2">
        <v>9390</v>
      </c>
      <c r="B9394" s="66" t="s">
        <v>11051</v>
      </c>
      <c r="C9394" s="66" t="s">
        <v>11052</v>
      </c>
      <c r="D9394" s="11">
        <v>11362.8</v>
      </c>
      <c r="E9394" s="11">
        <v>11362.8</v>
      </c>
      <c r="F9394" s="3">
        <v>40282</v>
      </c>
      <c r="G9394" s="2"/>
      <c r="H9394" s="3">
        <v>43053</v>
      </c>
      <c r="I9394" s="2" t="s">
        <v>19506</v>
      </c>
      <c r="J9394" s="2" t="s">
        <v>13904</v>
      </c>
      <c r="K9394" s="2" t="s">
        <v>19265</v>
      </c>
      <c r="L9394" s="82" t="s">
        <v>19512</v>
      </c>
    </row>
    <row r="9395" spans="1:12" ht="84" customHeight="1" x14ac:dyDescent="0.3">
      <c r="A9395" s="2">
        <v>9391</v>
      </c>
      <c r="B9395" s="66" t="s">
        <v>11053</v>
      </c>
      <c r="C9395" s="66" t="s">
        <v>11054</v>
      </c>
      <c r="D9395" s="11">
        <v>6348</v>
      </c>
      <c r="E9395" s="11">
        <v>6348</v>
      </c>
      <c r="F9395" s="3">
        <v>40282</v>
      </c>
      <c r="G9395" s="2"/>
      <c r="H9395" s="3">
        <v>43053</v>
      </c>
      <c r="I9395" s="2" t="s">
        <v>19506</v>
      </c>
      <c r="J9395" s="2" t="s">
        <v>13904</v>
      </c>
      <c r="K9395" s="2" t="s">
        <v>19265</v>
      </c>
      <c r="L9395" s="82" t="s">
        <v>19512</v>
      </c>
    </row>
    <row r="9396" spans="1:12" ht="84" customHeight="1" x14ac:dyDescent="0.3">
      <c r="A9396" s="2">
        <v>9392</v>
      </c>
      <c r="B9396" s="66" t="s">
        <v>11055</v>
      </c>
      <c r="C9396" s="66" t="s">
        <v>11056</v>
      </c>
      <c r="D9396" s="11">
        <v>14884</v>
      </c>
      <c r="E9396" s="11">
        <v>14884</v>
      </c>
      <c r="F9396" s="3">
        <v>40282</v>
      </c>
      <c r="G9396" s="2"/>
      <c r="H9396" s="3">
        <v>43053</v>
      </c>
      <c r="I9396" s="2" t="s">
        <v>19506</v>
      </c>
      <c r="J9396" s="2" t="s">
        <v>13904</v>
      </c>
      <c r="K9396" s="2" t="s">
        <v>19265</v>
      </c>
      <c r="L9396" s="82" t="s">
        <v>19512</v>
      </c>
    </row>
    <row r="9397" spans="1:12" ht="84" customHeight="1" x14ac:dyDescent="0.3">
      <c r="A9397" s="2">
        <v>9393</v>
      </c>
      <c r="B9397" s="66" t="s">
        <v>11057</v>
      </c>
      <c r="C9397" s="66" t="s">
        <v>5219</v>
      </c>
      <c r="D9397" s="11">
        <v>37100</v>
      </c>
      <c r="E9397" s="11">
        <v>37100</v>
      </c>
      <c r="F9397" s="3">
        <v>39445</v>
      </c>
      <c r="G9397" s="2"/>
      <c r="H9397" s="3">
        <v>43053</v>
      </c>
      <c r="I9397" s="2" t="s">
        <v>19506</v>
      </c>
      <c r="J9397" s="2" t="s">
        <v>13904</v>
      </c>
      <c r="K9397" s="2" t="s">
        <v>19265</v>
      </c>
      <c r="L9397" s="82" t="s">
        <v>19512</v>
      </c>
    </row>
    <row r="9398" spans="1:12" ht="84" customHeight="1" x14ac:dyDescent="0.3">
      <c r="A9398" s="2">
        <v>9394</v>
      </c>
      <c r="B9398" s="66" t="s">
        <v>11058</v>
      </c>
      <c r="C9398" s="66" t="s">
        <v>3429</v>
      </c>
      <c r="D9398" s="11">
        <v>63694.32</v>
      </c>
      <c r="E9398" s="11">
        <v>63694.32</v>
      </c>
      <c r="F9398" s="3">
        <v>39057</v>
      </c>
      <c r="G9398" s="2"/>
      <c r="H9398" s="2"/>
      <c r="I9398" s="2"/>
      <c r="J9398" s="2" t="s">
        <v>13904</v>
      </c>
      <c r="K9398" s="2" t="s">
        <v>19265</v>
      </c>
      <c r="L9398" s="82"/>
    </row>
    <row r="9399" spans="1:12" ht="84" customHeight="1" x14ac:dyDescent="0.3">
      <c r="A9399" s="2">
        <v>9395</v>
      </c>
      <c r="B9399" s="66" t="s">
        <v>11059</v>
      </c>
      <c r="C9399" s="66" t="s">
        <v>4212</v>
      </c>
      <c r="D9399" s="11">
        <v>12965</v>
      </c>
      <c r="E9399" s="11">
        <v>12965</v>
      </c>
      <c r="F9399" s="3">
        <v>39445</v>
      </c>
      <c r="G9399" s="2"/>
      <c r="H9399" s="3">
        <v>43053</v>
      </c>
      <c r="I9399" s="2" t="s">
        <v>19506</v>
      </c>
      <c r="J9399" s="2" t="s">
        <v>13904</v>
      </c>
      <c r="K9399" s="2" t="s">
        <v>19265</v>
      </c>
      <c r="L9399" s="82" t="s">
        <v>19512</v>
      </c>
    </row>
    <row r="9400" spans="1:12" ht="84" customHeight="1" x14ac:dyDescent="0.3">
      <c r="A9400" s="2">
        <v>9396</v>
      </c>
      <c r="B9400" s="66" t="s">
        <v>11060</v>
      </c>
      <c r="C9400" s="66" t="s">
        <v>5214</v>
      </c>
      <c r="D9400" s="11">
        <v>14880</v>
      </c>
      <c r="E9400" s="11">
        <v>14880</v>
      </c>
      <c r="F9400" s="3">
        <v>39445</v>
      </c>
      <c r="G9400" s="2"/>
      <c r="H9400" s="3">
        <v>43053</v>
      </c>
      <c r="I9400" s="2" t="s">
        <v>19506</v>
      </c>
      <c r="J9400" s="2" t="s">
        <v>13904</v>
      </c>
      <c r="K9400" s="2" t="s">
        <v>19265</v>
      </c>
      <c r="L9400" s="82" t="s">
        <v>19512</v>
      </c>
    </row>
    <row r="9401" spans="1:12" ht="84" customHeight="1" x14ac:dyDescent="0.3">
      <c r="A9401" s="2">
        <v>9397</v>
      </c>
      <c r="B9401" s="66" t="s">
        <v>11061</v>
      </c>
      <c r="C9401" s="66" t="s">
        <v>11062</v>
      </c>
      <c r="D9401" s="11">
        <v>30406.2</v>
      </c>
      <c r="E9401" s="11">
        <v>30406.2</v>
      </c>
      <c r="F9401" s="3">
        <v>40282</v>
      </c>
      <c r="G9401" s="2"/>
      <c r="H9401" s="3">
        <v>43053</v>
      </c>
      <c r="I9401" s="2" t="s">
        <v>19506</v>
      </c>
      <c r="J9401" s="2" t="s">
        <v>13904</v>
      </c>
      <c r="K9401" s="2" t="s">
        <v>19265</v>
      </c>
      <c r="L9401" s="82" t="s">
        <v>19512</v>
      </c>
    </row>
    <row r="9402" spans="1:12" ht="84" customHeight="1" x14ac:dyDescent="0.3">
      <c r="A9402" s="2">
        <v>9398</v>
      </c>
      <c r="B9402" s="66" t="s">
        <v>11063</v>
      </c>
      <c r="C9402" s="66" t="s">
        <v>11064</v>
      </c>
      <c r="D9402" s="11">
        <v>30406.2</v>
      </c>
      <c r="E9402" s="11">
        <v>30406.2</v>
      </c>
      <c r="F9402" s="3">
        <v>40282</v>
      </c>
      <c r="G9402" s="2"/>
      <c r="H9402" s="3">
        <v>43053</v>
      </c>
      <c r="I9402" s="2" t="s">
        <v>19506</v>
      </c>
      <c r="J9402" s="2" t="s">
        <v>13904</v>
      </c>
      <c r="K9402" s="2" t="s">
        <v>19265</v>
      </c>
      <c r="L9402" s="82" t="s">
        <v>19512</v>
      </c>
    </row>
    <row r="9403" spans="1:12" ht="84" customHeight="1" x14ac:dyDescent="0.3">
      <c r="A9403" s="2">
        <v>9399</v>
      </c>
      <c r="B9403" s="66" t="s">
        <v>11065</v>
      </c>
      <c r="C9403" s="66" t="s">
        <v>4190</v>
      </c>
      <c r="D9403" s="11">
        <v>5456.15</v>
      </c>
      <c r="E9403" s="11">
        <v>5456.15</v>
      </c>
      <c r="F9403" s="3">
        <v>35703</v>
      </c>
      <c r="G9403" s="2"/>
      <c r="H9403" s="3">
        <v>43053</v>
      </c>
      <c r="I9403" s="2" t="s">
        <v>19506</v>
      </c>
      <c r="J9403" s="2" t="s">
        <v>13904</v>
      </c>
      <c r="K9403" s="2" t="s">
        <v>19265</v>
      </c>
      <c r="L9403" s="82" t="s">
        <v>19512</v>
      </c>
    </row>
    <row r="9404" spans="1:12" ht="84" customHeight="1" x14ac:dyDescent="0.3">
      <c r="A9404" s="2">
        <v>9400</v>
      </c>
      <c r="B9404" s="66" t="s">
        <v>11066</v>
      </c>
      <c r="C9404" s="66" t="s">
        <v>3400</v>
      </c>
      <c r="D9404" s="11">
        <v>12556</v>
      </c>
      <c r="E9404" s="11">
        <v>12556</v>
      </c>
      <c r="F9404" s="3">
        <v>40282</v>
      </c>
      <c r="G9404" s="2"/>
      <c r="H9404" s="3">
        <v>43053</v>
      </c>
      <c r="I9404" s="2" t="s">
        <v>19506</v>
      </c>
      <c r="J9404" s="2" t="s">
        <v>13904</v>
      </c>
      <c r="K9404" s="2" t="s">
        <v>19265</v>
      </c>
      <c r="L9404" s="82" t="s">
        <v>19512</v>
      </c>
    </row>
    <row r="9405" spans="1:12" ht="84" customHeight="1" x14ac:dyDescent="0.3">
      <c r="A9405" s="2">
        <v>9401</v>
      </c>
      <c r="B9405" s="66" t="s">
        <v>11067</v>
      </c>
      <c r="C9405" s="66" t="s">
        <v>5475</v>
      </c>
      <c r="D9405" s="11">
        <v>11689.6</v>
      </c>
      <c r="E9405" s="11">
        <v>11689.6</v>
      </c>
      <c r="F9405" s="3">
        <v>39066</v>
      </c>
      <c r="G9405" s="2"/>
      <c r="H9405" s="3">
        <v>43053</v>
      </c>
      <c r="I9405" s="2" t="s">
        <v>19506</v>
      </c>
      <c r="J9405" s="2" t="s">
        <v>13904</v>
      </c>
      <c r="K9405" s="2" t="s">
        <v>19265</v>
      </c>
      <c r="L9405" s="82" t="s">
        <v>19512</v>
      </c>
    </row>
    <row r="9406" spans="1:12" ht="84" customHeight="1" x14ac:dyDescent="0.3">
      <c r="A9406" s="2">
        <v>9402</v>
      </c>
      <c r="B9406" s="66" t="s">
        <v>11068</v>
      </c>
      <c r="C9406" s="66" t="s">
        <v>4340</v>
      </c>
      <c r="D9406" s="11">
        <v>6988.02</v>
      </c>
      <c r="E9406" s="11">
        <v>6988.02</v>
      </c>
      <c r="F9406" s="3">
        <v>40282</v>
      </c>
      <c r="G9406" s="2"/>
      <c r="H9406" s="3">
        <v>43053</v>
      </c>
      <c r="I9406" s="2" t="s">
        <v>19506</v>
      </c>
      <c r="J9406" s="2" t="s">
        <v>13904</v>
      </c>
      <c r="K9406" s="2" t="s">
        <v>19265</v>
      </c>
      <c r="L9406" s="82" t="s">
        <v>19512</v>
      </c>
    </row>
    <row r="9407" spans="1:12" ht="84" customHeight="1" x14ac:dyDescent="0.3">
      <c r="A9407" s="2">
        <v>9403</v>
      </c>
      <c r="B9407" s="66" t="s">
        <v>11069</v>
      </c>
      <c r="C9407" s="66" t="s">
        <v>11070</v>
      </c>
      <c r="D9407" s="11">
        <v>12816.79</v>
      </c>
      <c r="E9407" s="11">
        <v>12816.79</v>
      </c>
      <c r="F9407" s="3">
        <v>40282</v>
      </c>
      <c r="G9407" s="2"/>
      <c r="H9407" s="3">
        <v>43053</v>
      </c>
      <c r="I9407" s="2" t="s">
        <v>19506</v>
      </c>
      <c r="J9407" s="2" t="s">
        <v>13904</v>
      </c>
      <c r="K9407" s="2" t="s">
        <v>19265</v>
      </c>
      <c r="L9407" s="82" t="s">
        <v>19512</v>
      </c>
    </row>
    <row r="9408" spans="1:12" ht="84" customHeight="1" x14ac:dyDescent="0.3">
      <c r="A9408" s="2">
        <v>9404</v>
      </c>
      <c r="B9408" s="66" t="s">
        <v>10569</v>
      </c>
      <c r="C9408" s="66" t="s">
        <v>10855</v>
      </c>
      <c r="D9408" s="11">
        <v>25000</v>
      </c>
      <c r="E9408" s="11">
        <v>25000</v>
      </c>
      <c r="F9408" s="3">
        <v>41911</v>
      </c>
      <c r="G9408" s="2"/>
      <c r="H9408" s="3">
        <v>43053</v>
      </c>
      <c r="I9408" s="2" t="s">
        <v>19506</v>
      </c>
      <c r="J9408" s="2" t="s">
        <v>13904</v>
      </c>
      <c r="K9408" s="2" t="s">
        <v>19265</v>
      </c>
      <c r="L9408" s="82" t="s">
        <v>19512</v>
      </c>
    </row>
    <row r="9409" spans="1:12" ht="84" customHeight="1" x14ac:dyDescent="0.3">
      <c r="A9409" s="2">
        <v>9405</v>
      </c>
      <c r="B9409" s="66" t="s">
        <v>10569</v>
      </c>
      <c r="C9409" s="66" t="s">
        <v>10654</v>
      </c>
      <c r="D9409" s="11">
        <v>25000</v>
      </c>
      <c r="E9409" s="11">
        <v>25000</v>
      </c>
      <c r="F9409" s="3">
        <v>41911</v>
      </c>
      <c r="G9409" s="2"/>
      <c r="H9409" s="3">
        <v>43053</v>
      </c>
      <c r="I9409" s="2" t="s">
        <v>19506</v>
      </c>
      <c r="J9409" s="2" t="s">
        <v>13904</v>
      </c>
      <c r="K9409" s="2" t="s">
        <v>19265</v>
      </c>
      <c r="L9409" s="82" t="s">
        <v>19512</v>
      </c>
    </row>
    <row r="9410" spans="1:12" ht="84" customHeight="1" x14ac:dyDescent="0.3">
      <c r="A9410" s="2">
        <v>9406</v>
      </c>
      <c r="B9410" s="66" t="s">
        <v>10569</v>
      </c>
      <c r="C9410" s="66" t="s">
        <v>10647</v>
      </c>
      <c r="D9410" s="11">
        <v>25000</v>
      </c>
      <c r="E9410" s="11">
        <v>25000</v>
      </c>
      <c r="F9410" s="3">
        <v>41911</v>
      </c>
      <c r="G9410" s="2"/>
      <c r="H9410" s="3">
        <v>43053</v>
      </c>
      <c r="I9410" s="2" t="s">
        <v>19506</v>
      </c>
      <c r="J9410" s="2" t="s">
        <v>13904</v>
      </c>
      <c r="K9410" s="2" t="s">
        <v>19265</v>
      </c>
      <c r="L9410" s="82" t="s">
        <v>19512</v>
      </c>
    </row>
    <row r="9411" spans="1:12" ht="84" customHeight="1" x14ac:dyDescent="0.3">
      <c r="A9411" s="2">
        <v>9407</v>
      </c>
      <c r="B9411" s="66" t="s">
        <v>5068</v>
      </c>
      <c r="C9411" s="66" t="s">
        <v>10652</v>
      </c>
      <c r="D9411" s="11">
        <v>25750</v>
      </c>
      <c r="E9411" s="11">
        <v>25750</v>
      </c>
      <c r="F9411" s="3">
        <v>41884</v>
      </c>
      <c r="G9411" s="2"/>
      <c r="H9411" s="3">
        <v>43053</v>
      </c>
      <c r="I9411" s="2" t="s">
        <v>19506</v>
      </c>
      <c r="J9411" s="2" t="s">
        <v>13904</v>
      </c>
      <c r="K9411" s="2" t="s">
        <v>19265</v>
      </c>
      <c r="L9411" s="82" t="s">
        <v>19512</v>
      </c>
    </row>
    <row r="9412" spans="1:12" ht="84" customHeight="1" x14ac:dyDescent="0.3">
      <c r="A9412" s="2">
        <v>9408</v>
      </c>
      <c r="B9412" s="66" t="s">
        <v>218</v>
      </c>
      <c r="C9412" s="66" t="s">
        <v>10650</v>
      </c>
      <c r="D9412" s="11">
        <v>25750</v>
      </c>
      <c r="E9412" s="11">
        <v>25750</v>
      </c>
      <c r="F9412" s="3">
        <v>41884</v>
      </c>
      <c r="G9412" s="2"/>
      <c r="H9412" s="3">
        <v>43053</v>
      </c>
      <c r="I9412" s="2" t="s">
        <v>19506</v>
      </c>
      <c r="J9412" s="2" t="s">
        <v>13904</v>
      </c>
      <c r="K9412" s="2" t="s">
        <v>19265</v>
      </c>
      <c r="L9412" s="82" t="s">
        <v>19512</v>
      </c>
    </row>
    <row r="9413" spans="1:12" ht="84" customHeight="1" x14ac:dyDescent="0.3">
      <c r="A9413" s="2">
        <v>9409</v>
      </c>
      <c r="B9413" s="66" t="s">
        <v>11071</v>
      </c>
      <c r="C9413" s="66" t="s">
        <v>10645</v>
      </c>
      <c r="D9413" s="11">
        <v>10600.15</v>
      </c>
      <c r="E9413" s="11">
        <v>10600.15</v>
      </c>
      <c r="F9413" s="3">
        <v>41997</v>
      </c>
      <c r="G9413" s="2"/>
      <c r="H9413" s="3">
        <v>43053</v>
      </c>
      <c r="I9413" s="2" t="s">
        <v>19506</v>
      </c>
      <c r="J9413" s="2" t="s">
        <v>13904</v>
      </c>
      <c r="K9413" s="2" t="s">
        <v>19265</v>
      </c>
      <c r="L9413" s="82" t="s">
        <v>19512</v>
      </c>
    </row>
    <row r="9414" spans="1:12" ht="84" customHeight="1" x14ac:dyDescent="0.3">
      <c r="A9414" s="2">
        <v>9410</v>
      </c>
      <c r="B9414" s="66" t="s">
        <v>19317</v>
      </c>
      <c r="C9414" s="66">
        <v>1101350014</v>
      </c>
      <c r="D9414" s="11">
        <v>251800</v>
      </c>
      <c r="E9414" s="11">
        <v>251800</v>
      </c>
      <c r="F9414" s="3">
        <v>42328</v>
      </c>
      <c r="G9414" s="2" t="s">
        <v>12052</v>
      </c>
      <c r="H9414" s="2"/>
      <c r="I9414" s="2"/>
      <c r="J9414" s="2" t="s">
        <v>13904</v>
      </c>
      <c r="K9414" s="2" t="s">
        <v>21342</v>
      </c>
      <c r="L9414" s="82"/>
    </row>
    <row r="9415" spans="1:12" ht="84" customHeight="1" x14ac:dyDescent="0.3">
      <c r="A9415" s="2">
        <v>9411</v>
      </c>
      <c r="B9415" s="66" t="s">
        <v>22580</v>
      </c>
      <c r="C9415" s="66">
        <v>1101350020</v>
      </c>
      <c r="D9415" s="11">
        <v>974120</v>
      </c>
      <c r="E9415" s="11"/>
      <c r="F9415" s="3" t="s">
        <v>22581</v>
      </c>
      <c r="G9415" s="2" t="s">
        <v>22582</v>
      </c>
      <c r="H9415" s="3"/>
      <c r="I9415" s="2"/>
      <c r="J9415" s="2" t="s">
        <v>13904</v>
      </c>
      <c r="K9415" s="2" t="s">
        <v>22579</v>
      </c>
      <c r="L9415" s="82"/>
    </row>
    <row r="9416" spans="1:12" ht="84" customHeight="1" x14ac:dyDescent="0.3">
      <c r="A9416" s="2">
        <v>9412</v>
      </c>
      <c r="B9416" s="66" t="s">
        <v>11072</v>
      </c>
      <c r="C9416" s="66" t="s">
        <v>11073</v>
      </c>
      <c r="D9416" s="11">
        <v>7190</v>
      </c>
      <c r="E9416" s="11">
        <v>7190</v>
      </c>
      <c r="F9416" s="3">
        <v>40282</v>
      </c>
      <c r="G9416" s="2"/>
      <c r="H9416" s="3">
        <v>43053</v>
      </c>
      <c r="I9416" s="2" t="s">
        <v>19506</v>
      </c>
      <c r="J9416" s="2" t="s">
        <v>13904</v>
      </c>
      <c r="K9416" s="2" t="s">
        <v>19265</v>
      </c>
      <c r="L9416" s="82" t="s">
        <v>19512</v>
      </c>
    </row>
    <row r="9417" spans="1:12" ht="84" customHeight="1" x14ac:dyDescent="0.3">
      <c r="A9417" s="2">
        <v>9413</v>
      </c>
      <c r="B9417" s="66" t="s">
        <v>11074</v>
      </c>
      <c r="C9417" s="66" t="s">
        <v>5183</v>
      </c>
      <c r="D9417" s="11">
        <v>8995</v>
      </c>
      <c r="E9417" s="11">
        <v>8995</v>
      </c>
      <c r="F9417" s="3">
        <v>40282</v>
      </c>
      <c r="G9417" s="2"/>
      <c r="H9417" s="3">
        <v>43053</v>
      </c>
      <c r="I9417" s="2" t="s">
        <v>19506</v>
      </c>
      <c r="J9417" s="2" t="s">
        <v>13904</v>
      </c>
      <c r="K9417" s="2" t="s">
        <v>19265</v>
      </c>
      <c r="L9417" s="82" t="s">
        <v>19512</v>
      </c>
    </row>
    <row r="9418" spans="1:12" ht="84" customHeight="1" x14ac:dyDescent="0.3">
      <c r="A9418" s="2">
        <v>9414</v>
      </c>
      <c r="B9418" s="66" t="s">
        <v>11075</v>
      </c>
      <c r="C9418" s="66" t="s">
        <v>11076</v>
      </c>
      <c r="D9418" s="11">
        <v>8995</v>
      </c>
      <c r="E9418" s="11">
        <v>8995</v>
      </c>
      <c r="F9418" s="3">
        <v>40282</v>
      </c>
      <c r="G9418" s="2"/>
      <c r="H9418" s="3">
        <v>43053</v>
      </c>
      <c r="I9418" s="2" t="s">
        <v>19506</v>
      </c>
      <c r="J9418" s="2" t="s">
        <v>13904</v>
      </c>
      <c r="K9418" s="2" t="s">
        <v>19265</v>
      </c>
      <c r="L9418" s="82" t="s">
        <v>19512</v>
      </c>
    </row>
    <row r="9419" spans="1:12" ht="84" customHeight="1" x14ac:dyDescent="0.3">
      <c r="A9419" s="2">
        <v>9415</v>
      </c>
      <c r="B9419" s="66" t="s">
        <v>11077</v>
      </c>
      <c r="C9419" s="66" t="s">
        <v>8115</v>
      </c>
      <c r="D9419" s="11">
        <v>8995</v>
      </c>
      <c r="E9419" s="11">
        <v>8995</v>
      </c>
      <c r="F9419" s="3">
        <v>40282</v>
      </c>
      <c r="G9419" s="2"/>
      <c r="H9419" s="3">
        <v>43053</v>
      </c>
      <c r="I9419" s="2" t="s">
        <v>19506</v>
      </c>
      <c r="J9419" s="2" t="s">
        <v>13904</v>
      </c>
      <c r="K9419" s="2" t="s">
        <v>19265</v>
      </c>
      <c r="L9419" s="82" t="s">
        <v>19512</v>
      </c>
    </row>
    <row r="9420" spans="1:12" ht="84" customHeight="1" x14ac:dyDescent="0.3">
      <c r="A9420" s="2">
        <v>9416</v>
      </c>
      <c r="B9420" s="66" t="s">
        <v>11078</v>
      </c>
      <c r="C9420" s="66" t="s">
        <v>3565</v>
      </c>
      <c r="D9420" s="11">
        <v>8995</v>
      </c>
      <c r="E9420" s="11">
        <v>8995</v>
      </c>
      <c r="F9420" s="3">
        <v>40282</v>
      </c>
      <c r="G9420" s="2"/>
      <c r="H9420" s="3">
        <v>43053</v>
      </c>
      <c r="I9420" s="2" t="s">
        <v>19506</v>
      </c>
      <c r="J9420" s="2" t="s">
        <v>13904</v>
      </c>
      <c r="K9420" s="2" t="s">
        <v>19265</v>
      </c>
      <c r="L9420" s="82" t="s">
        <v>19512</v>
      </c>
    </row>
    <row r="9421" spans="1:12" ht="84" customHeight="1" x14ac:dyDescent="0.3">
      <c r="A9421" s="2">
        <v>9417</v>
      </c>
      <c r="B9421" s="66" t="s">
        <v>11079</v>
      </c>
      <c r="C9421" s="66" t="s">
        <v>11080</v>
      </c>
      <c r="D9421" s="11">
        <v>34999</v>
      </c>
      <c r="E9421" s="11">
        <v>32082.6</v>
      </c>
      <c r="F9421" s="3">
        <v>40493</v>
      </c>
      <c r="G9421" s="2"/>
      <c r="H9421" s="3">
        <v>43053</v>
      </c>
      <c r="I9421" s="2" t="s">
        <v>19506</v>
      </c>
      <c r="J9421" s="2" t="s">
        <v>13904</v>
      </c>
      <c r="K9421" s="2" t="s">
        <v>19265</v>
      </c>
      <c r="L9421" s="82" t="s">
        <v>19512</v>
      </c>
    </row>
    <row r="9422" spans="1:12" ht="84" customHeight="1" x14ac:dyDescent="0.3">
      <c r="A9422" s="2">
        <v>9418</v>
      </c>
      <c r="B9422" s="66" t="s">
        <v>11081</v>
      </c>
      <c r="C9422" s="66" t="s">
        <v>11082</v>
      </c>
      <c r="D9422" s="11">
        <v>7612</v>
      </c>
      <c r="E9422" s="11">
        <v>7612</v>
      </c>
      <c r="F9422" s="3">
        <v>40282</v>
      </c>
      <c r="G9422" s="2"/>
      <c r="H9422" s="3">
        <v>43053</v>
      </c>
      <c r="I9422" s="2" t="s">
        <v>19506</v>
      </c>
      <c r="J9422" s="2" t="s">
        <v>13904</v>
      </c>
      <c r="K9422" s="2" t="s">
        <v>19265</v>
      </c>
      <c r="L9422" s="82" t="s">
        <v>19512</v>
      </c>
    </row>
    <row r="9423" spans="1:12" ht="84" customHeight="1" x14ac:dyDescent="0.3">
      <c r="A9423" s="2">
        <v>9419</v>
      </c>
      <c r="B9423" s="66" t="s">
        <v>11083</v>
      </c>
      <c r="C9423" s="66" t="s">
        <v>11084</v>
      </c>
      <c r="D9423" s="11">
        <v>14084.8</v>
      </c>
      <c r="E9423" s="11">
        <v>14084.8</v>
      </c>
      <c r="F9423" s="3">
        <v>40282</v>
      </c>
      <c r="G9423" s="2"/>
      <c r="H9423" s="3">
        <v>43053</v>
      </c>
      <c r="I9423" s="2" t="s">
        <v>19506</v>
      </c>
      <c r="J9423" s="2" t="s">
        <v>13904</v>
      </c>
      <c r="K9423" s="2" t="s">
        <v>19265</v>
      </c>
      <c r="L9423" s="82" t="s">
        <v>19512</v>
      </c>
    </row>
    <row r="9424" spans="1:12" ht="84" customHeight="1" x14ac:dyDescent="0.3">
      <c r="A9424" s="2">
        <v>9420</v>
      </c>
      <c r="B9424" s="66" t="s">
        <v>11085</v>
      </c>
      <c r="C9424" s="66" t="s">
        <v>7032</v>
      </c>
      <c r="D9424" s="11">
        <v>9090</v>
      </c>
      <c r="E9424" s="11">
        <v>9090</v>
      </c>
      <c r="F9424" s="3">
        <v>40282</v>
      </c>
      <c r="G9424" s="2"/>
      <c r="H9424" s="3">
        <v>43053</v>
      </c>
      <c r="I9424" s="2" t="s">
        <v>19506</v>
      </c>
      <c r="J9424" s="2" t="s">
        <v>13904</v>
      </c>
      <c r="K9424" s="2" t="s">
        <v>19265</v>
      </c>
      <c r="L9424" s="82" t="s">
        <v>19512</v>
      </c>
    </row>
    <row r="9425" spans="1:12" ht="84" customHeight="1" x14ac:dyDescent="0.3">
      <c r="A9425" s="2">
        <v>9421</v>
      </c>
      <c r="B9425" s="66" t="s">
        <v>3637</v>
      </c>
      <c r="C9425" s="66" t="s">
        <v>11086</v>
      </c>
      <c r="D9425" s="11">
        <v>9095</v>
      </c>
      <c r="E9425" s="11">
        <v>9095</v>
      </c>
      <c r="F9425" s="3">
        <v>40282</v>
      </c>
      <c r="G9425" s="2"/>
      <c r="H9425" s="3">
        <v>43053</v>
      </c>
      <c r="I9425" s="2" t="s">
        <v>19506</v>
      </c>
      <c r="J9425" s="2" t="s">
        <v>13904</v>
      </c>
      <c r="K9425" s="2" t="s">
        <v>19265</v>
      </c>
      <c r="L9425" s="82" t="s">
        <v>19512</v>
      </c>
    </row>
    <row r="9426" spans="1:12" ht="84" customHeight="1" x14ac:dyDescent="0.3">
      <c r="A9426" s="2">
        <v>9422</v>
      </c>
      <c r="B9426" s="66" t="s">
        <v>11087</v>
      </c>
      <c r="C9426" s="66" t="s">
        <v>11088</v>
      </c>
      <c r="D9426" s="11">
        <v>9326.4</v>
      </c>
      <c r="E9426" s="11">
        <v>9326.4</v>
      </c>
      <c r="F9426" s="3">
        <v>40282</v>
      </c>
      <c r="G9426" s="2"/>
      <c r="H9426" s="3">
        <v>43053</v>
      </c>
      <c r="I9426" s="2" t="s">
        <v>19506</v>
      </c>
      <c r="J9426" s="2" t="s">
        <v>13904</v>
      </c>
      <c r="K9426" s="2" t="s">
        <v>19265</v>
      </c>
      <c r="L9426" s="82" t="s">
        <v>19512</v>
      </c>
    </row>
    <row r="9427" spans="1:12" ht="84" customHeight="1" x14ac:dyDescent="0.3">
      <c r="A9427" s="2">
        <v>9423</v>
      </c>
      <c r="B9427" s="66" t="s">
        <v>11089</v>
      </c>
      <c r="C9427" s="66" t="s">
        <v>11090</v>
      </c>
      <c r="D9427" s="11">
        <v>4588.5</v>
      </c>
      <c r="E9427" s="11">
        <v>4588.5</v>
      </c>
      <c r="F9427" s="3">
        <v>40282</v>
      </c>
      <c r="G9427" s="2"/>
      <c r="H9427" s="3">
        <v>43053</v>
      </c>
      <c r="I9427" s="2" t="s">
        <v>19506</v>
      </c>
      <c r="J9427" s="2" t="s">
        <v>13904</v>
      </c>
      <c r="K9427" s="2" t="s">
        <v>19265</v>
      </c>
      <c r="L9427" s="82" t="s">
        <v>19512</v>
      </c>
    </row>
    <row r="9428" spans="1:12" ht="84" customHeight="1" x14ac:dyDescent="0.3">
      <c r="A9428" s="2">
        <v>9424</v>
      </c>
      <c r="B9428" s="66" t="s">
        <v>11091</v>
      </c>
      <c r="C9428" s="66" t="s">
        <v>11092</v>
      </c>
      <c r="D9428" s="11">
        <v>4588.5</v>
      </c>
      <c r="E9428" s="11">
        <v>4588.5</v>
      </c>
      <c r="F9428" s="3">
        <v>40282</v>
      </c>
      <c r="G9428" s="2"/>
      <c r="H9428" s="3">
        <v>43053</v>
      </c>
      <c r="I9428" s="2" t="s">
        <v>19506</v>
      </c>
      <c r="J9428" s="2" t="s">
        <v>13904</v>
      </c>
      <c r="K9428" s="2" t="s">
        <v>19265</v>
      </c>
      <c r="L9428" s="82" t="s">
        <v>19512</v>
      </c>
    </row>
    <row r="9429" spans="1:12" ht="84" customHeight="1" x14ac:dyDescent="0.3">
      <c r="A9429" s="2">
        <v>9425</v>
      </c>
      <c r="B9429" s="66" t="s">
        <v>11093</v>
      </c>
      <c r="C9429" s="66" t="s">
        <v>10416</v>
      </c>
      <c r="D9429" s="11">
        <v>4588.5</v>
      </c>
      <c r="E9429" s="11">
        <v>4588.5</v>
      </c>
      <c r="F9429" s="3">
        <v>40282</v>
      </c>
      <c r="G9429" s="2"/>
      <c r="H9429" s="3">
        <v>43053</v>
      </c>
      <c r="I9429" s="2" t="s">
        <v>19506</v>
      </c>
      <c r="J9429" s="2" t="s">
        <v>13904</v>
      </c>
      <c r="K9429" s="2" t="s">
        <v>19265</v>
      </c>
      <c r="L9429" s="82" t="s">
        <v>19512</v>
      </c>
    </row>
    <row r="9430" spans="1:12" ht="84" customHeight="1" x14ac:dyDescent="0.3">
      <c r="A9430" s="2">
        <v>9426</v>
      </c>
      <c r="B9430" s="66" t="s">
        <v>11094</v>
      </c>
      <c r="C9430" s="66" t="s">
        <v>11095</v>
      </c>
      <c r="D9430" s="11">
        <v>4105.5</v>
      </c>
      <c r="E9430" s="11">
        <v>4105.5</v>
      </c>
      <c r="F9430" s="3">
        <v>40282</v>
      </c>
      <c r="G9430" s="2"/>
      <c r="H9430" s="3">
        <v>43053</v>
      </c>
      <c r="I9430" s="2" t="s">
        <v>19506</v>
      </c>
      <c r="J9430" s="2" t="s">
        <v>13904</v>
      </c>
      <c r="K9430" s="2" t="s">
        <v>19265</v>
      </c>
      <c r="L9430" s="82" t="s">
        <v>19512</v>
      </c>
    </row>
    <row r="9431" spans="1:12" ht="84" customHeight="1" x14ac:dyDescent="0.3">
      <c r="A9431" s="2">
        <v>9427</v>
      </c>
      <c r="B9431" s="66" t="s">
        <v>11096</v>
      </c>
      <c r="C9431" s="66" t="s">
        <v>9912</v>
      </c>
      <c r="D9431" s="11">
        <v>25526.17</v>
      </c>
      <c r="E9431" s="11">
        <v>25526.17</v>
      </c>
      <c r="F9431" s="3">
        <v>40282</v>
      </c>
      <c r="G9431" s="2"/>
      <c r="H9431" s="3">
        <v>43053</v>
      </c>
      <c r="I9431" s="2" t="s">
        <v>19506</v>
      </c>
      <c r="J9431" s="2" t="s">
        <v>13904</v>
      </c>
      <c r="K9431" s="2" t="s">
        <v>19265</v>
      </c>
      <c r="L9431" s="82" t="s">
        <v>19512</v>
      </c>
    </row>
    <row r="9432" spans="1:12" ht="84" customHeight="1" x14ac:dyDescent="0.3">
      <c r="A9432" s="2">
        <v>9428</v>
      </c>
      <c r="B9432" s="66" t="s">
        <v>11097</v>
      </c>
      <c r="C9432" s="66" t="s">
        <v>11098</v>
      </c>
      <c r="D9432" s="11">
        <v>3080.7</v>
      </c>
      <c r="E9432" s="11">
        <v>3080.7</v>
      </c>
      <c r="F9432" s="3">
        <v>40282</v>
      </c>
      <c r="G9432" s="2"/>
      <c r="H9432" s="3">
        <v>43053</v>
      </c>
      <c r="I9432" s="2" t="s">
        <v>19506</v>
      </c>
      <c r="J9432" s="2" t="s">
        <v>13904</v>
      </c>
      <c r="K9432" s="2" t="s">
        <v>19265</v>
      </c>
      <c r="L9432" s="82" t="s">
        <v>19512</v>
      </c>
    </row>
    <row r="9433" spans="1:12" ht="84" customHeight="1" x14ac:dyDescent="0.3">
      <c r="A9433" s="2">
        <v>9429</v>
      </c>
      <c r="B9433" s="66" t="s">
        <v>11099</v>
      </c>
      <c r="C9433" s="66" t="s">
        <v>7702</v>
      </c>
      <c r="D9433" s="11">
        <v>3080.7</v>
      </c>
      <c r="E9433" s="11">
        <v>3080.7</v>
      </c>
      <c r="F9433" s="3">
        <v>40282</v>
      </c>
      <c r="G9433" s="2"/>
      <c r="H9433" s="3">
        <v>43053</v>
      </c>
      <c r="I9433" s="2" t="s">
        <v>19506</v>
      </c>
      <c r="J9433" s="2" t="s">
        <v>13904</v>
      </c>
      <c r="K9433" s="2" t="s">
        <v>19265</v>
      </c>
      <c r="L9433" s="82" t="s">
        <v>19512</v>
      </c>
    </row>
    <row r="9434" spans="1:12" ht="84" customHeight="1" x14ac:dyDescent="0.3">
      <c r="A9434" s="2">
        <v>9430</v>
      </c>
      <c r="B9434" s="66" t="s">
        <v>11100</v>
      </c>
      <c r="C9434" s="66" t="s">
        <v>11101</v>
      </c>
      <c r="D9434" s="11">
        <v>4473</v>
      </c>
      <c r="E9434" s="11">
        <v>4473</v>
      </c>
      <c r="F9434" s="3">
        <v>40282</v>
      </c>
      <c r="G9434" s="2"/>
      <c r="H9434" s="3">
        <v>43053</v>
      </c>
      <c r="I9434" s="2" t="s">
        <v>19506</v>
      </c>
      <c r="J9434" s="2" t="s">
        <v>13904</v>
      </c>
      <c r="K9434" s="2" t="s">
        <v>19265</v>
      </c>
      <c r="L9434" s="82" t="s">
        <v>19512</v>
      </c>
    </row>
    <row r="9435" spans="1:12" ht="84" customHeight="1" x14ac:dyDescent="0.3">
      <c r="A9435" s="2">
        <v>9431</v>
      </c>
      <c r="B9435" s="66" t="s">
        <v>11102</v>
      </c>
      <c r="C9435" s="66" t="s">
        <v>4936</v>
      </c>
      <c r="D9435" s="11">
        <v>4840.5</v>
      </c>
      <c r="E9435" s="11">
        <v>4840.5</v>
      </c>
      <c r="F9435" s="3">
        <v>40282</v>
      </c>
      <c r="G9435" s="2"/>
      <c r="H9435" s="3">
        <v>43053</v>
      </c>
      <c r="I9435" s="2" t="s">
        <v>19506</v>
      </c>
      <c r="J9435" s="2" t="s">
        <v>13904</v>
      </c>
      <c r="K9435" s="2" t="s">
        <v>19265</v>
      </c>
      <c r="L9435" s="82" t="s">
        <v>19512</v>
      </c>
    </row>
    <row r="9436" spans="1:12" ht="84" customHeight="1" x14ac:dyDescent="0.3">
      <c r="A9436" s="2">
        <v>9432</v>
      </c>
      <c r="B9436" s="66" t="s">
        <v>11103</v>
      </c>
      <c r="C9436" s="66" t="s">
        <v>11104</v>
      </c>
      <c r="D9436" s="11">
        <v>4840.5</v>
      </c>
      <c r="E9436" s="11">
        <v>4840.5</v>
      </c>
      <c r="F9436" s="3">
        <v>40282</v>
      </c>
      <c r="G9436" s="2"/>
      <c r="H9436" s="3">
        <v>43053</v>
      </c>
      <c r="I9436" s="2" t="s">
        <v>19506</v>
      </c>
      <c r="J9436" s="2" t="s">
        <v>13904</v>
      </c>
      <c r="K9436" s="2" t="s">
        <v>19265</v>
      </c>
      <c r="L9436" s="82" t="s">
        <v>19512</v>
      </c>
    </row>
    <row r="9437" spans="1:12" ht="84" customHeight="1" x14ac:dyDescent="0.3">
      <c r="A9437" s="2">
        <v>9433</v>
      </c>
      <c r="B9437" s="66" t="s">
        <v>11105</v>
      </c>
      <c r="C9437" s="66" t="s">
        <v>5335</v>
      </c>
      <c r="D9437" s="11">
        <v>3650</v>
      </c>
      <c r="E9437" s="11">
        <v>3650</v>
      </c>
      <c r="F9437" s="3">
        <v>39445</v>
      </c>
      <c r="G9437" s="2"/>
      <c r="H9437" s="3">
        <v>43053</v>
      </c>
      <c r="I9437" s="2" t="s">
        <v>19506</v>
      </c>
      <c r="J9437" s="2" t="s">
        <v>13904</v>
      </c>
      <c r="K9437" s="2" t="s">
        <v>19265</v>
      </c>
      <c r="L9437" s="82" t="s">
        <v>19512</v>
      </c>
    </row>
    <row r="9438" spans="1:12" ht="84" customHeight="1" x14ac:dyDescent="0.3">
      <c r="A9438" s="2">
        <v>9434</v>
      </c>
      <c r="B9438" s="66" t="s">
        <v>11106</v>
      </c>
      <c r="C9438" s="66" t="s">
        <v>11107</v>
      </c>
      <c r="D9438" s="11">
        <v>5090.3999999999996</v>
      </c>
      <c r="E9438" s="11">
        <v>5090.3999999999996</v>
      </c>
      <c r="F9438" s="3">
        <v>40282</v>
      </c>
      <c r="G9438" s="2"/>
      <c r="H9438" s="3">
        <v>43053</v>
      </c>
      <c r="I9438" s="2" t="s">
        <v>19506</v>
      </c>
      <c r="J9438" s="2" t="s">
        <v>13904</v>
      </c>
      <c r="K9438" s="2" t="s">
        <v>19265</v>
      </c>
      <c r="L9438" s="82" t="s">
        <v>19512</v>
      </c>
    </row>
    <row r="9439" spans="1:12" ht="84" customHeight="1" x14ac:dyDescent="0.3">
      <c r="A9439" s="2">
        <v>9435</v>
      </c>
      <c r="B9439" s="66" t="s">
        <v>11108</v>
      </c>
      <c r="C9439" s="66" t="s">
        <v>8077</v>
      </c>
      <c r="D9439" s="11">
        <v>5090.41</v>
      </c>
      <c r="E9439" s="11">
        <v>5090.41</v>
      </c>
      <c r="F9439" s="3">
        <v>40282</v>
      </c>
      <c r="G9439" s="2"/>
      <c r="H9439" s="3">
        <v>43053</v>
      </c>
      <c r="I9439" s="2" t="s">
        <v>19506</v>
      </c>
      <c r="J9439" s="2" t="s">
        <v>13904</v>
      </c>
      <c r="K9439" s="2" t="s">
        <v>19265</v>
      </c>
      <c r="L9439" s="82" t="s">
        <v>19512</v>
      </c>
    </row>
    <row r="9440" spans="1:12" ht="84" customHeight="1" x14ac:dyDescent="0.3">
      <c r="A9440" s="2">
        <v>9436</v>
      </c>
      <c r="B9440" s="66" t="s">
        <v>11109</v>
      </c>
      <c r="C9440" s="66" t="s">
        <v>3503</v>
      </c>
      <c r="D9440" s="11">
        <v>8821.4</v>
      </c>
      <c r="E9440" s="11">
        <v>8821.4</v>
      </c>
      <c r="F9440" s="3">
        <v>40282</v>
      </c>
      <c r="G9440" s="2"/>
      <c r="H9440" s="3">
        <v>43053</v>
      </c>
      <c r="I9440" s="2" t="s">
        <v>19506</v>
      </c>
      <c r="J9440" s="2" t="s">
        <v>13904</v>
      </c>
      <c r="K9440" s="2" t="s">
        <v>19265</v>
      </c>
      <c r="L9440" s="82" t="s">
        <v>19512</v>
      </c>
    </row>
    <row r="9441" spans="1:12" ht="84" customHeight="1" x14ac:dyDescent="0.3">
      <c r="A9441" s="2">
        <v>9437</v>
      </c>
      <c r="B9441" s="66" t="s">
        <v>11110</v>
      </c>
      <c r="C9441" s="66" t="s">
        <v>11111</v>
      </c>
      <c r="D9441" s="11">
        <v>4958.1000000000004</v>
      </c>
      <c r="E9441" s="11">
        <v>4958.1000000000004</v>
      </c>
      <c r="F9441" s="3">
        <v>40282</v>
      </c>
      <c r="G9441" s="2"/>
      <c r="H9441" s="3">
        <v>43053</v>
      </c>
      <c r="I9441" s="2" t="s">
        <v>19506</v>
      </c>
      <c r="J9441" s="2" t="s">
        <v>13904</v>
      </c>
      <c r="K9441" s="2" t="s">
        <v>19265</v>
      </c>
      <c r="L9441" s="82" t="s">
        <v>19512</v>
      </c>
    </row>
    <row r="9442" spans="1:12" ht="84" customHeight="1" x14ac:dyDescent="0.3">
      <c r="A9442" s="2">
        <v>9438</v>
      </c>
      <c r="B9442" s="66" t="s">
        <v>11110</v>
      </c>
      <c r="C9442" s="66" t="s">
        <v>11112</v>
      </c>
      <c r="D9442" s="11">
        <v>4721.99</v>
      </c>
      <c r="E9442" s="11">
        <v>4721.99</v>
      </c>
      <c r="F9442" s="3">
        <v>40282</v>
      </c>
      <c r="G9442" s="2"/>
      <c r="H9442" s="3">
        <v>43053</v>
      </c>
      <c r="I9442" s="2" t="s">
        <v>19506</v>
      </c>
      <c r="J9442" s="2" t="s">
        <v>13904</v>
      </c>
      <c r="K9442" s="2" t="s">
        <v>19265</v>
      </c>
      <c r="L9442" s="82" t="s">
        <v>19512</v>
      </c>
    </row>
    <row r="9443" spans="1:12" ht="84" customHeight="1" x14ac:dyDescent="0.3">
      <c r="A9443" s="2">
        <v>9439</v>
      </c>
      <c r="B9443" s="66" t="s">
        <v>11113</v>
      </c>
      <c r="C9443" s="66" t="s">
        <v>3511</v>
      </c>
      <c r="D9443" s="11">
        <v>4958.1000000000004</v>
      </c>
      <c r="E9443" s="11">
        <v>4958.1000000000004</v>
      </c>
      <c r="F9443" s="3">
        <v>40282</v>
      </c>
      <c r="G9443" s="2"/>
      <c r="H9443" s="3">
        <v>43053</v>
      </c>
      <c r="I9443" s="2" t="s">
        <v>19506</v>
      </c>
      <c r="J9443" s="2" t="s">
        <v>13904</v>
      </c>
      <c r="K9443" s="2" t="s">
        <v>19265</v>
      </c>
      <c r="L9443" s="82" t="s">
        <v>19512</v>
      </c>
    </row>
    <row r="9444" spans="1:12" ht="84" customHeight="1" x14ac:dyDescent="0.3">
      <c r="A9444" s="2">
        <v>9440</v>
      </c>
      <c r="B9444" s="66" t="s">
        <v>11114</v>
      </c>
      <c r="C9444" s="66" t="s">
        <v>5939</v>
      </c>
      <c r="D9444" s="11">
        <v>4958.1000000000004</v>
      </c>
      <c r="E9444" s="11">
        <v>4958.1000000000004</v>
      </c>
      <c r="F9444" s="3">
        <v>40282</v>
      </c>
      <c r="G9444" s="2"/>
      <c r="H9444" s="3">
        <v>43053</v>
      </c>
      <c r="I9444" s="2" t="s">
        <v>19506</v>
      </c>
      <c r="J9444" s="2" t="s">
        <v>13904</v>
      </c>
      <c r="K9444" s="2" t="s">
        <v>19265</v>
      </c>
      <c r="L9444" s="82" t="s">
        <v>19512</v>
      </c>
    </row>
    <row r="9445" spans="1:12" ht="84" customHeight="1" x14ac:dyDescent="0.3">
      <c r="A9445" s="2">
        <v>9441</v>
      </c>
      <c r="B9445" s="66" t="s">
        <v>11115</v>
      </c>
      <c r="C9445" s="66" t="s">
        <v>11116</v>
      </c>
      <c r="D9445" s="11">
        <v>6953.1</v>
      </c>
      <c r="E9445" s="11">
        <v>6953.1</v>
      </c>
      <c r="F9445" s="3">
        <v>40282</v>
      </c>
      <c r="G9445" s="2"/>
      <c r="H9445" s="3">
        <v>43053</v>
      </c>
      <c r="I9445" s="2" t="s">
        <v>19506</v>
      </c>
      <c r="J9445" s="2" t="s">
        <v>13904</v>
      </c>
      <c r="K9445" s="2" t="s">
        <v>19265</v>
      </c>
      <c r="L9445" s="82" t="s">
        <v>19512</v>
      </c>
    </row>
    <row r="9446" spans="1:12" ht="84" customHeight="1" x14ac:dyDescent="0.3">
      <c r="A9446" s="2">
        <v>9442</v>
      </c>
      <c r="B9446" s="66" t="s">
        <v>11117</v>
      </c>
      <c r="C9446" s="66" t="s">
        <v>10577</v>
      </c>
      <c r="D9446" s="11">
        <v>29195.599999999999</v>
      </c>
      <c r="E9446" s="11">
        <v>29195.599999999999</v>
      </c>
      <c r="F9446" s="3">
        <v>40282</v>
      </c>
      <c r="G9446" s="2"/>
      <c r="H9446" s="3">
        <v>43053</v>
      </c>
      <c r="I9446" s="2" t="s">
        <v>19506</v>
      </c>
      <c r="J9446" s="2" t="s">
        <v>13904</v>
      </c>
      <c r="K9446" s="2" t="s">
        <v>19265</v>
      </c>
      <c r="L9446" s="82" t="s">
        <v>19512</v>
      </c>
    </row>
    <row r="9447" spans="1:12" ht="84" customHeight="1" x14ac:dyDescent="0.3">
      <c r="A9447" s="2">
        <v>9443</v>
      </c>
      <c r="B9447" s="66" t="s">
        <v>11118</v>
      </c>
      <c r="C9447" s="66" t="s">
        <v>11119</v>
      </c>
      <c r="D9447" s="11">
        <v>36779.4</v>
      </c>
      <c r="E9447" s="11">
        <v>36779.4</v>
      </c>
      <c r="F9447" s="3">
        <v>40282</v>
      </c>
      <c r="G9447" s="2"/>
      <c r="H9447" s="3">
        <v>43053</v>
      </c>
      <c r="I9447" s="2" t="s">
        <v>19506</v>
      </c>
      <c r="J9447" s="2" t="s">
        <v>13904</v>
      </c>
      <c r="K9447" s="2" t="s">
        <v>19265</v>
      </c>
      <c r="L9447" s="82" t="s">
        <v>19512</v>
      </c>
    </row>
    <row r="9448" spans="1:12" ht="84" customHeight="1" x14ac:dyDescent="0.3">
      <c r="A9448" s="2">
        <v>9444</v>
      </c>
      <c r="B9448" s="66" t="s">
        <v>11120</v>
      </c>
      <c r="C9448" s="66" t="s">
        <v>4310</v>
      </c>
      <c r="D9448" s="11">
        <v>17747.8</v>
      </c>
      <c r="E9448" s="11">
        <v>17747.8</v>
      </c>
      <c r="F9448" s="3">
        <v>40282</v>
      </c>
      <c r="G9448" s="2"/>
      <c r="H9448" s="3">
        <v>43053</v>
      </c>
      <c r="I9448" s="2" t="s">
        <v>19506</v>
      </c>
      <c r="J9448" s="2" t="s">
        <v>13904</v>
      </c>
      <c r="K9448" s="2" t="s">
        <v>19265</v>
      </c>
      <c r="L9448" s="82" t="s">
        <v>19512</v>
      </c>
    </row>
    <row r="9449" spans="1:12" ht="84" customHeight="1" x14ac:dyDescent="0.3">
      <c r="A9449" s="2">
        <v>9445</v>
      </c>
      <c r="B9449" s="66" t="s">
        <v>11121</v>
      </c>
      <c r="C9449" s="66" t="s">
        <v>11122</v>
      </c>
      <c r="D9449" s="11">
        <v>17036.599999999999</v>
      </c>
      <c r="E9449" s="11">
        <v>17036.599999999999</v>
      </c>
      <c r="F9449" s="3">
        <v>40282</v>
      </c>
      <c r="G9449" s="2"/>
      <c r="H9449" s="3">
        <v>43053</v>
      </c>
      <c r="I9449" s="2" t="s">
        <v>19506</v>
      </c>
      <c r="J9449" s="2" t="s">
        <v>13904</v>
      </c>
      <c r="K9449" s="2" t="s">
        <v>19265</v>
      </c>
      <c r="L9449" s="82" t="s">
        <v>19512</v>
      </c>
    </row>
    <row r="9450" spans="1:12" ht="84" customHeight="1" x14ac:dyDescent="0.3">
      <c r="A9450" s="2">
        <v>9446</v>
      </c>
      <c r="B9450" s="66" t="s">
        <v>11123</v>
      </c>
      <c r="C9450" s="66" t="s">
        <v>11124</v>
      </c>
      <c r="D9450" s="11">
        <v>10915.81</v>
      </c>
      <c r="E9450" s="11">
        <v>10915.81</v>
      </c>
      <c r="F9450" s="3">
        <v>40282</v>
      </c>
      <c r="G9450" s="2"/>
      <c r="H9450" s="3">
        <v>43053</v>
      </c>
      <c r="I9450" s="2" t="s">
        <v>19506</v>
      </c>
      <c r="J9450" s="2" t="s">
        <v>13904</v>
      </c>
      <c r="K9450" s="2" t="s">
        <v>19265</v>
      </c>
      <c r="L9450" s="82" t="s">
        <v>19512</v>
      </c>
    </row>
    <row r="9451" spans="1:12" ht="84" customHeight="1" x14ac:dyDescent="0.3">
      <c r="A9451" s="2">
        <v>9447</v>
      </c>
      <c r="B9451" s="66" t="s">
        <v>11125</v>
      </c>
      <c r="C9451" s="66" t="s">
        <v>7051</v>
      </c>
      <c r="D9451" s="11">
        <v>16373.7</v>
      </c>
      <c r="E9451" s="11">
        <v>16373.7</v>
      </c>
      <c r="F9451" s="3">
        <v>40282</v>
      </c>
      <c r="G9451" s="2"/>
      <c r="H9451" s="3">
        <v>43053</v>
      </c>
      <c r="I9451" s="2" t="s">
        <v>19506</v>
      </c>
      <c r="J9451" s="2" t="s">
        <v>13904</v>
      </c>
      <c r="K9451" s="2" t="s">
        <v>19265</v>
      </c>
      <c r="L9451" s="82" t="s">
        <v>19512</v>
      </c>
    </row>
    <row r="9452" spans="1:12" ht="84" customHeight="1" x14ac:dyDescent="0.3">
      <c r="A9452" s="2">
        <v>9448</v>
      </c>
      <c r="B9452" s="66" t="s">
        <v>11126</v>
      </c>
      <c r="C9452" s="66" t="s">
        <v>7533</v>
      </c>
      <c r="D9452" s="11">
        <v>10915.81</v>
      </c>
      <c r="E9452" s="11">
        <v>10915.81</v>
      </c>
      <c r="F9452" s="3">
        <v>40282</v>
      </c>
      <c r="G9452" s="2"/>
      <c r="H9452" s="3">
        <v>43053</v>
      </c>
      <c r="I9452" s="2" t="s">
        <v>19506</v>
      </c>
      <c r="J9452" s="2" t="s">
        <v>13904</v>
      </c>
      <c r="K9452" s="2" t="s">
        <v>19265</v>
      </c>
      <c r="L9452" s="82" t="s">
        <v>19512</v>
      </c>
    </row>
    <row r="9453" spans="1:12" ht="84" customHeight="1" x14ac:dyDescent="0.3">
      <c r="A9453" s="2">
        <v>9449</v>
      </c>
      <c r="B9453" s="66" t="s">
        <v>11127</v>
      </c>
      <c r="C9453" s="66" t="s">
        <v>11128</v>
      </c>
      <c r="D9453" s="11">
        <v>10915.8</v>
      </c>
      <c r="E9453" s="11">
        <v>10915.8</v>
      </c>
      <c r="F9453" s="3">
        <v>40282</v>
      </c>
      <c r="G9453" s="2"/>
      <c r="H9453" s="3">
        <v>43053</v>
      </c>
      <c r="I9453" s="2" t="s">
        <v>19506</v>
      </c>
      <c r="J9453" s="2" t="s">
        <v>13904</v>
      </c>
      <c r="K9453" s="2" t="s">
        <v>19265</v>
      </c>
      <c r="L9453" s="82" t="s">
        <v>19512</v>
      </c>
    </row>
    <row r="9454" spans="1:12" ht="84" customHeight="1" x14ac:dyDescent="0.3">
      <c r="A9454" s="2">
        <v>9450</v>
      </c>
      <c r="B9454" s="66" t="s">
        <v>11129</v>
      </c>
      <c r="C9454" s="66" t="s">
        <v>8260</v>
      </c>
      <c r="D9454" s="11">
        <v>10915.81</v>
      </c>
      <c r="E9454" s="11">
        <v>10915.81</v>
      </c>
      <c r="F9454" s="3">
        <v>40282</v>
      </c>
      <c r="G9454" s="2"/>
      <c r="H9454" s="3">
        <v>43053</v>
      </c>
      <c r="I9454" s="2" t="s">
        <v>19506</v>
      </c>
      <c r="J9454" s="2" t="s">
        <v>13904</v>
      </c>
      <c r="K9454" s="2" t="s">
        <v>19265</v>
      </c>
      <c r="L9454" s="82" t="s">
        <v>19512</v>
      </c>
    </row>
    <row r="9455" spans="1:12" ht="84" customHeight="1" x14ac:dyDescent="0.3">
      <c r="A9455" s="2">
        <v>9451</v>
      </c>
      <c r="B9455" s="66" t="s">
        <v>11130</v>
      </c>
      <c r="C9455" s="66" t="s">
        <v>10382</v>
      </c>
      <c r="D9455" s="11">
        <v>9490</v>
      </c>
      <c r="E9455" s="11">
        <v>9490</v>
      </c>
      <c r="F9455" s="3">
        <v>40282</v>
      </c>
      <c r="G9455" s="2"/>
      <c r="H9455" s="3">
        <v>43053</v>
      </c>
      <c r="I9455" s="2" t="s">
        <v>19506</v>
      </c>
      <c r="J9455" s="2" t="s">
        <v>13904</v>
      </c>
      <c r="K9455" s="2" t="s">
        <v>19265</v>
      </c>
      <c r="L9455" s="82" t="s">
        <v>19512</v>
      </c>
    </row>
    <row r="9456" spans="1:12" ht="84" customHeight="1" x14ac:dyDescent="0.3">
      <c r="A9456" s="2">
        <v>9452</v>
      </c>
      <c r="B9456" s="66" t="s">
        <v>11131</v>
      </c>
      <c r="C9456" s="66" t="s">
        <v>11132</v>
      </c>
      <c r="D9456" s="11">
        <v>9964.5</v>
      </c>
      <c r="E9456" s="11">
        <v>9964.5</v>
      </c>
      <c r="F9456" s="3">
        <v>40282</v>
      </c>
      <c r="G9456" s="2"/>
      <c r="H9456" s="3">
        <v>43053</v>
      </c>
      <c r="I9456" s="2" t="s">
        <v>19506</v>
      </c>
      <c r="J9456" s="2" t="s">
        <v>13904</v>
      </c>
      <c r="K9456" s="2" t="s">
        <v>19265</v>
      </c>
      <c r="L9456" s="82" t="s">
        <v>19512</v>
      </c>
    </row>
    <row r="9457" spans="1:12" ht="84" customHeight="1" x14ac:dyDescent="0.3">
      <c r="A9457" s="2">
        <v>9453</v>
      </c>
      <c r="B9457" s="66" t="s">
        <v>11133</v>
      </c>
      <c r="C9457" s="66" t="s">
        <v>3561</v>
      </c>
      <c r="D9457" s="11">
        <v>9964.5</v>
      </c>
      <c r="E9457" s="11">
        <v>9964.5</v>
      </c>
      <c r="F9457" s="3">
        <v>40282</v>
      </c>
      <c r="G9457" s="2"/>
      <c r="H9457" s="3">
        <v>43053</v>
      </c>
      <c r="I9457" s="2" t="s">
        <v>19506</v>
      </c>
      <c r="J9457" s="2" t="s">
        <v>13904</v>
      </c>
      <c r="K9457" s="2" t="s">
        <v>19265</v>
      </c>
      <c r="L9457" s="82" t="s">
        <v>19512</v>
      </c>
    </row>
    <row r="9458" spans="1:12" ht="84" customHeight="1" x14ac:dyDescent="0.3">
      <c r="A9458" s="2">
        <v>9454</v>
      </c>
      <c r="B9458" s="66" t="s">
        <v>11134</v>
      </c>
      <c r="C9458" s="66" t="s">
        <v>7685</v>
      </c>
      <c r="D9458" s="11">
        <v>5090.41</v>
      </c>
      <c r="E9458" s="11">
        <v>5090.41</v>
      </c>
      <c r="F9458" s="3">
        <v>40282</v>
      </c>
      <c r="G9458" s="2"/>
      <c r="H9458" s="3">
        <v>43053</v>
      </c>
      <c r="I9458" s="2" t="s">
        <v>19506</v>
      </c>
      <c r="J9458" s="2" t="s">
        <v>13904</v>
      </c>
      <c r="K9458" s="2" t="s">
        <v>19265</v>
      </c>
      <c r="L9458" s="82" t="s">
        <v>19512</v>
      </c>
    </row>
    <row r="9459" spans="1:12" ht="84" customHeight="1" x14ac:dyDescent="0.3">
      <c r="A9459" s="2">
        <v>9455</v>
      </c>
      <c r="B9459" s="66" t="s">
        <v>11125</v>
      </c>
      <c r="C9459" s="66" t="s">
        <v>7052</v>
      </c>
      <c r="D9459" s="11">
        <v>16373.7</v>
      </c>
      <c r="E9459" s="11">
        <v>16373.7</v>
      </c>
      <c r="F9459" s="3">
        <v>40282</v>
      </c>
      <c r="G9459" s="2"/>
      <c r="H9459" s="3">
        <v>43053</v>
      </c>
      <c r="I9459" s="2" t="s">
        <v>19506</v>
      </c>
      <c r="J9459" s="2" t="s">
        <v>13904</v>
      </c>
      <c r="K9459" s="2" t="s">
        <v>19265</v>
      </c>
      <c r="L9459" s="82" t="s">
        <v>19512</v>
      </c>
    </row>
    <row r="9460" spans="1:12" ht="84" customHeight="1" x14ac:dyDescent="0.3">
      <c r="A9460" s="2">
        <v>9456</v>
      </c>
      <c r="B9460" s="66" t="s">
        <v>11113</v>
      </c>
      <c r="C9460" s="66" t="s">
        <v>3549</v>
      </c>
      <c r="D9460" s="11">
        <v>4958.1000000000004</v>
      </c>
      <c r="E9460" s="11">
        <v>4958.1000000000004</v>
      </c>
      <c r="F9460" s="3">
        <v>40282</v>
      </c>
      <c r="G9460" s="2"/>
      <c r="H9460" s="3">
        <v>43053</v>
      </c>
      <c r="I9460" s="2" t="s">
        <v>19506</v>
      </c>
      <c r="J9460" s="2" t="s">
        <v>13904</v>
      </c>
      <c r="K9460" s="2" t="s">
        <v>19265</v>
      </c>
      <c r="L9460" s="82" t="s">
        <v>19512</v>
      </c>
    </row>
    <row r="9461" spans="1:12" ht="84" customHeight="1" x14ac:dyDescent="0.3">
      <c r="A9461" s="2">
        <v>9457</v>
      </c>
      <c r="B9461" s="66" t="s">
        <v>11126</v>
      </c>
      <c r="C9461" s="66" t="s">
        <v>7541</v>
      </c>
      <c r="D9461" s="11">
        <v>10915.8</v>
      </c>
      <c r="E9461" s="11">
        <v>10915.8</v>
      </c>
      <c r="F9461" s="3">
        <v>40282</v>
      </c>
      <c r="G9461" s="2"/>
      <c r="H9461" s="3">
        <v>43053</v>
      </c>
      <c r="I9461" s="2" t="s">
        <v>19506</v>
      </c>
      <c r="J9461" s="2" t="s">
        <v>13904</v>
      </c>
      <c r="K9461" s="2" t="s">
        <v>19265</v>
      </c>
      <c r="L9461" s="82" t="s">
        <v>19512</v>
      </c>
    </row>
    <row r="9462" spans="1:12" ht="84" customHeight="1" x14ac:dyDescent="0.3">
      <c r="A9462" s="2">
        <v>9458</v>
      </c>
      <c r="B9462" s="66" t="s">
        <v>11135</v>
      </c>
      <c r="C9462" s="66" t="s">
        <v>7543</v>
      </c>
      <c r="D9462" s="11">
        <v>10915.8</v>
      </c>
      <c r="E9462" s="11">
        <v>10915.8</v>
      </c>
      <c r="F9462" s="3">
        <v>40282</v>
      </c>
      <c r="G9462" s="2"/>
      <c r="H9462" s="3">
        <v>43053</v>
      </c>
      <c r="I9462" s="2" t="s">
        <v>19506</v>
      </c>
      <c r="J9462" s="2" t="s">
        <v>13904</v>
      </c>
      <c r="K9462" s="2" t="s">
        <v>19265</v>
      </c>
      <c r="L9462" s="82" t="s">
        <v>19512</v>
      </c>
    </row>
    <row r="9463" spans="1:12" ht="84" customHeight="1" x14ac:dyDescent="0.3">
      <c r="A9463" s="2">
        <v>9459</v>
      </c>
      <c r="B9463" s="66" t="s">
        <v>11136</v>
      </c>
      <c r="C9463" s="66" t="s">
        <v>8116</v>
      </c>
      <c r="D9463" s="11">
        <v>8995</v>
      </c>
      <c r="E9463" s="11">
        <v>8995</v>
      </c>
      <c r="F9463" s="3">
        <v>40282</v>
      </c>
      <c r="G9463" s="2"/>
      <c r="H9463" s="3">
        <v>43053</v>
      </c>
      <c r="I9463" s="2" t="s">
        <v>19506</v>
      </c>
      <c r="J9463" s="2" t="s">
        <v>13904</v>
      </c>
      <c r="K9463" s="2" t="s">
        <v>19265</v>
      </c>
      <c r="L9463" s="82" t="s">
        <v>19512</v>
      </c>
    </row>
    <row r="9464" spans="1:12" ht="84" customHeight="1" x14ac:dyDescent="0.3">
      <c r="A9464" s="2">
        <v>9460</v>
      </c>
      <c r="B9464" s="66" t="s">
        <v>11137</v>
      </c>
      <c r="C9464" s="66" t="s">
        <v>5989</v>
      </c>
      <c r="D9464" s="11">
        <v>8995</v>
      </c>
      <c r="E9464" s="11">
        <v>8995</v>
      </c>
      <c r="F9464" s="3">
        <v>40282</v>
      </c>
      <c r="G9464" s="2"/>
      <c r="H9464" s="3">
        <v>43053</v>
      </c>
      <c r="I9464" s="2" t="s">
        <v>19506</v>
      </c>
      <c r="J9464" s="2" t="s">
        <v>13904</v>
      </c>
      <c r="K9464" s="2" t="s">
        <v>19265</v>
      </c>
      <c r="L9464" s="82" t="s">
        <v>19512</v>
      </c>
    </row>
    <row r="9465" spans="1:12" ht="84" customHeight="1" x14ac:dyDescent="0.3">
      <c r="A9465" s="2">
        <v>9461</v>
      </c>
      <c r="B9465" s="66" t="s">
        <v>11085</v>
      </c>
      <c r="C9465" s="66" t="s">
        <v>7033</v>
      </c>
      <c r="D9465" s="11">
        <v>9090</v>
      </c>
      <c r="E9465" s="11">
        <v>9090</v>
      </c>
      <c r="F9465" s="3">
        <v>40282</v>
      </c>
      <c r="G9465" s="2"/>
      <c r="H9465" s="3">
        <v>43053</v>
      </c>
      <c r="I9465" s="2" t="s">
        <v>19506</v>
      </c>
      <c r="J9465" s="2" t="s">
        <v>13904</v>
      </c>
      <c r="K9465" s="2" t="s">
        <v>19265</v>
      </c>
      <c r="L9465" s="82" t="s">
        <v>19512</v>
      </c>
    </row>
    <row r="9466" spans="1:12" ht="84" customHeight="1" x14ac:dyDescent="0.3">
      <c r="A9466" s="2">
        <v>9462</v>
      </c>
      <c r="B9466" s="66" t="s">
        <v>11100</v>
      </c>
      <c r="C9466" s="66" t="s">
        <v>8378</v>
      </c>
      <c r="D9466" s="11">
        <v>4473</v>
      </c>
      <c r="E9466" s="11">
        <v>4473</v>
      </c>
      <c r="F9466" s="3">
        <v>40282</v>
      </c>
      <c r="G9466" s="2"/>
      <c r="H9466" s="3">
        <v>43053</v>
      </c>
      <c r="I9466" s="2" t="s">
        <v>19506</v>
      </c>
      <c r="J9466" s="2" t="s">
        <v>13904</v>
      </c>
      <c r="K9466" s="2" t="s">
        <v>19265</v>
      </c>
      <c r="L9466" s="82" t="s">
        <v>19512</v>
      </c>
    </row>
    <row r="9467" spans="1:12" ht="84" customHeight="1" x14ac:dyDescent="0.3">
      <c r="A9467" s="2">
        <v>9463</v>
      </c>
      <c r="B9467" s="66" t="s">
        <v>11138</v>
      </c>
      <c r="C9467" s="66" t="s">
        <v>7700</v>
      </c>
      <c r="D9467" s="11">
        <v>4958.1000000000004</v>
      </c>
      <c r="E9467" s="11">
        <v>4958.1000000000004</v>
      </c>
      <c r="F9467" s="3">
        <v>40282</v>
      </c>
      <c r="G9467" s="2"/>
      <c r="H9467" s="3">
        <v>43053</v>
      </c>
      <c r="I9467" s="2" t="s">
        <v>19506</v>
      </c>
      <c r="J9467" s="2" t="s">
        <v>13904</v>
      </c>
      <c r="K9467" s="2" t="s">
        <v>19265</v>
      </c>
      <c r="L9467" s="82" t="s">
        <v>19512</v>
      </c>
    </row>
    <row r="9468" spans="1:12" ht="84" customHeight="1" x14ac:dyDescent="0.3">
      <c r="A9468" s="2">
        <v>9464</v>
      </c>
      <c r="B9468" s="66" t="s">
        <v>11138</v>
      </c>
      <c r="C9468" s="66" t="s">
        <v>7698</v>
      </c>
      <c r="D9468" s="11">
        <v>4958.1000000000004</v>
      </c>
      <c r="E9468" s="11">
        <v>4958.1000000000004</v>
      </c>
      <c r="F9468" s="3">
        <v>40282</v>
      </c>
      <c r="G9468" s="2"/>
      <c r="H9468" s="3">
        <v>43053</v>
      </c>
      <c r="I9468" s="2" t="s">
        <v>19506</v>
      </c>
      <c r="J9468" s="2" t="s">
        <v>13904</v>
      </c>
      <c r="K9468" s="2" t="s">
        <v>19265</v>
      </c>
      <c r="L9468" s="82" t="s">
        <v>19512</v>
      </c>
    </row>
    <row r="9469" spans="1:12" ht="84" customHeight="1" x14ac:dyDescent="0.3">
      <c r="A9469" s="2">
        <v>9465</v>
      </c>
      <c r="B9469" s="66" t="s">
        <v>11139</v>
      </c>
      <c r="C9469" s="66" t="s">
        <v>11140</v>
      </c>
      <c r="D9469" s="11">
        <v>10915.8</v>
      </c>
      <c r="E9469" s="11">
        <v>10915.8</v>
      </c>
      <c r="F9469" s="3">
        <v>40282</v>
      </c>
      <c r="G9469" s="2"/>
      <c r="H9469" s="3">
        <v>43053</v>
      </c>
      <c r="I9469" s="2" t="s">
        <v>19506</v>
      </c>
      <c r="J9469" s="2" t="s">
        <v>13904</v>
      </c>
      <c r="K9469" s="2" t="s">
        <v>19265</v>
      </c>
      <c r="L9469" s="82" t="s">
        <v>19512</v>
      </c>
    </row>
    <row r="9470" spans="1:12" ht="84" customHeight="1" x14ac:dyDescent="0.3">
      <c r="A9470" s="2">
        <v>9466</v>
      </c>
      <c r="B9470" s="66" t="s">
        <v>11141</v>
      </c>
      <c r="C9470" s="66" t="s">
        <v>11142</v>
      </c>
      <c r="D9470" s="11">
        <v>10915.8</v>
      </c>
      <c r="E9470" s="11">
        <v>10915.8</v>
      </c>
      <c r="F9470" s="3">
        <v>40282</v>
      </c>
      <c r="G9470" s="2"/>
      <c r="H9470" s="3">
        <v>43053</v>
      </c>
      <c r="I9470" s="2" t="s">
        <v>19506</v>
      </c>
      <c r="J9470" s="2" t="s">
        <v>13904</v>
      </c>
      <c r="K9470" s="2" t="s">
        <v>19265</v>
      </c>
      <c r="L9470" s="82" t="s">
        <v>19512</v>
      </c>
    </row>
    <row r="9471" spans="1:12" ht="84" customHeight="1" x14ac:dyDescent="0.3">
      <c r="A9471" s="2">
        <v>9467</v>
      </c>
      <c r="B9471" s="66" t="s">
        <v>11143</v>
      </c>
      <c r="C9471" s="66" t="s">
        <v>11144</v>
      </c>
      <c r="D9471" s="11">
        <v>10915.8</v>
      </c>
      <c r="E9471" s="11">
        <v>10915.8</v>
      </c>
      <c r="F9471" s="3">
        <v>40282</v>
      </c>
      <c r="G9471" s="2"/>
      <c r="H9471" s="3">
        <v>43053</v>
      </c>
      <c r="I9471" s="2" t="s">
        <v>19506</v>
      </c>
      <c r="J9471" s="2" t="s">
        <v>13904</v>
      </c>
      <c r="K9471" s="2" t="s">
        <v>19265</v>
      </c>
      <c r="L9471" s="82" t="s">
        <v>19512</v>
      </c>
    </row>
    <row r="9472" spans="1:12" ht="84" customHeight="1" x14ac:dyDescent="0.3">
      <c r="A9472" s="2">
        <v>9468</v>
      </c>
      <c r="B9472" s="66" t="s">
        <v>11143</v>
      </c>
      <c r="C9472" s="66" t="s">
        <v>11145</v>
      </c>
      <c r="D9472" s="11">
        <v>10915.8</v>
      </c>
      <c r="E9472" s="11">
        <v>10915.8</v>
      </c>
      <c r="F9472" s="3">
        <v>40282</v>
      </c>
      <c r="G9472" s="2"/>
      <c r="H9472" s="3">
        <v>43053</v>
      </c>
      <c r="I9472" s="2" t="s">
        <v>19506</v>
      </c>
      <c r="J9472" s="2" t="s">
        <v>13904</v>
      </c>
      <c r="K9472" s="2" t="s">
        <v>19265</v>
      </c>
      <c r="L9472" s="82" t="s">
        <v>19512</v>
      </c>
    </row>
    <row r="9473" spans="1:12" ht="84" customHeight="1" x14ac:dyDescent="0.3">
      <c r="A9473" s="2">
        <v>9469</v>
      </c>
      <c r="B9473" s="66" t="s">
        <v>11143</v>
      </c>
      <c r="C9473" s="66" t="s">
        <v>11146</v>
      </c>
      <c r="D9473" s="11">
        <v>10915.8</v>
      </c>
      <c r="E9473" s="11">
        <v>10915.8</v>
      </c>
      <c r="F9473" s="3">
        <v>40282</v>
      </c>
      <c r="G9473" s="2"/>
      <c r="H9473" s="3">
        <v>43053</v>
      </c>
      <c r="I9473" s="2" t="s">
        <v>19506</v>
      </c>
      <c r="J9473" s="2" t="s">
        <v>13904</v>
      </c>
      <c r="K9473" s="2" t="s">
        <v>19265</v>
      </c>
      <c r="L9473" s="82" t="s">
        <v>19512</v>
      </c>
    </row>
    <row r="9474" spans="1:12" ht="84" customHeight="1" x14ac:dyDescent="0.3">
      <c r="A9474" s="2">
        <v>9470</v>
      </c>
      <c r="B9474" s="66" t="s">
        <v>11147</v>
      </c>
      <c r="C9474" s="66" t="s">
        <v>8240</v>
      </c>
      <c r="D9474" s="11">
        <v>10915.8</v>
      </c>
      <c r="E9474" s="11">
        <v>10915.8</v>
      </c>
      <c r="F9474" s="3">
        <v>40282</v>
      </c>
      <c r="G9474" s="2"/>
      <c r="H9474" s="3">
        <v>43053</v>
      </c>
      <c r="I9474" s="2" t="s">
        <v>19506</v>
      </c>
      <c r="J9474" s="2" t="s">
        <v>13904</v>
      </c>
      <c r="K9474" s="2" t="s">
        <v>19265</v>
      </c>
      <c r="L9474" s="82" t="s">
        <v>19512</v>
      </c>
    </row>
    <row r="9475" spans="1:12" ht="84" customHeight="1" x14ac:dyDescent="0.3">
      <c r="A9475" s="2">
        <v>9471</v>
      </c>
      <c r="B9475" s="66" t="s">
        <v>11147</v>
      </c>
      <c r="C9475" s="66" t="s">
        <v>11148</v>
      </c>
      <c r="D9475" s="11">
        <v>10915.8</v>
      </c>
      <c r="E9475" s="11">
        <v>10915.8</v>
      </c>
      <c r="F9475" s="3">
        <v>40282</v>
      </c>
      <c r="G9475" s="2"/>
      <c r="H9475" s="3">
        <v>43053</v>
      </c>
      <c r="I9475" s="2" t="s">
        <v>19506</v>
      </c>
      <c r="J9475" s="2" t="s">
        <v>13904</v>
      </c>
      <c r="K9475" s="2" t="s">
        <v>19265</v>
      </c>
      <c r="L9475" s="82" t="s">
        <v>19512</v>
      </c>
    </row>
    <row r="9476" spans="1:12" ht="84" customHeight="1" x14ac:dyDescent="0.3">
      <c r="A9476" s="2">
        <v>9472</v>
      </c>
      <c r="B9476" s="66" t="s">
        <v>11149</v>
      </c>
      <c r="C9476" s="66" t="s">
        <v>8290</v>
      </c>
      <c r="D9476" s="11">
        <v>10915.8</v>
      </c>
      <c r="E9476" s="11">
        <v>10915.8</v>
      </c>
      <c r="F9476" s="3">
        <v>40282</v>
      </c>
      <c r="G9476" s="2"/>
      <c r="H9476" s="3">
        <v>43053</v>
      </c>
      <c r="I9476" s="2" t="s">
        <v>19506</v>
      </c>
      <c r="J9476" s="2" t="s">
        <v>13904</v>
      </c>
      <c r="K9476" s="2" t="s">
        <v>19265</v>
      </c>
      <c r="L9476" s="82" t="s">
        <v>19512</v>
      </c>
    </row>
    <row r="9477" spans="1:12" ht="84" customHeight="1" x14ac:dyDescent="0.3">
      <c r="A9477" s="2">
        <v>9473</v>
      </c>
      <c r="B9477" s="66" t="s">
        <v>11129</v>
      </c>
      <c r="C9477" s="66" t="s">
        <v>8291</v>
      </c>
      <c r="D9477" s="11">
        <v>10915.8</v>
      </c>
      <c r="E9477" s="11">
        <v>10915.8</v>
      </c>
      <c r="F9477" s="3">
        <v>40282</v>
      </c>
      <c r="G9477" s="2"/>
      <c r="H9477" s="3">
        <v>43053</v>
      </c>
      <c r="I9477" s="2" t="s">
        <v>19506</v>
      </c>
      <c r="J9477" s="2" t="s">
        <v>13904</v>
      </c>
      <c r="K9477" s="2" t="s">
        <v>19265</v>
      </c>
      <c r="L9477" s="82" t="s">
        <v>19512</v>
      </c>
    </row>
    <row r="9478" spans="1:12" ht="84" customHeight="1" x14ac:dyDescent="0.3">
      <c r="A9478" s="2">
        <v>9474</v>
      </c>
      <c r="B9478" s="66" t="s">
        <v>11129</v>
      </c>
      <c r="C9478" s="66" t="s">
        <v>8293</v>
      </c>
      <c r="D9478" s="11">
        <v>10915.8</v>
      </c>
      <c r="E9478" s="11">
        <v>10915.8</v>
      </c>
      <c r="F9478" s="3">
        <v>40282</v>
      </c>
      <c r="G9478" s="2"/>
      <c r="H9478" s="3">
        <v>43053</v>
      </c>
      <c r="I9478" s="2" t="s">
        <v>19506</v>
      </c>
      <c r="J9478" s="2" t="s">
        <v>13904</v>
      </c>
      <c r="K9478" s="2" t="s">
        <v>19265</v>
      </c>
      <c r="L9478" s="82" t="s">
        <v>19512</v>
      </c>
    </row>
    <row r="9479" spans="1:12" ht="84" customHeight="1" x14ac:dyDescent="0.3">
      <c r="A9479" s="2">
        <v>9475</v>
      </c>
      <c r="B9479" s="66" t="s">
        <v>11081</v>
      </c>
      <c r="C9479" s="66" t="s">
        <v>11150</v>
      </c>
      <c r="D9479" s="11">
        <v>7612</v>
      </c>
      <c r="E9479" s="11">
        <v>7612</v>
      </c>
      <c r="F9479" s="3">
        <v>40282</v>
      </c>
      <c r="G9479" s="2"/>
      <c r="H9479" s="3">
        <v>43053</v>
      </c>
      <c r="I9479" s="2" t="s">
        <v>19506</v>
      </c>
      <c r="J9479" s="2" t="s">
        <v>13904</v>
      </c>
      <c r="K9479" s="2" t="s">
        <v>19265</v>
      </c>
      <c r="L9479" s="82" t="s">
        <v>19512</v>
      </c>
    </row>
    <row r="9480" spans="1:12" ht="84" customHeight="1" x14ac:dyDescent="0.3">
      <c r="A9480" s="2">
        <v>9476</v>
      </c>
      <c r="B9480" s="66" t="s">
        <v>11081</v>
      </c>
      <c r="C9480" s="66" t="s">
        <v>11151</v>
      </c>
      <c r="D9480" s="11">
        <v>7612</v>
      </c>
      <c r="E9480" s="11">
        <v>7612</v>
      </c>
      <c r="F9480" s="3">
        <v>40282</v>
      </c>
      <c r="G9480" s="2"/>
      <c r="H9480" s="3">
        <v>43053</v>
      </c>
      <c r="I9480" s="2" t="s">
        <v>19506</v>
      </c>
      <c r="J9480" s="2" t="s">
        <v>13904</v>
      </c>
      <c r="K9480" s="2" t="s">
        <v>19265</v>
      </c>
      <c r="L9480" s="82" t="s">
        <v>19512</v>
      </c>
    </row>
    <row r="9481" spans="1:12" ht="84" customHeight="1" x14ac:dyDescent="0.3">
      <c r="A9481" s="2">
        <v>9477</v>
      </c>
      <c r="B9481" s="66" t="s">
        <v>11081</v>
      </c>
      <c r="C9481" s="66" t="s">
        <v>11152</v>
      </c>
      <c r="D9481" s="11">
        <v>7612</v>
      </c>
      <c r="E9481" s="11">
        <v>7612</v>
      </c>
      <c r="F9481" s="3">
        <v>40282</v>
      </c>
      <c r="G9481" s="2"/>
      <c r="H9481" s="3">
        <v>43053</v>
      </c>
      <c r="I9481" s="2" t="s">
        <v>19506</v>
      </c>
      <c r="J9481" s="2" t="s">
        <v>13904</v>
      </c>
      <c r="K9481" s="2" t="s">
        <v>19265</v>
      </c>
      <c r="L9481" s="82" t="s">
        <v>19512</v>
      </c>
    </row>
    <row r="9482" spans="1:12" ht="84" customHeight="1" x14ac:dyDescent="0.3">
      <c r="A9482" s="2">
        <v>9478</v>
      </c>
      <c r="B9482" s="66" t="s">
        <v>11081</v>
      </c>
      <c r="C9482" s="66" t="s">
        <v>11153</v>
      </c>
      <c r="D9482" s="11">
        <v>7612</v>
      </c>
      <c r="E9482" s="11">
        <v>7612</v>
      </c>
      <c r="F9482" s="3">
        <v>40282</v>
      </c>
      <c r="G9482" s="2"/>
      <c r="H9482" s="3">
        <v>43053</v>
      </c>
      <c r="I9482" s="2" t="s">
        <v>19506</v>
      </c>
      <c r="J9482" s="2" t="s">
        <v>13904</v>
      </c>
      <c r="K9482" s="2" t="s">
        <v>19265</v>
      </c>
      <c r="L9482" s="82" t="s">
        <v>19512</v>
      </c>
    </row>
    <row r="9483" spans="1:12" ht="84" customHeight="1" x14ac:dyDescent="0.3">
      <c r="A9483" s="2">
        <v>9479</v>
      </c>
      <c r="B9483" s="66" t="s">
        <v>11081</v>
      </c>
      <c r="C9483" s="66" t="s">
        <v>11154</v>
      </c>
      <c r="D9483" s="11">
        <v>7612</v>
      </c>
      <c r="E9483" s="11">
        <v>7612</v>
      </c>
      <c r="F9483" s="3">
        <v>40282</v>
      </c>
      <c r="G9483" s="2"/>
      <c r="H9483" s="3">
        <v>43053</v>
      </c>
      <c r="I9483" s="2" t="s">
        <v>19506</v>
      </c>
      <c r="J9483" s="2" t="s">
        <v>13904</v>
      </c>
      <c r="K9483" s="2" t="s">
        <v>19265</v>
      </c>
      <c r="L9483" s="82" t="s">
        <v>19512</v>
      </c>
    </row>
    <row r="9484" spans="1:12" ht="84" customHeight="1" x14ac:dyDescent="0.3">
      <c r="A9484" s="2">
        <v>9480</v>
      </c>
      <c r="B9484" s="66" t="s">
        <v>11081</v>
      </c>
      <c r="C9484" s="66" t="s">
        <v>11155</v>
      </c>
      <c r="D9484" s="11">
        <v>7612</v>
      </c>
      <c r="E9484" s="11">
        <v>7612</v>
      </c>
      <c r="F9484" s="3">
        <v>40282</v>
      </c>
      <c r="G9484" s="2"/>
      <c r="H9484" s="3">
        <v>43053</v>
      </c>
      <c r="I9484" s="2" t="s">
        <v>19506</v>
      </c>
      <c r="J9484" s="2" t="s">
        <v>13904</v>
      </c>
      <c r="K9484" s="2" t="s">
        <v>19265</v>
      </c>
      <c r="L9484" s="82" t="s">
        <v>19512</v>
      </c>
    </row>
    <row r="9485" spans="1:12" ht="84" customHeight="1" x14ac:dyDescent="0.3">
      <c r="A9485" s="2">
        <v>9481</v>
      </c>
      <c r="B9485" s="66" t="s">
        <v>11081</v>
      </c>
      <c r="C9485" s="66" t="s">
        <v>11156</v>
      </c>
      <c r="D9485" s="11">
        <v>7612</v>
      </c>
      <c r="E9485" s="11">
        <v>7612</v>
      </c>
      <c r="F9485" s="3">
        <v>40282</v>
      </c>
      <c r="G9485" s="2"/>
      <c r="H9485" s="3">
        <v>43053</v>
      </c>
      <c r="I9485" s="2" t="s">
        <v>19506</v>
      </c>
      <c r="J9485" s="2" t="s">
        <v>13904</v>
      </c>
      <c r="K9485" s="2" t="s">
        <v>19265</v>
      </c>
      <c r="L9485" s="82" t="s">
        <v>19512</v>
      </c>
    </row>
    <row r="9486" spans="1:12" ht="84" customHeight="1" x14ac:dyDescent="0.3">
      <c r="A9486" s="2">
        <v>9482</v>
      </c>
      <c r="B9486" s="66" t="s">
        <v>11081</v>
      </c>
      <c r="C9486" s="66" t="s">
        <v>11157</v>
      </c>
      <c r="D9486" s="11">
        <v>7612</v>
      </c>
      <c r="E9486" s="11">
        <v>7612</v>
      </c>
      <c r="F9486" s="3">
        <v>40282</v>
      </c>
      <c r="G9486" s="2"/>
      <c r="H9486" s="3">
        <v>43053</v>
      </c>
      <c r="I9486" s="2" t="s">
        <v>19506</v>
      </c>
      <c r="J9486" s="2" t="s">
        <v>13904</v>
      </c>
      <c r="K9486" s="2" t="s">
        <v>19265</v>
      </c>
      <c r="L9486" s="82" t="s">
        <v>19512</v>
      </c>
    </row>
    <row r="9487" spans="1:12" ht="84" customHeight="1" x14ac:dyDescent="0.3">
      <c r="A9487" s="2">
        <v>9483</v>
      </c>
      <c r="B9487" s="66" t="s">
        <v>11081</v>
      </c>
      <c r="C9487" s="66" t="s">
        <v>11158</v>
      </c>
      <c r="D9487" s="11">
        <v>7612</v>
      </c>
      <c r="E9487" s="11">
        <v>7612</v>
      </c>
      <c r="F9487" s="3">
        <v>40282</v>
      </c>
      <c r="G9487" s="2"/>
      <c r="H9487" s="3">
        <v>43053</v>
      </c>
      <c r="I9487" s="2" t="s">
        <v>19506</v>
      </c>
      <c r="J9487" s="2" t="s">
        <v>13904</v>
      </c>
      <c r="K9487" s="2" t="s">
        <v>19265</v>
      </c>
      <c r="L9487" s="82" t="s">
        <v>19512</v>
      </c>
    </row>
    <row r="9488" spans="1:12" ht="84" customHeight="1" x14ac:dyDescent="0.3">
      <c r="A9488" s="2">
        <v>9484</v>
      </c>
      <c r="B9488" s="66" t="s">
        <v>11081</v>
      </c>
      <c r="C9488" s="66" t="s">
        <v>11159</v>
      </c>
      <c r="D9488" s="11">
        <v>7612</v>
      </c>
      <c r="E9488" s="11">
        <v>7612</v>
      </c>
      <c r="F9488" s="3">
        <v>40282</v>
      </c>
      <c r="G9488" s="2"/>
      <c r="H9488" s="3">
        <v>43053</v>
      </c>
      <c r="I9488" s="2" t="s">
        <v>19506</v>
      </c>
      <c r="J9488" s="2" t="s">
        <v>13904</v>
      </c>
      <c r="K9488" s="2" t="s">
        <v>19265</v>
      </c>
      <c r="L9488" s="82" t="s">
        <v>19512</v>
      </c>
    </row>
    <row r="9489" spans="1:15" ht="84" customHeight="1" x14ac:dyDescent="0.3">
      <c r="A9489" s="2">
        <v>9485</v>
      </c>
      <c r="B9489" s="66" t="s">
        <v>11081</v>
      </c>
      <c r="C9489" s="66" t="s">
        <v>11160</v>
      </c>
      <c r="D9489" s="11">
        <v>7612</v>
      </c>
      <c r="E9489" s="11">
        <v>7612</v>
      </c>
      <c r="F9489" s="3">
        <v>40282</v>
      </c>
      <c r="G9489" s="2"/>
      <c r="H9489" s="3">
        <v>43053</v>
      </c>
      <c r="I9489" s="2" t="s">
        <v>19506</v>
      </c>
      <c r="J9489" s="2" t="s">
        <v>13904</v>
      </c>
      <c r="K9489" s="2" t="s">
        <v>19265</v>
      </c>
      <c r="L9489" s="82" t="s">
        <v>19512</v>
      </c>
    </row>
    <row r="9490" spans="1:15" ht="84" customHeight="1" x14ac:dyDescent="0.3">
      <c r="A9490" s="2">
        <v>9486</v>
      </c>
      <c r="B9490" s="66" t="s">
        <v>11081</v>
      </c>
      <c r="C9490" s="66" t="s">
        <v>11161</v>
      </c>
      <c r="D9490" s="11">
        <v>7612</v>
      </c>
      <c r="E9490" s="11">
        <v>7612</v>
      </c>
      <c r="F9490" s="3">
        <v>40282</v>
      </c>
      <c r="G9490" s="2"/>
      <c r="H9490" s="3">
        <v>43053</v>
      </c>
      <c r="I9490" s="2" t="s">
        <v>19506</v>
      </c>
      <c r="J9490" s="2" t="s">
        <v>13904</v>
      </c>
      <c r="K9490" s="2" t="s">
        <v>19265</v>
      </c>
      <c r="L9490" s="82" t="s">
        <v>19512</v>
      </c>
    </row>
    <row r="9491" spans="1:15" ht="84" customHeight="1" x14ac:dyDescent="0.3">
      <c r="A9491" s="2">
        <v>9487</v>
      </c>
      <c r="B9491" s="66" t="s">
        <v>11081</v>
      </c>
      <c r="C9491" s="66" t="s">
        <v>11162</v>
      </c>
      <c r="D9491" s="11">
        <v>7612</v>
      </c>
      <c r="E9491" s="11">
        <v>7612</v>
      </c>
      <c r="F9491" s="3">
        <v>40282</v>
      </c>
      <c r="G9491" s="2"/>
      <c r="H9491" s="3">
        <v>43053</v>
      </c>
      <c r="I9491" s="2" t="s">
        <v>19506</v>
      </c>
      <c r="J9491" s="2" t="s">
        <v>13904</v>
      </c>
      <c r="K9491" s="2" t="s">
        <v>19265</v>
      </c>
      <c r="L9491" s="82" t="s">
        <v>19512</v>
      </c>
    </row>
    <row r="9492" spans="1:15" ht="84" customHeight="1" x14ac:dyDescent="0.3">
      <c r="A9492" s="2">
        <v>9488</v>
      </c>
      <c r="B9492" s="66" t="s">
        <v>11081</v>
      </c>
      <c r="C9492" s="66" t="s">
        <v>11163</v>
      </c>
      <c r="D9492" s="11">
        <v>7612</v>
      </c>
      <c r="E9492" s="11">
        <v>7612</v>
      </c>
      <c r="F9492" s="3">
        <v>40282</v>
      </c>
      <c r="G9492" s="2"/>
      <c r="H9492" s="3">
        <v>43053</v>
      </c>
      <c r="I9492" s="2" t="s">
        <v>19506</v>
      </c>
      <c r="J9492" s="2" t="s">
        <v>13904</v>
      </c>
      <c r="K9492" s="2" t="s">
        <v>19265</v>
      </c>
      <c r="L9492" s="82" t="s">
        <v>19512</v>
      </c>
    </row>
    <row r="9493" spans="1:15" ht="96" customHeight="1" x14ac:dyDescent="0.3">
      <c r="A9493" s="2">
        <v>9489</v>
      </c>
      <c r="B9493" s="66" t="s">
        <v>19614</v>
      </c>
      <c r="C9493" s="66" t="s">
        <v>19615</v>
      </c>
      <c r="D9493" s="11">
        <v>64500</v>
      </c>
      <c r="E9493" s="11"/>
      <c r="F9493" s="3">
        <v>43061</v>
      </c>
      <c r="G9493" s="2" t="s">
        <v>19616</v>
      </c>
      <c r="H9493" s="3"/>
      <c r="I9493" s="2"/>
      <c r="J9493" s="2" t="s">
        <v>13904</v>
      </c>
      <c r="K9493" s="2" t="s">
        <v>17535</v>
      </c>
      <c r="L9493" s="82"/>
    </row>
    <row r="9494" spans="1:15" ht="96" customHeight="1" x14ac:dyDescent="0.3">
      <c r="A9494" s="2">
        <v>9490</v>
      </c>
      <c r="B9494" s="66" t="s">
        <v>19618</v>
      </c>
      <c r="C9494" s="66" t="s">
        <v>19619</v>
      </c>
      <c r="D9494" s="11">
        <v>54850</v>
      </c>
      <c r="E9494" s="11"/>
      <c r="F9494" s="3">
        <v>43059</v>
      </c>
      <c r="G9494" s="2" t="s">
        <v>19617</v>
      </c>
      <c r="H9494" s="3"/>
      <c r="I9494" s="2"/>
      <c r="J9494" s="2" t="s">
        <v>13904</v>
      </c>
      <c r="K9494" s="2" t="s">
        <v>17535</v>
      </c>
      <c r="L9494" s="82"/>
    </row>
    <row r="9495" spans="1:15" ht="84" customHeight="1" x14ac:dyDescent="0.3">
      <c r="A9495" s="2">
        <v>9491</v>
      </c>
      <c r="B9495" s="66" t="s">
        <v>4316</v>
      </c>
      <c r="C9495" s="66" t="s">
        <v>11164</v>
      </c>
      <c r="D9495" s="11">
        <v>321.07</v>
      </c>
      <c r="E9495" s="11">
        <v>321.07</v>
      </c>
      <c r="F9495" s="3">
        <v>38735</v>
      </c>
      <c r="G9495" s="2"/>
      <c r="H9495" s="3">
        <v>43053</v>
      </c>
      <c r="I9495" s="2" t="s">
        <v>19506</v>
      </c>
      <c r="J9495" s="2" t="s">
        <v>13904</v>
      </c>
      <c r="K9495" s="2" t="s">
        <v>19265</v>
      </c>
      <c r="L9495" s="82" t="s">
        <v>19512</v>
      </c>
      <c r="M9495" s="18"/>
      <c r="N9495" s="18"/>
      <c r="O9495" s="18"/>
    </row>
    <row r="9496" spans="1:15" ht="84" customHeight="1" x14ac:dyDescent="0.3">
      <c r="A9496" s="2">
        <v>9492</v>
      </c>
      <c r="B9496" s="66" t="s">
        <v>1938</v>
      </c>
      <c r="C9496" s="66" t="s">
        <v>10463</v>
      </c>
      <c r="D9496" s="11">
        <v>15000</v>
      </c>
      <c r="E9496" s="11">
        <v>15000</v>
      </c>
      <c r="F9496" s="3">
        <v>39484</v>
      </c>
      <c r="G9496" s="2"/>
      <c r="H9496" s="3">
        <v>43053</v>
      </c>
      <c r="I9496" s="2" t="s">
        <v>19506</v>
      </c>
      <c r="J9496" s="2" t="s">
        <v>13904</v>
      </c>
      <c r="K9496" s="2" t="s">
        <v>19265</v>
      </c>
      <c r="L9496" s="82" t="s">
        <v>19512</v>
      </c>
      <c r="M9496" s="18"/>
      <c r="N9496" s="18"/>
      <c r="O9496" s="18"/>
    </row>
    <row r="9497" spans="1:15" ht="84" customHeight="1" x14ac:dyDescent="0.3">
      <c r="A9497" s="2">
        <v>9493</v>
      </c>
      <c r="B9497" s="66" t="s">
        <v>11555</v>
      </c>
      <c r="C9497" s="66">
        <v>17259</v>
      </c>
      <c r="D9497" s="11">
        <v>152902</v>
      </c>
      <c r="E9497" s="11">
        <v>135063.07999999999</v>
      </c>
      <c r="F9497" s="3">
        <v>40500</v>
      </c>
      <c r="G9497" s="2" t="s">
        <v>11556</v>
      </c>
      <c r="H9497" s="2"/>
      <c r="I9497" s="2"/>
      <c r="J9497" s="2" t="s">
        <v>13904</v>
      </c>
      <c r="K9497" s="2" t="s">
        <v>18543</v>
      </c>
      <c r="L9497" s="2"/>
      <c r="M9497" s="18"/>
      <c r="N9497" s="18"/>
      <c r="O9497" s="18"/>
    </row>
    <row r="9498" spans="1:15" ht="84" customHeight="1" x14ac:dyDescent="0.3">
      <c r="A9498" s="2">
        <v>9494</v>
      </c>
      <c r="B9498" s="66" t="s">
        <v>12316</v>
      </c>
      <c r="C9498" s="66">
        <v>17180</v>
      </c>
      <c r="D9498" s="11">
        <v>31660.17</v>
      </c>
      <c r="E9498" s="11">
        <v>21745.15</v>
      </c>
      <c r="F9498" s="3">
        <v>40500</v>
      </c>
      <c r="G9498" s="2" t="s">
        <v>11556</v>
      </c>
      <c r="H9498" s="3">
        <v>41961</v>
      </c>
      <c r="I9498" s="2" t="s">
        <v>16344</v>
      </c>
      <c r="J9498" s="2" t="s">
        <v>13904</v>
      </c>
      <c r="K9498" s="2"/>
      <c r="L9498" s="2"/>
      <c r="M9498" s="18"/>
      <c r="N9498" s="18"/>
      <c r="O9498" s="18"/>
    </row>
    <row r="9499" spans="1:15" ht="84" customHeight="1" x14ac:dyDescent="0.3">
      <c r="A9499" s="2">
        <v>9495</v>
      </c>
      <c r="B9499" s="66" t="s">
        <v>11557</v>
      </c>
      <c r="C9499" s="66">
        <v>17468</v>
      </c>
      <c r="D9499" s="11">
        <v>0.01</v>
      </c>
      <c r="E9499" s="11">
        <v>0</v>
      </c>
      <c r="F9499" s="3">
        <v>40500</v>
      </c>
      <c r="G9499" s="2" t="s">
        <v>11556</v>
      </c>
      <c r="H9499" s="2"/>
      <c r="I9499" s="2"/>
      <c r="J9499" s="2" t="s">
        <v>13904</v>
      </c>
      <c r="K9499" s="2" t="s">
        <v>18543</v>
      </c>
      <c r="L9499" s="82"/>
    </row>
    <row r="9500" spans="1:15" ht="84" customHeight="1" x14ac:dyDescent="0.3">
      <c r="A9500" s="2">
        <v>9496</v>
      </c>
      <c r="B9500" s="66" t="s">
        <v>11558</v>
      </c>
      <c r="C9500" s="66">
        <v>17469</v>
      </c>
      <c r="D9500" s="11">
        <v>0.01</v>
      </c>
      <c r="E9500" s="11">
        <v>0</v>
      </c>
      <c r="F9500" s="3">
        <v>40500</v>
      </c>
      <c r="G9500" s="2" t="s">
        <v>11556</v>
      </c>
      <c r="H9500" s="2"/>
      <c r="I9500" s="2"/>
      <c r="J9500" s="2" t="s">
        <v>13904</v>
      </c>
      <c r="K9500" s="2" t="s">
        <v>18543</v>
      </c>
      <c r="L9500" s="82"/>
    </row>
    <row r="9501" spans="1:15" ht="84" customHeight="1" x14ac:dyDescent="0.3">
      <c r="A9501" s="2">
        <v>9497</v>
      </c>
      <c r="B9501" s="66" t="s">
        <v>11559</v>
      </c>
      <c r="C9501" s="66">
        <v>17099</v>
      </c>
      <c r="D9501" s="11">
        <v>104277.29</v>
      </c>
      <c r="E9501" s="11">
        <v>104277.29</v>
      </c>
      <c r="F9501" s="3">
        <v>40500</v>
      </c>
      <c r="G9501" s="2" t="s">
        <v>11556</v>
      </c>
      <c r="H9501" s="2"/>
      <c r="I9501" s="2"/>
      <c r="J9501" s="2" t="s">
        <v>13904</v>
      </c>
      <c r="K9501" s="2" t="s">
        <v>18543</v>
      </c>
      <c r="L9501" s="82"/>
    </row>
    <row r="9502" spans="1:15" ht="84" customHeight="1" x14ac:dyDescent="0.3">
      <c r="A9502" s="2">
        <v>9498</v>
      </c>
      <c r="B9502" s="66" t="s">
        <v>11560</v>
      </c>
      <c r="C9502" s="66">
        <v>17178</v>
      </c>
      <c r="D9502" s="11">
        <v>23500</v>
      </c>
      <c r="E9502" s="11">
        <v>17625.150000000001</v>
      </c>
      <c r="F9502" s="3">
        <v>40500</v>
      </c>
      <c r="G9502" s="2" t="s">
        <v>11556</v>
      </c>
      <c r="H9502" s="3">
        <v>41961</v>
      </c>
      <c r="I9502" s="2" t="s">
        <v>16344</v>
      </c>
      <c r="J9502" s="2" t="s">
        <v>13904</v>
      </c>
      <c r="K9502" s="2"/>
      <c r="L9502" s="82"/>
    </row>
    <row r="9503" spans="1:15" ht="84" customHeight="1" x14ac:dyDescent="0.3">
      <c r="A9503" s="2">
        <v>9499</v>
      </c>
      <c r="B9503" s="66" t="s">
        <v>11561</v>
      </c>
      <c r="C9503" s="66">
        <v>15311</v>
      </c>
      <c r="D9503" s="11">
        <v>5402.93</v>
      </c>
      <c r="E9503" s="11">
        <v>5402.93</v>
      </c>
      <c r="F9503" s="3">
        <v>40500</v>
      </c>
      <c r="G9503" s="2" t="s">
        <v>11556</v>
      </c>
      <c r="H9503" s="3">
        <v>41961</v>
      </c>
      <c r="I9503" s="2" t="s">
        <v>16344</v>
      </c>
      <c r="J9503" s="2" t="s">
        <v>13904</v>
      </c>
      <c r="K9503" s="2"/>
      <c r="L9503" s="82"/>
    </row>
    <row r="9504" spans="1:15" ht="84" customHeight="1" x14ac:dyDescent="0.3">
      <c r="A9504" s="2">
        <v>9500</v>
      </c>
      <c r="B9504" s="66" t="s">
        <v>11562</v>
      </c>
      <c r="C9504" s="66" t="s">
        <v>11563</v>
      </c>
      <c r="D9504" s="11">
        <f>2912555.77*2</f>
        <v>5825111.54</v>
      </c>
      <c r="E9504" s="11">
        <f>1031530.25*2</f>
        <v>2063060.5</v>
      </c>
      <c r="F9504" s="3">
        <v>40500</v>
      </c>
      <c r="G9504" s="2" t="s">
        <v>11556</v>
      </c>
      <c r="H9504" s="2"/>
      <c r="I9504" s="2"/>
      <c r="J9504" s="2" t="s">
        <v>13904</v>
      </c>
      <c r="K9504" s="2" t="s">
        <v>18543</v>
      </c>
      <c r="L9504" s="82"/>
    </row>
    <row r="9505" spans="1:12" ht="84" customHeight="1" x14ac:dyDescent="0.3">
      <c r="A9505" s="2">
        <v>9501</v>
      </c>
      <c r="B9505" s="66" t="s">
        <v>11564</v>
      </c>
      <c r="C9505" s="66">
        <v>17190</v>
      </c>
      <c r="D9505" s="20">
        <v>137736</v>
      </c>
      <c r="E9505" s="11">
        <v>121666.8</v>
      </c>
      <c r="F9505" s="3">
        <v>40500</v>
      </c>
      <c r="G9505" s="2" t="s">
        <v>11556</v>
      </c>
      <c r="H9505" s="2"/>
      <c r="I9505" s="2"/>
      <c r="J9505" s="2" t="s">
        <v>13904</v>
      </c>
      <c r="K9505" s="2" t="s">
        <v>18543</v>
      </c>
      <c r="L9505" s="82"/>
    </row>
    <row r="9506" spans="1:12" ht="84" customHeight="1" x14ac:dyDescent="0.3">
      <c r="A9506" s="2">
        <v>9502</v>
      </c>
      <c r="B9506" s="66" t="s">
        <v>11565</v>
      </c>
      <c r="C9506" s="66">
        <v>17637</v>
      </c>
      <c r="D9506" s="11">
        <v>31000</v>
      </c>
      <c r="E9506" s="11">
        <v>14208.37</v>
      </c>
      <c r="F9506" s="3">
        <v>40500</v>
      </c>
      <c r="G9506" s="2" t="s">
        <v>11556</v>
      </c>
      <c r="H9506" s="3">
        <v>41961</v>
      </c>
      <c r="I9506" s="2" t="s">
        <v>16344</v>
      </c>
      <c r="J9506" s="2" t="s">
        <v>13904</v>
      </c>
      <c r="K9506" s="2"/>
      <c r="L9506" s="82"/>
    </row>
    <row r="9507" spans="1:12" ht="84" customHeight="1" x14ac:dyDescent="0.3">
      <c r="A9507" s="2">
        <v>9503</v>
      </c>
      <c r="B9507" s="66" t="s">
        <v>11566</v>
      </c>
      <c r="C9507" s="66">
        <v>17265</v>
      </c>
      <c r="D9507" s="11">
        <v>18750</v>
      </c>
      <c r="E9507" s="11">
        <v>18750</v>
      </c>
      <c r="F9507" s="3">
        <v>40500</v>
      </c>
      <c r="G9507" s="2" t="s">
        <v>11556</v>
      </c>
      <c r="H9507" s="3">
        <v>42109</v>
      </c>
      <c r="I9507" s="2" t="s">
        <v>11796</v>
      </c>
      <c r="J9507" s="2" t="s">
        <v>13904</v>
      </c>
      <c r="K9507" s="2"/>
      <c r="L9507" s="82"/>
    </row>
    <row r="9508" spans="1:12" ht="84" customHeight="1" x14ac:dyDescent="0.3">
      <c r="A9508" s="2">
        <v>9504</v>
      </c>
      <c r="B9508" s="66" t="s">
        <v>11567</v>
      </c>
      <c r="C9508" s="66" t="s">
        <v>14092</v>
      </c>
      <c r="D9508" s="11">
        <f>0.01*3</f>
        <v>0.03</v>
      </c>
      <c r="E9508" s="11">
        <v>0</v>
      </c>
      <c r="F9508" s="3">
        <v>40500</v>
      </c>
      <c r="G9508" s="2" t="s">
        <v>11556</v>
      </c>
      <c r="H9508" s="2"/>
      <c r="I9508" s="2"/>
      <c r="J9508" s="2" t="s">
        <v>13904</v>
      </c>
      <c r="K9508" s="2" t="s">
        <v>18543</v>
      </c>
      <c r="L9508" s="82"/>
    </row>
    <row r="9509" spans="1:12" ht="84" customHeight="1" x14ac:dyDescent="0.3">
      <c r="A9509" s="2">
        <v>9505</v>
      </c>
      <c r="B9509" s="66" t="s">
        <v>11568</v>
      </c>
      <c r="C9509" s="66">
        <v>17057</v>
      </c>
      <c r="D9509" s="11">
        <v>7964.81</v>
      </c>
      <c r="E9509" s="11">
        <v>7398.71</v>
      </c>
      <c r="F9509" s="3">
        <v>40500</v>
      </c>
      <c r="G9509" s="2" t="s">
        <v>11556</v>
      </c>
      <c r="H9509" s="2"/>
      <c r="I9509" s="2"/>
      <c r="J9509" s="2" t="s">
        <v>13904</v>
      </c>
      <c r="K9509" s="2" t="s">
        <v>18543</v>
      </c>
      <c r="L9509" s="82"/>
    </row>
    <row r="9510" spans="1:12" ht="84" customHeight="1" x14ac:dyDescent="0.3">
      <c r="A9510" s="2">
        <v>9506</v>
      </c>
      <c r="B9510" s="66" t="s">
        <v>11569</v>
      </c>
      <c r="C9510" s="66">
        <v>17371</v>
      </c>
      <c r="D9510" s="11">
        <v>38368.51</v>
      </c>
      <c r="E9510" s="11">
        <v>38368.51</v>
      </c>
      <c r="F9510" s="3">
        <v>40500</v>
      </c>
      <c r="G9510" s="2" t="s">
        <v>11556</v>
      </c>
      <c r="H9510" s="2"/>
      <c r="I9510" s="2"/>
      <c r="J9510" s="2" t="s">
        <v>13904</v>
      </c>
      <c r="K9510" s="2" t="s">
        <v>18543</v>
      </c>
      <c r="L9510" s="82"/>
    </row>
    <row r="9511" spans="1:12" ht="84" customHeight="1" x14ac:dyDescent="0.3">
      <c r="A9511" s="2">
        <v>9507</v>
      </c>
      <c r="B9511" s="66" t="s">
        <v>11570</v>
      </c>
      <c r="C9511" s="66">
        <v>17369</v>
      </c>
      <c r="D9511" s="11">
        <v>172534.29</v>
      </c>
      <c r="E9511" s="11">
        <v>172534.29</v>
      </c>
      <c r="F9511" s="3">
        <v>40500</v>
      </c>
      <c r="G9511" s="2" t="s">
        <v>11556</v>
      </c>
      <c r="H9511" s="2"/>
      <c r="I9511" s="2"/>
      <c r="J9511" s="2" t="s">
        <v>13904</v>
      </c>
      <c r="K9511" s="2" t="s">
        <v>18543</v>
      </c>
      <c r="L9511" s="82"/>
    </row>
    <row r="9512" spans="1:12" ht="84" customHeight="1" x14ac:dyDescent="0.3">
      <c r="A9512" s="2">
        <v>9508</v>
      </c>
      <c r="B9512" s="2" t="s">
        <v>21795</v>
      </c>
      <c r="C9512" s="79" t="s">
        <v>21797</v>
      </c>
      <c r="D9512" s="11">
        <v>56005.93</v>
      </c>
      <c r="E9512" s="11"/>
      <c r="F9512" s="3" t="s">
        <v>21872</v>
      </c>
      <c r="G9512" s="2" t="s">
        <v>21873</v>
      </c>
      <c r="H9512" s="2"/>
      <c r="I9512" s="2"/>
      <c r="J9512" s="2" t="s">
        <v>13904</v>
      </c>
      <c r="K9512" s="2" t="s">
        <v>21792</v>
      </c>
      <c r="L9512" s="38"/>
    </row>
    <row r="9513" spans="1:12" ht="84" customHeight="1" x14ac:dyDescent="0.3">
      <c r="A9513" s="2">
        <v>9509</v>
      </c>
      <c r="B9513" s="66" t="s">
        <v>11571</v>
      </c>
      <c r="C9513" s="66" t="s">
        <v>11572</v>
      </c>
      <c r="D9513" s="11">
        <f>11992*2</f>
        <v>23984</v>
      </c>
      <c r="E9513" s="11">
        <f>8827.68*2</f>
        <v>17655.36</v>
      </c>
      <c r="F9513" s="3">
        <v>40500</v>
      </c>
      <c r="G9513" s="2" t="s">
        <v>11556</v>
      </c>
      <c r="H9513" s="2"/>
      <c r="I9513" s="2"/>
      <c r="J9513" s="2" t="s">
        <v>13904</v>
      </c>
      <c r="K9513" s="2" t="s">
        <v>18543</v>
      </c>
      <c r="L9513" s="82"/>
    </row>
    <row r="9514" spans="1:12" ht="84" customHeight="1" x14ac:dyDescent="0.3">
      <c r="A9514" s="2">
        <v>9510</v>
      </c>
      <c r="B9514" s="66" t="s">
        <v>11573</v>
      </c>
      <c r="C9514" s="66">
        <v>17195</v>
      </c>
      <c r="D9514" s="11">
        <v>12552</v>
      </c>
      <c r="E9514" s="11">
        <v>9240.02</v>
      </c>
      <c r="F9514" s="3">
        <v>40500</v>
      </c>
      <c r="G9514" s="2" t="s">
        <v>11556</v>
      </c>
      <c r="H9514" s="2"/>
      <c r="I9514" s="2"/>
      <c r="J9514" s="2" t="s">
        <v>13904</v>
      </c>
      <c r="K9514" s="2" t="s">
        <v>18543</v>
      </c>
      <c r="L9514" s="82"/>
    </row>
    <row r="9515" spans="1:12" ht="84" customHeight="1" x14ac:dyDescent="0.3">
      <c r="A9515" s="2">
        <v>9511</v>
      </c>
      <c r="B9515" s="66" t="s">
        <v>11574</v>
      </c>
      <c r="C9515" s="66" t="s">
        <v>11575</v>
      </c>
      <c r="D9515" s="11">
        <f>699545*2</f>
        <v>1399090</v>
      </c>
      <c r="E9515" s="11">
        <f>617931.24*2</f>
        <v>1235862.48</v>
      </c>
      <c r="F9515" s="3">
        <v>40500</v>
      </c>
      <c r="G9515" s="2" t="s">
        <v>11556</v>
      </c>
      <c r="H9515" s="2"/>
      <c r="I9515" s="2"/>
      <c r="J9515" s="2" t="s">
        <v>13904</v>
      </c>
      <c r="K9515" s="2" t="s">
        <v>18543</v>
      </c>
      <c r="L9515" s="82"/>
    </row>
    <row r="9516" spans="1:12" ht="84" customHeight="1" x14ac:dyDescent="0.3">
      <c r="A9516" s="2">
        <v>9512</v>
      </c>
      <c r="B9516" s="66" t="s">
        <v>21864</v>
      </c>
      <c r="C9516" s="99" t="s">
        <v>21798</v>
      </c>
      <c r="D9516" s="11">
        <v>95016.95</v>
      </c>
      <c r="E9516" s="11"/>
      <c r="F9516" s="3" t="s">
        <v>21870</v>
      </c>
      <c r="G9516" s="2" t="s">
        <v>21871</v>
      </c>
      <c r="H9516" s="2"/>
      <c r="I9516" s="2"/>
      <c r="J9516" s="2" t="s">
        <v>13904</v>
      </c>
      <c r="K9516" s="2" t="s">
        <v>21792</v>
      </c>
      <c r="L9516" s="38"/>
    </row>
    <row r="9517" spans="1:12" ht="84" customHeight="1" x14ac:dyDescent="0.3">
      <c r="A9517" s="2">
        <v>9513</v>
      </c>
      <c r="B9517" s="66" t="s">
        <v>11576</v>
      </c>
      <c r="C9517" s="66">
        <v>17436</v>
      </c>
      <c r="D9517" s="11">
        <v>147972</v>
      </c>
      <c r="E9517" s="11">
        <v>0</v>
      </c>
      <c r="F9517" s="3">
        <v>40500</v>
      </c>
      <c r="G9517" s="2" t="s">
        <v>11556</v>
      </c>
      <c r="H9517" s="2"/>
      <c r="I9517" s="2"/>
      <c r="J9517" s="2" t="s">
        <v>13904</v>
      </c>
      <c r="K9517" s="2" t="s">
        <v>18543</v>
      </c>
      <c r="L9517" s="82"/>
    </row>
    <row r="9518" spans="1:12" ht="84" customHeight="1" x14ac:dyDescent="0.3">
      <c r="A9518" s="2">
        <v>9514</v>
      </c>
      <c r="B9518" s="66" t="s">
        <v>11577</v>
      </c>
      <c r="C9518" s="66">
        <v>14117</v>
      </c>
      <c r="D9518" s="11">
        <v>16263.15</v>
      </c>
      <c r="E9518" s="11">
        <v>13204.01</v>
      </c>
      <c r="F9518" s="3">
        <v>40500</v>
      </c>
      <c r="G9518" s="2" t="s">
        <v>11556</v>
      </c>
      <c r="H9518" s="3">
        <v>42109</v>
      </c>
      <c r="I9518" s="2" t="s">
        <v>11796</v>
      </c>
      <c r="J9518" s="2" t="s">
        <v>13904</v>
      </c>
      <c r="K9518" s="2"/>
      <c r="L9518" s="82"/>
    </row>
    <row r="9519" spans="1:12" ht="84" customHeight="1" x14ac:dyDescent="0.3">
      <c r="A9519" s="2">
        <v>9515</v>
      </c>
      <c r="B9519" s="66" t="s">
        <v>11578</v>
      </c>
      <c r="C9519" s="66">
        <v>14072</v>
      </c>
      <c r="D9519" s="11">
        <v>1485013.24</v>
      </c>
      <c r="E9519" s="11">
        <v>1485013.24</v>
      </c>
      <c r="F9519" s="3">
        <v>40500</v>
      </c>
      <c r="G9519" s="2" t="s">
        <v>11556</v>
      </c>
      <c r="H9519" s="2"/>
      <c r="I9519" s="2"/>
      <c r="J9519" s="2" t="s">
        <v>13904</v>
      </c>
      <c r="K9519" s="2" t="s">
        <v>18543</v>
      </c>
      <c r="L9519" s="82"/>
    </row>
    <row r="9520" spans="1:12" ht="84" customHeight="1" x14ac:dyDescent="0.3">
      <c r="A9520" s="2">
        <v>9516</v>
      </c>
      <c r="B9520" s="66" t="s">
        <v>11579</v>
      </c>
      <c r="C9520" s="66">
        <v>14110</v>
      </c>
      <c r="D9520" s="11">
        <v>26495.97</v>
      </c>
      <c r="E9520" s="11">
        <v>26495.97</v>
      </c>
      <c r="F9520" s="3">
        <v>40500</v>
      </c>
      <c r="G9520" s="2" t="s">
        <v>11556</v>
      </c>
      <c r="H9520" s="3">
        <v>42109</v>
      </c>
      <c r="I9520" s="2" t="s">
        <v>11796</v>
      </c>
      <c r="J9520" s="2" t="s">
        <v>13904</v>
      </c>
      <c r="K9520" s="2"/>
      <c r="L9520" s="82"/>
    </row>
    <row r="9521" spans="1:12" ht="84" customHeight="1" x14ac:dyDescent="0.3">
      <c r="A9521" s="2">
        <v>9517</v>
      </c>
      <c r="B9521" s="66" t="s">
        <v>21800</v>
      </c>
      <c r="C9521" s="99" t="s">
        <v>21799</v>
      </c>
      <c r="D9521" s="11">
        <v>40338.980000000003</v>
      </c>
      <c r="E9521" s="11"/>
      <c r="F9521" s="3" t="s">
        <v>21883</v>
      </c>
      <c r="G9521" s="2" t="s">
        <v>21885</v>
      </c>
      <c r="H9521" s="2"/>
      <c r="I9521" s="2"/>
      <c r="J9521" s="2" t="s">
        <v>13904</v>
      </c>
      <c r="K9521" s="2" t="s">
        <v>21792</v>
      </c>
      <c r="L9521" s="38"/>
    </row>
    <row r="9522" spans="1:12" ht="84" customHeight="1" x14ac:dyDescent="0.3">
      <c r="A9522" s="2">
        <v>9518</v>
      </c>
      <c r="B9522" s="66" t="s">
        <v>21801</v>
      </c>
      <c r="C9522" s="99" t="s">
        <v>21802</v>
      </c>
      <c r="D9522" s="11">
        <v>88983.05</v>
      </c>
      <c r="E9522" s="11"/>
      <c r="F9522" s="3" t="s">
        <v>21881</v>
      </c>
      <c r="G9522" s="2" t="s">
        <v>21882</v>
      </c>
      <c r="H9522" s="2"/>
      <c r="I9522" s="2"/>
      <c r="J9522" s="2" t="s">
        <v>13904</v>
      </c>
      <c r="K9522" s="2" t="s">
        <v>21792</v>
      </c>
      <c r="L9522" s="38"/>
    </row>
    <row r="9523" spans="1:12" ht="84" customHeight="1" x14ac:dyDescent="0.3">
      <c r="A9523" s="2">
        <v>9519</v>
      </c>
      <c r="B9523" s="66" t="s">
        <v>11580</v>
      </c>
      <c r="C9523" s="66" t="s">
        <v>11581</v>
      </c>
      <c r="D9523" s="11">
        <f>920798*3</f>
        <v>2762394</v>
      </c>
      <c r="E9523" s="11">
        <f>813371.92*3</f>
        <v>2440115.7600000002</v>
      </c>
      <c r="F9523" s="3">
        <v>40500</v>
      </c>
      <c r="G9523" s="2" t="s">
        <v>11556</v>
      </c>
      <c r="H9523" s="2"/>
      <c r="I9523" s="2"/>
      <c r="J9523" s="2" t="s">
        <v>13904</v>
      </c>
      <c r="K9523" s="2" t="s">
        <v>18543</v>
      </c>
      <c r="L9523" s="82"/>
    </row>
    <row r="9524" spans="1:12" ht="84" customHeight="1" x14ac:dyDescent="0.3">
      <c r="A9524" s="2">
        <v>9520</v>
      </c>
      <c r="B9524" s="66" t="s">
        <v>11582</v>
      </c>
      <c r="C9524" s="66">
        <v>17603</v>
      </c>
      <c r="D9524" s="11">
        <v>66408</v>
      </c>
      <c r="E9524" s="11">
        <v>33240</v>
      </c>
      <c r="F9524" s="3">
        <v>40500</v>
      </c>
      <c r="G9524" s="2" t="s">
        <v>11556</v>
      </c>
      <c r="H9524" s="2"/>
      <c r="I9524" s="2"/>
      <c r="J9524" s="2" t="s">
        <v>13904</v>
      </c>
      <c r="K9524" s="2" t="s">
        <v>18543</v>
      </c>
      <c r="L9524" s="82"/>
    </row>
    <row r="9525" spans="1:12" ht="84" customHeight="1" x14ac:dyDescent="0.3">
      <c r="A9525" s="2">
        <v>9521</v>
      </c>
      <c r="B9525" s="66" t="s">
        <v>21803</v>
      </c>
      <c r="C9525" s="99" t="s">
        <v>21804</v>
      </c>
      <c r="D9525" s="11">
        <v>49318.64</v>
      </c>
      <c r="E9525" s="11"/>
      <c r="F9525" s="3" t="s">
        <v>22082</v>
      </c>
      <c r="G9525" s="2" t="s">
        <v>21878</v>
      </c>
      <c r="H9525" s="3"/>
      <c r="I9525" s="2"/>
      <c r="J9525" s="2" t="s">
        <v>13904</v>
      </c>
      <c r="K9525" s="2" t="s">
        <v>21792</v>
      </c>
      <c r="L9525" s="38"/>
    </row>
    <row r="9526" spans="1:12" ht="84" customHeight="1" x14ac:dyDescent="0.3">
      <c r="A9526" s="2">
        <v>9522</v>
      </c>
      <c r="B9526" s="66" t="s">
        <v>21806</v>
      </c>
      <c r="C9526" s="99" t="s">
        <v>16358</v>
      </c>
      <c r="D9526" s="11">
        <v>81300</v>
      </c>
      <c r="E9526" s="11"/>
      <c r="F9526" s="3" t="s">
        <v>21884</v>
      </c>
      <c r="G9526" s="2" t="s">
        <v>21880</v>
      </c>
      <c r="H9526" s="3"/>
      <c r="I9526" s="2"/>
      <c r="J9526" s="2" t="s">
        <v>13904</v>
      </c>
      <c r="K9526" s="2" t="s">
        <v>21792</v>
      </c>
      <c r="L9526" s="38"/>
    </row>
    <row r="9527" spans="1:12" ht="84" customHeight="1" x14ac:dyDescent="0.3">
      <c r="A9527" s="2">
        <v>9523</v>
      </c>
      <c r="B9527" s="66" t="s">
        <v>11583</v>
      </c>
      <c r="C9527" s="66">
        <v>15124</v>
      </c>
      <c r="D9527" s="11">
        <v>0</v>
      </c>
      <c r="E9527" s="11">
        <v>0</v>
      </c>
      <c r="F9527" s="3">
        <v>40500</v>
      </c>
      <c r="G9527" s="2" t="s">
        <v>11556</v>
      </c>
      <c r="H9527" s="3">
        <v>41961</v>
      </c>
      <c r="I9527" s="2" t="s">
        <v>16344</v>
      </c>
      <c r="J9527" s="2" t="s">
        <v>13904</v>
      </c>
      <c r="K9527" s="2"/>
      <c r="L9527" s="82"/>
    </row>
    <row r="9528" spans="1:12" ht="84" customHeight="1" x14ac:dyDescent="0.3">
      <c r="A9528" s="2">
        <v>9524</v>
      </c>
      <c r="B9528" s="66" t="s">
        <v>11584</v>
      </c>
      <c r="C9528" s="66">
        <v>17466</v>
      </c>
      <c r="D9528" s="11">
        <v>0.01</v>
      </c>
      <c r="E9528" s="11">
        <v>0</v>
      </c>
      <c r="F9528" s="3">
        <v>40500</v>
      </c>
      <c r="G9528" s="2" t="s">
        <v>11556</v>
      </c>
      <c r="H9528" s="3">
        <v>42109</v>
      </c>
      <c r="I9528" s="2" t="s">
        <v>11796</v>
      </c>
      <c r="J9528" s="2" t="s">
        <v>13904</v>
      </c>
      <c r="K9528" s="2"/>
      <c r="L9528" s="82"/>
    </row>
    <row r="9529" spans="1:12" ht="84" customHeight="1" x14ac:dyDescent="0.3">
      <c r="A9529" s="2">
        <v>9525</v>
      </c>
      <c r="B9529" s="66" t="s">
        <v>11585</v>
      </c>
      <c r="C9529" s="66">
        <v>17467</v>
      </c>
      <c r="D9529" s="11">
        <v>0.01</v>
      </c>
      <c r="E9529" s="11">
        <v>0</v>
      </c>
      <c r="F9529" s="3">
        <v>40500</v>
      </c>
      <c r="G9529" s="2" t="s">
        <v>11556</v>
      </c>
      <c r="H9529" s="2"/>
      <c r="I9529" s="2"/>
      <c r="J9529" s="2" t="s">
        <v>13904</v>
      </c>
      <c r="K9529" s="2" t="s">
        <v>18543</v>
      </c>
      <c r="L9529" s="82"/>
    </row>
    <row r="9530" spans="1:12" ht="84" customHeight="1" x14ac:dyDescent="0.3">
      <c r="A9530" s="2">
        <v>9526</v>
      </c>
      <c r="B9530" s="66" t="s">
        <v>11586</v>
      </c>
      <c r="C9530" s="66">
        <v>15120</v>
      </c>
      <c r="D9530" s="11">
        <v>19300</v>
      </c>
      <c r="E9530" s="11">
        <v>19300</v>
      </c>
      <c r="F9530" s="3">
        <v>40500</v>
      </c>
      <c r="G9530" s="2" t="s">
        <v>11556</v>
      </c>
      <c r="H9530" s="3">
        <v>41961</v>
      </c>
      <c r="I9530" s="2" t="s">
        <v>16344</v>
      </c>
      <c r="J9530" s="2" t="s">
        <v>13904</v>
      </c>
      <c r="K9530" s="2"/>
      <c r="L9530" s="82"/>
    </row>
    <row r="9531" spans="1:12" ht="84" customHeight="1" x14ac:dyDescent="0.3">
      <c r="A9531" s="2">
        <v>9527</v>
      </c>
      <c r="B9531" s="66" t="s">
        <v>21807</v>
      </c>
      <c r="C9531" s="99" t="s">
        <v>21805</v>
      </c>
      <c r="D9531" s="11">
        <v>84700</v>
      </c>
      <c r="E9531" s="11"/>
      <c r="F9531" s="3" t="s">
        <v>21884</v>
      </c>
      <c r="G9531" s="2" t="s">
        <v>21879</v>
      </c>
      <c r="H9531" s="2"/>
      <c r="I9531" s="2"/>
      <c r="J9531" s="2" t="s">
        <v>13904</v>
      </c>
      <c r="K9531" s="2" t="s">
        <v>21792</v>
      </c>
      <c r="L9531" s="38"/>
    </row>
    <row r="9532" spans="1:12" ht="84" customHeight="1" x14ac:dyDescent="0.3">
      <c r="A9532" s="2">
        <v>9528</v>
      </c>
      <c r="B9532" s="66" t="s">
        <v>21808</v>
      </c>
      <c r="C9532" s="99" t="s">
        <v>21809</v>
      </c>
      <c r="D9532" s="11">
        <v>85074</v>
      </c>
      <c r="E9532" s="11"/>
      <c r="F9532" s="3">
        <v>43014</v>
      </c>
      <c r="G9532" s="2" t="s">
        <v>21877</v>
      </c>
      <c r="H9532" s="2"/>
      <c r="I9532" s="2"/>
      <c r="J9532" s="2" t="s">
        <v>13904</v>
      </c>
      <c r="K9532" s="2" t="s">
        <v>21792</v>
      </c>
      <c r="L9532" s="38"/>
    </row>
    <row r="9533" spans="1:12" ht="84" customHeight="1" x14ac:dyDescent="0.3">
      <c r="A9533" s="2">
        <v>9529</v>
      </c>
      <c r="B9533" s="66" t="s">
        <v>11587</v>
      </c>
      <c r="C9533" s="66">
        <v>17242</v>
      </c>
      <c r="D9533" s="11">
        <v>11233</v>
      </c>
      <c r="E9533" s="11">
        <v>9922.66</v>
      </c>
      <c r="F9533" s="3">
        <v>40500</v>
      </c>
      <c r="G9533" s="2" t="s">
        <v>11556</v>
      </c>
      <c r="H9533" s="2"/>
      <c r="I9533" s="2"/>
      <c r="J9533" s="2" t="s">
        <v>13904</v>
      </c>
      <c r="K9533" s="2" t="s">
        <v>18543</v>
      </c>
      <c r="L9533" s="82"/>
    </row>
    <row r="9534" spans="1:12" ht="84" customHeight="1" x14ac:dyDescent="0.3">
      <c r="A9534" s="2">
        <v>9530</v>
      </c>
      <c r="B9534" s="66" t="s">
        <v>11588</v>
      </c>
      <c r="C9534" s="66">
        <v>17153</v>
      </c>
      <c r="D9534" s="11">
        <v>125920</v>
      </c>
      <c r="E9534" s="11">
        <v>83946.4</v>
      </c>
      <c r="F9534" s="3">
        <v>40500</v>
      </c>
      <c r="G9534" s="2" t="s">
        <v>11556</v>
      </c>
      <c r="H9534" s="2"/>
      <c r="I9534" s="2"/>
      <c r="J9534" s="2" t="s">
        <v>13904</v>
      </c>
      <c r="K9534" s="2" t="s">
        <v>18543</v>
      </c>
      <c r="L9534" s="82"/>
    </row>
    <row r="9535" spans="1:12" ht="84" customHeight="1" x14ac:dyDescent="0.3">
      <c r="A9535" s="2">
        <v>9531</v>
      </c>
      <c r="B9535" s="66" t="s">
        <v>11589</v>
      </c>
      <c r="C9535" s="66">
        <v>17630</v>
      </c>
      <c r="D9535" s="11">
        <v>242813.56</v>
      </c>
      <c r="E9535" s="11">
        <v>168620.25</v>
      </c>
      <c r="F9535" s="3">
        <v>40500</v>
      </c>
      <c r="G9535" s="2" t="s">
        <v>11556</v>
      </c>
      <c r="H9535" s="2"/>
      <c r="I9535" s="2"/>
      <c r="J9535" s="2" t="s">
        <v>13904</v>
      </c>
      <c r="K9535" s="2" t="s">
        <v>18543</v>
      </c>
      <c r="L9535" s="82"/>
    </row>
    <row r="9536" spans="1:12" ht="84" customHeight="1" x14ac:dyDescent="0.3">
      <c r="A9536" s="2">
        <v>9532</v>
      </c>
      <c r="B9536" s="66" t="s">
        <v>11590</v>
      </c>
      <c r="C9536" s="66">
        <v>17628</v>
      </c>
      <c r="D9536" s="11">
        <v>110169.49</v>
      </c>
      <c r="E9536" s="11">
        <v>69774.080000000002</v>
      </c>
      <c r="F9536" s="3">
        <v>40500</v>
      </c>
      <c r="G9536" s="2" t="s">
        <v>11556</v>
      </c>
      <c r="H9536" s="2"/>
      <c r="I9536" s="2"/>
      <c r="J9536" s="2" t="s">
        <v>13904</v>
      </c>
      <c r="K9536" s="2" t="s">
        <v>18543</v>
      </c>
      <c r="L9536" s="82"/>
    </row>
    <row r="9537" spans="1:12" ht="84" customHeight="1" x14ac:dyDescent="0.3">
      <c r="A9537" s="2">
        <v>9533</v>
      </c>
      <c r="B9537" s="66" t="s">
        <v>11591</v>
      </c>
      <c r="C9537" s="66">
        <v>17321</v>
      </c>
      <c r="D9537" s="11">
        <v>25488</v>
      </c>
      <c r="E9537" s="11">
        <v>19328.400000000001</v>
      </c>
      <c r="F9537" s="3">
        <v>40500</v>
      </c>
      <c r="G9537" s="2" t="s">
        <v>11556</v>
      </c>
      <c r="H9537" s="2"/>
      <c r="I9537" s="2"/>
      <c r="J9537" s="2" t="s">
        <v>13904</v>
      </c>
      <c r="K9537" s="2" t="s">
        <v>18543</v>
      </c>
      <c r="L9537" s="82"/>
    </row>
    <row r="9538" spans="1:12" ht="84" customHeight="1" x14ac:dyDescent="0.3">
      <c r="A9538" s="2">
        <v>9534</v>
      </c>
      <c r="B9538" s="66" t="s">
        <v>11592</v>
      </c>
      <c r="C9538" s="66">
        <v>14058</v>
      </c>
      <c r="D9538" s="11">
        <v>2106.65</v>
      </c>
      <c r="E9538" s="11">
        <v>2106.65</v>
      </c>
      <c r="F9538" s="3">
        <v>40500</v>
      </c>
      <c r="G9538" s="2" t="s">
        <v>11556</v>
      </c>
      <c r="H9538" s="3">
        <v>42109</v>
      </c>
      <c r="I9538" s="2" t="s">
        <v>11796</v>
      </c>
      <c r="J9538" s="2" t="s">
        <v>13904</v>
      </c>
      <c r="K9538" s="2"/>
      <c r="L9538" s="82"/>
    </row>
    <row r="9539" spans="1:12" ht="84" customHeight="1" x14ac:dyDescent="0.3">
      <c r="A9539" s="2">
        <v>9535</v>
      </c>
      <c r="B9539" s="66" t="s">
        <v>11592</v>
      </c>
      <c r="C9539" s="66">
        <v>17442</v>
      </c>
      <c r="D9539" s="11">
        <v>0.01</v>
      </c>
      <c r="E9539" s="11">
        <v>0</v>
      </c>
      <c r="F9539" s="3">
        <v>40500</v>
      </c>
      <c r="G9539" s="2" t="s">
        <v>11556</v>
      </c>
      <c r="H9539" s="3">
        <v>42109</v>
      </c>
      <c r="I9539" s="2" t="s">
        <v>11796</v>
      </c>
      <c r="J9539" s="2" t="s">
        <v>13904</v>
      </c>
      <c r="K9539" s="2"/>
      <c r="L9539" s="82"/>
    </row>
    <row r="9540" spans="1:12" ht="84" customHeight="1" x14ac:dyDescent="0.3">
      <c r="A9540" s="2">
        <v>9536</v>
      </c>
      <c r="B9540" s="66" t="s">
        <v>11593</v>
      </c>
      <c r="C9540" s="66" t="s">
        <v>11594</v>
      </c>
      <c r="D9540" s="11">
        <v>99945.76</v>
      </c>
      <c r="E9540" s="11">
        <v>11105.15</v>
      </c>
      <c r="F9540" s="3">
        <v>40500</v>
      </c>
      <c r="G9540" s="2" t="s">
        <v>11556</v>
      </c>
      <c r="H9540" s="3">
        <v>42109</v>
      </c>
      <c r="I9540" s="2" t="s">
        <v>11796</v>
      </c>
      <c r="J9540" s="2" t="s">
        <v>13904</v>
      </c>
      <c r="K9540" s="2"/>
      <c r="L9540" s="82"/>
    </row>
    <row r="9541" spans="1:12" ht="84" customHeight="1" x14ac:dyDescent="0.3">
      <c r="A9541" s="2">
        <v>9537</v>
      </c>
      <c r="B9541" s="66" t="s">
        <v>11595</v>
      </c>
      <c r="C9541" s="66">
        <v>17031</v>
      </c>
      <c r="D9541" s="11">
        <v>8698.52</v>
      </c>
      <c r="E9541" s="11">
        <v>8521.14</v>
      </c>
      <c r="F9541" s="3">
        <v>40500</v>
      </c>
      <c r="G9541" s="2" t="s">
        <v>11556</v>
      </c>
      <c r="H9541" s="3">
        <v>41961</v>
      </c>
      <c r="I9541" s="2" t="s">
        <v>16344</v>
      </c>
      <c r="J9541" s="2" t="s">
        <v>13904</v>
      </c>
      <c r="K9541" s="2"/>
      <c r="L9541" s="82"/>
    </row>
    <row r="9542" spans="1:12" ht="84" customHeight="1" x14ac:dyDescent="0.3">
      <c r="A9542" s="2">
        <v>9538</v>
      </c>
      <c r="B9542" s="66" t="s">
        <v>11596</v>
      </c>
      <c r="C9542" s="66" t="s">
        <v>11597</v>
      </c>
      <c r="D9542" s="11">
        <f>33849.38*4</f>
        <v>135397.51999999999</v>
      </c>
      <c r="E9542" s="11">
        <f>33849.38*4</f>
        <v>135397.51999999999</v>
      </c>
      <c r="F9542" s="3">
        <v>40500</v>
      </c>
      <c r="G9542" s="2" t="s">
        <v>11556</v>
      </c>
      <c r="H9542" s="2"/>
      <c r="I9542" s="2"/>
      <c r="J9542" s="2" t="s">
        <v>13904</v>
      </c>
      <c r="K9542" s="2" t="s">
        <v>18543</v>
      </c>
      <c r="L9542" s="82"/>
    </row>
    <row r="9543" spans="1:12" ht="84" customHeight="1" x14ac:dyDescent="0.3">
      <c r="A9543" s="2">
        <v>9539</v>
      </c>
      <c r="B9543" s="66" t="s">
        <v>21808</v>
      </c>
      <c r="C9543" s="99" t="s">
        <v>21810</v>
      </c>
      <c r="D9543" s="11">
        <v>85074</v>
      </c>
      <c r="E9543" s="11"/>
      <c r="F9543" s="3">
        <v>43014</v>
      </c>
      <c r="G9543" s="2" t="s">
        <v>21877</v>
      </c>
      <c r="H9543" s="2"/>
      <c r="I9543" s="2"/>
      <c r="J9543" s="2" t="s">
        <v>13904</v>
      </c>
      <c r="K9543" s="2" t="s">
        <v>21792</v>
      </c>
      <c r="L9543" s="38"/>
    </row>
    <row r="9544" spans="1:12" ht="84" customHeight="1" x14ac:dyDescent="0.3">
      <c r="A9544" s="2">
        <v>9540</v>
      </c>
      <c r="B9544" s="66" t="s">
        <v>11598</v>
      </c>
      <c r="C9544" s="66">
        <v>17176</v>
      </c>
      <c r="D9544" s="11">
        <v>19669.490000000002</v>
      </c>
      <c r="E9544" s="11">
        <v>14751.9</v>
      </c>
      <c r="F9544" s="3">
        <v>40500</v>
      </c>
      <c r="G9544" s="2" t="s">
        <v>11556</v>
      </c>
      <c r="H9544" s="3">
        <v>41961</v>
      </c>
      <c r="I9544" s="2" t="s">
        <v>16344</v>
      </c>
      <c r="J9544" s="2" t="s">
        <v>13904</v>
      </c>
      <c r="K9544" s="2"/>
      <c r="L9544" s="82"/>
    </row>
    <row r="9545" spans="1:12" ht="84" customHeight="1" x14ac:dyDescent="0.3">
      <c r="A9545" s="2">
        <v>9541</v>
      </c>
      <c r="B9545" s="66" t="s">
        <v>21808</v>
      </c>
      <c r="C9545" s="99" t="s">
        <v>21811</v>
      </c>
      <c r="D9545" s="11">
        <v>85074</v>
      </c>
      <c r="E9545" s="11"/>
      <c r="F9545" s="3" t="s">
        <v>22080</v>
      </c>
      <c r="G9545" s="2" t="s">
        <v>21877</v>
      </c>
      <c r="H9545" s="2"/>
      <c r="I9545" s="2"/>
      <c r="J9545" s="2" t="s">
        <v>13904</v>
      </c>
      <c r="K9545" s="2" t="s">
        <v>21792</v>
      </c>
      <c r="L9545" s="38"/>
    </row>
    <row r="9546" spans="1:12" ht="84" customHeight="1" x14ac:dyDescent="0.3">
      <c r="A9546" s="2">
        <v>9542</v>
      </c>
      <c r="B9546" s="66" t="s">
        <v>11599</v>
      </c>
      <c r="C9546" s="66">
        <v>17370</v>
      </c>
      <c r="D9546" s="11">
        <v>64336.2</v>
      </c>
      <c r="E9546" s="11">
        <v>64336.2</v>
      </c>
      <c r="F9546" s="3">
        <v>40500</v>
      </c>
      <c r="G9546" s="2" t="s">
        <v>11556</v>
      </c>
      <c r="H9546" s="2"/>
      <c r="I9546" s="2"/>
      <c r="J9546" s="2" t="s">
        <v>13904</v>
      </c>
      <c r="K9546" s="2" t="s">
        <v>18543</v>
      </c>
      <c r="L9546" s="82"/>
    </row>
    <row r="9547" spans="1:12" ht="84" customHeight="1" x14ac:dyDescent="0.3">
      <c r="A9547" s="2">
        <v>9543</v>
      </c>
      <c r="B9547" s="66" t="s">
        <v>11600</v>
      </c>
      <c r="C9547" s="66">
        <v>17366</v>
      </c>
      <c r="D9547" s="11">
        <v>976114.34</v>
      </c>
      <c r="E9547" s="11">
        <v>976114.34</v>
      </c>
      <c r="F9547" s="3">
        <v>40500</v>
      </c>
      <c r="G9547" s="2" t="s">
        <v>11556</v>
      </c>
      <c r="H9547" s="2"/>
      <c r="I9547" s="2"/>
      <c r="J9547" s="2" t="s">
        <v>13904</v>
      </c>
      <c r="K9547" s="2" t="s">
        <v>18543</v>
      </c>
      <c r="L9547" s="82"/>
    </row>
    <row r="9548" spans="1:12" ht="84" customHeight="1" x14ac:dyDescent="0.3">
      <c r="A9548" s="2">
        <v>9544</v>
      </c>
      <c r="B9548" s="66" t="s">
        <v>11600</v>
      </c>
      <c r="C9548" s="66">
        <v>14070</v>
      </c>
      <c r="D9548" s="11">
        <v>519914.37</v>
      </c>
      <c r="E9548" s="11">
        <v>519914.37</v>
      </c>
      <c r="F9548" s="3">
        <v>40500</v>
      </c>
      <c r="G9548" s="2" t="s">
        <v>11556</v>
      </c>
      <c r="H9548" s="2"/>
      <c r="I9548" s="2"/>
      <c r="J9548" s="2" t="s">
        <v>13904</v>
      </c>
      <c r="K9548" s="2" t="s">
        <v>18543</v>
      </c>
      <c r="L9548" s="82"/>
    </row>
    <row r="9549" spans="1:12" ht="84" customHeight="1" x14ac:dyDescent="0.3">
      <c r="A9549" s="2">
        <v>9545</v>
      </c>
      <c r="B9549" s="66" t="s">
        <v>11601</v>
      </c>
      <c r="C9549" s="66">
        <v>17368</v>
      </c>
      <c r="D9549" s="11">
        <v>157143</v>
      </c>
      <c r="E9549" s="11">
        <v>157143</v>
      </c>
      <c r="F9549" s="3">
        <v>40500</v>
      </c>
      <c r="G9549" s="2" t="s">
        <v>11556</v>
      </c>
      <c r="H9549" s="2"/>
      <c r="I9549" s="2"/>
      <c r="J9549" s="2" t="s">
        <v>13904</v>
      </c>
      <c r="K9549" s="2" t="s">
        <v>18543</v>
      </c>
      <c r="L9549" s="82"/>
    </row>
    <row r="9550" spans="1:12" ht="84" customHeight="1" x14ac:dyDescent="0.3">
      <c r="A9550" s="2">
        <v>9546</v>
      </c>
      <c r="B9550" s="66" t="s">
        <v>21812</v>
      </c>
      <c r="C9550" s="99" t="s">
        <v>21813</v>
      </c>
      <c r="D9550" s="11">
        <v>111603.04</v>
      </c>
      <c r="E9550" s="11"/>
      <c r="F9550" s="3" t="s">
        <v>21876</v>
      </c>
      <c r="G9550" s="2" t="s">
        <v>22077</v>
      </c>
      <c r="H9550" s="2"/>
      <c r="I9550" s="2"/>
      <c r="J9550" s="2" t="s">
        <v>13904</v>
      </c>
      <c r="K9550" s="2" t="s">
        <v>21792</v>
      </c>
      <c r="L9550" s="38"/>
    </row>
    <row r="9551" spans="1:12" ht="84" customHeight="1" x14ac:dyDescent="0.3">
      <c r="A9551" s="2">
        <v>9547</v>
      </c>
      <c r="B9551" s="66" t="s">
        <v>11602</v>
      </c>
      <c r="C9551" s="66">
        <v>17355</v>
      </c>
      <c r="D9551" s="11">
        <v>28923.41</v>
      </c>
      <c r="E9551" s="11">
        <v>28923.41</v>
      </c>
      <c r="F9551" s="3">
        <v>40500</v>
      </c>
      <c r="G9551" s="2" t="s">
        <v>11556</v>
      </c>
      <c r="H9551" s="2"/>
      <c r="I9551" s="2"/>
      <c r="J9551" s="2" t="s">
        <v>13904</v>
      </c>
      <c r="K9551" s="2" t="s">
        <v>18543</v>
      </c>
      <c r="L9551" s="82"/>
    </row>
    <row r="9552" spans="1:12" ht="84" customHeight="1" x14ac:dyDescent="0.3">
      <c r="A9552" s="2">
        <v>9548</v>
      </c>
      <c r="B9552" s="66" t="s">
        <v>11603</v>
      </c>
      <c r="C9552" s="66">
        <v>14059</v>
      </c>
      <c r="D9552" s="11">
        <v>333.95</v>
      </c>
      <c r="E9552" s="11">
        <v>333.95</v>
      </c>
      <c r="F9552" s="3">
        <v>40500</v>
      </c>
      <c r="G9552" s="2" t="s">
        <v>11556</v>
      </c>
      <c r="H9552" s="3">
        <v>42109</v>
      </c>
      <c r="I9552" s="2" t="s">
        <v>11796</v>
      </c>
      <c r="J9552" s="2" t="s">
        <v>13904</v>
      </c>
      <c r="K9552" s="2"/>
      <c r="L9552" s="82"/>
    </row>
    <row r="9553" spans="1:12" ht="84" customHeight="1" x14ac:dyDescent="0.3">
      <c r="A9553" s="2">
        <v>9549</v>
      </c>
      <c r="B9553" s="66" t="s">
        <v>11604</v>
      </c>
      <c r="C9553" s="66">
        <v>14050</v>
      </c>
      <c r="D9553" s="11">
        <v>64.98</v>
      </c>
      <c r="E9553" s="11">
        <v>64.98</v>
      </c>
      <c r="F9553" s="3">
        <v>40500</v>
      </c>
      <c r="G9553" s="2" t="s">
        <v>11556</v>
      </c>
      <c r="H9553" s="3">
        <v>42109</v>
      </c>
      <c r="I9553" s="2" t="s">
        <v>11796</v>
      </c>
      <c r="J9553" s="2" t="s">
        <v>13904</v>
      </c>
      <c r="K9553" s="2"/>
      <c r="L9553" s="82"/>
    </row>
    <row r="9554" spans="1:12" ht="84" customHeight="1" x14ac:dyDescent="0.3">
      <c r="A9554" s="2">
        <v>9550</v>
      </c>
      <c r="B9554" s="66" t="s">
        <v>11604</v>
      </c>
      <c r="C9554" s="66">
        <v>14051</v>
      </c>
      <c r="D9554" s="11">
        <v>76.459999999999994</v>
      </c>
      <c r="E9554" s="11">
        <v>76.459999999999994</v>
      </c>
      <c r="F9554" s="3">
        <v>40500</v>
      </c>
      <c r="G9554" s="2" t="s">
        <v>11556</v>
      </c>
      <c r="H9554" s="3">
        <v>42109</v>
      </c>
      <c r="I9554" s="2" t="s">
        <v>11796</v>
      </c>
      <c r="J9554" s="2" t="s">
        <v>13904</v>
      </c>
      <c r="K9554" s="2"/>
      <c r="L9554" s="82"/>
    </row>
    <row r="9555" spans="1:12" ht="84" customHeight="1" x14ac:dyDescent="0.3">
      <c r="A9555" s="2">
        <v>9551</v>
      </c>
      <c r="B9555" s="66" t="s">
        <v>11797</v>
      </c>
      <c r="C9555" s="66">
        <v>14079</v>
      </c>
      <c r="D9555" s="11">
        <v>20118.75</v>
      </c>
      <c r="E9555" s="11">
        <v>20118.75</v>
      </c>
      <c r="F9555" s="3">
        <v>40500</v>
      </c>
      <c r="G9555" s="2" t="s">
        <v>11556</v>
      </c>
      <c r="H9555" s="3"/>
      <c r="I9555" s="2"/>
      <c r="J9555" s="2" t="s">
        <v>13904</v>
      </c>
      <c r="K9555" s="2" t="s">
        <v>18543</v>
      </c>
      <c r="L9555" s="82"/>
    </row>
    <row r="9556" spans="1:12" ht="84" customHeight="1" x14ac:dyDescent="0.3">
      <c r="A9556" s="2">
        <v>9552</v>
      </c>
      <c r="B9556" s="66" t="s">
        <v>11605</v>
      </c>
      <c r="C9556" s="66">
        <v>17306</v>
      </c>
      <c r="D9556" s="11">
        <v>32450</v>
      </c>
      <c r="E9556" s="11">
        <v>13971.39</v>
      </c>
      <c r="F9556" s="3">
        <v>40500</v>
      </c>
      <c r="G9556" s="2" t="s">
        <v>11556</v>
      </c>
      <c r="H9556" s="3">
        <v>42109</v>
      </c>
      <c r="I9556" s="2" t="s">
        <v>11796</v>
      </c>
      <c r="J9556" s="2" t="s">
        <v>13904</v>
      </c>
      <c r="K9556" s="2"/>
      <c r="L9556" s="82"/>
    </row>
    <row r="9557" spans="1:12" ht="84" customHeight="1" x14ac:dyDescent="0.3">
      <c r="A9557" s="2">
        <v>9553</v>
      </c>
      <c r="B9557" s="66" t="s">
        <v>11606</v>
      </c>
      <c r="C9557" s="66">
        <v>17339</v>
      </c>
      <c r="D9557" s="11">
        <v>32450</v>
      </c>
      <c r="E9557" s="11">
        <v>32450</v>
      </c>
      <c r="F9557" s="3">
        <v>40500</v>
      </c>
      <c r="G9557" s="2" t="s">
        <v>11556</v>
      </c>
      <c r="H9557" s="2"/>
      <c r="I9557" s="2"/>
      <c r="J9557" s="2" t="s">
        <v>13904</v>
      </c>
      <c r="K9557" s="2" t="s">
        <v>18543</v>
      </c>
      <c r="L9557" s="82"/>
    </row>
    <row r="9558" spans="1:12" ht="84" customHeight="1" x14ac:dyDescent="0.3">
      <c r="A9558" s="2">
        <v>9554</v>
      </c>
      <c r="B9558" s="66" t="s">
        <v>11607</v>
      </c>
      <c r="C9558" s="66">
        <v>17237</v>
      </c>
      <c r="D9558" s="11">
        <v>13677</v>
      </c>
      <c r="E9558" s="11">
        <v>12081.88</v>
      </c>
      <c r="F9558" s="3">
        <v>40500</v>
      </c>
      <c r="G9558" s="2" t="s">
        <v>11556</v>
      </c>
      <c r="H9558" s="2"/>
      <c r="I9558" s="2"/>
      <c r="J9558" s="2" t="s">
        <v>13904</v>
      </c>
      <c r="K9558" s="2" t="s">
        <v>18543</v>
      </c>
      <c r="L9558" s="82"/>
    </row>
    <row r="9559" spans="1:12" ht="84" customHeight="1" x14ac:dyDescent="0.3">
      <c r="A9559" s="2">
        <v>9555</v>
      </c>
      <c r="B9559" s="66" t="s">
        <v>11608</v>
      </c>
      <c r="C9559" s="66">
        <v>14049</v>
      </c>
      <c r="D9559" s="11">
        <v>96.26</v>
      </c>
      <c r="E9559" s="11">
        <v>96.26</v>
      </c>
      <c r="F9559" s="3">
        <v>40500</v>
      </c>
      <c r="G9559" s="2" t="s">
        <v>11556</v>
      </c>
      <c r="H9559" s="3">
        <v>42109</v>
      </c>
      <c r="I9559" s="2" t="s">
        <v>11796</v>
      </c>
      <c r="J9559" s="2" t="s">
        <v>13904</v>
      </c>
      <c r="K9559" s="2"/>
      <c r="L9559" s="82"/>
    </row>
    <row r="9560" spans="1:12" ht="84" customHeight="1" x14ac:dyDescent="0.3">
      <c r="A9560" s="2">
        <v>9556</v>
      </c>
      <c r="B9560" s="66" t="s">
        <v>11609</v>
      </c>
      <c r="C9560" s="66">
        <v>17158</v>
      </c>
      <c r="D9560" s="11">
        <v>16602.03</v>
      </c>
      <c r="E9560" s="11">
        <v>0</v>
      </c>
      <c r="F9560" s="3">
        <v>40500</v>
      </c>
      <c r="G9560" s="2" t="s">
        <v>11556</v>
      </c>
      <c r="H9560" s="3">
        <v>41961</v>
      </c>
      <c r="I9560" s="2" t="s">
        <v>16344</v>
      </c>
      <c r="J9560" s="2" t="s">
        <v>13904</v>
      </c>
      <c r="K9560" s="2"/>
      <c r="L9560" s="82"/>
    </row>
    <row r="9561" spans="1:12" ht="84" customHeight="1" x14ac:dyDescent="0.3">
      <c r="A9561" s="2">
        <v>9557</v>
      </c>
      <c r="B9561" s="66" t="s">
        <v>11610</v>
      </c>
      <c r="C9561" s="66" t="s">
        <v>11611</v>
      </c>
      <c r="D9561" s="11">
        <f>13362*3</f>
        <v>40086</v>
      </c>
      <c r="E9561" s="11">
        <f>11803.1*3</f>
        <v>35409.300000000003</v>
      </c>
      <c r="F9561" s="3">
        <v>40500</v>
      </c>
      <c r="G9561" s="2" t="s">
        <v>11556</v>
      </c>
      <c r="H9561" s="2"/>
      <c r="I9561" s="2"/>
      <c r="J9561" s="2" t="s">
        <v>13904</v>
      </c>
      <c r="K9561" s="2" t="s">
        <v>18543</v>
      </c>
      <c r="L9561" s="82"/>
    </row>
    <row r="9562" spans="1:12" ht="84" customHeight="1" x14ac:dyDescent="0.3">
      <c r="A9562" s="2">
        <v>9558</v>
      </c>
      <c r="B9562" s="66" t="s">
        <v>11612</v>
      </c>
      <c r="C9562" s="66">
        <v>17191</v>
      </c>
      <c r="D9562" s="11">
        <v>33942</v>
      </c>
      <c r="E9562" s="11">
        <v>29982.1</v>
      </c>
      <c r="F9562" s="3">
        <v>40500</v>
      </c>
      <c r="G9562" s="2" t="s">
        <v>11556</v>
      </c>
      <c r="H9562" s="2"/>
      <c r="I9562" s="2"/>
      <c r="J9562" s="2" t="s">
        <v>13904</v>
      </c>
      <c r="K9562" s="2" t="s">
        <v>18543</v>
      </c>
      <c r="L9562" s="82"/>
    </row>
    <row r="9563" spans="1:12" ht="84" customHeight="1" x14ac:dyDescent="0.3">
      <c r="A9563" s="2">
        <v>9559</v>
      </c>
      <c r="B9563" s="66" t="s">
        <v>11613</v>
      </c>
      <c r="C9563" s="66">
        <v>13077</v>
      </c>
      <c r="D9563" s="11">
        <v>6386.6</v>
      </c>
      <c r="E9563" s="11">
        <v>6386.6</v>
      </c>
      <c r="F9563" s="3">
        <v>40500</v>
      </c>
      <c r="G9563" s="2" t="s">
        <v>11556</v>
      </c>
      <c r="H9563" s="3">
        <v>42109</v>
      </c>
      <c r="I9563" s="2" t="s">
        <v>11796</v>
      </c>
      <c r="J9563" s="2" t="s">
        <v>13904</v>
      </c>
      <c r="K9563" s="2"/>
      <c r="L9563" s="82"/>
    </row>
    <row r="9564" spans="1:12" ht="84" customHeight="1" x14ac:dyDescent="0.3">
      <c r="A9564" s="2">
        <v>9560</v>
      </c>
      <c r="B9564" s="66" t="s">
        <v>11614</v>
      </c>
      <c r="C9564" s="66">
        <v>13084</v>
      </c>
      <c r="D9564" s="11">
        <v>3133.58</v>
      </c>
      <c r="E9564" s="11">
        <v>3133.587</v>
      </c>
      <c r="F9564" s="3">
        <v>40500</v>
      </c>
      <c r="G9564" s="2" t="s">
        <v>11556</v>
      </c>
      <c r="H9564" s="3">
        <v>42109</v>
      </c>
      <c r="I9564" s="2" t="s">
        <v>11796</v>
      </c>
      <c r="J9564" s="2" t="s">
        <v>13904</v>
      </c>
      <c r="K9564" s="2"/>
      <c r="L9564" s="82"/>
    </row>
    <row r="9565" spans="1:12" ht="84" customHeight="1" x14ac:dyDescent="0.3">
      <c r="A9565" s="2">
        <v>9561</v>
      </c>
      <c r="B9565" s="66" t="s">
        <v>11615</v>
      </c>
      <c r="C9565" s="66">
        <v>17066</v>
      </c>
      <c r="D9565" s="11">
        <v>66473.990000000005</v>
      </c>
      <c r="E9565" s="11">
        <v>43466.2</v>
      </c>
      <c r="F9565" s="3">
        <v>40500</v>
      </c>
      <c r="G9565" s="2" t="s">
        <v>11556</v>
      </c>
      <c r="H9565" s="3">
        <v>42109</v>
      </c>
      <c r="I9565" s="2" t="s">
        <v>11796</v>
      </c>
      <c r="J9565" s="2" t="s">
        <v>13904</v>
      </c>
      <c r="K9565" s="2"/>
      <c r="L9565" s="82"/>
    </row>
    <row r="9566" spans="1:12" ht="84" customHeight="1" x14ac:dyDescent="0.3">
      <c r="A9566" s="2">
        <v>9562</v>
      </c>
      <c r="B9566" s="66" t="s">
        <v>11616</v>
      </c>
      <c r="C9566" s="66">
        <v>13090</v>
      </c>
      <c r="D9566" s="11">
        <v>43921.36</v>
      </c>
      <c r="E9566" s="11">
        <v>35127.83</v>
      </c>
      <c r="F9566" s="3">
        <v>40500</v>
      </c>
      <c r="G9566" s="2" t="s">
        <v>11556</v>
      </c>
      <c r="H9566" s="3">
        <v>42109</v>
      </c>
      <c r="I9566" s="2" t="s">
        <v>11796</v>
      </c>
      <c r="J9566" s="2" t="s">
        <v>13904</v>
      </c>
      <c r="K9566" s="2"/>
      <c r="L9566" s="82"/>
    </row>
    <row r="9567" spans="1:12" ht="84" customHeight="1" x14ac:dyDescent="0.3">
      <c r="A9567" s="2">
        <v>9563</v>
      </c>
      <c r="B9567" s="66" t="s">
        <v>218</v>
      </c>
      <c r="C9567" s="66">
        <v>17492</v>
      </c>
      <c r="D9567" s="11">
        <v>20199</v>
      </c>
      <c r="E9567" s="11">
        <v>6396.35</v>
      </c>
      <c r="F9567" s="3">
        <v>40500</v>
      </c>
      <c r="G9567" s="2" t="s">
        <v>11556</v>
      </c>
      <c r="H9567" s="3">
        <v>41961</v>
      </c>
      <c r="I9567" s="2" t="s">
        <v>16344</v>
      </c>
      <c r="J9567" s="2" t="s">
        <v>13904</v>
      </c>
      <c r="K9567" s="2"/>
      <c r="L9567" s="82"/>
    </row>
    <row r="9568" spans="1:12" ht="84" customHeight="1" x14ac:dyDescent="0.3">
      <c r="A9568" s="2">
        <v>9564</v>
      </c>
      <c r="B9568" s="66" t="s">
        <v>218</v>
      </c>
      <c r="C9568" s="66">
        <v>17332</v>
      </c>
      <c r="D9568" s="11">
        <v>20252</v>
      </c>
      <c r="E9568" s="11">
        <v>8209.92</v>
      </c>
      <c r="F9568" s="3">
        <v>40500</v>
      </c>
      <c r="G9568" s="2" t="s">
        <v>11556</v>
      </c>
      <c r="H9568" s="3">
        <v>41961</v>
      </c>
      <c r="I9568" s="2" t="s">
        <v>16344</v>
      </c>
      <c r="J9568" s="2" t="s">
        <v>13904</v>
      </c>
      <c r="K9568" s="2"/>
      <c r="L9568" s="82"/>
    </row>
    <row r="9569" spans="1:12" ht="84" customHeight="1" x14ac:dyDescent="0.3">
      <c r="A9569" s="2">
        <v>9565</v>
      </c>
      <c r="B9569" s="66" t="s">
        <v>218</v>
      </c>
      <c r="C9569" s="66">
        <v>17121</v>
      </c>
      <c r="D9569" s="11">
        <v>28500</v>
      </c>
      <c r="E9569" s="11">
        <v>24700</v>
      </c>
      <c r="F9569" s="3">
        <v>40500</v>
      </c>
      <c r="G9569" s="2" t="s">
        <v>11556</v>
      </c>
      <c r="H9569" s="3">
        <v>41961</v>
      </c>
      <c r="I9569" s="2" t="s">
        <v>16344</v>
      </c>
      <c r="J9569" s="2" t="s">
        <v>13904</v>
      </c>
      <c r="K9569" s="2"/>
      <c r="L9569" s="82"/>
    </row>
    <row r="9570" spans="1:12" ht="84" customHeight="1" x14ac:dyDescent="0.3">
      <c r="A9570" s="2">
        <v>9566</v>
      </c>
      <c r="B9570" s="66" t="s">
        <v>218</v>
      </c>
      <c r="C9570" s="66">
        <v>17118</v>
      </c>
      <c r="D9570" s="11">
        <v>23370</v>
      </c>
      <c r="E9570" s="11">
        <v>20254</v>
      </c>
      <c r="F9570" s="3">
        <v>40500</v>
      </c>
      <c r="G9570" s="2" t="s">
        <v>11556</v>
      </c>
      <c r="H9570" s="3">
        <v>41961</v>
      </c>
      <c r="I9570" s="2" t="s">
        <v>16344</v>
      </c>
      <c r="J9570" s="2" t="s">
        <v>13904</v>
      </c>
      <c r="K9570" s="2"/>
      <c r="L9570" s="82"/>
    </row>
    <row r="9571" spans="1:12" ht="84" customHeight="1" x14ac:dyDescent="0.3">
      <c r="A9571" s="2">
        <v>9567</v>
      </c>
      <c r="B9571" s="66" t="s">
        <v>218</v>
      </c>
      <c r="C9571" s="66">
        <v>17117</v>
      </c>
      <c r="D9571" s="11">
        <v>16300</v>
      </c>
      <c r="E9571" s="11">
        <v>14126.84</v>
      </c>
      <c r="F9571" s="3">
        <v>40500</v>
      </c>
      <c r="G9571" s="2" t="s">
        <v>11556</v>
      </c>
      <c r="H9571" s="3">
        <v>41961</v>
      </c>
      <c r="I9571" s="2" t="s">
        <v>16344</v>
      </c>
      <c r="J9571" s="2" t="s">
        <v>13904</v>
      </c>
      <c r="K9571" s="2"/>
      <c r="L9571" s="82"/>
    </row>
    <row r="9572" spans="1:12" ht="84" customHeight="1" x14ac:dyDescent="0.3">
      <c r="A9572" s="2">
        <v>9568</v>
      </c>
      <c r="B9572" s="66" t="s">
        <v>218</v>
      </c>
      <c r="C9572" s="66">
        <v>15313</v>
      </c>
      <c r="D9572" s="11">
        <v>20490.14</v>
      </c>
      <c r="E9572" s="11">
        <v>20490.14</v>
      </c>
      <c r="F9572" s="3">
        <v>40500</v>
      </c>
      <c r="G9572" s="2" t="s">
        <v>11556</v>
      </c>
      <c r="H9572" s="3">
        <v>40714</v>
      </c>
      <c r="I9572" s="2"/>
      <c r="J9572" s="2" t="s">
        <v>13904</v>
      </c>
      <c r="K9572" s="2"/>
      <c r="L9572" s="82"/>
    </row>
    <row r="9573" spans="1:12" ht="84" customHeight="1" x14ac:dyDescent="0.3">
      <c r="A9573" s="2">
        <v>9569</v>
      </c>
      <c r="B9573" s="66" t="s">
        <v>218</v>
      </c>
      <c r="C9573" s="66">
        <v>15320</v>
      </c>
      <c r="D9573" s="11">
        <v>17143</v>
      </c>
      <c r="E9573" s="11">
        <v>17143</v>
      </c>
      <c r="F9573" s="3">
        <v>40500</v>
      </c>
      <c r="G9573" s="2" t="s">
        <v>11556</v>
      </c>
      <c r="H9573" s="3">
        <v>40714</v>
      </c>
      <c r="I9573" s="2"/>
      <c r="J9573" s="2" t="s">
        <v>13904</v>
      </c>
      <c r="K9573" s="2"/>
      <c r="L9573" s="82"/>
    </row>
    <row r="9574" spans="1:12" ht="84" customHeight="1" x14ac:dyDescent="0.3">
      <c r="A9574" s="2">
        <v>9570</v>
      </c>
      <c r="B9574" s="66" t="s">
        <v>218</v>
      </c>
      <c r="C9574" s="66">
        <v>15321</v>
      </c>
      <c r="D9574" s="11">
        <v>25029.32</v>
      </c>
      <c r="E9574" s="11">
        <v>25029.32</v>
      </c>
      <c r="F9574" s="3">
        <v>40500</v>
      </c>
      <c r="G9574" s="2" t="s">
        <v>11556</v>
      </c>
      <c r="H9574" s="3">
        <v>41961</v>
      </c>
      <c r="I9574" s="2" t="s">
        <v>16344</v>
      </c>
      <c r="J9574" s="2" t="s">
        <v>13904</v>
      </c>
      <c r="K9574" s="2"/>
      <c r="L9574" s="82"/>
    </row>
    <row r="9575" spans="1:12" ht="84" customHeight="1" x14ac:dyDescent="0.3">
      <c r="A9575" s="2">
        <v>9571</v>
      </c>
      <c r="B9575" s="66" t="s">
        <v>218</v>
      </c>
      <c r="C9575" s="66">
        <v>15322</v>
      </c>
      <c r="D9575" s="11">
        <v>20874.080000000002</v>
      </c>
      <c r="E9575" s="11">
        <v>20874.080000000002</v>
      </c>
      <c r="F9575" s="3">
        <v>40500</v>
      </c>
      <c r="G9575" s="2" t="s">
        <v>11556</v>
      </c>
      <c r="H9575" s="3">
        <v>41961</v>
      </c>
      <c r="I9575" s="2" t="s">
        <v>16344</v>
      </c>
      <c r="J9575" s="2" t="s">
        <v>13904</v>
      </c>
      <c r="K9575" s="2"/>
      <c r="L9575" s="82"/>
    </row>
    <row r="9576" spans="1:12" ht="84" customHeight="1" x14ac:dyDescent="0.3">
      <c r="A9576" s="2">
        <v>9572</v>
      </c>
      <c r="B9576" s="66" t="s">
        <v>218</v>
      </c>
      <c r="C9576" s="66">
        <v>15336</v>
      </c>
      <c r="D9576" s="11">
        <v>31797.02</v>
      </c>
      <c r="E9576" s="11">
        <v>31149.11</v>
      </c>
      <c r="F9576" s="3">
        <v>40500</v>
      </c>
      <c r="G9576" s="2" t="s">
        <v>11556</v>
      </c>
      <c r="H9576" s="3">
        <v>41961</v>
      </c>
      <c r="I9576" s="2" t="s">
        <v>16344</v>
      </c>
      <c r="J9576" s="2" t="s">
        <v>13904</v>
      </c>
      <c r="K9576" s="2"/>
      <c r="L9576" s="82"/>
    </row>
    <row r="9577" spans="1:12" ht="84" customHeight="1" x14ac:dyDescent="0.3">
      <c r="A9577" s="2">
        <v>9573</v>
      </c>
      <c r="B9577" s="66" t="s">
        <v>218</v>
      </c>
      <c r="C9577" s="66">
        <v>17267</v>
      </c>
      <c r="D9577" s="20">
        <v>29670</v>
      </c>
      <c r="E9577" s="11">
        <v>20274.5</v>
      </c>
      <c r="F9577" s="3">
        <v>40500</v>
      </c>
      <c r="G9577" s="2" t="s">
        <v>11556</v>
      </c>
      <c r="H9577" s="3">
        <v>41961</v>
      </c>
      <c r="I9577" s="2" t="s">
        <v>16344</v>
      </c>
      <c r="J9577" s="2" t="s">
        <v>13904</v>
      </c>
      <c r="K9577" s="2"/>
      <c r="L9577" s="82"/>
    </row>
    <row r="9578" spans="1:12" ht="84" customHeight="1" x14ac:dyDescent="0.3">
      <c r="A9578" s="2">
        <v>9574</v>
      </c>
      <c r="B9578" s="2" t="s">
        <v>11617</v>
      </c>
      <c r="C9578" s="66">
        <v>17145</v>
      </c>
      <c r="D9578" s="20">
        <v>30750</v>
      </c>
      <c r="E9578" s="11">
        <v>25112.5</v>
      </c>
      <c r="F9578" s="3">
        <v>40500</v>
      </c>
      <c r="G9578" s="2" t="s">
        <v>11556</v>
      </c>
      <c r="H9578" s="3">
        <v>41961</v>
      </c>
      <c r="I9578" s="2" t="s">
        <v>16344</v>
      </c>
      <c r="J9578" s="2" t="s">
        <v>13904</v>
      </c>
      <c r="K9578" s="2"/>
      <c r="L9578" s="82"/>
    </row>
    <row r="9579" spans="1:12" ht="84" customHeight="1" x14ac:dyDescent="0.3">
      <c r="A9579" s="2">
        <v>9575</v>
      </c>
      <c r="B9579" s="2" t="s">
        <v>11618</v>
      </c>
      <c r="C9579" s="66">
        <v>17089</v>
      </c>
      <c r="D9579" s="20">
        <v>33930.400000000001</v>
      </c>
      <c r="E9579" s="11">
        <v>32072.31</v>
      </c>
      <c r="F9579" s="3">
        <v>40500</v>
      </c>
      <c r="G9579" s="2" t="s">
        <v>11556</v>
      </c>
      <c r="H9579" s="3">
        <v>41961</v>
      </c>
      <c r="I9579" s="2" t="s">
        <v>16344</v>
      </c>
      <c r="J9579" s="2" t="s">
        <v>13904</v>
      </c>
      <c r="K9579" s="2"/>
      <c r="L9579" s="82"/>
    </row>
    <row r="9580" spans="1:12" ht="84" customHeight="1" x14ac:dyDescent="0.3">
      <c r="A9580" s="2">
        <v>9576</v>
      </c>
      <c r="B9580" s="2" t="s">
        <v>11619</v>
      </c>
      <c r="C9580" s="66">
        <v>17264</v>
      </c>
      <c r="D9580" s="20">
        <v>31000</v>
      </c>
      <c r="E9580" s="11">
        <v>21700.14</v>
      </c>
      <c r="F9580" s="3">
        <v>40500</v>
      </c>
      <c r="G9580" s="2" t="s">
        <v>11556</v>
      </c>
      <c r="H9580" s="3">
        <v>41961</v>
      </c>
      <c r="I9580" s="2" t="s">
        <v>16344</v>
      </c>
      <c r="J9580" s="2" t="s">
        <v>13904</v>
      </c>
      <c r="K9580" s="2"/>
      <c r="L9580" s="82"/>
    </row>
    <row r="9581" spans="1:12" ht="84" customHeight="1" x14ac:dyDescent="0.3">
      <c r="A9581" s="2">
        <v>9577</v>
      </c>
      <c r="B9581" s="2" t="s">
        <v>11620</v>
      </c>
      <c r="C9581" s="66">
        <v>17119</v>
      </c>
      <c r="D9581" s="20">
        <v>29743</v>
      </c>
      <c r="E9581" s="11">
        <v>25777.439999999999</v>
      </c>
      <c r="F9581" s="3">
        <v>40500</v>
      </c>
      <c r="G9581" s="2" t="s">
        <v>11556</v>
      </c>
      <c r="H9581" s="3">
        <v>40714</v>
      </c>
      <c r="I9581" s="2"/>
      <c r="J9581" s="2" t="s">
        <v>13904</v>
      </c>
      <c r="K9581" s="2"/>
      <c r="L9581" s="82"/>
    </row>
    <row r="9582" spans="1:12" ht="84" customHeight="1" x14ac:dyDescent="0.3">
      <c r="A9582" s="2">
        <v>9578</v>
      </c>
      <c r="B9582" s="2" t="s">
        <v>273</v>
      </c>
      <c r="C9582" s="66">
        <v>17114</v>
      </c>
      <c r="D9582" s="20">
        <v>31000</v>
      </c>
      <c r="E9582" s="20">
        <v>27383.51</v>
      </c>
      <c r="F9582" s="3">
        <v>40500</v>
      </c>
      <c r="G9582" s="2" t="s">
        <v>11556</v>
      </c>
      <c r="H9582" s="3">
        <v>41961</v>
      </c>
      <c r="I9582" s="2" t="s">
        <v>16344</v>
      </c>
      <c r="J9582" s="2" t="s">
        <v>13904</v>
      </c>
      <c r="K9582" s="2"/>
      <c r="L9582" s="82"/>
    </row>
    <row r="9583" spans="1:12" ht="84" customHeight="1" x14ac:dyDescent="0.3">
      <c r="A9583" s="2">
        <v>9579</v>
      </c>
      <c r="B9583" s="2" t="s">
        <v>11621</v>
      </c>
      <c r="C9583" s="66">
        <v>15312</v>
      </c>
      <c r="D9583" s="20">
        <v>5250</v>
      </c>
      <c r="E9583" s="11">
        <v>5250</v>
      </c>
      <c r="F9583" s="3">
        <v>40500</v>
      </c>
      <c r="G9583" s="2" t="s">
        <v>11556</v>
      </c>
      <c r="H9583" s="3">
        <v>41961</v>
      </c>
      <c r="I9583" s="2" t="s">
        <v>16344</v>
      </c>
      <c r="J9583" s="2" t="s">
        <v>13904</v>
      </c>
      <c r="K9583" s="2"/>
      <c r="L9583" s="82"/>
    </row>
    <row r="9584" spans="1:12" ht="84" customHeight="1" x14ac:dyDescent="0.3">
      <c r="A9584" s="2">
        <v>9580</v>
      </c>
      <c r="B9584" s="2" t="s">
        <v>11621</v>
      </c>
      <c r="C9584" s="66">
        <v>17125</v>
      </c>
      <c r="D9584" s="20">
        <v>43700</v>
      </c>
      <c r="E9584" s="11">
        <v>37873.160000000003</v>
      </c>
      <c r="F9584" s="3">
        <v>40500</v>
      </c>
      <c r="G9584" s="2" t="s">
        <v>11556</v>
      </c>
      <c r="H9584" s="3">
        <v>41961</v>
      </c>
      <c r="I9584" s="2" t="s">
        <v>16344</v>
      </c>
      <c r="J9584" s="2" t="s">
        <v>13904</v>
      </c>
      <c r="K9584" s="2"/>
      <c r="L9584" s="82"/>
    </row>
    <row r="9585" spans="1:12" ht="84" customHeight="1" x14ac:dyDescent="0.3">
      <c r="A9585" s="2">
        <v>9581</v>
      </c>
      <c r="B9585" s="2" t="s">
        <v>21815</v>
      </c>
      <c r="C9585" s="99" t="s">
        <v>21814</v>
      </c>
      <c r="D9585" s="20">
        <v>47650</v>
      </c>
      <c r="E9585" s="11"/>
      <c r="F9585" s="3" t="s">
        <v>22076</v>
      </c>
      <c r="G9585" s="2" t="s">
        <v>22078</v>
      </c>
      <c r="H9585" s="3"/>
      <c r="I9585" s="2"/>
      <c r="J9585" s="2" t="s">
        <v>13904</v>
      </c>
      <c r="K9585" s="2" t="s">
        <v>21792</v>
      </c>
      <c r="L9585" s="38"/>
    </row>
    <row r="9586" spans="1:12" ht="84" customHeight="1" x14ac:dyDescent="0.3">
      <c r="A9586" s="2">
        <v>9582</v>
      </c>
      <c r="B9586" s="2" t="s">
        <v>21816</v>
      </c>
      <c r="C9586" s="99" t="s">
        <v>21817</v>
      </c>
      <c r="D9586" s="20">
        <v>79836.86</v>
      </c>
      <c r="E9586" s="11"/>
      <c r="F9586" s="3" t="s">
        <v>22081</v>
      </c>
      <c r="G9586" s="2" t="s">
        <v>21889</v>
      </c>
      <c r="H9586" s="3"/>
      <c r="I9586" s="2"/>
      <c r="J9586" s="2" t="s">
        <v>13904</v>
      </c>
      <c r="K9586" s="2" t="s">
        <v>21792</v>
      </c>
      <c r="L9586" s="38"/>
    </row>
    <row r="9587" spans="1:12" ht="84" customHeight="1" x14ac:dyDescent="0.3">
      <c r="A9587" s="2">
        <v>9583</v>
      </c>
      <c r="B9587" s="2" t="s">
        <v>11622</v>
      </c>
      <c r="C9587" s="66">
        <v>17501</v>
      </c>
      <c r="D9587" s="20">
        <v>0.01</v>
      </c>
      <c r="E9587" s="11">
        <v>0</v>
      </c>
      <c r="F9587" s="3">
        <v>40500</v>
      </c>
      <c r="G9587" s="2" t="s">
        <v>11556</v>
      </c>
      <c r="H9587" s="2"/>
      <c r="I9587" s="2"/>
      <c r="J9587" s="2" t="s">
        <v>13904</v>
      </c>
      <c r="K9587" s="2" t="s">
        <v>18543</v>
      </c>
      <c r="L9587" s="82"/>
    </row>
    <row r="9588" spans="1:12" ht="84" customHeight="1" x14ac:dyDescent="0.3">
      <c r="A9588" s="2">
        <v>9584</v>
      </c>
      <c r="B9588" s="2" t="s">
        <v>11623</v>
      </c>
      <c r="C9588" s="66" t="s">
        <v>11624</v>
      </c>
      <c r="D9588" s="20">
        <v>0.02</v>
      </c>
      <c r="E9588" s="11">
        <v>0</v>
      </c>
      <c r="F9588" s="3">
        <v>40500</v>
      </c>
      <c r="G9588" s="2" t="s">
        <v>11556</v>
      </c>
      <c r="H9588" s="2"/>
      <c r="I9588" s="2"/>
      <c r="J9588" s="2" t="s">
        <v>13904</v>
      </c>
      <c r="K9588" s="2" t="s">
        <v>18543</v>
      </c>
      <c r="L9588" s="82"/>
    </row>
    <row r="9589" spans="1:12" ht="84" customHeight="1" x14ac:dyDescent="0.3">
      <c r="A9589" s="2">
        <v>9585</v>
      </c>
      <c r="B9589" s="2" t="s">
        <v>22084</v>
      </c>
      <c r="C9589" s="99" t="s">
        <v>16506</v>
      </c>
      <c r="D9589" s="20">
        <v>98000</v>
      </c>
      <c r="E9589" s="11"/>
      <c r="F9589" s="3" t="s">
        <v>22079</v>
      </c>
      <c r="G9589" s="2" t="s">
        <v>22083</v>
      </c>
      <c r="H9589" s="2"/>
      <c r="I9589" s="2"/>
      <c r="J9589" s="2" t="s">
        <v>13904</v>
      </c>
      <c r="K9589" s="2" t="s">
        <v>21792</v>
      </c>
      <c r="L9589" s="38"/>
    </row>
    <row r="9590" spans="1:12" ht="84" customHeight="1" x14ac:dyDescent="0.3">
      <c r="A9590" s="2">
        <v>9586</v>
      </c>
      <c r="B9590" s="2" t="s">
        <v>11625</v>
      </c>
      <c r="C9590" s="66">
        <v>14071</v>
      </c>
      <c r="D9590" s="20">
        <v>1138183.3</v>
      </c>
      <c r="E9590" s="11">
        <v>1138183.3</v>
      </c>
      <c r="F9590" s="3">
        <v>40500</v>
      </c>
      <c r="G9590" s="2" t="s">
        <v>11556</v>
      </c>
      <c r="H9590" s="2"/>
      <c r="I9590" s="2"/>
      <c r="J9590" s="2" t="s">
        <v>13904</v>
      </c>
      <c r="K9590" s="2" t="s">
        <v>18543</v>
      </c>
      <c r="L9590" s="82"/>
    </row>
    <row r="9591" spans="1:12" ht="84" customHeight="1" x14ac:dyDescent="0.3">
      <c r="A9591" s="2">
        <v>9587</v>
      </c>
      <c r="B9591" s="2" t="s">
        <v>11626</v>
      </c>
      <c r="C9591" s="66" t="s">
        <v>11627</v>
      </c>
      <c r="D9591" s="20">
        <f>2465319.34*2</f>
        <v>4930638.68</v>
      </c>
      <c r="E9591" s="11">
        <f>1451799.32*2</f>
        <v>2903598.64</v>
      </c>
      <c r="F9591" s="3">
        <v>40500</v>
      </c>
      <c r="G9591" s="2" t="s">
        <v>11556</v>
      </c>
      <c r="H9591" s="2"/>
      <c r="I9591" s="2"/>
      <c r="J9591" s="2" t="s">
        <v>13904</v>
      </c>
      <c r="K9591" s="2" t="s">
        <v>18543</v>
      </c>
      <c r="L9591" s="82"/>
    </row>
    <row r="9592" spans="1:12" ht="84" customHeight="1" x14ac:dyDescent="0.3">
      <c r="A9592" s="2">
        <v>9588</v>
      </c>
      <c r="B9592" s="2" t="s">
        <v>11628</v>
      </c>
      <c r="C9592" s="66">
        <v>17186</v>
      </c>
      <c r="D9592" s="20">
        <v>2465319.33</v>
      </c>
      <c r="E9592" s="11">
        <v>1451799.32</v>
      </c>
      <c r="F9592" s="3">
        <v>40500</v>
      </c>
      <c r="G9592" s="2" t="s">
        <v>11556</v>
      </c>
      <c r="H9592" s="2"/>
      <c r="I9592" s="2"/>
      <c r="J9592" s="2" t="s">
        <v>13904</v>
      </c>
      <c r="K9592" s="2" t="s">
        <v>18543</v>
      </c>
      <c r="L9592" s="82"/>
    </row>
    <row r="9593" spans="1:12" ht="84" customHeight="1" x14ac:dyDescent="0.3">
      <c r="A9593" s="2">
        <v>9589</v>
      </c>
      <c r="B9593" s="2" t="s">
        <v>11629</v>
      </c>
      <c r="C9593" s="66" t="s">
        <v>11630</v>
      </c>
      <c r="D9593" s="20">
        <f>18086.33*2+18086.34</f>
        <v>54259</v>
      </c>
      <c r="E9593" s="11">
        <f>15976.32*3</f>
        <v>47928.959999999999</v>
      </c>
      <c r="F9593" s="3">
        <v>40500</v>
      </c>
      <c r="G9593" s="2" t="s">
        <v>11556</v>
      </c>
      <c r="H9593" s="2"/>
      <c r="I9593" s="2"/>
      <c r="J9593" s="2" t="s">
        <v>13904</v>
      </c>
      <c r="K9593" s="2" t="s">
        <v>18543</v>
      </c>
      <c r="L9593" s="82"/>
    </row>
    <row r="9594" spans="1:12" ht="120" customHeight="1" x14ac:dyDescent="0.3">
      <c r="A9594" s="2">
        <v>9590</v>
      </c>
      <c r="B9594" s="2" t="s">
        <v>11631</v>
      </c>
      <c r="C9594" s="66" t="s">
        <v>11632</v>
      </c>
      <c r="D9594" s="20">
        <f>23687.85*20</f>
        <v>473757</v>
      </c>
      <c r="E9594" s="11">
        <f>20924.4*20</f>
        <v>418488</v>
      </c>
      <c r="F9594" s="3">
        <v>40500</v>
      </c>
      <c r="G9594" s="2" t="s">
        <v>11556</v>
      </c>
      <c r="H9594" s="2"/>
      <c r="I9594" s="2"/>
      <c r="J9594" s="2" t="s">
        <v>13904</v>
      </c>
      <c r="K9594" s="2" t="s">
        <v>18543</v>
      </c>
      <c r="L9594" s="82"/>
    </row>
    <row r="9595" spans="1:12" ht="84" customHeight="1" x14ac:dyDescent="0.3">
      <c r="A9595" s="2">
        <v>9591</v>
      </c>
      <c r="B9595" s="2" t="s">
        <v>11633</v>
      </c>
      <c r="C9595" s="66" t="s">
        <v>11634</v>
      </c>
      <c r="D9595" s="20">
        <f>111827*2</f>
        <v>223654</v>
      </c>
      <c r="E9595" s="11">
        <f>98780.34*2</f>
        <v>197560.68</v>
      </c>
      <c r="F9595" s="3">
        <v>40500</v>
      </c>
      <c r="G9595" s="2" t="s">
        <v>11556</v>
      </c>
      <c r="H9595" s="2"/>
      <c r="I9595" s="2"/>
      <c r="J9595" s="2" t="s">
        <v>13904</v>
      </c>
      <c r="K9595" s="2" t="s">
        <v>18543</v>
      </c>
      <c r="L9595" s="82"/>
    </row>
    <row r="9596" spans="1:12" ht="84" customHeight="1" x14ac:dyDescent="0.3">
      <c r="A9596" s="2">
        <v>9592</v>
      </c>
      <c r="B9596" s="2" t="s">
        <v>11635</v>
      </c>
      <c r="C9596" s="66" t="s">
        <v>11636</v>
      </c>
      <c r="D9596" s="20">
        <f>11482*3</f>
        <v>34446</v>
      </c>
      <c r="E9596" s="11">
        <f>10142.08*3</f>
        <v>30426.239999999998</v>
      </c>
      <c r="F9596" s="3">
        <v>40500</v>
      </c>
      <c r="G9596" s="2" t="s">
        <v>11556</v>
      </c>
      <c r="H9596" s="2"/>
      <c r="I9596" s="2"/>
      <c r="J9596" s="2" t="s">
        <v>13904</v>
      </c>
      <c r="K9596" s="2" t="s">
        <v>18543</v>
      </c>
      <c r="L9596" s="82"/>
    </row>
    <row r="9597" spans="1:12" ht="84" customHeight="1" x14ac:dyDescent="0.3">
      <c r="A9597" s="2">
        <v>9593</v>
      </c>
      <c r="B9597" s="2" t="s">
        <v>11637</v>
      </c>
      <c r="C9597" s="66">
        <v>15306</v>
      </c>
      <c r="D9597" s="20">
        <v>12973.09</v>
      </c>
      <c r="E9597" s="11">
        <v>12154.43</v>
      </c>
      <c r="F9597" s="3">
        <v>40500</v>
      </c>
      <c r="G9597" s="2" t="s">
        <v>11556</v>
      </c>
      <c r="H9597" s="3">
        <v>41961</v>
      </c>
      <c r="I9597" s="2" t="s">
        <v>16344</v>
      </c>
      <c r="J9597" s="2" t="s">
        <v>13904</v>
      </c>
      <c r="K9597" s="2"/>
      <c r="L9597" s="82"/>
    </row>
    <row r="9598" spans="1:12" ht="84" customHeight="1" x14ac:dyDescent="0.3">
      <c r="A9598" s="2">
        <v>9594</v>
      </c>
      <c r="B9598" s="2" t="s">
        <v>21818</v>
      </c>
      <c r="C9598" s="99" t="s">
        <v>21819</v>
      </c>
      <c r="D9598" s="20">
        <v>65650</v>
      </c>
      <c r="E9598" s="11"/>
      <c r="F9598" s="3" t="s">
        <v>21886</v>
      </c>
      <c r="G9598" s="2" t="s">
        <v>21887</v>
      </c>
      <c r="H9598" s="3"/>
      <c r="I9598" s="2"/>
      <c r="J9598" s="2" t="s">
        <v>13904</v>
      </c>
      <c r="K9598" s="2" t="s">
        <v>21792</v>
      </c>
      <c r="L9598" s="38"/>
    </row>
    <row r="9599" spans="1:12" ht="84" customHeight="1" x14ac:dyDescent="0.3">
      <c r="A9599" s="2">
        <v>9595</v>
      </c>
      <c r="B9599" s="2" t="s">
        <v>21818</v>
      </c>
      <c r="C9599" s="99" t="s">
        <v>21820</v>
      </c>
      <c r="D9599" s="20">
        <v>65650</v>
      </c>
      <c r="E9599" s="11"/>
      <c r="F9599" s="3">
        <v>43357</v>
      </c>
      <c r="G9599" s="2" t="s">
        <v>21888</v>
      </c>
      <c r="H9599" s="3"/>
      <c r="I9599" s="2"/>
      <c r="J9599" s="2" t="s">
        <v>13904</v>
      </c>
      <c r="K9599" s="2" t="s">
        <v>21792</v>
      </c>
      <c r="L9599" s="38"/>
    </row>
    <row r="9600" spans="1:12" ht="84" customHeight="1" x14ac:dyDescent="0.3">
      <c r="A9600" s="2">
        <v>9596</v>
      </c>
      <c r="B9600" s="2" t="s">
        <v>21821</v>
      </c>
      <c r="C9600" s="99" t="s">
        <v>21822</v>
      </c>
      <c r="D9600" s="20">
        <v>52650</v>
      </c>
      <c r="E9600" s="11"/>
      <c r="F9600" s="3" t="s">
        <v>22085</v>
      </c>
      <c r="G9600" s="2" t="s">
        <v>22086</v>
      </c>
      <c r="H9600" s="2"/>
      <c r="I9600" s="2"/>
      <c r="J9600" s="2" t="s">
        <v>13904</v>
      </c>
      <c r="K9600" s="2" t="s">
        <v>21792</v>
      </c>
      <c r="L9600" s="38"/>
    </row>
    <row r="9601" spans="1:12" ht="84" customHeight="1" x14ac:dyDescent="0.3">
      <c r="A9601" s="2">
        <v>9597</v>
      </c>
      <c r="B9601" s="2" t="s">
        <v>11639</v>
      </c>
      <c r="C9601" s="66">
        <v>15109</v>
      </c>
      <c r="D9601" s="20">
        <v>30416.67</v>
      </c>
      <c r="E9601" s="11">
        <v>0</v>
      </c>
      <c r="F9601" s="3">
        <v>40500</v>
      </c>
      <c r="G9601" s="2" t="s">
        <v>11556</v>
      </c>
      <c r="H9601" s="2"/>
      <c r="I9601" s="2"/>
      <c r="J9601" s="2" t="s">
        <v>13904</v>
      </c>
      <c r="K9601" s="2" t="s">
        <v>18543</v>
      </c>
      <c r="L9601" s="82"/>
    </row>
    <row r="9602" spans="1:12" ht="84" customHeight="1" x14ac:dyDescent="0.3">
      <c r="A9602" s="2">
        <v>9598</v>
      </c>
      <c r="B9602" s="2" t="s">
        <v>21823</v>
      </c>
      <c r="C9602" s="99" t="s">
        <v>21824</v>
      </c>
      <c r="D9602" s="20">
        <v>57900</v>
      </c>
      <c r="E9602" s="11"/>
      <c r="F9602" s="3">
        <v>43077</v>
      </c>
      <c r="G9602" s="2" t="s">
        <v>21834</v>
      </c>
      <c r="H9602" s="2"/>
      <c r="I9602" s="2"/>
      <c r="J9602" s="2" t="s">
        <v>13904</v>
      </c>
      <c r="K9602" s="2" t="s">
        <v>21792</v>
      </c>
      <c r="L9602" s="38"/>
    </row>
    <row r="9603" spans="1:12" ht="84" customHeight="1" x14ac:dyDescent="0.3">
      <c r="A9603" s="2">
        <v>9599</v>
      </c>
      <c r="B9603" s="2" t="s">
        <v>11640</v>
      </c>
      <c r="C9603" s="66">
        <v>17640</v>
      </c>
      <c r="D9603" s="20">
        <v>22872.880000000001</v>
      </c>
      <c r="E9603" s="11">
        <v>5082.88</v>
      </c>
      <c r="F9603" s="3">
        <v>40500</v>
      </c>
      <c r="G9603" s="2" t="s">
        <v>11556</v>
      </c>
      <c r="H9603" s="3">
        <v>41961</v>
      </c>
      <c r="I9603" s="2" t="s">
        <v>16344</v>
      </c>
      <c r="J9603" s="2" t="s">
        <v>13904</v>
      </c>
      <c r="K9603" s="2"/>
      <c r="L9603" s="82"/>
    </row>
    <row r="9604" spans="1:12" ht="84" customHeight="1" x14ac:dyDescent="0.3">
      <c r="A9604" s="2">
        <v>9600</v>
      </c>
      <c r="B9604" s="2" t="s">
        <v>222</v>
      </c>
      <c r="C9604" s="66">
        <v>15319</v>
      </c>
      <c r="D9604" s="20">
        <v>11653.42</v>
      </c>
      <c r="E9604" s="11">
        <v>11653.42</v>
      </c>
      <c r="F9604" s="3">
        <v>40500</v>
      </c>
      <c r="G9604" s="2" t="s">
        <v>11556</v>
      </c>
      <c r="H9604" s="3">
        <v>41961</v>
      </c>
      <c r="I9604" s="2" t="s">
        <v>16344</v>
      </c>
      <c r="J9604" s="2" t="s">
        <v>13904</v>
      </c>
      <c r="K9604" s="2"/>
      <c r="L9604" s="82"/>
    </row>
    <row r="9605" spans="1:12" ht="84" customHeight="1" x14ac:dyDescent="0.3">
      <c r="A9605" s="2">
        <v>9601</v>
      </c>
      <c r="B9605" s="2" t="s">
        <v>222</v>
      </c>
      <c r="C9605" s="66">
        <v>17120</v>
      </c>
      <c r="D9605" s="20">
        <v>4725</v>
      </c>
      <c r="E9605" s="11">
        <v>4095</v>
      </c>
      <c r="F9605" s="3">
        <v>40500</v>
      </c>
      <c r="G9605" s="2" t="s">
        <v>11556</v>
      </c>
      <c r="H9605" s="3">
        <v>41961</v>
      </c>
      <c r="I9605" s="2" t="s">
        <v>16344</v>
      </c>
      <c r="J9605" s="2" t="s">
        <v>13904</v>
      </c>
      <c r="K9605" s="2"/>
      <c r="L9605" s="82"/>
    </row>
    <row r="9606" spans="1:12" ht="84" customHeight="1" x14ac:dyDescent="0.3">
      <c r="A9606" s="2">
        <v>9602</v>
      </c>
      <c r="B9606" s="2" t="s">
        <v>21823</v>
      </c>
      <c r="C9606" s="99" t="s">
        <v>21825</v>
      </c>
      <c r="D9606" s="20">
        <v>57900</v>
      </c>
      <c r="E9606" s="11"/>
      <c r="F9606" s="3">
        <v>43075</v>
      </c>
      <c r="G9606" s="2" t="s">
        <v>21833</v>
      </c>
      <c r="H9606" s="2"/>
      <c r="I9606" s="2"/>
      <c r="J9606" s="2" t="s">
        <v>13904</v>
      </c>
      <c r="K9606" s="2" t="s">
        <v>21792</v>
      </c>
      <c r="L9606" s="38"/>
    </row>
    <row r="9607" spans="1:12" ht="84" customHeight="1" x14ac:dyDescent="0.3">
      <c r="A9607" s="2">
        <v>9603</v>
      </c>
      <c r="B9607" s="2" t="s">
        <v>11641</v>
      </c>
      <c r="C9607" s="66">
        <v>17159</v>
      </c>
      <c r="D9607" s="20">
        <v>14436.61</v>
      </c>
      <c r="E9607" s="11">
        <v>0</v>
      </c>
      <c r="F9607" s="3">
        <v>40500</v>
      </c>
      <c r="G9607" s="2" t="s">
        <v>11556</v>
      </c>
      <c r="H9607" s="3">
        <v>41961</v>
      </c>
      <c r="I9607" s="2" t="s">
        <v>16344</v>
      </c>
      <c r="J9607" s="2" t="s">
        <v>13904</v>
      </c>
      <c r="K9607" s="2"/>
      <c r="L9607" s="82"/>
    </row>
    <row r="9608" spans="1:12" ht="84" customHeight="1" x14ac:dyDescent="0.3">
      <c r="A9608" s="2">
        <v>9604</v>
      </c>
      <c r="B9608" s="2" t="s">
        <v>11642</v>
      </c>
      <c r="C9608" s="66">
        <v>15122</v>
      </c>
      <c r="D9608" s="20">
        <v>28075</v>
      </c>
      <c r="E9608" s="11">
        <v>21056.400000000001</v>
      </c>
      <c r="F9608" s="3">
        <v>40500</v>
      </c>
      <c r="G9608" s="2" t="s">
        <v>11556</v>
      </c>
      <c r="H9608" s="3">
        <v>42109</v>
      </c>
      <c r="I9608" s="2" t="s">
        <v>11796</v>
      </c>
      <c r="J9608" s="2" t="s">
        <v>13904</v>
      </c>
      <c r="K9608" s="2"/>
      <c r="L9608" s="82"/>
    </row>
    <row r="9609" spans="1:12" ht="84" customHeight="1" x14ac:dyDescent="0.3">
      <c r="A9609" s="2">
        <v>9605</v>
      </c>
      <c r="B9609" s="2" t="s">
        <v>11643</v>
      </c>
      <c r="C9609" s="66">
        <v>15118</v>
      </c>
      <c r="D9609" s="20">
        <v>3530</v>
      </c>
      <c r="E9609" s="11">
        <v>0</v>
      </c>
      <c r="F9609" s="3">
        <v>40500</v>
      </c>
      <c r="G9609" s="2" t="s">
        <v>11556</v>
      </c>
      <c r="H9609" s="3">
        <v>41961</v>
      </c>
      <c r="I9609" s="2" t="s">
        <v>16344</v>
      </c>
      <c r="J9609" s="2" t="s">
        <v>13904</v>
      </c>
      <c r="K9609" s="2"/>
      <c r="L9609" s="82"/>
    </row>
    <row r="9610" spans="1:12" ht="84" customHeight="1" x14ac:dyDescent="0.3">
      <c r="A9610" s="2">
        <v>9606</v>
      </c>
      <c r="B9610" s="2" t="s">
        <v>11644</v>
      </c>
      <c r="C9610" s="66">
        <v>15108</v>
      </c>
      <c r="D9610" s="20">
        <v>13478.07</v>
      </c>
      <c r="E9610" s="11">
        <v>10108.35</v>
      </c>
      <c r="F9610" s="3">
        <v>40500</v>
      </c>
      <c r="G9610" s="2" t="s">
        <v>11556</v>
      </c>
      <c r="H9610" s="3">
        <v>42109</v>
      </c>
      <c r="I9610" s="2" t="s">
        <v>11796</v>
      </c>
      <c r="J9610" s="2" t="s">
        <v>13904</v>
      </c>
      <c r="K9610" s="2"/>
      <c r="L9610" s="82"/>
    </row>
    <row r="9611" spans="1:12" ht="84" customHeight="1" x14ac:dyDescent="0.3">
      <c r="A9611" s="2">
        <v>9607</v>
      </c>
      <c r="B9611" s="2" t="s">
        <v>11645</v>
      </c>
      <c r="C9611" s="66">
        <v>15116</v>
      </c>
      <c r="D9611" s="20">
        <v>66214.67</v>
      </c>
      <c r="E9611" s="11">
        <v>961.2</v>
      </c>
      <c r="F9611" s="3">
        <v>40500</v>
      </c>
      <c r="G9611" s="2" t="s">
        <v>11556</v>
      </c>
      <c r="H9611" s="3">
        <v>42109</v>
      </c>
      <c r="I9611" s="2" t="s">
        <v>11796</v>
      </c>
      <c r="J9611" s="2" t="s">
        <v>13904</v>
      </c>
      <c r="K9611" s="2"/>
      <c r="L9611" s="82"/>
    </row>
    <row r="9612" spans="1:12" ht="84" customHeight="1" x14ac:dyDescent="0.3">
      <c r="A9612" s="2">
        <v>9608</v>
      </c>
      <c r="B9612" s="2" t="s">
        <v>11646</v>
      </c>
      <c r="C9612" s="66">
        <v>15145</v>
      </c>
      <c r="D9612" s="20">
        <v>13208.4</v>
      </c>
      <c r="E9612" s="11">
        <v>0</v>
      </c>
      <c r="F9612" s="3">
        <v>40500</v>
      </c>
      <c r="G9612" s="2" t="s">
        <v>11556</v>
      </c>
      <c r="H9612" s="3">
        <v>41961</v>
      </c>
      <c r="I9612" s="2" t="s">
        <v>16344</v>
      </c>
      <c r="J9612" s="2" t="s">
        <v>13904</v>
      </c>
      <c r="K9612" s="2"/>
      <c r="L9612" s="82"/>
    </row>
    <row r="9613" spans="1:12" ht="84" customHeight="1" x14ac:dyDescent="0.3">
      <c r="A9613" s="2">
        <v>9609</v>
      </c>
      <c r="B9613" s="2" t="s">
        <v>11647</v>
      </c>
      <c r="C9613" s="66" t="s">
        <v>11648</v>
      </c>
      <c r="D9613" s="20">
        <f>96451*3</f>
        <v>289353</v>
      </c>
      <c r="E9613" s="11">
        <f>96451*3</f>
        <v>289353</v>
      </c>
      <c r="F9613" s="3">
        <v>40500</v>
      </c>
      <c r="G9613" s="2" t="s">
        <v>11556</v>
      </c>
      <c r="H9613" s="2"/>
      <c r="I9613" s="2"/>
      <c r="J9613" s="2" t="s">
        <v>13904</v>
      </c>
      <c r="K9613" s="2" t="s">
        <v>18543</v>
      </c>
      <c r="L9613" s="82"/>
    </row>
    <row r="9614" spans="1:12" ht="84" customHeight="1" x14ac:dyDescent="0.3">
      <c r="A9614" s="2">
        <v>9610</v>
      </c>
      <c r="B9614" s="2" t="s">
        <v>11649</v>
      </c>
      <c r="C9614" s="66" t="s">
        <v>11650</v>
      </c>
      <c r="D9614" s="20">
        <f>397407.33*3</f>
        <v>1192221.99</v>
      </c>
      <c r="E9614" s="11">
        <f>351043.38*3</f>
        <v>1053130.1400000001</v>
      </c>
      <c r="F9614" s="3">
        <v>40500</v>
      </c>
      <c r="G9614" s="2" t="s">
        <v>11556</v>
      </c>
      <c r="H9614" s="2"/>
      <c r="I9614" s="2"/>
      <c r="J9614" s="2" t="s">
        <v>13904</v>
      </c>
      <c r="K9614" s="2" t="s">
        <v>18543</v>
      </c>
      <c r="L9614" s="82"/>
    </row>
    <row r="9615" spans="1:12" ht="84" customHeight="1" x14ac:dyDescent="0.3">
      <c r="A9615" s="2">
        <v>9611</v>
      </c>
      <c r="B9615" s="2" t="s">
        <v>11651</v>
      </c>
      <c r="C9615" s="66" t="s">
        <v>11652</v>
      </c>
      <c r="D9615" s="20">
        <f>107182.53*2</f>
        <v>214365.06</v>
      </c>
      <c r="E9615" s="11">
        <f>107182.53*2</f>
        <v>214365.06</v>
      </c>
      <c r="F9615" s="3">
        <v>40500</v>
      </c>
      <c r="G9615" s="2" t="s">
        <v>11556</v>
      </c>
      <c r="H9615" s="2"/>
      <c r="I9615" s="2"/>
      <c r="J9615" s="2" t="s">
        <v>13904</v>
      </c>
      <c r="K9615" s="2" t="s">
        <v>18543</v>
      </c>
      <c r="L9615" s="82"/>
    </row>
    <row r="9616" spans="1:12" ht="84" customHeight="1" x14ac:dyDescent="0.3">
      <c r="A9616" s="2">
        <v>9612</v>
      </c>
      <c r="B9616" s="2" t="s">
        <v>11653</v>
      </c>
      <c r="C9616" s="66">
        <v>17169</v>
      </c>
      <c r="D9616" s="20">
        <v>53000</v>
      </c>
      <c r="E9616" s="11">
        <v>25868.95</v>
      </c>
      <c r="F9616" s="3">
        <v>40500</v>
      </c>
      <c r="G9616" s="2" t="s">
        <v>11556</v>
      </c>
      <c r="H9616" s="3">
        <v>42109</v>
      </c>
      <c r="I9616" s="2" t="s">
        <v>11796</v>
      </c>
      <c r="J9616" s="2" t="s">
        <v>13904</v>
      </c>
      <c r="K9616" s="2"/>
      <c r="L9616" s="82"/>
    </row>
    <row r="9617" spans="1:12" ht="84" customHeight="1" x14ac:dyDescent="0.3">
      <c r="A9617" s="2">
        <v>9613</v>
      </c>
      <c r="B9617" s="2" t="s">
        <v>11654</v>
      </c>
      <c r="C9617" s="66">
        <v>17310</v>
      </c>
      <c r="D9617" s="20">
        <v>26533.57</v>
      </c>
      <c r="E9617" s="11">
        <v>24006.880000000001</v>
      </c>
      <c r="F9617" s="3">
        <v>40500</v>
      </c>
      <c r="G9617" s="2" t="s">
        <v>11556</v>
      </c>
      <c r="H9617" s="2"/>
      <c r="I9617" s="2"/>
      <c r="J9617" s="2" t="s">
        <v>13904</v>
      </c>
      <c r="K9617" s="2" t="s">
        <v>18543</v>
      </c>
      <c r="L9617" s="82"/>
    </row>
    <row r="9618" spans="1:12" ht="84" customHeight="1" x14ac:dyDescent="0.3">
      <c r="A9618" s="2">
        <v>9614</v>
      </c>
      <c r="B9618" s="2" t="s">
        <v>11655</v>
      </c>
      <c r="C9618" s="66">
        <v>17151</v>
      </c>
      <c r="D9618" s="20">
        <v>10411.01</v>
      </c>
      <c r="E9618" s="11">
        <v>5949.12</v>
      </c>
      <c r="F9618" s="3">
        <v>40500</v>
      </c>
      <c r="G9618" s="2" t="s">
        <v>11556</v>
      </c>
      <c r="H9618" s="3">
        <v>42109</v>
      </c>
      <c r="I9618" s="2" t="s">
        <v>11796</v>
      </c>
      <c r="J9618" s="2" t="s">
        <v>13904</v>
      </c>
      <c r="K9618" s="2"/>
      <c r="L9618" s="82"/>
    </row>
    <row r="9619" spans="1:12" ht="84" customHeight="1" x14ac:dyDescent="0.3">
      <c r="A9619" s="2">
        <v>9615</v>
      </c>
      <c r="B9619" s="2" t="s">
        <v>21826</v>
      </c>
      <c r="C9619" s="99" t="s">
        <v>21827</v>
      </c>
      <c r="D9619" s="20">
        <v>79790</v>
      </c>
      <c r="E9619" s="11"/>
      <c r="F9619" s="3">
        <v>43192</v>
      </c>
      <c r="G9619" s="2" t="s">
        <v>21832</v>
      </c>
      <c r="H9619" s="3"/>
      <c r="I9619" s="2"/>
      <c r="J9619" s="2" t="s">
        <v>13904</v>
      </c>
      <c r="K9619" s="2" t="s">
        <v>21792</v>
      </c>
      <c r="L9619" s="38"/>
    </row>
    <row r="9620" spans="1:12" ht="84" customHeight="1" x14ac:dyDescent="0.3">
      <c r="A9620" s="2">
        <v>9616</v>
      </c>
      <c r="B9620" s="2" t="s">
        <v>21829</v>
      </c>
      <c r="C9620" s="99" t="s">
        <v>21828</v>
      </c>
      <c r="D9620" s="20">
        <v>89900</v>
      </c>
      <c r="E9620" s="11"/>
      <c r="F9620" s="3">
        <v>43255</v>
      </c>
      <c r="G9620" s="2" t="s">
        <v>21831</v>
      </c>
      <c r="H9620" s="2"/>
      <c r="I9620" s="2"/>
      <c r="J9620" s="2" t="s">
        <v>13904</v>
      </c>
      <c r="K9620" s="2" t="s">
        <v>21792</v>
      </c>
      <c r="L9620" s="38"/>
    </row>
    <row r="9621" spans="1:12" ht="84" customHeight="1" x14ac:dyDescent="0.3">
      <c r="A9621" s="2">
        <v>9617</v>
      </c>
      <c r="B9621" s="2" t="s">
        <v>11656</v>
      </c>
      <c r="C9621" s="66">
        <v>17150</v>
      </c>
      <c r="D9621" s="20">
        <v>25226.28</v>
      </c>
      <c r="E9621" s="11">
        <v>14414.88</v>
      </c>
      <c r="F9621" s="3">
        <v>40500</v>
      </c>
      <c r="G9621" s="2" t="s">
        <v>11556</v>
      </c>
      <c r="H9621" s="3">
        <v>42109</v>
      </c>
      <c r="I9621" s="2" t="s">
        <v>11796</v>
      </c>
      <c r="J9621" s="2" t="s">
        <v>13904</v>
      </c>
      <c r="K9621" s="2"/>
      <c r="L9621" s="82"/>
    </row>
    <row r="9622" spans="1:12" ht="84" customHeight="1" x14ac:dyDescent="0.3">
      <c r="A9622" s="2">
        <v>9618</v>
      </c>
      <c r="B9622" s="2" t="s">
        <v>11657</v>
      </c>
      <c r="C9622" s="66" t="s">
        <v>11658</v>
      </c>
      <c r="D9622" s="20">
        <f>33099.78*2</f>
        <v>66199.56</v>
      </c>
      <c r="E9622" s="11">
        <f>33099.78*2</f>
        <v>66199.56</v>
      </c>
      <c r="F9622" s="3">
        <v>40500</v>
      </c>
      <c r="G9622" s="2" t="s">
        <v>11556</v>
      </c>
      <c r="H9622" s="2"/>
      <c r="I9622" s="2"/>
      <c r="J9622" s="2" t="s">
        <v>13904</v>
      </c>
      <c r="K9622" s="2" t="s">
        <v>18543</v>
      </c>
      <c r="L9622" s="82"/>
    </row>
    <row r="9623" spans="1:12" ht="84" customHeight="1" x14ac:dyDescent="0.3">
      <c r="A9623" s="2">
        <v>9619</v>
      </c>
      <c r="B9623" s="2" t="s">
        <v>11659</v>
      </c>
      <c r="C9623" s="66">
        <v>14108</v>
      </c>
      <c r="D9623" s="20">
        <v>4726.3900000000003</v>
      </c>
      <c r="E9623" s="11">
        <v>4726.3900000000003</v>
      </c>
      <c r="F9623" s="3">
        <v>40500</v>
      </c>
      <c r="G9623" s="2" t="s">
        <v>11556</v>
      </c>
      <c r="H9623" s="3">
        <v>40714</v>
      </c>
      <c r="I9623" s="2"/>
      <c r="J9623" s="2" t="s">
        <v>13904</v>
      </c>
      <c r="K9623" s="2"/>
      <c r="L9623" s="82"/>
    </row>
    <row r="9624" spans="1:12" ht="84" customHeight="1" x14ac:dyDescent="0.3">
      <c r="A9624" s="2">
        <v>9620</v>
      </c>
      <c r="B9624" s="2" t="s">
        <v>23721</v>
      </c>
      <c r="C9624" s="66"/>
      <c r="D9624" s="20">
        <v>618000</v>
      </c>
      <c r="E9624" s="11"/>
      <c r="F9624" s="3">
        <v>42403</v>
      </c>
      <c r="G9624" s="2" t="s">
        <v>17980</v>
      </c>
      <c r="H9624" s="3"/>
      <c r="I9624" s="2"/>
      <c r="J9624" s="2" t="s">
        <v>12550</v>
      </c>
      <c r="K9624" s="2"/>
      <c r="L9624" s="82" t="s">
        <v>23681</v>
      </c>
    </row>
    <row r="9625" spans="1:12" ht="84" customHeight="1" x14ac:dyDescent="0.3">
      <c r="A9625" s="2">
        <v>9621</v>
      </c>
      <c r="B9625" s="2" t="s">
        <v>23722</v>
      </c>
      <c r="C9625" s="66"/>
      <c r="D9625" s="20">
        <v>370000</v>
      </c>
      <c r="E9625" s="11"/>
      <c r="F9625" s="3">
        <v>42403</v>
      </c>
      <c r="G9625" s="2" t="s">
        <v>17980</v>
      </c>
      <c r="H9625" s="3"/>
      <c r="I9625" s="2"/>
      <c r="J9625" s="2" t="s">
        <v>12550</v>
      </c>
      <c r="K9625" s="2"/>
      <c r="L9625" s="246" t="s">
        <v>23682</v>
      </c>
    </row>
    <row r="9626" spans="1:12" ht="84" customHeight="1" x14ac:dyDescent="0.3">
      <c r="A9626" s="2">
        <v>9622</v>
      </c>
      <c r="B9626" s="2" t="s">
        <v>11660</v>
      </c>
      <c r="C9626" s="66">
        <v>15149</v>
      </c>
      <c r="D9626" s="20">
        <v>10850</v>
      </c>
      <c r="E9626" s="11">
        <v>5941.82</v>
      </c>
      <c r="F9626" s="3">
        <v>40500</v>
      </c>
      <c r="G9626" s="2" t="s">
        <v>11556</v>
      </c>
      <c r="H9626" s="3">
        <v>41961</v>
      </c>
      <c r="I9626" s="2" t="s">
        <v>16344</v>
      </c>
      <c r="J9626" s="2" t="s">
        <v>13904</v>
      </c>
      <c r="K9626" s="2"/>
      <c r="L9626" s="82"/>
    </row>
    <row r="9627" spans="1:12" ht="84" customHeight="1" x14ac:dyDescent="0.3">
      <c r="A9627" s="2">
        <v>9623</v>
      </c>
      <c r="B9627" s="2" t="s">
        <v>11661</v>
      </c>
      <c r="C9627" s="66">
        <v>17262</v>
      </c>
      <c r="D9627" s="20">
        <v>12950</v>
      </c>
      <c r="E9627" s="11">
        <v>6475.14</v>
      </c>
      <c r="F9627" s="3">
        <v>40500</v>
      </c>
      <c r="G9627" s="2" t="s">
        <v>11556</v>
      </c>
      <c r="H9627" s="3">
        <v>42109</v>
      </c>
      <c r="I9627" s="2" t="s">
        <v>11796</v>
      </c>
      <c r="J9627" s="2" t="s">
        <v>13904</v>
      </c>
      <c r="K9627" s="2"/>
      <c r="L9627" s="82"/>
    </row>
    <row r="9628" spans="1:12" ht="84" customHeight="1" x14ac:dyDescent="0.3">
      <c r="A9628" s="2">
        <v>9624</v>
      </c>
      <c r="B9628" s="2" t="s">
        <v>11662</v>
      </c>
      <c r="C9628" s="66">
        <v>17170</v>
      </c>
      <c r="D9628" s="20">
        <v>42250</v>
      </c>
      <c r="E9628" s="11">
        <v>23137.08</v>
      </c>
      <c r="F9628" s="3">
        <v>40500</v>
      </c>
      <c r="G9628" s="2" t="s">
        <v>11556</v>
      </c>
      <c r="H9628" s="3">
        <v>42109</v>
      </c>
      <c r="I9628" s="2" t="s">
        <v>11796</v>
      </c>
      <c r="J9628" s="2" t="s">
        <v>13904</v>
      </c>
      <c r="K9628" s="2"/>
      <c r="L9628" s="82"/>
    </row>
    <row r="9629" spans="1:12" ht="84" customHeight="1" x14ac:dyDescent="0.3">
      <c r="A9629" s="2">
        <v>9625</v>
      </c>
      <c r="B9629" s="2" t="s">
        <v>11663</v>
      </c>
      <c r="C9629" s="66">
        <v>17263</v>
      </c>
      <c r="D9629" s="20">
        <v>10847.46</v>
      </c>
      <c r="E9629" s="11">
        <v>5423.88</v>
      </c>
      <c r="F9629" s="3">
        <v>40500</v>
      </c>
      <c r="G9629" s="2" t="s">
        <v>11556</v>
      </c>
      <c r="H9629" s="3">
        <v>42109</v>
      </c>
      <c r="I9629" s="2" t="s">
        <v>11796</v>
      </c>
      <c r="J9629" s="2" t="s">
        <v>13904</v>
      </c>
      <c r="K9629" s="2"/>
      <c r="L9629" s="82"/>
    </row>
    <row r="9630" spans="1:12" ht="84" customHeight="1" x14ac:dyDescent="0.3">
      <c r="A9630" s="2">
        <v>9626</v>
      </c>
      <c r="B9630" s="2" t="s">
        <v>11664</v>
      </c>
      <c r="C9630" s="66" t="s">
        <v>11665</v>
      </c>
      <c r="D9630" s="20">
        <f>45957.85*2</f>
        <v>91915.7</v>
      </c>
      <c r="E9630" s="11">
        <f>45957.85*2</f>
        <v>91915.7</v>
      </c>
      <c r="F9630" s="3">
        <v>40500</v>
      </c>
      <c r="G9630" s="2" t="s">
        <v>11556</v>
      </c>
      <c r="H9630" s="2"/>
      <c r="I9630" s="2"/>
      <c r="J9630" s="2" t="s">
        <v>13904</v>
      </c>
      <c r="K9630" s="2" t="s">
        <v>18543</v>
      </c>
      <c r="L9630" s="82"/>
    </row>
    <row r="9631" spans="1:12" ht="84" customHeight="1" x14ac:dyDescent="0.3">
      <c r="A9631" s="2">
        <v>9627</v>
      </c>
      <c r="B9631" s="2" t="s">
        <v>11666</v>
      </c>
      <c r="C9631" s="66">
        <v>17088</v>
      </c>
      <c r="D9631" s="20">
        <v>48312</v>
      </c>
      <c r="E9631" s="11">
        <v>48312</v>
      </c>
      <c r="F9631" s="3">
        <v>40500</v>
      </c>
      <c r="G9631" s="2" t="s">
        <v>11556</v>
      </c>
      <c r="H9631" s="3">
        <v>42109</v>
      </c>
      <c r="I9631" s="2" t="s">
        <v>11796</v>
      </c>
      <c r="J9631" s="2" t="s">
        <v>13904</v>
      </c>
      <c r="K9631" s="2"/>
      <c r="L9631" s="82"/>
    </row>
    <row r="9632" spans="1:12" ht="84" customHeight="1" x14ac:dyDescent="0.3">
      <c r="A9632" s="2">
        <v>9628</v>
      </c>
      <c r="B9632" s="2" t="s">
        <v>11667</v>
      </c>
      <c r="C9632" s="66">
        <v>15121</v>
      </c>
      <c r="D9632" s="20">
        <v>28335</v>
      </c>
      <c r="E9632" s="11">
        <v>0</v>
      </c>
      <c r="F9632" s="3">
        <v>40500</v>
      </c>
      <c r="G9632" s="2" t="s">
        <v>11556</v>
      </c>
      <c r="H9632" s="3">
        <v>41961</v>
      </c>
      <c r="I9632" s="2" t="s">
        <v>16344</v>
      </c>
      <c r="J9632" s="2" t="s">
        <v>13904</v>
      </c>
      <c r="K9632" s="2"/>
      <c r="L9632" s="82"/>
    </row>
    <row r="9633" spans="1:12" ht="84" customHeight="1" x14ac:dyDescent="0.3">
      <c r="A9633" s="2">
        <v>9629</v>
      </c>
      <c r="B9633" s="2" t="s">
        <v>21829</v>
      </c>
      <c r="C9633" s="99" t="s">
        <v>21830</v>
      </c>
      <c r="D9633" s="20">
        <v>87500</v>
      </c>
      <c r="E9633" s="11"/>
      <c r="F9633" s="3">
        <v>43227</v>
      </c>
      <c r="G9633" s="2" t="s">
        <v>21835</v>
      </c>
      <c r="H9633" s="2"/>
      <c r="I9633" s="2"/>
      <c r="J9633" s="2" t="s">
        <v>13904</v>
      </c>
      <c r="K9633" s="2" t="s">
        <v>21792</v>
      </c>
      <c r="L9633" s="38"/>
    </row>
    <row r="9634" spans="1:12" ht="84" customHeight="1" x14ac:dyDescent="0.3">
      <c r="A9634" s="2">
        <v>9630</v>
      </c>
      <c r="B9634" s="2" t="s">
        <v>11668</v>
      </c>
      <c r="C9634" s="66">
        <v>17299</v>
      </c>
      <c r="D9634" s="20">
        <v>32830.51</v>
      </c>
      <c r="E9634" s="11">
        <v>32830.51</v>
      </c>
      <c r="F9634" s="3">
        <v>40500</v>
      </c>
      <c r="G9634" s="2" t="s">
        <v>11556</v>
      </c>
      <c r="H9634" s="2" t="s">
        <v>19752</v>
      </c>
      <c r="I9634" s="2" t="s">
        <v>19754</v>
      </c>
      <c r="J9634" s="2" t="s">
        <v>13904</v>
      </c>
      <c r="K9634" s="2" t="s">
        <v>18543</v>
      </c>
      <c r="L9634" s="82"/>
    </row>
    <row r="9635" spans="1:12" ht="84" customHeight="1" x14ac:dyDescent="0.3">
      <c r="A9635" s="2">
        <v>9631</v>
      </c>
      <c r="B9635" s="2" t="s">
        <v>11669</v>
      </c>
      <c r="C9635" s="66">
        <v>17638</v>
      </c>
      <c r="D9635" s="20">
        <v>20750.97</v>
      </c>
      <c r="E9635" s="11">
        <v>20750.97</v>
      </c>
      <c r="F9635" s="3">
        <v>40500</v>
      </c>
      <c r="G9635" s="2" t="s">
        <v>11556</v>
      </c>
      <c r="H9635" s="2" t="s">
        <v>19752</v>
      </c>
      <c r="I9635" s="2" t="s">
        <v>19754</v>
      </c>
      <c r="J9635" s="2" t="s">
        <v>13904</v>
      </c>
      <c r="K9635" s="2" t="s">
        <v>18543</v>
      </c>
      <c r="L9635" s="82"/>
    </row>
    <row r="9636" spans="1:12" ht="84" customHeight="1" x14ac:dyDescent="0.3">
      <c r="A9636" s="2">
        <v>9632</v>
      </c>
      <c r="B9636" s="2" t="s">
        <v>11670</v>
      </c>
      <c r="C9636" s="66">
        <v>14073</v>
      </c>
      <c r="D9636" s="20">
        <v>29357.71</v>
      </c>
      <c r="E9636" s="11">
        <v>29357.71</v>
      </c>
      <c r="F9636" s="3">
        <v>40500</v>
      </c>
      <c r="G9636" s="2" t="s">
        <v>11556</v>
      </c>
      <c r="H9636" s="3">
        <v>42109</v>
      </c>
      <c r="I9636" s="2" t="s">
        <v>11796</v>
      </c>
      <c r="J9636" s="2" t="s">
        <v>13904</v>
      </c>
      <c r="K9636" s="2"/>
      <c r="L9636" s="82"/>
    </row>
    <row r="9637" spans="1:12" ht="84" customHeight="1" x14ac:dyDescent="0.3">
      <c r="A9637" s="2">
        <v>9633</v>
      </c>
      <c r="B9637" s="2" t="s">
        <v>11671</v>
      </c>
      <c r="C9637" s="66">
        <v>17269</v>
      </c>
      <c r="D9637" s="20">
        <v>11221</v>
      </c>
      <c r="E9637" s="11">
        <v>6078.02</v>
      </c>
      <c r="F9637" s="3">
        <v>40500</v>
      </c>
      <c r="G9637" s="2" t="s">
        <v>11556</v>
      </c>
      <c r="H9637" s="3">
        <v>41961</v>
      </c>
      <c r="I9637" s="2" t="s">
        <v>20071</v>
      </c>
      <c r="J9637" s="2" t="s">
        <v>13904</v>
      </c>
      <c r="K9637" s="2" t="s">
        <v>18543</v>
      </c>
      <c r="L9637" s="82"/>
    </row>
    <row r="9638" spans="1:12" ht="84" customHeight="1" x14ac:dyDescent="0.3">
      <c r="A9638" s="2">
        <v>9634</v>
      </c>
      <c r="B9638" s="2" t="s">
        <v>11672</v>
      </c>
      <c r="C9638" s="66">
        <v>17172</v>
      </c>
      <c r="D9638" s="20">
        <v>21950</v>
      </c>
      <c r="E9638" s="11">
        <v>14999.03</v>
      </c>
      <c r="F9638" s="3">
        <v>40500</v>
      </c>
      <c r="G9638" s="2" t="s">
        <v>11556</v>
      </c>
      <c r="H9638" s="3">
        <v>42109</v>
      </c>
      <c r="I9638" s="2" t="s">
        <v>11796</v>
      </c>
      <c r="J9638" s="2" t="s">
        <v>13904</v>
      </c>
      <c r="K9638" s="2"/>
      <c r="L9638" s="82"/>
    </row>
    <row r="9639" spans="1:12" ht="84" customHeight="1" x14ac:dyDescent="0.3">
      <c r="A9639" s="2">
        <v>9635</v>
      </c>
      <c r="B9639" s="2" t="s">
        <v>11672</v>
      </c>
      <c r="C9639" s="66">
        <v>17171</v>
      </c>
      <c r="D9639" s="20">
        <v>21950</v>
      </c>
      <c r="E9639" s="11">
        <v>15364.86</v>
      </c>
      <c r="F9639" s="3">
        <v>40500</v>
      </c>
      <c r="G9639" s="2" t="s">
        <v>11556</v>
      </c>
      <c r="H9639" s="3">
        <v>41961</v>
      </c>
      <c r="I9639" s="2" t="s">
        <v>16344</v>
      </c>
      <c r="J9639" s="2" t="s">
        <v>13904</v>
      </c>
      <c r="K9639" s="2"/>
      <c r="L9639" s="82"/>
    </row>
    <row r="9640" spans="1:12" ht="84" customHeight="1" x14ac:dyDescent="0.3">
      <c r="A9640" s="2">
        <v>9636</v>
      </c>
      <c r="B9640" s="2" t="s">
        <v>11673</v>
      </c>
      <c r="C9640" s="66">
        <v>17634</v>
      </c>
      <c r="D9640" s="20">
        <v>67304.25</v>
      </c>
      <c r="E9640" s="11">
        <v>0</v>
      </c>
      <c r="F9640" s="3">
        <v>40500</v>
      </c>
      <c r="G9640" s="2" t="s">
        <v>11556</v>
      </c>
      <c r="H9640" s="2"/>
      <c r="I9640" s="2"/>
      <c r="J9640" s="2" t="s">
        <v>13904</v>
      </c>
      <c r="K9640" s="2" t="s">
        <v>18543</v>
      </c>
      <c r="L9640" s="82"/>
    </row>
    <row r="9641" spans="1:12" ht="84" customHeight="1" x14ac:dyDescent="0.3">
      <c r="A9641" s="2">
        <v>9637</v>
      </c>
      <c r="B9641" s="2" t="s">
        <v>11674</v>
      </c>
      <c r="C9641" s="66">
        <v>17497</v>
      </c>
      <c r="D9641" s="20">
        <v>63308</v>
      </c>
      <c r="E9641" s="11">
        <v>0</v>
      </c>
      <c r="F9641" s="3">
        <v>40500</v>
      </c>
      <c r="G9641" s="2" t="s">
        <v>11556</v>
      </c>
      <c r="H9641" s="3">
        <v>41961</v>
      </c>
      <c r="I9641" s="2" t="s">
        <v>20071</v>
      </c>
      <c r="J9641" s="2" t="s">
        <v>13904</v>
      </c>
      <c r="K9641" s="2" t="s">
        <v>18543</v>
      </c>
      <c r="L9641" s="82"/>
    </row>
    <row r="9642" spans="1:12" ht="84" customHeight="1" x14ac:dyDescent="0.3">
      <c r="A9642" s="2">
        <v>9638</v>
      </c>
      <c r="B9642" s="2" t="s">
        <v>11675</v>
      </c>
      <c r="C9642" s="66">
        <v>17086</v>
      </c>
      <c r="D9642" s="20">
        <v>34550</v>
      </c>
      <c r="E9642" s="11">
        <v>7755.16</v>
      </c>
      <c r="F9642" s="3">
        <v>40500</v>
      </c>
      <c r="G9642" s="2" t="s">
        <v>11556</v>
      </c>
      <c r="H9642" s="3">
        <v>41961</v>
      </c>
      <c r="I9642" s="2" t="s">
        <v>16344</v>
      </c>
      <c r="J9642" s="2" t="s">
        <v>13904</v>
      </c>
      <c r="K9642" s="2"/>
      <c r="L9642" s="82"/>
    </row>
    <row r="9643" spans="1:12" ht="84" customHeight="1" x14ac:dyDescent="0.3">
      <c r="A9643" s="2">
        <v>9639</v>
      </c>
      <c r="B9643" s="2" t="s">
        <v>11676</v>
      </c>
      <c r="C9643" s="66">
        <v>17174</v>
      </c>
      <c r="D9643" s="20">
        <v>44950</v>
      </c>
      <c r="E9643" s="11">
        <v>32963.480000000003</v>
      </c>
      <c r="F9643" s="3">
        <v>40500</v>
      </c>
      <c r="G9643" s="2" t="s">
        <v>11556</v>
      </c>
      <c r="H9643" s="3">
        <v>41961</v>
      </c>
      <c r="I9643" s="2" t="s">
        <v>16344</v>
      </c>
      <c r="J9643" s="2" t="s">
        <v>13904</v>
      </c>
      <c r="K9643" s="2"/>
      <c r="L9643" s="82"/>
    </row>
    <row r="9644" spans="1:12" ht="84" customHeight="1" x14ac:dyDescent="0.3">
      <c r="A9644" s="2">
        <v>9640</v>
      </c>
      <c r="B9644" s="2" t="s">
        <v>11677</v>
      </c>
      <c r="C9644" s="66">
        <v>17285</v>
      </c>
      <c r="D9644" s="20">
        <v>12050</v>
      </c>
      <c r="E9644" s="11">
        <v>12050</v>
      </c>
      <c r="F9644" s="3">
        <v>40500</v>
      </c>
      <c r="G9644" s="2" t="s">
        <v>11556</v>
      </c>
      <c r="H9644" s="2" t="s">
        <v>19752</v>
      </c>
      <c r="I9644" s="2" t="s">
        <v>19754</v>
      </c>
      <c r="J9644" s="2" t="s">
        <v>13904</v>
      </c>
      <c r="K9644" s="2" t="s">
        <v>18543</v>
      </c>
      <c r="L9644" s="82"/>
    </row>
    <row r="9645" spans="1:12" ht="84" customHeight="1" x14ac:dyDescent="0.3">
      <c r="A9645" s="2">
        <v>9641</v>
      </c>
      <c r="B9645" s="2" t="s">
        <v>11677</v>
      </c>
      <c r="C9645" s="66">
        <v>17286</v>
      </c>
      <c r="D9645" s="20">
        <v>12050</v>
      </c>
      <c r="E9645" s="11">
        <v>12050</v>
      </c>
      <c r="F9645" s="3">
        <v>40500</v>
      </c>
      <c r="G9645" s="2" t="s">
        <v>11556</v>
      </c>
      <c r="H9645" s="2"/>
      <c r="I9645" s="2"/>
      <c r="J9645" s="2" t="s">
        <v>13904</v>
      </c>
      <c r="K9645" s="2" t="s">
        <v>18543</v>
      </c>
      <c r="L9645" s="82"/>
    </row>
    <row r="9646" spans="1:12" ht="84" customHeight="1" x14ac:dyDescent="0.3">
      <c r="A9646" s="2">
        <v>9642</v>
      </c>
      <c r="B9646" s="2" t="s">
        <v>11678</v>
      </c>
      <c r="C9646" s="66">
        <v>17173</v>
      </c>
      <c r="D9646" s="20">
        <v>10900</v>
      </c>
      <c r="E9646" s="11">
        <v>8356.82</v>
      </c>
      <c r="F9646" s="3">
        <v>40500</v>
      </c>
      <c r="G9646" s="2" t="s">
        <v>11556</v>
      </c>
      <c r="H9646" s="3">
        <v>42109</v>
      </c>
      <c r="I9646" s="2" t="s">
        <v>11796</v>
      </c>
      <c r="J9646" s="2" t="s">
        <v>13904</v>
      </c>
      <c r="K9646" s="2"/>
      <c r="L9646" s="82"/>
    </row>
    <row r="9647" spans="1:12" ht="84" customHeight="1" x14ac:dyDescent="0.3">
      <c r="A9647" s="2">
        <v>9643</v>
      </c>
      <c r="B9647" s="2" t="s">
        <v>11679</v>
      </c>
      <c r="C9647" s="66">
        <v>17287</v>
      </c>
      <c r="D9647" s="20">
        <v>12800</v>
      </c>
      <c r="E9647" s="11">
        <v>0</v>
      </c>
      <c r="F9647" s="3">
        <v>40500</v>
      </c>
      <c r="G9647" s="2" t="s">
        <v>11556</v>
      </c>
      <c r="H9647" s="3">
        <v>42109</v>
      </c>
      <c r="I9647" s="2" t="s">
        <v>11796</v>
      </c>
      <c r="J9647" s="2" t="s">
        <v>13904</v>
      </c>
      <c r="K9647" s="2"/>
      <c r="L9647" s="82"/>
    </row>
    <row r="9648" spans="1:12" ht="84" customHeight="1" x14ac:dyDescent="0.3">
      <c r="A9648" s="2">
        <v>9644</v>
      </c>
      <c r="B9648" s="2" t="s">
        <v>11680</v>
      </c>
      <c r="C9648" s="66">
        <v>17183</v>
      </c>
      <c r="D9648" s="20">
        <v>12200</v>
      </c>
      <c r="E9648" s="11">
        <v>8743.19</v>
      </c>
      <c r="F9648" s="3">
        <v>40500</v>
      </c>
      <c r="G9648" s="2" t="s">
        <v>11556</v>
      </c>
      <c r="H9648" s="3">
        <v>41961</v>
      </c>
      <c r="I9648" s="2" t="s">
        <v>16344</v>
      </c>
      <c r="J9648" s="2" t="s">
        <v>13904</v>
      </c>
      <c r="K9648" s="2"/>
      <c r="L9648" s="82"/>
    </row>
    <row r="9649" spans="1:12" ht="84" customHeight="1" x14ac:dyDescent="0.3">
      <c r="A9649" s="2">
        <v>9645</v>
      </c>
      <c r="B9649" s="2" t="s">
        <v>11681</v>
      </c>
      <c r="C9649" s="66">
        <v>17635</v>
      </c>
      <c r="D9649" s="20">
        <v>24638.400000000001</v>
      </c>
      <c r="E9649" s="20">
        <v>2874.48</v>
      </c>
      <c r="F9649" s="3">
        <v>40500</v>
      </c>
      <c r="G9649" s="2" t="s">
        <v>11556</v>
      </c>
      <c r="H9649" s="3">
        <v>42109</v>
      </c>
      <c r="I9649" s="2" t="s">
        <v>11796</v>
      </c>
      <c r="J9649" s="2" t="s">
        <v>13904</v>
      </c>
      <c r="K9649" s="2"/>
      <c r="L9649" s="82"/>
    </row>
    <row r="9650" spans="1:12" ht="84" customHeight="1" x14ac:dyDescent="0.3">
      <c r="A9650" s="2">
        <v>9646</v>
      </c>
      <c r="B9650" s="2" t="s">
        <v>11681</v>
      </c>
      <c r="C9650" s="66">
        <v>17632</v>
      </c>
      <c r="D9650" s="20">
        <v>26638.400000000001</v>
      </c>
      <c r="E9650" s="11">
        <v>0</v>
      </c>
      <c r="F9650" s="3">
        <v>40500</v>
      </c>
      <c r="G9650" s="2" t="s">
        <v>11556</v>
      </c>
      <c r="H9650" s="3">
        <v>42109</v>
      </c>
      <c r="I9650" s="2" t="s">
        <v>11796</v>
      </c>
      <c r="J9650" s="2" t="s">
        <v>13904</v>
      </c>
      <c r="K9650" s="2"/>
      <c r="L9650" s="82"/>
    </row>
    <row r="9651" spans="1:12" ht="84" customHeight="1" x14ac:dyDescent="0.3">
      <c r="A9651" s="2">
        <v>9647</v>
      </c>
      <c r="B9651" s="2" t="s">
        <v>11682</v>
      </c>
      <c r="C9651" s="66">
        <v>17273</v>
      </c>
      <c r="D9651" s="20">
        <v>12642</v>
      </c>
      <c r="E9651" s="11">
        <v>6847.88</v>
      </c>
      <c r="F9651" s="3">
        <v>40500</v>
      </c>
      <c r="G9651" s="2" t="s">
        <v>11556</v>
      </c>
      <c r="H9651" s="3">
        <v>41961</v>
      </c>
      <c r="I9651" s="2" t="s">
        <v>16344</v>
      </c>
      <c r="J9651" s="2" t="s">
        <v>13904</v>
      </c>
      <c r="K9651" s="2"/>
      <c r="L9651" s="82"/>
    </row>
    <row r="9652" spans="1:12" ht="84" customHeight="1" x14ac:dyDescent="0.3">
      <c r="A9652" s="2">
        <v>9648</v>
      </c>
      <c r="B9652" s="2" t="s">
        <v>11683</v>
      </c>
      <c r="C9652" s="66">
        <v>17152</v>
      </c>
      <c r="D9652" s="20">
        <v>12050</v>
      </c>
      <c r="E9652" s="11">
        <v>6742.15</v>
      </c>
      <c r="F9652" s="3">
        <v>40500</v>
      </c>
      <c r="G9652" s="2" t="s">
        <v>11556</v>
      </c>
      <c r="H9652" s="3">
        <v>41961</v>
      </c>
      <c r="I9652" s="2" t="s">
        <v>16344</v>
      </c>
      <c r="J9652" s="2" t="s">
        <v>13904</v>
      </c>
      <c r="K9652" s="2"/>
      <c r="L9652" s="82"/>
    </row>
    <row r="9653" spans="1:12" ht="84" customHeight="1" x14ac:dyDescent="0.3">
      <c r="A9653" s="2">
        <v>9649</v>
      </c>
      <c r="B9653" s="2" t="s">
        <v>11684</v>
      </c>
      <c r="C9653" s="66">
        <v>17155</v>
      </c>
      <c r="D9653" s="20">
        <v>12050</v>
      </c>
      <c r="E9653" s="11">
        <v>3299.35</v>
      </c>
      <c r="F9653" s="3">
        <v>40500</v>
      </c>
      <c r="G9653" s="2" t="s">
        <v>11556</v>
      </c>
      <c r="H9653" s="3">
        <v>42109</v>
      </c>
      <c r="I9653" s="2" t="s">
        <v>11796</v>
      </c>
      <c r="J9653" s="2" t="s">
        <v>13904</v>
      </c>
      <c r="K9653" s="2"/>
      <c r="L9653" s="82"/>
    </row>
    <row r="9654" spans="1:12" ht="84" customHeight="1" x14ac:dyDescent="0.3">
      <c r="A9654" s="2">
        <v>9650</v>
      </c>
      <c r="B9654" s="2" t="s">
        <v>11685</v>
      </c>
      <c r="C9654" s="66">
        <v>17156</v>
      </c>
      <c r="D9654" s="20">
        <v>12050</v>
      </c>
      <c r="E9654" s="11">
        <v>4016.6</v>
      </c>
      <c r="F9654" s="3">
        <v>40500</v>
      </c>
      <c r="G9654" s="2" t="s">
        <v>11556</v>
      </c>
      <c r="H9654" s="3">
        <v>41961</v>
      </c>
      <c r="I9654" s="2" t="s">
        <v>16344</v>
      </c>
      <c r="J9654" s="2" t="s">
        <v>13904</v>
      </c>
      <c r="K9654" s="2"/>
      <c r="L9654" s="82"/>
    </row>
    <row r="9655" spans="1:12" ht="84" customHeight="1" x14ac:dyDescent="0.3">
      <c r="A9655" s="2">
        <v>9651</v>
      </c>
      <c r="B9655" s="2" t="s">
        <v>11686</v>
      </c>
      <c r="C9655" s="66">
        <v>17271</v>
      </c>
      <c r="D9655" s="20">
        <v>12593</v>
      </c>
      <c r="E9655" s="11">
        <v>6821.1</v>
      </c>
      <c r="F9655" s="3">
        <v>40500</v>
      </c>
      <c r="G9655" s="2" t="s">
        <v>11556</v>
      </c>
      <c r="H9655" s="3">
        <v>42109</v>
      </c>
      <c r="I9655" s="2" t="s">
        <v>11796</v>
      </c>
      <c r="J9655" s="2" t="s">
        <v>13904</v>
      </c>
      <c r="K9655" s="2"/>
      <c r="L9655" s="82"/>
    </row>
    <row r="9656" spans="1:12" ht="84" customHeight="1" x14ac:dyDescent="0.3">
      <c r="A9656" s="2">
        <v>9652</v>
      </c>
      <c r="B9656" s="2" t="s">
        <v>11686</v>
      </c>
      <c r="C9656" s="66">
        <v>17284</v>
      </c>
      <c r="D9656" s="20">
        <v>13500</v>
      </c>
      <c r="E9656" s="11">
        <v>5785.56</v>
      </c>
      <c r="F9656" s="3">
        <v>40500</v>
      </c>
      <c r="G9656" s="2" t="s">
        <v>11556</v>
      </c>
      <c r="H9656" s="3">
        <v>42109</v>
      </c>
      <c r="I9656" s="2" t="s">
        <v>11796</v>
      </c>
      <c r="J9656" s="2" t="s">
        <v>13904</v>
      </c>
      <c r="K9656" s="2"/>
      <c r="L9656" s="82"/>
    </row>
    <row r="9657" spans="1:12" ht="84" customHeight="1" x14ac:dyDescent="0.3">
      <c r="A9657" s="2">
        <v>9653</v>
      </c>
      <c r="B9657" s="2" t="s">
        <v>11687</v>
      </c>
      <c r="C9657" s="66">
        <v>17496</v>
      </c>
      <c r="D9657" s="20">
        <v>20139</v>
      </c>
      <c r="E9657" s="11">
        <v>4520.42</v>
      </c>
      <c r="F9657" s="3">
        <v>40500</v>
      </c>
      <c r="G9657" s="2" t="s">
        <v>11556</v>
      </c>
      <c r="H9657" s="3">
        <v>41961</v>
      </c>
      <c r="I9657" s="2" t="s">
        <v>16344</v>
      </c>
      <c r="J9657" s="2" t="s">
        <v>13904</v>
      </c>
      <c r="K9657" s="2"/>
      <c r="L9657" s="82"/>
    </row>
    <row r="9658" spans="1:12" ht="84" customHeight="1" x14ac:dyDescent="0.3">
      <c r="A9658" s="2">
        <v>9654</v>
      </c>
      <c r="B9658" s="2" t="s">
        <v>11688</v>
      </c>
      <c r="C9658" s="66">
        <v>17272</v>
      </c>
      <c r="D9658" s="20">
        <v>20972</v>
      </c>
      <c r="E9658" s="11">
        <v>0</v>
      </c>
      <c r="F9658" s="3">
        <v>40500</v>
      </c>
      <c r="G9658" s="2" t="s">
        <v>11556</v>
      </c>
      <c r="H9658" s="2"/>
      <c r="I9658" s="2"/>
      <c r="J9658" s="2" t="s">
        <v>13904</v>
      </c>
      <c r="K9658" s="2" t="s">
        <v>18543</v>
      </c>
      <c r="L9658" s="82"/>
    </row>
    <row r="9659" spans="1:12" ht="84" customHeight="1" x14ac:dyDescent="0.3">
      <c r="A9659" s="2">
        <v>9655</v>
      </c>
      <c r="B9659" s="2" t="s">
        <v>11689</v>
      </c>
      <c r="C9659" s="66">
        <v>17633</v>
      </c>
      <c r="D9659" s="20">
        <v>41559.599999999999</v>
      </c>
      <c r="E9659" s="11">
        <v>0</v>
      </c>
      <c r="F9659" s="3">
        <v>40500</v>
      </c>
      <c r="G9659" s="2" t="s">
        <v>11556</v>
      </c>
      <c r="H9659" s="2"/>
      <c r="I9659" s="2"/>
      <c r="J9659" s="2" t="s">
        <v>13904</v>
      </c>
      <c r="K9659" s="2" t="s">
        <v>18543</v>
      </c>
      <c r="L9659" s="82"/>
    </row>
    <row r="9660" spans="1:12" ht="84" customHeight="1" x14ac:dyDescent="0.3">
      <c r="A9660" s="2">
        <v>9656</v>
      </c>
      <c r="B9660" s="2" t="s">
        <v>11690</v>
      </c>
      <c r="C9660" s="66">
        <v>17631</v>
      </c>
      <c r="D9660" s="20">
        <v>43966.8</v>
      </c>
      <c r="E9660" s="11">
        <v>0</v>
      </c>
      <c r="F9660" s="3">
        <v>40500</v>
      </c>
      <c r="G9660" s="2" t="s">
        <v>11556</v>
      </c>
      <c r="H9660" s="3">
        <v>41961</v>
      </c>
      <c r="I9660" s="2" t="s">
        <v>20071</v>
      </c>
      <c r="J9660" s="2" t="s">
        <v>13904</v>
      </c>
      <c r="K9660" s="2" t="s">
        <v>18543</v>
      </c>
      <c r="L9660" s="82"/>
    </row>
    <row r="9661" spans="1:12" ht="84" customHeight="1" x14ac:dyDescent="0.3">
      <c r="A9661" s="2">
        <v>9657</v>
      </c>
      <c r="B9661" s="2" t="s">
        <v>11691</v>
      </c>
      <c r="C9661" s="66">
        <v>17283</v>
      </c>
      <c r="D9661" s="20">
        <v>31450</v>
      </c>
      <c r="E9661" s="11">
        <v>0</v>
      </c>
      <c r="F9661" s="3">
        <v>40500</v>
      </c>
      <c r="G9661" s="2" t="s">
        <v>11556</v>
      </c>
      <c r="H9661" s="2"/>
      <c r="I9661" s="2"/>
      <c r="J9661" s="2" t="s">
        <v>13904</v>
      </c>
      <c r="K9661" s="2" t="s">
        <v>18543</v>
      </c>
      <c r="L9661" s="82"/>
    </row>
    <row r="9662" spans="1:12" ht="84" customHeight="1" x14ac:dyDescent="0.3">
      <c r="A9662" s="2">
        <v>9658</v>
      </c>
      <c r="B9662" s="2" t="s">
        <v>11692</v>
      </c>
      <c r="C9662" s="66">
        <v>17325</v>
      </c>
      <c r="D9662" s="20">
        <v>41005</v>
      </c>
      <c r="E9662" s="11">
        <v>0</v>
      </c>
      <c r="F9662" s="3">
        <v>40500</v>
      </c>
      <c r="G9662" s="2" t="s">
        <v>11556</v>
      </c>
      <c r="H9662" s="2"/>
      <c r="I9662" s="2"/>
      <c r="J9662" s="2" t="s">
        <v>13904</v>
      </c>
      <c r="K9662" s="2" t="s">
        <v>18543</v>
      </c>
      <c r="L9662" s="82"/>
    </row>
    <row r="9663" spans="1:12" ht="84" customHeight="1" x14ac:dyDescent="0.3">
      <c r="A9663" s="2">
        <v>9659</v>
      </c>
      <c r="B9663" s="2" t="s">
        <v>11693</v>
      </c>
      <c r="C9663" s="66">
        <v>17281</v>
      </c>
      <c r="D9663" s="20">
        <v>24200</v>
      </c>
      <c r="E9663" s="11">
        <v>11235.9</v>
      </c>
      <c r="F9663" s="3">
        <v>40500</v>
      </c>
      <c r="G9663" s="2" t="s">
        <v>11556</v>
      </c>
      <c r="H9663" s="2"/>
      <c r="I9663" s="2"/>
      <c r="J9663" s="2" t="s">
        <v>13904</v>
      </c>
      <c r="K9663" s="2" t="s">
        <v>18543</v>
      </c>
      <c r="L9663" s="82"/>
    </row>
    <row r="9664" spans="1:12" ht="84" customHeight="1" x14ac:dyDescent="0.3">
      <c r="A9664" s="2">
        <v>9660</v>
      </c>
      <c r="B9664" s="2" t="s">
        <v>11694</v>
      </c>
      <c r="C9664" s="66">
        <v>17282</v>
      </c>
      <c r="D9664" s="20">
        <v>24200</v>
      </c>
      <c r="E9664" s="11">
        <v>10371.6</v>
      </c>
      <c r="F9664" s="3">
        <v>40500</v>
      </c>
      <c r="G9664" s="2" t="s">
        <v>11556</v>
      </c>
      <c r="H9664" s="3">
        <v>42109</v>
      </c>
      <c r="I9664" s="2" t="s">
        <v>11796</v>
      </c>
      <c r="J9664" s="2" t="s">
        <v>13904</v>
      </c>
      <c r="K9664" s="2"/>
      <c r="L9664" s="82"/>
    </row>
    <row r="9665" spans="1:12" ht="84" customHeight="1" x14ac:dyDescent="0.3">
      <c r="A9665" s="2">
        <v>9661</v>
      </c>
      <c r="B9665" s="2" t="s">
        <v>11695</v>
      </c>
      <c r="C9665" s="66">
        <v>17247</v>
      </c>
      <c r="D9665" s="20">
        <v>417965</v>
      </c>
      <c r="E9665" s="11">
        <v>369202.24</v>
      </c>
      <c r="F9665" s="3">
        <v>40500</v>
      </c>
      <c r="G9665" s="2" t="s">
        <v>11556</v>
      </c>
      <c r="H9665" s="2"/>
      <c r="I9665" s="2"/>
      <c r="J9665" s="2" t="s">
        <v>13904</v>
      </c>
      <c r="K9665" s="2" t="s">
        <v>18543</v>
      </c>
      <c r="L9665" s="82"/>
    </row>
    <row r="9666" spans="1:12" ht="84" customHeight="1" x14ac:dyDescent="0.3">
      <c r="A9666" s="2">
        <v>9662</v>
      </c>
      <c r="B9666" s="2" t="s">
        <v>11696</v>
      </c>
      <c r="C9666" s="66">
        <v>14075</v>
      </c>
      <c r="D9666" s="20">
        <v>158474.56</v>
      </c>
      <c r="E9666" s="11">
        <v>158474.56</v>
      </c>
      <c r="F9666" s="3">
        <v>40500</v>
      </c>
      <c r="G9666" s="2" t="s">
        <v>11556</v>
      </c>
      <c r="H9666" s="2"/>
      <c r="I9666" s="2"/>
      <c r="J9666" s="2" t="s">
        <v>13904</v>
      </c>
      <c r="K9666" s="2" t="s">
        <v>18543</v>
      </c>
      <c r="L9666" s="82"/>
    </row>
    <row r="9667" spans="1:12" ht="84" customHeight="1" x14ac:dyDescent="0.3">
      <c r="A9667" s="2">
        <v>9663</v>
      </c>
      <c r="B9667" s="2" t="s">
        <v>11697</v>
      </c>
      <c r="C9667" s="66">
        <v>17034</v>
      </c>
      <c r="D9667" s="20">
        <v>0.01</v>
      </c>
      <c r="E9667" s="11">
        <v>0.01</v>
      </c>
      <c r="F9667" s="3">
        <v>40500</v>
      </c>
      <c r="G9667" s="2" t="s">
        <v>11556</v>
      </c>
      <c r="H9667" s="3">
        <v>42109</v>
      </c>
      <c r="I9667" s="2" t="s">
        <v>11796</v>
      </c>
      <c r="J9667" s="2" t="s">
        <v>13904</v>
      </c>
      <c r="K9667" s="2"/>
      <c r="L9667" s="82"/>
    </row>
    <row r="9668" spans="1:12" ht="84" customHeight="1" x14ac:dyDescent="0.3">
      <c r="A9668" s="2">
        <v>9664</v>
      </c>
      <c r="B9668" s="2" t="s">
        <v>11698</v>
      </c>
      <c r="C9668" s="66">
        <v>15140</v>
      </c>
      <c r="D9668" s="20">
        <v>55225</v>
      </c>
      <c r="E9668" s="11">
        <v>0</v>
      </c>
      <c r="F9668" s="3">
        <v>40500</v>
      </c>
      <c r="G9668" s="2" t="s">
        <v>11556</v>
      </c>
      <c r="H9668" s="2"/>
      <c r="I9668" s="2"/>
      <c r="J9668" s="2" t="s">
        <v>13904</v>
      </c>
      <c r="K9668" s="2" t="s">
        <v>18543</v>
      </c>
      <c r="L9668" s="82"/>
    </row>
    <row r="9669" spans="1:12" ht="84" customHeight="1" x14ac:dyDescent="0.3">
      <c r="A9669" s="2">
        <v>9665</v>
      </c>
      <c r="B9669" s="2" t="s">
        <v>11699</v>
      </c>
      <c r="C9669" s="66">
        <v>17260</v>
      </c>
      <c r="D9669" s="20">
        <v>153708</v>
      </c>
      <c r="E9669" s="20">
        <v>153708</v>
      </c>
      <c r="F9669" s="3">
        <v>40500</v>
      </c>
      <c r="G9669" s="2" t="s">
        <v>11556</v>
      </c>
      <c r="H9669" s="2"/>
      <c r="I9669" s="2"/>
      <c r="J9669" s="2" t="s">
        <v>13904</v>
      </c>
      <c r="K9669" s="2" t="s">
        <v>18543</v>
      </c>
      <c r="L9669" s="82"/>
    </row>
    <row r="9670" spans="1:12" ht="84" customHeight="1" x14ac:dyDescent="0.3">
      <c r="A9670" s="2">
        <v>9666</v>
      </c>
      <c r="B9670" s="2" t="s">
        <v>11700</v>
      </c>
      <c r="C9670" s="66">
        <v>17432</v>
      </c>
      <c r="D9670" s="20">
        <v>64107</v>
      </c>
      <c r="E9670" s="11">
        <v>64107</v>
      </c>
      <c r="F9670" s="3">
        <v>40500</v>
      </c>
      <c r="G9670" s="2" t="s">
        <v>11556</v>
      </c>
      <c r="H9670" s="2"/>
      <c r="I9670" s="2"/>
      <c r="J9670" s="2" t="s">
        <v>13904</v>
      </c>
      <c r="K9670" s="2" t="s">
        <v>18543</v>
      </c>
      <c r="L9670" s="82"/>
    </row>
    <row r="9671" spans="1:12" ht="84" customHeight="1" x14ac:dyDescent="0.3">
      <c r="A9671" s="2">
        <v>9667</v>
      </c>
      <c r="B9671" s="2" t="s">
        <v>11701</v>
      </c>
      <c r="C9671" s="66">
        <v>14048</v>
      </c>
      <c r="D9671" s="20">
        <v>202.22</v>
      </c>
      <c r="E9671" s="11">
        <v>202.22</v>
      </c>
      <c r="F9671" s="3">
        <v>40500</v>
      </c>
      <c r="G9671" s="2" t="s">
        <v>11556</v>
      </c>
      <c r="H9671" s="3">
        <v>42109</v>
      </c>
      <c r="I9671" s="2" t="s">
        <v>11796</v>
      </c>
      <c r="J9671" s="2" t="s">
        <v>13904</v>
      </c>
      <c r="K9671" s="2"/>
      <c r="L9671" s="82"/>
    </row>
    <row r="9672" spans="1:12" ht="84" customHeight="1" x14ac:dyDescent="0.3">
      <c r="A9672" s="2">
        <v>9668</v>
      </c>
      <c r="B9672" s="2" t="s">
        <v>11702</v>
      </c>
      <c r="C9672" s="66">
        <v>17363</v>
      </c>
      <c r="D9672" s="20">
        <v>67567.929999999993</v>
      </c>
      <c r="E9672" s="11">
        <v>67567.929999999993</v>
      </c>
      <c r="F9672" s="3">
        <v>40500</v>
      </c>
      <c r="G9672" s="2" t="s">
        <v>11556</v>
      </c>
      <c r="H9672" s="2"/>
      <c r="I9672" s="2"/>
      <c r="J9672" s="2" t="s">
        <v>13904</v>
      </c>
      <c r="K9672" s="2" t="s">
        <v>18543</v>
      </c>
      <c r="L9672" s="82"/>
    </row>
    <row r="9673" spans="1:12" ht="84" customHeight="1" x14ac:dyDescent="0.3">
      <c r="A9673" s="2">
        <v>9669</v>
      </c>
      <c r="B9673" s="2" t="s">
        <v>11703</v>
      </c>
      <c r="C9673" s="66">
        <v>17364</v>
      </c>
      <c r="D9673" s="20">
        <v>74590.27</v>
      </c>
      <c r="E9673" s="11">
        <v>74590.27</v>
      </c>
      <c r="F9673" s="3">
        <v>40500</v>
      </c>
      <c r="G9673" s="2" t="s">
        <v>11556</v>
      </c>
      <c r="H9673" s="2"/>
      <c r="I9673" s="2"/>
      <c r="J9673" s="2" t="s">
        <v>13904</v>
      </c>
      <c r="K9673" s="2" t="s">
        <v>18543</v>
      </c>
      <c r="L9673" s="82"/>
    </row>
    <row r="9674" spans="1:12" ht="84" customHeight="1" x14ac:dyDescent="0.3">
      <c r="A9674" s="2">
        <v>9670</v>
      </c>
      <c r="B9674" s="2" t="s">
        <v>11704</v>
      </c>
      <c r="C9674" s="66">
        <v>17365</v>
      </c>
      <c r="D9674" s="20">
        <v>23221.759999999998</v>
      </c>
      <c r="E9674" s="11">
        <v>23221.759999999998</v>
      </c>
      <c r="F9674" s="3">
        <v>40500</v>
      </c>
      <c r="G9674" s="2" t="s">
        <v>11556</v>
      </c>
      <c r="H9674" s="2"/>
      <c r="I9674" s="2"/>
      <c r="J9674" s="2" t="s">
        <v>13904</v>
      </c>
      <c r="K9674" s="2" t="s">
        <v>18543</v>
      </c>
      <c r="L9674" s="82"/>
    </row>
    <row r="9675" spans="1:12" ht="84" customHeight="1" x14ac:dyDescent="0.3">
      <c r="A9675" s="2">
        <v>9671</v>
      </c>
      <c r="B9675" s="2" t="s">
        <v>11705</v>
      </c>
      <c r="C9675" s="66">
        <v>17433</v>
      </c>
      <c r="D9675" s="20">
        <v>67864.42</v>
      </c>
      <c r="E9675" s="11">
        <v>67864.42</v>
      </c>
      <c r="F9675" s="3">
        <v>40500</v>
      </c>
      <c r="G9675" s="2" t="s">
        <v>11556</v>
      </c>
      <c r="H9675" s="2"/>
      <c r="I9675" s="2"/>
      <c r="J9675" s="2" t="s">
        <v>13904</v>
      </c>
      <c r="K9675" s="2" t="s">
        <v>18543</v>
      </c>
      <c r="L9675" s="82"/>
    </row>
    <row r="9676" spans="1:12" ht="84" customHeight="1" x14ac:dyDescent="0.3">
      <c r="A9676" s="2">
        <v>9672</v>
      </c>
      <c r="B9676" s="2" t="s">
        <v>11706</v>
      </c>
      <c r="C9676" s="66">
        <v>17608</v>
      </c>
      <c r="D9676" s="20">
        <v>67741.149999999994</v>
      </c>
      <c r="E9676" s="11">
        <v>0</v>
      </c>
      <c r="F9676" s="3">
        <v>40500</v>
      </c>
      <c r="G9676" s="2" t="s">
        <v>11556</v>
      </c>
      <c r="H9676" s="2"/>
      <c r="I9676" s="2"/>
      <c r="J9676" s="2" t="s">
        <v>13904</v>
      </c>
      <c r="K9676" s="2" t="s">
        <v>18543</v>
      </c>
      <c r="L9676" s="82"/>
    </row>
    <row r="9677" spans="1:12" ht="84" customHeight="1" x14ac:dyDescent="0.3">
      <c r="A9677" s="2">
        <v>9673</v>
      </c>
      <c r="B9677" s="2" t="s">
        <v>11707</v>
      </c>
      <c r="C9677" s="66">
        <v>17629</v>
      </c>
      <c r="D9677" s="20">
        <v>32756.42</v>
      </c>
      <c r="E9677" s="11">
        <v>29247</v>
      </c>
      <c r="F9677" s="3">
        <v>40500</v>
      </c>
      <c r="G9677" s="2" t="s">
        <v>11556</v>
      </c>
      <c r="H9677" s="2"/>
      <c r="I9677" s="2"/>
      <c r="J9677" s="2" t="s">
        <v>13904</v>
      </c>
      <c r="K9677" s="2" t="s">
        <v>18543</v>
      </c>
      <c r="L9677" s="82"/>
    </row>
    <row r="9678" spans="1:12" ht="84" customHeight="1" x14ac:dyDescent="0.3">
      <c r="A9678" s="2">
        <v>9674</v>
      </c>
      <c r="B9678" s="2" t="s">
        <v>11708</v>
      </c>
      <c r="C9678" s="66">
        <v>17303</v>
      </c>
      <c r="D9678" s="20">
        <v>97346.08</v>
      </c>
      <c r="E9678" s="11">
        <v>97346.08</v>
      </c>
      <c r="F9678" s="3">
        <v>40500</v>
      </c>
      <c r="G9678" s="2" t="s">
        <v>11556</v>
      </c>
      <c r="H9678" s="2"/>
      <c r="I9678" s="2"/>
      <c r="J9678" s="2" t="s">
        <v>13904</v>
      </c>
      <c r="K9678" s="2" t="s">
        <v>18543</v>
      </c>
      <c r="L9678" s="82"/>
    </row>
    <row r="9679" spans="1:12" ht="84" customHeight="1" x14ac:dyDescent="0.3">
      <c r="A9679" s="2">
        <v>9675</v>
      </c>
      <c r="B9679" s="2" t="s">
        <v>11709</v>
      </c>
      <c r="C9679" s="66">
        <v>17309</v>
      </c>
      <c r="D9679" s="20">
        <v>53004.37</v>
      </c>
      <c r="E9679" s="11">
        <v>53004.37</v>
      </c>
      <c r="F9679" s="3">
        <v>40500</v>
      </c>
      <c r="G9679" s="2" t="s">
        <v>11556</v>
      </c>
      <c r="H9679" s="2"/>
      <c r="I9679" s="2"/>
      <c r="J9679" s="2" t="s">
        <v>13904</v>
      </c>
      <c r="K9679" s="2" t="s">
        <v>18543</v>
      </c>
      <c r="L9679" s="82"/>
    </row>
    <row r="9680" spans="1:12" ht="84" customHeight="1" x14ac:dyDescent="0.3">
      <c r="A9680" s="2">
        <v>9676</v>
      </c>
      <c r="B9680" s="2" t="s">
        <v>11710</v>
      </c>
      <c r="C9680" s="66">
        <v>17493</v>
      </c>
      <c r="D9680" s="20">
        <v>46396.43</v>
      </c>
      <c r="E9680" s="11">
        <v>46396.43</v>
      </c>
      <c r="F9680" s="3">
        <v>40500</v>
      </c>
      <c r="G9680" s="2" t="s">
        <v>11556</v>
      </c>
      <c r="H9680" s="2"/>
      <c r="I9680" s="2"/>
      <c r="J9680" s="2" t="s">
        <v>13904</v>
      </c>
      <c r="K9680" s="2" t="s">
        <v>18543</v>
      </c>
      <c r="L9680" s="82"/>
    </row>
    <row r="9681" spans="1:12" ht="84" customHeight="1" x14ac:dyDescent="0.3">
      <c r="A9681" s="2">
        <v>9677</v>
      </c>
      <c r="B9681" s="2" t="s">
        <v>11711</v>
      </c>
      <c r="C9681" s="66">
        <v>17604</v>
      </c>
      <c r="D9681" s="20">
        <v>52792.12</v>
      </c>
      <c r="E9681" s="11">
        <v>49649.919999999998</v>
      </c>
      <c r="F9681" s="3">
        <v>40500</v>
      </c>
      <c r="G9681" s="2" t="s">
        <v>11556</v>
      </c>
      <c r="H9681" s="2"/>
      <c r="I9681" s="2"/>
      <c r="J9681" s="2" t="s">
        <v>13904</v>
      </c>
      <c r="K9681" s="2" t="s">
        <v>18543</v>
      </c>
      <c r="L9681" s="82"/>
    </row>
    <row r="9682" spans="1:12" ht="84" customHeight="1" x14ac:dyDescent="0.3">
      <c r="A9682" s="2">
        <v>9678</v>
      </c>
      <c r="B9682" s="2" t="s">
        <v>11712</v>
      </c>
      <c r="C9682" s="66">
        <v>14078</v>
      </c>
      <c r="D9682" s="20">
        <v>0.01</v>
      </c>
      <c r="E9682" s="11">
        <v>0.01</v>
      </c>
      <c r="F9682" s="3">
        <v>40500</v>
      </c>
      <c r="G9682" s="2" t="s">
        <v>11556</v>
      </c>
      <c r="H9682" s="3">
        <v>42109</v>
      </c>
      <c r="I9682" s="2" t="s">
        <v>11796</v>
      </c>
      <c r="J9682" s="2" t="s">
        <v>13904</v>
      </c>
      <c r="K9682" s="2"/>
      <c r="L9682" s="82"/>
    </row>
    <row r="9683" spans="1:12" ht="84" customHeight="1" x14ac:dyDescent="0.3">
      <c r="A9683" s="2">
        <v>9679</v>
      </c>
      <c r="B9683" s="2" t="s">
        <v>11712</v>
      </c>
      <c r="C9683" s="66">
        <v>15132</v>
      </c>
      <c r="D9683" s="20">
        <v>9151.5499999999993</v>
      </c>
      <c r="E9683" s="11">
        <v>9151.5499999999993</v>
      </c>
      <c r="F9683" s="3">
        <v>40500</v>
      </c>
      <c r="G9683" s="2" t="s">
        <v>11556</v>
      </c>
      <c r="H9683" s="2" t="s">
        <v>19752</v>
      </c>
      <c r="I9683" s="2" t="s">
        <v>19753</v>
      </c>
      <c r="J9683" s="2" t="s">
        <v>13904</v>
      </c>
      <c r="K9683" s="2" t="s">
        <v>18543</v>
      </c>
      <c r="L9683" s="82"/>
    </row>
    <row r="9684" spans="1:12" ht="84" customHeight="1" x14ac:dyDescent="0.3">
      <c r="A9684" s="2">
        <v>9680</v>
      </c>
      <c r="B9684" s="2" t="s">
        <v>11713</v>
      </c>
      <c r="C9684" s="66">
        <v>14077</v>
      </c>
      <c r="D9684" s="20">
        <v>9263.83</v>
      </c>
      <c r="E9684" s="11">
        <v>4621.4799999999996</v>
      </c>
      <c r="F9684" s="3">
        <v>40500</v>
      </c>
      <c r="G9684" s="2" t="s">
        <v>11556</v>
      </c>
      <c r="H9684" s="3">
        <v>42109</v>
      </c>
      <c r="I9684" s="2" t="s">
        <v>11796</v>
      </c>
      <c r="J9684" s="2" t="s">
        <v>13904</v>
      </c>
      <c r="K9684" s="2"/>
      <c r="L9684" s="82"/>
    </row>
    <row r="9685" spans="1:12" ht="84" customHeight="1" x14ac:dyDescent="0.3">
      <c r="A9685" s="2">
        <v>9681</v>
      </c>
      <c r="B9685" s="2" t="s">
        <v>11714</v>
      </c>
      <c r="C9685" s="66">
        <v>17168</v>
      </c>
      <c r="D9685" s="20">
        <v>12000</v>
      </c>
      <c r="E9685" s="11">
        <v>9400</v>
      </c>
      <c r="F9685" s="3">
        <v>40500</v>
      </c>
      <c r="G9685" s="2" t="s">
        <v>11556</v>
      </c>
      <c r="H9685" s="3">
        <v>41961</v>
      </c>
      <c r="I9685" s="2" t="s">
        <v>16344</v>
      </c>
      <c r="J9685" s="2" t="s">
        <v>13904</v>
      </c>
      <c r="K9685" s="2"/>
      <c r="L9685" s="82"/>
    </row>
    <row r="9686" spans="1:12" ht="84" customHeight="1" x14ac:dyDescent="0.3">
      <c r="A9686" s="2">
        <v>9682</v>
      </c>
      <c r="B9686" s="2" t="s">
        <v>11715</v>
      </c>
      <c r="C9686" s="66">
        <v>17144</v>
      </c>
      <c r="D9686" s="20">
        <v>5940</v>
      </c>
      <c r="E9686" s="11">
        <v>4851</v>
      </c>
      <c r="F9686" s="3">
        <v>40500</v>
      </c>
      <c r="G9686" s="2" t="s">
        <v>11556</v>
      </c>
      <c r="H9686" s="3">
        <v>41961</v>
      </c>
      <c r="I9686" s="2" t="s">
        <v>16344</v>
      </c>
      <c r="J9686" s="2" t="s">
        <v>13904</v>
      </c>
      <c r="K9686" s="2"/>
      <c r="L9686" s="82"/>
    </row>
    <row r="9687" spans="1:12" ht="84" customHeight="1" x14ac:dyDescent="0.3">
      <c r="A9687" s="2">
        <v>9683</v>
      </c>
      <c r="B9687" s="2" t="s">
        <v>11716</v>
      </c>
      <c r="C9687" s="66">
        <v>15315</v>
      </c>
      <c r="D9687" s="20">
        <v>16333.44</v>
      </c>
      <c r="E9687" s="11">
        <v>16333.44</v>
      </c>
      <c r="F9687" s="3">
        <v>40500</v>
      </c>
      <c r="G9687" s="2" t="s">
        <v>11556</v>
      </c>
      <c r="H9687" s="3">
        <v>41961</v>
      </c>
      <c r="I9687" s="2" t="s">
        <v>16344</v>
      </c>
      <c r="J9687" s="2" t="s">
        <v>13904</v>
      </c>
      <c r="K9687" s="2"/>
      <c r="L9687" s="82"/>
    </row>
    <row r="9688" spans="1:12" ht="84" customHeight="1" x14ac:dyDescent="0.3">
      <c r="A9688" s="2">
        <v>9684</v>
      </c>
      <c r="B9688" s="2" t="s">
        <v>11717</v>
      </c>
      <c r="C9688" s="66">
        <v>17101</v>
      </c>
      <c r="D9688" s="20">
        <v>18644.07</v>
      </c>
      <c r="E9688" s="11">
        <v>18644.07</v>
      </c>
      <c r="F9688" s="3">
        <v>40500</v>
      </c>
      <c r="G9688" s="2" t="s">
        <v>11556</v>
      </c>
      <c r="H9688" s="2"/>
      <c r="I9688" s="2"/>
      <c r="J9688" s="2" t="s">
        <v>13904</v>
      </c>
      <c r="K9688" s="2" t="s">
        <v>18543</v>
      </c>
      <c r="L9688" s="82"/>
    </row>
    <row r="9689" spans="1:12" ht="84" customHeight="1" x14ac:dyDescent="0.3">
      <c r="A9689" s="2">
        <v>9685</v>
      </c>
      <c r="B9689" s="2" t="s">
        <v>11718</v>
      </c>
      <c r="C9689" s="66" t="s">
        <v>11719</v>
      </c>
      <c r="D9689" s="20">
        <f>25486.16*2+25486.17*4</f>
        <v>152917</v>
      </c>
      <c r="E9689" s="11">
        <f>22512.28*6</f>
        <v>135073.68</v>
      </c>
      <c r="F9689" s="3">
        <v>40500</v>
      </c>
      <c r="G9689" s="2" t="s">
        <v>11556</v>
      </c>
      <c r="H9689" s="2"/>
      <c r="I9689" s="2"/>
      <c r="J9689" s="2" t="s">
        <v>13904</v>
      </c>
      <c r="K9689" s="2" t="s">
        <v>18543</v>
      </c>
      <c r="L9689" s="82"/>
    </row>
    <row r="9690" spans="1:12" ht="84" customHeight="1" x14ac:dyDescent="0.3">
      <c r="A9690" s="2">
        <v>9686</v>
      </c>
      <c r="B9690" s="2" t="s">
        <v>11720</v>
      </c>
      <c r="C9690" s="66" t="s">
        <v>11721</v>
      </c>
      <c r="D9690" s="20">
        <f>114570.66+1145703.67*2</f>
        <v>2405978</v>
      </c>
      <c r="E9690" s="11">
        <f>101204.56*3</f>
        <v>303613.68</v>
      </c>
      <c r="F9690" s="3">
        <v>40500</v>
      </c>
      <c r="G9690" s="2" t="s">
        <v>11556</v>
      </c>
      <c r="H9690" s="2"/>
      <c r="I9690" s="2"/>
      <c r="J9690" s="2" t="s">
        <v>13904</v>
      </c>
      <c r="K9690" s="2" t="s">
        <v>18543</v>
      </c>
      <c r="L9690" s="82"/>
    </row>
    <row r="9691" spans="1:12" ht="84" customHeight="1" x14ac:dyDescent="0.3">
      <c r="A9691" s="2">
        <v>9687</v>
      </c>
      <c r="B9691" s="2" t="s">
        <v>11722</v>
      </c>
      <c r="C9691" s="66">
        <v>14047</v>
      </c>
      <c r="D9691" s="20">
        <v>1175.33</v>
      </c>
      <c r="E9691" s="11">
        <v>1175.33</v>
      </c>
      <c r="F9691" s="3">
        <v>40500</v>
      </c>
      <c r="G9691" s="2" t="s">
        <v>11556</v>
      </c>
      <c r="H9691" s="2" t="s">
        <v>19752</v>
      </c>
      <c r="I9691" s="2" t="s">
        <v>19754</v>
      </c>
      <c r="J9691" s="2" t="s">
        <v>13904</v>
      </c>
      <c r="K9691" s="2" t="s">
        <v>18543</v>
      </c>
      <c r="L9691" s="82"/>
    </row>
    <row r="9692" spans="1:12" ht="84" customHeight="1" x14ac:dyDescent="0.3">
      <c r="A9692" s="2">
        <v>9688</v>
      </c>
      <c r="B9692" s="2" t="s">
        <v>11723</v>
      </c>
      <c r="C9692" s="66">
        <v>17327</v>
      </c>
      <c r="D9692" s="20">
        <v>21535</v>
      </c>
      <c r="E9692" s="11">
        <v>11664.9</v>
      </c>
      <c r="F9692" s="3">
        <v>40500</v>
      </c>
      <c r="G9692" s="2" t="s">
        <v>11556</v>
      </c>
      <c r="H9692" s="3">
        <v>42109</v>
      </c>
      <c r="I9692" s="2" t="s">
        <v>11796</v>
      </c>
      <c r="J9692" s="2" t="s">
        <v>13904</v>
      </c>
      <c r="K9692" s="2"/>
      <c r="L9692" s="82"/>
    </row>
    <row r="9693" spans="1:12" ht="84" customHeight="1" x14ac:dyDescent="0.3">
      <c r="A9693" s="2">
        <v>9689</v>
      </c>
      <c r="B9693" s="2" t="s">
        <v>912</v>
      </c>
      <c r="C9693" s="66">
        <v>14097</v>
      </c>
      <c r="D9693" s="20">
        <v>2124.9699999999998</v>
      </c>
      <c r="E9693" s="11">
        <v>2124.9699999999998</v>
      </c>
      <c r="F9693" s="3">
        <v>40500</v>
      </c>
      <c r="G9693" s="2" t="s">
        <v>11556</v>
      </c>
      <c r="H9693" s="3">
        <v>42109</v>
      </c>
      <c r="I9693" s="2" t="s">
        <v>11796</v>
      </c>
      <c r="J9693" s="2" t="s">
        <v>13904</v>
      </c>
      <c r="K9693" s="2"/>
      <c r="L9693" s="82"/>
    </row>
    <row r="9694" spans="1:12" ht="84" customHeight="1" x14ac:dyDescent="0.3">
      <c r="A9694" s="2">
        <v>9690</v>
      </c>
      <c r="B9694" s="2" t="s">
        <v>11724</v>
      </c>
      <c r="C9694" s="66">
        <v>14092</v>
      </c>
      <c r="D9694" s="20">
        <v>0.01</v>
      </c>
      <c r="E9694" s="11">
        <v>0.01</v>
      </c>
      <c r="F9694" s="3">
        <v>40500</v>
      </c>
      <c r="G9694" s="2" t="s">
        <v>11556</v>
      </c>
      <c r="H9694" s="2"/>
      <c r="I9694" s="2"/>
      <c r="J9694" s="2" t="s">
        <v>13904</v>
      </c>
      <c r="K9694" s="2" t="s">
        <v>18543</v>
      </c>
      <c r="L9694" s="82"/>
    </row>
    <row r="9695" spans="1:12" ht="84" customHeight="1" x14ac:dyDescent="0.3">
      <c r="A9695" s="2">
        <v>9691</v>
      </c>
      <c r="B9695" s="2" t="s">
        <v>11725</v>
      </c>
      <c r="C9695" s="66">
        <v>17276</v>
      </c>
      <c r="D9695" s="20">
        <v>41040</v>
      </c>
      <c r="E9695" s="11">
        <v>5472</v>
      </c>
      <c r="F9695" s="3">
        <v>40500</v>
      </c>
      <c r="G9695" s="2" t="s">
        <v>11556</v>
      </c>
      <c r="H9695" s="3">
        <v>42109</v>
      </c>
      <c r="I9695" s="2" t="s">
        <v>11796</v>
      </c>
      <c r="J9695" s="2" t="s">
        <v>13904</v>
      </c>
      <c r="K9695" s="2"/>
      <c r="L9695" s="82"/>
    </row>
    <row r="9696" spans="1:12" ht="84" customHeight="1" x14ac:dyDescent="0.3">
      <c r="A9696" s="2">
        <v>9692</v>
      </c>
      <c r="B9696" s="2" t="s">
        <v>14238</v>
      </c>
      <c r="C9696" s="66">
        <v>17162</v>
      </c>
      <c r="D9696" s="20">
        <v>16000</v>
      </c>
      <c r="E9696" s="11">
        <v>6199.65</v>
      </c>
      <c r="F9696" s="3">
        <v>40500</v>
      </c>
      <c r="G9696" s="2" t="s">
        <v>11556</v>
      </c>
      <c r="H9696" s="2"/>
      <c r="I9696" s="2"/>
      <c r="J9696" s="2" t="s">
        <v>13904</v>
      </c>
      <c r="K9696" s="2" t="s">
        <v>18543</v>
      </c>
      <c r="L9696" s="82"/>
    </row>
    <row r="9697" spans="1:12" ht="84" customHeight="1" x14ac:dyDescent="0.3">
      <c r="A9697" s="2">
        <v>9693</v>
      </c>
      <c r="B9697" s="2" t="s">
        <v>11726</v>
      </c>
      <c r="C9697" s="66">
        <v>17320</v>
      </c>
      <c r="D9697" s="20">
        <v>68982.399999999994</v>
      </c>
      <c r="E9697" s="11">
        <v>40239.43</v>
      </c>
      <c r="F9697" s="3">
        <v>40500</v>
      </c>
      <c r="G9697" s="2" t="s">
        <v>11556</v>
      </c>
      <c r="H9697" s="2"/>
      <c r="I9697" s="2"/>
      <c r="J9697" s="2" t="s">
        <v>13904</v>
      </c>
      <c r="K9697" s="2" t="s">
        <v>18543</v>
      </c>
      <c r="L9697" s="82"/>
    </row>
    <row r="9698" spans="1:12" ht="84" customHeight="1" x14ac:dyDescent="0.3">
      <c r="A9698" s="2">
        <v>9694</v>
      </c>
      <c r="B9698" s="2" t="s">
        <v>11726</v>
      </c>
      <c r="C9698" s="66">
        <v>17318</v>
      </c>
      <c r="D9698" s="20">
        <v>307286.59999999998</v>
      </c>
      <c r="E9698" s="11">
        <v>233025.52</v>
      </c>
      <c r="F9698" s="3">
        <v>40500</v>
      </c>
      <c r="G9698" s="2" t="s">
        <v>11556</v>
      </c>
      <c r="H9698" s="2"/>
      <c r="I9698" s="2"/>
      <c r="J9698" s="2" t="s">
        <v>13904</v>
      </c>
      <c r="K9698" s="2" t="s">
        <v>18543</v>
      </c>
      <c r="L9698" s="82"/>
    </row>
    <row r="9699" spans="1:12" ht="84" customHeight="1" x14ac:dyDescent="0.3">
      <c r="A9699" s="2">
        <v>9695</v>
      </c>
      <c r="B9699" s="2" t="s">
        <v>11727</v>
      </c>
      <c r="C9699" s="66">
        <v>17137</v>
      </c>
      <c r="D9699" s="20">
        <v>360000</v>
      </c>
      <c r="E9699" s="11">
        <v>136800</v>
      </c>
      <c r="F9699" s="3">
        <v>40500</v>
      </c>
      <c r="G9699" s="2" t="s">
        <v>11556</v>
      </c>
      <c r="H9699" s="2"/>
      <c r="I9699" s="2"/>
      <c r="J9699" s="2" t="s">
        <v>13904</v>
      </c>
      <c r="K9699" s="2" t="s">
        <v>18543</v>
      </c>
      <c r="L9699" s="82"/>
    </row>
    <row r="9700" spans="1:12" ht="84" customHeight="1" x14ac:dyDescent="0.3">
      <c r="A9700" s="2">
        <v>9696</v>
      </c>
      <c r="B9700" s="2" t="s">
        <v>11728</v>
      </c>
      <c r="C9700" s="66">
        <v>17192</v>
      </c>
      <c r="D9700" s="20">
        <v>50952</v>
      </c>
      <c r="E9700" s="11">
        <v>45007.06</v>
      </c>
      <c r="F9700" s="3">
        <v>40500</v>
      </c>
      <c r="G9700" s="2" t="s">
        <v>11556</v>
      </c>
      <c r="H9700" s="2"/>
      <c r="I9700" s="2"/>
      <c r="J9700" s="2" t="s">
        <v>13904</v>
      </c>
      <c r="K9700" s="2" t="s">
        <v>18543</v>
      </c>
      <c r="L9700" s="82"/>
    </row>
    <row r="9701" spans="1:12" ht="84" customHeight="1" x14ac:dyDescent="0.3">
      <c r="A9701" s="2">
        <v>9697</v>
      </c>
      <c r="B9701" s="2" t="s">
        <v>11729</v>
      </c>
      <c r="C9701" s="66">
        <v>17317</v>
      </c>
      <c r="D9701" s="20">
        <v>28851</v>
      </c>
      <c r="E9701" s="11">
        <v>10819.17</v>
      </c>
      <c r="F9701" s="3">
        <v>40500</v>
      </c>
      <c r="G9701" s="2" t="s">
        <v>11556</v>
      </c>
      <c r="H9701" s="3">
        <v>42109</v>
      </c>
      <c r="I9701" s="2" t="s">
        <v>11796</v>
      </c>
      <c r="J9701" s="2" t="s">
        <v>13904</v>
      </c>
      <c r="K9701" s="2"/>
      <c r="L9701" s="82"/>
    </row>
    <row r="9702" spans="1:12" ht="84" customHeight="1" x14ac:dyDescent="0.3">
      <c r="A9702" s="2">
        <v>9698</v>
      </c>
      <c r="B9702" s="2" t="s">
        <v>11730</v>
      </c>
      <c r="C9702" s="66">
        <v>14056</v>
      </c>
      <c r="D9702" s="20">
        <v>0.01</v>
      </c>
      <c r="E9702" s="11">
        <v>0.01</v>
      </c>
      <c r="F9702" s="3">
        <v>40500</v>
      </c>
      <c r="G9702" s="2" t="s">
        <v>11556</v>
      </c>
      <c r="H9702" s="2" t="s">
        <v>19752</v>
      </c>
      <c r="I9702" s="2" t="s">
        <v>19754</v>
      </c>
      <c r="J9702" s="2" t="s">
        <v>13904</v>
      </c>
      <c r="K9702" s="2" t="s">
        <v>18543</v>
      </c>
      <c r="L9702" s="82"/>
    </row>
    <row r="9703" spans="1:12" ht="84" customHeight="1" x14ac:dyDescent="0.3">
      <c r="A9703" s="2">
        <v>9699</v>
      </c>
      <c r="B9703" s="2" t="s">
        <v>11731</v>
      </c>
      <c r="C9703" s="66">
        <v>14096</v>
      </c>
      <c r="D9703" s="20">
        <v>56736.68</v>
      </c>
      <c r="E9703" s="11">
        <v>56736.68</v>
      </c>
      <c r="F9703" s="3">
        <v>40500</v>
      </c>
      <c r="G9703" s="2" t="s">
        <v>11556</v>
      </c>
      <c r="H9703" s="2"/>
      <c r="I9703" s="2"/>
      <c r="J9703" s="2" t="s">
        <v>13904</v>
      </c>
      <c r="K9703" s="2" t="s">
        <v>18543</v>
      </c>
      <c r="L9703" s="82"/>
    </row>
    <row r="9704" spans="1:12" ht="84" customHeight="1" x14ac:dyDescent="0.3">
      <c r="A9704" s="2">
        <v>9700</v>
      </c>
      <c r="B9704" s="2" t="s">
        <v>11732</v>
      </c>
      <c r="C9704" s="66">
        <v>15006</v>
      </c>
      <c r="D9704" s="20">
        <v>1673.32</v>
      </c>
      <c r="E9704" s="11">
        <v>1673.32</v>
      </c>
      <c r="F9704" s="3">
        <v>40500</v>
      </c>
      <c r="G9704" s="2" t="s">
        <v>11556</v>
      </c>
      <c r="H9704" s="2"/>
      <c r="I9704" s="2"/>
      <c r="J9704" s="2" t="s">
        <v>13904</v>
      </c>
      <c r="K9704" s="2" t="s">
        <v>18543</v>
      </c>
      <c r="L9704" s="82"/>
    </row>
    <row r="9705" spans="1:12" ht="84" customHeight="1" x14ac:dyDescent="0.3">
      <c r="A9705" s="2">
        <v>9701</v>
      </c>
      <c r="B9705" s="2" t="s">
        <v>11733</v>
      </c>
      <c r="C9705" s="66">
        <v>17315</v>
      </c>
      <c r="D9705" s="20">
        <v>20000</v>
      </c>
      <c r="E9705" s="11">
        <v>13939.84</v>
      </c>
      <c r="F9705" s="3">
        <v>40500</v>
      </c>
      <c r="G9705" s="2" t="s">
        <v>11556</v>
      </c>
      <c r="H9705" s="2"/>
      <c r="I9705" s="2"/>
      <c r="J9705" s="2" t="s">
        <v>13904</v>
      </c>
      <c r="K9705" s="2" t="s">
        <v>18543</v>
      </c>
      <c r="L9705" s="82"/>
    </row>
    <row r="9706" spans="1:12" ht="84" customHeight="1" x14ac:dyDescent="0.3">
      <c r="A9706" s="2">
        <v>9702</v>
      </c>
      <c r="B9706" s="2" t="s">
        <v>11734</v>
      </c>
      <c r="C9706" s="66">
        <v>14091</v>
      </c>
      <c r="D9706" s="20">
        <v>4552.24</v>
      </c>
      <c r="E9706" s="11">
        <v>4552.24</v>
      </c>
      <c r="F9706" s="3">
        <v>40500</v>
      </c>
      <c r="G9706" s="2" t="s">
        <v>11556</v>
      </c>
      <c r="H9706" s="2"/>
      <c r="I9706" s="2"/>
      <c r="J9706" s="2" t="s">
        <v>13904</v>
      </c>
      <c r="K9706" s="2" t="s">
        <v>18543</v>
      </c>
      <c r="L9706" s="82"/>
    </row>
    <row r="9707" spans="1:12" ht="84" customHeight="1" x14ac:dyDescent="0.3">
      <c r="A9707" s="2">
        <v>9703</v>
      </c>
      <c r="B9707" s="2" t="s">
        <v>4802</v>
      </c>
      <c r="C9707" s="66">
        <v>14014</v>
      </c>
      <c r="D9707" s="20">
        <v>0.01</v>
      </c>
      <c r="E9707" s="11">
        <v>0.01</v>
      </c>
      <c r="F9707" s="3">
        <v>40500</v>
      </c>
      <c r="G9707" s="2" t="s">
        <v>11556</v>
      </c>
      <c r="H9707" s="2" t="s">
        <v>19752</v>
      </c>
      <c r="I9707" s="2" t="s">
        <v>19754</v>
      </c>
      <c r="J9707" s="2" t="s">
        <v>13904</v>
      </c>
      <c r="K9707" s="2" t="s">
        <v>18543</v>
      </c>
      <c r="L9707" s="82"/>
    </row>
    <row r="9708" spans="1:12" ht="84" customHeight="1" x14ac:dyDescent="0.3">
      <c r="A9708" s="2">
        <v>9704</v>
      </c>
      <c r="B9708" s="2" t="s">
        <v>11735</v>
      </c>
      <c r="C9708" s="66">
        <v>14093</v>
      </c>
      <c r="D9708" s="20">
        <v>496.59</v>
      </c>
      <c r="E9708" s="11">
        <v>496.59</v>
      </c>
      <c r="F9708" s="3">
        <v>40500</v>
      </c>
      <c r="G9708" s="2" t="s">
        <v>11556</v>
      </c>
      <c r="H9708" s="2"/>
      <c r="I9708" s="2"/>
      <c r="J9708" s="2" t="s">
        <v>13904</v>
      </c>
      <c r="K9708" s="2" t="s">
        <v>18543</v>
      </c>
      <c r="L9708" s="82"/>
    </row>
    <row r="9709" spans="1:12" ht="84" customHeight="1" x14ac:dyDescent="0.3">
      <c r="A9709" s="2">
        <v>9705</v>
      </c>
      <c r="B9709" s="66" t="s">
        <v>14196</v>
      </c>
      <c r="C9709" s="66">
        <v>17414</v>
      </c>
      <c r="D9709" s="20">
        <v>44380</v>
      </c>
      <c r="E9709" s="11">
        <v>39294.65</v>
      </c>
      <c r="F9709" s="3">
        <v>40500</v>
      </c>
      <c r="G9709" s="2" t="s">
        <v>11556</v>
      </c>
      <c r="H9709" s="2"/>
      <c r="I9709" s="2"/>
      <c r="J9709" s="2" t="s">
        <v>13904</v>
      </c>
      <c r="K9709" s="2" t="s">
        <v>18543</v>
      </c>
      <c r="L9709" s="82"/>
    </row>
    <row r="9710" spans="1:12" ht="84" customHeight="1" x14ac:dyDescent="0.3">
      <c r="A9710" s="2">
        <v>9706</v>
      </c>
      <c r="B9710" s="2" t="s">
        <v>11736</v>
      </c>
      <c r="C9710" s="66" t="s">
        <v>11737</v>
      </c>
      <c r="D9710" s="11">
        <f>32444.5*4</f>
        <v>129778</v>
      </c>
      <c r="E9710" s="11">
        <f>28726.6*4</f>
        <v>114906.4</v>
      </c>
      <c r="F9710" s="3">
        <v>40500</v>
      </c>
      <c r="G9710" s="2" t="s">
        <v>11556</v>
      </c>
      <c r="H9710" s="2"/>
      <c r="I9710" s="2"/>
      <c r="J9710" s="2" t="s">
        <v>13904</v>
      </c>
      <c r="K9710" s="2" t="s">
        <v>18543</v>
      </c>
      <c r="L9710" s="82"/>
    </row>
    <row r="9711" spans="1:12" ht="84" customHeight="1" x14ac:dyDescent="0.3">
      <c r="A9711" s="2">
        <v>9707</v>
      </c>
      <c r="B9711" s="2" t="s">
        <v>11738</v>
      </c>
      <c r="C9711" s="66" t="s">
        <v>11739</v>
      </c>
      <c r="D9711" s="20">
        <f>36642.67*3</f>
        <v>109928.01</v>
      </c>
      <c r="E9711" s="11">
        <f>32368.16*3</f>
        <v>97104.48</v>
      </c>
      <c r="F9711" s="3">
        <v>40500</v>
      </c>
      <c r="G9711" s="2" t="s">
        <v>11556</v>
      </c>
      <c r="H9711" s="2"/>
      <c r="I9711" s="2"/>
      <c r="J9711" s="2" t="s">
        <v>13904</v>
      </c>
      <c r="K9711" s="2" t="s">
        <v>18543</v>
      </c>
      <c r="L9711" s="82"/>
    </row>
    <row r="9712" spans="1:12" ht="84" customHeight="1" x14ac:dyDescent="0.3">
      <c r="A9712" s="2">
        <v>9708</v>
      </c>
      <c r="B9712" s="2" t="s">
        <v>2115</v>
      </c>
      <c r="C9712" s="66">
        <v>14053</v>
      </c>
      <c r="D9712" s="20">
        <v>1186.3699999999999</v>
      </c>
      <c r="E9712" s="11">
        <v>1186.3699999999999</v>
      </c>
      <c r="F9712" s="3">
        <v>40500</v>
      </c>
      <c r="G9712" s="2" t="s">
        <v>11556</v>
      </c>
      <c r="H9712" s="2" t="s">
        <v>19752</v>
      </c>
      <c r="I9712" s="2" t="s">
        <v>19754</v>
      </c>
      <c r="J9712" s="2" t="s">
        <v>13904</v>
      </c>
      <c r="K9712" s="2" t="s">
        <v>18543</v>
      </c>
      <c r="L9712" s="82"/>
    </row>
    <row r="9713" spans="1:12" ht="84" customHeight="1" x14ac:dyDescent="0.3">
      <c r="A9713" s="2">
        <v>9709</v>
      </c>
      <c r="B9713" s="2" t="s">
        <v>11740</v>
      </c>
      <c r="C9713" s="66">
        <v>17157</v>
      </c>
      <c r="D9713" s="20">
        <v>29237.29</v>
      </c>
      <c r="E9713" s="11">
        <v>29237.29</v>
      </c>
      <c r="F9713" s="3">
        <v>40500</v>
      </c>
      <c r="G9713" s="2" t="s">
        <v>11556</v>
      </c>
      <c r="H9713" s="2"/>
      <c r="I9713" s="2"/>
      <c r="J9713" s="2" t="s">
        <v>13904</v>
      </c>
      <c r="K9713" s="2" t="s">
        <v>18543</v>
      </c>
      <c r="L9713" s="82"/>
    </row>
    <row r="9714" spans="1:12" ht="84" customHeight="1" x14ac:dyDescent="0.3">
      <c r="A9714" s="2">
        <v>9710</v>
      </c>
      <c r="B9714" s="2" t="s">
        <v>11741</v>
      </c>
      <c r="C9714" s="66">
        <v>17602</v>
      </c>
      <c r="D9714" s="20">
        <v>41949.15</v>
      </c>
      <c r="E9714" s="11">
        <v>41949.15</v>
      </c>
      <c r="F9714" s="3">
        <v>40500</v>
      </c>
      <c r="G9714" s="2" t="s">
        <v>11556</v>
      </c>
      <c r="H9714" s="2"/>
      <c r="I9714" s="2"/>
      <c r="J9714" s="2" t="s">
        <v>13904</v>
      </c>
      <c r="K9714" s="2" t="s">
        <v>18543</v>
      </c>
      <c r="L9714" s="82"/>
    </row>
    <row r="9715" spans="1:12" ht="84" customHeight="1" x14ac:dyDescent="0.3">
      <c r="A9715" s="2">
        <v>9711</v>
      </c>
      <c r="B9715" s="2" t="s">
        <v>11742</v>
      </c>
      <c r="C9715" s="66">
        <v>17343</v>
      </c>
      <c r="D9715" s="20">
        <v>444666.12</v>
      </c>
      <c r="E9715" s="11">
        <v>393714.9</v>
      </c>
      <c r="F9715" s="3">
        <v>40500</v>
      </c>
      <c r="G9715" s="2" t="s">
        <v>11556</v>
      </c>
      <c r="H9715" s="2"/>
      <c r="I9715" s="2"/>
      <c r="J9715" s="2" t="s">
        <v>13904</v>
      </c>
      <c r="K9715" s="2" t="s">
        <v>18543</v>
      </c>
      <c r="L9715" s="82"/>
    </row>
    <row r="9716" spans="1:12" ht="84" customHeight="1" x14ac:dyDescent="0.3">
      <c r="A9716" s="2">
        <v>9712</v>
      </c>
      <c r="B9716" s="2" t="s">
        <v>11743</v>
      </c>
      <c r="C9716" s="66">
        <v>17346</v>
      </c>
      <c r="D9716" s="20">
        <v>454911.12</v>
      </c>
      <c r="E9716" s="11">
        <v>402786.1</v>
      </c>
      <c r="F9716" s="3">
        <v>40500</v>
      </c>
      <c r="G9716" s="2" t="s">
        <v>11556</v>
      </c>
      <c r="H9716" s="2"/>
      <c r="I9716" s="2"/>
      <c r="J9716" s="2" t="s">
        <v>13904</v>
      </c>
      <c r="K9716" s="2" t="s">
        <v>18543</v>
      </c>
      <c r="L9716" s="82"/>
    </row>
    <row r="9717" spans="1:12" ht="84" customHeight="1" x14ac:dyDescent="0.3">
      <c r="A9717" s="2">
        <v>9713</v>
      </c>
      <c r="B9717" s="2" t="s">
        <v>11744</v>
      </c>
      <c r="C9717" s="66">
        <v>17344</v>
      </c>
      <c r="D9717" s="20">
        <v>444666.12</v>
      </c>
      <c r="E9717" s="11">
        <v>393714.9</v>
      </c>
      <c r="F9717" s="3">
        <v>40500</v>
      </c>
      <c r="G9717" s="2" t="s">
        <v>11556</v>
      </c>
      <c r="H9717" s="2"/>
      <c r="I9717" s="2"/>
      <c r="J9717" s="2" t="s">
        <v>13904</v>
      </c>
      <c r="K9717" s="2" t="s">
        <v>18543</v>
      </c>
      <c r="L9717" s="82"/>
    </row>
    <row r="9718" spans="1:12" ht="84" customHeight="1" x14ac:dyDescent="0.3">
      <c r="A9718" s="2">
        <v>9714</v>
      </c>
      <c r="B9718" s="2" t="s">
        <v>11745</v>
      </c>
      <c r="C9718" s="66">
        <v>17345</v>
      </c>
      <c r="D9718" s="20">
        <v>454911.12</v>
      </c>
      <c r="E9718" s="11">
        <v>402786.1</v>
      </c>
      <c r="F9718" s="3">
        <v>40500</v>
      </c>
      <c r="G9718" s="2" t="s">
        <v>11556</v>
      </c>
      <c r="H9718" s="2"/>
      <c r="I9718" s="2"/>
      <c r="J9718" s="2" t="s">
        <v>13904</v>
      </c>
      <c r="K9718" s="2" t="s">
        <v>18543</v>
      </c>
      <c r="L9718" s="82"/>
    </row>
    <row r="9719" spans="1:12" ht="84" customHeight="1" x14ac:dyDescent="0.3">
      <c r="A9719" s="2">
        <v>9715</v>
      </c>
      <c r="B9719" s="2" t="s">
        <v>11746</v>
      </c>
      <c r="C9719" s="66">
        <v>13044</v>
      </c>
      <c r="D9719" s="20">
        <v>148811.88</v>
      </c>
      <c r="E9719" s="11">
        <v>148811.88</v>
      </c>
      <c r="F9719" s="3">
        <v>40500</v>
      </c>
      <c r="G9719" s="2" t="s">
        <v>11556</v>
      </c>
      <c r="H9719" s="3">
        <v>42109</v>
      </c>
      <c r="I9719" s="2" t="s">
        <v>11796</v>
      </c>
      <c r="J9719" s="2" t="s">
        <v>13904</v>
      </c>
      <c r="K9719" s="2"/>
      <c r="L9719" s="82"/>
    </row>
    <row r="9720" spans="1:12" ht="84" customHeight="1" x14ac:dyDescent="0.3">
      <c r="A9720" s="2">
        <v>9716</v>
      </c>
      <c r="B9720" s="2" t="s">
        <v>11747</v>
      </c>
      <c r="C9720" s="66">
        <v>17360</v>
      </c>
      <c r="D9720" s="20">
        <v>2516235.37</v>
      </c>
      <c r="E9720" s="11">
        <v>2246638.5</v>
      </c>
      <c r="F9720" s="3">
        <v>40500</v>
      </c>
      <c r="G9720" s="2" t="s">
        <v>11556</v>
      </c>
      <c r="H9720" s="2"/>
      <c r="I9720" s="2"/>
      <c r="J9720" s="2" t="s">
        <v>13904</v>
      </c>
      <c r="K9720" s="2" t="s">
        <v>18543</v>
      </c>
      <c r="L9720" s="82"/>
    </row>
    <row r="9721" spans="1:12" ht="84" customHeight="1" x14ac:dyDescent="0.3">
      <c r="A9721" s="2">
        <v>9717</v>
      </c>
      <c r="B9721" s="2" t="s">
        <v>11748</v>
      </c>
      <c r="C9721" s="66">
        <v>17261</v>
      </c>
      <c r="D9721" s="20">
        <v>734417</v>
      </c>
      <c r="E9721" s="11">
        <v>648734.84</v>
      </c>
      <c r="F9721" s="3">
        <v>40500</v>
      </c>
      <c r="G9721" s="2" t="s">
        <v>11556</v>
      </c>
      <c r="H9721" s="2"/>
      <c r="I9721" s="2"/>
      <c r="J9721" s="2" t="s">
        <v>13904</v>
      </c>
      <c r="K9721" s="2" t="s">
        <v>18543</v>
      </c>
      <c r="L9721" s="82"/>
    </row>
    <row r="9722" spans="1:12" ht="84" customHeight="1" x14ac:dyDescent="0.3">
      <c r="A9722" s="2">
        <v>9718</v>
      </c>
      <c r="B9722" s="2" t="s">
        <v>11749</v>
      </c>
      <c r="C9722" s="66">
        <v>13028</v>
      </c>
      <c r="D9722" s="20">
        <v>21464.34</v>
      </c>
      <c r="E9722" s="11">
        <v>21464.34</v>
      </c>
      <c r="F9722" s="3">
        <v>40500</v>
      </c>
      <c r="G9722" s="2" t="s">
        <v>11556</v>
      </c>
      <c r="H9722" s="2"/>
      <c r="I9722" s="2"/>
      <c r="J9722" s="2" t="s">
        <v>13904</v>
      </c>
      <c r="K9722" s="2" t="s">
        <v>18543</v>
      </c>
      <c r="L9722" s="82"/>
    </row>
    <row r="9723" spans="1:12" ht="84" customHeight="1" x14ac:dyDescent="0.3">
      <c r="A9723" s="2">
        <v>9719</v>
      </c>
      <c r="B9723" s="2" t="s">
        <v>11749</v>
      </c>
      <c r="C9723" s="66">
        <v>17461</v>
      </c>
      <c r="D9723" s="20">
        <v>0.01</v>
      </c>
      <c r="E9723" s="11">
        <v>0</v>
      </c>
      <c r="F9723" s="3">
        <v>40500</v>
      </c>
      <c r="G9723" s="2" t="s">
        <v>11556</v>
      </c>
      <c r="H9723" s="2"/>
      <c r="I9723" s="2"/>
      <c r="J9723" s="2" t="s">
        <v>13904</v>
      </c>
      <c r="K9723" s="2" t="s">
        <v>18543</v>
      </c>
      <c r="L9723" s="82"/>
    </row>
    <row r="9724" spans="1:12" ht="84" customHeight="1" x14ac:dyDescent="0.3">
      <c r="A9724" s="2">
        <v>9720</v>
      </c>
      <c r="B9724" s="2" t="s">
        <v>11750</v>
      </c>
      <c r="C9724" s="66">
        <v>17243</v>
      </c>
      <c r="D9724" s="20">
        <v>136073</v>
      </c>
      <c r="E9724" s="11">
        <v>120197.64</v>
      </c>
      <c r="F9724" s="3">
        <v>40500</v>
      </c>
      <c r="G9724" s="2" t="s">
        <v>11556</v>
      </c>
      <c r="H9724" s="2"/>
      <c r="I9724" s="2"/>
      <c r="J9724" s="2" t="s">
        <v>13904</v>
      </c>
      <c r="K9724" s="2" t="s">
        <v>18543</v>
      </c>
      <c r="L9724" s="82"/>
    </row>
    <row r="9725" spans="1:12" ht="84" customHeight="1" x14ac:dyDescent="0.3">
      <c r="A9725" s="2">
        <v>9721</v>
      </c>
      <c r="B9725" s="2" t="s">
        <v>11751</v>
      </c>
      <c r="C9725" s="66" t="s">
        <v>11752</v>
      </c>
      <c r="D9725" s="20">
        <v>52809</v>
      </c>
      <c r="E9725" s="11">
        <v>38873.379999999997</v>
      </c>
      <c r="F9725" s="3">
        <v>40500</v>
      </c>
      <c r="G9725" s="2" t="s">
        <v>11556</v>
      </c>
      <c r="H9725" s="2"/>
      <c r="I9725" s="2"/>
      <c r="J9725" s="2" t="s">
        <v>13904</v>
      </c>
      <c r="K9725" s="2" t="s">
        <v>18543</v>
      </c>
      <c r="L9725" s="82"/>
    </row>
    <row r="9726" spans="1:12" ht="84" customHeight="1" x14ac:dyDescent="0.3">
      <c r="A9726" s="2">
        <v>9722</v>
      </c>
      <c r="B9726" s="2" t="s">
        <v>11753</v>
      </c>
      <c r="C9726" s="66">
        <v>17308</v>
      </c>
      <c r="D9726" s="20">
        <v>110979</v>
      </c>
      <c r="E9726" s="11">
        <v>87858.85</v>
      </c>
      <c r="F9726" s="3">
        <v>40500</v>
      </c>
      <c r="G9726" s="2" t="s">
        <v>11556</v>
      </c>
      <c r="H9726" s="2"/>
      <c r="I9726" s="2"/>
      <c r="J9726" s="2" t="s">
        <v>13904</v>
      </c>
      <c r="K9726" s="2" t="s">
        <v>18543</v>
      </c>
      <c r="L9726" s="82"/>
    </row>
    <row r="9727" spans="1:12" ht="84" customHeight="1" x14ac:dyDescent="0.3">
      <c r="A9727" s="2">
        <v>9723</v>
      </c>
      <c r="B9727" s="2" t="s">
        <v>11754</v>
      </c>
      <c r="C9727" s="66">
        <v>17353</v>
      </c>
      <c r="D9727" s="20">
        <v>418072.29</v>
      </c>
      <c r="E9727" s="11">
        <v>418072.29</v>
      </c>
      <c r="F9727" s="3">
        <v>40500</v>
      </c>
      <c r="G9727" s="2" t="s">
        <v>11556</v>
      </c>
      <c r="H9727" s="2"/>
      <c r="I9727" s="2"/>
      <c r="J9727" s="2" t="s">
        <v>13904</v>
      </c>
      <c r="K9727" s="2" t="s">
        <v>18543</v>
      </c>
      <c r="L9727" s="82"/>
    </row>
    <row r="9728" spans="1:12" ht="84" customHeight="1" x14ac:dyDescent="0.3">
      <c r="A9728" s="2">
        <v>9724</v>
      </c>
      <c r="B9728" s="2" t="s">
        <v>219</v>
      </c>
      <c r="C9728" s="66">
        <v>17126</v>
      </c>
      <c r="D9728" s="20">
        <v>7500</v>
      </c>
      <c r="E9728" s="11">
        <v>6500</v>
      </c>
      <c r="F9728" s="3">
        <v>40500</v>
      </c>
      <c r="G9728" s="2" t="s">
        <v>11556</v>
      </c>
      <c r="H9728" s="3">
        <v>41961</v>
      </c>
      <c r="I9728" s="2" t="s">
        <v>16344</v>
      </c>
      <c r="J9728" s="2" t="s">
        <v>13904</v>
      </c>
      <c r="K9728" s="2"/>
      <c r="L9728" s="82"/>
    </row>
    <row r="9729" spans="1:12" ht="84" customHeight="1" x14ac:dyDescent="0.3">
      <c r="A9729" s="2">
        <v>9725</v>
      </c>
      <c r="B9729" s="2" t="s">
        <v>11755</v>
      </c>
      <c r="C9729" s="66">
        <v>17446</v>
      </c>
      <c r="D9729" s="20">
        <v>0.01</v>
      </c>
      <c r="E9729" s="11">
        <v>0</v>
      </c>
      <c r="F9729" s="3">
        <v>40500</v>
      </c>
      <c r="G9729" s="2" t="s">
        <v>11556</v>
      </c>
      <c r="H9729" s="3">
        <v>42109</v>
      </c>
      <c r="I9729" s="2" t="s">
        <v>11796</v>
      </c>
      <c r="J9729" s="2" t="s">
        <v>13904</v>
      </c>
      <c r="K9729" s="2"/>
      <c r="L9729" s="82"/>
    </row>
    <row r="9730" spans="1:12" ht="84" customHeight="1" x14ac:dyDescent="0.3">
      <c r="A9730" s="2">
        <v>9726</v>
      </c>
      <c r="B9730" s="2" t="s">
        <v>11756</v>
      </c>
      <c r="C9730" s="66">
        <v>17354</v>
      </c>
      <c r="D9730" s="20">
        <v>213419.49</v>
      </c>
      <c r="E9730" s="11">
        <v>213419.49</v>
      </c>
      <c r="F9730" s="3">
        <v>40500</v>
      </c>
      <c r="G9730" s="2" t="s">
        <v>11556</v>
      </c>
      <c r="H9730" s="2"/>
      <c r="I9730" s="2"/>
      <c r="J9730" s="2" t="s">
        <v>13904</v>
      </c>
      <c r="K9730" s="2" t="s">
        <v>18543</v>
      </c>
      <c r="L9730" s="82"/>
    </row>
    <row r="9731" spans="1:12" ht="84" customHeight="1" x14ac:dyDescent="0.3">
      <c r="A9731" s="2">
        <v>9727</v>
      </c>
      <c r="B9731" s="2" t="s">
        <v>11757</v>
      </c>
      <c r="C9731" s="66">
        <v>14052</v>
      </c>
      <c r="D9731" s="20">
        <v>18632.650000000001</v>
      </c>
      <c r="E9731" s="11">
        <v>14835.39</v>
      </c>
      <c r="F9731" s="3">
        <v>40500</v>
      </c>
      <c r="G9731" s="2" t="s">
        <v>11556</v>
      </c>
      <c r="H9731" s="3">
        <v>42109</v>
      </c>
      <c r="I9731" s="2" t="s">
        <v>11796</v>
      </c>
      <c r="J9731" s="2" t="s">
        <v>13904</v>
      </c>
      <c r="K9731" s="2"/>
      <c r="L9731" s="82"/>
    </row>
    <row r="9732" spans="1:12" ht="84" customHeight="1" x14ac:dyDescent="0.3">
      <c r="A9732" s="2">
        <v>9728</v>
      </c>
      <c r="B9732" s="2" t="s">
        <v>11758</v>
      </c>
      <c r="C9732" s="66">
        <v>14046</v>
      </c>
      <c r="D9732" s="20">
        <v>1448.53</v>
      </c>
      <c r="E9732" s="11">
        <v>1153.47</v>
      </c>
      <c r="F9732" s="3">
        <v>40500</v>
      </c>
      <c r="G9732" s="2" t="s">
        <v>11556</v>
      </c>
      <c r="H9732" s="3">
        <v>42109</v>
      </c>
      <c r="I9732" s="2" t="s">
        <v>11796</v>
      </c>
      <c r="J9732" s="2" t="s">
        <v>13904</v>
      </c>
      <c r="K9732" s="2"/>
      <c r="L9732" s="82"/>
    </row>
    <row r="9733" spans="1:12" ht="84" customHeight="1" x14ac:dyDescent="0.3">
      <c r="A9733" s="2">
        <v>9729</v>
      </c>
      <c r="B9733" s="2" t="s">
        <v>11759</v>
      </c>
      <c r="C9733" s="66">
        <v>17238</v>
      </c>
      <c r="D9733" s="20">
        <v>43886</v>
      </c>
      <c r="E9733" s="11">
        <v>38766.32</v>
      </c>
      <c r="F9733" s="3">
        <v>40500</v>
      </c>
      <c r="G9733" s="2" t="s">
        <v>11556</v>
      </c>
      <c r="H9733" s="2"/>
      <c r="I9733" s="2"/>
      <c r="J9733" s="2" t="s">
        <v>13904</v>
      </c>
      <c r="K9733" s="2" t="s">
        <v>18543</v>
      </c>
      <c r="L9733" s="82"/>
    </row>
    <row r="9734" spans="1:12" ht="84" customHeight="1" x14ac:dyDescent="0.3">
      <c r="A9734" s="2">
        <v>9730</v>
      </c>
      <c r="B9734" s="2" t="s">
        <v>11760</v>
      </c>
      <c r="C9734" s="66">
        <v>17196</v>
      </c>
      <c r="D9734" s="20">
        <v>45561</v>
      </c>
      <c r="E9734" s="11">
        <v>40246.080000000002</v>
      </c>
      <c r="F9734" s="3">
        <v>40500</v>
      </c>
      <c r="G9734" s="2" t="s">
        <v>11556</v>
      </c>
      <c r="H9734" s="2"/>
      <c r="I9734" s="2"/>
      <c r="J9734" s="2" t="s">
        <v>13904</v>
      </c>
      <c r="K9734" s="2" t="s">
        <v>18543</v>
      </c>
      <c r="L9734" s="82"/>
    </row>
    <row r="9735" spans="1:12" ht="84" customHeight="1" x14ac:dyDescent="0.3">
      <c r="A9735" s="2">
        <v>9731</v>
      </c>
      <c r="B9735" s="2" t="s">
        <v>11761</v>
      </c>
      <c r="C9735" s="66">
        <v>13033</v>
      </c>
      <c r="D9735" s="20">
        <v>64690.65</v>
      </c>
      <c r="E9735" s="11">
        <v>16350.14</v>
      </c>
      <c r="F9735" s="3">
        <v>40500</v>
      </c>
      <c r="G9735" s="2" t="s">
        <v>11556</v>
      </c>
      <c r="H9735" s="2"/>
      <c r="I9735" s="2"/>
      <c r="J9735" s="2" t="s">
        <v>13904</v>
      </c>
      <c r="K9735" s="2" t="s">
        <v>18543</v>
      </c>
      <c r="L9735" s="82"/>
    </row>
    <row r="9736" spans="1:12" ht="84" customHeight="1" x14ac:dyDescent="0.3">
      <c r="A9736" s="2">
        <v>9732</v>
      </c>
      <c r="B9736" s="2" t="s">
        <v>11762</v>
      </c>
      <c r="C9736" s="66">
        <v>14039</v>
      </c>
      <c r="D9736" s="20">
        <v>3821.51</v>
      </c>
      <c r="E9736" s="11">
        <v>3821.51</v>
      </c>
      <c r="F9736" s="3">
        <v>40500</v>
      </c>
      <c r="G9736" s="2" t="s">
        <v>11556</v>
      </c>
      <c r="H9736" s="2"/>
      <c r="I9736" s="2"/>
      <c r="J9736" s="2" t="s">
        <v>13904</v>
      </c>
      <c r="K9736" s="2" t="s">
        <v>18543</v>
      </c>
      <c r="L9736" s="82"/>
    </row>
    <row r="9737" spans="1:12" ht="84" customHeight="1" x14ac:dyDescent="0.3">
      <c r="A9737" s="2">
        <v>9733</v>
      </c>
      <c r="B9737" s="2" t="s">
        <v>11763</v>
      </c>
      <c r="C9737" s="66">
        <v>17462</v>
      </c>
      <c r="D9737" s="20">
        <v>0.01</v>
      </c>
      <c r="E9737" s="11">
        <v>0</v>
      </c>
      <c r="F9737" s="3">
        <v>40500</v>
      </c>
      <c r="G9737" s="2" t="s">
        <v>11556</v>
      </c>
      <c r="H9737" s="2"/>
      <c r="I9737" s="2"/>
      <c r="J9737" s="2" t="s">
        <v>13904</v>
      </c>
      <c r="K9737" s="2" t="s">
        <v>18543</v>
      </c>
      <c r="L9737" s="82"/>
    </row>
    <row r="9738" spans="1:12" ht="84" customHeight="1" x14ac:dyDescent="0.3">
      <c r="A9738" s="2">
        <v>9734</v>
      </c>
      <c r="B9738" s="2" t="s">
        <v>11764</v>
      </c>
      <c r="C9738" s="66">
        <v>13063</v>
      </c>
      <c r="D9738" s="20">
        <v>24086.74</v>
      </c>
      <c r="E9738" s="11">
        <v>24086.74</v>
      </c>
      <c r="F9738" s="3">
        <v>40500</v>
      </c>
      <c r="G9738" s="2" t="s">
        <v>11556</v>
      </c>
      <c r="H9738" s="2"/>
      <c r="I9738" s="2"/>
      <c r="J9738" s="2" t="s">
        <v>13904</v>
      </c>
      <c r="K9738" s="2" t="s">
        <v>18543</v>
      </c>
      <c r="L9738" s="82"/>
    </row>
    <row r="9739" spans="1:12" ht="84" customHeight="1" x14ac:dyDescent="0.3">
      <c r="A9739" s="2">
        <v>9735</v>
      </c>
      <c r="B9739" s="2" t="s">
        <v>11765</v>
      </c>
      <c r="C9739" s="66" t="s">
        <v>11766</v>
      </c>
      <c r="D9739" s="20">
        <f>45841.67*3</f>
        <v>137525.01</v>
      </c>
      <c r="E9739" s="11">
        <f>45841.66*3</f>
        <v>137524.98000000001</v>
      </c>
      <c r="F9739" s="3">
        <v>40500</v>
      </c>
      <c r="G9739" s="2" t="s">
        <v>11556</v>
      </c>
      <c r="H9739" s="2"/>
      <c r="I9739" s="2"/>
      <c r="J9739" s="2" t="s">
        <v>13904</v>
      </c>
      <c r="K9739" s="2" t="s">
        <v>18543</v>
      </c>
      <c r="L9739" s="82"/>
    </row>
    <row r="9740" spans="1:12" ht="84" customHeight="1" x14ac:dyDescent="0.3">
      <c r="A9740" s="2">
        <v>9736</v>
      </c>
      <c r="B9740" s="2" t="s">
        <v>11767</v>
      </c>
      <c r="C9740" s="66">
        <v>17059</v>
      </c>
      <c r="D9740" s="20">
        <v>2427.2600000000002</v>
      </c>
      <c r="E9740" s="11">
        <v>2254.61</v>
      </c>
      <c r="F9740" s="3">
        <v>40500</v>
      </c>
      <c r="G9740" s="2" t="s">
        <v>11556</v>
      </c>
      <c r="H9740" s="2" t="s">
        <v>14231</v>
      </c>
      <c r="I9740" s="2"/>
      <c r="J9740" s="2" t="s">
        <v>13904</v>
      </c>
      <c r="K9740" s="2"/>
      <c r="L9740" s="82"/>
    </row>
    <row r="9741" spans="1:12" ht="84" customHeight="1" x14ac:dyDescent="0.3">
      <c r="A9741" s="2">
        <v>9737</v>
      </c>
      <c r="B9741" s="2" t="s">
        <v>11768</v>
      </c>
      <c r="C9741" s="66">
        <v>17333</v>
      </c>
      <c r="D9741" s="20">
        <v>25544.16</v>
      </c>
      <c r="E9741" s="11">
        <v>25544.16</v>
      </c>
      <c r="F9741" s="3">
        <v>40500</v>
      </c>
      <c r="G9741" s="2" t="s">
        <v>11556</v>
      </c>
      <c r="H9741" s="2"/>
      <c r="I9741" s="2"/>
      <c r="J9741" s="2" t="s">
        <v>13904</v>
      </c>
      <c r="K9741" s="2" t="s">
        <v>18543</v>
      </c>
      <c r="L9741" s="82"/>
    </row>
    <row r="9742" spans="1:12" ht="84" customHeight="1" x14ac:dyDescent="0.3">
      <c r="A9742" s="2">
        <v>9738</v>
      </c>
      <c r="B9742" s="2" t="s">
        <v>11769</v>
      </c>
      <c r="C9742" s="66">
        <v>17367</v>
      </c>
      <c r="D9742" s="20">
        <v>68780.66</v>
      </c>
      <c r="E9742" s="11">
        <v>68780.66</v>
      </c>
      <c r="F9742" s="3">
        <v>40500</v>
      </c>
      <c r="G9742" s="2" t="s">
        <v>11556</v>
      </c>
      <c r="H9742" s="2"/>
      <c r="I9742" s="2"/>
      <c r="J9742" s="2" t="s">
        <v>13904</v>
      </c>
      <c r="K9742" s="2" t="s">
        <v>18543</v>
      </c>
      <c r="L9742" s="82"/>
    </row>
    <row r="9743" spans="1:12" ht="84" customHeight="1" x14ac:dyDescent="0.3">
      <c r="A9743" s="2">
        <v>9739</v>
      </c>
      <c r="B9743" s="2" t="s">
        <v>11770</v>
      </c>
      <c r="C9743" s="66">
        <v>17362</v>
      </c>
      <c r="D9743" s="20">
        <v>42743.76</v>
      </c>
      <c r="E9743" s="11">
        <v>42743.76</v>
      </c>
      <c r="F9743" s="3">
        <v>40500</v>
      </c>
      <c r="G9743" s="2" t="s">
        <v>11556</v>
      </c>
      <c r="H9743" s="2"/>
      <c r="I9743" s="2"/>
      <c r="J9743" s="2" t="s">
        <v>13904</v>
      </c>
      <c r="K9743" s="2" t="s">
        <v>18543</v>
      </c>
      <c r="L9743" s="82"/>
    </row>
    <row r="9744" spans="1:12" ht="84" customHeight="1" x14ac:dyDescent="0.3">
      <c r="A9744" s="2">
        <v>9740</v>
      </c>
      <c r="B9744" s="2" t="s">
        <v>11771</v>
      </c>
      <c r="C9744" s="66" t="s">
        <v>11772</v>
      </c>
      <c r="D9744" s="20">
        <v>0.01</v>
      </c>
      <c r="E9744" s="11">
        <v>0</v>
      </c>
      <c r="F9744" s="3">
        <v>40500</v>
      </c>
      <c r="G9744" s="2" t="s">
        <v>11556</v>
      </c>
      <c r="H9744" s="2" t="s">
        <v>19757</v>
      </c>
      <c r="I9744" s="2" t="s">
        <v>19754</v>
      </c>
      <c r="J9744" s="2" t="s">
        <v>13904</v>
      </c>
      <c r="K9744" s="2" t="s">
        <v>18543</v>
      </c>
      <c r="L9744" s="82"/>
    </row>
    <row r="9745" spans="1:12" ht="84" customHeight="1" x14ac:dyDescent="0.3">
      <c r="A9745" s="2">
        <v>9741</v>
      </c>
      <c r="B9745" s="2" t="s">
        <v>11773</v>
      </c>
      <c r="C9745" s="66">
        <v>15110</v>
      </c>
      <c r="D9745" s="20">
        <v>56948</v>
      </c>
      <c r="E9745" s="11">
        <v>0</v>
      </c>
      <c r="F9745" s="3">
        <v>40500</v>
      </c>
      <c r="G9745" s="2" t="s">
        <v>11556</v>
      </c>
      <c r="H9745" s="3">
        <v>41961</v>
      </c>
      <c r="I9745" s="2" t="s">
        <v>16344</v>
      </c>
      <c r="J9745" s="2" t="s">
        <v>13904</v>
      </c>
      <c r="K9745" s="2"/>
      <c r="L9745" s="82"/>
    </row>
    <row r="9746" spans="1:12" ht="84" customHeight="1" x14ac:dyDescent="0.3">
      <c r="A9746" s="2">
        <v>9742</v>
      </c>
      <c r="B9746" s="2" t="s">
        <v>11773</v>
      </c>
      <c r="C9746" s="66">
        <v>13120</v>
      </c>
      <c r="D9746" s="20">
        <v>31.74</v>
      </c>
      <c r="E9746" s="11">
        <v>31.74</v>
      </c>
      <c r="F9746" s="3">
        <v>40500</v>
      </c>
      <c r="G9746" s="2" t="s">
        <v>11556</v>
      </c>
      <c r="H9746" s="2" t="s">
        <v>19752</v>
      </c>
      <c r="I9746" s="2" t="s">
        <v>19754</v>
      </c>
      <c r="J9746" s="2" t="s">
        <v>13904</v>
      </c>
      <c r="K9746" s="2" t="s">
        <v>18543</v>
      </c>
      <c r="L9746" s="82"/>
    </row>
    <row r="9747" spans="1:12" ht="84" customHeight="1" x14ac:dyDescent="0.3">
      <c r="A9747" s="2">
        <v>9743</v>
      </c>
      <c r="B9747" s="2" t="s">
        <v>11773</v>
      </c>
      <c r="C9747" s="66">
        <v>14099</v>
      </c>
      <c r="D9747" s="20">
        <v>0.01</v>
      </c>
      <c r="E9747" s="11">
        <v>0.01</v>
      </c>
      <c r="F9747" s="3">
        <v>40500</v>
      </c>
      <c r="G9747" s="2" t="s">
        <v>11556</v>
      </c>
      <c r="H9747" s="3">
        <v>41961</v>
      </c>
      <c r="I9747" s="2" t="s">
        <v>16344</v>
      </c>
      <c r="J9747" s="2" t="s">
        <v>13904</v>
      </c>
      <c r="K9747" s="2"/>
      <c r="L9747" s="82"/>
    </row>
    <row r="9748" spans="1:12" ht="84" customHeight="1" x14ac:dyDescent="0.3">
      <c r="A9748" s="2">
        <v>9744</v>
      </c>
      <c r="B9748" s="2" t="s">
        <v>11774</v>
      </c>
      <c r="C9748" s="66">
        <v>17129</v>
      </c>
      <c r="D9748" s="20">
        <v>14155</v>
      </c>
      <c r="E9748" s="11">
        <v>8594.01</v>
      </c>
      <c r="F9748" s="3">
        <v>40500</v>
      </c>
      <c r="G9748" s="2" t="s">
        <v>11556</v>
      </c>
      <c r="H9748" s="2" t="s">
        <v>19752</v>
      </c>
      <c r="I9748" s="2" t="s">
        <v>19754</v>
      </c>
      <c r="J9748" s="2" t="s">
        <v>13904</v>
      </c>
      <c r="K9748" s="2" t="s">
        <v>18543</v>
      </c>
      <c r="L9748" s="82"/>
    </row>
    <row r="9749" spans="1:12" ht="84" customHeight="1" x14ac:dyDescent="0.3">
      <c r="A9749" s="2">
        <v>9745</v>
      </c>
      <c r="B9749" s="2" t="s">
        <v>11775</v>
      </c>
      <c r="C9749" s="66">
        <v>15119</v>
      </c>
      <c r="D9749" s="20">
        <v>9000</v>
      </c>
      <c r="E9749" s="11">
        <v>0</v>
      </c>
      <c r="F9749" s="3">
        <v>40500</v>
      </c>
      <c r="G9749" s="2" t="s">
        <v>11556</v>
      </c>
      <c r="H9749" s="3">
        <v>41961</v>
      </c>
      <c r="I9749" s="2" t="s">
        <v>16344</v>
      </c>
      <c r="J9749" s="2" t="s">
        <v>13904</v>
      </c>
      <c r="K9749" s="2"/>
      <c r="L9749" s="82"/>
    </row>
    <row r="9750" spans="1:12" ht="84" customHeight="1" x14ac:dyDescent="0.3">
      <c r="A9750" s="2">
        <v>9746</v>
      </c>
      <c r="B9750" s="2" t="s">
        <v>11776</v>
      </c>
      <c r="C9750" s="66">
        <v>13092</v>
      </c>
      <c r="D9750" s="20">
        <v>13175.25</v>
      </c>
      <c r="E9750" s="11">
        <v>10086.25</v>
      </c>
      <c r="F9750" s="3">
        <v>40500</v>
      </c>
      <c r="G9750" s="2" t="s">
        <v>11556</v>
      </c>
      <c r="H9750" s="3">
        <v>41961</v>
      </c>
      <c r="I9750" s="2" t="s">
        <v>16344</v>
      </c>
      <c r="J9750" s="2" t="s">
        <v>13904</v>
      </c>
      <c r="K9750" s="2"/>
      <c r="L9750" s="82"/>
    </row>
    <row r="9751" spans="1:12" ht="84" customHeight="1" x14ac:dyDescent="0.3">
      <c r="A9751" s="2">
        <v>9747</v>
      </c>
      <c r="B9751" s="2" t="s">
        <v>11776</v>
      </c>
      <c r="C9751" s="66">
        <v>13089</v>
      </c>
      <c r="D9751" s="20">
        <v>13821.48</v>
      </c>
      <c r="E9751" s="11">
        <v>11394.46</v>
      </c>
      <c r="F9751" s="3">
        <v>40500</v>
      </c>
      <c r="G9751" s="2" t="s">
        <v>11556</v>
      </c>
      <c r="H9751" s="3">
        <v>41961</v>
      </c>
      <c r="I9751" s="2" t="s">
        <v>16344</v>
      </c>
      <c r="J9751" s="2" t="s">
        <v>13904</v>
      </c>
      <c r="K9751" s="2"/>
      <c r="L9751" s="82"/>
    </row>
    <row r="9752" spans="1:12" ht="84" customHeight="1" x14ac:dyDescent="0.3">
      <c r="A9752" s="2">
        <v>9748</v>
      </c>
      <c r="B9752" s="2" t="s">
        <v>11776</v>
      </c>
      <c r="C9752" s="66">
        <v>13091</v>
      </c>
      <c r="D9752" s="20">
        <v>5578.64</v>
      </c>
      <c r="E9752" s="11">
        <v>4461.45</v>
      </c>
      <c r="F9752" s="3">
        <v>40500</v>
      </c>
      <c r="G9752" s="2" t="s">
        <v>11556</v>
      </c>
      <c r="H9752" s="3">
        <v>41961</v>
      </c>
      <c r="I9752" s="2" t="s">
        <v>16344</v>
      </c>
      <c r="J9752" s="2" t="s">
        <v>13904</v>
      </c>
      <c r="K9752" s="2"/>
      <c r="L9752" s="82"/>
    </row>
    <row r="9753" spans="1:12" ht="84" customHeight="1" x14ac:dyDescent="0.3">
      <c r="A9753" s="2">
        <v>9749</v>
      </c>
      <c r="B9753" s="2" t="s">
        <v>11777</v>
      </c>
      <c r="C9753" s="66">
        <v>13034</v>
      </c>
      <c r="D9753" s="20">
        <v>18481.5</v>
      </c>
      <c r="E9753" s="11">
        <v>18481.5</v>
      </c>
      <c r="F9753" s="3">
        <v>40500</v>
      </c>
      <c r="G9753" s="2" t="s">
        <v>11556</v>
      </c>
      <c r="H9753" s="3">
        <v>41961</v>
      </c>
      <c r="I9753" s="2" t="s">
        <v>16344</v>
      </c>
      <c r="J9753" s="2" t="s">
        <v>13904</v>
      </c>
      <c r="K9753" s="2"/>
      <c r="L9753" s="82"/>
    </row>
    <row r="9754" spans="1:12" ht="84" customHeight="1" x14ac:dyDescent="0.3">
      <c r="A9754" s="2">
        <v>9750</v>
      </c>
      <c r="B9754" s="2" t="s">
        <v>11778</v>
      </c>
      <c r="C9754" s="66">
        <v>14111</v>
      </c>
      <c r="D9754" s="20">
        <v>11852.04</v>
      </c>
      <c r="E9754" s="11">
        <v>8583.82</v>
      </c>
      <c r="F9754" s="3">
        <v>40500</v>
      </c>
      <c r="G9754" s="2" t="s">
        <v>11556</v>
      </c>
      <c r="H9754" s="3">
        <v>41961</v>
      </c>
      <c r="I9754" s="2" t="s">
        <v>16344</v>
      </c>
      <c r="J9754" s="2" t="s">
        <v>13904</v>
      </c>
      <c r="K9754" s="2"/>
      <c r="L9754" s="82"/>
    </row>
    <row r="9755" spans="1:12" ht="84" customHeight="1" x14ac:dyDescent="0.3">
      <c r="A9755" s="2">
        <v>9751</v>
      </c>
      <c r="B9755" s="2" t="s">
        <v>11779</v>
      </c>
      <c r="C9755" s="66" t="s">
        <v>11780</v>
      </c>
      <c r="D9755" s="20">
        <v>76347.460000000006</v>
      </c>
      <c r="E9755" s="11">
        <v>45445</v>
      </c>
      <c r="F9755" s="3">
        <v>40500</v>
      </c>
      <c r="G9755" s="2" t="s">
        <v>11556</v>
      </c>
      <c r="H9755" s="3">
        <v>42109</v>
      </c>
      <c r="I9755" s="2" t="s">
        <v>11796</v>
      </c>
      <c r="J9755" s="2" t="s">
        <v>13904</v>
      </c>
      <c r="K9755" s="2"/>
      <c r="L9755" s="82"/>
    </row>
    <row r="9756" spans="1:12" ht="84" customHeight="1" x14ac:dyDescent="0.3">
      <c r="A9756" s="2">
        <v>9752</v>
      </c>
      <c r="B9756" s="2" t="s">
        <v>11781</v>
      </c>
      <c r="C9756" s="66">
        <v>14069</v>
      </c>
      <c r="D9756" s="20">
        <v>473756.72</v>
      </c>
      <c r="E9756" s="11">
        <v>473756.72</v>
      </c>
      <c r="F9756" s="3">
        <v>40500</v>
      </c>
      <c r="G9756" s="2" t="s">
        <v>11556</v>
      </c>
      <c r="H9756" s="2"/>
      <c r="I9756" s="2"/>
      <c r="J9756" s="2" t="s">
        <v>13904</v>
      </c>
      <c r="K9756" s="2" t="s">
        <v>18543</v>
      </c>
      <c r="L9756" s="82"/>
    </row>
    <row r="9757" spans="1:12" ht="84" customHeight="1" x14ac:dyDescent="0.3">
      <c r="A9757" s="2">
        <v>9753</v>
      </c>
      <c r="B9757" s="2" t="s">
        <v>11782</v>
      </c>
      <c r="C9757" s="66">
        <v>17334</v>
      </c>
      <c r="D9757" s="20">
        <v>77858.06</v>
      </c>
      <c r="E9757" s="11">
        <v>77858.06</v>
      </c>
      <c r="F9757" s="3">
        <v>40500</v>
      </c>
      <c r="G9757" s="2" t="s">
        <v>11556</v>
      </c>
      <c r="H9757" s="2"/>
      <c r="I9757" s="2"/>
      <c r="J9757" s="2" t="s">
        <v>13904</v>
      </c>
      <c r="K9757" s="2" t="s">
        <v>18543</v>
      </c>
      <c r="L9757" s="82"/>
    </row>
    <row r="9758" spans="1:12" ht="84" customHeight="1" x14ac:dyDescent="0.3">
      <c r="A9758" s="2">
        <v>9754</v>
      </c>
      <c r="B9758" s="2" t="s">
        <v>11783</v>
      </c>
      <c r="C9758" s="66">
        <v>17361</v>
      </c>
      <c r="D9758" s="20">
        <v>685277.04</v>
      </c>
      <c r="E9758" s="11">
        <v>685277.04</v>
      </c>
      <c r="F9758" s="3">
        <v>40500</v>
      </c>
      <c r="G9758" s="2" t="s">
        <v>11556</v>
      </c>
      <c r="H9758" s="2"/>
      <c r="I9758" s="2"/>
      <c r="J9758" s="2" t="s">
        <v>13904</v>
      </c>
      <c r="K9758" s="2" t="s">
        <v>18543</v>
      </c>
      <c r="L9758" s="82"/>
    </row>
    <row r="9759" spans="1:12" ht="84" customHeight="1" x14ac:dyDescent="0.3">
      <c r="A9759" s="2">
        <v>9755</v>
      </c>
      <c r="B9759" s="2" t="s">
        <v>11784</v>
      </c>
      <c r="C9759" s="66">
        <v>17302</v>
      </c>
      <c r="D9759" s="20">
        <v>420360</v>
      </c>
      <c r="E9759" s="11">
        <v>420360</v>
      </c>
      <c r="F9759" s="3">
        <v>40500</v>
      </c>
      <c r="G9759" s="2" t="s">
        <v>11556</v>
      </c>
      <c r="H9759" s="2"/>
      <c r="I9759" s="2"/>
      <c r="J9759" s="2" t="s">
        <v>13904</v>
      </c>
      <c r="K9759" s="2" t="s">
        <v>18543</v>
      </c>
      <c r="L9759" s="82"/>
    </row>
    <row r="9760" spans="1:12" ht="84" customHeight="1" x14ac:dyDescent="0.3">
      <c r="A9760" s="2">
        <v>9756</v>
      </c>
      <c r="B9760" s="2" t="s">
        <v>11785</v>
      </c>
      <c r="C9760" s="66">
        <v>17338</v>
      </c>
      <c r="D9760" s="20">
        <v>24780</v>
      </c>
      <c r="E9760" s="11">
        <v>0</v>
      </c>
      <c r="F9760" s="3">
        <v>40500</v>
      </c>
      <c r="G9760" s="2" t="s">
        <v>11556</v>
      </c>
      <c r="H9760" s="3">
        <v>41961</v>
      </c>
      <c r="I9760" s="2" t="s">
        <v>16344</v>
      </c>
      <c r="J9760" s="2" t="s">
        <v>13904</v>
      </c>
      <c r="K9760" s="2"/>
      <c r="L9760" s="82"/>
    </row>
    <row r="9761" spans="1:12" ht="84" customHeight="1" x14ac:dyDescent="0.3">
      <c r="A9761" s="2">
        <v>9757</v>
      </c>
      <c r="B9761" s="2" t="s">
        <v>11785</v>
      </c>
      <c r="C9761" s="66">
        <v>17337</v>
      </c>
      <c r="D9761" s="20">
        <v>24780</v>
      </c>
      <c r="E9761" s="11">
        <v>24780</v>
      </c>
      <c r="F9761" s="3">
        <v>40500</v>
      </c>
      <c r="G9761" s="2" t="s">
        <v>11556</v>
      </c>
      <c r="H9761" s="2"/>
      <c r="I9761" s="2"/>
      <c r="J9761" s="2" t="s">
        <v>13904</v>
      </c>
      <c r="K9761" s="2" t="s">
        <v>18543</v>
      </c>
      <c r="L9761" s="82"/>
    </row>
    <row r="9762" spans="1:12" ht="84" customHeight="1" x14ac:dyDescent="0.3">
      <c r="A9762" s="2">
        <v>9758</v>
      </c>
      <c r="B9762" s="2" t="s">
        <v>11786</v>
      </c>
      <c r="C9762" s="66">
        <v>17097</v>
      </c>
      <c r="D9762" s="20">
        <v>23700</v>
      </c>
      <c r="E9762" s="11">
        <v>8690</v>
      </c>
      <c r="F9762" s="3">
        <v>40500</v>
      </c>
      <c r="G9762" s="2" t="s">
        <v>11556</v>
      </c>
      <c r="H9762" s="3">
        <v>41961</v>
      </c>
      <c r="I9762" s="2" t="s">
        <v>16344</v>
      </c>
      <c r="J9762" s="2" t="s">
        <v>13904</v>
      </c>
      <c r="K9762" s="2"/>
      <c r="L9762" s="82"/>
    </row>
    <row r="9763" spans="1:12" ht="84" customHeight="1" x14ac:dyDescent="0.3">
      <c r="A9763" s="2">
        <v>9759</v>
      </c>
      <c r="B9763" s="2" t="s">
        <v>11786</v>
      </c>
      <c r="C9763" s="66">
        <v>17336</v>
      </c>
      <c r="D9763" s="20">
        <v>56640</v>
      </c>
      <c r="E9763" s="11">
        <v>0</v>
      </c>
      <c r="F9763" s="3">
        <v>40500</v>
      </c>
      <c r="G9763" s="2" t="s">
        <v>11556</v>
      </c>
      <c r="H9763" s="2"/>
      <c r="I9763" s="2"/>
      <c r="J9763" s="2" t="s">
        <v>13904</v>
      </c>
      <c r="K9763" s="2" t="s">
        <v>18543</v>
      </c>
      <c r="L9763" s="82"/>
    </row>
    <row r="9764" spans="1:12" ht="84" customHeight="1" x14ac:dyDescent="0.3">
      <c r="A9764" s="2">
        <v>9760</v>
      </c>
      <c r="B9764" s="2" t="s">
        <v>11786</v>
      </c>
      <c r="C9764" s="66">
        <v>17326</v>
      </c>
      <c r="D9764" s="20">
        <v>53218</v>
      </c>
      <c r="E9764" s="11">
        <v>0</v>
      </c>
      <c r="F9764" s="3">
        <v>40500</v>
      </c>
      <c r="G9764" s="2" t="s">
        <v>11556</v>
      </c>
      <c r="H9764" s="2"/>
      <c r="I9764" s="2"/>
      <c r="J9764" s="2" t="s">
        <v>13904</v>
      </c>
      <c r="K9764" s="2" t="s">
        <v>18543</v>
      </c>
      <c r="L9764" s="82"/>
    </row>
    <row r="9765" spans="1:12" ht="84" customHeight="1" x14ac:dyDescent="0.3">
      <c r="A9765" s="2">
        <v>9761</v>
      </c>
      <c r="B9765" s="2" t="s">
        <v>11787</v>
      </c>
      <c r="C9765" s="66">
        <v>17331</v>
      </c>
      <c r="D9765" s="20">
        <v>244916</v>
      </c>
      <c r="E9765" s="11">
        <v>244916</v>
      </c>
      <c r="F9765" s="3">
        <v>40500</v>
      </c>
      <c r="G9765" s="2" t="s">
        <v>11556</v>
      </c>
      <c r="H9765" s="2" t="s">
        <v>19752</v>
      </c>
      <c r="I9765" s="2" t="s">
        <v>19754</v>
      </c>
      <c r="J9765" s="2" t="s">
        <v>13904</v>
      </c>
      <c r="K9765" s="2" t="s">
        <v>18543</v>
      </c>
      <c r="L9765" s="82"/>
    </row>
    <row r="9766" spans="1:12" ht="348" customHeight="1" x14ac:dyDescent="0.3">
      <c r="A9766" s="2">
        <v>9762</v>
      </c>
      <c r="B9766" s="106" t="s">
        <v>12172</v>
      </c>
      <c r="C9766" s="78">
        <v>4101340278</v>
      </c>
      <c r="D9766" s="21">
        <v>66413</v>
      </c>
      <c r="E9766" s="21">
        <v>62354.35</v>
      </c>
      <c r="F9766" s="3">
        <v>42331</v>
      </c>
      <c r="G9766" s="2" t="s">
        <v>12325</v>
      </c>
      <c r="H9766" s="2"/>
      <c r="I9766" s="2"/>
      <c r="J9766" s="2" t="s">
        <v>13904</v>
      </c>
      <c r="K9766" s="2" t="s">
        <v>18538</v>
      </c>
      <c r="L9766" s="82" t="s">
        <v>18773</v>
      </c>
    </row>
    <row r="9767" spans="1:12" ht="156" customHeight="1" x14ac:dyDescent="0.3">
      <c r="A9767" s="205">
        <v>9763</v>
      </c>
      <c r="B9767" s="82" t="s">
        <v>12173</v>
      </c>
      <c r="C9767" s="2"/>
      <c r="D9767" s="22">
        <v>1188</v>
      </c>
      <c r="E9767" s="22">
        <v>0</v>
      </c>
      <c r="F9767" s="3" t="s">
        <v>12326</v>
      </c>
      <c r="G9767" s="2" t="s">
        <v>12325</v>
      </c>
      <c r="H9767" s="2"/>
      <c r="I9767" s="2"/>
      <c r="J9767" s="2" t="s">
        <v>13904</v>
      </c>
      <c r="K9767" s="2" t="s">
        <v>18538</v>
      </c>
      <c r="L9767" s="246" t="s">
        <v>22280</v>
      </c>
    </row>
    <row r="9768" spans="1:12" ht="156" customHeight="1" x14ac:dyDescent="0.3">
      <c r="A9768" s="2">
        <v>9764</v>
      </c>
      <c r="B9768" s="82" t="s">
        <v>12174</v>
      </c>
      <c r="C9768" s="2"/>
      <c r="D9768" s="22">
        <v>1375</v>
      </c>
      <c r="E9768" s="22">
        <v>0</v>
      </c>
      <c r="F9768" s="3" t="s">
        <v>12326</v>
      </c>
      <c r="G9768" s="2" t="s">
        <v>12325</v>
      </c>
      <c r="H9768" s="2"/>
      <c r="I9768" s="2"/>
      <c r="J9768" s="2" t="s">
        <v>13904</v>
      </c>
      <c r="K9768" s="2" t="s">
        <v>18538</v>
      </c>
      <c r="L9768" s="246" t="s">
        <v>22280</v>
      </c>
    </row>
    <row r="9769" spans="1:12" ht="156" customHeight="1" x14ac:dyDescent="0.3">
      <c r="A9769" s="2">
        <v>9765</v>
      </c>
      <c r="B9769" s="82" t="s">
        <v>12175</v>
      </c>
      <c r="C9769" s="2"/>
      <c r="D9769" s="22">
        <v>1950</v>
      </c>
      <c r="E9769" s="22">
        <v>0</v>
      </c>
      <c r="F9769" s="3" t="s">
        <v>12326</v>
      </c>
      <c r="G9769" s="2" t="s">
        <v>12325</v>
      </c>
      <c r="H9769" s="2"/>
      <c r="I9769" s="2"/>
      <c r="J9769" s="2" t="s">
        <v>13904</v>
      </c>
      <c r="K9769" s="2" t="s">
        <v>18538</v>
      </c>
      <c r="L9769" s="246" t="s">
        <v>22280</v>
      </c>
    </row>
    <row r="9770" spans="1:12" ht="156" customHeight="1" x14ac:dyDescent="0.3">
      <c r="A9770" s="2">
        <v>9766</v>
      </c>
      <c r="B9770" s="82" t="s">
        <v>12176</v>
      </c>
      <c r="C9770" s="2"/>
      <c r="D9770" s="22">
        <v>1825</v>
      </c>
      <c r="E9770" s="22">
        <v>0</v>
      </c>
      <c r="F9770" s="3" t="s">
        <v>12326</v>
      </c>
      <c r="G9770" s="2" t="s">
        <v>12325</v>
      </c>
      <c r="H9770" s="2"/>
      <c r="I9770" s="2"/>
      <c r="J9770" s="2" t="s">
        <v>13904</v>
      </c>
      <c r="K9770" s="2" t="s">
        <v>18538</v>
      </c>
      <c r="L9770" s="246" t="s">
        <v>22280</v>
      </c>
    </row>
    <row r="9771" spans="1:12" ht="156" customHeight="1" x14ac:dyDescent="0.3">
      <c r="A9771" s="2">
        <v>9767</v>
      </c>
      <c r="B9771" s="82" t="s">
        <v>12177</v>
      </c>
      <c r="C9771" s="32">
        <v>1013400109</v>
      </c>
      <c r="D9771" s="21">
        <v>3625</v>
      </c>
      <c r="E9771" s="21">
        <v>3625</v>
      </c>
      <c r="F9771" s="3" t="s">
        <v>12326</v>
      </c>
      <c r="G9771" s="2" t="s">
        <v>12325</v>
      </c>
      <c r="H9771" s="2"/>
      <c r="I9771" s="2"/>
      <c r="J9771" s="2" t="s">
        <v>13904</v>
      </c>
      <c r="K9771" s="2" t="s">
        <v>18538</v>
      </c>
      <c r="L9771" s="246" t="s">
        <v>22280</v>
      </c>
    </row>
    <row r="9772" spans="1:12" ht="156" customHeight="1" x14ac:dyDescent="0.3">
      <c r="A9772" s="2">
        <v>9768</v>
      </c>
      <c r="B9772" s="82" t="s">
        <v>12178</v>
      </c>
      <c r="C9772" s="32">
        <v>1013400169</v>
      </c>
      <c r="D9772" s="21">
        <v>6375</v>
      </c>
      <c r="E9772" s="21">
        <v>6375</v>
      </c>
      <c r="F9772" s="3" t="s">
        <v>12326</v>
      </c>
      <c r="G9772" s="2" t="s">
        <v>12325</v>
      </c>
      <c r="H9772" s="2"/>
      <c r="I9772" s="2"/>
      <c r="J9772" s="2" t="s">
        <v>13904</v>
      </c>
      <c r="K9772" s="2" t="s">
        <v>18538</v>
      </c>
      <c r="L9772" s="246" t="s">
        <v>22280</v>
      </c>
    </row>
    <row r="9773" spans="1:12" ht="156" customHeight="1" x14ac:dyDescent="0.3">
      <c r="A9773" s="2">
        <v>9769</v>
      </c>
      <c r="B9773" s="82" t="s">
        <v>12179</v>
      </c>
      <c r="C9773" s="32">
        <v>1013400236</v>
      </c>
      <c r="D9773" s="21">
        <v>5100</v>
      </c>
      <c r="E9773" s="21">
        <v>5100</v>
      </c>
      <c r="F9773" s="3" t="s">
        <v>12326</v>
      </c>
      <c r="G9773" s="2" t="s">
        <v>12325</v>
      </c>
      <c r="H9773" s="2"/>
      <c r="I9773" s="2"/>
      <c r="J9773" s="2" t="s">
        <v>13904</v>
      </c>
      <c r="K9773" s="2" t="s">
        <v>18538</v>
      </c>
      <c r="L9773" s="246" t="s">
        <v>22280</v>
      </c>
    </row>
    <row r="9774" spans="1:12" ht="156" customHeight="1" x14ac:dyDescent="0.3">
      <c r="A9774" s="2">
        <v>9770</v>
      </c>
      <c r="B9774" s="82" t="s">
        <v>12180</v>
      </c>
      <c r="C9774" s="32">
        <v>1013400299</v>
      </c>
      <c r="D9774" s="21">
        <v>3739</v>
      </c>
      <c r="E9774" s="21">
        <v>3739</v>
      </c>
      <c r="F9774" s="3" t="s">
        <v>12326</v>
      </c>
      <c r="G9774" s="2" t="s">
        <v>12325</v>
      </c>
      <c r="H9774" s="2"/>
      <c r="I9774" s="2"/>
      <c r="J9774" s="2" t="s">
        <v>13904</v>
      </c>
      <c r="K9774" s="2" t="s">
        <v>18538</v>
      </c>
      <c r="L9774" s="246" t="s">
        <v>22280</v>
      </c>
    </row>
    <row r="9775" spans="1:12" ht="156" customHeight="1" x14ac:dyDescent="0.3">
      <c r="A9775" s="2">
        <v>9771</v>
      </c>
      <c r="B9775" s="82" t="s">
        <v>12181</v>
      </c>
      <c r="C9775" s="32">
        <v>1013400362</v>
      </c>
      <c r="D9775" s="21">
        <v>15700</v>
      </c>
      <c r="E9775" s="21">
        <v>15700</v>
      </c>
      <c r="F9775" s="3" t="s">
        <v>12326</v>
      </c>
      <c r="G9775" s="2" t="s">
        <v>12325</v>
      </c>
      <c r="H9775" s="2"/>
      <c r="I9775" s="2"/>
      <c r="J9775" s="2" t="s">
        <v>13904</v>
      </c>
      <c r="K9775" s="2" t="s">
        <v>18538</v>
      </c>
      <c r="L9775" s="246" t="s">
        <v>22280</v>
      </c>
    </row>
    <row r="9776" spans="1:12" ht="156" customHeight="1" x14ac:dyDescent="0.3">
      <c r="A9776" s="2">
        <v>9772</v>
      </c>
      <c r="B9776" s="82" t="s">
        <v>12182</v>
      </c>
      <c r="C9776" s="32">
        <v>1013400425</v>
      </c>
      <c r="D9776" s="21">
        <v>6875</v>
      </c>
      <c r="E9776" s="21">
        <v>6875</v>
      </c>
      <c r="F9776" s="3" t="s">
        <v>12326</v>
      </c>
      <c r="G9776" s="2" t="s">
        <v>12325</v>
      </c>
      <c r="H9776" s="2"/>
      <c r="I9776" s="2"/>
      <c r="J9776" s="2" t="s">
        <v>13904</v>
      </c>
      <c r="K9776" s="2" t="s">
        <v>18538</v>
      </c>
      <c r="L9776" s="246" t="s">
        <v>22280</v>
      </c>
    </row>
    <row r="9777" spans="1:12" ht="156" customHeight="1" x14ac:dyDescent="0.3">
      <c r="A9777" s="2">
        <v>9773</v>
      </c>
      <c r="B9777" s="82" t="s">
        <v>12183</v>
      </c>
      <c r="C9777" s="32">
        <v>1013400488</v>
      </c>
      <c r="D9777" s="21">
        <v>18000</v>
      </c>
      <c r="E9777" s="21">
        <v>18000</v>
      </c>
      <c r="F9777" s="3" t="s">
        <v>12326</v>
      </c>
      <c r="G9777" s="2" t="s">
        <v>12325</v>
      </c>
      <c r="H9777" s="2"/>
      <c r="I9777" s="2"/>
      <c r="J9777" s="2" t="s">
        <v>13904</v>
      </c>
      <c r="K9777" s="2" t="s">
        <v>18538</v>
      </c>
      <c r="L9777" s="246" t="s">
        <v>22280</v>
      </c>
    </row>
    <row r="9778" spans="1:12" ht="156" customHeight="1" x14ac:dyDescent="0.3">
      <c r="A9778" s="2">
        <v>9774</v>
      </c>
      <c r="B9778" s="82" t="s">
        <v>12184</v>
      </c>
      <c r="C9778" s="2"/>
      <c r="D9778" s="22">
        <v>1970</v>
      </c>
      <c r="E9778" s="22">
        <v>0</v>
      </c>
      <c r="F9778" s="3" t="s">
        <v>12326</v>
      </c>
      <c r="G9778" s="2" t="s">
        <v>12325</v>
      </c>
      <c r="H9778" s="2"/>
      <c r="I9778" s="2"/>
      <c r="J9778" s="2" t="s">
        <v>13904</v>
      </c>
      <c r="K9778" s="2" t="s">
        <v>18538</v>
      </c>
      <c r="L9778" s="246" t="s">
        <v>22280</v>
      </c>
    </row>
    <row r="9779" spans="1:12" ht="156" customHeight="1" x14ac:dyDescent="0.3">
      <c r="A9779" s="2">
        <v>9775</v>
      </c>
      <c r="B9779" s="82" t="s">
        <v>12185</v>
      </c>
      <c r="C9779" s="2"/>
      <c r="D9779" s="22">
        <v>2660</v>
      </c>
      <c r="E9779" s="22">
        <v>0</v>
      </c>
      <c r="F9779" s="3" t="s">
        <v>12326</v>
      </c>
      <c r="G9779" s="2" t="s">
        <v>12325</v>
      </c>
      <c r="H9779" s="2"/>
      <c r="I9779" s="2"/>
      <c r="J9779" s="2" t="s">
        <v>13904</v>
      </c>
      <c r="K9779" s="2" t="s">
        <v>18538</v>
      </c>
      <c r="L9779" s="246" t="s">
        <v>22280</v>
      </c>
    </row>
    <row r="9780" spans="1:12" ht="156" customHeight="1" x14ac:dyDescent="0.3">
      <c r="A9780" s="2">
        <v>9776</v>
      </c>
      <c r="B9780" s="82" t="s">
        <v>12186</v>
      </c>
      <c r="C9780" s="2"/>
      <c r="D9780" s="22">
        <v>225</v>
      </c>
      <c r="E9780" s="22">
        <v>0</v>
      </c>
      <c r="F9780" s="3" t="s">
        <v>12326</v>
      </c>
      <c r="G9780" s="2" t="s">
        <v>12325</v>
      </c>
      <c r="H9780" s="2"/>
      <c r="I9780" s="2"/>
      <c r="J9780" s="2" t="s">
        <v>13904</v>
      </c>
      <c r="K9780" s="2" t="s">
        <v>18538</v>
      </c>
      <c r="L9780" s="246" t="s">
        <v>22280</v>
      </c>
    </row>
    <row r="9781" spans="1:12" ht="348" customHeight="1" x14ac:dyDescent="0.3">
      <c r="A9781" s="2">
        <v>9777</v>
      </c>
      <c r="B9781" s="82" t="s">
        <v>12187</v>
      </c>
      <c r="C9781" s="78">
        <v>4101240028</v>
      </c>
      <c r="D9781" s="21">
        <v>66413</v>
      </c>
      <c r="E9781" s="21">
        <v>62354.35</v>
      </c>
      <c r="F9781" s="3">
        <v>42331</v>
      </c>
      <c r="G9781" s="2" t="s">
        <v>12325</v>
      </c>
      <c r="H9781" s="2"/>
      <c r="I9781" s="2"/>
      <c r="J9781" s="2" t="s">
        <v>13904</v>
      </c>
      <c r="K9781" s="2" t="s">
        <v>18538</v>
      </c>
      <c r="L9781" s="82" t="s">
        <v>18773</v>
      </c>
    </row>
    <row r="9782" spans="1:12" ht="156" customHeight="1" x14ac:dyDescent="0.3">
      <c r="A9782" s="2">
        <v>9778</v>
      </c>
      <c r="B9782" s="82" t="s">
        <v>12188</v>
      </c>
      <c r="C9782" s="2"/>
      <c r="D9782" s="22">
        <v>1188</v>
      </c>
      <c r="E9782" s="22">
        <v>0</v>
      </c>
      <c r="F9782" s="3">
        <v>42331</v>
      </c>
      <c r="G9782" s="2" t="s">
        <v>12325</v>
      </c>
      <c r="H9782" s="2"/>
      <c r="I9782" s="2"/>
      <c r="J9782" s="2" t="s">
        <v>13904</v>
      </c>
      <c r="K9782" s="2" t="s">
        <v>18538</v>
      </c>
      <c r="L9782" s="246" t="s">
        <v>22280</v>
      </c>
    </row>
    <row r="9783" spans="1:12" ht="156" customHeight="1" x14ac:dyDescent="0.3">
      <c r="A9783" s="2">
        <v>9779</v>
      </c>
      <c r="B9783" s="82" t="s">
        <v>12189</v>
      </c>
      <c r="C9783" s="2"/>
      <c r="D9783" s="22">
        <v>1375</v>
      </c>
      <c r="E9783" s="22">
        <v>0</v>
      </c>
      <c r="F9783" s="3">
        <v>42331</v>
      </c>
      <c r="G9783" s="2" t="s">
        <v>12325</v>
      </c>
      <c r="H9783" s="2"/>
      <c r="I9783" s="2"/>
      <c r="J9783" s="2" t="s">
        <v>13904</v>
      </c>
      <c r="K9783" s="2" t="s">
        <v>18538</v>
      </c>
      <c r="L9783" s="246" t="s">
        <v>22280</v>
      </c>
    </row>
    <row r="9784" spans="1:12" ht="156" customHeight="1" x14ac:dyDescent="0.3">
      <c r="A9784" s="2">
        <v>9780</v>
      </c>
      <c r="B9784" s="82" t="s">
        <v>12175</v>
      </c>
      <c r="C9784" s="2"/>
      <c r="D9784" s="22">
        <v>1950</v>
      </c>
      <c r="E9784" s="22">
        <v>0</v>
      </c>
      <c r="F9784" s="3">
        <v>42331</v>
      </c>
      <c r="G9784" s="2" t="s">
        <v>12325</v>
      </c>
      <c r="H9784" s="2"/>
      <c r="I9784" s="2"/>
      <c r="J9784" s="2" t="s">
        <v>13904</v>
      </c>
      <c r="K9784" s="2" t="s">
        <v>18538</v>
      </c>
      <c r="L9784" s="246" t="s">
        <v>22280</v>
      </c>
    </row>
    <row r="9785" spans="1:12" ht="156" customHeight="1" x14ac:dyDescent="0.3">
      <c r="A9785" s="2">
        <v>9781</v>
      </c>
      <c r="B9785" s="82" t="s">
        <v>12190</v>
      </c>
      <c r="C9785" s="2"/>
      <c r="D9785" s="22">
        <v>1825</v>
      </c>
      <c r="E9785" s="22">
        <v>0</v>
      </c>
      <c r="F9785" s="3">
        <v>42331</v>
      </c>
      <c r="G9785" s="2" t="s">
        <v>12325</v>
      </c>
      <c r="H9785" s="2"/>
      <c r="I9785" s="2"/>
      <c r="J9785" s="2" t="s">
        <v>13904</v>
      </c>
      <c r="K9785" s="2" t="s">
        <v>18538</v>
      </c>
      <c r="L9785" s="246" t="s">
        <v>22280</v>
      </c>
    </row>
    <row r="9786" spans="1:12" ht="156" customHeight="1" x14ac:dyDescent="0.3">
      <c r="A9786" s="2">
        <v>9782</v>
      </c>
      <c r="B9786" s="82" t="s">
        <v>12191</v>
      </c>
      <c r="C9786" s="32"/>
      <c r="D9786" s="21">
        <v>3625</v>
      </c>
      <c r="E9786" s="21">
        <v>3625</v>
      </c>
      <c r="F9786" s="3">
        <v>42331</v>
      </c>
      <c r="G9786" s="2" t="s">
        <v>12325</v>
      </c>
      <c r="H9786" s="2"/>
      <c r="I9786" s="2"/>
      <c r="J9786" s="2" t="s">
        <v>13904</v>
      </c>
      <c r="K9786" s="2" t="s">
        <v>18538</v>
      </c>
      <c r="L9786" s="246" t="s">
        <v>22280</v>
      </c>
    </row>
    <row r="9787" spans="1:12" ht="156" customHeight="1" x14ac:dyDescent="0.3">
      <c r="A9787" s="2">
        <v>9783</v>
      </c>
      <c r="B9787" s="82" t="s">
        <v>12178</v>
      </c>
      <c r="C9787" s="32">
        <v>1013402011</v>
      </c>
      <c r="D9787" s="21">
        <v>6375</v>
      </c>
      <c r="E9787" s="21">
        <v>6375</v>
      </c>
      <c r="F9787" s="3">
        <v>42331</v>
      </c>
      <c r="G9787" s="2" t="s">
        <v>12325</v>
      </c>
      <c r="H9787" s="2"/>
      <c r="I9787" s="2"/>
      <c r="J9787" s="2" t="s">
        <v>13904</v>
      </c>
      <c r="K9787" s="2" t="s">
        <v>18538</v>
      </c>
      <c r="L9787" s="246" t="s">
        <v>22280</v>
      </c>
    </row>
    <row r="9788" spans="1:12" ht="156" customHeight="1" x14ac:dyDescent="0.3">
      <c r="A9788" s="2">
        <v>9784</v>
      </c>
      <c r="B9788" s="82" t="s">
        <v>12192</v>
      </c>
      <c r="C9788" s="32">
        <v>1013402037</v>
      </c>
      <c r="D9788" s="21">
        <v>11000</v>
      </c>
      <c r="E9788" s="21">
        <v>11000</v>
      </c>
      <c r="F9788" s="3">
        <v>42331</v>
      </c>
      <c r="G9788" s="2" t="s">
        <v>12325</v>
      </c>
      <c r="H9788" s="2"/>
      <c r="I9788" s="2"/>
      <c r="J9788" s="2" t="s">
        <v>13904</v>
      </c>
      <c r="K9788" s="2" t="s">
        <v>18538</v>
      </c>
      <c r="L9788" s="246" t="s">
        <v>22280</v>
      </c>
    </row>
    <row r="9789" spans="1:12" ht="156" customHeight="1" x14ac:dyDescent="0.3">
      <c r="A9789" s="2">
        <v>9785</v>
      </c>
      <c r="B9789" s="82" t="s">
        <v>12193</v>
      </c>
      <c r="C9789" s="32">
        <v>1013402050</v>
      </c>
      <c r="D9789" s="21">
        <v>3800</v>
      </c>
      <c r="E9789" s="21">
        <v>3800</v>
      </c>
      <c r="F9789" s="3">
        <v>42331</v>
      </c>
      <c r="G9789" s="2" t="s">
        <v>12325</v>
      </c>
      <c r="H9789" s="2"/>
      <c r="I9789" s="2"/>
      <c r="J9789" s="2" t="s">
        <v>13904</v>
      </c>
      <c r="K9789" s="2" t="s">
        <v>18538</v>
      </c>
      <c r="L9789" s="246" t="s">
        <v>22280</v>
      </c>
    </row>
    <row r="9790" spans="1:12" ht="156" customHeight="1" x14ac:dyDescent="0.3">
      <c r="A9790" s="2">
        <v>9786</v>
      </c>
      <c r="B9790" s="82" t="s">
        <v>12194</v>
      </c>
      <c r="C9790" s="32">
        <v>1013402063</v>
      </c>
      <c r="D9790" s="21">
        <v>3500</v>
      </c>
      <c r="E9790" s="21">
        <v>3500</v>
      </c>
      <c r="F9790" s="3">
        <v>42331</v>
      </c>
      <c r="G9790" s="2" t="s">
        <v>12325</v>
      </c>
      <c r="H9790" s="2"/>
      <c r="I9790" s="2"/>
      <c r="J9790" s="2" t="s">
        <v>13904</v>
      </c>
      <c r="K9790" s="2" t="s">
        <v>18538</v>
      </c>
      <c r="L9790" s="246" t="s">
        <v>22280</v>
      </c>
    </row>
    <row r="9791" spans="1:12" ht="156" customHeight="1" x14ac:dyDescent="0.3">
      <c r="A9791" s="2">
        <v>9787</v>
      </c>
      <c r="B9791" s="82" t="s">
        <v>12195</v>
      </c>
      <c r="C9791" s="32">
        <v>1013402076</v>
      </c>
      <c r="D9791" s="21">
        <v>4410</v>
      </c>
      <c r="E9791" s="21">
        <v>4410</v>
      </c>
      <c r="F9791" s="3">
        <v>42331</v>
      </c>
      <c r="G9791" s="2" t="s">
        <v>12325</v>
      </c>
      <c r="H9791" s="2"/>
      <c r="I9791" s="2"/>
      <c r="J9791" s="2" t="s">
        <v>13904</v>
      </c>
      <c r="K9791" s="2" t="s">
        <v>18538</v>
      </c>
      <c r="L9791" s="246" t="s">
        <v>22280</v>
      </c>
    </row>
    <row r="9792" spans="1:12" ht="156" customHeight="1" x14ac:dyDescent="0.3">
      <c r="A9792" s="2">
        <v>9788</v>
      </c>
      <c r="B9792" s="82" t="s">
        <v>12196</v>
      </c>
      <c r="C9792" s="2"/>
      <c r="D9792" s="22">
        <v>1970</v>
      </c>
      <c r="E9792" s="22">
        <v>0</v>
      </c>
      <c r="F9792" s="3">
        <v>42331</v>
      </c>
      <c r="G9792" s="2" t="s">
        <v>12325</v>
      </c>
      <c r="H9792" s="2"/>
      <c r="I9792" s="2"/>
      <c r="J9792" s="2" t="s">
        <v>13904</v>
      </c>
      <c r="K9792" s="2" t="s">
        <v>18538</v>
      </c>
      <c r="L9792" s="246" t="s">
        <v>22280</v>
      </c>
    </row>
    <row r="9793" spans="1:12" ht="156" customHeight="1" x14ac:dyDescent="0.3">
      <c r="A9793" s="2">
        <v>9789</v>
      </c>
      <c r="B9793" s="82" t="s">
        <v>12197</v>
      </c>
      <c r="C9793" s="78">
        <v>1013402102</v>
      </c>
      <c r="D9793" s="21">
        <v>5100</v>
      </c>
      <c r="E9793" s="21">
        <v>5100</v>
      </c>
      <c r="F9793" s="3">
        <v>42331</v>
      </c>
      <c r="G9793" s="2" t="s">
        <v>12325</v>
      </c>
      <c r="H9793" s="2"/>
      <c r="I9793" s="2"/>
      <c r="J9793" s="2" t="s">
        <v>13904</v>
      </c>
      <c r="K9793" s="2" t="s">
        <v>18538</v>
      </c>
      <c r="L9793" s="246" t="s">
        <v>22280</v>
      </c>
    </row>
    <row r="9794" spans="1:12" ht="156" customHeight="1" x14ac:dyDescent="0.3">
      <c r="A9794" s="2">
        <v>9790</v>
      </c>
      <c r="B9794" s="82" t="s">
        <v>12198</v>
      </c>
      <c r="C9794" s="78">
        <v>1013402115</v>
      </c>
      <c r="D9794" s="21">
        <v>34300</v>
      </c>
      <c r="E9794" s="21">
        <v>34300</v>
      </c>
      <c r="F9794" s="3">
        <v>42331</v>
      </c>
      <c r="G9794" s="2" t="s">
        <v>12325</v>
      </c>
      <c r="H9794" s="2"/>
      <c r="I9794" s="2"/>
      <c r="J9794" s="2" t="s">
        <v>13904</v>
      </c>
      <c r="K9794" s="2" t="s">
        <v>18538</v>
      </c>
      <c r="L9794" s="246" t="s">
        <v>22280</v>
      </c>
    </row>
    <row r="9795" spans="1:12" ht="156" customHeight="1" x14ac:dyDescent="0.3">
      <c r="A9795" s="2">
        <v>9791</v>
      </c>
      <c r="B9795" s="82" t="s">
        <v>12180</v>
      </c>
      <c r="C9795" s="32">
        <v>1013402128</v>
      </c>
      <c r="D9795" s="21">
        <v>3739</v>
      </c>
      <c r="E9795" s="21">
        <v>3739</v>
      </c>
      <c r="F9795" s="3">
        <v>42331</v>
      </c>
      <c r="G9795" s="2" t="s">
        <v>12325</v>
      </c>
      <c r="H9795" s="2"/>
      <c r="I9795" s="2"/>
      <c r="J9795" s="2" t="s">
        <v>13904</v>
      </c>
      <c r="K9795" s="2" t="s">
        <v>18538</v>
      </c>
      <c r="L9795" s="246" t="s">
        <v>22280</v>
      </c>
    </row>
    <row r="9796" spans="1:12" ht="156" customHeight="1" x14ac:dyDescent="0.3">
      <c r="A9796" s="2">
        <v>9792</v>
      </c>
      <c r="B9796" s="82" t="s">
        <v>12199</v>
      </c>
      <c r="C9796" s="32">
        <v>1013402141</v>
      </c>
      <c r="D9796" s="21">
        <v>32062.5</v>
      </c>
      <c r="E9796" s="21">
        <v>32062.5</v>
      </c>
      <c r="F9796" s="3">
        <v>42331</v>
      </c>
      <c r="G9796" s="2" t="s">
        <v>12325</v>
      </c>
      <c r="H9796" s="2"/>
      <c r="I9796" s="2"/>
      <c r="J9796" s="2" t="s">
        <v>13904</v>
      </c>
      <c r="K9796" s="2" t="s">
        <v>18538</v>
      </c>
      <c r="L9796" s="246" t="s">
        <v>22280</v>
      </c>
    </row>
    <row r="9797" spans="1:12" ht="156" customHeight="1" x14ac:dyDescent="0.3">
      <c r="A9797" s="2">
        <v>9793</v>
      </c>
      <c r="B9797" s="82" t="s">
        <v>12182</v>
      </c>
      <c r="C9797" s="32">
        <v>1013402154</v>
      </c>
      <c r="D9797" s="21">
        <v>6874</v>
      </c>
      <c r="E9797" s="21">
        <v>6875</v>
      </c>
      <c r="F9797" s="3">
        <v>42331</v>
      </c>
      <c r="G9797" s="2" t="s">
        <v>12325</v>
      </c>
      <c r="H9797" s="2"/>
      <c r="I9797" s="2"/>
      <c r="J9797" s="2" t="s">
        <v>13904</v>
      </c>
      <c r="K9797" s="2" t="s">
        <v>18538</v>
      </c>
      <c r="L9797" s="246" t="s">
        <v>22280</v>
      </c>
    </row>
    <row r="9798" spans="1:12" ht="156" customHeight="1" x14ac:dyDescent="0.3">
      <c r="A9798" s="2">
        <v>9794</v>
      </c>
      <c r="B9798" s="82" t="s">
        <v>12200</v>
      </c>
      <c r="C9798" s="32">
        <v>1013402167</v>
      </c>
      <c r="D9798" s="21">
        <v>29628.9</v>
      </c>
      <c r="E9798" s="21">
        <v>29628.9</v>
      </c>
      <c r="F9798" s="3">
        <v>42331</v>
      </c>
      <c r="G9798" s="2" t="s">
        <v>12325</v>
      </c>
      <c r="H9798" s="2"/>
      <c r="I9798" s="2"/>
      <c r="J9798" s="2" t="s">
        <v>13904</v>
      </c>
      <c r="K9798" s="2" t="s">
        <v>18538</v>
      </c>
      <c r="L9798" s="246" t="s">
        <v>22280</v>
      </c>
    </row>
    <row r="9799" spans="1:12" ht="156" customHeight="1" x14ac:dyDescent="0.3">
      <c r="A9799" s="2">
        <v>9795</v>
      </c>
      <c r="B9799" s="82" t="s">
        <v>12201</v>
      </c>
      <c r="C9799" s="32">
        <v>1013402180</v>
      </c>
      <c r="D9799" s="21">
        <v>11600</v>
      </c>
      <c r="E9799" s="21">
        <v>11600</v>
      </c>
      <c r="F9799" s="3">
        <v>42331</v>
      </c>
      <c r="G9799" s="2" t="s">
        <v>12325</v>
      </c>
      <c r="H9799" s="2"/>
      <c r="I9799" s="2"/>
      <c r="J9799" s="2" t="s">
        <v>13904</v>
      </c>
      <c r="K9799" s="2" t="s">
        <v>18538</v>
      </c>
      <c r="L9799" s="246" t="s">
        <v>22280</v>
      </c>
    </row>
    <row r="9800" spans="1:12" ht="156" customHeight="1" x14ac:dyDescent="0.3">
      <c r="A9800" s="2">
        <v>9796</v>
      </c>
      <c r="B9800" s="82" t="s">
        <v>12186</v>
      </c>
      <c r="C9800" s="32"/>
      <c r="D9800" s="21">
        <v>225</v>
      </c>
      <c r="E9800" s="21">
        <v>0</v>
      </c>
      <c r="F9800" s="3">
        <v>42331</v>
      </c>
      <c r="G9800" s="2" t="s">
        <v>12325</v>
      </c>
      <c r="H9800" s="2"/>
      <c r="I9800" s="2"/>
      <c r="J9800" s="2" t="s">
        <v>13904</v>
      </c>
      <c r="K9800" s="2" t="s">
        <v>18538</v>
      </c>
      <c r="L9800" s="246" t="s">
        <v>22280</v>
      </c>
    </row>
    <row r="9801" spans="1:12" ht="348" customHeight="1" x14ac:dyDescent="0.3">
      <c r="A9801" s="2">
        <v>9797</v>
      </c>
      <c r="B9801" s="82" t="s">
        <v>12202</v>
      </c>
      <c r="C9801" s="78">
        <v>4101240029</v>
      </c>
      <c r="D9801" s="21">
        <v>73605.600000000006</v>
      </c>
      <c r="E9801" s="21">
        <v>69107.48</v>
      </c>
      <c r="F9801" s="3">
        <v>42331</v>
      </c>
      <c r="G9801" s="2" t="s">
        <v>12325</v>
      </c>
      <c r="H9801" s="2"/>
      <c r="I9801" s="2"/>
      <c r="J9801" s="2" t="s">
        <v>13904</v>
      </c>
      <c r="K9801" s="2" t="s">
        <v>18538</v>
      </c>
      <c r="L9801" s="82" t="s">
        <v>18773</v>
      </c>
    </row>
    <row r="9802" spans="1:12" ht="156" customHeight="1" x14ac:dyDescent="0.3">
      <c r="A9802" s="2">
        <v>9798</v>
      </c>
      <c r="B9802" s="82" t="s">
        <v>12188</v>
      </c>
      <c r="C9802" s="32"/>
      <c r="D9802" s="22">
        <v>1188</v>
      </c>
      <c r="E9802" s="22">
        <v>0</v>
      </c>
      <c r="F9802" s="3">
        <v>42331</v>
      </c>
      <c r="G9802" s="2" t="s">
        <v>12325</v>
      </c>
      <c r="H9802" s="2"/>
      <c r="I9802" s="2"/>
      <c r="J9802" s="2" t="s">
        <v>13904</v>
      </c>
      <c r="K9802" s="2" t="s">
        <v>18538</v>
      </c>
      <c r="L9802" s="246" t="s">
        <v>22280</v>
      </c>
    </row>
    <row r="9803" spans="1:12" ht="156" customHeight="1" x14ac:dyDescent="0.3">
      <c r="A9803" s="2">
        <v>9799</v>
      </c>
      <c r="B9803" s="82" t="s">
        <v>12189</v>
      </c>
      <c r="C9803" s="32"/>
      <c r="D9803" s="22">
        <v>1375</v>
      </c>
      <c r="E9803" s="22">
        <v>0</v>
      </c>
      <c r="F9803" s="3">
        <v>42332</v>
      </c>
      <c r="G9803" s="2" t="s">
        <v>12325</v>
      </c>
      <c r="H9803" s="2"/>
      <c r="I9803" s="2"/>
      <c r="J9803" s="2" t="s">
        <v>13904</v>
      </c>
      <c r="K9803" s="2" t="s">
        <v>18538</v>
      </c>
      <c r="L9803" s="246" t="s">
        <v>22280</v>
      </c>
    </row>
    <row r="9804" spans="1:12" ht="156" customHeight="1" x14ac:dyDescent="0.3">
      <c r="A9804" s="2">
        <v>9800</v>
      </c>
      <c r="B9804" s="82" t="s">
        <v>12175</v>
      </c>
      <c r="C9804" s="32"/>
      <c r="D9804" s="22">
        <v>1950</v>
      </c>
      <c r="E9804" s="22">
        <v>0</v>
      </c>
      <c r="F9804" s="3">
        <v>42333</v>
      </c>
      <c r="G9804" s="2" t="s">
        <v>12325</v>
      </c>
      <c r="H9804" s="2"/>
      <c r="I9804" s="2"/>
      <c r="J9804" s="2" t="s">
        <v>13904</v>
      </c>
      <c r="K9804" s="2" t="s">
        <v>18538</v>
      </c>
      <c r="L9804" s="246" t="s">
        <v>22280</v>
      </c>
    </row>
    <row r="9805" spans="1:12" ht="156" customHeight="1" x14ac:dyDescent="0.3">
      <c r="A9805" s="2">
        <v>9801</v>
      </c>
      <c r="B9805" s="82" t="s">
        <v>12176</v>
      </c>
      <c r="C9805" s="2"/>
      <c r="D9805" s="22">
        <v>1825</v>
      </c>
      <c r="E9805" s="22">
        <v>0</v>
      </c>
      <c r="F9805" s="3">
        <v>42334</v>
      </c>
      <c r="G9805" s="2" t="s">
        <v>12325</v>
      </c>
      <c r="H9805" s="2"/>
      <c r="I9805" s="2"/>
      <c r="J9805" s="2" t="s">
        <v>13904</v>
      </c>
      <c r="K9805" s="2" t="s">
        <v>18538</v>
      </c>
      <c r="L9805" s="246" t="s">
        <v>22280</v>
      </c>
    </row>
    <row r="9806" spans="1:12" ht="156" customHeight="1" x14ac:dyDescent="0.3">
      <c r="A9806" s="2">
        <v>9802</v>
      </c>
      <c r="B9806" s="82" t="s">
        <v>12191</v>
      </c>
      <c r="C9806" s="32">
        <v>1013402749</v>
      </c>
      <c r="D9806" s="21">
        <v>3625</v>
      </c>
      <c r="E9806" s="21">
        <v>3625</v>
      </c>
      <c r="F9806" s="3">
        <v>42335</v>
      </c>
      <c r="G9806" s="2" t="s">
        <v>12325</v>
      </c>
      <c r="H9806" s="2"/>
      <c r="I9806" s="2"/>
      <c r="J9806" s="2" t="s">
        <v>13904</v>
      </c>
      <c r="K9806" s="2" t="s">
        <v>18538</v>
      </c>
      <c r="L9806" s="246" t="s">
        <v>22280</v>
      </c>
    </row>
    <row r="9807" spans="1:12" ht="156" customHeight="1" x14ac:dyDescent="0.3">
      <c r="A9807" s="2">
        <v>9803</v>
      </c>
      <c r="B9807" s="82" t="s">
        <v>12178</v>
      </c>
      <c r="C9807" s="32">
        <v>1013402829</v>
      </c>
      <c r="D9807" s="21">
        <v>6375</v>
      </c>
      <c r="E9807" s="21">
        <v>6375</v>
      </c>
      <c r="F9807" s="3">
        <v>42336</v>
      </c>
      <c r="G9807" s="2" t="s">
        <v>12325</v>
      </c>
      <c r="H9807" s="2"/>
      <c r="I9807" s="2"/>
      <c r="J9807" s="2" t="s">
        <v>13904</v>
      </c>
      <c r="K9807" s="2" t="s">
        <v>18538</v>
      </c>
      <c r="L9807" s="246" t="s">
        <v>22280</v>
      </c>
    </row>
    <row r="9808" spans="1:12" ht="156" customHeight="1" x14ac:dyDescent="0.3">
      <c r="A9808" s="2">
        <v>9804</v>
      </c>
      <c r="B9808" s="82" t="s">
        <v>12182</v>
      </c>
      <c r="C9808" s="32">
        <v>1013402912</v>
      </c>
      <c r="D9808" s="21">
        <v>6875</v>
      </c>
      <c r="E9808" s="21">
        <v>6875</v>
      </c>
      <c r="F9808" s="3">
        <v>42337</v>
      </c>
      <c r="G9808" s="2" t="s">
        <v>12325</v>
      </c>
      <c r="H9808" s="2"/>
      <c r="I9808" s="2"/>
      <c r="J9808" s="2" t="s">
        <v>13904</v>
      </c>
      <c r="K9808" s="2" t="s">
        <v>18538</v>
      </c>
      <c r="L9808" s="246" t="s">
        <v>22280</v>
      </c>
    </row>
    <row r="9809" spans="1:12" ht="156" customHeight="1" x14ac:dyDescent="0.3">
      <c r="A9809" s="2">
        <v>9805</v>
      </c>
      <c r="B9809" s="82" t="s">
        <v>12180</v>
      </c>
      <c r="C9809" s="32">
        <v>1013402992</v>
      </c>
      <c r="D9809" s="21">
        <v>3739</v>
      </c>
      <c r="E9809" s="21">
        <v>3739</v>
      </c>
      <c r="F9809" s="3">
        <v>42338</v>
      </c>
      <c r="G9809" s="2" t="s">
        <v>12325</v>
      </c>
      <c r="H9809" s="2"/>
      <c r="I9809" s="2"/>
      <c r="J9809" s="2" t="s">
        <v>13904</v>
      </c>
      <c r="K9809" s="2" t="s">
        <v>18538</v>
      </c>
      <c r="L9809" s="246" t="s">
        <v>22280</v>
      </c>
    </row>
    <row r="9810" spans="1:12" ht="156" customHeight="1" x14ac:dyDescent="0.3">
      <c r="A9810" s="2">
        <v>9806</v>
      </c>
      <c r="B9810" s="82" t="s">
        <v>12203</v>
      </c>
      <c r="C9810" s="32">
        <v>1013403073</v>
      </c>
      <c r="D9810" s="21">
        <v>9124</v>
      </c>
      <c r="E9810" s="21">
        <v>9124</v>
      </c>
      <c r="F9810" s="3">
        <v>42339</v>
      </c>
      <c r="G9810" s="2" t="s">
        <v>12325</v>
      </c>
      <c r="H9810" s="2"/>
      <c r="I9810" s="2"/>
      <c r="J9810" s="2" t="s">
        <v>13904</v>
      </c>
      <c r="K9810" s="2" t="s">
        <v>18538</v>
      </c>
      <c r="L9810" s="246" t="s">
        <v>22280</v>
      </c>
    </row>
    <row r="9811" spans="1:12" ht="156" customHeight="1" x14ac:dyDescent="0.3">
      <c r="A9811" s="2">
        <v>9807</v>
      </c>
      <c r="B9811" s="82" t="s">
        <v>12184</v>
      </c>
      <c r="C9811" s="32"/>
      <c r="D9811" s="22">
        <v>1970</v>
      </c>
      <c r="E9811" s="22">
        <v>0</v>
      </c>
      <c r="F9811" s="3">
        <v>42340</v>
      </c>
      <c r="G9811" s="2" t="s">
        <v>12325</v>
      </c>
      <c r="H9811" s="2"/>
      <c r="I9811" s="2"/>
      <c r="J9811" s="2" t="s">
        <v>13904</v>
      </c>
      <c r="K9811" s="2" t="s">
        <v>18538</v>
      </c>
      <c r="L9811" s="246" t="s">
        <v>22280</v>
      </c>
    </row>
    <row r="9812" spans="1:12" ht="156" customHeight="1" x14ac:dyDescent="0.3">
      <c r="A9812" s="2">
        <v>9808</v>
      </c>
      <c r="B9812" s="82" t="s">
        <v>12186</v>
      </c>
      <c r="C9812" s="32"/>
      <c r="D9812" s="21">
        <v>225</v>
      </c>
      <c r="E9812" s="21">
        <v>0</v>
      </c>
      <c r="F9812" s="3">
        <v>42341</v>
      </c>
      <c r="G9812" s="2" t="s">
        <v>12325</v>
      </c>
      <c r="H9812" s="2"/>
      <c r="I9812" s="2"/>
      <c r="J9812" s="2" t="s">
        <v>13904</v>
      </c>
      <c r="K9812" s="2" t="s">
        <v>18538</v>
      </c>
      <c r="L9812" s="246" t="s">
        <v>22280</v>
      </c>
    </row>
    <row r="9813" spans="1:12" ht="348" customHeight="1" x14ac:dyDescent="0.3">
      <c r="A9813" s="2">
        <v>9809</v>
      </c>
      <c r="B9813" s="105" t="s">
        <v>12204</v>
      </c>
      <c r="C9813" s="78">
        <v>4101240031</v>
      </c>
      <c r="D9813" s="21">
        <v>73605.600000000006</v>
      </c>
      <c r="E9813" s="21">
        <v>69107.48</v>
      </c>
      <c r="F9813" s="3">
        <v>42331</v>
      </c>
      <c r="G9813" s="2" t="s">
        <v>12325</v>
      </c>
      <c r="H9813" s="2"/>
      <c r="I9813" s="2"/>
      <c r="J9813" s="2" t="s">
        <v>13904</v>
      </c>
      <c r="K9813" s="2" t="s">
        <v>18538</v>
      </c>
      <c r="L9813" s="82" t="s">
        <v>18773</v>
      </c>
    </row>
    <row r="9814" spans="1:12" ht="156" customHeight="1" x14ac:dyDescent="0.3">
      <c r="A9814" s="2">
        <v>9810</v>
      </c>
      <c r="B9814" s="82" t="s">
        <v>12188</v>
      </c>
      <c r="C9814" s="2"/>
      <c r="D9814" s="21">
        <v>1188</v>
      </c>
      <c r="E9814" s="21">
        <v>0</v>
      </c>
      <c r="F9814" s="3">
        <v>42331</v>
      </c>
      <c r="G9814" s="2" t="s">
        <v>12325</v>
      </c>
      <c r="H9814" s="2"/>
      <c r="I9814" s="2"/>
      <c r="J9814" s="2" t="s">
        <v>13904</v>
      </c>
      <c r="K9814" s="2" t="s">
        <v>18538</v>
      </c>
      <c r="L9814" s="246" t="s">
        <v>22280</v>
      </c>
    </row>
    <row r="9815" spans="1:12" ht="156" customHeight="1" x14ac:dyDescent="0.3">
      <c r="A9815" s="2">
        <v>9811</v>
      </c>
      <c r="B9815" s="82" t="s">
        <v>12189</v>
      </c>
      <c r="C9815" s="32"/>
      <c r="D9815" s="22">
        <v>1375</v>
      </c>
      <c r="E9815" s="22">
        <v>0</v>
      </c>
      <c r="F9815" s="3">
        <v>42332</v>
      </c>
      <c r="G9815" s="2" t="s">
        <v>12325</v>
      </c>
      <c r="H9815" s="2"/>
      <c r="I9815" s="2"/>
      <c r="J9815" s="2" t="s">
        <v>13904</v>
      </c>
      <c r="K9815" s="2" t="s">
        <v>18538</v>
      </c>
      <c r="L9815" s="246" t="s">
        <v>22280</v>
      </c>
    </row>
    <row r="9816" spans="1:12" ht="156" customHeight="1" x14ac:dyDescent="0.3">
      <c r="A9816" s="2">
        <v>9812</v>
      </c>
      <c r="B9816" s="82" t="s">
        <v>12175</v>
      </c>
      <c r="C9816" s="32"/>
      <c r="D9816" s="22">
        <v>1950</v>
      </c>
      <c r="E9816" s="22">
        <v>0</v>
      </c>
      <c r="F9816" s="3">
        <v>42333</v>
      </c>
      <c r="G9816" s="2" t="s">
        <v>12325</v>
      </c>
      <c r="H9816" s="2"/>
      <c r="I9816" s="2"/>
      <c r="J9816" s="2" t="s">
        <v>13904</v>
      </c>
      <c r="K9816" s="2" t="s">
        <v>18538</v>
      </c>
      <c r="L9816" s="246" t="s">
        <v>22280</v>
      </c>
    </row>
    <row r="9817" spans="1:12" ht="156" customHeight="1" x14ac:dyDescent="0.3">
      <c r="A9817" s="2">
        <v>9813</v>
      </c>
      <c r="B9817" s="82" t="s">
        <v>12176</v>
      </c>
      <c r="C9817" s="32"/>
      <c r="D9817" s="22">
        <v>1825</v>
      </c>
      <c r="E9817" s="22">
        <v>0</v>
      </c>
      <c r="F9817" s="3">
        <v>42334</v>
      </c>
      <c r="G9817" s="2" t="s">
        <v>12325</v>
      </c>
      <c r="H9817" s="2"/>
      <c r="I9817" s="2"/>
      <c r="J9817" s="2" t="s">
        <v>13904</v>
      </c>
      <c r="K9817" s="2" t="s">
        <v>18538</v>
      </c>
      <c r="L9817" s="246" t="s">
        <v>22280</v>
      </c>
    </row>
    <row r="9818" spans="1:12" ht="156" customHeight="1" x14ac:dyDescent="0.3">
      <c r="A9818" s="2">
        <v>9814</v>
      </c>
      <c r="B9818" s="82" t="s">
        <v>12191</v>
      </c>
      <c r="C9818" s="32">
        <v>1013403327</v>
      </c>
      <c r="D9818" s="21">
        <v>3625</v>
      </c>
      <c r="E9818" s="21">
        <v>3625</v>
      </c>
      <c r="F9818" s="3">
        <v>42335</v>
      </c>
      <c r="G9818" s="2" t="s">
        <v>12325</v>
      </c>
      <c r="H9818" s="2"/>
      <c r="I9818" s="2"/>
      <c r="J9818" s="2" t="s">
        <v>13904</v>
      </c>
      <c r="K9818" s="2" t="s">
        <v>18538</v>
      </c>
      <c r="L9818" s="246" t="s">
        <v>22280</v>
      </c>
    </row>
    <row r="9819" spans="1:12" ht="156" customHeight="1" x14ac:dyDescent="0.3">
      <c r="A9819" s="2">
        <v>9815</v>
      </c>
      <c r="B9819" s="82" t="s">
        <v>12178</v>
      </c>
      <c r="C9819" s="32">
        <v>1013403464</v>
      </c>
      <c r="D9819" s="21">
        <v>6375</v>
      </c>
      <c r="E9819" s="21">
        <v>6375</v>
      </c>
      <c r="F9819" s="3">
        <v>42336</v>
      </c>
      <c r="G9819" s="2" t="s">
        <v>12325</v>
      </c>
      <c r="H9819" s="2"/>
      <c r="I9819" s="2"/>
      <c r="J9819" s="2" t="s">
        <v>13904</v>
      </c>
      <c r="K9819" s="2" t="s">
        <v>18538</v>
      </c>
      <c r="L9819" s="246" t="s">
        <v>22280</v>
      </c>
    </row>
    <row r="9820" spans="1:12" ht="156" customHeight="1" x14ac:dyDescent="0.3">
      <c r="A9820" s="2">
        <v>9816</v>
      </c>
      <c r="B9820" s="82" t="s">
        <v>12182</v>
      </c>
      <c r="C9820" s="32">
        <v>1013403611</v>
      </c>
      <c r="D9820" s="21">
        <v>6875</v>
      </c>
      <c r="E9820" s="21">
        <v>6875</v>
      </c>
      <c r="F9820" s="3">
        <v>42337</v>
      </c>
      <c r="G9820" s="2" t="s">
        <v>12325</v>
      </c>
      <c r="H9820" s="2"/>
      <c r="I9820" s="2"/>
      <c r="J9820" s="2" t="s">
        <v>13904</v>
      </c>
      <c r="K9820" s="2" t="s">
        <v>18538</v>
      </c>
      <c r="L9820" s="246" t="s">
        <v>22280</v>
      </c>
    </row>
    <row r="9821" spans="1:12" ht="156" customHeight="1" x14ac:dyDescent="0.3">
      <c r="A9821" s="2">
        <v>9817</v>
      </c>
      <c r="B9821" s="82" t="s">
        <v>12180</v>
      </c>
      <c r="C9821" s="32">
        <v>1013403753</v>
      </c>
      <c r="D9821" s="21">
        <v>3739</v>
      </c>
      <c r="E9821" s="21">
        <v>3739</v>
      </c>
      <c r="F9821" s="3">
        <v>42338</v>
      </c>
      <c r="G9821" s="2" t="s">
        <v>12325</v>
      </c>
      <c r="H9821" s="2"/>
      <c r="I9821" s="2"/>
      <c r="J9821" s="2" t="s">
        <v>13904</v>
      </c>
      <c r="K9821" s="2" t="s">
        <v>18538</v>
      </c>
      <c r="L9821" s="246" t="s">
        <v>22280</v>
      </c>
    </row>
    <row r="9822" spans="1:12" ht="156" customHeight="1" x14ac:dyDescent="0.3">
      <c r="A9822" s="2">
        <v>9818</v>
      </c>
      <c r="B9822" s="82" t="s">
        <v>12203</v>
      </c>
      <c r="C9822" s="32">
        <v>1013403895</v>
      </c>
      <c r="D9822" s="21">
        <v>9124</v>
      </c>
      <c r="E9822" s="21">
        <v>9124</v>
      </c>
      <c r="F9822" s="3">
        <v>42339</v>
      </c>
      <c r="G9822" s="2" t="s">
        <v>12325</v>
      </c>
      <c r="H9822" s="2"/>
      <c r="I9822" s="2"/>
      <c r="J9822" s="2" t="s">
        <v>13904</v>
      </c>
      <c r="K9822" s="2" t="s">
        <v>18538</v>
      </c>
      <c r="L9822" s="246" t="s">
        <v>22280</v>
      </c>
    </row>
    <row r="9823" spans="1:12" ht="156" customHeight="1" x14ac:dyDescent="0.3">
      <c r="A9823" s="2">
        <v>9819</v>
      </c>
      <c r="B9823" s="82" t="s">
        <v>12196</v>
      </c>
      <c r="C9823" s="32"/>
      <c r="D9823" s="22">
        <v>2100</v>
      </c>
      <c r="E9823" s="22">
        <v>0</v>
      </c>
      <c r="F9823" s="3">
        <v>42340</v>
      </c>
      <c r="G9823" s="2" t="s">
        <v>12325</v>
      </c>
      <c r="H9823" s="2"/>
      <c r="I9823" s="2"/>
      <c r="J9823" s="2" t="s">
        <v>13904</v>
      </c>
      <c r="K9823" s="2" t="s">
        <v>18538</v>
      </c>
      <c r="L9823" s="246" t="s">
        <v>22280</v>
      </c>
    </row>
    <row r="9824" spans="1:12" ht="156" customHeight="1" x14ac:dyDescent="0.3">
      <c r="A9824" s="2">
        <v>9820</v>
      </c>
      <c r="B9824" s="82" t="s">
        <v>12193</v>
      </c>
      <c r="C9824" s="78">
        <v>1013404037</v>
      </c>
      <c r="D9824" s="21">
        <v>3800</v>
      </c>
      <c r="E9824" s="21">
        <v>3800</v>
      </c>
      <c r="F9824" s="3">
        <v>42341</v>
      </c>
      <c r="G9824" s="2" t="s">
        <v>12325</v>
      </c>
      <c r="H9824" s="2"/>
      <c r="I9824" s="2"/>
      <c r="J9824" s="2" t="s">
        <v>13904</v>
      </c>
      <c r="K9824" s="2" t="s">
        <v>18538</v>
      </c>
      <c r="L9824" s="246" t="s">
        <v>22280</v>
      </c>
    </row>
    <row r="9825" spans="1:12" ht="156" customHeight="1" x14ac:dyDescent="0.3">
      <c r="A9825" s="2">
        <v>9821</v>
      </c>
      <c r="B9825" s="82" t="s">
        <v>12205</v>
      </c>
      <c r="C9825" s="32">
        <v>1013404178</v>
      </c>
      <c r="D9825" s="21">
        <v>3500</v>
      </c>
      <c r="E9825" s="21">
        <v>3500</v>
      </c>
      <c r="F9825" s="3">
        <v>42342</v>
      </c>
      <c r="G9825" s="2" t="s">
        <v>12325</v>
      </c>
      <c r="H9825" s="2"/>
      <c r="I9825" s="2"/>
      <c r="J9825" s="2" t="s">
        <v>13904</v>
      </c>
      <c r="K9825" s="2" t="s">
        <v>18538</v>
      </c>
      <c r="L9825" s="246" t="s">
        <v>22280</v>
      </c>
    </row>
    <row r="9826" spans="1:12" ht="156" customHeight="1" x14ac:dyDescent="0.3">
      <c r="A9826" s="2">
        <v>9822</v>
      </c>
      <c r="B9826" s="82" t="s">
        <v>12195</v>
      </c>
      <c r="C9826" s="32">
        <v>1013404321</v>
      </c>
      <c r="D9826" s="21">
        <v>4410</v>
      </c>
      <c r="E9826" s="21">
        <v>4410</v>
      </c>
      <c r="F9826" s="3">
        <v>42343</v>
      </c>
      <c r="G9826" s="2" t="s">
        <v>12325</v>
      </c>
      <c r="H9826" s="2"/>
      <c r="I9826" s="2"/>
      <c r="J9826" s="2" t="s">
        <v>13904</v>
      </c>
      <c r="K9826" s="2" t="s">
        <v>18538</v>
      </c>
      <c r="L9826" s="246" t="s">
        <v>22280</v>
      </c>
    </row>
    <row r="9827" spans="1:12" ht="156" customHeight="1" x14ac:dyDescent="0.3">
      <c r="A9827" s="2">
        <v>9823</v>
      </c>
      <c r="B9827" s="82" t="s">
        <v>12186</v>
      </c>
      <c r="C9827" s="32"/>
      <c r="D9827" s="22">
        <v>225</v>
      </c>
      <c r="E9827" s="22">
        <v>0</v>
      </c>
      <c r="F9827" s="3">
        <v>42344</v>
      </c>
      <c r="G9827" s="2" t="s">
        <v>12325</v>
      </c>
      <c r="H9827" s="2"/>
      <c r="I9827" s="2"/>
      <c r="J9827" s="2" t="s">
        <v>13904</v>
      </c>
      <c r="K9827" s="2" t="s">
        <v>18538</v>
      </c>
      <c r="L9827" s="246" t="s">
        <v>22280</v>
      </c>
    </row>
    <row r="9828" spans="1:12" ht="348" customHeight="1" x14ac:dyDescent="0.3">
      <c r="A9828" s="2">
        <v>9824</v>
      </c>
      <c r="B9828" s="82" t="s">
        <v>12206</v>
      </c>
      <c r="C9828" s="207">
        <v>4101240030</v>
      </c>
      <c r="D9828" s="22">
        <v>73605.600000000006</v>
      </c>
      <c r="E9828" s="22">
        <v>69107.48</v>
      </c>
      <c r="F9828" s="3">
        <v>42331</v>
      </c>
      <c r="G9828" s="2" t="s">
        <v>12325</v>
      </c>
      <c r="H9828" s="2"/>
      <c r="I9828" s="2"/>
      <c r="J9828" s="2" t="s">
        <v>13904</v>
      </c>
      <c r="K9828" s="2" t="s">
        <v>18538</v>
      </c>
      <c r="L9828" s="82" t="s">
        <v>18773</v>
      </c>
    </row>
    <row r="9829" spans="1:12" ht="156" customHeight="1" x14ac:dyDescent="0.3">
      <c r="A9829" s="2">
        <v>9825</v>
      </c>
      <c r="B9829" s="82" t="s">
        <v>12188</v>
      </c>
      <c r="C9829" s="32"/>
      <c r="D9829" s="22">
        <v>1188</v>
      </c>
      <c r="E9829" s="22">
        <v>0</v>
      </c>
      <c r="F9829" s="3">
        <v>42331</v>
      </c>
      <c r="G9829" s="2" t="s">
        <v>12325</v>
      </c>
      <c r="H9829" s="2"/>
      <c r="I9829" s="2"/>
      <c r="J9829" s="2" t="s">
        <v>13904</v>
      </c>
      <c r="K9829" s="2" t="s">
        <v>18538</v>
      </c>
      <c r="L9829" s="246" t="s">
        <v>22280</v>
      </c>
    </row>
    <row r="9830" spans="1:12" ht="156" customHeight="1" x14ac:dyDescent="0.3">
      <c r="A9830" s="2">
        <v>9826</v>
      </c>
      <c r="B9830" s="82" t="s">
        <v>12189</v>
      </c>
      <c r="C9830" s="32"/>
      <c r="D9830" s="22">
        <v>1375</v>
      </c>
      <c r="E9830" s="22">
        <v>0</v>
      </c>
      <c r="F9830" s="3">
        <v>42332</v>
      </c>
      <c r="G9830" s="2" t="s">
        <v>12325</v>
      </c>
      <c r="H9830" s="2"/>
      <c r="I9830" s="2"/>
      <c r="J9830" s="2" t="s">
        <v>13904</v>
      </c>
      <c r="K9830" s="2" t="s">
        <v>18538</v>
      </c>
      <c r="L9830" s="246" t="s">
        <v>22280</v>
      </c>
    </row>
    <row r="9831" spans="1:12" ht="156" customHeight="1" x14ac:dyDescent="0.3">
      <c r="A9831" s="2">
        <v>9827</v>
      </c>
      <c r="B9831" s="82" t="s">
        <v>12175</v>
      </c>
      <c r="C9831" s="32"/>
      <c r="D9831" s="22">
        <v>1950</v>
      </c>
      <c r="E9831" s="22">
        <v>0</v>
      </c>
      <c r="F9831" s="3">
        <v>42333</v>
      </c>
      <c r="G9831" s="2" t="s">
        <v>12325</v>
      </c>
      <c r="H9831" s="2"/>
      <c r="I9831" s="2"/>
      <c r="J9831" s="2" t="s">
        <v>13904</v>
      </c>
      <c r="K9831" s="2" t="s">
        <v>18538</v>
      </c>
      <c r="L9831" s="246" t="s">
        <v>22280</v>
      </c>
    </row>
    <row r="9832" spans="1:12" ht="156" customHeight="1" x14ac:dyDescent="0.3">
      <c r="A9832" s="2">
        <v>9828</v>
      </c>
      <c r="B9832" s="82" t="s">
        <v>12176</v>
      </c>
      <c r="C9832" s="2"/>
      <c r="D9832" s="22">
        <v>1825</v>
      </c>
      <c r="E9832" s="22">
        <v>0</v>
      </c>
      <c r="F9832" s="3">
        <v>42334</v>
      </c>
      <c r="G9832" s="2" t="s">
        <v>12325</v>
      </c>
      <c r="H9832" s="2"/>
      <c r="I9832" s="2"/>
      <c r="J9832" s="2" t="s">
        <v>13904</v>
      </c>
      <c r="K9832" s="2" t="s">
        <v>18538</v>
      </c>
      <c r="L9832" s="246" t="s">
        <v>22280</v>
      </c>
    </row>
    <row r="9833" spans="1:12" ht="156" customHeight="1" x14ac:dyDescent="0.3">
      <c r="A9833" s="2">
        <v>9829</v>
      </c>
      <c r="B9833" s="82" t="s">
        <v>12191</v>
      </c>
      <c r="C9833" s="2">
        <v>1013402750</v>
      </c>
      <c r="D9833" s="22">
        <v>3625</v>
      </c>
      <c r="E9833" s="22">
        <v>3625</v>
      </c>
      <c r="F9833" s="3">
        <v>42335</v>
      </c>
      <c r="G9833" s="2" t="s">
        <v>12325</v>
      </c>
      <c r="H9833" s="2"/>
      <c r="I9833" s="2"/>
      <c r="J9833" s="2" t="s">
        <v>13904</v>
      </c>
      <c r="K9833" s="2" t="s">
        <v>18538</v>
      </c>
      <c r="L9833" s="246" t="s">
        <v>22280</v>
      </c>
    </row>
    <row r="9834" spans="1:12" ht="156" customHeight="1" x14ac:dyDescent="0.3">
      <c r="A9834" s="2">
        <v>9830</v>
      </c>
      <c r="B9834" s="82" t="s">
        <v>12178</v>
      </c>
      <c r="C9834" s="2">
        <v>1013400170</v>
      </c>
      <c r="D9834" s="22">
        <v>6375</v>
      </c>
      <c r="E9834" s="22">
        <v>6375</v>
      </c>
      <c r="F9834" s="3">
        <v>42336</v>
      </c>
      <c r="G9834" s="2" t="s">
        <v>12325</v>
      </c>
      <c r="H9834" s="2"/>
      <c r="I9834" s="2"/>
      <c r="J9834" s="2" t="s">
        <v>13904</v>
      </c>
      <c r="K9834" s="2" t="s">
        <v>18538</v>
      </c>
      <c r="L9834" s="246" t="s">
        <v>22280</v>
      </c>
    </row>
    <row r="9835" spans="1:12" ht="156" customHeight="1" x14ac:dyDescent="0.3">
      <c r="A9835" s="2">
        <v>9831</v>
      </c>
      <c r="B9835" s="82" t="s">
        <v>12182</v>
      </c>
      <c r="C9835" s="2">
        <v>1013402913</v>
      </c>
      <c r="D9835" s="22">
        <v>6875</v>
      </c>
      <c r="E9835" s="22">
        <v>6875</v>
      </c>
      <c r="F9835" s="3">
        <v>42337</v>
      </c>
      <c r="G9835" s="2" t="s">
        <v>12325</v>
      </c>
      <c r="H9835" s="2"/>
      <c r="I9835" s="2"/>
      <c r="J9835" s="2" t="s">
        <v>13904</v>
      </c>
      <c r="K9835" s="2" t="s">
        <v>18538</v>
      </c>
      <c r="L9835" s="246" t="s">
        <v>22280</v>
      </c>
    </row>
    <row r="9836" spans="1:12" ht="156" customHeight="1" x14ac:dyDescent="0.3">
      <c r="A9836" s="2">
        <v>9832</v>
      </c>
      <c r="B9836" s="82" t="s">
        <v>12180</v>
      </c>
      <c r="C9836" s="2">
        <v>1013402993</v>
      </c>
      <c r="D9836" s="22">
        <v>3739</v>
      </c>
      <c r="E9836" s="22">
        <v>3739</v>
      </c>
      <c r="F9836" s="3">
        <v>42338</v>
      </c>
      <c r="G9836" s="2" t="s">
        <v>12325</v>
      </c>
      <c r="H9836" s="2"/>
      <c r="I9836" s="2"/>
      <c r="J9836" s="2" t="s">
        <v>13904</v>
      </c>
      <c r="K9836" s="2" t="s">
        <v>18538</v>
      </c>
      <c r="L9836" s="246" t="s">
        <v>22280</v>
      </c>
    </row>
    <row r="9837" spans="1:12" ht="156" customHeight="1" x14ac:dyDescent="0.3">
      <c r="A9837" s="2">
        <v>9833</v>
      </c>
      <c r="B9837" s="82" t="s">
        <v>12203</v>
      </c>
      <c r="C9837" s="2">
        <v>1013403074</v>
      </c>
      <c r="D9837" s="22">
        <v>9124</v>
      </c>
      <c r="E9837" s="22">
        <v>9124</v>
      </c>
      <c r="F9837" s="3">
        <v>42339</v>
      </c>
      <c r="G9837" s="2" t="s">
        <v>12325</v>
      </c>
      <c r="H9837" s="2"/>
      <c r="I9837" s="2"/>
      <c r="J9837" s="2" t="s">
        <v>13904</v>
      </c>
      <c r="K9837" s="2" t="s">
        <v>18538</v>
      </c>
      <c r="L9837" s="246" t="s">
        <v>22280</v>
      </c>
    </row>
    <row r="9838" spans="1:12" ht="156" customHeight="1" x14ac:dyDescent="0.3">
      <c r="A9838" s="2">
        <v>9834</v>
      </c>
      <c r="B9838" s="82" t="s">
        <v>12184</v>
      </c>
      <c r="C9838" s="2"/>
      <c r="D9838" s="22">
        <v>1970</v>
      </c>
      <c r="E9838" s="22">
        <v>0</v>
      </c>
      <c r="F9838" s="3">
        <v>42340</v>
      </c>
      <c r="G9838" s="2" t="s">
        <v>12325</v>
      </c>
      <c r="H9838" s="2"/>
      <c r="I9838" s="2"/>
      <c r="J9838" s="2" t="s">
        <v>13904</v>
      </c>
      <c r="K9838" s="2" t="s">
        <v>18538</v>
      </c>
      <c r="L9838" s="246" t="s">
        <v>22280</v>
      </c>
    </row>
    <row r="9839" spans="1:12" ht="156" customHeight="1" x14ac:dyDescent="0.3">
      <c r="A9839" s="2">
        <v>9835</v>
      </c>
      <c r="B9839" s="82" t="s">
        <v>12186</v>
      </c>
      <c r="C9839" s="2"/>
      <c r="D9839" s="22">
        <v>225</v>
      </c>
      <c r="E9839" s="22">
        <v>0</v>
      </c>
      <c r="F9839" s="3">
        <v>42341</v>
      </c>
      <c r="G9839" s="2" t="s">
        <v>12325</v>
      </c>
      <c r="H9839" s="2"/>
      <c r="I9839" s="2"/>
      <c r="J9839" s="2" t="s">
        <v>13904</v>
      </c>
      <c r="K9839" s="2" t="s">
        <v>18538</v>
      </c>
      <c r="L9839" s="246" t="s">
        <v>22280</v>
      </c>
    </row>
    <row r="9840" spans="1:12" ht="348" customHeight="1" x14ac:dyDescent="0.3">
      <c r="A9840" s="2">
        <v>9836</v>
      </c>
      <c r="B9840" s="38" t="s">
        <v>12207</v>
      </c>
      <c r="C9840" s="207">
        <v>4101240032</v>
      </c>
      <c r="D9840" s="22">
        <v>66413</v>
      </c>
      <c r="E9840" s="22">
        <v>62354.35</v>
      </c>
      <c r="F9840" s="3">
        <v>42331</v>
      </c>
      <c r="G9840" s="2" t="s">
        <v>12325</v>
      </c>
      <c r="H9840" s="2"/>
      <c r="I9840" s="2"/>
      <c r="J9840" s="2" t="s">
        <v>13904</v>
      </c>
      <c r="K9840" s="2" t="s">
        <v>18538</v>
      </c>
      <c r="L9840" s="82" t="s">
        <v>18773</v>
      </c>
    </row>
    <row r="9841" spans="1:12" ht="156" customHeight="1" x14ac:dyDescent="0.3">
      <c r="A9841" s="2">
        <v>9837</v>
      </c>
      <c r="B9841" s="82" t="s">
        <v>12188</v>
      </c>
      <c r="C9841" s="2"/>
      <c r="D9841" s="22">
        <v>1188</v>
      </c>
      <c r="E9841" s="22">
        <v>0</v>
      </c>
      <c r="F9841" s="3">
        <v>42331</v>
      </c>
      <c r="G9841" s="2" t="s">
        <v>12325</v>
      </c>
      <c r="H9841" s="2"/>
      <c r="I9841" s="2"/>
      <c r="J9841" s="2" t="s">
        <v>13904</v>
      </c>
      <c r="K9841" s="2" t="s">
        <v>18538</v>
      </c>
      <c r="L9841" s="246" t="s">
        <v>22280</v>
      </c>
    </row>
    <row r="9842" spans="1:12" ht="156" customHeight="1" x14ac:dyDescent="0.3">
      <c r="A9842" s="2">
        <v>9838</v>
      </c>
      <c r="B9842" s="82" t="s">
        <v>12189</v>
      </c>
      <c r="C9842" s="2"/>
      <c r="D9842" s="22">
        <v>1375</v>
      </c>
      <c r="E9842" s="22">
        <v>0</v>
      </c>
      <c r="F9842" s="3">
        <v>42332</v>
      </c>
      <c r="G9842" s="2" t="s">
        <v>12325</v>
      </c>
      <c r="H9842" s="2"/>
      <c r="I9842" s="2"/>
      <c r="J9842" s="2" t="s">
        <v>13904</v>
      </c>
      <c r="K9842" s="2" t="s">
        <v>18538</v>
      </c>
      <c r="L9842" s="246" t="s">
        <v>22280</v>
      </c>
    </row>
    <row r="9843" spans="1:12" ht="156" customHeight="1" x14ac:dyDescent="0.3">
      <c r="A9843" s="2">
        <v>9839</v>
      </c>
      <c r="B9843" s="82" t="s">
        <v>12175</v>
      </c>
      <c r="C9843" s="2"/>
      <c r="D9843" s="22">
        <v>1950</v>
      </c>
      <c r="E9843" s="22">
        <v>0</v>
      </c>
      <c r="F9843" s="3">
        <v>42333</v>
      </c>
      <c r="G9843" s="2" t="s">
        <v>12325</v>
      </c>
      <c r="H9843" s="2"/>
      <c r="I9843" s="2"/>
      <c r="J9843" s="2" t="s">
        <v>13904</v>
      </c>
      <c r="K9843" s="2" t="s">
        <v>18538</v>
      </c>
      <c r="L9843" s="246" t="s">
        <v>22280</v>
      </c>
    </row>
    <row r="9844" spans="1:12" ht="156" customHeight="1" x14ac:dyDescent="0.3">
      <c r="A9844" s="2">
        <v>9840</v>
      </c>
      <c r="B9844" s="82" t="s">
        <v>12176</v>
      </c>
      <c r="C9844" s="2"/>
      <c r="D9844" s="22">
        <v>1825</v>
      </c>
      <c r="E9844" s="22">
        <v>0</v>
      </c>
      <c r="F9844" s="3">
        <v>42334</v>
      </c>
      <c r="G9844" s="2" t="s">
        <v>12325</v>
      </c>
      <c r="H9844" s="2"/>
      <c r="I9844" s="2"/>
      <c r="J9844" s="2" t="s">
        <v>13904</v>
      </c>
      <c r="K9844" s="2" t="s">
        <v>18538</v>
      </c>
      <c r="L9844" s="246" t="s">
        <v>22280</v>
      </c>
    </row>
    <row r="9845" spans="1:12" ht="156" customHeight="1" x14ac:dyDescent="0.3">
      <c r="A9845" s="2">
        <v>9841</v>
      </c>
      <c r="B9845" s="82" t="s">
        <v>12191</v>
      </c>
      <c r="C9845" s="2">
        <v>1013400110</v>
      </c>
      <c r="D9845" s="22">
        <v>3625</v>
      </c>
      <c r="E9845" s="22">
        <v>3625</v>
      </c>
      <c r="F9845" s="3">
        <v>42335</v>
      </c>
      <c r="G9845" s="2" t="s">
        <v>12325</v>
      </c>
      <c r="H9845" s="2"/>
      <c r="I9845" s="2"/>
      <c r="J9845" s="2" t="s">
        <v>13904</v>
      </c>
      <c r="K9845" s="2" t="s">
        <v>18538</v>
      </c>
      <c r="L9845" s="246" t="s">
        <v>22280</v>
      </c>
    </row>
    <row r="9846" spans="1:12" ht="156" customHeight="1" x14ac:dyDescent="0.3">
      <c r="A9846" s="2">
        <v>9842</v>
      </c>
      <c r="B9846" s="82" t="s">
        <v>12178</v>
      </c>
      <c r="C9846" s="2">
        <v>1013402830</v>
      </c>
      <c r="D9846" s="22">
        <v>6375</v>
      </c>
      <c r="E9846" s="22">
        <v>6375</v>
      </c>
      <c r="F9846" s="3">
        <v>42336</v>
      </c>
      <c r="G9846" s="2" t="s">
        <v>12325</v>
      </c>
      <c r="H9846" s="2"/>
      <c r="I9846" s="2"/>
      <c r="J9846" s="2" t="s">
        <v>13904</v>
      </c>
      <c r="K9846" s="2" t="s">
        <v>18538</v>
      </c>
      <c r="L9846" s="246" t="s">
        <v>22280</v>
      </c>
    </row>
    <row r="9847" spans="1:12" ht="156" customHeight="1" x14ac:dyDescent="0.3">
      <c r="A9847" s="2">
        <v>9843</v>
      </c>
      <c r="B9847" s="82" t="s">
        <v>12197</v>
      </c>
      <c r="C9847" s="2">
        <v>1013400237</v>
      </c>
      <c r="D9847" s="22">
        <v>5100</v>
      </c>
      <c r="E9847" s="22">
        <v>5100</v>
      </c>
      <c r="F9847" s="3">
        <v>42337</v>
      </c>
      <c r="G9847" s="2" t="s">
        <v>12325</v>
      </c>
      <c r="H9847" s="2"/>
      <c r="I9847" s="2"/>
      <c r="J9847" s="2" t="s">
        <v>13904</v>
      </c>
      <c r="K9847" s="2" t="s">
        <v>18538</v>
      </c>
      <c r="L9847" s="246" t="s">
        <v>22280</v>
      </c>
    </row>
    <row r="9848" spans="1:12" ht="156" customHeight="1" x14ac:dyDescent="0.3">
      <c r="A9848" s="2">
        <v>9844</v>
      </c>
      <c r="B9848" s="82" t="s">
        <v>12208</v>
      </c>
      <c r="C9848" s="2">
        <v>1013400300</v>
      </c>
      <c r="D9848" s="22">
        <v>3739</v>
      </c>
      <c r="E9848" s="22">
        <v>3739</v>
      </c>
      <c r="F9848" s="3">
        <v>42338</v>
      </c>
      <c r="G9848" s="2" t="s">
        <v>12325</v>
      </c>
      <c r="H9848" s="2"/>
      <c r="I9848" s="2"/>
      <c r="J9848" s="2" t="s">
        <v>13904</v>
      </c>
      <c r="K9848" s="2" t="s">
        <v>18538</v>
      </c>
      <c r="L9848" s="246" t="s">
        <v>22280</v>
      </c>
    </row>
    <row r="9849" spans="1:12" ht="156" customHeight="1" x14ac:dyDescent="0.3">
      <c r="A9849" s="2">
        <v>9845</v>
      </c>
      <c r="B9849" s="82" t="s">
        <v>12181</v>
      </c>
      <c r="C9849" s="2">
        <v>1013400363</v>
      </c>
      <c r="D9849" s="22">
        <v>15700</v>
      </c>
      <c r="E9849" s="22">
        <v>15700</v>
      </c>
      <c r="F9849" s="3">
        <v>42339</v>
      </c>
      <c r="G9849" s="2" t="s">
        <v>12325</v>
      </c>
      <c r="H9849" s="2"/>
      <c r="I9849" s="2"/>
      <c r="J9849" s="2" t="s">
        <v>13904</v>
      </c>
      <c r="K9849" s="2" t="s">
        <v>18538</v>
      </c>
      <c r="L9849" s="246" t="s">
        <v>22280</v>
      </c>
    </row>
    <row r="9850" spans="1:12" ht="156" customHeight="1" x14ac:dyDescent="0.3">
      <c r="A9850" s="2">
        <v>9846</v>
      </c>
      <c r="B9850" s="82" t="s">
        <v>12182</v>
      </c>
      <c r="C9850" s="2">
        <v>1013400426</v>
      </c>
      <c r="D9850" s="22">
        <v>6875</v>
      </c>
      <c r="E9850" s="22">
        <v>6875</v>
      </c>
      <c r="F9850" s="3">
        <v>42340</v>
      </c>
      <c r="G9850" s="2" t="s">
        <v>12325</v>
      </c>
      <c r="H9850" s="2"/>
      <c r="I9850" s="2"/>
      <c r="J9850" s="2" t="s">
        <v>13904</v>
      </c>
      <c r="K9850" s="2" t="s">
        <v>18538</v>
      </c>
      <c r="L9850" s="246" t="s">
        <v>22280</v>
      </c>
    </row>
    <row r="9851" spans="1:12" ht="156" customHeight="1" x14ac:dyDescent="0.3">
      <c r="A9851" s="2">
        <v>9847</v>
      </c>
      <c r="B9851" s="82" t="s">
        <v>12209</v>
      </c>
      <c r="C9851" s="2">
        <v>1013400489</v>
      </c>
      <c r="D9851" s="22">
        <v>18000</v>
      </c>
      <c r="E9851" s="22">
        <v>18000</v>
      </c>
      <c r="F9851" s="3">
        <v>42341</v>
      </c>
      <c r="G9851" s="2" t="s">
        <v>12325</v>
      </c>
      <c r="H9851" s="2"/>
      <c r="I9851" s="2"/>
      <c r="J9851" s="2" t="s">
        <v>13904</v>
      </c>
      <c r="K9851" s="2" t="s">
        <v>18538</v>
      </c>
      <c r="L9851" s="246" t="s">
        <v>22280</v>
      </c>
    </row>
    <row r="9852" spans="1:12" ht="156" customHeight="1" x14ac:dyDescent="0.3">
      <c r="A9852" s="2">
        <v>9848</v>
      </c>
      <c r="B9852" s="82" t="s">
        <v>12210</v>
      </c>
      <c r="C9852" s="2"/>
      <c r="D9852" s="22">
        <v>2100</v>
      </c>
      <c r="E9852" s="22">
        <v>0</v>
      </c>
      <c r="F9852" s="3">
        <v>42342</v>
      </c>
      <c r="G9852" s="2" t="s">
        <v>12325</v>
      </c>
      <c r="H9852" s="2"/>
      <c r="I9852" s="2"/>
      <c r="J9852" s="2" t="s">
        <v>13904</v>
      </c>
      <c r="K9852" s="2" t="s">
        <v>18538</v>
      </c>
      <c r="L9852" s="246" t="s">
        <v>22280</v>
      </c>
    </row>
    <row r="9853" spans="1:12" ht="156" customHeight="1" x14ac:dyDescent="0.3">
      <c r="A9853" s="2">
        <v>9849</v>
      </c>
      <c r="B9853" s="82" t="s">
        <v>12211</v>
      </c>
      <c r="C9853" s="2"/>
      <c r="D9853" s="22">
        <v>2660</v>
      </c>
      <c r="E9853" s="22">
        <v>0</v>
      </c>
      <c r="F9853" s="3">
        <v>42343</v>
      </c>
      <c r="G9853" s="2" t="s">
        <v>12325</v>
      </c>
      <c r="H9853" s="2"/>
      <c r="I9853" s="2"/>
      <c r="J9853" s="2" t="s">
        <v>13904</v>
      </c>
      <c r="K9853" s="2" t="s">
        <v>18538</v>
      </c>
      <c r="L9853" s="246" t="s">
        <v>22280</v>
      </c>
    </row>
    <row r="9854" spans="1:12" ht="156" customHeight="1" x14ac:dyDescent="0.3">
      <c r="A9854" s="2">
        <v>9850</v>
      </c>
      <c r="B9854" s="82" t="s">
        <v>12186</v>
      </c>
      <c r="C9854" s="2"/>
      <c r="D9854" s="22">
        <v>225</v>
      </c>
      <c r="E9854" s="22">
        <v>0</v>
      </c>
      <c r="F9854" s="3">
        <v>42344</v>
      </c>
      <c r="G9854" s="2" t="s">
        <v>12325</v>
      </c>
      <c r="H9854" s="2"/>
      <c r="I9854" s="2"/>
      <c r="J9854" s="2" t="s">
        <v>13904</v>
      </c>
      <c r="K9854" s="2" t="s">
        <v>18538</v>
      </c>
      <c r="L9854" s="246" t="s">
        <v>22280</v>
      </c>
    </row>
    <row r="9855" spans="1:12" ht="120" customHeight="1" x14ac:dyDescent="0.3">
      <c r="A9855" s="2">
        <v>9851</v>
      </c>
      <c r="B9855" s="66" t="s">
        <v>18731</v>
      </c>
      <c r="C9855" s="66">
        <v>7100273</v>
      </c>
      <c r="D9855" s="11">
        <v>97747</v>
      </c>
      <c r="E9855" s="11">
        <v>97747</v>
      </c>
      <c r="F9855" s="3" t="s">
        <v>12227</v>
      </c>
      <c r="G9855" s="2" t="s">
        <v>12327</v>
      </c>
      <c r="H9855" s="3">
        <v>43073</v>
      </c>
      <c r="I9855" s="2" t="s">
        <v>19533</v>
      </c>
      <c r="J9855" s="2" t="s">
        <v>13904</v>
      </c>
      <c r="K9855" s="2" t="s">
        <v>18732</v>
      </c>
      <c r="L9855" s="82"/>
    </row>
    <row r="9856" spans="1:12" ht="120" customHeight="1" x14ac:dyDescent="0.3">
      <c r="A9856" s="2">
        <v>9852</v>
      </c>
      <c r="B9856" s="66" t="s">
        <v>18730</v>
      </c>
      <c r="C9856" s="66">
        <v>71002771</v>
      </c>
      <c r="D9856" s="11">
        <v>5305</v>
      </c>
      <c r="E9856" s="11">
        <v>5305</v>
      </c>
      <c r="F9856" s="3" t="s">
        <v>12227</v>
      </c>
      <c r="G9856" s="2" t="s">
        <v>12327</v>
      </c>
      <c r="H9856" s="3">
        <v>43073</v>
      </c>
      <c r="I9856" s="2" t="s">
        <v>19533</v>
      </c>
      <c r="J9856" s="2" t="s">
        <v>13904</v>
      </c>
      <c r="K9856" s="2" t="s">
        <v>18732</v>
      </c>
      <c r="L9856" s="82"/>
    </row>
    <row r="9857" spans="1:12" ht="120" customHeight="1" x14ac:dyDescent="0.3">
      <c r="A9857" s="2">
        <v>9853</v>
      </c>
      <c r="B9857" s="66" t="s">
        <v>18729</v>
      </c>
      <c r="C9857" s="66">
        <v>1360010</v>
      </c>
      <c r="D9857" s="11">
        <v>27677</v>
      </c>
      <c r="E9857" s="11">
        <v>27677</v>
      </c>
      <c r="F9857" s="3" t="s">
        <v>12227</v>
      </c>
      <c r="G9857" s="2" t="s">
        <v>12327</v>
      </c>
      <c r="H9857" s="3">
        <v>43073</v>
      </c>
      <c r="I9857" s="2" t="s">
        <v>19533</v>
      </c>
      <c r="J9857" s="2" t="s">
        <v>13904</v>
      </c>
      <c r="K9857" s="2" t="s">
        <v>18732</v>
      </c>
      <c r="L9857" s="82"/>
    </row>
    <row r="9858" spans="1:12" ht="120" customHeight="1" x14ac:dyDescent="0.3">
      <c r="A9858" s="2">
        <v>9854</v>
      </c>
      <c r="B9858" s="66" t="s">
        <v>18728</v>
      </c>
      <c r="C9858" s="66">
        <v>1360017</v>
      </c>
      <c r="D9858" s="11">
        <v>2985</v>
      </c>
      <c r="E9858" s="11">
        <v>2985</v>
      </c>
      <c r="F9858" s="3" t="s">
        <v>12227</v>
      </c>
      <c r="G9858" s="2" t="s">
        <v>12327</v>
      </c>
      <c r="H9858" s="3">
        <v>43073</v>
      </c>
      <c r="I9858" s="2" t="s">
        <v>19533</v>
      </c>
      <c r="J9858" s="2" t="s">
        <v>13904</v>
      </c>
      <c r="K9858" s="2" t="s">
        <v>18732</v>
      </c>
      <c r="L9858" s="82"/>
    </row>
    <row r="9859" spans="1:12" ht="120" customHeight="1" x14ac:dyDescent="0.3">
      <c r="A9859" s="2">
        <v>9855</v>
      </c>
      <c r="B9859" s="66" t="s">
        <v>18727</v>
      </c>
      <c r="C9859" s="66">
        <v>1360039</v>
      </c>
      <c r="D9859" s="11">
        <v>11300</v>
      </c>
      <c r="E9859" s="11">
        <v>11300</v>
      </c>
      <c r="F9859" s="3" t="s">
        <v>12227</v>
      </c>
      <c r="G9859" s="2" t="s">
        <v>12327</v>
      </c>
      <c r="H9859" s="3">
        <v>43073</v>
      </c>
      <c r="I9859" s="2" t="s">
        <v>19533</v>
      </c>
      <c r="J9859" s="2" t="s">
        <v>13904</v>
      </c>
      <c r="K9859" s="2" t="s">
        <v>18732</v>
      </c>
      <c r="L9859" s="82"/>
    </row>
    <row r="9860" spans="1:12" ht="120" customHeight="1" x14ac:dyDescent="0.3">
      <c r="A9860" s="2">
        <v>9856</v>
      </c>
      <c r="B9860" s="66" t="s">
        <v>5078</v>
      </c>
      <c r="C9860" s="66">
        <v>1360040</v>
      </c>
      <c r="D9860" s="11">
        <v>24300</v>
      </c>
      <c r="E9860" s="11">
        <v>24300</v>
      </c>
      <c r="F9860" s="3" t="s">
        <v>12227</v>
      </c>
      <c r="G9860" s="2" t="s">
        <v>12327</v>
      </c>
      <c r="H9860" s="3">
        <v>43073</v>
      </c>
      <c r="I9860" s="2" t="s">
        <v>19533</v>
      </c>
      <c r="J9860" s="2" t="s">
        <v>13904</v>
      </c>
      <c r="K9860" s="2" t="s">
        <v>18732</v>
      </c>
      <c r="L9860" s="82"/>
    </row>
    <row r="9861" spans="1:12" ht="120" customHeight="1" x14ac:dyDescent="0.3">
      <c r="A9861" s="2">
        <v>9857</v>
      </c>
      <c r="B9861" s="66" t="s">
        <v>18726</v>
      </c>
      <c r="C9861" s="66">
        <v>1360041</v>
      </c>
      <c r="D9861" s="11">
        <v>5800</v>
      </c>
      <c r="E9861" s="11">
        <v>5800</v>
      </c>
      <c r="F9861" s="3" t="s">
        <v>12227</v>
      </c>
      <c r="G9861" s="2" t="s">
        <v>12327</v>
      </c>
      <c r="H9861" s="3">
        <v>43073</v>
      </c>
      <c r="I9861" s="2" t="s">
        <v>19533</v>
      </c>
      <c r="J9861" s="2" t="s">
        <v>13904</v>
      </c>
      <c r="K9861" s="2" t="s">
        <v>18732</v>
      </c>
      <c r="L9861" s="82"/>
    </row>
    <row r="9862" spans="1:12" ht="120" customHeight="1" x14ac:dyDescent="0.3">
      <c r="A9862" s="2">
        <v>9858</v>
      </c>
      <c r="B9862" s="66" t="s">
        <v>18725</v>
      </c>
      <c r="C9862" s="66">
        <v>1360042</v>
      </c>
      <c r="D9862" s="11">
        <v>19900</v>
      </c>
      <c r="E9862" s="11">
        <v>19900</v>
      </c>
      <c r="F9862" s="3" t="s">
        <v>12227</v>
      </c>
      <c r="G9862" s="2" t="s">
        <v>12327</v>
      </c>
      <c r="H9862" s="3">
        <v>43073</v>
      </c>
      <c r="I9862" s="2" t="s">
        <v>19533</v>
      </c>
      <c r="J9862" s="2" t="s">
        <v>13904</v>
      </c>
      <c r="K9862" s="2" t="s">
        <v>18732</v>
      </c>
      <c r="L9862" s="82"/>
    </row>
    <row r="9863" spans="1:12" ht="120" customHeight="1" x14ac:dyDescent="0.3">
      <c r="A9863" s="2">
        <v>9859</v>
      </c>
      <c r="B9863" s="66" t="s">
        <v>18724</v>
      </c>
      <c r="C9863" s="66">
        <v>1360044</v>
      </c>
      <c r="D9863" s="11">
        <v>29600</v>
      </c>
      <c r="E9863" s="11">
        <v>29600</v>
      </c>
      <c r="F9863" s="3" t="s">
        <v>12227</v>
      </c>
      <c r="G9863" s="2" t="s">
        <v>12327</v>
      </c>
      <c r="H9863" s="3">
        <v>43073</v>
      </c>
      <c r="I9863" s="2" t="s">
        <v>19533</v>
      </c>
      <c r="J9863" s="2" t="s">
        <v>13904</v>
      </c>
      <c r="K9863" s="2" t="s">
        <v>18732</v>
      </c>
      <c r="L9863" s="82"/>
    </row>
    <row r="9864" spans="1:12" ht="120" customHeight="1" x14ac:dyDescent="0.3">
      <c r="A9864" s="2">
        <v>9860</v>
      </c>
      <c r="B9864" s="66" t="s">
        <v>18723</v>
      </c>
      <c r="C9864" s="66">
        <v>1360045</v>
      </c>
      <c r="D9864" s="11">
        <v>3800</v>
      </c>
      <c r="E9864" s="11">
        <v>3800</v>
      </c>
      <c r="F9864" s="3" t="s">
        <v>12227</v>
      </c>
      <c r="G9864" s="2" t="s">
        <v>12327</v>
      </c>
      <c r="H9864" s="3">
        <v>43073</v>
      </c>
      <c r="I9864" s="2" t="s">
        <v>19533</v>
      </c>
      <c r="J9864" s="2" t="s">
        <v>13904</v>
      </c>
      <c r="K9864" s="2" t="s">
        <v>18732</v>
      </c>
      <c r="L9864" s="82"/>
    </row>
    <row r="9865" spans="1:12" ht="120" customHeight="1" x14ac:dyDescent="0.3">
      <c r="A9865" s="2">
        <v>9861</v>
      </c>
      <c r="B9865" s="66" t="s">
        <v>18722</v>
      </c>
      <c r="C9865" s="66">
        <v>1360046</v>
      </c>
      <c r="D9865" s="11">
        <v>14970</v>
      </c>
      <c r="E9865" s="11">
        <v>14970</v>
      </c>
      <c r="F9865" s="3" t="s">
        <v>12227</v>
      </c>
      <c r="G9865" s="2" t="s">
        <v>12327</v>
      </c>
      <c r="H9865" s="3">
        <v>43073</v>
      </c>
      <c r="I9865" s="2" t="s">
        <v>19533</v>
      </c>
      <c r="J9865" s="2" t="s">
        <v>13904</v>
      </c>
      <c r="K9865" s="2" t="s">
        <v>18732</v>
      </c>
      <c r="L9865" s="82"/>
    </row>
    <row r="9866" spans="1:12" ht="120" customHeight="1" x14ac:dyDescent="0.3">
      <c r="A9866" s="2">
        <v>9862</v>
      </c>
      <c r="B9866" s="105" t="s">
        <v>18721</v>
      </c>
      <c r="C9866" s="66">
        <v>1360047</v>
      </c>
      <c r="D9866" s="21">
        <v>8800</v>
      </c>
      <c r="E9866" s="11">
        <v>8800</v>
      </c>
      <c r="F9866" s="3" t="s">
        <v>12227</v>
      </c>
      <c r="G9866" s="2" t="s">
        <v>12327</v>
      </c>
      <c r="H9866" s="3">
        <v>43073</v>
      </c>
      <c r="I9866" s="2" t="s">
        <v>19533</v>
      </c>
      <c r="J9866" s="2" t="s">
        <v>13904</v>
      </c>
      <c r="K9866" s="2" t="s">
        <v>18732</v>
      </c>
      <c r="L9866" s="82"/>
    </row>
    <row r="9867" spans="1:12" ht="120" customHeight="1" x14ac:dyDescent="0.3">
      <c r="A9867" s="2">
        <v>9863</v>
      </c>
      <c r="B9867" s="105" t="s">
        <v>18720</v>
      </c>
      <c r="C9867" s="66">
        <v>1360061</v>
      </c>
      <c r="D9867" s="21">
        <v>2920</v>
      </c>
      <c r="E9867" s="11">
        <v>2920</v>
      </c>
      <c r="F9867" s="3" t="s">
        <v>12227</v>
      </c>
      <c r="G9867" s="2" t="s">
        <v>12327</v>
      </c>
      <c r="H9867" s="3">
        <v>43073</v>
      </c>
      <c r="I9867" s="2" t="s">
        <v>19533</v>
      </c>
      <c r="J9867" s="2" t="s">
        <v>13904</v>
      </c>
      <c r="K9867" s="2" t="s">
        <v>18732</v>
      </c>
      <c r="L9867" s="82"/>
    </row>
    <row r="9868" spans="1:12" ht="120" customHeight="1" x14ac:dyDescent="0.3">
      <c r="A9868" s="2">
        <v>9864</v>
      </c>
      <c r="B9868" s="105" t="s">
        <v>930</v>
      </c>
      <c r="C9868" s="66">
        <v>1360068</v>
      </c>
      <c r="D9868" s="21">
        <v>3700</v>
      </c>
      <c r="E9868" s="11">
        <v>3700</v>
      </c>
      <c r="F9868" s="3" t="s">
        <v>12227</v>
      </c>
      <c r="G9868" s="2" t="s">
        <v>12327</v>
      </c>
      <c r="H9868" s="3">
        <v>43073</v>
      </c>
      <c r="I9868" s="2" t="s">
        <v>19533</v>
      </c>
      <c r="J9868" s="2" t="s">
        <v>13904</v>
      </c>
      <c r="K9868" s="2" t="s">
        <v>18732</v>
      </c>
      <c r="L9868" s="82"/>
    </row>
    <row r="9869" spans="1:12" ht="120" customHeight="1" x14ac:dyDescent="0.3">
      <c r="A9869" s="2">
        <v>9865</v>
      </c>
      <c r="B9869" s="105" t="s">
        <v>5069</v>
      </c>
      <c r="C9869" s="66">
        <v>1360071</v>
      </c>
      <c r="D9869" s="21">
        <v>14250</v>
      </c>
      <c r="E9869" s="11">
        <v>14250</v>
      </c>
      <c r="F9869" s="3" t="s">
        <v>12227</v>
      </c>
      <c r="G9869" s="2" t="s">
        <v>12327</v>
      </c>
      <c r="H9869" s="3">
        <v>43073</v>
      </c>
      <c r="I9869" s="2" t="s">
        <v>19533</v>
      </c>
      <c r="J9869" s="2" t="s">
        <v>13904</v>
      </c>
      <c r="K9869" s="2" t="s">
        <v>18732</v>
      </c>
      <c r="L9869" s="82"/>
    </row>
    <row r="9870" spans="1:12" ht="120" customHeight="1" x14ac:dyDescent="0.3">
      <c r="A9870" s="2">
        <v>9866</v>
      </c>
      <c r="B9870" s="105" t="s">
        <v>5069</v>
      </c>
      <c r="C9870" s="66">
        <v>1360072</v>
      </c>
      <c r="D9870" s="21">
        <v>14250</v>
      </c>
      <c r="E9870" s="11">
        <v>14250</v>
      </c>
      <c r="F9870" s="3" t="s">
        <v>12227</v>
      </c>
      <c r="G9870" s="2" t="s">
        <v>12327</v>
      </c>
      <c r="H9870" s="3">
        <v>43073</v>
      </c>
      <c r="I9870" s="2" t="s">
        <v>19533</v>
      </c>
      <c r="J9870" s="2" t="s">
        <v>13904</v>
      </c>
      <c r="K9870" s="2" t="s">
        <v>18732</v>
      </c>
      <c r="L9870" s="82"/>
    </row>
    <row r="9871" spans="1:12" ht="120" customHeight="1" x14ac:dyDescent="0.3">
      <c r="A9871" s="2">
        <v>9867</v>
      </c>
      <c r="B9871" s="105" t="s">
        <v>5069</v>
      </c>
      <c r="C9871" s="66">
        <v>1360073</v>
      </c>
      <c r="D9871" s="21">
        <v>14250</v>
      </c>
      <c r="E9871" s="11">
        <v>14250</v>
      </c>
      <c r="F9871" s="3" t="s">
        <v>12227</v>
      </c>
      <c r="G9871" s="2" t="s">
        <v>12327</v>
      </c>
      <c r="H9871" s="3">
        <v>43073</v>
      </c>
      <c r="I9871" s="2" t="s">
        <v>19533</v>
      </c>
      <c r="J9871" s="2" t="s">
        <v>13904</v>
      </c>
      <c r="K9871" s="2" t="s">
        <v>18732</v>
      </c>
      <c r="L9871" s="82"/>
    </row>
    <row r="9872" spans="1:12" ht="120" customHeight="1" x14ac:dyDescent="0.3">
      <c r="A9872" s="2">
        <v>9868</v>
      </c>
      <c r="B9872" s="105" t="s">
        <v>5069</v>
      </c>
      <c r="C9872" s="66">
        <v>1360074</v>
      </c>
      <c r="D9872" s="21">
        <v>14250</v>
      </c>
      <c r="E9872" s="11">
        <v>14250</v>
      </c>
      <c r="F9872" s="3" t="s">
        <v>12227</v>
      </c>
      <c r="G9872" s="2" t="s">
        <v>12327</v>
      </c>
      <c r="H9872" s="3">
        <v>43073</v>
      </c>
      <c r="I9872" s="2" t="s">
        <v>19533</v>
      </c>
      <c r="J9872" s="2" t="s">
        <v>13904</v>
      </c>
      <c r="K9872" s="2" t="s">
        <v>18732</v>
      </c>
      <c r="L9872" s="82"/>
    </row>
    <row r="9873" spans="1:12" ht="120" customHeight="1" x14ac:dyDescent="0.3">
      <c r="A9873" s="2">
        <v>9869</v>
      </c>
      <c r="B9873" s="105" t="s">
        <v>5069</v>
      </c>
      <c r="C9873" s="66">
        <v>1360075</v>
      </c>
      <c r="D9873" s="21">
        <v>14250</v>
      </c>
      <c r="E9873" s="11">
        <v>14250</v>
      </c>
      <c r="F9873" s="3" t="s">
        <v>12227</v>
      </c>
      <c r="G9873" s="2" t="s">
        <v>12327</v>
      </c>
      <c r="H9873" s="3">
        <v>43073</v>
      </c>
      <c r="I9873" s="2" t="s">
        <v>19533</v>
      </c>
      <c r="J9873" s="2" t="s">
        <v>13904</v>
      </c>
      <c r="K9873" s="2" t="s">
        <v>18732</v>
      </c>
      <c r="L9873" s="82"/>
    </row>
    <row r="9874" spans="1:12" ht="120" customHeight="1" x14ac:dyDescent="0.3">
      <c r="A9874" s="2">
        <v>9870</v>
      </c>
      <c r="B9874" s="105" t="s">
        <v>18719</v>
      </c>
      <c r="C9874" s="66">
        <v>1360076</v>
      </c>
      <c r="D9874" s="21">
        <v>2750</v>
      </c>
      <c r="E9874" s="11">
        <v>2750</v>
      </c>
      <c r="F9874" s="3" t="s">
        <v>12227</v>
      </c>
      <c r="G9874" s="2" t="s">
        <v>12327</v>
      </c>
      <c r="H9874" s="3">
        <v>43073</v>
      </c>
      <c r="I9874" s="2" t="s">
        <v>19533</v>
      </c>
      <c r="J9874" s="2" t="s">
        <v>13904</v>
      </c>
      <c r="K9874" s="2" t="s">
        <v>18732</v>
      </c>
      <c r="L9874" s="82"/>
    </row>
    <row r="9875" spans="1:12" ht="120" customHeight="1" x14ac:dyDescent="0.3">
      <c r="A9875" s="2">
        <v>9871</v>
      </c>
      <c r="B9875" s="105" t="s">
        <v>18719</v>
      </c>
      <c r="C9875" s="66">
        <v>1360077</v>
      </c>
      <c r="D9875" s="21">
        <v>2750</v>
      </c>
      <c r="E9875" s="11">
        <v>2750</v>
      </c>
      <c r="F9875" s="3" t="s">
        <v>12227</v>
      </c>
      <c r="G9875" s="2" t="s">
        <v>12327</v>
      </c>
      <c r="H9875" s="3">
        <v>43073</v>
      </c>
      <c r="I9875" s="2" t="s">
        <v>19533</v>
      </c>
      <c r="J9875" s="2" t="s">
        <v>13904</v>
      </c>
      <c r="K9875" s="2" t="s">
        <v>18732</v>
      </c>
      <c r="L9875" s="82"/>
    </row>
    <row r="9876" spans="1:12" ht="120" customHeight="1" x14ac:dyDescent="0.3">
      <c r="A9876" s="2">
        <v>9872</v>
      </c>
      <c r="B9876" s="105" t="s">
        <v>18719</v>
      </c>
      <c r="C9876" s="66">
        <v>1360078</v>
      </c>
      <c r="D9876" s="21">
        <v>2750</v>
      </c>
      <c r="E9876" s="11">
        <v>2750</v>
      </c>
      <c r="F9876" s="3" t="s">
        <v>12227</v>
      </c>
      <c r="G9876" s="2" t="s">
        <v>12327</v>
      </c>
      <c r="H9876" s="3">
        <v>43073</v>
      </c>
      <c r="I9876" s="2" t="s">
        <v>19533</v>
      </c>
      <c r="J9876" s="2" t="s">
        <v>13904</v>
      </c>
      <c r="K9876" s="2" t="s">
        <v>18732</v>
      </c>
      <c r="L9876" s="82"/>
    </row>
    <row r="9877" spans="1:12" ht="120" customHeight="1" x14ac:dyDescent="0.3">
      <c r="A9877" s="2">
        <v>9873</v>
      </c>
      <c r="B9877" s="105" t="s">
        <v>18719</v>
      </c>
      <c r="C9877" s="66">
        <v>1360079</v>
      </c>
      <c r="D9877" s="21">
        <v>2750</v>
      </c>
      <c r="E9877" s="11">
        <v>2750</v>
      </c>
      <c r="F9877" s="3" t="s">
        <v>12227</v>
      </c>
      <c r="G9877" s="2" t="s">
        <v>12327</v>
      </c>
      <c r="H9877" s="3">
        <v>43073</v>
      </c>
      <c r="I9877" s="2" t="s">
        <v>19533</v>
      </c>
      <c r="J9877" s="2" t="s">
        <v>13904</v>
      </c>
      <c r="K9877" s="2" t="s">
        <v>18732</v>
      </c>
      <c r="L9877" s="82"/>
    </row>
    <row r="9878" spans="1:12" ht="120" customHeight="1" x14ac:dyDescent="0.3">
      <c r="A9878" s="2">
        <v>9874</v>
      </c>
      <c r="B9878" s="105" t="s">
        <v>18719</v>
      </c>
      <c r="C9878" s="66">
        <v>1360080</v>
      </c>
      <c r="D9878" s="21">
        <v>2750</v>
      </c>
      <c r="E9878" s="11">
        <v>2750</v>
      </c>
      <c r="F9878" s="3" t="s">
        <v>12227</v>
      </c>
      <c r="G9878" s="2" t="s">
        <v>12327</v>
      </c>
      <c r="H9878" s="3">
        <v>43073</v>
      </c>
      <c r="I9878" s="2" t="s">
        <v>19533</v>
      </c>
      <c r="J9878" s="2" t="s">
        <v>13904</v>
      </c>
      <c r="K9878" s="2" t="s">
        <v>18732</v>
      </c>
      <c r="L9878" s="82"/>
    </row>
    <row r="9879" spans="1:12" ht="120" customHeight="1" x14ac:dyDescent="0.3">
      <c r="A9879" s="2">
        <v>9875</v>
      </c>
      <c r="B9879" s="105" t="s">
        <v>18718</v>
      </c>
      <c r="C9879" s="66">
        <v>1360086</v>
      </c>
      <c r="D9879" s="21">
        <v>22400</v>
      </c>
      <c r="E9879" s="11">
        <v>15704.37</v>
      </c>
      <c r="F9879" s="3" t="s">
        <v>12227</v>
      </c>
      <c r="G9879" s="2" t="s">
        <v>12327</v>
      </c>
      <c r="H9879" s="3">
        <v>43073</v>
      </c>
      <c r="I9879" s="2" t="s">
        <v>19533</v>
      </c>
      <c r="J9879" s="2" t="s">
        <v>13904</v>
      </c>
      <c r="K9879" s="2" t="s">
        <v>18732</v>
      </c>
      <c r="L9879" s="82"/>
    </row>
    <row r="9880" spans="1:12" ht="120" customHeight="1" x14ac:dyDescent="0.3">
      <c r="A9880" s="2">
        <v>9876</v>
      </c>
      <c r="B9880" s="105" t="s">
        <v>5069</v>
      </c>
      <c r="C9880" s="66">
        <v>1360097</v>
      </c>
      <c r="D9880" s="21">
        <v>19960</v>
      </c>
      <c r="E9880" s="11">
        <v>19960</v>
      </c>
      <c r="F9880" s="3" t="s">
        <v>12227</v>
      </c>
      <c r="G9880" s="2" t="s">
        <v>12327</v>
      </c>
      <c r="H9880" s="3">
        <v>43073</v>
      </c>
      <c r="I9880" s="2" t="s">
        <v>19533</v>
      </c>
      <c r="J9880" s="2" t="s">
        <v>13904</v>
      </c>
      <c r="K9880" s="2" t="s">
        <v>18732</v>
      </c>
      <c r="L9880" s="82"/>
    </row>
    <row r="9881" spans="1:12" ht="120" customHeight="1" x14ac:dyDescent="0.3">
      <c r="A9881" s="2">
        <v>9877</v>
      </c>
      <c r="B9881" s="105" t="s">
        <v>5069</v>
      </c>
      <c r="C9881" s="66">
        <v>1360098</v>
      </c>
      <c r="D9881" s="21">
        <v>19960</v>
      </c>
      <c r="E9881" s="11">
        <v>19960</v>
      </c>
      <c r="F9881" s="3" t="s">
        <v>12227</v>
      </c>
      <c r="G9881" s="2" t="s">
        <v>12327</v>
      </c>
      <c r="H9881" s="3">
        <v>43073</v>
      </c>
      <c r="I9881" s="2" t="s">
        <v>19533</v>
      </c>
      <c r="J9881" s="2" t="s">
        <v>13904</v>
      </c>
      <c r="K9881" s="2" t="s">
        <v>18732</v>
      </c>
      <c r="L9881" s="82"/>
    </row>
    <row r="9882" spans="1:12" ht="120" customHeight="1" x14ac:dyDescent="0.3">
      <c r="A9882" s="2">
        <v>9878</v>
      </c>
      <c r="B9882" s="105" t="s">
        <v>5069</v>
      </c>
      <c r="C9882" s="66">
        <v>1360099</v>
      </c>
      <c r="D9882" s="21">
        <v>19960</v>
      </c>
      <c r="E9882" s="11">
        <v>19960</v>
      </c>
      <c r="F9882" s="3" t="s">
        <v>12227</v>
      </c>
      <c r="G9882" s="2" t="s">
        <v>12327</v>
      </c>
      <c r="H9882" s="3">
        <v>43073</v>
      </c>
      <c r="I9882" s="2" t="s">
        <v>19533</v>
      </c>
      <c r="J9882" s="2" t="s">
        <v>13904</v>
      </c>
      <c r="K9882" s="2" t="s">
        <v>18732</v>
      </c>
      <c r="L9882" s="82"/>
    </row>
    <row r="9883" spans="1:12" ht="120" customHeight="1" x14ac:dyDescent="0.3">
      <c r="A9883" s="2">
        <v>9879</v>
      </c>
      <c r="B9883" s="105" t="s">
        <v>5069</v>
      </c>
      <c r="C9883" s="66">
        <v>1360100</v>
      </c>
      <c r="D9883" s="21">
        <v>19960</v>
      </c>
      <c r="E9883" s="11">
        <v>19960</v>
      </c>
      <c r="F9883" s="3" t="s">
        <v>12227</v>
      </c>
      <c r="G9883" s="2" t="s">
        <v>12327</v>
      </c>
      <c r="H9883" s="3">
        <v>43073</v>
      </c>
      <c r="I9883" s="2" t="s">
        <v>19533</v>
      </c>
      <c r="J9883" s="2" t="s">
        <v>13904</v>
      </c>
      <c r="K9883" s="2" t="s">
        <v>18732</v>
      </c>
      <c r="L9883" s="82"/>
    </row>
    <row r="9884" spans="1:12" ht="120" customHeight="1" x14ac:dyDescent="0.3">
      <c r="A9884" s="2">
        <v>9880</v>
      </c>
      <c r="B9884" s="105" t="s">
        <v>5078</v>
      </c>
      <c r="C9884" s="66">
        <v>1360101</v>
      </c>
      <c r="D9884" s="21">
        <v>19960</v>
      </c>
      <c r="E9884" s="11">
        <v>19960</v>
      </c>
      <c r="F9884" s="3" t="s">
        <v>12227</v>
      </c>
      <c r="G9884" s="2" t="s">
        <v>12327</v>
      </c>
      <c r="H9884" s="3">
        <v>43073</v>
      </c>
      <c r="I9884" s="2" t="s">
        <v>19533</v>
      </c>
      <c r="J9884" s="2" t="s">
        <v>13904</v>
      </c>
      <c r="K9884" s="2" t="s">
        <v>18732</v>
      </c>
      <c r="L9884" s="82"/>
    </row>
    <row r="9885" spans="1:12" ht="120" customHeight="1" x14ac:dyDescent="0.3">
      <c r="A9885" s="2">
        <v>9881</v>
      </c>
      <c r="B9885" s="105" t="s">
        <v>3035</v>
      </c>
      <c r="C9885" s="66">
        <v>1360102</v>
      </c>
      <c r="D9885" s="21">
        <v>19900</v>
      </c>
      <c r="E9885" s="11">
        <v>19900</v>
      </c>
      <c r="F9885" s="3" t="s">
        <v>12227</v>
      </c>
      <c r="G9885" s="2" t="s">
        <v>12327</v>
      </c>
      <c r="H9885" s="3">
        <v>43073</v>
      </c>
      <c r="I9885" s="2" t="s">
        <v>19533</v>
      </c>
      <c r="J9885" s="2" t="s">
        <v>13904</v>
      </c>
      <c r="K9885" s="2" t="s">
        <v>18732</v>
      </c>
      <c r="L9885" s="82"/>
    </row>
    <row r="9886" spans="1:12" ht="120" customHeight="1" x14ac:dyDescent="0.3">
      <c r="A9886" s="2">
        <v>9882</v>
      </c>
      <c r="B9886" s="105" t="s">
        <v>5069</v>
      </c>
      <c r="C9886" s="66">
        <v>1360103</v>
      </c>
      <c r="D9886" s="21">
        <v>24890</v>
      </c>
      <c r="E9886" s="11">
        <v>24890</v>
      </c>
      <c r="F9886" s="3" t="s">
        <v>12227</v>
      </c>
      <c r="G9886" s="2" t="s">
        <v>12327</v>
      </c>
      <c r="H9886" s="3">
        <v>43073</v>
      </c>
      <c r="I9886" s="2" t="s">
        <v>19533</v>
      </c>
      <c r="J9886" s="2" t="s">
        <v>13904</v>
      </c>
      <c r="K9886" s="2" t="s">
        <v>18732</v>
      </c>
      <c r="L9886" s="82"/>
    </row>
    <row r="9887" spans="1:12" ht="120" customHeight="1" x14ac:dyDescent="0.3">
      <c r="A9887" s="2">
        <v>9883</v>
      </c>
      <c r="B9887" s="105" t="s">
        <v>18717</v>
      </c>
      <c r="C9887" s="66">
        <v>1360108</v>
      </c>
      <c r="D9887" s="21">
        <v>15000</v>
      </c>
      <c r="E9887" s="11">
        <v>15000</v>
      </c>
      <c r="F9887" s="3" t="s">
        <v>12227</v>
      </c>
      <c r="G9887" s="2" t="s">
        <v>12327</v>
      </c>
      <c r="H9887" s="3">
        <v>43073</v>
      </c>
      <c r="I9887" s="2" t="s">
        <v>19533</v>
      </c>
      <c r="J9887" s="2" t="s">
        <v>13904</v>
      </c>
      <c r="K9887" s="2" t="s">
        <v>18732</v>
      </c>
      <c r="L9887" s="82"/>
    </row>
    <row r="9888" spans="1:12" ht="120" customHeight="1" x14ac:dyDescent="0.3">
      <c r="A9888" s="2">
        <v>9884</v>
      </c>
      <c r="B9888" s="105" t="s">
        <v>18715</v>
      </c>
      <c r="C9888" s="66">
        <v>1360109</v>
      </c>
      <c r="D9888" s="21">
        <v>23250</v>
      </c>
      <c r="E9888" s="11">
        <v>12219.25</v>
      </c>
      <c r="F9888" s="3" t="s">
        <v>12227</v>
      </c>
      <c r="G9888" s="2" t="s">
        <v>12327</v>
      </c>
      <c r="H9888" s="3">
        <v>43073</v>
      </c>
      <c r="I9888" s="2" t="s">
        <v>19533</v>
      </c>
      <c r="J9888" s="2" t="s">
        <v>13904</v>
      </c>
      <c r="K9888" s="2" t="s">
        <v>18732</v>
      </c>
      <c r="L9888" s="82"/>
    </row>
    <row r="9889" spans="1:12" ht="120" customHeight="1" x14ac:dyDescent="0.3">
      <c r="A9889" s="2">
        <v>9885</v>
      </c>
      <c r="B9889" s="105" t="s">
        <v>18716</v>
      </c>
      <c r="C9889" s="66">
        <v>1360110</v>
      </c>
      <c r="D9889" s="21">
        <v>23250</v>
      </c>
      <c r="E9889" s="11">
        <v>12219.25</v>
      </c>
      <c r="F9889" s="3" t="s">
        <v>12227</v>
      </c>
      <c r="G9889" s="2" t="s">
        <v>12327</v>
      </c>
      <c r="H9889" s="3">
        <v>43073</v>
      </c>
      <c r="I9889" s="2" t="s">
        <v>19533</v>
      </c>
      <c r="J9889" s="2" t="s">
        <v>13904</v>
      </c>
      <c r="K9889" s="2" t="s">
        <v>18732</v>
      </c>
      <c r="L9889" s="82"/>
    </row>
    <row r="9890" spans="1:12" ht="120" customHeight="1" x14ac:dyDescent="0.3">
      <c r="A9890" s="2">
        <v>9886</v>
      </c>
      <c r="B9890" s="105" t="s">
        <v>18715</v>
      </c>
      <c r="C9890" s="66">
        <v>1360111</v>
      </c>
      <c r="D9890" s="21">
        <v>13500</v>
      </c>
      <c r="E9890" s="11">
        <v>13500</v>
      </c>
      <c r="F9890" s="3" t="s">
        <v>12227</v>
      </c>
      <c r="G9890" s="2" t="s">
        <v>12327</v>
      </c>
      <c r="H9890" s="3">
        <v>43073</v>
      </c>
      <c r="I9890" s="2" t="s">
        <v>19533</v>
      </c>
      <c r="J9890" s="2" t="s">
        <v>13904</v>
      </c>
      <c r="K9890" s="2" t="s">
        <v>18732</v>
      </c>
      <c r="L9890" s="82"/>
    </row>
    <row r="9891" spans="1:12" ht="120" customHeight="1" x14ac:dyDescent="0.3">
      <c r="A9891" s="2">
        <v>9887</v>
      </c>
      <c r="B9891" s="105" t="s">
        <v>18714</v>
      </c>
      <c r="C9891" s="66">
        <v>1360116</v>
      </c>
      <c r="D9891" s="21">
        <v>16000</v>
      </c>
      <c r="E9891" s="11">
        <v>16000</v>
      </c>
      <c r="F9891" s="3" t="s">
        <v>12227</v>
      </c>
      <c r="G9891" s="2" t="s">
        <v>12327</v>
      </c>
      <c r="H9891" s="3">
        <v>43073</v>
      </c>
      <c r="I9891" s="2" t="s">
        <v>19533</v>
      </c>
      <c r="J9891" s="2" t="s">
        <v>13904</v>
      </c>
      <c r="K9891" s="2" t="s">
        <v>18732</v>
      </c>
      <c r="L9891" s="82"/>
    </row>
    <row r="9892" spans="1:12" ht="120" customHeight="1" x14ac:dyDescent="0.3">
      <c r="A9892" s="2">
        <v>9888</v>
      </c>
      <c r="B9892" s="105" t="s">
        <v>18713</v>
      </c>
      <c r="C9892" s="66">
        <v>1360117</v>
      </c>
      <c r="D9892" s="21">
        <v>29500</v>
      </c>
      <c r="E9892" s="11">
        <v>29500</v>
      </c>
      <c r="F9892" s="3" t="s">
        <v>12227</v>
      </c>
      <c r="G9892" s="2" t="s">
        <v>12327</v>
      </c>
      <c r="H9892" s="3">
        <v>43073</v>
      </c>
      <c r="I9892" s="2" t="s">
        <v>19533</v>
      </c>
      <c r="J9892" s="2" t="s">
        <v>13904</v>
      </c>
      <c r="K9892" s="2" t="s">
        <v>18732</v>
      </c>
      <c r="L9892" s="82"/>
    </row>
    <row r="9893" spans="1:12" ht="120" customHeight="1" x14ac:dyDescent="0.3">
      <c r="A9893" s="2">
        <v>9889</v>
      </c>
      <c r="B9893" s="105" t="s">
        <v>5078</v>
      </c>
      <c r="C9893" s="66">
        <v>1360118</v>
      </c>
      <c r="D9893" s="21">
        <v>20805</v>
      </c>
      <c r="E9893" s="11">
        <v>20805</v>
      </c>
      <c r="F9893" s="3" t="s">
        <v>12227</v>
      </c>
      <c r="G9893" s="2" t="s">
        <v>12327</v>
      </c>
      <c r="H9893" s="3">
        <v>43073</v>
      </c>
      <c r="I9893" s="2" t="s">
        <v>19533</v>
      </c>
      <c r="J9893" s="2" t="s">
        <v>13904</v>
      </c>
      <c r="K9893" s="2" t="s">
        <v>18732</v>
      </c>
      <c r="L9893" s="82"/>
    </row>
    <row r="9894" spans="1:12" ht="120" customHeight="1" x14ac:dyDescent="0.3">
      <c r="A9894" s="2">
        <v>9890</v>
      </c>
      <c r="B9894" s="105" t="s">
        <v>18712</v>
      </c>
      <c r="C9894" s="66">
        <v>1360119</v>
      </c>
      <c r="D9894" s="21">
        <v>34830</v>
      </c>
      <c r="E9894" s="11">
        <v>34830</v>
      </c>
      <c r="F9894" s="3" t="s">
        <v>12227</v>
      </c>
      <c r="G9894" s="2" t="s">
        <v>12327</v>
      </c>
      <c r="H9894" s="3">
        <v>43073</v>
      </c>
      <c r="I9894" s="2" t="s">
        <v>19533</v>
      </c>
      <c r="J9894" s="2" t="s">
        <v>13904</v>
      </c>
      <c r="K9894" s="2" t="s">
        <v>18732</v>
      </c>
      <c r="L9894" s="82"/>
    </row>
    <row r="9895" spans="1:12" ht="120" customHeight="1" x14ac:dyDescent="0.3">
      <c r="A9895" s="2">
        <v>9891</v>
      </c>
      <c r="B9895" s="105" t="s">
        <v>18711</v>
      </c>
      <c r="C9895" s="66">
        <v>1360120</v>
      </c>
      <c r="D9895" s="21">
        <v>18730</v>
      </c>
      <c r="E9895" s="11">
        <v>18730</v>
      </c>
      <c r="F9895" s="3" t="s">
        <v>12227</v>
      </c>
      <c r="G9895" s="2" t="s">
        <v>12327</v>
      </c>
      <c r="H9895" s="3">
        <v>43073</v>
      </c>
      <c r="I9895" s="2" t="s">
        <v>19533</v>
      </c>
      <c r="J9895" s="2" t="s">
        <v>13904</v>
      </c>
      <c r="K9895" s="2" t="s">
        <v>18732</v>
      </c>
      <c r="L9895" s="82"/>
    </row>
    <row r="9896" spans="1:12" ht="120" customHeight="1" x14ac:dyDescent="0.3">
      <c r="A9896" s="2">
        <v>9892</v>
      </c>
      <c r="B9896" s="105" t="s">
        <v>18710</v>
      </c>
      <c r="C9896" s="66">
        <v>1350013</v>
      </c>
      <c r="D9896" s="21">
        <v>47000</v>
      </c>
      <c r="E9896" s="11">
        <v>12093.47</v>
      </c>
      <c r="F9896" s="3" t="s">
        <v>12227</v>
      </c>
      <c r="G9896" s="2" t="s">
        <v>12327</v>
      </c>
      <c r="H9896" s="3">
        <v>43073</v>
      </c>
      <c r="I9896" s="2" t="s">
        <v>19533</v>
      </c>
      <c r="J9896" s="2" t="s">
        <v>13904</v>
      </c>
      <c r="K9896" s="2" t="s">
        <v>18732</v>
      </c>
      <c r="L9896" s="82"/>
    </row>
    <row r="9897" spans="1:12" ht="120" customHeight="1" x14ac:dyDescent="0.3">
      <c r="A9897" s="2">
        <v>9893</v>
      </c>
      <c r="B9897" s="105" t="s">
        <v>18710</v>
      </c>
      <c r="C9897" s="66">
        <v>1360043</v>
      </c>
      <c r="D9897" s="21">
        <v>29500</v>
      </c>
      <c r="E9897" s="11">
        <v>7789.34</v>
      </c>
      <c r="F9897" s="3" t="s">
        <v>12227</v>
      </c>
      <c r="G9897" s="2" t="s">
        <v>12327</v>
      </c>
      <c r="H9897" s="3">
        <v>43073</v>
      </c>
      <c r="I9897" s="2" t="s">
        <v>19533</v>
      </c>
      <c r="J9897" s="2" t="s">
        <v>13904</v>
      </c>
      <c r="K9897" s="2" t="s">
        <v>18732</v>
      </c>
      <c r="L9897" s="82"/>
    </row>
    <row r="9898" spans="1:12" ht="120" customHeight="1" x14ac:dyDescent="0.3">
      <c r="A9898" s="2">
        <v>9894</v>
      </c>
      <c r="B9898" s="105" t="s">
        <v>18709</v>
      </c>
      <c r="C9898" s="66">
        <v>1360094</v>
      </c>
      <c r="D9898" s="21">
        <v>19500</v>
      </c>
      <c r="E9898" s="11">
        <v>19500</v>
      </c>
      <c r="F9898" s="3" t="s">
        <v>12227</v>
      </c>
      <c r="G9898" s="2" t="s">
        <v>12327</v>
      </c>
      <c r="H9898" s="3">
        <v>43073</v>
      </c>
      <c r="I9898" s="2" t="s">
        <v>19533</v>
      </c>
      <c r="J9898" s="2" t="s">
        <v>13904</v>
      </c>
      <c r="K9898" s="2" t="s">
        <v>18732</v>
      </c>
      <c r="L9898" s="82"/>
    </row>
    <row r="9899" spans="1:12" ht="120" customHeight="1" x14ac:dyDescent="0.3">
      <c r="A9899" s="2">
        <v>9895</v>
      </c>
      <c r="B9899" s="105" t="s">
        <v>18709</v>
      </c>
      <c r="C9899" s="66">
        <v>1360095</v>
      </c>
      <c r="D9899" s="21">
        <v>19500</v>
      </c>
      <c r="E9899" s="11">
        <v>19500</v>
      </c>
      <c r="F9899" s="3" t="s">
        <v>12227</v>
      </c>
      <c r="G9899" s="2" t="s">
        <v>12327</v>
      </c>
      <c r="H9899" s="3">
        <v>43073</v>
      </c>
      <c r="I9899" s="2" t="s">
        <v>19533</v>
      </c>
      <c r="J9899" s="2" t="s">
        <v>13904</v>
      </c>
      <c r="K9899" s="2" t="s">
        <v>18732</v>
      </c>
      <c r="L9899" s="82"/>
    </row>
    <row r="9900" spans="1:12" ht="120" customHeight="1" x14ac:dyDescent="0.3">
      <c r="A9900" s="2">
        <v>9896</v>
      </c>
      <c r="B9900" s="105" t="s">
        <v>18709</v>
      </c>
      <c r="C9900" s="66">
        <v>1360096</v>
      </c>
      <c r="D9900" s="21">
        <v>19500</v>
      </c>
      <c r="E9900" s="11">
        <v>19500</v>
      </c>
      <c r="F9900" s="3" t="s">
        <v>12227</v>
      </c>
      <c r="G9900" s="2" t="s">
        <v>12327</v>
      </c>
      <c r="H9900" s="3">
        <v>43073</v>
      </c>
      <c r="I9900" s="2" t="s">
        <v>19533</v>
      </c>
      <c r="J9900" s="2" t="s">
        <v>13904</v>
      </c>
      <c r="K9900" s="2" t="s">
        <v>18732</v>
      </c>
      <c r="L9900" s="82"/>
    </row>
    <row r="9901" spans="1:12" ht="120" customHeight="1" x14ac:dyDescent="0.3">
      <c r="A9901" s="2">
        <v>9897</v>
      </c>
      <c r="B9901" s="105" t="s">
        <v>273</v>
      </c>
      <c r="C9901" s="66">
        <v>1360104</v>
      </c>
      <c r="D9901" s="21">
        <v>19500</v>
      </c>
      <c r="E9901" s="11">
        <v>19500</v>
      </c>
      <c r="F9901" s="3" t="s">
        <v>12227</v>
      </c>
      <c r="G9901" s="2" t="s">
        <v>12327</v>
      </c>
      <c r="H9901" s="3">
        <v>43073</v>
      </c>
      <c r="I9901" s="2" t="s">
        <v>19533</v>
      </c>
      <c r="J9901" s="2" t="s">
        <v>13904</v>
      </c>
      <c r="K9901" s="2" t="s">
        <v>18732</v>
      </c>
      <c r="L9901" s="82"/>
    </row>
    <row r="9902" spans="1:12" ht="120" customHeight="1" x14ac:dyDescent="0.3">
      <c r="A9902" s="2">
        <v>9898</v>
      </c>
      <c r="B9902" s="105" t="s">
        <v>18708</v>
      </c>
      <c r="C9902" s="66">
        <v>1360105</v>
      </c>
      <c r="D9902" s="21">
        <v>12825</v>
      </c>
      <c r="E9902" s="11">
        <v>12825</v>
      </c>
      <c r="F9902" s="3" t="s">
        <v>12227</v>
      </c>
      <c r="G9902" s="2" t="s">
        <v>12327</v>
      </c>
      <c r="H9902" s="3">
        <v>43073</v>
      </c>
      <c r="I9902" s="2" t="s">
        <v>19533</v>
      </c>
      <c r="J9902" s="2" t="s">
        <v>13904</v>
      </c>
      <c r="K9902" s="2" t="s">
        <v>18732</v>
      </c>
      <c r="L9902" s="82"/>
    </row>
    <row r="9903" spans="1:12" ht="108" customHeight="1" x14ac:dyDescent="0.3">
      <c r="A9903" s="2">
        <v>9899</v>
      </c>
      <c r="B9903" s="66" t="s">
        <v>12416</v>
      </c>
      <c r="C9903" s="66" t="s">
        <v>12417</v>
      </c>
      <c r="D9903" s="11">
        <v>9810.5</v>
      </c>
      <c r="E9903" s="11">
        <v>9810.5</v>
      </c>
      <c r="F9903" s="3">
        <v>42321</v>
      </c>
      <c r="G9903" s="2" t="s">
        <v>12418</v>
      </c>
      <c r="H9903" s="3">
        <v>43053</v>
      </c>
      <c r="I9903" s="2" t="s">
        <v>19506</v>
      </c>
      <c r="J9903" s="2" t="s">
        <v>13904</v>
      </c>
      <c r="K9903" s="14" t="s">
        <v>19236</v>
      </c>
      <c r="L9903" s="2" t="s">
        <v>19512</v>
      </c>
    </row>
    <row r="9904" spans="1:12" ht="120" customHeight="1" x14ac:dyDescent="0.3">
      <c r="A9904" s="2">
        <v>9900</v>
      </c>
      <c r="B9904" s="66" t="s">
        <v>14103</v>
      </c>
      <c r="C9904" s="66">
        <v>41012400001</v>
      </c>
      <c r="D9904" s="11">
        <v>129044</v>
      </c>
      <c r="E9904" s="11">
        <v>72049.789999999994</v>
      </c>
      <c r="F9904" s="3">
        <v>40496</v>
      </c>
      <c r="G9904" s="2" t="s">
        <v>14094</v>
      </c>
      <c r="H9904" s="3"/>
      <c r="I9904" s="2"/>
      <c r="J9904" s="2" t="s">
        <v>13904</v>
      </c>
      <c r="K9904" s="2" t="s">
        <v>18673</v>
      </c>
      <c r="L9904" s="82" t="s">
        <v>19705</v>
      </c>
    </row>
    <row r="9905" spans="1:12" ht="120" customHeight="1" x14ac:dyDescent="0.3">
      <c r="A9905" s="2">
        <v>9901</v>
      </c>
      <c r="B9905" s="66" t="s">
        <v>14095</v>
      </c>
      <c r="C9905" s="66">
        <v>41012400027</v>
      </c>
      <c r="D9905" s="11">
        <v>1766722</v>
      </c>
      <c r="E9905" s="11">
        <v>456403.08</v>
      </c>
      <c r="F9905" s="3">
        <v>42004</v>
      </c>
      <c r="G9905" s="2" t="s">
        <v>14096</v>
      </c>
      <c r="H9905" s="2"/>
      <c r="I9905" s="2"/>
      <c r="J9905" s="2" t="s">
        <v>13904</v>
      </c>
      <c r="K9905" s="2" t="s">
        <v>18673</v>
      </c>
      <c r="L9905" s="82" t="s">
        <v>19705</v>
      </c>
    </row>
    <row r="9906" spans="1:12" ht="120" customHeight="1" x14ac:dyDescent="0.3">
      <c r="A9906" s="2">
        <v>9902</v>
      </c>
      <c r="B9906" s="66" t="s">
        <v>218</v>
      </c>
      <c r="C9906" s="66">
        <v>41012400032</v>
      </c>
      <c r="D9906" s="11">
        <v>51100</v>
      </c>
      <c r="E9906" s="11">
        <v>31227.68</v>
      </c>
      <c r="F9906" s="3">
        <v>42248</v>
      </c>
      <c r="G9906" s="2" t="s">
        <v>14097</v>
      </c>
      <c r="H9906" s="2"/>
      <c r="I9906" s="2"/>
      <c r="J9906" s="2" t="s">
        <v>13904</v>
      </c>
      <c r="K9906" s="2" t="s">
        <v>18673</v>
      </c>
      <c r="L9906" s="82" t="s">
        <v>19705</v>
      </c>
    </row>
    <row r="9907" spans="1:12" ht="120" customHeight="1" x14ac:dyDescent="0.3">
      <c r="A9907" s="2">
        <v>9903</v>
      </c>
      <c r="B9907" s="66" t="s">
        <v>218</v>
      </c>
      <c r="C9907" s="66">
        <v>41012400029</v>
      </c>
      <c r="D9907" s="11">
        <v>51100</v>
      </c>
      <c r="E9907" s="11">
        <v>31227.68</v>
      </c>
      <c r="F9907" s="3">
        <v>42250</v>
      </c>
      <c r="G9907" s="2" t="s">
        <v>14097</v>
      </c>
      <c r="H9907" s="2"/>
      <c r="I9907" s="2"/>
      <c r="J9907" s="2" t="s">
        <v>13904</v>
      </c>
      <c r="K9907" s="2" t="s">
        <v>18673</v>
      </c>
      <c r="L9907" s="82" t="s">
        <v>19705</v>
      </c>
    </row>
    <row r="9908" spans="1:12" ht="120" customHeight="1" x14ac:dyDescent="0.3">
      <c r="A9908" s="2">
        <v>9904</v>
      </c>
      <c r="B9908" s="66" t="s">
        <v>218</v>
      </c>
      <c r="C9908" s="66">
        <v>41012400030</v>
      </c>
      <c r="D9908" s="11">
        <v>51100</v>
      </c>
      <c r="E9908" s="11">
        <v>31227.68</v>
      </c>
      <c r="F9908" s="3">
        <v>42254</v>
      </c>
      <c r="G9908" s="2" t="s">
        <v>14097</v>
      </c>
      <c r="H9908" s="2"/>
      <c r="I9908" s="2"/>
      <c r="J9908" s="2" t="s">
        <v>13904</v>
      </c>
      <c r="K9908" s="2" t="s">
        <v>18673</v>
      </c>
      <c r="L9908" s="82" t="s">
        <v>19705</v>
      </c>
    </row>
    <row r="9909" spans="1:12" ht="120" customHeight="1" x14ac:dyDescent="0.3">
      <c r="A9909" s="2">
        <v>9905</v>
      </c>
      <c r="B9909" s="66" t="s">
        <v>218</v>
      </c>
      <c r="C9909" s="66">
        <v>41012400031</v>
      </c>
      <c r="D9909" s="11">
        <v>51100</v>
      </c>
      <c r="E9909" s="11">
        <v>31227.68</v>
      </c>
      <c r="F9909" s="3">
        <v>42257</v>
      </c>
      <c r="G9909" s="2" t="s">
        <v>14097</v>
      </c>
      <c r="H9909" s="2"/>
      <c r="I9909" s="2"/>
      <c r="J9909" s="2" t="s">
        <v>13904</v>
      </c>
      <c r="K9909" s="2" t="s">
        <v>18673</v>
      </c>
      <c r="L9909" s="82" t="s">
        <v>19705</v>
      </c>
    </row>
    <row r="9910" spans="1:12" ht="120" customHeight="1" x14ac:dyDescent="0.3">
      <c r="A9910" s="2">
        <v>9906</v>
      </c>
      <c r="B9910" s="66" t="s">
        <v>14098</v>
      </c>
      <c r="C9910" s="66">
        <v>41012400007</v>
      </c>
      <c r="D9910" s="11">
        <v>94000</v>
      </c>
      <c r="E9910" s="11">
        <v>60428.7</v>
      </c>
      <c r="F9910" s="3">
        <v>41272</v>
      </c>
      <c r="G9910" s="2" t="s">
        <v>14096</v>
      </c>
      <c r="H9910" s="2"/>
      <c r="I9910" s="2"/>
      <c r="J9910" s="2" t="s">
        <v>13904</v>
      </c>
      <c r="K9910" s="2" t="s">
        <v>18673</v>
      </c>
      <c r="L9910" s="82" t="s">
        <v>19705</v>
      </c>
    </row>
    <row r="9911" spans="1:12" ht="120" customHeight="1" x14ac:dyDescent="0.3">
      <c r="A9911" s="2">
        <v>9907</v>
      </c>
      <c r="B9911" s="66" t="s">
        <v>14098</v>
      </c>
      <c r="C9911" s="66">
        <v>41012400008</v>
      </c>
      <c r="D9911" s="11">
        <v>94000</v>
      </c>
      <c r="E9911" s="11">
        <v>60428.7</v>
      </c>
      <c r="F9911" s="3">
        <v>41272</v>
      </c>
      <c r="G9911" s="2" t="s">
        <v>14096</v>
      </c>
      <c r="H9911" s="2"/>
      <c r="I9911" s="2"/>
      <c r="J9911" s="2" t="s">
        <v>13904</v>
      </c>
      <c r="K9911" s="2" t="s">
        <v>18673</v>
      </c>
      <c r="L9911" s="82" t="s">
        <v>19705</v>
      </c>
    </row>
    <row r="9912" spans="1:12" ht="120" customHeight="1" x14ac:dyDescent="0.3">
      <c r="A9912" s="2">
        <v>9908</v>
      </c>
      <c r="B9912" s="66" t="s">
        <v>14099</v>
      </c>
      <c r="C9912" s="66">
        <v>41012400015</v>
      </c>
      <c r="D9912" s="11">
        <v>285500</v>
      </c>
      <c r="E9912" s="11">
        <v>285500</v>
      </c>
      <c r="F9912" s="3">
        <v>41272</v>
      </c>
      <c r="G9912" s="2" t="s">
        <v>14096</v>
      </c>
      <c r="H9912" s="2"/>
      <c r="I9912" s="2"/>
      <c r="J9912" s="2" t="s">
        <v>13904</v>
      </c>
      <c r="K9912" s="2" t="s">
        <v>18673</v>
      </c>
      <c r="L9912" s="82" t="s">
        <v>19705</v>
      </c>
    </row>
    <row r="9913" spans="1:12" ht="120" customHeight="1" x14ac:dyDescent="0.3">
      <c r="A9913" s="2">
        <v>9909</v>
      </c>
      <c r="B9913" s="66" t="s">
        <v>14100</v>
      </c>
      <c r="C9913" s="66">
        <v>41012400022</v>
      </c>
      <c r="D9913" s="11">
        <v>92800</v>
      </c>
      <c r="E9913" s="11">
        <v>92800</v>
      </c>
      <c r="F9913" s="3">
        <v>41272</v>
      </c>
      <c r="G9913" s="2" t="s">
        <v>14096</v>
      </c>
      <c r="H9913" s="2"/>
      <c r="I9913" s="2"/>
      <c r="J9913" s="2" t="s">
        <v>13904</v>
      </c>
      <c r="K9913" s="2" t="s">
        <v>18673</v>
      </c>
      <c r="L9913" s="82" t="s">
        <v>19705</v>
      </c>
    </row>
    <row r="9914" spans="1:12" ht="120" customHeight="1" x14ac:dyDescent="0.3">
      <c r="A9914" s="2">
        <v>9910</v>
      </c>
      <c r="B9914" s="66" t="s">
        <v>14100</v>
      </c>
      <c r="C9914" s="66">
        <v>41012400022</v>
      </c>
      <c r="D9914" s="11">
        <v>92800</v>
      </c>
      <c r="E9914" s="11">
        <v>92800</v>
      </c>
      <c r="F9914" s="3">
        <v>41272</v>
      </c>
      <c r="G9914" s="2" t="s">
        <v>14096</v>
      </c>
      <c r="H9914" s="2"/>
      <c r="I9914" s="2"/>
      <c r="J9914" s="2" t="s">
        <v>13904</v>
      </c>
      <c r="K9914" s="2" t="s">
        <v>18673</v>
      </c>
      <c r="L9914" s="82" t="s">
        <v>19705</v>
      </c>
    </row>
    <row r="9915" spans="1:12" ht="120" customHeight="1" x14ac:dyDescent="0.3">
      <c r="A9915" s="2">
        <v>9911</v>
      </c>
      <c r="B9915" s="66" t="s">
        <v>14101</v>
      </c>
      <c r="C9915" s="66">
        <v>41012400013</v>
      </c>
      <c r="D9915" s="11">
        <v>286800</v>
      </c>
      <c r="E9915" s="11">
        <v>286800</v>
      </c>
      <c r="F9915" s="3">
        <v>41272</v>
      </c>
      <c r="G9915" s="2" t="s">
        <v>14096</v>
      </c>
      <c r="H9915" s="2"/>
      <c r="I9915" s="2"/>
      <c r="J9915" s="2" t="s">
        <v>13904</v>
      </c>
      <c r="K9915" s="2" t="s">
        <v>18673</v>
      </c>
      <c r="L9915" s="82" t="s">
        <v>19705</v>
      </c>
    </row>
    <row r="9916" spans="1:12" ht="72" customHeight="1" x14ac:dyDescent="0.3">
      <c r="A9916" s="2">
        <v>9912</v>
      </c>
      <c r="B9916" s="66" t="s">
        <v>14102</v>
      </c>
      <c r="C9916" s="66">
        <v>41012400016</v>
      </c>
      <c r="D9916" s="11">
        <v>54800</v>
      </c>
      <c r="E9916" s="11">
        <v>54800</v>
      </c>
      <c r="F9916" s="3">
        <v>42755</v>
      </c>
      <c r="G9916" s="2" t="s">
        <v>18736</v>
      </c>
      <c r="H9916" s="2"/>
      <c r="I9916" s="2"/>
      <c r="J9916" s="2" t="s">
        <v>15048</v>
      </c>
      <c r="K9916" s="2"/>
      <c r="L9916" s="82"/>
    </row>
    <row r="9917" spans="1:12" ht="72" customHeight="1" x14ac:dyDescent="0.3">
      <c r="A9917" s="2">
        <v>9913</v>
      </c>
      <c r="B9917" s="66" t="s">
        <v>14102</v>
      </c>
      <c r="C9917" s="66">
        <v>41012400017</v>
      </c>
      <c r="D9917" s="11">
        <v>54800</v>
      </c>
      <c r="E9917" s="11">
        <v>54800</v>
      </c>
      <c r="F9917" s="3">
        <v>42755</v>
      </c>
      <c r="G9917" s="2" t="s">
        <v>18736</v>
      </c>
      <c r="H9917" s="2"/>
      <c r="I9917" s="2"/>
      <c r="J9917" s="2" t="s">
        <v>15048</v>
      </c>
      <c r="K9917" s="2"/>
      <c r="L9917" s="82"/>
    </row>
    <row r="9918" spans="1:12" ht="72" customHeight="1" x14ac:dyDescent="0.3">
      <c r="A9918" s="2">
        <v>9914</v>
      </c>
      <c r="B9918" s="66" t="s">
        <v>14102</v>
      </c>
      <c r="C9918" s="66">
        <v>41012400018</v>
      </c>
      <c r="D9918" s="11">
        <v>54800</v>
      </c>
      <c r="E9918" s="11">
        <v>54800</v>
      </c>
      <c r="F9918" s="3">
        <v>42755</v>
      </c>
      <c r="G9918" s="2" t="s">
        <v>18736</v>
      </c>
      <c r="H9918" s="2"/>
      <c r="I9918" s="2"/>
      <c r="J9918" s="2" t="s">
        <v>15048</v>
      </c>
      <c r="K9918" s="2"/>
      <c r="L9918" s="82"/>
    </row>
    <row r="9919" spans="1:12" ht="120" customHeight="1" x14ac:dyDescent="0.3">
      <c r="A9919" s="2">
        <v>9915</v>
      </c>
      <c r="B9919" s="66" t="s">
        <v>14102</v>
      </c>
      <c r="C9919" s="66">
        <v>41012400019</v>
      </c>
      <c r="D9919" s="11">
        <v>54800</v>
      </c>
      <c r="E9919" s="11">
        <v>54800</v>
      </c>
      <c r="F9919" s="3">
        <v>41272</v>
      </c>
      <c r="G9919" s="2" t="s">
        <v>14096</v>
      </c>
      <c r="H9919" s="2"/>
      <c r="I9919" s="2"/>
      <c r="J9919" s="2" t="s">
        <v>13904</v>
      </c>
      <c r="K9919" s="2" t="s">
        <v>18673</v>
      </c>
      <c r="L9919" s="82" t="s">
        <v>19705</v>
      </c>
    </row>
    <row r="9920" spans="1:12" ht="120" customHeight="1" x14ac:dyDescent="0.3">
      <c r="A9920" s="2">
        <v>9916</v>
      </c>
      <c r="B9920" s="66" t="s">
        <v>14102</v>
      </c>
      <c r="C9920" s="66">
        <v>41012400020</v>
      </c>
      <c r="D9920" s="11">
        <v>54800</v>
      </c>
      <c r="E9920" s="11">
        <v>54800</v>
      </c>
      <c r="F9920" s="3">
        <v>41272</v>
      </c>
      <c r="G9920" s="2" t="s">
        <v>14096</v>
      </c>
      <c r="H9920" s="2"/>
      <c r="I9920" s="2"/>
      <c r="J9920" s="2" t="s">
        <v>13904</v>
      </c>
      <c r="K9920" s="2" t="s">
        <v>18673</v>
      </c>
      <c r="L9920" s="82" t="s">
        <v>19705</v>
      </c>
    </row>
    <row r="9921" spans="1:12" ht="120" customHeight="1" x14ac:dyDescent="0.3">
      <c r="A9921" s="2">
        <v>9917</v>
      </c>
      <c r="B9921" s="66" t="s">
        <v>14102</v>
      </c>
      <c r="C9921" s="66">
        <v>41012400021</v>
      </c>
      <c r="D9921" s="11">
        <v>54800</v>
      </c>
      <c r="E9921" s="11">
        <v>54800</v>
      </c>
      <c r="F9921" s="3">
        <v>41272</v>
      </c>
      <c r="G9921" s="2" t="s">
        <v>14096</v>
      </c>
      <c r="H9921" s="2"/>
      <c r="I9921" s="2"/>
      <c r="J9921" s="2" t="s">
        <v>13904</v>
      </c>
      <c r="K9921" s="2" t="s">
        <v>18673</v>
      </c>
      <c r="L9921" s="82" t="s">
        <v>19705</v>
      </c>
    </row>
    <row r="9922" spans="1:12" ht="120" customHeight="1" x14ac:dyDescent="0.3">
      <c r="A9922" s="2">
        <v>9918</v>
      </c>
      <c r="B9922" s="66" t="s">
        <v>14103</v>
      </c>
      <c r="C9922" s="66">
        <v>41012400009</v>
      </c>
      <c r="D9922" s="11">
        <v>127850</v>
      </c>
      <c r="E9922" s="11">
        <v>57532.68</v>
      </c>
      <c r="F9922" s="3">
        <v>40541</v>
      </c>
      <c r="G9922" s="2" t="s">
        <v>14104</v>
      </c>
      <c r="H9922" s="2"/>
      <c r="I9922" s="2"/>
      <c r="J9922" s="2" t="s">
        <v>13904</v>
      </c>
      <c r="K9922" s="2" t="s">
        <v>18673</v>
      </c>
      <c r="L9922" s="82" t="s">
        <v>19705</v>
      </c>
    </row>
    <row r="9923" spans="1:12" ht="120" customHeight="1" x14ac:dyDescent="0.3">
      <c r="A9923" s="2">
        <v>9919</v>
      </c>
      <c r="B9923" s="66" t="s">
        <v>14105</v>
      </c>
      <c r="C9923" s="66">
        <v>41012400024</v>
      </c>
      <c r="D9923" s="11">
        <v>148000</v>
      </c>
      <c r="E9923" s="11">
        <v>148000</v>
      </c>
      <c r="F9923" s="3">
        <v>41527</v>
      </c>
      <c r="G9923" s="2" t="s">
        <v>14104</v>
      </c>
      <c r="H9923" s="2"/>
      <c r="I9923" s="2"/>
      <c r="J9923" s="2" t="s">
        <v>13904</v>
      </c>
      <c r="K9923" s="2" t="s">
        <v>18673</v>
      </c>
      <c r="L9923" s="82" t="s">
        <v>19705</v>
      </c>
    </row>
    <row r="9924" spans="1:12" ht="120" customHeight="1" x14ac:dyDescent="0.3">
      <c r="A9924" s="2">
        <v>9920</v>
      </c>
      <c r="B9924" s="66" t="s">
        <v>14106</v>
      </c>
      <c r="C9924" s="66">
        <v>41012400025</v>
      </c>
      <c r="D9924" s="11">
        <v>130900</v>
      </c>
      <c r="E9924" s="11">
        <v>130900</v>
      </c>
      <c r="F9924" s="3">
        <v>41808</v>
      </c>
      <c r="G9924" s="2" t="s">
        <v>14104</v>
      </c>
      <c r="H9924" s="2"/>
      <c r="I9924" s="2"/>
      <c r="J9924" s="2" t="s">
        <v>13904</v>
      </c>
      <c r="K9924" s="2" t="s">
        <v>18673</v>
      </c>
      <c r="L9924" s="82" t="s">
        <v>19705</v>
      </c>
    </row>
    <row r="9925" spans="1:12" ht="120" customHeight="1" x14ac:dyDescent="0.3">
      <c r="A9925" s="2">
        <v>9921</v>
      </c>
      <c r="B9925" s="66" t="s">
        <v>14107</v>
      </c>
      <c r="C9925" s="66">
        <v>41012400010</v>
      </c>
      <c r="D9925" s="11">
        <v>305670</v>
      </c>
      <c r="E9925" s="11">
        <v>305670</v>
      </c>
      <c r="F9925" s="3">
        <v>41272</v>
      </c>
      <c r="G9925" s="2" t="s">
        <v>14096</v>
      </c>
      <c r="H9925" s="2"/>
      <c r="I9925" s="2"/>
      <c r="J9925" s="2" t="s">
        <v>13904</v>
      </c>
      <c r="K9925" s="2" t="s">
        <v>18673</v>
      </c>
      <c r="L9925" s="82" t="s">
        <v>19705</v>
      </c>
    </row>
    <row r="9926" spans="1:12" ht="120" customHeight="1" x14ac:dyDescent="0.3">
      <c r="A9926" s="2">
        <v>9922</v>
      </c>
      <c r="B9926" s="66" t="s">
        <v>14107</v>
      </c>
      <c r="C9926" s="66">
        <v>41012400011</v>
      </c>
      <c r="D9926" s="11">
        <v>305670</v>
      </c>
      <c r="E9926" s="11">
        <v>305670</v>
      </c>
      <c r="F9926" s="3">
        <v>41272</v>
      </c>
      <c r="G9926" s="2" t="s">
        <v>14096</v>
      </c>
      <c r="H9926" s="2"/>
      <c r="I9926" s="2"/>
      <c r="J9926" s="2" t="s">
        <v>13904</v>
      </c>
      <c r="K9926" s="2" t="s">
        <v>18673</v>
      </c>
      <c r="L9926" s="82" t="s">
        <v>19705</v>
      </c>
    </row>
    <row r="9927" spans="1:12" ht="120" customHeight="1" x14ac:dyDescent="0.3">
      <c r="A9927" s="2">
        <v>9923</v>
      </c>
      <c r="B9927" s="66" t="s">
        <v>14107</v>
      </c>
      <c r="C9927" s="66">
        <v>41012400012</v>
      </c>
      <c r="D9927" s="11">
        <v>305670</v>
      </c>
      <c r="E9927" s="11">
        <v>305670</v>
      </c>
      <c r="F9927" s="3">
        <v>41272</v>
      </c>
      <c r="G9927" s="2" t="s">
        <v>14096</v>
      </c>
      <c r="H9927" s="2"/>
      <c r="I9927" s="2"/>
      <c r="J9927" s="2" t="s">
        <v>13904</v>
      </c>
      <c r="K9927" s="2" t="s">
        <v>18673</v>
      </c>
      <c r="L9927" s="82" t="s">
        <v>19705</v>
      </c>
    </row>
    <row r="9928" spans="1:12" ht="120" customHeight="1" x14ac:dyDescent="0.3">
      <c r="A9928" s="2">
        <v>9924</v>
      </c>
      <c r="B9928" s="66" t="s">
        <v>14108</v>
      </c>
      <c r="C9928" s="66">
        <v>41012400003</v>
      </c>
      <c r="D9928" s="11">
        <v>171480</v>
      </c>
      <c r="E9928" s="11">
        <v>171480</v>
      </c>
      <c r="F9928" s="3">
        <v>40890</v>
      </c>
      <c r="G9928" s="2" t="s">
        <v>14104</v>
      </c>
      <c r="H9928" s="2"/>
      <c r="I9928" s="2"/>
      <c r="J9928" s="2" t="s">
        <v>13904</v>
      </c>
      <c r="K9928" s="2" t="s">
        <v>18673</v>
      </c>
      <c r="L9928" s="82" t="s">
        <v>19705</v>
      </c>
    </row>
    <row r="9929" spans="1:12" ht="120" customHeight="1" x14ac:dyDescent="0.3">
      <c r="A9929" s="2">
        <v>9925</v>
      </c>
      <c r="B9929" s="66" t="s">
        <v>14108</v>
      </c>
      <c r="C9929" s="66">
        <v>41012400004</v>
      </c>
      <c r="D9929" s="11">
        <v>171480</v>
      </c>
      <c r="E9929" s="11">
        <v>171480</v>
      </c>
      <c r="F9929" s="3">
        <v>40890</v>
      </c>
      <c r="G9929" s="2" t="s">
        <v>14104</v>
      </c>
      <c r="H9929" s="2"/>
      <c r="I9929" s="2"/>
      <c r="J9929" s="2" t="s">
        <v>13904</v>
      </c>
      <c r="K9929" s="2" t="s">
        <v>18673</v>
      </c>
      <c r="L9929" s="82" t="s">
        <v>19705</v>
      </c>
    </row>
    <row r="9930" spans="1:12" ht="120" customHeight="1" x14ac:dyDescent="0.3">
      <c r="A9930" s="2">
        <v>9926</v>
      </c>
      <c r="B9930" s="66" t="s">
        <v>19706</v>
      </c>
      <c r="C9930" s="66">
        <v>41012400033</v>
      </c>
      <c r="D9930" s="11">
        <v>76799</v>
      </c>
      <c r="E9930" s="11">
        <v>2559.96</v>
      </c>
      <c r="F9930" s="3">
        <v>42872</v>
      </c>
      <c r="G9930" s="2" t="s">
        <v>14104</v>
      </c>
      <c r="H9930" s="3"/>
      <c r="I9930" s="2"/>
      <c r="J9930" s="2" t="s">
        <v>13904</v>
      </c>
      <c r="K9930" s="2" t="s">
        <v>18673</v>
      </c>
      <c r="L9930" s="82" t="s">
        <v>19705</v>
      </c>
    </row>
    <row r="9931" spans="1:12" ht="120" customHeight="1" x14ac:dyDescent="0.3">
      <c r="A9931" s="2">
        <v>9927</v>
      </c>
      <c r="B9931" s="66" t="s">
        <v>14109</v>
      </c>
      <c r="C9931" s="66">
        <v>41012400026</v>
      </c>
      <c r="D9931" s="11">
        <v>56900</v>
      </c>
      <c r="E9931" s="11">
        <v>52158.48</v>
      </c>
      <c r="F9931" s="3">
        <v>41933</v>
      </c>
      <c r="G9931" s="2" t="s">
        <v>14110</v>
      </c>
      <c r="H9931" s="2"/>
      <c r="I9931" s="2"/>
      <c r="J9931" s="2" t="s">
        <v>13904</v>
      </c>
      <c r="K9931" s="2" t="s">
        <v>18673</v>
      </c>
      <c r="L9931" s="82" t="s">
        <v>19705</v>
      </c>
    </row>
    <row r="9932" spans="1:12" ht="120" customHeight="1" x14ac:dyDescent="0.3">
      <c r="A9932" s="2">
        <v>9928</v>
      </c>
      <c r="B9932" s="66" t="s">
        <v>14111</v>
      </c>
      <c r="C9932" s="66">
        <v>41012400032</v>
      </c>
      <c r="D9932" s="11">
        <v>87000</v>
      </c>
      <c r="E9932" s="11">
        <v>14500</v>
      </c>
      <c r="F9932" s="3">
        <v>42331</v>
      </c>
      <c r="G9932" s="2" t="s">
        <v>14094</v>
      </c>
      <c r="H9932" s="2"/>
      <c r="I9932" s="2"/>
      <c r="J9932" s="2" t="s">
        <v>13904</v>
      </c>
      <c r="K9932" s="2" t="s">
        <v>18673</v>
      </c>
      <c r="L9932" s="82" t="s">
        <v>19705</v>
      </c>
    </row>
    <row r="9933" spans="1:12" ht="120" customHeight="1" x14ac:dyDescent="0.3">
      <c r="A9933" s="2">
        <v>9929</v>
      </c>
      <c r="B9933" s="66" t="s">
        <v>19708</v>
      </c>
      <c r="C9933" s="66" t="s">
        <v>19707</v>
      </c>
      <c r="D9933" s="11">
        <v>158250</v>
      </c>
      <c r="E9933" s="11">
        <v>0</v>
      </c>
      <c r="F9933" s="3">
        <v>42940</v>
      </c>
      <c r="G9933" s="2" t="s">
        <v>14104</v>
      </c>
      <c r="H9933" s="3"/>
      <c r="I9933" s="2"/>
      <c r="J9933" s="2" t="s">
        <v>13904</v>
      </c>
      <c r="K9933" s="2" t="s">
        <v>18673</v>
      </c>
      <c r="L9933" s="82" t="s">
        <v>20510</v>
      </c>
    </row>
    <row r="9934" spans="1:12" ht="120" customHeight="1" x14ac:dyDescent="0.3">
      <c r="A9934" s="2">
        <v>9930</v>
      </c>
      <c r="B9934" s="66" t="s">
        <v>14112</v>
      </c>
      <c r="C9934" s="66">
        <v>41012500001</v>
      </c>
      <c r="D9934" s="11">
        <v>699900</v>
      </c>
      <c r="E9934" s="11">
        <v>361615</v>
      </c>
      <c r="F9934" s="3">
        <v>41984</v>
      </c>
      <c r="G9934" s="2" t="s">
        <v>14104</v>
      </c>
      <c r="H9934" s="2"/>
      <c r="I9934" s="2"/>
      <c r="J9934" s="2" t="s">
        <v>13904</v>
      </c>
      <c r="K9934" s="2" t="s">
        <v>18673</v>
      </c>
      <c r="L9934" s="82" t="s">
        <v>19705</v>
      </c>
    </row>
    <row r="9935" spans="1:12" ht="120" customHeight="1" x14ac:dyDescent="0.3">
      <c r="A9935" s="2">
        <v>9931</v>
      </c>
      <c r="B9935" s="66" t="s">
        <v>14113</v>
      </c>
      <c r="C9935" s="66">
        <v>41012600001</v>
      </c>
      <c r="D9935" s="11">
        <v>77890</v>
      </c>
      <c r="E9935" s="11">
        <v>14020.02</v>
      </c>
      <c r="F9935" s="3">
        <v>41272</v>
      </c>
      <c r="G9935" s="2" t="s">
        <v>14096</v>
      </c>
      <c r="H9935" s="2"/>
      <c r="I9935" s="2"/>
      <c r="J9935" s="2" t="s">
        <v>13904</v>
      </c>
      <c r="K9935" s="2" t="s">
        <v>18673</v>
      </c>
      <c r="L9935" s="82" t="s">
        <v>19705</v>
      </c>
    </row>
    <row r="9936" spans="1:12" ht="84" customHeight="1" x14ac:dyDescent="0.3">
      <c r="A9936" s="2">
        <v>9932</v>
      </c>
      <c r="B9936" s="66" t="s">
        <v>14114</v>
      </c>
      <c r="C9936" s="66">
        <v>15106</v>
      </c>
      <c r="D9936" s="11">
        <v>48620</v>
      </c>
      <c r="E9936" s="11">
        <v>44163.53</v>
      </c>
      <c r="F9936" s="3">
        <v>40500</v>
      </c>
      <c r="G9936" s="2" t="s">
        <v>11556</v>
      </c>
      <c r="H9936" s="2"/>
      <c r="I9936" s="2"/>
      <c r="J9936" s="2" t="s">
        <v>12550</v>
      </c>
      <c r="K9936" s="2"/>
      <c r="L9936" s="82" t="s">
        <v>19091</v>
      </c>
    </row>
    <row r="9937" spans="1:12" ht="84" customHeight="1" x14ac:dyDescent="0.3">
      <c r="A9937" s="2">
        <v>9933</v>
      </c>
      <c r="B9937" s="66" t="s">
        <v>14115</v>
      </c>
      <c r="C9937" s="66" t="s">
        <v>14116</v>
      </c>
      <c r="D9937" s="11">
        <f>0.01*3</f>
        <v>0.03</v>
      </c>
      <c r="E9937" s="11">
        <v>0</v>
      </c>
      <c r="F9937" s="3">
        <v>40500</v>
      </c>
      <c r="G9937" s="2" t="s">
        <v>11556</v>
      </c>
      <c r="H9937" s="2"/>
      <c r="I9937" s="2"/>
      <c r="J9937" s="2" t="s">
        <v>13904</v>
      </c>
      <c r="K9937" s="2" t="s">
        <v>18543</v>
      </c>
      <c r="L9937" s="82"/>
    </row>
    <row r="9938" spans="1:12" ht="84" customHeight="1" x14ac:dyDescent="0.3">
      <c r="A9938" s="2">
        <v>9934</v>
      </c>
      <c r="B9938" s="66" t="s">
        <v>14117</v>
      </c>
      <c r="C9938" s="66">
        <v>17627</v>
      </c>
      <c r="D9938" s="11">
        <v>93220.34</v>
      </c>
      <c r="E9938" s="11">
        <v>59039.839999999997</v>
      </c>
      <c r="F9938" s="3">
        <v>40500</v>
      </c>
      <c r="G9938" s="2" t="s">
        <v>11556</v>
      </c>
      <c r="H9938" s="2"/>
      <c r="I9938" s="2"/>
      <c r="J9938" s="2" t="s">
        <v>13904</v>
      </c>
      <c r="K9938" s="2" t="s">
        <v>18543</v>
      </c>
      <c r="L9938" s="82"/>
    </row>
    <row r="9939" spans="1:12" ht="84" customHeight="1" x14ac:dyDescent="0.3">
      <c r="A9939" s="2">
        <v>9935</v>
      </c>
      <c r="B9939" s="66" t="s">
        <v>14118</v>
      </c>
      <c r="C9939" s="66" t="s">
        <v>14119</v>
      </c>
      <c r="D9939" s="11">
        <f>0.01*3</f>
        <v>0.03</v>
      </c>
      <c r="E9939" s="11">
        <v>0</v>
      </c>
      <c r="F9939" s="3">
        <v>40500</v>
      </c>
      <c r="G9939" s="2" t="s">
        <v>11556</v>
      </c>
      <c r="H9939" s="2"/>
      <c r="I9939" s="2"/>
      <c r="J9939" s="2" t="s">
        <v>13904</v>
      </c>
      <c r="K9939" s="2" t="s">
        <v>18543</v>
      </c>
      <c r="L9939" s="82"/>
    </row>
    <row r="9940" spans="1:12" ht="84" customHeight="1" x14ac:dyDescent="0.3">
      <c r="A9940" s="2">
        <v>9936</v>
      </c>
      <c r="B9940" s="2" t="s">
        <v>11638</v>
      </c>
      <c r="C9940" s="66">
        <v>17140</v>
      </c>
      <c r="D9940" s="20">
        <v>10559.32</v>
      </c>
      <c r="E9940" s="20">
        <v>10559.32</v>
      </c>
      <c r="F9940" s="3">
        <v>40500</v>
      </c>
      <c r="G9940" s="2" t="s">
        <v>11556</v>
      </c>
      <c r="H9940" s="2"/>
      <c r="I9940" s="2"/>
      <c r="J9940" s="2" t="s">
        <v>13904</v>
      </c>
      <c r="K9940" s="2" t="s">
        <v>18543</v>
      </c>
      <c r="L9940" s="82"/>
    </row>
    <row r="9941" spans="1:12" ht="84" customHeight="1" x14ac:dyDescent="0.3">
      <c r="A9941" s="2">
        <v>9937</v>
      </c>
      <c r="B9941" s="2" t="s">
        <v>14120</v>
      </c>
      <c r="C9941" s="66" t="s">
        <v>14121</v>
      </c>
      <c r="D9941" s="20">
        <f>0.01*2</f>
        <v>0.02</v>
      </c>
      <c r="E9941" s="20">
        <v>0</v>
      </c>
      <c r="F9941" s="3">
        <v>40500</v>
      </c>
      <c r="G9941" s="2" t="s">
        <v>11556</v>
      </c>
      <c r="H9941" s="2"/>
      <c r="I9941" s="2"/>
      <c r="J9941" s="2" t="s">
        <v>13904</v>
      </c>
      <c r="K9941" s="2" t="s">
        <v>18543</v>
      </c>
      <c r="L9941" s="82"/>
    </row>
    <row r="9942" spans="1:12" ht="84" customHeight="1" x14ac:dyDescent="0.3">
      <c r="A9942" s="2">
        <v>9938</v>
      </c>
      <c r="B9942" s="2" t="s">
        <v>14122</v>
      </c>
      <c r="C9942" s="66" t="s">
        <v>14123</v>
      </c>
      <c r="D9942" s="20">
        <f>0.01*2</f>
        <v>0.02</v>
      </c>
      <c r="E9942" s="20">
        <v>0</v>
      </c>
      <c r="F9942" s="3">
        <v>40500</v>
      </c>
      <c r="G9942" s="2" t="s">
        <v>11556</v>
      </c>
      <c r="H9942" s="2"/>
      <c r="I9942" s="2"/>
      <c r="J9942" s="2" t="s">
        <v>13904</v>
      </c>
      <c r="K9942" s="2" t="s">
        <v>18543</v>
      </c>
      <c r="L9942" s="82"/>
    </row>
    <row r="9943" spans="1:12" ht="84" customHeight="1" x14ac:dyDescent="0.3">
      <c r="A9943" s="2">
        <v>9939</v>
      </c>
      <c r="B9943" s="2" t="s">
        <v>14124</v>
      </c>
      <c r="C9943" s="66" t="s">
        <v>14125</v>
      </c>
      <c r="D9943" s="20">
        <f>0.01*2</f>
        <v>0.02</v>
      </c>
      <c r="E9943" s="20">
        <v>0</v>
      </c>
      <c r="F9943" s="3">
        <v>40500</v>
      </c>
      <c r="G9943" s="2" t="s">
        <v>11556</v>
      </c>
      <c r="H9943" s="2"/>
      <c r="I9943" s="2"/>
      <c r="J9943" s="2" t="s">
        <v>13904</v>
      </c>
      <c r="K9943" s="2" t="s">
        <v>18543</v>
      </c>
      <c r="L9943" s="82"/>
    </row>
    <row r="9944" spans="1:12" ht="84" customHeight="1" x14ac:dyDescent="0.3">
      <c r="A9944" s="2">
        <v>9940</v>
      </c>
      <c r="B9944" s="2" t="s">
        <v>14126</v>
      </c>
      <c r="C9944" s="66">
        <v>15143</v>
      </c>
      <c r="D9944" s="20">
        <v>1683.7</v>
      </c>
      <c r="E9944" s="20">
        <v>1683.7</v>
      </c>
      <c r="F9944" s="3">
        <v>40500</v>
      </c>
      <c r="G9944" s="2" t="s">
        <v>11556</v>
      </c>
      <c r="H9944" s="2"/>
      <c r="I9944" s="2"/>
      <c r="J9944" s="2" t="s">
        <v>13904</v>
      </c>
      <c r="K9944" s="2" t="s">
        <v>18543</v>
      </c>
      <c r="L9944" s="82"/>
    </row>
    <row r="9945" spans="1:12" ht="84" customHeight="1" x14ac:dyDescent="0.3">
      <c r="A9945" s="2">
        <v>9941</v>
      </c>
      <c r="B9945" s="2" t="s">
        <v>14127</v>
      </c>
      <c r="C9945" s="2">
        <v>17606</v>
      </c>
      <c r="D9945" s="11">
        <v>87796.800000000003</v>
      </c>
      <c r="E9945" s="11">
        <v>49884.75</v>
      </c>
      <c r="F9945" s="3">
        <v>40500</v>
      </c>
      <c r="G9945" s="2" t="s">
        <v>11171</v>
      </c>
      <c r="H9945" s="2"/>
      <c r="I9945" s="2"/>
      <c r="J9945" s="2" t="s">
        <v>13904</v>
      </c>
      <c r="K9945" s="2" t="s">
        <v>18543</v>
      </c>
      <c r="L9945" s="82"/>
    </row>
    <row r="9946" spans="1:12" ht="108" x14ac:dyDescent="0.3">
      <c r="A9946" s="2">
        <v>9942</v>
      </c>
      <c r="B9946" s="2" t="s">
        <v>23843</v>
      </c>
      <c r="C9946" s="2">
        <v>41012400259</v>
      </c>
      <c r="D9946" s="11">
        <v>345625.43</v>
      </c>
      <c r="E9946" s="11"/>
      <c r="F9946" s="243" t="s">
        <v>23845</v>
      </c>
      <c r="G9946" s="3" t="s">
        <v>23844</v>
      </c>
      <c r="H9946" s="2"/>
      <c r="I9946" s="2"/>
      <c r="J9946" s="2" t="s">
        <v>13904</v>
      </c>
      <c r="K9946" s="242" t="s">
        <v>23842</v>
      </c>
      <c r="L9946" s="82" t="s">
        <v>23841</v>
      </c>
    </row>
    <row r="9947" spans="1:12" ht="84" customHeight="1" x14ac:dyDescent="0.3">
      <c r="A9947" s="2">
        <v>9943</v>
      </c>
      <c r="B9947" s="2" t="s">
        <v>14128</v>
      </c>
      <c r="C9947" s="2">
        <v>17460</v>
      </c>
      <c r="D9947" s="11">
        <v>0.01</v>
      </c>
      <c r="E9947" s="11">
        <v>0</v>
      </c>
      <c r="F9947" s="3">
        <v>40500</v>
      </c>
      <c r="G9947" s="2" t="s">
        <v>11171</v>
      </c>
      <c r="H9947" s="2"/>
      <c r="I9947" s="2"/>
      <c r="J9947" s="2" t="s">
        <v>13904</v>
      </c>
      <c r="K9947" s="2" t="s">
        <v>18543</v>
      </c>
      <c r="L9947" s="82"/>
    </row>
    <row r="9948" spans="1:12" ht="84" customHeight="1" x14ac:dyDescent="0.3">
      <c r="A9948" s="2">
        <v>9944</v>
      </c>
      <c r="B9948" s="2" t="s">
        <v>14129</v>
      </c>
      <c r="C9948" s="2">
        <v>17616</v>
      </c>
      <c r="D9948" s="11">
        <v>0.01</v>
      </c>
      <c r="E9948" s="11">
        <v>0</v>
      </c>
      <c r="F9948" s="3">
        <v>40500</v>
      </c>
      <c r="G9948" s="2" t="s">
        <v>11171</v>
      </c>
      <c r="H9948" s="2"/>
      <c r="I9948" s="2"/>
      <c r="J9948" s="2" t="s">
        <v>13904</v>
      </c>
      <c r="K9948" s="2" t="s">
        <v>18543</v>
      </c>
      <c r="L9948" s="82"/>
    </row>
    <row r="9949" spans="1:12" ht="84" customHeight="1" x14ac:dyDescent="0.3">
      <c r="A9949" s="2">
        <v>9945</v>
      </c>
      <c r="B9949" s="2" t="s">
        <v>14130</v>
      </c>
      <c r="C9949" s="2" t="s">
        <v>14131</v>
      </c>
      <c r="D9949" s="11">
        <f>27296.61*2</f>
        <v>54593.22</v>
      </c>
      <c r="E9949" s="11">
        <f>26159.28*2</f>
        <v>52318.559999999998</v>
      </c>
      <c r="F9949" s="3">
        <v>40500</v>
      </c>
      <c r="G9949" s="2" t="s">
        <v>11171</v>
      </c>
      <c r="H9949" s="2"/>
      <c r="I9949" s="2"/>
      <c r="J9949" s="2" t="s">
        <v>13904</v>
      </c>
      <c r="K9949" s="2" t="s">
        <v>18543</v>
      </c>
      <c r="L9949" s="82"/>
    </row>
    <row r="9950" spans="1:12" ht="84" customHeight="1" x14ac:dyDescent="0.3">
      <c r="A9950" s="2">
        <v>9946</v>
      </c>
      <c r="B9950" s="2" t="s">
        <v>11578</v>
      </c>
      <c r="C9950" s="2">
        <v>17613</v>
      </c>
      <c r="D9950" s="11">
        <v>0.01</v>
      </c>
      <c r="E9950" s="11">
        <v>0</v>
      </c>
      <c r="F9950" s="3">
        <v>40500</v>
      </c>
      <c r="G9950" s="2" t="s">
        <v>11171</v>
      </c>
      <c r="H9950" s="2"/>
      <c r="I9950" s="2"/>
      <c r="J9950" s="2" t="s">
        <v>13904</v>
      </c>
      <c r="K9950" s="2" t="s">
        <v>18543</v>
      </c>
      <c r="L9950" s="82"/>
    </row>
    <row r="9951" spans="1:12" ht="84" customHeight="1" x14ac:dyDescent="0.3">
      <c r="A9951" s="2">
        <v>9947</v>
      </c>
      <c r="B9951" s="2" t="s">
        <v>14132</v>
      </c>
      <c r="C9951" s="2">
        <v>15022</v>
      </c>
      <c r="D9951" s="11">
        <v>247387.11</v>
      </c>
      <c r="E9951" s="11">
        <v>247387.11</v>
      </c>
      <c r="F9951" s="3">
        <v>40500</v>
      </c>
      <c r="G9951" s="2" t="s">
        <v>11171</v>
      </c>
      <c r="H9951" s="2"/>
      <c r="I9951" s="2"/>
      <c r="J9951" s="2" t="s">
        <v>13904</v>
      </c>
      <c r="K9951" s="2" t="s">
        <v>18543</v>
      </c>
      <c r="L9951" s="82"/>
    </row>
    <row r="9952" spans="1:12" ht="84" customHeight="1" x14ac:dyDescent="0.3">
      <c r="A9952" s="2">
        <v>9948</v>
      </c>
      <c r="B9952" s="2" t="s">
        <v>14133</v>
      </c>
      <c r="C9952" s="2">
        <v>17438</v>
      </c>
      <c r="D9952" s="11">
        <v>21978.81</v>
      </c>
      <c r="E9952" s="11">
        <v>21978.81</v>
      </c>
      <c r="F9952" s="3">
        <v>40500</v>
      </c>
      <c r="G9952" s="2" t="s">
        <v>11171</v>
      </c>
      <c r="H9952" s="2"/>
      <c r="I9952" s="2"/>
      <c r="J9952" s="2" t="s">
        <v>13904</v>
      </c>
      <c r="K9952" s="2" t="s">
        <v>18543</v>
      </c>
      <c r="L9952" s="82"/>
    </row>
    <row r="9953" spans="1:12" ht="84" customHeight="1" x14ac:dyDescent="0.3">
      <c r="A9953" s="2">
        <v>9949</v>
      </c>
      <c r="B9953" s="66" t="s">
        <v>14134</v>
      </c>
      <c r="C9953" s="66">
        <v>17618</v>
      </c>
      <c r="D9953" s="11">
        <v>0.01</v>
      </c>
      <c r="E9953" s="11">
        <v>0</v>
      </c>
      <c r="F9953" s="3">
        <v>40500</v>
      </c>
      <c r="G9953" s="2" t="s">
        <v>11171</v>
      </c>
      <c r="H9953" s="3"/>
      <c r="I9953" s="2"/>
      <c r="J9953" s="2" t="s">
        <v>13904</v>
      </c>
      <c r="K9953" s="2" t="s">
        <v>18543</v>
      </c>
      <c r="L9953" s="82"/>
    </row>
    <row r="9954" spans="1:12" ht="84" customHeight="1" x14ac:dyDescent="0.3">
      <c r="A9954" s="2">
        <v>9950</v>
      </c>
      <c r="B9954" s="66" t="s">
        <v>14135</v>
      </c>
      <c r="C9954" s="66">
        <v>15021</v>
      </c>
      <c r="D9954" s="11">
        <v>20118.75</v>
      </c>
      <c r="E9954" s="11">
        <v>20118.75</v>
      </c>
      <c r="F9954" s="3">
        <v>40500</v>
      </c>
      <c r="G9954" s="2" t="s">
        <v>11171</v>
      </c>
      <c r="H9954" s="3"/>
      <c r="I9954" s="2"/>
      <c r="J9954" s="2" t="s">
        <v>13904</v>
      </c>
      <c r="K9954" s="2" t="s">
        <v>18543</v>
      </c>
      <c r="L9954" s="82"/>
    </row>
    <row r="9955" spans="1:12" ht="84" customHeight="1" x14ac:dyDescent="0.3">
      <c r="A9955" s="2">
        <v>9951</v>
      </c>
      <c r="B9955" s="66" t="s">
        <v>14136</v>
      </c>
      <c r="C9955" s="66" t="s">
        <v>14137</v>
      </c>
      <c r="D9955" s="11">
        <f>0.01*4</f>
        <v>0.04</v>
      </c>
      <c r="E9955" s="11"/>
      <c r="F9955" s="3">
        <v>40500</v>
      </c>
      <c r="G9955" s="2" t="s">
        <v>11171</v>
      </c>
      <c r="H9955" s="3"/>
      <c r="I9955" s="2"/>
      <c r="J9955" s="2" t="s">
        <v>13904</v>
      </c>
      <c r="K9955" s="2" t="s">
        <v>18543</v>
      </c>
      <c r="L9955" s="82"/>
    </row>
    <row r="9956" spans="1:12" ht="84" customHeight="1" x14ac:dyDescent="0.3">
      <c r="A9956" s="2">
        <v>9952</v>
      </c>
      <c r="B9956" s="66" t="s">
        <v>14138</v>
      </c>
      <c r="C9956" s="66">
        <v>17614</v>
      </c>
      <c r="D9956" s="11">
        <v>0.01</v>
      </c>
      <c r="E9956" s="11"/>
      <c r="F9956" s="3">
        <v>40500</v>
      </c>
      <c r="G9956" s="2" t="s">
        <v>11171</v>
      </c>
      <c r="H9956" s="3"/>
      <c r="I9956" s="2"/>
      <c r="J9956" s="2" t="s">
        <v>13904</v>
      </c>
      <c r="K9956" s="2" t="s">
        <v>18543</v>
      </c>
      <c r="L9956" s="82"/>
    </row>
    <row r="9957" spans="1:12" ht="84" customHeight="1" x14ac:dyDescent="0.3">
      <c r="A9957" s="2">
        <v>9953</v>
      </c>
      <c r="B9957" s="66" t="s">
        <v>14139</v>
      </c>
      <c r="C9957" s="66">
        <v>15023</v>
      </c>
      <c r="D9957" s="11">
        <v>27835.01</v>
      </c>
      <c r="E9957" s="11">
        <v>27835.01</v>
      </c>
      <c r="F9957" s="3">
        <v>40500</v>
      </c>
      <c r="G9957" s="2" t="s">
        <v>11171</v>
      </c>
      <c r="H9957" s="3"/>
      <c r="I9957" s="2"/>
      <c r="J9957" s="2" t="s">
        <v>13904</v>
      </c>
      <c r="K9957" s="2" t="s">
        <v>18543</v>
      </c>
      <c r="L9957" s="82"/>
    </row>
    <row r="9958" spans="1:12" ht="84" customHeight="1" x14ac:dyDescent="0.3">
      <c r="A9958" s="2">
        <v>9954</v>
      </c>
      <c r="B9958" s="66" t="s">
        <v>14140</v>
      </c>
      <c r="C9958" s="66">
        <v>17621</v>
      </c>
      <c r="D9958" s="11">
        <v>0.01</v>
      </c>
      <c r="E9958" s="11"/>
      <c r="F9958" s="3">
        <v>40500</v>
      </c>
      <c r="G9958" s="2" t="s">
        <v>11171</v>
      </c>
      <c r="H9958" s="3"/>
      <c r="I9958" s="2"/>
      <c r="J9958" s="2" t="s">
        <v>13904</v>
      </c>
      <c r="K9958" s="2" t="s">
        <v>18543</v>
      </c>
      <c r="L9958" s="82"/>
    </row>
    <row r="9959" spans="1:12" ht="84" customHeight="1" x14ac:dyDescent="0.3">
      <c r="A9959" s="2">
        <v>9955</v>
      </c>
      <c r="B9959" s="66" t="s">
        <v>14141</v>
      </c>
      <c r="C9959" s="66">
        <v>17619</v>
      </c>
      <c r="D9959" s="11">
        <v>0.01</v>
      </c>
      <c r="E9959" s="11">
        <v>0</v>
      </c>
      <c r="F9959" s="3">
        <v>40500</v>
      </c>
      <c r="G9959" s="2" t="s">
        <v>11171</v>
      </c>
      <c r="H9959" s="3"/>
      <c r="I9959" s="2"/>
      <c r="J9959" s="2" t="s">
        <v>13904</v>
      </c>
      <c r="K9959" s="2" t="s">
        <v>18543</v>
      </c>
      <c r="L9959" s="82"/>
    </row>
    <row r="9960" spans="1:12" ht="84" customHeight="1" x14ac:dyDescent="0.3">
      <c r="A9960" s="2">
        <v>9956</v>
      </c>
      <c r="B9960" s="66" t="s">
        <v>14142</v>
      </c>
      <c r="C9960" s="66">
        <v>15137</v>
      </c>
      <c r="D9960" s="11">
        <v>5227.2</v>
      </c>
      <c r="E9960" s="11">
        <v>4007.52</v>
      </c>
      <c r="F9960" s="3">
        <v>40500</v>
      </c>
      <c r="G9960" s="2" t="s">
        <v>11171</v>
      </c>
      <c r="H9960" s="3"/>
      <c r="I9960" s="2"/>
      <c r="J9960" s="2" t="s">
        <v>13904</v>
      </c>
      <c r="K9960" s="2" t="s">
        <v>18543</v>
      </c>
      <c r="L9960" s="82"/>
    </row>
    <row r="9961" spans="1:12" ht="84" customHeight="1" x14ac:dyDescent="0.3">
      <c r="A9961" s="2">
        <v>9957</v>
      </c>
      <c r="B9961" s="66" t="s">
        <v>14143</v>
      </c>
      <c r="C9961" s="66">
        <v>17620</v>
      </c>
      <c r="D9961" s="11">
        <v>0.01</v>
      </c>
      <c r="E9961" s="11">
        <v>0</v>
      </c>
      <c r="F9961" s="3">
        <v>40500</v>
      </c>
      <c r="G9961" s="2" t="s">
        <v>11171</v>
      </c>
      <c r="H9961" s="3"/>
      <c r="I9961" s="2"/>
      <c r="J9961" s="2" t="s">
        <v>13904</v>
      </c>
      <c r="K9961" s="2" t="s">
        <v>18543</v>
      </c>
      <c r="L9961" s="82"/>
    </row>
    <row r="9962" spans="1:12" ht="84" customHeight="1" x14ac:dyDescent="0.3">
      <c r="A9962" s="2">
        <v>9958</v>
      </c>
      <c r="B9962" s="66" t="s">
        <v>14144</v>
      </c>
      <c r="C9962" s="66">
        <v>17625</v>
      </c>
      <c r="D9962" s="11">
        <v>46534.32</v>
      </c>
      <c r="E9962" s="11">
        <v>46534.32</v>
      </c>
      <c r="F9962" s="3">
        <v>40500</v>
      </c>
      <c r="G9962" s="2" t="s">
        <v>11171</v>
      </c>
      <c r="H9962" s="3"/>
      <c r="I9962" s="2"/>
      <c r="J9962" s="2" t="s">
        <v>13904</v>
      </c>
      <c r="K9962" s="2" t="s">
        <v>18543</v>
      </c>
      <c r="L9962" s="82"/>
    </row>
    <row r="9963" spans="1:12" ht="84" customHeight="1" x14ac:dyDescent="0.3">
      <c r="A9963" s="2">
        <v>9959</v>
      </c>
      <c r="B9963" s="66" t="s">
        <v>14145</v>
      </c>
      <c r="C9963" s="66">
        <v>14112</v>
      </c>
      <c r="D9963" s="11">
        <v>20118.75</v>
      </c>
      <c r="E9963" s="11">
        <v>20118.75</v>
      </c>
      <c r="F9963" s="3">
        <v>40500</v>
      </c>
      <c r="G9963" s="2" t="s">
        <v>11171</v>
      </c>
      <c r="H9963" s="3"/>
      <c r="I9963" s="2"/>
      <c r="J9963" s="2" t="s">
        <v>13904</v>
      </c>
      <c r="K9963" s="2" t="s">
        <v>18543</v>
      </c>
      <c r="L9963" s="82"/>
    </row>
    <row r="9964" spans="1:12" ht="84" customHeight="1" x14ac:dyDescent="0.3">
      <c r="A9964" s="2">
        <v>9960</v>
      </c>
      <c r="B9964" s="66" t="s">
        <v>14146</v>
      </c>
      <c r="C9964" s="66" t="s">
        <v>14147</v>
      </c>
      <c r="D9964" s="11">
        <f>0.01*3</f>
        <v>0.03</v>
      </c>
      <c r="E9964" s="11">
        <v>0</v>
      </c>
      <c r="F9964" s="3">
        <v>40500</v>
      </c>
      <c r="G9964" s="2" t="s">
        <v>11171</v>
      </c>
      <c r="H9964" s="3"/>
      <c r="I9964" s="2"/>
      <c r="J9964" s="2" t="s">
        <v>13904</v>
      </c>
      <c r="K9964" s="2" t="s">
        <v>18543</v>
      </c>
      <c r="L9964" s="82"/>
    </row>
    <row r="9965" spans="1:12" ht="84" customHeight="1" x14ac:dyDescent="0.3">
      <c r="A9965" s="2">
        <v>9961</v>
      </c>
      <c r="B9965" s="66" t="s">
        <v>14148</v>
      </c>
      <c r="C9965" s="66">
        <v>17133</v>
      </c>
      <c r="D9965" s="11">
        <v>11000</v>
      </c>
      <c r="E9965" s="11">
        <v>8983.66</v>
      </c>
      <c r="F9965" s="3">
        <v>40500</v>
      </c>
      <c r="G9965" s="2" t="s">
        <v>11171</v>
      </c>
      <c r="H9965" s="3"/>
      <c r="I9965" s="2"/>
      <c r="J9965" s="2" t="s">
        <v>13904</v>
      </c>
      <c r="K9965" s="2" t="s">
        <v>18543</v>
      </c>
      <c r="L9965" s="82"/>
    </row>
    <row r="9966" spans="1:12" ht="84" customHeight="1" x14ac:dyDescent="0.3">
      <c r="A9966" s="2">
        <v>9962</v>
      </c>
      <c r="B9966" s="66" t="s">
        <v>14149</v>
      </c>
      <c r="C9966" s="66">
        <v>17495</v>
      </c>
      <c r="D9966" s="11">
        <v>26523.73</v>
      </c>
      <c r="E9966" s="11">
        <v>17903.43</v>
      </c>
      <c r="F9966" s="3">
        <v>40500</v>
      </c>
      <c r="G9966" s="2" t="s">
        <v>11171</v>
      </c>
      <c r="H9966" s="3"/>
      <c r="I9966" s="2"/>
      <c r="J9966" s="2" t="s">
        <v>13904</v>
      </c>
      <c r="K9966" s="2" t="s">
        <v>18543</v>
      </c>
      <c r="L9966" s="82"/>
    </row>
    <row r="9967" spans="1:12" ht="84" customHeight="1" x14ac:dyDescent="0.3">
      <c r="A9967" s="2">
        <v>9963</v>
      </c>
      <c r="B9967" s="66" t="s">
        <v>14150</v>
      </c>
      <c r="C9967" s="66">
        <v>17624</v>
      </c>
      <c r="D9967" s="11">
        <v>0.01</v>
      </c>
      <c r="E9967" s="11"/>
      <c r="F9967" s="3">
        <v>40500</v>
      </c>
      <c r="G9967" s="2" t="s">
        <v>11171</v>
      </c>
      <c r="H9967" s="3"/>
      <c r="I9967" s="2"/>
      <c r="J9967" s="2" t="s">
        <v>13904</v>
      </c>
      <c r="K9967" s="2" t="s">
        <v>18543</v>
      </c>
      <c r="L9967" s="82"/>
    </row>
    <row r="9968" spans="1:12" ht="84" customHeight="1" x14ac:dyDescent="0.3">
      <c r="A9968" s="2">
        <v>9964</v>
      </c>
      <c r="B9968" s="66" t="s">
        <v>14151</v>
      </c>
      <c r="C9968" s="66">
        <v>15136</v>
      </c>
      <c r="D9968" s="11">
        <v>7840.8</v>
      </c>
      <c r="E9968" s="11">
        <v>7840.8</v>
      </c>
      <c r="F9968" s="3">
        <v>40500</v>
      </c>
      <c r="G9968" s="2" t="s">
        <v>11171</v>
      </c>
      <c r="H9968" s="3"/>
      <c r="I9968" s="2"/>
      <c r="J9968" s="2" t="s">
        <v>13904</v>
      </c>
      <c r="K9968" s="2" t="s">
        <v>18543</v>
      </c>
      <c r="L9968" s="82"/>
    </row>
    <row r="9969" spans="1:12" ht="84" customHeight="1" x14ac:dyDescent="0.3">
      <c r="A9969" s="2">
        <v>9965</v>
      </c>
      <c r="B9969" s="66" t="s">
        <v>14152</v>
      </c>
      <c r="C9969" s="66" t="s">
        <v>14153</v>
      </c>
      <c r="D9969" s="11">
        <v>327.42</v>
      </c>
      <c r="E9969" s="11">
        <v>327.42</v>
      </c>
      <c r="F9969" s="3">
        <v>40500</v>
      </c>
      <c r="G9969" s="2" t="s">
        <v>11171</v>
      </c>
      <c r="H9969" s="3"/>
      <c r="I9969" s="2"/>
      <c r="J9969" s="2" t="s">
        <v>13904</v>
      </c>
      <c r="K9969" s="2" t="s">
        <v>18543</v>
      </c>
      <c r="L9969" s="82"/>
    </row>
    <row r="9970" spans="1:12" ht="84" customHeight="1" x14ac:dyDescent="0.3">
      <c r="A9970" s="2">
        <v>9966</v>
      </c>
      <c r="B9970" s="66" t="s">
        <v>14154</v>
      </c>
      <c r="C9970" s="66">
        <v>17184</v>
      </c>
      <c r="D9970" s="11">
        <v>489060</v>
      </c>
      <c r="E9970" s="11">
        <v>174431.4</v>
      </c>
      <c r="F9970" s="3">
        <v>40500</v>
      </c>
      <c r="G9970" s="2" t="s">
        <v>11171</v>
      </c>
      <c r="H9970" s="3"/>
      <c r="I9970" s="2"/>
      <c r="J9970" s="2" t="s">
        <v>13904</v>
      </c>
      <c r="K9970" s="2" t="s">
        <v>18543</v>
      </c>
      <c r="L9970" s="82"/>
    </row>
    <row r="9971" spans="1:12" ht="84" customHeight="1" x14ac:dyDescent="0.3">
      <c r="A9971" s="2">
        <v>9967</v>
      </c>
      <c r="B9971" s="2" t="s">
        <v>14155</v>
      </c>
      <c r="C9971" s="66">
        <v>17400</v>
      </c>
      <c r="D9971" s="11">
        <v>117099</v>
      </c>
      <c r="E9971" s="11">
        <v>117099</v>
      </c>
      <c r="F9971" s="3">
        <v>40500</v>
      </c>
      <c r="G9971" s="2" t="s">
        <v>11171</v>
      </c>
      <c r="H9971" s="3"/>
      <c r="I9971" s="2"/>
      <c r="J9971" s="2" t="s">
        <v>13904</v>
      </c>
      <c r="K9971" s="2" t="s">
        <v>18543</v>
      </c>
      <c r="L9971" s="82"/>
    </row>
    <row r="9972" spans="1:12" ht="84" customHeight="1" x14ac:dyDescent="0.3">
      <c r="A9972" s="2">
        <v>9968</v>
      </c>
      <c r="B9972" s="66" t="s">
        <v>14156</v>
      </c>
      <c r="C9972" s="66">
        <v>17426</v>
      </c>
      <c r="D9972" s="11">
        <v>551745</v>
      </c>
      <c r="E9972" s="11">
        <v>488523.9</v>
      </c>
      <c r="F9972" s="3">
        <v>40500</v>
      </c>
      <c r="G9972" s="2" t="s">
        <v>11171</v>
      </c>
      <c r="H9972" s="3"/>
      <c r="I9972" s="2"/>
      <c r="J9972" s="2" t="s">
        <v>13904</v>
      </c>
      <c r="K9972" s="2" t="s">
        <v>18543</v>
      </c>
      <c r="L9972" s="82"/>
    </row>
    <row r="9973" spans="1:12" ht="84" customHeight="1" x14ac:dyDescent="0.3">
      <c r="A9973" s="2">
        <v>9969</v>
      </c>
      <c r="B9973" s="66" t="s">
        <v>14157</v>
      </c>
      <c r="C9973" s="66">
        <v>17141</v>
      </c>
      <c r="D9973" s="11">
        <v>24000</v>
      </c>
      <c r="E9973" s="11">
        <v>22600</v>
      </c>
      <c r="F9973" s="3">
        <v>40500</v>
      </c>
      <c r="G9973" s="2" t="s">
        <v>11171</v>
      </c>
      <c r="H9973" s="3"/>
      <c r="I9973" s="2"/>
      <c r="J9973" s="2" t="s">
        <v>13904</v>
      </c>
      <c r="K9973" s="2" t="s">
        <v>18543</v>
      </c>
      <c r="L9973" s="82"/>
    </row>
    <row r="9974" spans="1:12" ht="84" customHeight="1" x14ac:dyDescent="0.3">
      <c r="A9974" s="2">
        <v>9970</v>
      </c>
      <c r="B9974" s="66" t="s">
        <v>14158</v>
      </c>
      <c r="C9974" s="66">
        <v>17136</v>
      </c>
      <c r="D9974" s="11">
        <v>36000</v>
      </c>
      <c r="E9974" s="11">
        <v>34200</v>
      </c>
      <c r="F9974" s="3">
        <v>40500</v>
      </c>
      <c r="G9974" s="2" t="s">
        <v>11171</v>
      </c>
      <c r="H9974" s="3"/>
      <c r="I9974" s="2"/>
      <c r="J9974" s="2" t="s">
        <v>13904</v>
      </c>
      <c r="K9974" s="2" t="s">
        <v>18543</v>
      </c>
      <c r="L9974" s="82"/>
    </row>
    <row r="9975" spans="1:12" ht="84" customHeight="1" x14ac:dyDescent="0.3">
      <c r="A9975" s="2">
        <v>9971</v>
      </c>
      <c r="B9975" s="66" t="s">
        <v>14159</v>
      </c>
      <c r="C9975" s="66">
        <v>17407</v>
      </c>
      <c r="D9975" s="11">
        <v>333449</v>
      </c>
      <c r="E9975" s="11">
        <v>333449</v>
      </c>
      <c r="F9975" s="3">
        <v>40500</v>
      </c>
      <c r="G9975" s="2" t="s">
        <v>11171</v>
      </c>
      <c r="H9975" s="3"/>
      <c r="I9975" s="2"/>
      <c r="J9975" s="2" t="s">
        <v>13904</v>
      </c>
      <c r="K9975" s="2" t="s">
        <v>18543</v>
      </c>
      <c r="L9975" s="82"/>
    </row>
    <row r="9976" spans="1:12" ht="84" customHeight="1" x14ac:dyDescent="0.3">
      <c r="A9976" s="2">
        <v>9972</v>
      </c>
      <c r="B9976" s="66" t="s">
        <v>14160</v>
      </c>
      <c r="C9976" s="66">
        <v>17423</v>
      </c>
      <c r="D9976" s="11">
        <v>59034</v>
      </c>
      <c r="E9976" s="11">
        <v>59034</v>
      </c>
      <c r="F9976" s="3">
        <v>40500</v>
      </c>
      <c r="G9976" s="2" t="s">
        <v>11171</v>
      </c>
      <c r="H9976" s="3"/>
      <c r="I9976" s="2"/>
      <c r="J9976" s="2" t="s">
        <v>13904</v>
      </c>
      <c r="K9976" s="2" t="s">
        <v>18543</v>
      </c>
      <c r="L9976" s="82"/>
    </row>
    <row r="9977" spans="1:12" ht="84" customHeight="1" x14ac:dyDescent="0.3">
      <c r="A9977" s="2">
        <v>9973</v>
      </c>
      <c r="B9977" s="66" t="s">
        <v>14161</v>
      </c>
      <c r="C9977" s="66">
        <v>17408</v>
      </c>
      <c r="D9977" s="11">
        <v>133784</v>
      </c>
      <c r="E9977" s="11">
        <v>133784</v>
      </c>
      <c r="F9977" s="3">
        <v>40500</v>
      </c>
      <c r="G9977" s="2" t="s">
        <v>11171</v>
      </c>
      <c r="H9977" s="3"/>
      <c r="I9977" s="2"/>
      <c r="J9977" s="2" t="s">
        <v>13904</v>
      </c>
      <c r="K9977" s="2" t="s">
        <v>18543</v>
      </c>
      <c r="L9977" s="82"/>
    </row>
    <row r="9978" spans="1:12" ht="84" customHeight="1" x14ac:dyDescent="0.3">
      <c r="A9978" s="2">
        <v>9974</v>
      </c>
      <c r="B9978" s="66" t="s">
        <v>14162</v>
      </c>
      <c r="C9978" s="66">
        <v>17409</v>
      </c>
      <c r="D9978" s="11">
        <v>72750</v>
      </c>
      <c r="E9978" s="11">
        <v>72750</v>
      </c>
      <c r="F9978" s="3">
        <v>40500</v>
      </c>
      <c r="G9978" s="2" t="s">
        <v>11171</v>
      </c>
      <c r="H9978" s="3"/>
      <c r="I9978" s="2"/>
      <c r="J9978" s="2" t="s">
        <v>13904</v>
      </c>
      <c r="K9978" s="2" t="s">
        <v>18543</v>
      </c>
      <c r="L9978" s="82"/>
    </row>
    <row r="9979" spans="1:12" ht="84" customHeight="1" x14ac:dyDescent="0.3">
      <c r="A9979" s="2">
        <v>9975</v>
      </c>
      <c r="B9979" s="66" t="s">
        <v>14163</v>
      </c>
      <c r="C9979" s="66">
        <v>17412</v>
      </c>
      <c r="D9979" s="11">
        <v>53998</v>
      </c>
      <c r="E9979" s="11">
        <v>47810.8</v>
      </c>
      <c r="F9979" s="3">
        <v>40500</v>
      </c>
      <c r="G9979" s="2" t="s">
        <v>11171</v>
      </c>
      <c r="H9979" s="3"/>
      <c r="I9979" s="2"/>
      <c r="J9979" s="2" t="s">
        <v>13904</v>
      </c>
      <c r="K9979" s="2" t="s">
        <v>18543</v>
      </c>
      <c r="L9979" s="82"/>
    </row>
    <row r="9980" spans="1:12" ht="84" customHeight="1" x14ac:dyDescent="0.3">
      <c r="A9980" s="2">
        <v>9976</v>
      </c>
      <c r="B9980" s="66" t="s">
        <v>14164</v>
      </c>
      <c r="C9980" s="66" t="s">
        <v>14165</v>
      </c>
      <c r="D9980" s="11">
        <f>3737563.25*4</f>
        <v>14950253</v>
      </c>
      <c r="E9980" s="11">
        <f>2647440.6*4</f>
        <v>10589762.4</v>
      </c>
      <c r="F9980" s="3">
        <v>40500</v>
      </c>
      <c r="G9980" s="2" t="s">
        <v>11171</v>
      </c>
      <c r="H9980" s="3"/>
      <c r="I9980" s="2"/>
      <c r="J9980" s="2" t="s">
        <v>13904</v>
      </c>
      <c r="K9980" s="2" t="s">
        <v>18543</v>
      </c>
      <c r="L9980" s="82"/>
    </row>
    <row r="9981" spans="1:12" ht="84" customHeight="1" x14ac:dyDescent="0.3">
      <c r="A9981" s="2">
        <v>9977</v>
      </c>
      <c r="B9981" s="66" t="s">
        <v>14166</v>
      </c>
      <c r="C9981" s="66" t="s">
        <v>14167</v>
      </c>
      <c r="D9981" s="11">
        <f>27092.25*4</f>
        <v>108369</v>
      </c>
      <c r="E9981" s="11">
        <f>27092.25*4</f>
        <v>108369</v>
      </c>
      <c r="F9981" s="3">
        <v>40500</v>
      </c>
      <c r="G9981" s="2" t="s">
        <v>11171</v>
      </c>
      <c r="H9981" s="3"/>
      <c r="I9981" s="2"/>
      <c r="J9981" s="2" t="s">
        <v>13904</v>
      </c>
      <c r="K9981" s="2" t="s">
        <v>18543</v>
      </c>
      <c r="L9981" s="82"/>
    </row>
    <row r="9982" spans="1:12" ht="84" customHeight="1" x14ac:dyDescent="0.3">
      <c r="A9982" s="2">
        <v>9978</v>
      </c>
      <c r="B9982" s="66" t="s">
        <v>14168</v>
      </c>
      <c r="C9982" s="66" t="s">
        <v>14169</v>
      </c>
      <c r="D9982" s="11">
        <f>57657+61055</f>
        <v>118712</v>
      </c>
      <c r="E9982" s="11">
        <f>57657+61055</f>
        <v>118712</v>
      </c>
      <c r="F9982" s="3">
        <v>40500</v>
      </c>
      <c r="G9982" s="2" t="s">
        <v>11171</v>
      </c>
      <c r="H9982" s="3"/>
      <c r="I9982" s="2"/>
      <c r="J9982" s="2" t="s">
        <v>13904</v>
      </c>
      <c r="K9982" s="2" t="s">
        <v>18543</v>
      </c>
      <c r="L9982" s="82"/>
    </row>
    <row r="9983" spans="1:12" ht="84" customHeight="1" x14ac:dyDescent="0.3">
      <c r="A9983" s="2">
        <v>9979</v>
      </c>
      <c r="B9983" s="66" t="s">
        <v>14170</v>
      </c>
      <c r="C9983" s="66">
        <v>17033</v>
      </c>
      <c r="D9983" s="11">
        <v>324948.56</v>
      </c>
      <c r="E9983" s="11">
        <v>166729.82</v>
      </c>
      <c r="F9983" s="3">
        <v>40500</v>
      </c>
      <c r="G9983" s="2" t="s">
        <v>11171</v>
      </c>
      <c r="H9983" s="3"/>
      <c r="I9983" s="2"/>
      <c r="J9983" s="2" t="s">
        <v>13904</v>
      </c>
      <c r="K9983" s="2" t="s">
        <v>18543</v>
      </c>
      <c r="L9983" s="82"/>
    </row>
    <row r="9984" spans="1:12" ht="84" customHeight="1" x14ac:dyDescent="0.3">
      <c r="A9984" s="2">
        <v>9980</v>
      </c>
      <c r="B9984" s="66" t="s">
        <v>14171</v>
      </c>
      <c r="C9984" s="66">
        <v>17413</v>
      </c>
      <c r="D9984" s="11">
        <v>43587</v>
      </c>
      <c r="E9984" s="11">
        <v>38592.550000000003</v>
      </c>
      <c r="F9984" s="3">
        <v>40500</v>
      </c>
      <c r="G9984" s="2" t="s">
        <v>11171</v>
      </c>
      <c r="H9984" s="3"/>
      <c r="I9984" s="2"/>
      <c r="J9984" s="2" t="s">
        <v>13904</v>
      </c>
      <c r="K9984" s="2" t="s">
        <v>18543</v>
      </c>
      <c r="L9984" s="82"/>
    </row>
    <row r="9985" spans="1:12" ht="84" customHeight="1" x14ac:dyDescent="0.3">
      <c r="A9985" s="2">
        <v>9981</v>
      </c>
      <c r="B9985" s="66" t="s">
        <v>14172</v>
      </c>
      <c r="C9985" s="66">
        <v>17305</v>
      </c>
      <c r="D9985" s="11">
        <v>23491.53</v>
      </c>
      <c r="E9985" s="11">
        <v>23491.53</v>
      </c>
      <c r="F9985" s="3">
        <v>40500</v>
      </c>
      <c r="G9985" s="2" t="s">
        <v>11171</v>
      </c>
      <c r="H9985" s="3"/>
      <c r="I9985" s="2"/>
      <c r="J9985" s="2" t="s">
        <v>13904</v>
      </c>
      <c r="K9985" s="2" t="s">
        <v>18543</v>
      </c>
      <c r="L9985" s="82"/>
    </row>
    <row r="9986" spans="1:12" ht="84" customHeight="1" x14ac:dyDescent="0.3">
      <c r="A9986" s="2">
        <v>9982</v>
      </c>
      <c r="B9986" s="66" t="s">
        <v>14173</v>
      </c>
      <c r="C9986" s="66" t="s">
        <v>14174</v>
      </c>
      <c r="D9986" s="11">
        <f>39717.5*2</f>
        <v>79435</v>
      </c>
      <c r="E9986" s="11">
        <f>39717.5*2</f>
        <v>79435</v>
      </c>
      <c r="F9986" s="3">
        <v>40500</v>
      </c>
      <c r="G9986" s="2" t="s">
        <v>11171</v>
      </c>
      <c r="H9986" s="3"/>
      <c r="I9986" s="2"/>
      <c r="J9986" s="2" t="s">
        <v>13904</v>
      </c>
      <c r="K9986" s="2" t="s">
        <v>18543</v>
      </c>
      <c r="L9986" s="82"/>
    </row>
    <row r="9987" spans="1:12" ht="84" customHeight="1" x14ac:dyDescent="0.3">
      <c r="A9987" s="2">
        <v>9983</v>
      </c>
      <c r="B9987" s="66" t="s">
        <v>14175</v>
      </c>
      <c r="C9987" s="66" t="s">
        <v>14176</v>
      </c>
      <c r="D9987" s="11">
        <f>37699.5*2</f>
        <v>75399</v>
      </c>
      <c r="E9987" s="11">
        <f>37699*2</f>
        <v>75398</v>
      </c>
      <c r="F9987" s="3">
        <v>40500</v>
      </c>
      <c r="G9987" s="2" t="s">
        <v>11171</v>
      </c>
      <c r="H9987" s="3"/>
      <c r="I9987" s="2"/>
      <c r="J9987" s="2" t="s">
        <v>13904</v>
      </c>
      <c r="K9987" s="2" t="s">
        <v>18543</v>
      </c>
      <c r="L9987" s="82"/>
    </row>
    <row r="9988" spans="1:12" ht="84" customHeight="1" x14ac:dyDescent="0.3">
      <c r="A9988" s="2">
        <v>9984</v>
      </c>
      <c r="B9988" s="66" t="s">
        <v>14177</v>
      </c>
      <c r="C9988" s="66" t="s">
        <v>14178</v>
      </c>
      <c r="D9988" s="11">
        <f>187669.5*2</f>
        <v>375339</v>
      </c>
      <c r="E9988" s="11">
        <f>187669.5*2</f>
        <v>375339</v>
      </c>
      <c r="F9988" s="3">
        <v>40500</v>
      </c>
      <c r="G9988" s="2" t="s">
        <v>11171</v>
      </c>
      <c r="H9988" s="3"/>
      <c r="I9988" s="2"/>
      <c r="J9988" s="2" t="s">
        <v>13904</v>
      </c>
      <c r="K9988" s="2" t="s">
        <v>18543</v>
      </c>
      <c r="L9988" s="82"/>
    </row>
    <row r="9989" spans="1:12" ht="84" customHeight="1" x14ac:dyDescent="0.3">
      <c r="A9989" s="2">
        <v>9985</v>
      </c>
      <c r="B9989" s="66" t="s">
        <v>14179</v>
      </c>
      <c r="C9989" s="66" t="s">
        <v>14180</v>
      </c>
      <c r="D9989" s="11">
        <f>28699.75*4</f>
        <v>114799</v>
      </c>
      <c r="E9989" s="11">
        <f>28699.75*4</f>
        <v>114799</v>
      </c>
      <c r="F9989" s="3">
        <v>40500</v>
      </c>
      <c r="G9989" s="2" t="s">
        <v>11171</v>
      </c>
      <c r="H9989" s="3"/>
      <c r="I9989" s="2"/>
      <c r="J9989" s="2" t="s">
        <v>13904</v>
      </c>
      <c r="K9989" s="2" t="s">
        <v>18543</v>
      </c>
      <c r="L9989" s="82"/>
    </row>
    <row r="9990" spans="1:12" ht="84" customHeight="1" x14ac:dyDescent="0.3">
      <c r="A9990" s="2">
        <v>9986</v>
      </c>
      <c r="B9990" s="66" t="s">
        <v>14181</v>
      </c>
      <c r="C9990" s="66">
        <v>17393</v>
      </c>
      <c r="D9990" s="11">
        <v>32532</v>
      </c>
      <c r="E9990" s="11">
        <v>32532</v>
      </c>
      <c r="F9990" s="3">
        <v>40500</v>
      </c>
      <c r="G9990" s="2" t="s">
        <v>11171</v>
      </c>
      <c r="H9990" s="3"/>
      <c r="I9990" s="2"/>
      <c r="J9990" s="2" t="s">
        <v>13904</v>
      </c>
      <c r="K9990" s="2" t="s">
        <v>18543</v>
      </c>
      <c r="L9990" s="82"/>
    </row>
    <row r="9991" spans="1:12" ht="84" customHeight="1" x14ac:dyDescent="0.3">
      <c r="A9991" s="2">
        <v>9987</v>
      </c>
      <c r="B9991" s="66" t="s">
        <v>14182</v>
      </c>
      <c r="C9991" s="66" t="s">
        <v>14183</v>
      </c>
      <c r="D9991" s="11">
        <f>103003*2</f>
        <v>206006</v>
      </c>
      <c r="E9991" s="11">
        <f>103003*2</f>
        <v>206006</v>
      </c>
      <c r="F9991" s="3">
        <v>40500</v>
      </c>
      <c r="G9991" s="2" t="s">
        <v>11171</v>
      </c>
      <c r="H9991" s="3"/>
      <c r="I9991" s="2"/>
      <c r="J9991" s="2" t="s">
        <v>13904</v>
      </c>
      <c r="K9991" s="2" t="s">
        <v>18543</v>
      </c>
      <c r="L9991" s="82"/>
    </row>
    <row r="9992" spans="1:12" ht="84" customHeight="1" x14ac:dyDescent="0.3">
      <c r="A9992" s="2">
        <v>9988</v>
      </c>
      <c r="B9992" s="66" t="s">
        <v>14184</v>
      </c>
      <c r="C9992" s="66">
        <v>17431</v>
      </c>
      <c r="D9992" s="11">
        <v>592898</v>
      </c>
      <c r="E9992" s="11">
        <v>592898</v>
      </c>
      <c r="F9992" s="3">
        <v>40500</v>
      </c>
      <c r="G9992" s="2" t="s">
        <v>11171</v>
      </c>
      <c r="H9992" s="3"/>
      <c r="I9992" s="2"/>
      <c r="J9992" s="2" t="s">
        <v>13904</v>
      </c>
      <c r="K9992" s="2" t="s">
        <v>18543</v>
      </c>
      <c r="L9992" s="82"/>
    </row>
    <row r="9993" spans="1:12" ht="84" customHeight="1" x14ac:dyDescent="0.3">
      <c r="A9993" s="2">
        <v>9989</v>
      </c>
      <c r="B9993" s="66" t="s">
        <v>14185</v>
      </c>
      <c r="C9993" s="66">
        <v>17429</v>
      </c>
      <c r="D9993" s="11">
        <v>54311</v>
      </c>
      <c r="E9993" s="11">
        <v>54311</v>
      </c>
      <c r="F9993" s="3">
        <v>40500</v>
      </c>
      <c r="G9993" s="2" t="s">
        <v>11171</v>
      </c>
      <c r="H9993" s="3"/>
      <c r="I9993" s="2"/>
      <c r="J9993" s="2" t="s">
        <v>13904</v>
      </c>
      <c r="K9993" s="2" t="s">
        <v>18543</v>
      </c>
      <c r="L9993" s="82"/>
    </row>
    <row r="9994" spans="1:12" ht="84" customHeight="1" x14ac:dyDescent="0.3">
      <c r="A9994" s="2">
        <v>9990</v>
      </c>
      <c r="B9994" s="66" t="s">
        <v>14186</v>
      </c>
      <c r="C9994" s="66" t="s">
        <v>14187</v>
      </c>
      <c r="D9994" s="11">
        <f>20685*2</f>
        <v>41370</v>
      </c>
      <c r="E9994" s="11">
        <f>20685*2</f>
        <v>41370</v>
      </c>
      <c r="F9994" s="3">
        <v>40500</v>
      </c>
      <c r="G9994" s="2" t="s">
        <v>11171</v>
      </c>
      <c r="H9994" s="3"/>
      <c r="I9994" s="2"/>
      <c r="J9994" s="2" t="s">
        <v>13904</v>
      </c>
      <c r="K9994" s="2" t="s">
        <v>18543</v>
      </c>
      <c r="L9994" s="82"/>
    </row>
    <row r="9995" spans="1:12" ht="84" customHeight="1" x14ac:dyDescent="0.3">
      <c r="A9995" s="2">
        <v>9991</v>
      </c>
      <c r="B9995" s="66" t="s">
        <v>14188</v>
      </c>
      <c r="C9995" s="66" t="s">
        <v>14189</v>
      </c>
      <c r="D9995" s="11">
        <f>124524*2</f>
        <v>249048</v>
      </c>
      <c r="E9995" s="11">
        <f>124524*2</f>
        <v>249048</v>
      </c>
      <c r="F9995" s="3">
        <v>40500</v>
      </c>
      <c r="G9995" s="2" t="s">
        <v>11171</v>
      </c>
      <c r="H9995" s="3"/>
      <c r="I9995" s="2"/>
      <c r="J9995" s="2" t="s">
        <v>13904</v>
      </c>
      <c r="K9995" s="2" t="s">
        <v>18543</v>
      </c>
      <c r="L9995" s="82"/>
    </row>
    <row r="9996" spans="1:12" ht="84" customHeight="1" x14ac:dyDescent="0.3">
      <c r="A9996" s="2">
        <v>9992</v>
      </c>
      <c r="B9996" s="66" t="s">
        <v>14190</v>
      </c>
      <c r="C9996" s="66">
        <v>17434</v>
      </c>
      <c r="D9996" s="11">
        <v>67864.42</v>
      </c>
      <c r="E9996" s="11">
        <v>67864.42</v>
      </c>
      <c r="F9996" s="3">
        <v>40500</v>
      </c>
      <c r="G9996" s="2" t="s">
        <v>11171</v>
      </c>
      <c r="H9996" s="3"/>
      <c r="I9996" s="2"/>
      <c r="J9996" s="2" t="s">
        <v>13904</v>
      </c>
      <c r="K9996" s="2" t="s">
        <v>18543</v>
      </c>
      <c r="L9996" s="82"/>
    </row>
    <row r="9997" spans="1:12" ht="84" customHeight="1" x14ac:dyDescent="0.3">
      <c r="A9997" s="2">
        <v>9993</v>
      </c>
      <c r="B9997" s="66" t="s">
        <v>14191</v>
      </c>
      <c r="C9997" s="66">
        <v>17376</v>
      </c>
      <c r="D9997" s="11">
        <v>74926</v>
      </c>
      <c r="E9997" s="11">
        <v>53072.3</v>
      </c>
      <c r="F9997" s="3">
        <v>40500</v>
      </c>
      <c r="G9997" s="2" t="s">
        <v>11171</v>
      </c>
      <c r="H9997" s="3"/>
      <c r="I9997" s="2"/>
      <c r="J9997" s="2" t="s">
        <v>13904</v>
      </c>
      <c r="K9997" s="2" t="s">
        <v>18543</v>
      </c>
      <c r="L9997" s="82"/>
    </row>
    <row r="9998" spans="1:12" ht="84" customHeight="1" x14ac:dyDescent="0.3">
      <c r="A9998" s="2">
        <v>9994</v>
      </c>
      <c r="B9998" s="66" t="s">
        <v>14192</v>
      </c>
      <c r="C9998" s="66" t="s">
        <v>14193</v>
      </c>
      <c r="D9998" s="11">
        <f>79273.5*4</f>
        <v>317094</v>
      </c>
      <c r="E9998" s="11">
        <f>70190.45*4</f>
        <v>280761.8</v>
      </c>
      <c r="F9998" s="3">
        <v>40500</v>
      </c>
      <c r="G9998" s="2" t="s">
        <v>11171</v>
      </c>
      <c r="H9998" s="3"/>
      <c r="I9998" s="2"/>
      <c r="J9998" s="2" t="s">
        <v>13904</v>
      </c>
      <c r="K9998" s="2" t="s">
        <v>18543</v>
      </c>
      <c r="L9998" s="82"/>
    </row>
    <row r="9999" spans="1:12" ht="84" customHeight="1" x14ac:dyDescent="0.3">
      <c r="A9999" s="2">
        <v>9996</v>
      </c>
      <c r="B9999" s="66" t="s">
        <v>14194</v>
      </c>
      <c r="C9999" s="66" t="s">
        <v>14195</v>
      </c>
      <c r="D9999" s="11">
        <f>336000+170720</f>
        <v>506720</v>
      </c>
      <c r="E9999" s="11">
        <f>124320+43249.32</f>
        <v>167569.32</v>
      </c>
      <c r="F9999" s="3">
        <v>40500</v>
      </c>
      <c r="G9999" s="2" t="s">
        <v>11171</v>
      </c>
      <c r="H9999" s="3"/>
      <c r="I9999" s="2"/>
      <c r="J9999" s="2" t="s">
        <v>13904</v>
      </c>
      <c r="K9999" s="2" t="s">
        <v>18543</v>
      </c>
      <c r="L9999" s="82"/>
    </row>
    <row r="10000" spans="1:12" ht="84" customHeight="1" x14ac:dyDescent="0.3">
      <c r="A10000" s="2">
        <v>9998</v>
      </c>
      <c r="B10000" s="66" t="s">
        <v>14239</v>
      </c>
      <c r="C10000" s="66">
        <v>17414</v>
      </c>
      <c r="D10000" s="11">
        <v>48380</v>
      </c>
      <c r="E10000" s="11">
        <v>39294.65</v>
      </c>
      <c r="F10000" s="3">
        <v>40500</v>
      </c>
      <c r="G10000" s="2" t="s">
        <v>11171</v>
      </c>
      <c r="H10000" s="3">
        <v>43252</v>
      </c>
      <c r="I10000" s="2" t="s">
        <v>20478</v>
      </c>
      <c r="J10000" s="2" t="s">
        <v>13904</v>
      </c>
      <c r="K10000" s="2" t="s">
        <v>18543</v>
      </c>
      <c r="L10000" s="82" t="s">
        <v>20477</v>
      </c>
    </row>
    <row r="10001" spans="1:12" ht="84" customHeight="1" x14ac:dyDescent="0.3">
      <c r="A10001" s="2">
        <v>9999</v>
      </c>
      <c r="B10001" s="66" t="s">
        <v>14197</v>
      </c>
      <c r="C10001" s="66" t="s">
        <v>14198</v>
      </c>
      <c r="D10001" s="11">
        <f>337391.5*2</f>
        <v>674783</v>
      </c>
      <c r="E10001" s="11">
        <f>298731.65*2</f>
        <v>597463.30000000005</v>
      </c>
      <c r="F10001" s="3">
        <v>40500</v>
      </c>
      <c r="G10001" s="2" t="s">
        <v>11171</v>
      </c>
      <c r="H10001" s="3"/>
      <c r="I10001" s="2"/>
      <c r="J10001" s="2" t="s">
        <v>13904</v>
      </c>
      <c r="K10001" s="2" t="s">
        <v>18543</v>
      </c>
      <c r="L10001" s="82"/>
    </row>
    <row r="10002" spans="1:12" ht="84" customHeight="1" x14ac:dyDescent="0.3">
      <c r="A10002" s="2">
        <v>10000</v>
      </c>
      <c r="B10002" s="66" t="s">
        <v>14199</v>
      </c>
      <c r="C10002" s="66" t="s">
        <v>14200</v>
      </c>
      <c r="D10002" s="11">
        <f>90298.5*2</f>
        <v>180597</v>
      </c>
      <c r="E10002" s="11">
        <f>79951.85*2</f>
        <v>159903.70000000001</v>
      </c>
      <c r="F10002" s="3">
        <v>40500</v>
      </c>
      <c r="G10002" s="2" t="s">
        <v>11171</v>
      </c>
      <c r="H10002" s="3"/>
      <c r="I10002" s="2"/>
      <c r="J10002" s="2" t="s">
        <v>13904</v>
      </c>
      <c r="K10002" s="2" t="s">
        <v>18543</v>
      </c>
      <c r="L10002" s="82"/>
    </row>
    <row r="10003" spans="1:12" ht="84" customHeight="1" x14ac:dyDescent="0.3">
      <c r="A10003" s="2">
        <v>10001</v>
      </c>
      <c r="B10003" s="66" t="s">
        <v>14201</v>
      </c>
      <c r="C10003" s="66">
        <v>17424</v>
      </c>
      <c r="D10003" s="11">
        <v>35398</v>
      </c>
      <c r="E10003" s="11">
        <v>35398</v>
      </c>
      <c r="F10003" s="3">
        <v>40500</v>
      </c>
      <c r="G10003" s="2" t="s">
        <v>11171</v>
      </c>
      <c r="H10003" s="3"/>
      <c r="I10003" s="2"/>
      <c r="J10003" s="2" t="s">
        <v>13904</v>
      </c>
      <c r="K10003" s="2" t="s">
        <v>18543</v>
      </c>
      <c r="L10003" s="82"/>
    </row>
    <row r="10004" spans="1:12" ht="84" customHeight="1" x14ac:dyDescent="0.3">
      <c r="A10004" s="2">
        <v>10002</v>
      </c>
      <c r="B10004" s="66" t="s">
        <v>14202</v>
      </c>
      <c r="C10004" s="66">
        <v>17425</v>
      </c>
      <c r="D10004" s="11">
        <v>50002</v>
      </c>
      <c r="E10004" s="11">
        <v>44272.25</v>
      </c>
      <c r="F10004" s="3">
        <v>40500</v>
      </c>
      <c r="G10004" s="2" t="s">
        <v>11171</v>
      </c>
      <c r="H10004" s="3"/>
      <c r="I10004" s="2"/>
      <c r="J10004" s="2" t="s">
        <v>13904</v>
      </c>
      <c r="K10004" s="2" t="s">
        <v>18543</v>
      </c>
      <c r="L10004" s="82"/>
    </row>
    <row r="10005" spans="1:12" ht="84" customHeight="1" x14ac:dyDescent="0.3">
      <c r="A10005" s="2">
        <v>10003</v>
      </c>
      <c r="B10005" s="66" t="s">
        <v>14203</v>
      </c>
      <c r="C10005" s="66">
        <v>17377</v>
      </c>
      <c r="D10005" s="11">
        <v>42944</v>
      </c>
      <c r="E10005" s="11">
        <v>42944</v>
      </c>
      <c r="F10005" s="3">
        <v>40500</v>
      </c>
      <c r="G10005" s="2" t="s">
        <v>11171</v>
      </c>
      <c r="H10005" s="3"/>
      <c r="I10005" s="2"/>
      <c r="J10005" s="2" t="s">
        <v>13904</v>
      </c>
      <c r="K10005" s="2" t="s">
        <v>18543</v>
      </c>
      <c r="L10005" s="82"/>
    </row>
    <row r="10006" spans="1:12" ht="84" customHeight="1" x14ac:dyDescent="0.3">
      <c r="A10006" s="2">
        <v>10004</v>
      </c>
      <c r="B10006" s="66" t="s">
        <v>14204</v>
      </c>
      <c r="C10006" s="66">
        <v>17617</v>
      </c>
      <c r="D10006" s="25">
        <v>0.01</v>
      </c>
      <c r="E10006" s="11">
        <v>0</v>
      </c>
      <c r="F10006" s="3">
        <v>40500</v>
      </c>
      <c r="G10006" s="2" t="s">
        <v>11171</v>
      </c>
      <c r="H10006" s="3"/>
      <c r="I10006" s="2"/>
      <c r="J10006" s="2" t="s">
        <v>13904</v>
      </c>
      <c r="K10006" s="2" t="s">
        <v>18543</v>
      </c>
      <c r="L10006" s="82"/>
    </row>
    <row r="10007" spans="1:12" ht="84" customHeight="1" x14ac:dyDescent="0.3">
      <c r="A10007" s="2">
        <v>10005</v>
      </c>
      <c r="B10007" s="66" t="s">
        <v>14235</v>
      </c>
      <c r="C10007" s="66">
        <v>17622</v>
      </c>
      <c r="D10007" s="25">
        <v>0.01</v>
      </c>
      <c r="E10007" s="11">
        <v>0</v>
      </c>
      <c r="F10007" s="3">
        <v>40500</v>
      </c>
      <c r="G10007" s="2" t="s">
        <v>11171</v>
      </c>
      <c r="H10007" s="3"/>
      <c r="I10007" s="2"/>
      <c r="J10007" s="2" t="s">
        <v>13904</v>
      </c>
      <c r="K10007" s="2" t="s">
        <v>18543</v>
      </c>
      <c r="L10007" s="82"/>
    </row>
    <row r="10008" spans="1:12" ht="84" customHeight="1" x14ac:dyDescent="0.3">
      <c r="A10008" s="2">
        <v>10006</v>
      </c>
      <c r="B10008" s="66" t="s">
        <v>14205</v>
      </c>
      <c r="C10008" s="66">
        <v>17329</v>
      </c>
      <c r="D10008" s="11">
        <v>84805.69</v>
      </c>
      <c r="E10008" s="11">
        <v>84805.69</v>
      </c>
      <c r="F10008" s="3">
        <v>40500</v>
      </c>
      <c r="G10008" s="2" t="s">
        <v>11171</v>
      </c>
      <c r="H10008" s="3"/>
      <c r="I10008" s="2"/>
      <c r="J10008" s="2" t="s">
        <v>13904</v>
      </c>
      <c r="K10008" s="2" t="s">
        <v>18543</v>
      </c>
      <c r="L10008" s="82"/>
    </row>
    <row r="10009" spans="1:12" ht="84" customHeight="1" x14ac:dyDescent="0.3">
      <c r="A10009" s="2">
        <v>10007</v>
      </c>
      <c r="B10009" s="66" t="s">
        <v>14206</v>
      </c>
      <c r="C10009" s="66">
        <v>17428</v>
      </c>
      <c r="D10009" s="11">
        <v>1013618</v>
      </c>
      <c r="E10009" s="11">
        <v>1013618</v>
      </c>
      <c r="F10009" s="3">
        <v>40500</v>
      </c>
      <c r="G10009" s="2" t="s">
        <v>11171</v>
      </c>
      <c r="H10009" s="3"/>
      <c r="I10009" s="2"/>
      <c r="J10009" s="2" t="s">
        <v>13904</v>
      </c>
      <c r="K10009" s="2" t="s">
        <v>18543</v>
      </c>
      <c r="L10009" s="82"/>
    </row>
    <row r="10010" spans="1:12" ht="84" customHeight="1" x14ac:dyDescent="0.3">
      <c r="A10010" s="2">
        <v>10008</v>
      </c>
      <c r="B10010" s="66" t="s">
        <v>14207</v>
      </c>
      <c r="C10010" s="66">
        <v>17643</v>
      </c>
      <c r="D10010" s="11">
        <v>162711.85999999999</v>
      </c>
      <c r="E10010" s="11">
        <v>133656.45000000001</v>
      </c>
      <c r="F10010" s="3">
        <v>40500</v>
      </c>
      <c r="G10010" s="2" t="s">
        <v>11171</v>
      </c>
      <c r="H10010" s="3"/>
      <c r="I10010" s="2"/>
      <c r="J10010" s="2" t="s">
        <v>13904</v>
      </c>
      <c r="K10010" s="2" t="s">
        <v>18543</v>
      </c>
      <c r="L10010" s="82"/>
    </row>
    <row r="10011" spans="1:12" ht="84" customHeight="1" x14ac:dyDescent="0.3">
      <c r="A10011" s="2">
        <v>10009</v>
      </c>
      <c r="B10011" s="66" t="s">
        <v>14208</v>
      </c>
      <c r="C10011" s="66">
        <v>17061</v>
      </c>
      <c r="D10011" s="11">
        <v>21253.66</v>
      </c>
      <c r="E10011" s="11">
        <v>21253.66</v>
      </c>
      <c r="F10011" s="3">
        <v>40500</v>
      </c>
      <c r="G10011" s="2" t="s">
        <v>11171</v>
      </c>
      <c r="H10011" s="3"/>
      <c r="I10011" s="2"/>
      <c r="J10011" s="2" t="s">
        <v>13904</v>
      </c>
      <c r="K10011" s="2" t="s">
        <v>18543</v>
      </c>
      <c r="L10011" s="82"/>
    </row>
    <row r="10012" spans="1:12" ht="84" customHeight="1" x14ac:dyDescent="0.3">
      <c r="A10012" s="2">
        <v>10010</v>
      </c>
      <c r="B10012" s="66" t="s">
        <v>14209</v>
      </c>
      <c r="C10012" s="66" t="s">
        <v>14210</v>
      </c>
      <c r="D10012" s="11">
        <f>167796.61+198700</f>
        <v>366496.61</v>
      </c>
      <c r="E10012" s="11">
        <f>96483.39+114252.27</f>
        <v>210735.66</v>
      </c>
      <c r="F10012" s="3">
        <v>40500</v>
      </c>
      <c r="G10012" s="2" t="s">
        <v>11171</v>
      </c>
      <c r="H10012" s="3"/>
      <c r="I10012" s="2"/>
      <c r="J10012" s="2" t="s">
        <v>13904</v>
      </c>
      <c r="K10012" s="2" t="s">
        <v>18543</v>
      </c>
      <c r="L10012" s="82"/>
    </row>
    <row r="10013" spans="1:12" ht="84" customHeight="1" x14ac:dyDescent="0.3">
      <c r="A10013" s="2">
        <v>10011</v>
      </c>
      <c r="B10013" s="66" t="s">
        <v>14211</v>
      </c>
      <c r="C10013" s="66">
        <v>17050</v>
      </c>
      <c r="D10013" s="11">
        <v>49357.5</v>
      </c>
      <c r="E10013" s="11">
        <v>49357.5</v>
      </c>
      <c r="F10013" s="3">
        <v>40500</v>
      </c>
      <c r="G10013" s="2" t="s">
        <v>11171</v>
      </c>
      <c r="H10013" s="3" t="s">
        <v>20751</v>
      </c>
      <c r="I10013" s="2" t="s">
        <v>20752</v>
      </c>
      <c r="J10013" s="2" t="s">
        <v>13904</v>
      </c>
      <c r="K10013" s="2" t="s">
        <v>18543</v>
      </c>
      <c r="L10013" s="82"/>
    </row>
    <row r="10014" spans="1:12" ht="84" customHeight="1" x14ac:dyDescent="0.3">
      <c r="A10014" s="2">
        <v>10012</v>
      </c>
      <c r="B10014" s="66" t="s">
        <v>14212</v>
      </c>
      <c r="C10014" s="66" t="s">
        <v>14213</v>
      </c>
      <c r="D10014" s="11">
        <f>0.01*3</f>
        <v>0.03</v>
      </c>
      <c r="E10014" s="11">
        <v>0</v>
      </c>
      <c r="F10014" s="3">
        <v>40500</v>
      </c>
      <c r="G10014" s="2" t="s">
        <v>11171</v>
      </c>
      <c r="H10014" s="3"/>
      <c r="I10014" s="2"/>
      <c r="J10014" s="2" t="s">
        <v>13904</v>
      </c>
      <c r="K10014" s="2" t="s">
        <v>18543</v>
      </c>
      <c r="L10014" s="82"/>
    </row>
    <row r="10015" spans="1:12" ht="84" customHeight="1" x14ac:dyDescent="0.3">
      <c r="A10015" s="2">
        <v>10013</v>
      </c>
      <c r="B10015" s="66" t="s">
        <v>14214</v>
      </c>
      <c r="C10015" s="66">
        <v>17067</v>
      </c>
      <c r="D10015" s="11">
        <v>182520</v>
      </c>
      <c r="E10015" s="11">
        <v>182481</v>
      </c>
      <c r="F10015" s="3">
        <v>40500</v>
      </c>
      <c r="G10015" s="2" t="s">
        <v>11171</v>
      </c>
      <c r="H10015" s="3"/>
      <c r="I10015" s="2"/>
      <c r="J10015" s="2" t="s">
        <v>13904</v>
      </c>
      <c r="K10015" s="2" t="s">
        <v>18543</v>
      </c>
      <c r="L10015" s="82"/>
    </row>
    <row r="10016" spans="1:12" ht="84" customHeight="1" x14ac:dyDescent="0.3">
      <c r="A10016" s="2">
        <v>10014</v>
      </c>
      <c r="B10016" s="66" t="s">
        <v>14215</v>
      </c>
      <c r="C10016" s="66">
        <v>17060</v>
      </c>
      <c r="D10016" s="11">
        <v>87167.72</v>
      </c>
      <c r="E10016" s="11">
        <v>87167.72</v>
      </c>
      <c r="F10016" s="3">
        <v>40500</v>
      </c>
      <c r="G10016" s="2" t="s">
        <v>11171</v>
      </c>
      <c r="H10016" s="3"/>
      <c r="I10016" s="2"/>
      <c r="J10016" s="2" t="s">
        <v>13904</v>
      </c>
      <c r="K10016" s="2" t="s">
        <v>18543</v>
      </c>
      <c r="L10016" s="82"/>
    </row>
    <row r="10017" spans="1:12" ht="84" customHeight="1" x14ac:dyDescent="0.3">
      <c r="A10017" s="2">
        <v>10015</v>
      </c>
      <c r="B10017" s="66" t="s">
        <v>14216</v>
      </c>
      <c r="C10017" s="66">
        <v>17644</v>
      </c>
      <c r="D10017" s="11">
        <v>574576.27</v>
      </c>
      <c r="E10017" s="11">
        <v>330381.65999999997</v>
      </c>
      <c r="F10017" s="3">
        <v>40500</v>
      </c>
      <c r="G10017" s="2" t="s">
        <v>11171</v>
      </c>
      <c r="H10017" s="3"/>
      <c r="I10017" s="2"/>
      <c r="J10017" s="2" t="s">
        <v>13904</v>
      </c>
      <c r="K10017" s="2" t="s">
        <v>18543</v>
      </c>
      <c r="L10017" s="82"/>
    </row>
    <row r="10018" spans="1:12" ht="84" customHeight="1" x14ac:dyDescent="0.3">
      <c r="A10018" s="2">
        <v>10016</v>
      </c>
      <c r="B10018" s="66" t="s">
        <v>14217</v>
      </c>
      <c r="C10018" s="66">
        <v>17472</v>
      </c>
      <c r="D10018" s="11">
        <v>0.01</v>
      </c>
      <c r="E10018" s="11">
        <v>0</v>
      </c>
      <c r="F10018" s="3">
        <v>40500</v>
      </c>
      <c r="G10018" s="2" t="s">
        <v>11171</v>
      </c>
      <c r="H10018" s="3"/>
      <c r="I10018" s="2"/>
      <c r="J10018" s="2" t="s">
        <v>13904</v>
      </c>
      <c r="K10018" s="2" t="s">
        <v>18543</v>
      </c>
      <c r="L10018" s="82"/>
    </row>
    <row r="10019" spans="1:12" ht="84" customHeight="1" x14ac:dyDescent="0.3">
      <c r="A10019" s="2">
        <v>10017</v>
      </c>
      <c r="B10019" s="66" t="s">
        <v>14218</v>
      </c>
      <c r="C10019" s="66">
        <v>17069</v>
      </c>
      <c r="D10019" s="11">
        <v>3894</v>
      </c>
      <c r="E10019" s="11">
        <v>3894</v>
      </c>
      <c r="F10019" s="3">
        <v>40500</v>
      </c>
      <c r="G10019" s="2" t="s">
        <v>11171</v>
      </c>
      <c r="H10019" s="3"/>
      <c r="I10019" s="2"/>
      <c r="J10019" s="2" t="s">
        <v>13904</v>
      </c>
      <c r="K10019" s="2" t="s">
        <v>18543</v>
      </c>
      <c r="L10019" s="82"/>
    </row>
    <row r="10020" spans="1:12" ht="84" customHeight="1" x14ac:dyDescent="0.3">
      <c r="A10020" s="2">
        <v>10018</v>
      </c>
      <c r="B10020" s="66" t="s">
        <v>14219</v>
      </c>
      <c r="C10020" s="66">
        <v>17053</v>
      </c>
      <c r="D10020" s="11">
        <v>8431.74</v>
      </c>
      <c r="E10020" s="11">
        <v>8431.74</v>
      </c>
      <c r="F10020" s="3">
        <v>40500</v>
      </c>
      <c r="G10020" s="2" t="s">
        <v>11171</v>
      </c>
      <c r="H10020" s="3"/>
      <c r="I10020" s="2"/>
      <c r="J10020" s="2" t="s">
        <v>13904</v>
      </c>
      <c r="K10020" s="2" t="s">
        <v>18543</v>
      </c>
      <c r="L10020" s="82"/>
    </row>
    <row r="10021" spans="1:12" ht="84" customHeight="1" x14ac:dyDescent="0.3">
      <c r="A10021" s="2">
        <v>10019</v>
      </c>
      <c r="B10021" s="66" t="s">
        <v>14220</v>
      </c>
      <c r="C10021" s="66">
        <v>17295</v>
      </c>
      <c r="D10021" s="11">
        <v>31754.240000000002</v>
      </c>
      <c r="E10021" s="11">
        <v>31754.240000000002</v>
      </c>
      <c r="F10021" s="3">
        <v>40500</v>
      </c>
      <c r="G10021" s="2" t="s">
        <v>11171</v>
      </c>
      <c r="H10021" s="3"/>
      <c r="I10021" s="2"/>
      <c r="J10021" s="2" t="s">
        <v>13904</v>
      </c>
      <c r="K10021" s="2" t="s">
        <v>18543</v>
      </c>
      <c r="L10021" s="82"/>
    </row>
    <row r="10022" spans="1:12" ht="84" customHeight="1" x14ac:dyDescent="0.3">
      <c r="A10022" s="2">
        <v>10020</v>
      </c>
      <c r="B10022" s="66" t="s">
        <v>14221</v>
      </c>
      <c r="C10022" s="66">
        <v>17072</v>
      </c>
      <c r="D10022" s="11">
        <v>39387.22</v>
      </c>
      <c r="E10022" s="11">
        <v>39387.22</v>
      </c>
      <c r="F10022" s="3">
        <v>40500</v>
      </c>
      <c r="G10022" s="2" t="s">
        <v>11171</v>
      </c>
      <c r="H10022" s="3"/>
      <c r="I10022" s="2"/>
      <c r="J10022" s="2" t="s">
        <v>13904</v>
      </c>
      <c r="K10022" s="2" t="s">
        <v>18543</v>
      </c>
      <c r="L10022" s="82"/>
    </row>
    <row r="10023" spans="1:12" ht="84" customHeight="1" x14ac:dyDescent="0.3">
      <c r="A10023" s="2">
        <v>10021</v>
      </c>
      <c r="B10023" s="66" t="s">
        <v>14240</v>
      </c>
      <c r="C10023" s="66">
        <v>17054</v>
      </c>
      <c r="D10023" s="11">
        <v>5014.3999999999996</v>
      </c>
      <c r="E10023" s="11">
        <v>5014.3999999999996</v>
      </c>
      <c r="F10023" s="3">
        <v>40500</v>
      </c>
      <c r="G10023" s="2" t="s">
        <v>11171</v>
      </c>
      <c r="H10023" s="3"/>
      <c r="I10023" s="2"/>
      <c r="J10023" s="2" t="s">
        <v>13904</v>
      </c>
      <c r="K10023" s="2" t="s">
        <v>18543</v>
      </c>
      <c r="L10023" s="82"/>
    </row>
    <row r="10024" spans="1:12" ht="84" customHeight="1" x14ac:dyDescent="0.3">
      <c r="A10024" s="2">
        <v>10022</v>
      </c>
      <c r="B10024" s="2" t="s">
        <v>14222</v>
      </c>
      <c r="C10024" s="2">
        <v>17056</v>
      </c>
      <c r="D10024" s="11">
        <v>14704.1</v>
      </c>
      <c r="E10024" s="11">
        <v>14704.1</v>
      </c>
      <c r="F10024" s="3">
        <v>40500</v>
      </c>
      <c r="G10024" s="2" t="s">
        <v>11171</v>
      </c>
      <c r="H10024" s="3"/>
      <c r="I10024" s="2"/>
      <c r="J10024" s="2" t="s">
        <v>13904</v>
      </c>
      <c r="K10024" s="2" t="s">
        <v>18543</v>
      </c>
      <c r="L10024" s="82"/>
    </row>
    <row r="10025" spans="1:12" ht="84" customHeight="1" x14ac:dyDescent="0.3">
      <c r="A10025" s="2">
        <v>10023</v>
      </c>
      <c r="B10025" s="66" t="s">
        <v>14223</v>
      </c>
      <c r="C10025" s="66">
        <v>17071</v>
      </c>
      <c r="D10025" s="11">
        <v>5319.04</v>
      </c>
      <c r="E10025" s="11">
        <v>5319.04</v>
      </c>
      <c r="F10025" s="3">
        <v>40500</v>
      </c>
      <c r="G10025" s="2" t="s">
        <v>11171</v>
      </c>
      <c r="H10025" s="2" t="s">
        <v>19752</v>
      </c>
      <c r="I10025" s="2" t="s">
        <v>19754</v>
      </c>
      <c r="J10025" s="2" t="s">
        <v>13904</v>
      </c>
      <c r="K10025" s="2" t="s">
        <v>18543</v>
      </c>
      <c r="L10025" s="82"/>
    </row>
    <row r="10026" spans="1:12" ht="84" customHeight="1" x14ac:dyDescent="0.3">
      <c r="A10026" s="2">
        <v>10024</v>
      </c>
      <c r="B10026" s="66" t="s">
        <v>14224</v>
      </c>
      <c r="C10026" s="66">
        <v>17605</v>
      </c>
      <c r="D10026" s="11">
        <v>12542.4</v>
      </c>
      <c r="E10026" s="11">
        <v>7126.5</v>
      </c>
      <c r="F10026" s="3">
        <v>40500</v>
      </c>
      <c r="G10026" s="2" t="s">
        <v>11171</v>
      </c>
      <c r="H10026" s="3"/>
      <c r="I10026" s="2"/>
      <c r="J10026" s="2" t="s">
        <v>13904</v>
      </c>
      <c r="K10026" s="2" t="s">
        <v>18543</v>
      </c>
      <c r="L10026" s="82"/>
    </row>
    <row r="10027" spans="1:12" ht="84" customHeight="1" x14ac:dyDescent="0.3">
      <c r="A10027" s="2">
        <v>10025</v>
      </c>
      <c r="B10027" s="66" t="s">
        <v>14225</v>
      </c>
      <c r="C10027" s="66">
        <v>17319</v>
      </c>
      <c r="D10027" s="11">
        <v>250846</v>
      </c>
      <c r="E10027" s="11">
        <v>172931.85</v>
      </c>
      <c r="F10027" s="3">
        <v>40500</v>
      </c>
      <c r="G10027" s="2" t="s">
        <v>11171</v>
      </c>
      <c r="H10027" s="3"/>
      <c r="I10027" s="2"/>
      <c r="J10027" s="2" t="s">
        <v>13904</v>
      </c>
      <c r="K10027" s="2" t="s">
        <v>18543</v>
      </c>
      <c r="L10027" s="82"/>
    </row>
    <row r="10028" spans="1:12" ht="84" customHeight="1" x14ac:dyDescent="0.3">
      <c r="A10028" s="2">
        <v>10026</v>
      </c>
      <c r="B10028" s="66" t="s">
        <v>14225</v>
      </c>
      <c r="C10028" s="66" t="s">
        <v>14226</v>
      </c>
      <c r="D10028" s="11">
        <v>217280</v>
      </c>
      <c r="E10028" s="11">
        <v>55044.52</v>
      </c>
      <c r="F10028" s="3">
        <v>40500</v>
      </c>
      <c r="G10028" s="2" t="s">
        <v>11171</v>
      </c>
      <c r="H10028" s="3"/>
      <c r="I10028" s="2"/>
      <c r="J10028" s="2" t="s">
        <v>13904</v>
      </c>
      <c r="K10028" s="2" t="s">
        <v>18543</v>
      </c>
      <c r="L10028" s="82"/>
    </row>
    <row r="10029" spans="1:12" ht="84" customHeight="1" x14ac:dyDescent="0.3">
      <c r="A10029" s="2">
        <v>10027</v>
      </c>
      <c r="B10029" s="66" t="s">
        <v>14227</v>
      </c>
      <c r="C10029" s="79">
        <v>17058</v>
      </c>
      <c r="D10029" s="11">
        <v>7964.81</v>
      </c>
      <c r="E10029" s="11">
        <v>7964.81</v>
      </c>
      <c r="F10029" s="3">
        <v>40500</v>
      </c>
      <c r="G10029" s="2" t="s">
        <v>11171</v>
      </c>
      <c r="H10029" s="3"/>
      <c r="I10029" s="2"/>
      <c r="J10029" s="2" t="s">
        <v>13904</v>
      </c>
      <c r="K10029" s="2" t="s">
        <v>18543</v>
      </c>
      <c r="L10029" s="82"/>
    </row>
    <row r="10030" spans="1:12" ht="84" customHeight="1" x14ac:dyDescent="0.3">
      <c r="A10030" s="2">
        <v>10028</v>
      </c>
      <c r="B10030" s="66" t="s">
        <v>14228</v>
      </c>
      <c r="C10030" s="66">
        <v>17070</v>
      </c>
      <c r="D10030" s="11">
        <v>5159.6899999999996</v>
      </c>
      <c r="E10030" s="11">
        <v>2546.8200000000002</v>
      </c>
      <c r="F10030" s="3">
        <v>40500</v>
      </c>
      <c r="G10030" s="2" t="s">
        <v>11171</v>
      </c>
      <c r="H10030" s="3"/>
      <c r="I10030" s="2"/>
      <c r="J10030" s="2" t="s">
        <v>13904</v>
      </c>
      <c r="K10030" s="2" t="s">
        <v>18543</v>
      </c>
      <c r="L10030" s="82"/>
    </row>
    <row r="10031" spans="1:12" ht="84" customHeight="1" x14ac:dyDescent="0.3">
      <c r="A10031" s="2">
        <v>10029</v>
      </c>
      <c r="B10031" s="66" t="s">
        <v>14229</v>
      </c>
      <c r="C10031" s="66">
        <v>17065</v>
      </c>
      <c r="D10031" s="11">
        <v>3040.06</v>
      </c>
      <c r="E10031" s="11">
        <v>3039.01</v>
      </c>
      <c r="F10031" s="3">
        <v>40500</v>
      </c>
      <c r="G10031" s="2" t="s">
        <v>11171</v>
      </c>
      <c r="H10031" s="2" t="s">
        <v>19752</v>
      </c>
      <c r="I10031" s="2" t="s">
        <v>19754</v>
      </c>
      <c r="J10031" s="2" t="s">
        <v>13904</v>
      </c>
      <c r="K10031" s="2" t="s">
        <v>18543</v>
      </c>
      <c r="L10031" s="82"/>
    </row>
    <row r="10032" spans="1:12" ht="84" customHeight="1" x14ac:dyDescent="0.3">
      <c r="A10032" s="2">
        <v>10030</v>
      </c>
      <c r="B10032" s="66" t="s">
        <v>14230</v>
      </c>
      <c r="C10032" s="66">
        <v>17063</v>
      </c>
      <c r="D10032" s="11">
        <v>5665.71</v>
      </c>
      <c r="E10032" s="11">
        <v>5663.93</v>
      </c>
      <c r="F10032" s="3">
        <v>40500</v>
      </c>
      <c r="G10032" s="2" t="s">
        <v>11171</v>
      </c>
      <c r="H10032" s="2" t="s">
        <v>19752</v>
      </c>
      <c r="I10032" s="2" t="s">
        <v>19754</v>
      </c>
      <c r="J10032" s="2" t="s">
        <v>13904</v>
      </c>
      <c r="K10032" s="2" t="s">
        <v>18543</v>
      </c>
      <c r="L10032" s="82"/>
    </row>
    <row r="10033" spans="1:12" ht="84" customHeight="1" x14ac:dyDescent="0.3">
      <c r="A10033" s="2">
        <v>10031</v>
      </c>
      <c r="B10033" s="66" t="s">
        <v>14233</v>
      </c>
      <c r="C10033" s="66">
        <v>14120</v>
      </c>
      <c r="D10033" s="11">
        <v>20118.75</v>
      </c>
      <c r="E10033" s="11">
        <v>20118.75</v>
      </c>
      <c r="F10033" s="3">
        <v>40500</v>
      </c>
      <c r="G10033" s="2" t="s">
        <v>11171</v>
      </c>
      <c r="H10033" s="2"/>
      <c r="I10033" s="2"/>
      <c r="J10033" s="2" t="s">
        <v>13904</v>
      </c>
      <c r="K10033" s="2" t="s">
        <v>18543</v>
      </c>
      <c r="L10033" s="82"/>
    </row>
    <row r="10034" spans="1:12" ht="84" customHeight="1" x14ac:dyDescent="0.3">
      <c r="A10034" s="2">
        <v>10032</v>
      </c>
      <c r="B10034" s="66" t="s">
        <v>14234</v>
      </c>
      <c r="C10034" s="66">
        <v>17340</v>
      </c>
      <c r="D10034" s="11">
        <v>514237</v>
      </c>
      <c r="E10034" s="11">
        <v>292179.75</v>
      </c>
      <c r="F10034" s="3">
        <v>40500</v>
      </c>
      <c r="G10034" s="2" t="s">
        <v>11171</v>
      </c>
      <c r="H10034" s="2"/>
      <c r="I10034" s="2"/>
      <c r="J10034" s="2" t="s">
        <v>13904</v>
      </c>
      <c r="K10034" s="2" t="s">
        <v>18543</v>
      </c>
      <c r="L10034" s="82"/>
    </row>
    <row r="10035" spans="1:12" ht="84" customHeight="1" x14ac:dyDescent="0.3">
      <c r="A10035" s="2">
        <v>10033</v>
      </c>
      <c r="B10035" s="66" t="s">
        <v>14236</v>
      </c>
      <c r="C10035" s="66">
        <v>17384</v>
      </c>
      <c r="D10035" s="11">
        <v>863691</v>
      </c>
      <c r="E10035" s="11">
        <v>863691</v>
      </c>
      <c r="F10035" s="243">
        <v>40500</v>
      </c>
      <c r="G10035" s="2" t="s">
        <v>11171</v>
      </c>
      <c r="H10035" s="2"/>
      <c r="I10035" s="2"/>
      <c r="J10035" s="2" t="s">
        <v>13904</v>
      </c>
      <c r="K10035" s="2" t="s">
        <v>18543</v>
      </c>
      <c r="L10035" s="82"/>
    </row>
    <row r="10036" spans="1:12" ht="84" customHeight="1" x14ac:dyDescent="0.3">
      <c r="A10036" s="2">
        <v>10034</v>
      </c>
      <c r="B10036" s="66" t="s">
        <v>14911</v>
      </c>
      <c r="C10036" s="66">
        <v>1510008</v>
      </c>
      <c r="D10036" s="11">
        <v>0.01</v>
      </c>
      <c r="E10036" s="11">
        <v>0.01</v>
      </c>
      <c r="F10036" s="3">
        <v>42403</v>
      </c>
      <c r="G10036" s="2" t="s">
        <v>14912</v>
      </c>
      <c r="H10036" s="2" t="s">
        <v>19757</v>
      </c>
      <c r="I10036" s="2" t="s">
        <v>19754</v>
      </c>
      <c r="J10036" s="2" t="s">
        <v>13904</v>
      </c>
      <c r="K10036" s="2" t="s">
        <v>16345</v>
      </c>
      <c r="L10036" s="82"/>
    </row>
    <row r="10037" spans="1:12" ht="132" customHeight="1" x14ac:dyDescent="0.3">
      <c r="A10037" s="2">
        <v>10035</v>
      </c>
      <c r="B10037" s="66" t="s">
        <v>17956</v>
      </c>
      <c r="C10037" s="66">
        <v>41012500017</v>
      </c>
      <c r="D10037" s="11">
        <v>0.01</v>
      </c>
      <c r="E10037" s="11">
        <v>0.01</v>
      </c>
      <c r="F10037" s="3">
        <v>42403</v>
      </c>
      <c r="G10037" s="2" t="s">
        <v>16273</v>
      </c>
      <c r="H10037" s="2"/>
      <c r="I10037" s="2"/>
      <c r="J10037" s="2" t="s">
        <v>13904</v>
      </c>
      <c r="K10037" s="2" t="s">
        <v>18539</v>
      </c>
      <c r="L10037" s="82" t="s">
        <v>18696</v>
      </c>
    </row>
    <row r="10038" spans="1:12" ht="84" customHeight="1" x14ac:dyDescent="0.3">
      <c r="A10038" s="2">
        <v>10036</v>
      </c>
      <c r="B10038" s="66" t="s">
        <v>16346</v>
      </c>
      <c r="C10038" s="66">
        <v>1520322</v>
      </c>
      <c r="D10038" s="11">
        <v>900000</v>
      </c>
      <c r="E10038" s="11">
        <v>642857.4</v>
      </c>
      <c r="F10038" s="3">
        <v>42403</v>
      </c>
      <c r="G10038" s="2" t="s">
        <v>14912</v>
      </c>
      <c r="H10038" s="2"/>
      <c r="I10038" s="2"/>
      <c r="J10038" s="2" t="s">
        <v>13904</v>
      </c>
      <c r="K10038" s="2" t="s">
        <v>18544</v>
      </c>
      <c r="L10038" s="82"/>
    </row>
    <row r="10039" spans="1:12" ht="84" customHeight="1" x14ac:dyDescent="0.3">
      <c r="A10039" s="2">
        <v>10037</v>
      </c>
      <c r="B10039" s="66" t="s">
        <v>14924</v>
      </c>
      <c r="C10039" s="66">
        <v>1500004</v>
      </c>
      <c r="D10039" s="11">
        <v>24006</v>
      </c>
      <c r="E10039" s="11">
        <v>24006</v>
      </c>
      <c r="F10039" s="3">
        <v>42403</v>
      </c>
      <c r="G10039" s="2" t="s">
        <v>14912</v>
      </c>
      <c r="H10039" s="2" t="s">
        <v>21861</v>
      </c>
      <c r="I10039" s="2" t="s">
        <v>21862</v>
      </c>
      <c r="J10039" s="2" t="s">
        <v>13904</v>
      </c>
      <c r="K10039" s="2"/>
      <c r="L10039" s="82"/>
    </row>
    <row r="10040" spans="1:12" ht="84" customHeight="1" x14ac:dyDescent="0.3">
      <c r="A10040" s="2">
        <v>10038</v>
      </c>
      <c r="B10040" s="66" t="s">
        <v>14913</v>
      </c>
      <c r="C10040" s="66">
        <v>1000133</v>
      </c>
      <c r="D10040" s="11">
        <v>0.01</v>
      </c>
      <c r="E10040" s="11">
        <v>0.01</v>
      </c>
      <c r="F10040" s="3">
        <v>42403</v>
      </c>
      <c r="G10040" s="2" t="s">
        <v>14912</v>
      </c>
      <c r="H10040" s="2"/>
      <c r="I10040" s="2"/>
      <c r="J10040" s="2" t="s">
        <v>13904</v>
      </c>
      <c r="K10040" s="2" t="s">
        <v>18544</v>
      </c>
      <c r="L10040" s="82"/>
    </row>
    <row r="10041" spans="1:12" ht="84" customHeight="1" x14ac:dyDescent="0.3">
      <c r="A10041" s="2">
        <v>10039</v>
      </c>
      <c r="B10041" s="66" t="s">
        <v>14914</v>
      </c>
      <c r="C10041" s="66">
        <v>1520235</v>
      </c>
      <c r="D10041" s="11">
        <v>260765.5</v>
      </c>
      <c r="E10041" s="11">
        <v>260765.5</v>
      </c>
      <c r="F10041" s="3">
        <v>42403</v>
      </c>
      <c r="G10041" s="2" t="s">
        <v>14912</v>
      </c>
      <c r="H10041" s="2"/>
      <c r="I10041" s="2"/>
      <c r="J10041" s="2" t="s">
        <v>13904</v>
      </c>
      <c r="K10041" s="2" t="s">
        <v>16345</v>
      </c>
      <c r="L10041" s="82"/>
    </row>
    <row r="10042" spans="1:12" ht="84" customHeight="1" x14ac:dyDescent="0.3">
      <c r="A10042" s="2">
        <v>10040</v>
      </c>
      <c r="B10042" s="66" t="s">
        <v>14916</v>
      </c>
      <c r="C10042" s="66">
        <v>1520331</v>
      </c>
      <c r="D10042" s="11">
        <v>3800000</v>
      </c>
      <c r="E10042" s="11">
        <v>2177083.15</v>
      </c>
      <c r="F10042" s="3">
        <v>42403</v>
      </c>
      <c r="G10042" s="2" t="s">
        <v>14912</v>
      </c>
      <c r="H10042" s="2"/>
      <c r="I10042" s="2"/>
      <c r="J10042" s="2" t="s">
        <v>13904</v>
      </c>
      <c r="K10042" s="2" t="s">
        <v>16345</v>
      </c>
      <c r="L10042" s="82"/>
    </row>
    <row r="10043" spans="1:12" ht="84" customHeight="1" x14ac:dyDescent="0.3">
      <c r="A10043" s="2">
        <v>10041</v>
      </c>
      <c r="B10043" s="66" t="s">
        <v>14915</v>
      </c>
      <c r="C10043" s="66">
        <v>1510013</v>
      </c>
      <c r="D10043" s="11">
        <v>92589</v>
      </c>
      <c r="E10043" s="11">
        <v>92589</v>
      </c>
      <c r="F10043" s="3">
        <v>42403</v>
      </c>
      <c r="G10043" s="2" t="s">
        <v>14912</v>
      </c>
      <c r="H10043" s="2"/>
      <c r="I10043" s="2"/>
      <c r="J10043" s="2" t="s">
        <v>13904</v>
      </c>
      <c r="K10043" s="2" t="s">
        <v>16345</v>
      </c>
      <c r="L10043" s="82"/>
    </row>
    <row r="10044" spans="1:12" ht="84" customHeight="1" x14ac:dyDescent="0.3">
      <c r="A10044" s="2">
        <v>10042</v>
      </c>
      <c r="B10044" s="66" t="s">
        <v>16353</v>
      </c>
      <c r="C10044" s="66">
        <v>1520326</v>
      </c>
      <c r="D10044" s="11">
        <v>1350000</v>
      </c>
      <c r="E10044" s="11">
        <v>964285.8</v>
      </c>
      <c r="F10044" s="3">
        <v>42403</v>
      </c>
      <c r="G10044" s="2" t="s">
        <v>14912</v>
      </c>
      <c r="H10044" s="2"/>
      <c r="I10044" s="2"/>
      <c r="J10044" s="2" t="s">
        <v>13904</v>
      </c>
      <c r="K10044" s="2" t="s">
        <v>16345</v>
      </c>
      <c r="L10044" s="82"/>
    </row>
    <row r="10045" spans="1:12" ht="84" customHeight="1" x14ac:dyDescent="0.3">
      <c r="A10045" s="2">
        <v>10043</v>
      </c>
      <c r="B10045" s="66" t="s">
        <v>14917</v>
      </c>
      <c r="C10045" s="66">
        <v>573</v>
      </c>
      <c r="D10045" s="11">
        <v>45132.41</v>
      </c>
      <c r="E10045" s="11">
        <v>11283.12</v>
      </c>
      <c r="F10045" s="3">
        <v>42403</v>
      </c>
      <c r="G10045" s="2" t="s">
        <v>14912</v>
      </c>
      <c r="H10045" s="2"/>
      <c r="I10045" s="2"/>
      <c r="J10045" s="2" t="s">
        <v>13904</v>
      </c>
      <c r="K10045" s="2" t="s">
        <v>16351</v>
      </c>
      <c r="L10045" s="82"/>
    </row>
    <row r="10046" spans="1:12" ht="84" customHeight="1" x14ac:dyDescent="0.3">
      <c r="A10046" s="2">
        <v>10044</v>
      </c>
      <c r="B10046" s="66" t="s">
        <v>16350</v>
      </c>
      <c r="C10046" s="66">
        <v>1510005</v>
      </c>
      <c r="D10046" s="11">
        <v>329400</v>
      </c>
      <c r="E10046" s="11">
        <v>329400</v>
      </c>
      <c r="F10046" s="3">
        <v>42403</v>
      </c>
      <c r="G10046" s="2" t="s">
        <v>14912</v>
      </c>
      <c r="H10046" s="2"/>
      <c r="I10046" s="2"/>
      <c r="J10046" s="2" t="s">
        <v>13904</v>
      </c>
      <c r="K10046" s="2" t="s">
        <v>16351</v>
      </c>
      <c r="L10046" s="82"/>
    </row>
    <row r="10047" spans="1:12" ht="84" customHeight="1" x14ac:dyDescent="0.3">
      <c r="A10047" s="2">
        <v>10045</v>
      </c>
      <c r="B10047" s="66" t="s">
        <v>14918</v>
      </c>
      <c r="C10047" s="66" t="s">
        <v>14919</v>
      </c>
      <c r="D10047" s="11">
        <v>0.01</v>
      </c>
      <c r="E10047" s="11">
        <v>0.01</v>
      </c>
      <c r="F10047" s="3">
        <v>42403</v>
      </c>
      <c r="G10047" s="2" t="s">
        <v>14912</v>
      </c>
      <c r="H10047" s="2"/>
      <c r="I10047" s="2"/>
      <c r="J10047" s="2" t="s">
        <v>13904</v>
      </c>
      <c r="K10047" s="2" t="s">
        <v>16345</v>
      </c>
      <c r="L10047" s="82"/>
    </row>
    <row r="10048" spans="1:12" ht="132" customHeight="1" x14ac:dyDescent="0.3">
      <c r="A10048" s="2">
        <v>10046</v>
      </c>
      <c r="B10048" s="36" t="s">
        <v>17972</v>
      </c>
      <c r="C10048" s="66">
        <v>41012400011</v>
      </c>
      <c r="D10048" s="11">
        <v>1302180.1100000001</v>
      </c>
      <c r="E10048" s="11">
        <v>873926.28</v>
      </c>
      <c r="F10048" s="3">
        <v>42403</v>
      </c>
      <c r="G10048" s="2" t="s">
        <v>16273</v>
      </c>
      <c r="H10048" s="2"/>
      <c r="I10048" s="2"/>
      <c r="J10048" s="2" t="s">
        <v>13904</v>
      </c>
      <c r="K10048" s="2" t="s">
        <v>18539</v>
      </c>
      <c r="L10048" s="82" t="s">
        <v>18696</v>
      </c>
    </row>
    <row r="10049" spans="1:12" ht="84" customHeight="1" x14ac:dyDescent="0.3">
      <c r="A10049" s="2">
        <v>10047</v>
      </c>
      <c r="B10049" s="66" t="s">
        <v>14920</v>
      </c>
      <c r="C10049" s="66">
        <v>1520280</v>
      </c>
      <c r="D10049" s="11">
        <v>23705.82</v>
      </c>
      <c r="E10049" s="11">
        <v>23705.82</v>
      </c>
      <c r="F10049" s="3">
        <v>42403</v>
      </c>
      <c r="G10049" s="2" t="s">
        <v>14912</v>
      </c>
      <c r="H10049" s="2"/>
      <c r="I10049" s="2"/>
      <c r="J10049" s="2" t="s">
        <v>13904</v>
      </c>
      <c r="K10049" s="2" t="s">
        <v>18544</v>
      </c>
      <c r="L10049" s="82"/>
    </row>
    <row r="10050" spans="1:12" ht="84" customHeight="1" x14ac:dyDescent="0.3">
      <c r="A10050" s="2">
        <v>10048</v>
      </c>
      <c r="B10050" s="66" t="s">
        <v>14921</v>
      </c>
      <c r="C10050" s="66">
        <v>1520323</v>
      </c>
      <c r="D10050" s="11">
        <v>800000</v>
      </c>
      <c r="E10050" s="11">
        <v>571428.6</v>
      </c>
      <c r="F10050" s="3">
        <v>42403</v>
      </c>
      <c r="G10050" s="2" t="s">
        <v>14912</v>
      </c>
      <c r="H10050" s="2"/>
      <c r="I10050" s="2"/>
      <c r="J10050" s="2" t="s">
        <v>13904</v>
      </c>
      <c r="K10050" s="2" t="s">
        <v>16345</v>
      </c>
      <c r="L10050" s="82"/>
    </row>
    <row r="10051" spans="1:12" ht="84" customHeight="1" x14ac:dyDescent="0.3">
      <c r="A10051" s="2">
        <v>10049</v>
      </c>
      <c r="B10051" s="66" t="s">
        <v>14922</v>
      </c>
      <c r="C10051" s="66">
        <v>1520321</v>
      </c>
      <c r="D10051" s="11">
        <v>1200000</v>
      </c>
      <c r="E10051" s="11">
        <v>750000</v>
      </c>
      <c r="F10051" s="3">
        <v>42403</v>
      </c>
      <c r="G10051" s="2" t="s">
        <v>14912</v>
      </c>
      <c r="H10051" s="3">
        <v>42642</v>
      </c>
      <c r="I10051" s="2" t="s">
        <v>16264</v>
      </c>
      <c r="J10051" s="2" t="s">
        <v>13904</v>
      </c>
      <c r="K10051" s="2"/>
      <c r="L10051" s="82"/>
    </row>
    <row r="10052" spans="1:12" ht="84" customHeight="1" x14ac:dyDescent="0.3">
      <c r="A10052" s="2">
        <v>10050</v>
      </c>
      <c r="B10052" s="66" t="s">
        <v>16354</v>
      </c>
      <c r="C10052" s="66">
        <v>151005</v>
      </c>
      <c r="D10052" s="11">
        <v>0.01</v>
      </c>
      <c r="E10052" s="11">
        <v>0.01</v>
      </c>
      <c r="F10052" s="3">
        <v>42403</v>
      </c>
      <c r="G10052" s="2" t="s">
        <v>17961</v>
      </c>
      <c r="H10052" s="2"/>
      <c r="I10052" s="2"/>
      <c r="J10052" s="2" t="s">
        <v>13904</v>
      </c>
      <c r="K10052" s="2" t="s">
        <v>16345</v>
      </c>
      <c r="L10052" s="82"/>
    </row>
    <row r="10053" spans="1:12" ht="132" customHeight="1" x14ac:dyDescent="0.3">
      <c r="A10053" s="2">
        <v>10051</v>
      </c>
      <c r="B10053" s="66" t="s">
        <v>17957</v>
      </c>
      <c r="C10053" s="66">
        <v>41012400010</v>
      </c>
      <c r="D10053" s="11">
        <v>143095.10999999999</v>
      </c>
      <c r="E10053" s="11">
        <v>143095.10999999999</v>
      </c>
      <c r="F10053" s="3">
        <v>42403</v>
      </c>
      <c r="G10053" s="2" t="s">
        <v>16273</v>
      </c>
      <c r="H10053" s="2"/>
      <c r="I10053" s="2"/>
      <c r="J10053" s="2" t="s">
        <v>13904</v>
      </c>
      <c r="K10053" s="2" t="s">
        <v>18539</v>
      </c>
      <c r="L10053" s="82" t="s">
        <v>18696</v>
      </c>
    </row>
    <row r="10054" spans="1:12" ht="84" customHeight="1" x14ac:dyDescent="0.3">
      <c r="A10054" s="2">
        <v>10052</v>
      </c>
      <c r="B10054" s="66" t="s">
        <v>16363</v>
      </c>
      <c r="C10054" s="99" t="s">
        <v>16364</v>
      </c>
      <c r="D10054" s="11">
        <v>49916.79</v>
      </c>
      <c r="E10054" s="11">
        <v>20798.7</v>
      </c>
      <c r="F10054" s="3">
        <v>42403</v>
      </c>
      <c r="G10054" s="2" t="s">
        <v>14912</v>
      </c>
      <c r="H10054" s="2"/>
      <c r="I10054" s="2"/>
      <c r="J10054" s="2" t="s">
        <v>13904</v>
      </c>
      <c r="K10054" s="2" t="s">
        <v>18544</v>
      </c>
      <c r="L10054" s="82"/>
    </row>
    <row r="10055" spans="1:12" ht="84" customHeight="1" x14ac:dyDescent="0.3">
      <c r="A10055" s="2">
        <v>10053</v>
      </c>
      <c r="B10055" s="66" t="s">
        <v>14923</v>
      </c>
      <c r="C10055" s="66">
        <v>1000174</v>
      </c>
      <c r="D10055" s="11">
        <v>42319</v>
      </c>
      <c r="E10055" s="11">
        <v>42319</v>
      </c>
      <c r="F10055" s="3">
        <v>42403</v>
      </c>
      <c r="G10055" s="2" t="s">
        <v>14912</v>
      </c>
      <c r="H10055" s="2"/>
      <c r="I10055" s="2"/>
      <c r="J10055" s="2" t="s">
        <v>13904</v>
      </c>
      <c r="K10055" s="2" t="s">
        <v>18544</v>
      </c>
      <c r="L10055" s="82"/>
    </row>
    <row r="10056" spans="1:12" ht="84" customHeight="1" x14ac:dyDescent="0.3">
      <c r="A10056" s="2">
        <v>10054</v>
      </c>
      <c r="B10056" s="66" t="s">
        <v>16355</v>
      </c>
      <c r="C10056" s="66">
        <v>151002</v>
      </c>
      <c r="D10056" s="11">
        <v>67039</v>
      </c>
      <c r="E10056" s="11">
        <v>67039</v>
      </c>
      <c r="F10056" s="3">
        <v>42403</v>
      </c>
      <c r="G10056" s="2" t="s">
        <v>17961</v>
      </c>
      <c r="H10056" s="2"/>
      <c r="I10056" s="2"/>
      <c r="J10056" s="2" t="s">
        <v>13904</v>
      </c>
      <c r="K10056" s="2" t="s">
        <v>16345</v>
      </c>
      <c r="L10056" s="82"/>
    </row>
    <row r="10057" spans="1:12" ht="84" customHeight="1" x14ac:dyDescent="0.3">
      <c r="A10057" s="2">
        <v>10055</v>
      </c>
      <c r="B10057" s="66" t="s">
        <v>18537</v>
      </c>
      <c r="C10057" s="66">
        <v>1520294</v>
      </c>
      <c r="D10057" s="11">
        <v>335800</v>
      </c>
      <c r="E10057" s="11">
        <v>335800</v>
      </c>
      <c r="F10057" s="3">
        <v>42403</v>
      </c>
      <c r="G10057" s="2" t="s">
        <v>14912</v>
      </c>
      <c r="H10057" s="2"/>
      <c r="I10057" s="2"/>
      <c r="J10057" s="2" t="s">
        <v>13904</v>
      </c>
      <c r="K10057" s="2" t="s">
        <v>18544</v>
      </c>
      <c r="L10057" s="82"/>
    </row>
    <row r="10058" spans="1:12" ht="84" customHeight="1" x14ac:dyDescent="0.3">
      <c r="A10058" s="2">
        <v>10056</v>
      </c>
      <c r="B10058" s="66" t="s">
        <v>6016</v>
      </c>
      <c r="C10058" s="66">
        <v>138005</v>
      </c>
      <c r="D10058" s="11">
        <v>33339</v>
      </c>
      <c r="E10058" s="11">
        <v>33339</v>
      </c>
      <c r="F10058" s="3">
        <v>42403</v>
      </c>
      <c r="G10058" s="2" t="s">
        <v>14912</v>
      </c>
      <c r="H10058" s="2"/>
      <c r="I10058" s="2"/>
      <c r="J10058" s="2" t="s">
        <v>13904</v>
      </c>
      <c r="K10058" s="2" t="s">
        <v>18544</v>
      </c>
      <c r="L10058" s="82"/>
    </row>
    <row r="10059" spans="1:12" ht="84" customHeight="1" x14ac:dyDescent="0.3">
      <c r="A10059" s="2">
        <v>10057</v>
      </c>
      <c r="B10059" s="66" t="s">
        <v>20038</v>
      </c>
      <c r="C10059" s="66">
        <v>151004</v>
      </c>
      <c r="D10059" s="11">
        <v>0.01</v>
      </c>
      <c r="E10059" s="11">
        <v>0.01</v>
      </c>
      <c r="F10059" s="62" t="s">
        <v>12545</v>
      </c>
      <c r="G10059" s="2" t="s">
        <v>16349</v>
      </c>
      <c r="H10059" s="11"/>
      <c r="I10059" s="2"/>
      <c r="J10059" s="2" t="s">
        <v>13904</v>
      </c>
      <c r="K10059" s="2" t="s">
        <v>18543</v>
      </c>
      <c r="L10059" s="82"/>
    </row>
    <row r="10060" spans="1:12" ht="84" customHeight="1" x14ac:dyDescent="0.3">
      <c r="A10060" s="2">
        <v>10058</v>
      </c>
      <c r="B10060" s="66" t="s">
        <v>14925</v>
      </c>
      <c r="C10060" s="66">
        <v>1520232</v>
      </c>
      <c r="D10060" s="11">
        <v>10593.22</v>
      </c>
      <c r="E10060" s="11">
        <v>10593.22</v>
      </c>
      <c r="F10060" s="3">
        <v>42403</v>
      </c>
      <c r="G10060" s="2" t="s">
        <v>14912</v>
      </c>
      <c r="H10060" s="2"/>
      <c r="I10060" s="2"/>
      <c r="J10060" s="2" t="s">
        <v>13904</v>
      </c>
      <c r="K10060" s="2" t="s">
        <v>18544</v>
      </c>
      <c r="L10060" s="82"/>
    </row>
    <row r="10061" spans="1:12" ht="132" customHeight="1" x14ac:dyDescent="0.3">
      <c r="A10061" s="2">
        <v>10059</v>
      </c>
      <c r="B10061" s="66" t="s">
        <v>17966</v>
      </c>
      <c r="C10061" s="99" t="s">
        <v>17958</v>
      </c>
      <c r="D10061" s="11">
        <v>235446.67</v>
      </c>
      <c r="E10061" s="11">
        <v>235446.67</v>
      </c>
      <c r="F10061" s="3">
        <v>42403</v>
      </c>
      <c r="G10061" s="2" t="s">
        <v>16273</v>
      </c>
      <c r="H10061" s="2"/>
      <c r="I10061" s="2"/>
      <c r="J10061" s="2" t="s">
        <v>13904</v>
      </c>
      <c r="K10061" s="2" t="s">
        <v>18539</v>
      </c>
      <c r="L10061" s="82" t="s">
        <v>18696</v>
      </c>
    </row>
    <row r="10062" spans="1:12" ht="84" customHeight="1" x14ac:dyDescent="0.3">
      <c r="A10062" s="2">
        <v>10060</v>
      </c>
      <c r="B10062" s="66" t="s">
        <v>16356</v>
      </c>
      <c r="C10062" s="66">
        <v>1510012</v>
      </c>
      <c r="D10062" s="11">
        <v>64672</v>
      </c>
      <c r="E10062" s="11">
        <v>64672</v>
      </c>
      <c r="F10062" s="3">
        <v>42403</v>
      </c>
      <c r="G10062" s="2" t="s">
        <v>14912</v>
      </c>
      <c r="H10062" s="2"/>
      <c r="I10062" s="2"/>
      <c r="J10062" s="2" t="s">
        <v>13904</v>
      </c>
      <c r="K10062" s="2" t="s">
        <v>16345</v>
      </c>
      <c r="L10062" s="82"/>
    </row>
    <row r="10063" spans="1:12" ht="84" customHeight="1" x14ac:dyDescent="0.3">
      <c r="A10063" s="2">
        <v>10061</v>
      </c>
      <c r="B10063" s="66" t="s">
        <v>14926</v>
      </c>
      <c r="C10063" s="66">
        <v>1520281</v>
      </c>
      <c r="D10063" s="11">
        <v>20913.060000000001</v>
      </c>
      <c r="E10063" s="11">
        <v>20913.060000000001</v>
      </c>
      <c r="F10063" s="3">
        <v>42403</v>
      </c>
      <c r="G10063" s="2" t="s">
        <v>14912</v>
      </c>
      <c r="H10063" s="2" t="s">
        <v>19757</v>
      </c>
      <c r="I10063" s="2" t="s">
        <v>19754</v>
      </c>
      <c r="J10063" s="2" t="s">
        <v>13904</v>
      </c>
      <c r="K10063" s="2" t="s">
        <v>16345</v>
      </c>
      <c r="L10063" s="82"/>
    </row>
    <row r="10064" spans="1:12" ht="84" customHeight="1" x14ac:dyDescent="0.3">
      <c r="A10064" s="2">
        <v>10062</v>
      </c>
      <c r="B10064" s="66" t="s">
        <v>16352</v>
      </c>
      <c r="C10064" s="66">
        <v>1520271</v>
      </c>
      <c r="D10064" s="11">
        <v>260169.49</v>
      </c>
      <c r="E10064" s="11">
        <v>260169.49</v>
      </c>
      <c r="F10064" s="3">
        <v>42403</v>
      </c>
      <c r="G10064" s="2" t="s">
        <v>14912</v>
      </c>
      <c r="H10064" s="2"/>
      <c r="I10064" s="2"/>
      <c r="J10064" s="2" t="s">
        <v>13904</v>
      </c>
      <c r="K10064" s="2" t="s">
        <v>16345</v>
      </c>
      <c r="L10064" s="82"/>
    </row>
    <row r="10065" spans="1:12" ht="84" customHeight="1" x14ac:dyDescent="0.3">
      <c r="A10065" s="2">
        <v>10063</v>
      </c>
      <c r="B10065" s="66" t="s">
        <v>14927</v>
      </c>
      <c r="C10065" s="66">
        <v>1500006</v>
      </c>
      <c r="D10065" s="11">
        <v>30060</v>
      </c>
      <c r="E10065" s="11">
        <v>30060</v>
      </c>
      <c r="F10065" s="3">
        <v>42403</v>
      </c>
      <c r="G10065" s="2" t="s">
        <v>14912</v>
      </c>
      <c r="H10065" s="2"/>
      <c r="I10065" s="2"/>
      <c r="J10065" s="2" t="s">
        <v>13904</v>
      </c>
      <c r="K10065" s="2" t="s">
        <v>16345</v>
      </c>
      <c r="L10065" s="82"/>
    </row>
    <row r="10066" spans="1:12" ht="84" customHeight="1" x14ac:dyDescent="0.3">
      <c r="A10066" s="2">
        <v>10064</v>
      </c>
      <c r="B10066" s="66" t="s">
        <v>16357</v>
      </c>
      <c r="C10066" s="66">
        <v>1520325</v>
      </c>
      <c r="D10066" s="11">
        <v>1350000</v>
      </c>
      <c r="E10066" s="11">
        <v>964285.8</v>
      </c>
      <c r="F10066" s="3">
        <v>42403</v>
      </c>
      <c r="G10066" s="2" t="s">
        <v>14912</v>
      </c>
      <c r="H10066" s="2"/>
      <c r="I10066" s="2"/>
      <c r="J10066" s="2" t="s">
        <v>13904</v>
      </c>
      <c r="K10066" s="2" t="s">
        <v>16345</v>
      </c>
      <c r="L10066" s="82"/>
    </row>
    <row r="10067" spans="1:12" ht="84" customHeight="1" x14ac:dyDescent="0.3">
      <c r="A10067" s="2">
        <v>10065</v>
      </c>
      <c r="B10067" s="66" t="s">
        <v>14928</v>
      </c>
      <c r="C10067" s="66">
        <v>1510006</v>
      </c>
      <c r="D10067" s="11">
        <v>329400</v>
      </c>
      <c r="E10067" s="11">
        <v>329400</v>
      </c>
      <c r="F10067" s="3">
        <v>42403</v>
      </c>
      <c r="G10067" s="2" t="s">
        <v>14912</v>
      </c>
      <c r="H10067" s="2"/>
      <c r="I10067" s="2"/>
      <c r="J10067" s="2" t="s">
        <v>13904</v>
      </c>
      <c r="K10067" s="2" t="s">
        <v>16345</v>
      </c>
      <c r="L10067" s="82"/>
    </row>
    <row r="10068" spans="1:12" ht="84" customHeight="1" x14ac:dyDescent="0.3">
      <c r="A10068" s="2">
        <v>10066</v>
      </c>
      <c r="B10068" s="66" t="s">
        <v>14929</v>
      </c>
      <c r="C10068" s="66">
        <v>1520237</v>
      </c>
      <c r="D10068" s="11">
        <v>0.01</v>
      </c>
      <c r="E10068" s="11">
        <v>0.01</v>
      </c>
      <c r="F10068" s="3">
        <v>42403</v>
      </c>
      <c r="G10068" s="2" t="s">
        <v>14912</v>
      </c>
      <c r="H10068" s="3">
        <v>42660</v>
      </c>
      <c r="I10068" s="2" t="s">
        <v>16262</v>
      </c>
      <c r="J10068" s="2" t="s">
        <v>13904</v>
      </c>
      <c r="K10068" s="2"/>
      <c r="L10068" s="82"/>
    </row>
    <row r="10069" spans="1:12" ht="84" customHeight="1" x14ac:dyDescent="0.3">
      <c r="A10069" s="2">
        <v>10067</v>
      </c>
      <c r="B10069" s="66" t="s">
        <v>14930</v>
      </c>
      <c r="C10069" s="66">
        <v>11</v>
      </c>
      <c r="D10069" s="11">
        <v>13500</v>
      </c>
      <c r="E10069" s="11">
        <v>13500</v>
      </c>
      <c r="F10069" s="3">
        <v>42403</v>
      </c>
      <c r="G10069" s="2" t="s">
        <v>14912</v>
      </c>
      <c r="H10069" s="3">
        <v>42669</v>
      </c>
      <c r="I10069" s="2" t="s">
        <v>19639</v>
      </c>
      <c r="J10069" s="2" t="s">
        <v>13904</v>
      </c>
      <c r="K10069" s="2"/>
      <c r="L10069" s="82"/>
    </row>
    <row r="10070" spans="1:12" ht="84" customHeight="1" x14ac:dyDescent="0.3">
      <c r="A10070" s="2">
        <v>10068</v>
      </c>
      <c r="B10070" s="66" t="s">
        <v>14930</v>
      </c>
      <c r="C10070" s="66">
        <v>9</v>
      </c>
      <c r="D10070" s="11">
        <v>13500</v>
      </c>
      <c r="E10070" s="11">
        <v>13500</v>
      </c>
      <c r="F10070" s="3">
        <v>42403</v>
      </c>
      <c r="G10070" s="2" t="s">
        <v>14912</v>
      </c>
      <c r="H10070" s="3">
        <v>42669</v>
      </c>
      <c r="I10070" s="2" t="s">
        <v>19639</v>
      </c>
      <c r="J10070" s="2" t="s">
        <v>13904</v>
      </c>
      <c r="K10070" s="2"/>
      <c r="L10070" s="82"/>
    </row>
    <row r="10071" spans="1:12" ht="84" customHeight="1" x14ac:dyDescent="0.3">
      <c r="A10071" s="2">
        <v>10069</v>
      </c>
      <c r="B10071" s="66" t="s">
        <v>14930</v>
      </c>
      <c r="C10071" s="66">
        <v>10</v>
      </c>
      <c r="D10071" s="11">
        <v>13500</v>
      </c>
      <c r="E10071" s="11">
        <v>13500</v>
      </c>
      <c r="F10071" s="3">
        <v>42403</v>
      </c>
      <c r="G10071" s="2" t="s">
        <v>14912</v>
      </c>
      <c r="H10071" s="3">
        <v>42669</v>
      </c>
      <c r="I10071" s="2" t="s">
        <v>19639</v>
      </c>
      <c r="J10071" s="2" t="s">
        <v>13904</v>
      </c>
      <c r="K10071" s="2"/>
      <c r="L10071" s="82"/>
    </row>
    <row r="10072" spans="1:12" ht="84" customHeight="1" x14ac:dyDescent="0.3">
      <c r="A10072" s="2">
        <v>10070</v>
      </c>
      <c r="B10072" s="66" t="s">
        <v>14930</v>
      </c>
      <c r="C10072" s="66">
        <v>8</v>
      </c>
      <c r="D10072" s="11">
        <v>13500</v>
      </c>
      <c r="E10072" s="11">
        <v>13500</v>
      </c>
      <c r="F10072" s="3">
        <v>42403</v>
      </c>
      <c r="G10072" s="2" t="s">
        <v>14912</v>
      </c>
      <c r="H10072" s="3">
        <v>42669</v>
      </c>
      <c r="I10072" s="2" t="s">
        <v>19639</v>
      </c>
      <c r="J10072" s="2" t="s">
        <v>13904</v>
      </c>
      <c r="K10072" s="2"/>
      <c r="L10072" s="82"/>
    </row>
    <row r="10073" spans="1:12" ht="84" customHeight="1" x14ac:dyDescent="0.3">
      <c r="A10073" s="2">
        <v>10071</v>
      </c>
      <c r="B10073" s="66" t="s">
        <v>16368</v>
      </c>
      <c r="C10073" s="66">
        <v>1520288</v>
      </c>
      <c r="D10073" s="11">
        <v>270000</v>
      </c>
      <c r="E10073" s="11">
        <v>270000</v>
      </c>
      <c r="F10073" s="3">
        <v>42403</v>
      </c>
      <c r="G10073" s="2" t="s">
        <v>14912</v>
      </c>
      <c r="H10073" s="2"/>
      <c r="I10073" s="2"/>
      <c r="J10073" s="2" t="s">
        <v>13904</v>
      </c>
      <c r="K10073" s="2" t="s">
        <v>18544</v>
      </c>
      <c r="L10073" s="82"/>
    </row>
    <row r="10074" spans="1:12" ht="84" customHeight="1" x14ac:dyDescent="0.3">
      <c r="A10074" s="2">
        <v>10072</v>
      </c>
      <c r="B10074" s="66" t="s">
        <v>16369</v>
      </c>
      <c r="C10074" s="99" t="s">
        <v>16370</v>
      </c>
      <c r="D10074" s="11">
        <v>55084.75</v>
      </c>
      <c r="E10074" s="11">
        <v>21640.41</v>
      </c>
      <c r="F10074" s="3">
        <v>42403</v>
      </c>
      <c r="G10074" s="2" t="s">
        <v>14912</v>
      </c>
      <c r="H10074" s="2"/>
      <c r="I10074" s="2"/>
      <c r="J10074" s="2" t="s">
        <v>13904</v>
      </c>
      <c r="K10074" s="2" t="s">
        <v>18544</v>
      </c>
      <c r="L10074" s="82"/>
    </row>
    <row r="10075" spans="1:12" ht="84" customHeight="1" x14ac:dyDescent="0.3">
      <c r="A10075" s="2">
        <v>10073</v>
      </c>
      <c r="B10075" s="66" t="s">
        <v>16372</v>
      </c>
      <c r="C10075" s="66">
        <v>1520204</v>
      </c>
      <c r="D10075" s="11">
        <v>132501.5</v>
      </c>
      <c r="E10075" s="11">
        <v>70215</v>
      </c>
      <c r="F10075" s="3">
        <v>42403</v>
      </c>
      <c r="G10075" s="2" t="s">
        <v>14912</v>
      </c>
      <c r="H10075" s="2"/>
      <c r="I10075" s="2"/>
      <c r="J10075" s="2" t="s">
        <v>13904</v>
      </c>
      <c r="K10075" s="2" t="s">
        <v>18544</v>
      </c>
      <c r="L10075" s="82"/>
    </row>
    <row r="10076" spans="1:12" ht="84" customHeight="1" x14ac:dyDescent="0.3">
      <c r="A10076" s="2">
        <v>10074</v>
      </c>
      <c r="B10076" s="66" t="s">
        <v>16373</v>
      </c>
      <c r="C10076" s="66">
        <v>1520181</v>
      </c>
      <c r="D10076" s="11">
        <v>42581.22</v>
      </c>
      <c r="E10076" s="11">
        <v>42581.22</v>
      </c>
      <c r="F10076" s="3">
        <v>42403</v>
      </c>
      <c r="G10076" s="2" t="s">
        <v>14912</v>
      </c>
      <c r="H10076" s="2"/>
      <c r="I10076" s="2"/>
      <c r="J10076" s="2" t="s">
        <v>13904</v>
      </c>
      <c r="K10076" s="2" t="s">
        <v>18544</v>
      </c>
      <c r="L10076" s="82"/>
    </row>
    <row r="10077" spans="1:12" ht="84" customHeight="1" x14ac:dyDescent="0.3">
      <c r="A10077" s="2">
        <v>10075</v>
      </c>
      <c r="B10077" s="66" t="s">
        <v>14931</v>
      </c>
      <c r="C10077" s="66">
        <v>1520278</v>
      </c>
      <c r="D10077" s="11">
        <v>10650</v>
      </c>
      <c r="E10077" s="11">
        <v>10650</v>
      </c>
      <c r="F10077" s="3">
        <v>42403</v>
      </c>
      <c r="G10077" s="2" t="s">
        <v>14912</v>
      </c>
      <c r="H10077" s="3">
        <v>42552</v>
      </c>
      <c r="I10077" s="2" t="s">
        <v>18549</v>
      </c>
      <c r="J10077" s="2" t="s">
        <v>13904</v>
      </c>
      <c r="K10077" s="2"/>
      <c r="L10077" s="82"/>
    </row>
    <row r="10078" spans="1:12" ht="84" customHeight="1" x14ac:dyDescent="0.3">
      <c r="A10078" s="2">
        <v>10076</v>
      </c>
      <c r="B10078" s="66" t="s">
        <v>14932</v>
      </c>
      <c r="C10078" s="66">
        <v>1520291</v>
      </c>
      <c r="D10078" s="11">
        <v>14200</v>
      </c>
      <c r="E10078" s="11">
        <v>14200</v>
      </c>
      <c r="F10078" s="3">
        <v>42403</v>
      </c>
      <c r="G10078" s="2" t="s">
        <v>14912</v>
      </c>
      <c r="H10078" s="3">
        <v>42552</v>
      </c>
      <c r="I10078" s="2" t="s">
        <v>18549</v>
      </c>
      <c r="J10078" s="2" t="s">
        <v>13904</v>
      </c>
      <c r="K10078" s="2"/>
      <c r="L10078" s="82"/>
    </row>
    <row r="10079" spans="1:12" ht="84" customHeight="1" x14ac:dyDescent="0.3">
      <c r="A10079" s="2">
        <v>10077</v>
      </c>
      <c r="B10079" s="66" t="s">
        <v>14933</v>
      </c>
      <c r="C10079" s="66">
        <v>1520249</v>
      </c>
      <c r="D10079" s="11">
        <v>12150</v>
      </c>
      <c r="E10079" s="11">
        <v>12150</v>
      </c>
      <c r="F10079" s="3">
        <v>42403</v>
      </c>
      <c r="G10079" s="2" t="s">
        <v>14912</v>
      </c>
      <c r="H10079" s="3">
        <v>42552</v>
      </c>
      <c r="I10079" s="2" t="s">
        <v>18551</v>
      </c>
      <c r="J10079" s="2" t="s">
        <v>13904</v>
      </c>
      <c r="K10079" s="2"/>
      <c r="L10079" s="82"/>
    </row>
    <row r="10080" spans="1:12" ht="84" customHeight="1" x14ac:dyDescent="0.3">
      <c r="A10080" s="2">
        <v>10078</v>
      </c>
      <c r="B10080" s="66" t="s">
        <v>14934</v>
      </c>
      <c r="C10080" s="66">
        <v>1520246</v>
      </c>
      <c r="D10080" s="11">
        <v>12850</v>
      </c>
      <c r="E10080" s="11">
        <v>12850</v>
      </c>
      <c r="F10080" s="3">
        <v>42403</v>
      </c>
      <c r="G10080" s="2" t="s">
        <v>14912</v>
      </c>
      <c r="H10080" s="2"/>
      <c r="I10080" s="2"/>
      <c r="J10080" s="2" t="s">
        <v>13904</v>
      </c>
      <c r="K10080" s="2" t="s">
        <v>18544</v>
      </c>
      <c r="L10080" s="82"/>
    </row>
    <row r="10081" spans="1:12" ht="84" customHeight="1" x14ac:dyDescent="0.3">
      <c r="A10081" s="2">
        <v>10079</v>
      </c>
      <c r="B10081" s="66" t="s">
        <v>14932</v>
      </c>
      <c r="C10081" s="66">
        <v>1520292</v>
      </c>
      <c r="D10081" s="11">
        <v>14200</v>
      </c>
      <c r="E10081" s="11">
        <v>14200</v>
      </c>
      <c r="F10081" s="3">
        <v>42403</v>
      </c>
      <c r="G10081" s="2" t="s">
        <v>14912</v>
      </c>
      <c r="H10081" s="3">
        <v>42552</v>
      </c>
      <c r="I10081" s="2" t="s">
        <v>18549</v>
      </c>
      <c r="J10081" s="2" t="s">
        <v>13904</v>
      </c>
      <c r="K10081" s="2"/>
      <c r="L10081" s="82"/>
    </row>
    <row r="10082" spans="1:12" ht="84" customHeight="1" x14ac:dyDescent="0.3">
      <c r="A10082" s="2">
        <v>10080</v>
      </c>
      <c r="B10082" s="66" t="s">
        <v>14935</v>
      </c>
      <c r="C10082" s="66">
        <v>552</v>
      </c>
      <c r="D10082" s="11">
        <v>54237.29</v>
      </c>
      <c r="E10082" s="11">
        <v>27118.799999999999</v>
      </c>
      <c r="F10082" s="3">
        <v>42403</v>
      </c>
      <c r="G10082" s="2" t="s">
        <v>14912</v>
      </c>
      <c r="H10082" s="2"/>
      <c r="I10082" s="2"/>
      <c r="J10082" s="2" t="s">
        <v>13904</v>
      </c>
      <c r="K10082" s="2" t="s">
        <v>18544</v>
      </c>
      <c r="L10082" s="82"/>
    </row>
    <row r="10083" spans="1:12" ht="84" customHeight="1" x14ac:dyDescent="0.3">
      <c r="A10083" s="2">
        <v>10081</v>
      </c>
      <c r="B10083" s="66" t="s">
        <v>3490</v>
      </c>
      <c r="C10083" s="99" t="s">
        <v>16362</v>
      </c>
      <c r="D10083" s="11">
        <v>52966.1</v>
      </c>
      <c r="E10083" s="11">
        <v>13241.55</v>
      </c>
      <c r="F10083" s="3">
        <v>42403</v>
      </c>
      <c r="G10083" s="2" t="s">
        <v>14912</v>
      </c>
      <c r="H10083" s="2"/>
      <c r="I10083" s="2"/>
      <c r="J10083" s="2" t="s">
        <v>13904</v>
      </c>
      <c r="K10083" s="2" t="s">
        <v>18544</v>
      </c>
      <c r="L10083" s="82"/>
    </row>
    <row r="10084" spans="1:12" ht="84" customHeight="1" x14ac:dyDescent="0.3">
      <c r="A10084" s="2">
        <v>10082</v>
      </c>
      <c r="B10084" s="66" t="s">
        <v>14936</v>
      </c>
      <c r="C10084" s="66">
        <v>1520277</v>
      </c>
      <c r="D10084" s="11">
        <v>14200</v>
      </c>
      <c r="E10084" s="11">
        <v>14200</v>
      </c>
      <c r="F10084" s="3">
        <v>42403</v>
      </c>
      <c r="G10084" s="2" t="s">
        <v>14912</v>
      </c>
      <c r="H10084" s="3">
        <v>42552</v>
      </c>
      <c r="I10084" s="2" t="s">
        <v>18551</v>
      </c>
      <c r="J10084" s="2" t="s">
        <v>13904</v>
      </c>
      <c r="K10084" s="2"/>
      <c r="L10084" s="82"/>
    </row>
    <row r="10085" spans="1:12" ht="84" customHeight="1" x14ac:dyDescent="0.3">
      <c r="A10085" s="2">
        <v>10083</v>
      </c>
      <c r="B10085" s="66" t="s">
        <v>14937</v>
      </c>
      <c r="C10085" s="66">
        <v>1520279</v>
      </c>
      <c r="D10085" s="11">
        <v>12750</v>
      </c>
      <c r="E10085" s="11">
        <v>12750</v>
      </c>
      <c r="F10085" s="3">
        <v>42403</v>
      </c>
      <c r="G10085" s="2" t="s">
        <v>14912</v>
      </c>
      <c r="H10085" s="3">
        <v>42552</v>
      </c>
      <c r="I10085" s="2" t="s">
        <v>18549</v>
      </c>
      <c r="J10085" s="2" t="s">
        <v>13904</v>
      </c>
      <c r="K10085" s="2"/>
      <c r="L10085" s="82"/>
    </row>
    <row r="10086" spans="1:12" ht="84" customHeight="1" x14ac:dyDescent="0.3">
      <c r="A10086" s="2">
        <v>10084</v>
      </c>
      <c r="B10086" s="66" t="s">
        <v>14938</v>
      </c>
      <c r="C10086" s="66">
        <v>1520270</v>
      </c>
      <c r="D10086" s="11">
        <v>36100</v>
      </c>
      <c r="E10086" s="11">
        <v>36100</v>
      </c>
      <c r="F10086" s="3">
        <v>42403</v>
      </c>
      <c r="G10086" s="2" t="s">
        <v>14912</v>
      </c>
      <c r="H10086" s="3">
        <v>42917</v>
      </c>
      <c r="I10086" s="2" t="s">
        <v>18551</v>
      </c>
      <c r="J10086" s="2" t="s">
        <v>13904</v>
      </c>
      <c r="K10086" s="2"/>
      <c r="L10086" s="82"/>
    </row>
    <row r="10087" spans="1:12" ht="84" customHeight="1" x14ac:dyDescent="0.3">
      <c r="A10087" s="2">
        <v>10085</v>
      </c>
      <c r="B10087" s="66" t="s">
        <v>11688</v>
      </c>
      <c r="C10087" s="66">
        <v>1520250</v>
      </c>
      <c r="D10087" s="11">
        <v>22600</v>
      </c>
      <c r="E10087" s="11">
        <v>22600</v>
      </c>
      <c r="F10087" s="3">
        <v>42403</v>
      </c>
      <c r="G10087" s="2" t="s">
        <v>14912</v>
      </c>
      <c r="H10087" s="2"/>
      <c r="I10087" s="2"/>
      <c r="J10087" s="2" t="s">
        <v>13904</v>
      </c>
      <c r="K10087" s="2" t="s">
        <v>18544</v>
      </c>
      <c r="L10087" s="82"/>
    </row>
    <row r="10088" spans="1:12" ht="84" customHeight="1" x14ac:dyDescent="0.3">
      <c r="A10088" s="2">
        <v>10086</v>
      </c>
      <c r="B10088" s="66" t="s">
        <v>14939</v>
      </c>
      <c r="C10088" s="66">
        <v>1520298</v>
      </c>
      <c r="D10088" s="11">
        <v>67545.91</v>
      </c>
      <c r="E10088" s="11">
        <v>67545.91</v>
      </c>
      <c r="F10088" s="3">
        <v>42403</v>
      </c>
      <c r="G10088" s="2" t="s">
        <v>14912</v>
      </c>
      <c r="H10088" s="2"/>
      <c r="I10088" s="2"/>
      <c r="J10088" s="2" t="s">
        <v>13904</v>
      </c>
      <c r="K10088" s="2" t="s">
        <v>18544</v>
      </c>
      <c r="L10088" s="82"/>
    </row>
    <row r="10089" spans="1:12" ht="84" customHeight="1" x14ac:dyDescent="0.3">
      <c r="A10089" s="2">
        <v>10087</v>
      </c>
      <c r="B10089" s="66" t="s">
        <v>18550</v>
      </c>
      <c r="C10089" s="66">
        <v>1520200</v>
      </c>
      <c r="D10089" s="11">
        <v>505</v>
      </c>
      <c r="E10089" s="11">
        <v>505</v>
      </c>
      <c r="F10089" s="3">
        <v>42403</v>
      </c>
      <c r="G10089" s="2" t="s">
        <v>14912</v>
      </c>
      <c r="H10089" s="2"/>
      <c r="I10089" s="2"/>
      <c r="J10089" s="2" t="s">
        <v>13904</v>
      </c>
      <c r="K10089" s="2" t="s">
        <v>18544</v>
      </c>
      <c r="L10089" s="82"/>
    </row>
    <row r="10090" spans="1:12" ht="84" customHeight="1" x14ac:dyDescent="0.3">
      <c r="A10090" s="2">
        <v>10088</v>
      </c>
      <c r="B10090" s="66" t="s">
        <v>14940</v>
      </c>
      <c r="C10090" s="66">
        <v>1520335</v>
      </c>
      <c r="D10090" s="11">
        <v>63000</v>
      </c>
      <c r="E10090" s="11">
        <v>51450</v>
      </c>
      <c r="F10090" s="3">
        <v>42403</v>
      </c>
      <c r="G10090" s="2" t="s">
        <v>14912</v>
      </c>
      <c r="H10090" s="2"/>
      <c r="I10090" s="2"/>
      <c r="J10090" s="2" t="s">
        <v>13904</v>
      </c>
      <c r="K10090" s="2" t="s">
        <v>18544</v>
      </c>
      <c r="L10090" s="82"/>
    </row>
    <row r="10091" spans="1:12" ht="84" customHeight="1" x14ac:dyDescent="0.3">
      <c r="A10091" s="2">
        <v>10089</v>
      </c>
      <c r="B10091" s="66" t="s">
        <v>23230</v>
      </c>
      <c r="C10091" s="66" t="s">
        <v>23231</v>
      </c>
      <c r="D10091" s="11">
        <v>17336.89</v>
      </c>
      <c r="E10091" s="11">
        <v>17336.89</v>
      </c>
      <c r="F10091" s="3">
        <v>43600</v>
      </c>
      <c r="G10091" s="2" t="s">
        <v>23233</v>
      </c>
      <c r="H10091" s="2"/>
      <c r="I10091" s="2"/>
      <c r="J10091" s="2" t="s">
        <v>13904</v>
      </c>
      <c r="K10091" s="2" t="s">
        <v>23234</v>
      </c>
      <c r="L10091" s="82" t="s">
        <v>17869</v>
      </c>
    </row>
    <row r="10092" spans="1:12" ht="84" customHeight="1" x14ac:dyDescent="0.3">
      <c r="A10092" s="2">
        <v>10090</v>
      </c>
      <c r="B10092" s="245" t="s">
        <v>23230</v>
      </c>
      <c r="C10092" s="245" t="s">
        <v>23232</v>
      </c>
      <c r="D10092" s="11">
        <v>17336.89</v>
      </c>
      <c r="E10092" s="244">
        <v>17336.89</v>
      </c>
      <c r="F10092" s="243">
        <v>43600</v>
      </c>
      <c r="G10092" s="242" t="s">
        <v>23233</v>
      </c>
      <c r="H10092" s="2"/>
      <c r="I10092" s="2"/>
      <c r="J10092" s="2" t="s">
        <v>13904</v>
      </c>
      <c r="K10092" s="242" t="s">
        <v>23234</v>
      </c>
      <c r="L10092" s="246" t="s">
        <v>17869</v>
      </c>
    </row>
    <row r="10093" spans="1:12" ht="84" customHeight="1" x14ac:dyDescent="0.3">
      <c r="A10093" s="2">
        <v>10091</v>
      </c>
      <c r="B10093" s="66" t="s">
        <v>14942</v>
      </c>
      <c r="C10093" s="66">
        <v>1520223</v>
      </c>
      <c r="D10093" s="11">
        <v>28800</v>
      </c>
      <c r="E10093" s="11">
        <v>28800</v>
      </c>
      <c r="F10093" s="3">
        <v>42403</v>
      </c>
      <c r="G10093" s="2" t="s">
        <v>14912</v>
      </c>
      <c r="H10093" s="2" t="s">
        <v>19757</v>
      </c>
      <c r="I10093" s="2" t="s">
        <v>19754</v>
      </c>
      <c r="J10093" s="2" t="s">
        <v>13904</v>
      </c>
      <c r="K10093" s="2" t="s">
        <v>18544</v>
      </c>
      <c r="L10093" s="82"/>
    </row>
    <row r="10094" spans="1:12" ht="84" customHeight="1" x14ac:dyDescent="0.3">
      <c r="A10094" s="2">
        <v>10092</v>
      </c>
      <c r="B10094" s="66" t="s">
        <v>14943</v>
      </c>
      <c r="C10094" s="66">
        <v>1520316</v>
      </c>
      <c r="D10094" s="11">
        <v>20245.79</v>
      </c>
      <c r="E10094" s="11">
        <v>20245.759999999998</v>
      </c>
      <c r="F10094" s="3">
        <v>42403</v>
      </c>
      <c r="G10094" s="2" t="s">
        <v>14912</v>
      </c>
      <c r="H10094" s="2" t="s">
        <v>19757</v>
      </c>
      <c r="I10094" s="2" t="s">
        <v>19754</v>
      </c>
      <c r="J10094" s="2" t="s">
        <v>13904</v>
      </c>
      <c r="K10094" s="2" t="s">
        <v>18544</v>
      </c>
      <c r="L10094" s="82"/>
    </row>
    <row r="10095" spans="1:12" ht="84" customHeight="1" x14ac:dyDescent="0.3">
      <c r="A10095" s="2">
        <v>10093</v>
      </c>
      <c r="B10095" s="66" t="s">
        <v>14944</v>
      </c>
      <c r="C10095" s="66">
        <v>1520239</v>
      </c>
      <c r="D10095" s="11">
        <v>16000</v>
      </c>
      <c r="E10095" s="11">
        <v>16000</v>
      </c>
      <c r="F10095" s="3">
        <v>42403</v>
      </c>
      <c r="G10095" s="2" t="s">
        <v>14912</v>
      </c>
      <c r="H10095" s="2"/>
      <c r="I10095" s="2"/>
      <c r="J10095" s="2" t="s">
        <v>13904</v>
      </c>
      <c r="K10095" s="2" t="s">
        <v>18544</v>
      </c>
      <c r="L10095" s="82"/>
    </row>
    <row r="10096" spans="1:12" ht="84" customHeight="1" x14ac:dyDescent="0.3">
      <c r="A10096" s="2">
        <v>10094</v>
      </c>
      <c r="B10096" s="66" t="s">
        <v>845</v>
      </c>
      <c r="C10096" s="66">
        <v>1520320</v>
      </c>
      <c r="D10096" s="11">
        <v>21280</v>
      </c>
      <c r="E10096" s="11">
        <v>21280</v>
      </c>
      <c r="F10096" s="3">
        <v>42403</v>
      </c>
      <c r="G10096" s="2" t="s">
        <v>14912</v>
      </c>
      <c r="H10096" s="2" t="s">
        <v>19757</v>
      </c>
      <c r="I10096" s="2" t="s">
        <v>19754</v>
      </c>
      <c r="J10096" s="2" t="s">
        <v>13904</v>
      </c>
      <c r="K10096" s="2" t="s">
        <v>18544</v>
      </c>
      <c r="L10096" s="82"/>
    </row>
    <row r="10097" spans="1:12" ht="84" customHeight="1" x14ac:dyDescent="0.3">
      <c r="A10097" s="2">
        <v>10095</v>
      </c>
      <c r="B10097" s="66" t="s">
        <v>14941</v>
      </c>
      <c r="C10097" s="66">
        <v>1520226</v>
      </c>
      <c r="D10097" s="11">
        <v>27706</v>
      </c>
      <c r="E10097" s="11">
        <v>27706</v>
      </c>
      <c r="F10097" s="3">
        <v>42403</v>
      </c>
      <c r="G10097" s="2" t="s">
        <v>14912</v>
      </c>
      <c r="H10097" s="2" t="s">
        <v>19752</v>
      </c>
      <c r="I10097" s="2" t="s">
        <v>19754</v>
      </c>
      <c r="J10097" s="2" t="s">
        <v>13904</v>
      </c>
      <c r="K10097" s="2" t="s">
        <v>18544</v>
      </c>
      <c r="L10097" s="82"/>
    </row>
    <row r="10098" spans="1:12" ht="84" customHeight="1" x14ac:dyDescent="0.3">
      <c r="A10098" s="2">
        <v>10096</v>
      </c>
      <c r="B10098" s="66" t="s">
        <v>845</v>
      </c>
      <c r="C10098" s="66">
        <v>1520319</v>
      </c>
      <c r="D10098" s="11">
        <v>27000</v>
      </c>
      <c r="E10098" s="11">
        <v>27000</v>
      </c>
      <c r="F10098" s="3">
        <v>42403</v>
      </c>
      <c r="G10098" s="2" t="s">
        <v>14912</v>
      </c>
      <c r="H10098" s="2"/>
      <c r="I10098" s="2"/>
      <c r="J10098" s="2" t="s">
        <v>13904</v>
      </c>
      <c r="K10098" s="2" t="s">
        <v>18544</v>
      </c>
      <c r="L10098" s="82"/>
    </row>
    <row r="10099" spans="1:12" ht="84" customHeight="1" x14ac:dyDescent="0.3">
      <c r="A10099" s="2">
        <v>10097</v>
      </c>
      <c r="B10099" s="66" t="s">
        <v>14945</v>
      </c>
      <c r="C10099" s="66">
        <v>1520311</v>
      </c>
      <c r="D10099" s="11">
        <v>23720.34</v>
      </c>
      <c r="E10099" s="11">
        <v>23720.34</v>
      </c>
      <c r="F10099" s="3">
        <v>42403</v>
      </c>
      <c r="G10099" s="2" t="s">
        <v>14912</v>
      </c>
      <c r="H10099" s="2" t="s">
        <v>19757</v>
      </c>
      <c r="I10099" s="2" t="s">
        <v>19754</v>
      </c>
      <c r="J10099" s="2" t="s">
        <v>13904</v>
      </c>
      <c r="K10099" s="2" t="s">
        <v>18544</v>
      </c>
      <c r="L10099" s="82"/>
    </row>
    <row r="10100" spans="1:12" ht="84" customHeight="1" x14ac:dyDescent="0.3">
      <c r="A10100" s="2">
        <v>10098</v>
      </c>
      <c r="B10100" s="66" t="s">
        <v>14946</v>
      </c>
      <c r="C10100" s="99" t="s">
        <v>16360</v>
      </c>
      <c r="D10100" s="11">
        <v>8920</v>
      </c>
      <c r="E10100" s="11">
        <v>8920</v>
      </c>
      <c r="F10100" s="3">
        <v>42403</v>
      </c>
      <c r="G10100" s="2" t="s">
        <v>14912</v>
      </c>
      <c r="H10100" s="2"/>
      <c r="I10100" s="2"/>
      <c r="J10100" s="2" t="s">
        <v>13904</v>
      </c>
      <c r="K10100" s="2" t="s">
        <v>18544</v>
      </c>
      <c r="L10100" s="82"/>
    </row>
    <row r="10101" spans="1:12" ht="84" customHeight="1" x14ac:dyDescent="0.3">
      <c r="A10101" s="2">
        <v>10099</v>
      </c>
      <c r="B10101" s="66" t="s">
        <v>14947</v>
      </c>
      <c r="C10101" s="66">
        <v>533</v>
      </c>
      <c r="D10101" s="11">
        <v>64398.31</v>
      </c>
      <c r="E10101" s="11">
        <v>26832.5</v>
      </c>
      <c r="F10101" s="3">
        <v>42403</v>
      </c>
      <c r="G10101" s="2" t="s">
        <v>14912</v>
      </c>
      <c r="H10101" s="2"/>
      <c r="I10101" s="2"/>
      <c r="J10101" s="2" t="s">
        <v>13904</v>
      </c>
      <c r="K10101" s="2" t="s">
        <v>18544</v>
      </c>
      <c r="L10101" s="82"/>
    </row>
    <row r="10102" spans="1:12" ht="84" customHeight="1" x14ac:dyDescent="0.3">
      <c r="A10102" s="2">
        <v>10100</v>
      </c>
      <c r="B10102" s="66" t="s">
        <v>14948</v>
      </c>
      <c r="C10102" s="66">
        <v>1520102</v>
      </c>
      <c r="D10102" s="11">
        <v>0.01</v>
      </c>
      <c r="E10102" s="11">
        <v>0.01</v>
      </c>
      <c r="F10102" s="3">
        <v>42403</v>
      </c>
      <c r="G10102" s="2" t="s">
        <v>14912</v>
      </c>
      <c r="H10102" s="2"/>
      <c r="I10102" s="2"/>
      <c r="J10102" s="2" t="s">
        <v>13904</v>
      </c>
      <c r="K10102" s="2" t="s">
        <v>18544</v>
      </c>
      <c r="L10102" s="82"/>
    </row>
    <row r="10103" spans="1:12" ht="84" customHeight="1" x14ac:dyDescent="0.3">
      <c r="A10103" s="2">
        <v>10101</v>
      </c>
      <c r="B10103" s="66" t="s">
        <v>2244</v>
      </c>
      <c r="C10103" s="66">
        <v>532</v>
      </c>
      <c r="D10103" s="11">
        <v>63550.85</v>
      </c>
      <c r="E10103" s="11">
        <v>21183.599999999999</v>
      </c>
      <c r="F10103" s="3">
        <v>42403</v>
      </c>
      <c r="G10103" s="2" t="s">
        <v>14912</v>
      </c>
      <c r="H10103" s="2"/>
      <c r="I10103" s="2"/>
      <c r="J10103" s="2" t="s">
        <v>13904</v>
      </c>
      <c r="K10103" s="2" t="s">
        <v>18544</v>
      </c>
      <c r="L10103" s="82"/>
    </row>
    <row r="10104" spans="1:12" ht="84" customHeight="1" x14ac:dyDescent="0.3">
      <c r="A10104" s="2">
        <v>10102</v>
      </c>
      <c r="B10104" s="66" t="s">
        <v>14946</v>
      </c>
      <c r="C10104" s="99" t="s">
        <v>16367</v>
      </c>
      <c r="D10104" s="11">
        <v>8920</v>
      </c>
      <c r="E10104" s="11">
        <v>4707.82</v>
      </c>
      <c r="F10104" s="3">
        <v>42403</v>
      </c>
      <c r="G10104" s="2" t="s">
        <v>14912</v>
      </c>
      <c r="H10104" s="2"/>
      <c r="I10104" s="2"/>
      <c r="J10104" s="2" t="s">
        <v>13904</v>
      </c>
      <c r="K10104" s="2" t="s">
        <v>18544</v>
      </c>
      <c r="L10104" s="82"/>
    </row>
    <row r="10105" spans="1:12" ht="84" customHeight="1" x14ac:dyDescent="0.3">
      <c r="A10105" s="2">
        <v>10103</v>
      </c>
      <c r="B10105" s="66" t="s">
        <v>14949</v>
      </c>
      <c r="C10105" s="66" t="s">
        <v>14950</v>
      </c>
      <c r="D10105" s="11">
        <v>0.01</v>
      </c>
      <c r="E10105" s="11">
        <v>0.01</v>
      </c>
      <c r="F10105" s="3">
        <v>42403</v>
      </c>
      <c r="G10105" s="2" t="s">
        <v>14912</v>
      </c>
      <c r="H10105" s="2" t="s">
        <v>19757</v>
      </c>
      <c r="I10105" s="2" t="s">
        <v>19754</v>
      </c>
      <c r="J10105" s="2" t="s">
        <v>13904</v>
      </c>
      <c r="K10105" s="2" t="s">
        <v>18544</v>
      </c>
      <c r="L10105" s="82"/>
    </row>
    <row r="10106" spans="1:12" ht="84" customHeight="1" x14ac:dyDescent="0.3">
      <c r="A10106" s="2">
        <v>10104</v>
      </c>
      <c r="B10106" s="66" t="s">
        <v>912</v>
      </c>
      <c r="C10106" s="66">
        <v>1320003</v>
      </c>
      <c r="D10106" s="11">
        <v>2871</v>
      </c>
      <c r="E10106" s="11">
        <v>2871</v>
      </c>
      <c r="F10106" s="3">
        <v>42403</v>
      </c>
      <c r="G10106" s="2" t="s">
        <v>14912</v>
      </c>
      <c r="H10106" s="2"/>
      <c r="I10106" s="2"/>
      <c r="J10106" s="2" t="s">
        <v>13904</v>
      </c>
      <c r="K10106" s="2" t="s">
        <v>18544</v>
      </c>
      <c r="L10106" s="82"/>
    </row>
    <row r="10107" spans="1:12" ht="84" customHeight="1" x14ac:dyDescent="0.3">
      <c r="A10107" s="2">
        <v>10105</v>
      </c>
      <c r="B10107" s="66" t="s">
        <v>14951</v>
      </c>
      <c r="C10107" s="66">
        <v>1520315</v>
      </c>
      <c r="D10107" s="11">
        <v>75438</v>
      </c>
      <c r="E10107" s="11">
        <v>71247</v>
      </c>
      <c r="F10107" s="3">
        <v>42403</v>
      </c>
      <c r="G10107" s="2" t="s">
        <v>14912</v>
      </c>
      <c r="H10107" s="2"/>
      <c r="I10107" s="2"/>
      <c r="J10107" s="2" t="s">
        <v>13904</v>
      </c>
      <c r="K10107" s="2" t="s">
        <v>18544</v>
      </c>
      <c r="L10107" s="82"/>
    </row>
    <row r="10108" spans="1:12" ht="84" customHeight="1" x14ac:dyDescent="0.3">
      <c r="A10108" s="2">
        <v>10106</v>
      </c>
      <c r="B10108" s="66" t="s">
        <v>14952</v>
      </c>
      <c r="C10108" s="66">
        <v>1520307</v>
      </c>
      <c r="D10108" s="11">
        <v>66345.86</v>
      </c>
      <c r="E10108" s="11">
        <v>66345.84</v>
      </c>
      <c r="F10108" s="3">
        <v>42403</v>
      </c>
      <c r="G10108" s="2" t="s">
        <v>14912</v>
      </c>
      <c r="H10108" s="2"/>
      <c r="I10108" s="2"/>
      <c r="J10108" s="2" t="s">
        <v>13904</v>
      </c>
      <c r="K10108" s="2" t="s">
        <v>18544</v>
      </c>
      <c r="L10108" s="82"/>
    </row>
    <row r="10109" spans="1:12" ht="84" customHeight="1" x14ac:dyDescent="0.3">
      <c r="A10109" s="2">
        <v>10107</v>
      </c>
      <c r="B10109" s="66" t="s">
        <v>14953</v>
      </c>
      <c r="C10109" s="99" t="s">
        <v>16371</v>
      </c>
      <c r="D10109" s="11">
        <v>10388</v>
      </c>
      <c r="E10109" s="11">
        <v>2597.04</v>
      </c>
      <c r="F10109" s="3">
        <v>42403</v>
      </c>
      <c r="G10109" s="2" t="s">
        <v>14912</v>
      </c>
      <c r="H10109" s="2"/>
      <c r="I10109" s="2"/>
      <c r="J10109" s="2" t="s">
        <v>13904</v>
      </c>
      <c r="K10109" s="2" t="s">
        <v>18544</v>
      </c>
      <c r="L10109" s="82"/>
    </row>
    <row r="10110" spans="1:12" ht="84" customHeight="1" x14ac:dyDescent="0.3">
      <c r="A10110" s="2">
        <v>10108</v>
      </c>
      <c r="B10110" s="66" t="s">
        <v>14954</v>
      </c>
      <c r="C10110" s="66">
        <v>1520289</v>
      </c>
      <c r="D10110" s="11">
        <v>73150</v>
      </c>
      <c r="E10110" s="11">
        <v>79150</v>
      </c>
      <c r="F10110" s="3">
        <v>42403</v>
      </c>
      <c r="G10110" s="2" t="s">
        <v>14912</v>
      </c>
      <c r="H10110" s="2"/>
      <c r="I10110" s="2"/>
      <c r="J10110" s="2" t="s">
        <v>13904</v>
      </c>
      <c r="K10110" s="2" t="s">
        <v>18544</v>
      </c>
      <c r="L10110" s="82"/>
    </row>
    <row r="10111" spans="1:12" ht="84" customHeight="1" x14ac:dyDescent="0.3">
      <c r="A10111" s="2">
        <v>10109</v>
      </c>
      <c r="B10111" s="66" t="s">
        <v>14955</v>
      </c>
      <c r="C10111" s="99" t="s">
        <v>16365</v>
      </c>
      <c r="D10111" s="11">
        <v>16532</v>
      </c>
      <c r="E10111" s="11">
        <v>8725.18</v>
      </c>
      <c r="F10111" s="3">
        <v>42403</v>
      </c>
      <c r="G10111" s="2" t="s">
        <v>14912</v>
      </c>
      <c r="H10111" s="2"/>
      <c r="I10111" s="2"/>
      <c r="J10111" s="2" t="s">
        <v>13904</v>
      </c>
      <c r="K10111" s="2" t="s">
        <v>18544</v>
      </c>
      <c r="L10111" s="82"/>
    </row>
    <row r="10112" spans="1:12" ht="84" customHeight="1" x14ac:dyDescent="0.3">
      <c r="A10112" s="2">
        <v>10110</v>
      </c>
      <c r="B10112" s="66" t="s">
        <v>14956</v>
      </c>
      <c r="C10112" s="66">
        <v>1520329</v>
      </c>
      <c r="D10112" s="11">
        <v>420051.69</v>
      </c>
      <c r="E10112" s="11">
        <v>103262.98</v>
      </c>
      <c r="F10112" s="3">
        <v>42403</v>
      </c>
      <c r="G10112" s="2" t="s">
        <v>14912</v>
      </c>
      <c r="H10112" s="2"/>
      <c r="I10112" s="2"/>
      <c r="J10112" s="2" t="s">
        <v>13904</v>
      </c>
      <c r="K10112" s="2" t="s">
        <v>18544</v>
      </c>
      <c r="L10112" s="82"/>
    </row>
    <row r="10113" spans="1:12" ht="84" customHeight="1" x14ac:dyDescent="0.3">
      <c r="A10113" s="2">
        <v>10111</v>
      </c>
      <c r="B10113" s="66" t="s">
        <v>14957</v>
      </c>
      <c r="C10113" s="66">
        <v>1520101</v>
      </c>
      <c r="D10113" s="11">
        <v>0.01</v>
      </c>
      <c r="E10113" s="11">
        <v>0.01</v>
      </c>
      <c r="F10113" s="3">
        <v>42403</v>
      </c>
      <c r="G10113" s="2" t="s">
        <v>14912</v>
      </c>
      <c r="H10113" s="2"/>
      <c r="I10113" s="2"/>
      <c r="J10113" s="2" t="s">
        <v>13904</v>
      </c>
      <c r="K10113" s="2" t="s">
        <v>18544</v>
      </c>
      <c r="L10113" s="82"/>
    </row>
    <row r="10114" spans="1:12" ht="84" customHeight="1" x14ac:dyDescent="0.3">
      <c r="A10114" s="2">
        <v>10112</v>
      </c>
      <c r="B10114" s="66" t="s">
        <v>14958</v>
      </c>
      <c r="C10114" s="99" t="s">
        <v>16361</v>
      </c>
      <c r="D10114" s="11">
        <v>55084.75</v>
      </c>
      <c r="E10114" s="11">
        <v>15082.71</v>
      </c>
      <c r="F10114" s="3">
        <v>42403</v>
      </c>
      <c r="G10114" s="2" t="s">
        <v>14912</v>
      </c>
      <c r="H10114" s="2"/>
      <c r="I10114" s="2"/>
      <c r="J10114" s="2" t="s">
        <v>13904</v>
      </c>
      <c r="K10114" s="2" t="s">
        <v>18544</v>
      </c>
      <c r="L10114" s="82"/>
    </row>
    <row r="10115" spans="1:12" ht="84" customHeight="1" x14ac:dyDescent="0.3">
      <c r="A10115" s="2">
        <v>10113</v>
      </c>
      <c r="B10115" s="66" t="s">
        <v>14959</v>
      </c>
      <c r="C10115" s="66">
        <v>1520087</v>
      </c>
      <c r="D10115" s="11">
        <v>0.01</v>
      </c>
      <c r="E10115" s="11">
        <v>0.01</v>
      </c>
      <c r="F10115" s="3">
        <v>42403</v>
      </c>
      <c r="G10115" s="2" t="s">
        <v>14912</v>
      </c>
      <c r="H10115" s="2"/>
      <c r="I10115" s="2"/>
      <c r="J10115" s="2" t="s">
        <v>13904</v>
      </c>
      <c r="K10115" s="2" t="s">
        <v>18544</v>
      </c>
      <c r="L10115" s="82"/>
    </row>
    <row r="10116" spans="1:12" ht="84" customHeight="1" x14ac:dyDescent="0.3">
      <c r="A10116" s="2">
        <v>10114</v>
      </c>
      <c r="B10116" s="66" t="s">
        <v>14946</v>
      </c>
      <c r="C10116" s="99" t="s">
        <v>16366</v>
      </c>
      <c r="D10116" s="11">
        <v>8320</v>
      </c>
      <c r="E10116" s="11">
        <v>2079</v>
      </c>
      <c r="F10116" s="3">
        <v>42403</v>
      </c>
      <c r="G10116" s="2" t="s">
        <v>14912</v>
      </c>
      <c r="H10116" s="2"/>
      <c r="I10116" s="2"/>
      <c r="J10116" s="2" t="s">
        <v>13904</v>
      </c>
      <c r="K10116" s="2" t="s">
        <v>18544</v>
      </c>
      <c r="L10116" s="82"/>
    </row>
    <row r="10117" spans="1:12" ht="84" customHeight="1" x14ac:dyDescent="0.3">
      <c r="A10117" s="2">
        <v>10115</v>
      </c>
      <c r="B10117" s="66" t="s">
        <v>14946</v>
      </c>
      <c r="C10117" s="99" t="s">
        <v>16359</v>
      </c>
      <c r="D10117" s="11">
        <v>8920</v>
      </c>
      <c r="E10117" s="11">
        <v>4707.82</v>
      </c>
      <c r="F10117" s="3">
        <v>42403</v>
      </c>
      <c r="G10117" s="2" t="s">
        <v>14912</v>
      </c>
      <c r="H10117" s="2"/>
      <c r="I10117" s="2"/>
      <c r="J10117" s="2" t="s">
        <v>13904</v>
      </c>
      <c r="K10117" s="2" t="s">
        <v>18544</v>
      </c>
      <c r="L10117" s="82"/>
    </row>
    <row r="10118" spans="1:12" ht="84" customHeight="1" x14ac:dyDescent="0.3">
      <c r="A10118" s="2">
        <v>10116</v>
      </c>
      <c r="B10118" s="66" t="s">
        <v>14949</v>
      </c>
      <c r="C10118" s="66" t="s">
        <v>14960</v>
      </c>
      <c r="D10118" s="11">
        <v>0.01</v>
      </c>
      <c r="E10118" s="11">
        <v>0.01</v>
      </c>
      <c r="F10118" s="3">
        <v>42403</v>
      </c>
      <c r="G10118" s="2" t="s">
        <v>14912</v>
      </c>
      <c r="H10118" s="2" t="s">
        <v>19757</v>
      </c>
      <c r="I10118" s="2" t="s">
        <v>19754</v>
      </c>
      <c r="J10118" s="2" t="s">
        <v>13904</v>
      </c>
      <c r="K10118" s="2" t="s">
        <v>18544</v>
      </c>
      <c r="L10118" s="82"/>
    </row>
    <row r="10119" spans="1:12" ht="84" customHeight="1" x14ac:dyDescent="0.3">
      <c r="A10119" s="2">
        <v>10117</v>
      </c>
      <c r="B10119" s="66" t="s">
        <v>14961</v>
      </c>
      <c r="C10119" s="66">
        <v>1520274</v>
      </c>
      <c r="D10119" s="11">
        <v>381681.83</v>
      </c>
      <c r="E10119" s="11">
        <v>381681.6</v>
      </c>
      <c r="F10119" s="3">
        <v>42403</v>
      </c>
      <c r="G10119" s="2" t="s">
        <v>14912</v>
      </c>
      <c r="H10119" s="2"/>
      <c r="I10119" s="2"/>
      <c r="J10119" s="2" t="s">
        <v>13904</v>
      </c>
      <c r="K10119" s="2" t="s">
        <v>18544</v>
      </c>
      <c r="L10119" s="82"/>
    </row>
    <row r="10120" spans="1:12" ht="84" customHeight="1" x14ac:dyDescent="0.3">
      <c r="A10120" s="2">
        <v>10118</v>
      </c>
      <c r="B10120" s="66" t="s">
        <v>14941</v>
      </c>
      <c r="C10120" s="66">
        <v>1520234</v>
      </c>
      <c r="D10120" s="11">
        <v>32061.51</v>
      </c>
      <c r="E10120" s="11">
        <v>32061.51</v>
      </c>
      <c r="F10120" s="3">
        <v>42403</v>
      </c>
      <c r="G10120" s="2" t="s">
        <v>14912</v>
      </c>
      <c r="H10120" s="2" t="s">
        <v>19757</v>
      </c>
      <c r="I10120" s="2" t="s">
        <v>19754</v>
      </c>
      <c r="J10120" s="2" t="s">
        <v>13904</v>
      </c>
      <c r="K10120" s="2" t="s">
        <v>18544</v>
      </c>
      <c r="L10120" s="82"/>
    </row>
    <row r="10121" spans="1:12" ht="84" customHeight="1" x14ac:dyDescent="0.3">
      <c r="A10121" s="2">
        <v>10119</v>
      </c>
      <c r="B10121" s="66" t="s">
        <v>14962</v>
      </c>
      <c r="C10121" s="66">
        <v>1320009</v>
      </c>
      <c r="D10121" s="11">
        <v>15649</v>
      </c>
      <c r="E10121" s="11">
        <v>15649</v>
      </c>
      <c r="F10121" s="3">
        <v>42403</v>
      </c>
      <c r="G10121" s="2" t="s">
        <v>14912</v>
      </c>
      <c r="H10121" s="2"/>
      <c r="I10121" s="2"/>
      <c r="J10121" s="2" t="s">
        <v>13904</v>
      </c>
      <c r="K10121" s="2" t="s">
        <v>18544</v>
      </c>
      <c r="L10121" s="82"/>
    </row>
    <row r="10122" spans="1:12" ht="108" customHeight="1" x14ac:dyDescent="0.3">
      <c r="A10122" s="2">
        <v>10120</v>
      </c>
      <c r="B10122" s="66" t="s">
        <v>22270</v>
      </c>
      <c r="C10122" s="66">
        <v>1010310015</v>
      </c>
      <c r="D10122" s="11">
        <v>70638</v>
      </c>
      <c r="E10122" s="11">
        <v>42438.51</v>
      </c>
      <c r="F10122" s="3">
        <v>42403</v>
      </c>
      <c r="G10122" s="2" t="s">
        <v>17961</v>
      </c>
      <c r="H10122" s="2"/>
      <c r="I10122" s="2"/>
      <c r="J10122" s="2" t="s">
        <v>13904</v>
      </c>
      <c r="K10122" s="38" t="s">
        <v>19238</v>
      </c>
      <c r="L10122" s="82" t="s">
        <v>22262</v>
      </c>
    </row>
    <row r="10123" spans="1:12" ht="108" customHeight="1" x14ac:dyDescent="0.3">
      <c r="A10123" s="2">
        <v>10121</v>
      </c>
      <c r="B10123" s="66" t="s">
        <v>14980</v>
      </c>
      <c r="C10123" s="66">
        <v>1101020102</v>
      </c>
      <c r="D10123" s="11">
        <v>75480</v>
      </c>
      <c r="E10123" s="11">
        <v>75480</v>
      </c>
      <c r="F10123" s="3">
        <v>42403</v>
      </c>
      <c r="G10123" s="2" t="s">
        <v>17961</v>
      </c>
      <c r="H10123" s="2"/>
      <c r="I10123" s="2"/>
      <c r="J10123" s="2" t="s">
        <v>13904</v>
      </c>
      <c r="K10123" s="38" t="s">
        <v>19238</v>
      </c>
      <c r="L10123" s="82" t="s">
        <v>20122</v>
      </c>
    </row>
    <row r="10124" spans="1:12" ht="108" customHeight="1" x14ac:dyDescent="0.3">
      <c r="A10124" s="2">
        <v>10122</v>
      </c>
      <c r="B10124" s="66" t="s">
        <v>14981</v>
      </c>
      <c r="C10124" s="66">
        <v>110120201</v>
      </c>
      <c r="D10124" s="11">
        <v>93393.57</v>
      </c>
      <c r="E10124" s="11">
        <v>31131.24</v>
      </c>
      <c r="F10124" s="3">
        <v>42403</v>
      </c>
      <c r="G10124" s="2" t="s">
        <v>17961</v>
      </c>
      <c r="H10124" s="2"/>
      <c r="I10124" s="2"/>
      <c r="J10124" s="2" t="s">
        <v>13904</v>
      </c>
      <c r="K10124" s="38" t="s">
        <v>19238</v>
      </c>
      <c r="L10124" s="82" t="s">
        <v>20122</v>
      </c>
    </row>
    <row r="10125" spans="1:12" ht="108" customHeight="1" x14ac:dyDescent="0.3">
      <c r="A10125" s="2">
        <v>10123</v>
      </c>
      <c r="B10125" s="66" t="s">
        <v>14982</v>
      </c>
      <c r="C10125" s="66">
        <v>1010420343</v>
      </c>
      <c r="D10125" s="11">
        <v>113000</v>
      </c>
      <c r="E10125" s="11">
        <v>70961.41</v>
      </c>
      <c r="F10125" s="3">
        <v>42403</v>
      </c>
      <c r="G10125" s="2" t="s">
        <v>17961</v>
      </c>
      <c r="H10125" s="2"/>
      <c r="I10125" s="2"/>
      <c r="J10125" s="2" t="s">
        <v>13904</v>
      </c>
      <c r="K10125" s="38" t="s">
        <v>19238</v>
      </c>
      <c r="L10125" s="82" t="s">
        <v>20122</v>
      </c>
    </row>
    <row r="10126" spans="1:12" ht="108" customHeight="1" x14ac:dyDescent="0.3">
      <c r="A10126" s="2">
        <v>10124</v>
      </c>
      <c r="B10126" s="66" t="s">
        <v>14983</v>
      </c>
      <c r="C10126" s="66">
        <v>1010420298</v>
      </c>
      <c r="D10126" s="11">
        <v>93002.07</v>
      </c>
      <c r="E10126" s="11">
        <v>93002.07</v>
      </c>
      <c r="F10126" s="3">
        <v>42403</v>
      </c>
      <c r="G10126" s="2" t="s">
        <v>17961</v>
      </c>
      <c r="H10126" s="2"/>
      <c r="I10126" s="2"/>
      <c r="J10126" s="2" t="s">
        <v>13904</v>
      </c>
      <c r="K10126" s="38" t="s">
        <v>19238</v>
      </c>
      <c r="L10126" s="82" t="s">
        <v>20122</v>
      </c>
    </row>
    <row r="10127" spans="1:12" ht="108" customHeight="1" x14ac:dyDescent="0.3">
      <c r="A10127" s="2">
        <v>10125</v>
      </c>
      <c r="B10127" s="66" t="s">
        <v>14984</v>
      </c>
      <c r="C10127" s="66">
        <v>1101020199</v>
      </c>
      <c r="D10127" s="11">
        <v>52000</v>
      </c>
      <c r="E10127" s="11">
        <v>19809.599999999999</v>
      </c>
      <c r="F10127" s="3">
        <v>42403</v>
      </c>
      <c r="G10127" s="2" t="s">
        <v>17961</v>
      </c>
      <c r="H10127" s="2"/>
      <c r="I10127" s="2"/>
      <c r="J10127" s="2" t="s">
        <v>13904</v>
      </c>
      <c r="K10127" s="38" t="s">
        <v>19238</v>
      </c>
      <c r="L10127" s="82" t="s">
        <v>20122</v>
      </c>
    </row>
    <row r="10128" spans="1:12" ht="108" customHeight="1" x14ac:dyDescent="0.3">
      <c r="A10128" s="2">
        <v>10126</v>
      </c>
      <c r="B10128" s="66" t="s">
        <v>14985</v>
      </c>
      <c r="C10128" s="66">
        <v>1010420447</v>
      </c>
      <c r="D10128" s="11">
        <v>76430</v>
      </c>
      <c r="E10128" s="11">
        <v>76430</v>
      </c>
      <c r="F10128" s="3">
        <v>42403</v>
      </c>
      <c r="G10128" s="2" t="s">
        <v>17961</v>
      </c>
      <c r="H10128" s="2"/>
      <c r="I10128" s="2"/>
      <c r="J10128" s="2" t="s">
        <v>13904</v>
      </c>
      <c r="K10128" s="38" t="s">
        <v>19238</v>
      </c>
      <c r="L10128" s="82" t="s">
        <v>20122</v>
      </c>
    </row>
    <row r="10129" spans="1:12" ht="108" customHeight="1" x14ac:dyDescent="0.3">
      <c r="A10129" s="2">
        <v>10127</v>
      </c>
      <c r="B10129" s="66" t="s">
        <v>14986</v>
      </c>
      <c r="C10129" s="66">
        <v>1010420113</v>
      </c>
      <c r="D10129" s="11">
        <v>166500</v>
      </c>
      <c r="E10129" s="11">
        <v>99923.520000000004</v>
      </c>
      <c r="F10129" s="3">
        <v>42403</v>
      </c>
      <c r="G10129" s="2" t="s">
        <v>17961</v>
      </c>
      <c r="H10129" s="2"/>
      <c r="I10129" s="2"/>
      <c r="J10129" s="2" t="s">
        <v>13904</v>
      </c>
      <c r="K10129" s="38" t="s">
        <v>19238</v>
      </c>
      <c r="L10129" s="82" t="s">
        <v>20122</v>
      </c>
    </row>
    <row r="10130" spans="1:12" ht="108" customHeight="1" x14ac:dyDescent="0.3">
      <c r="A10130" s="2">
        <v>10128</v>
      </c>
      <c r="B10130" s="66" t="s">
        <v>14987</v>
      </c>
      <c r="C10130" s="66">
        <v>1101020207</v>
      </c>
      <c r="D10130" s="11">
        <v>97216.89</v>
      </c>
      <c r="E10130" s="11">
        <v>32405.52</v>
      </c>
      <c r="F10130" s="3">
        <v>42403</v>
      </c>
      <c r="G10130" s="2" t="s">
        <v>17961</v>
      </c>
      <c r="H10130" s="2"/>
      <c r="I10130" s="2"/>
      <c r="J10130" s="2" t="s">
        <v>13904</v>
      </c>
      <c r="K10130" s="38" t="s">
        <v>19238</v>
      </c>
      <c r="L10130" s="82" t="s">
        <v>20122</v>
      </c>
    </row>
    <row r="10131" spans="1:12" ht="108" customHeight="1" x14ac:dyDescent="0.3">
      <c r="A10131" s="2">
        <v>10129</v>
      </c>
      <c r="B10131" s="66" t="s">
        <v>14988</v>
      </c>
      <c r="C10131" s="66">
        <v>101060065</v>
      </c>
      <c r="D10131" s="11">
        <v>122400</v>
      </c>
      <c r="E10131" s="11">
        <v>122400</v>
      </c>
      <c r="F10131" s="3">
        <v>42403</v>
      </c>
      <c r="G10131" s="2" t="s">
        <v>17961</v>
      </c>
      <c r="H10131" s="2"/>
      <c r="I10131" s="2"/>
      <c r="J10131" s="2" t="s">
        <v>13904</v>
      </c>
      <c r="K10131" s="38" t="s">
        <v>19238</v>
      </c>
      <c r="L10131" s="82" t="s">
        <v>20122</v>
      </c>
    </row>
    <row r="10132" spans="1:12" ht="108" customHeight="1" x14ac:dyDescent="0.3">
      <c r="A10132" s="2">
        <v>10130</v>
      </c>
      <c r="B10132" s="66" t="s">
        <v>14989</v>
      </c>
      <c r="C10132" s="66">
        <v>101060077</v>
      </c>
      <c r="D10132" s="11">
        <v>298457.62</v>
      </c>
      <c r="E10132" s="11">
        <v>298457.62</v>
      </c>
      <c r="F10132" s="3">
        <v>42403</v>
      </c>
      <c r="G10132" s="2" t="s">
        <v>17961</v>
      </c>
      <c r="H10132" s="2"/>
      <c r="I10132" s="2"/>
      <c r="J10132" s="2" t="s">
        <v>13904</v>
      </c>
      <c r="K10132" s="38" t="s">
        <v>19238</v>
      </c>
      <c r="L10132" s="82" t="s">
        <v>20122</v>
      </c>
    </row>
    <row r="10133" spans="1:12" ht="108" customHeight="1" x14ac:dyDescent="0.3">
      <c r="A10133" s="2">
        <v>10131</v>
      </c>
      <c r="B10133" s="66" t="s">
        <v>14990</v>
      </c>
      <c r="C10133" s="124" t="s">
        <v>17480</v>
      </c>
      <c r="D10133" s="11">
        <v>456621.32</v>
      </c>
      <c r="E10133" s="11">
        <v>456621.32</v>
      </c>
      <c r="F10133" s="3">
        <v>42403</v>
      </c>
      <c r="G10133" s="2" t="s">
        <v>17961</v>
      </c>
      <c r="H10133" s="2"/>
      <c r="I10133" s="2"/>
      <c r="J10133" s="2" t="s">
        <v>13904</v>
      </c>
      <c r="K10133" s="38" t="s">
        <v>19238</v>
      </c>
      <c r="L10133" s="82" t="s">
        <v>20122</v>
      </c>
    </row>
    <row r="10134" spans="1:12" ht="96" customHeight="1" x14ac:dyDescent="0.3">
      <c r="A10134" s="2">
        <v>10132</v>
      </c>
      <c r="B10134" s="38" t="s">
        <v>18901</v>
      </c>
      <c r="C10134" s="66">
        <v>41012500022</v>
      </c>
      <c r="D10134" s="11">
        <v>176600</v>
      </c>
      <c r="E10134" s="11"/>
      <c r="F10134" s="3">
        <v>42403</v>
      </c>
      <c r="G10134" s="2" t="s">
        <v>17961</v>
      </c>
      <c r="H10134" s="2" t="s">
        <v>23505</v>
      </c>
      <c r="I10134" s="2" t="s">
        <v>23507</v>
      </c>
      <c r="J10134" s="2" t="s">
        <v>13904</v>
      </c>
      <c r="K10134" s="38" t="s">
        <v>18902</v>
      </c>
      <c r="L10134" s="82" t="s">
        <v>20106</v>
      </c>
    </row>
    <row r="10135" spans="1:12" ht="72" customHeight="1" x14ac:dyDescent="0.3">
      <c r="A10135" s="2">
        <v>10133</v>
      </c>
      <c r="B10135" s="66" t="s">
        <v>22693</v>
      </c>
      <c r="C10135" s="66">
        <v>1101020223</v>
      </c>
      <c r="D10135" s="11">
        <v>469000</v>
      </c>
      <c r="E10135" s="11">
        <v>383016.83</v>
      </c>
      <c r="F10135" s="3">
        <v>42403</v>
      </c>
      <c r="G10135" s="2" t="s">
        <v>17961</v>
      </c>
      <c r="H10135" s="2"/>
      <c r="I10135" s="2"/>
      <c r="J10135" s="2" t="s">
        <v>15048</v>
      </c>
      <c r="K10135" s="38"/>
      <c r="L10135" s="246" t="s">
        <v>22694</v>
      </c>
    </row>
    <row r="10136" spans="1:12" ht="144" customHeight="1" x14ac:dyDescent="0.3">
      <c r="A10136" s="2">
        <v>10134</v>
      </c>
      <c r="B10136" s="66" t="s">
        <v>14991</v>
      </c>
      <c r="C10136" s="66">
        <v>1101050048</v>
      </c>
      <c r="D10136" s="11">
        <v>469200</v>
      </c>
      <c r="E10136" s="11">
        <v>469200</v>
      </c>
      <c r="F10136" s="3">
        <v>42403</v>
      </c>
      <c r="G10136" s="2" t="s">
        <v>14912</v>
      </c>
      <c r="H10136" s="2"/>
      <c r="I10136" s="2"/>
      <c r="J10136" s="2" t="s">
        <v>13904</v>
      </c>
      <c r="K10136" s="38" t="s">
        <v>17486</v>
      </c>
      <c r="L10136" s="82"/>
    </row>
    <row r="10137" spans="1:12" ht="144" customHeight="1" x14ac:dyDescent="0.3">
      <c r="A10137" s="2">
        <v>10135</v>
      </c>
      <c r="B10137" s="66" t="s">
        <v>14992</v>
      </c>
      <c r="C10137" s="66">
        <v>1101050080</v>
      </c>
      <c r="D10137" s="11">
        <v>396323.4</v>
      </c>
      <c r="E10137" s="42">
        <v>396323.4</v>
      </c>
      <c r="F10137" s="3">
        <v>42403</v>
      </c>
      <c r="G10137" s="2" t="s">
        <v>14912</v>
      </c>
      <c r="H10137" s="2"/>
      <c r="I10137" s="2"/>
      <c r="J10137" s="2" t="s">
        <v>13904</v>
      </c>
      <c r="K10137" s="38" t="s">
        <v>17486</v>
      </c>
      <c r="L10137" s="82"/>
    </row>
    <row r="10138" spans="1:12" ht="144" customHeight="1" x14ac:dyDescent="0.3">
      <c r="A10138" s="2">
        <v>10136</v>
      </c>
      <c r="B10138" s="66" t="s">
        <v>22347</v>
      </c>
      <c r="C10138" s="66">
        <v>1101050761</v>
      </c>
      <c r="D10138" s="11">
        <v>1313550</v>
      </c>
      <c r="E10138" s="11">
        <v>1028947.5</v>
      </c>
      <c r="F10138" s="3">
        <v>42403</v>
      </c>
      <c r="G10138" s="2" t="s">
        <v>14912</v>
      </c>
      <c r="H10138" s="2"/>
      <c r="I10138" s="2"/>
      <c r="J10138" s="2" t="s">
        <v>13904</v>
      </c>
      <c r="K10138" s="38" t="s">
        <v>17486</v>
      </c>
      <c r="L10138" s="82"/>
    </row>
    <row r="10139" spans="1:12" ht="144" customHeight="1" x14ac:dyDescent="0.3">
      <c r="A10139" s="2">
        <v>10137</v>
      </c>
      <c r="B10139" s="66" t="s">
        <v>14993</v>
      </c>
      <c r="C10139" s="66">
        <v>1101050101</v>
      </c>
      <c r="D10139" s="11">
        <v>563500</v>
      </c>
      <c r="E10139" s="11">
        <v>563500</v>
      </c>
      <c r="F10139" s="3">
        <v>42403</v>
      </c>
      <c r="G10139" s="2" t="s">
        <v>14912</v>
      </c>
      <c r="H10139" s="2"/>
      <c r="I10139" s="2"/>
      <c r="J10139" s="2" t="s">
        <v>13904</v>
      </c>
      <c r="K10139" s="38" t="s">
        <v>17486</v>
      </c>
      <c r="L10139" s="82"/>
    </row>
    <row r="10140" spans="1:12" ht="144" customHeight="1" x14ac:dyDescent="0.3">
      <c r="A10140" s="2">
        <v>10138</v>
      </c>
      <c r="B10140" s="66" t="s">
        <v>22348</v>
      </c>
      <c r="C10140" s="66">
        <v>1101050089</v>
      </c>
      <c r="D10140" s="11">
        <v>641000</v>
      </c>
      <c r="E10140" s="11">
        <v>641000</v>
      </c>
      <c r="F10140" s="3">
        <v>42403</v>
      </c>
      <c r="G10140" s="2" t="s">
        <v>14912</v>
      </c>
      <c r="H10140" s="2"/>
      <c r="I10140" s="2"/>
      <c r="J10140" s="2" t="s">
        <v>13904</v>
      </c>
      <c r="K10140" s="38" t="s">
        <v>17486</v>
      </c>
      <c r="L10140" s="82"/>
    </row>
    <row r="10141" spans="1:12" ht="144" customHeight="1" x14ac:dyDescent="0.3">
      <c r="A10141" s="2">
        <v>10139</v>
      </c>
      <c r="B10141" s="66" t="s">
        <v>14994</v>
      </c>
      <c r="C10141" s="66">
        <v>1101050779</v>
      </c>
      <c r="D10141" s="11">
        <v>466500</v>
      </c>
      <c r="E10141" s="11">
        <v>334325</v>
      </c>
      <c r="F10141" s="3">
        <v>42403</v>
      </c>
      <c r="G10141" s="2" t="s">
        <v>14912</v>
      </c>
      <c r="H10141" s="2"/>
      <c r="I10141" s="2"/>
      <c r="J10141" s="2" t="s">
        <v>13904</v>
      </c>
      <c r="K10141" s="38" t="s">
        <v>17486</v>
      </c>
      <c r="L10141" s="82"/>
    </row>
    <row r="10142" spans="1:12" ht="144" customHeight="1" x14ac:dyDescent="0.3">
      <c r="A10142" s="2">
        <v>10140</v>
      </c>
      <c r="B10142" s="66" t="s">
        <v>14995</v>
      </c>
      <c r="C10142" s="66">
        <v>1101050776</v>
      </c>
      <c r="D10142" s="11">
        <v>47245</v>
      </c>
      <c r="E10142" s="11"/>
      <c r="F10142" s="3">
        <v>42403</v>
      </c>
      <c r="G10142" s="2" t="s">
        <v>14912</v>
      </c>
      <c r="H10142" s="3">
        <v>43053</v>
      </c>
      <c r="I10142" s="2" t="s">
        <v>19506</v>
      </c>
      <c r="J10142" s="2" t="s">
        <v>13904</v>
      </c>
      <c r="K10142" s="38" t="s">
        <v>17486</v>
      </c>
      <c r="L10142" s="82" t="s">
        <v>19512</v>
      </c>
    </row>
    <row r="10143" spans="1:12" ht="144" customHeight="1" x14ac:dyDescent="0.3">
      <c r="A10143" s="2">
        <v>10141</v>
      </c>
      <c r="B10143" s="66" t="s">
        <v>14996</v>
      </c>
      <c r="C10143" s="66">
        <v>1101050781</v>
      </c>
      <c r="D10143" s="11">
        <v>259889</v>
      </c>
      <c r="E10143" s="11">
        <v>86620.68</v>
      </c>
      <c r="F10143" s="3">
        <v>42403</v>
      </c>
      <c r="G10143" s="2" t="s">
        <v>14912</v>
      </c>
      <c r="H10143" s="2"/>
      <c r="I10143" s="2"/>
      <c r="J10143" s="2" t="s">
        <v>13904</v>
      </c>
      <c r="K10143" s="38" t="s">
        <v>17486</v>
      </c>
      <c r="L10143" s="82"/>
    </row>
    <row r="10144" spans="1:12" ht="144" customHeight="1" x14ac:dyDescent="0.3">
      <c r="A10144" s="2">
        <v>10142</v>
      </c>
      <c r="B10144" s="66" t="s">
        <v>14997</v>
      </c>
      <c r="C10144" s="66">
        <v>1101050636</v>
      </c>
      <c r="D10144" s="11">
        <v>73700</v>
      </c>
      <c r="E10144" s="11">
        <v>71067.78</v>
      </c>
      <c r="F10144" s="3">
        <v>42403</v>
      </c>
      <c r="G10144" s="2" t="s">
        <v>14912</v>
      </c>
      <c r="H10144" s="2"/>
      <c r="I10144" s="2"/>
      <c r="J10144" s="2" t="s">
        <v>13904</v>
      </c>
      <c r="K10144" s="38" t="s">
        <v>17486</v>
      </c>
      <c r="L10144" s="82"/>
    </row>
    <row r="10145" spans="1:12" ht="144" customHeight="1" x14ac:dyDescent="0.3">
      <c r="A10145" s="2">
        <v>10143</v>
      </c>
      <c r="B10145" s="66" t="s">
        <v>14998</v>
      </c>
      <c r="C10145" s="66">
        <v>1101050163</v>
      </c>
      <c r="D10145" s="11">
        <v>180350</v>
      </c>
      <c r="E10145" s="11">
        <v>164917.78</v>
      </c>
      <c r="F10145" s="3">
        <v>42403</v>
      </c>
      <c r="G10145" s="2" t="s">
        <v>17954</v>
      </c>
      <c r="H10145" s="2"/>
      <c r="I10145" s="2"/>
      <c r="J10145" s="2" t="s">
        <v>13904</v>
      </c>
      <c r="K10145" s="38" t="s">
        <v>17486</v>
      </c>
      <c r="L10145" s="82"/>
    </row>
    <row r="10146" spans="1:12" ht="144" customHeight="1" x14ac:dyDescent="0.3">
      <c r="A10146" s="2">
        <v>10144</v>
      </c>
      <c r="B10146" s="66" t="s">
        <v>14999</v>
      </c>
      <c r="C10146" s="66">
        <v>1101050824</v>
      </c>
      <c r="D10146" s="11">
        <v>57826.74</v>
      </c>
      <c r="E10146" s="11">
        <v>26022.06</v>
      </c>
      <c r="F10146" s="3">
        <v>42403</v>
      </c>
      <c r="G10146" s="2" t="s">
        <v>14912</v>
      </c>
      <c r="H10146" s="2"/>
      <c r="I10146" s="2"/>
      <c r="J10146" s="2" t="s">
        <v>13904</v>
      </c>
      <c r="K10146" s="38" t="s">
        <v>17486</v>
      </c>
      <c r="L10146" s="82"/>
    </row>
    <row r="10147" spans="1:12" ht="144" customHeight="1" x14ac:dyDescent="0.3">
      <c r="A10147" s="2">
        <v>10145</v>
      </c>
      <c r="B10147" s="66" t="s">
        <v>15000</v>
      </c>
      <c r="C10147" s="66">
        <v>1101050789</v>
      </c>
      <c r="D10147" s="11">
        <v>57500</v>
      </c>
      <c r="E10147" s="11">
        <v>19166.560000000001</v>
      </c>
      <c r="F10147" s="3">
        <v>42403</v>
      </c>
      <c r="G10147" s="2" t="s">
        <v>14912</v>
      </c>
      <c r="H10147" s="2"/>
      <c r="I10147" s="2"/>
      <c r="J10147" s="2" t="s">
        <v>13904</v>
      </c>
      <c r="K10147" s="38" t="s">
        <v>17486</v>
      </c>
      <c r="L10147" s="82"/>
    </row>
    <row r="10148" spans="1:12" ht="144" customHeight="1" x14ac:dyDescent="0.3">
      <c r="A10148" s="2">
        <v>10146</v>
      </c>
      <c r="B10148" s="66" t="s">
        <v>15001</v>
      </c>
      <c r="C10148" s="66">
        <v>1101050671</v>
      </c>
      <c r="D10148" s="11">
        <v>74990</v>
      </c>
      <c r="E10148" s="11">
        <v>49368.68</v>
      </c>
      <c r="F10148" s="3">
        <v>42403</v>
      </c>
      <c r="G10148" s="2" t="s">
        <v>14912</v>
      </c>
      <c r="H10148" s="2"/>
      <c r="I10148" s="2"/>
      <c r="J10148" s="2" t="s">
        <v>13904</v>
      </c>
      <c r="K10148" s="38" t="s">
        <v>17486</v>
      </c>
      <c r="L10148" s="82"/>
    </row>
    <row r="10149" spans="1:12" ht="144" customHeight="1" x14ac:dyDescent="0.3">
      <c r="A10149" s="2">
        <v>10147</v>
      </c>
      <c r="B10149" s="66" t="s">
        <v>15000</v>
      </c>
      <c r="C10149" s="66">
        <v>1101050788</v>
      </c>
      <c r="D10149" s="11">
        <v>57500</v>
      </c>
      <c r="E10149" s="11">
        <v>19166.560000000001</v>
      </c>
      <c r="F10149" s="3">
        <v>42403</v>
      </c>
      <c r="G10149" s="2" t="s">
        <v>14912</v>
      </c>
      <c r="H10149" s="2"/>
      <c r="I10149" s="2"/>
      <c r="J10149" s="2" t="s">
        <v>13904</v>
      </c>
      <c r="K10149" s="38" t="s">
        <v>17486</v>
      </c>
      <c r="L10149" s="82"/>
    </row>
    <row r="10150" spans="1:12" ht="144" customHeight="1" x14ac:dyDescent="0.3">
      <c r="A10150" s="2">
        <v>10148</v>
      </c>
      <c r="B10150" s="66" t="s">
        <v>14984</v>
      </c>
      <c r="C10150" s="66">
        <v>1101050827</v>
      </c>
      <c r="D10150" s="11">
        <v>56000</v>
      </c>
      <c r="E10150" s="42">
        <v>18000.09</v>
      </c>
      <c r="F10150" s="3">
        <v>42403</v>
      </c>
      <c r="G10150" s="2" t="s">
        <v>14912</v>
      </c>
      <c r="H10150" s="2"/>
      <c r="I10150" s="2"/>
      <c r="J10150" s="2" t="s">
        <v>13904</v>
      </c>
      <c r="K10150" s="38" t="s">
        <v>17486</v>
      </c>
      <c r="L10150" s="82"/>
    </row>
    <row r="10151" spans="1:12" ht="144" customHeight="1" x14ac:dyDescent="0.3">
      <c r="A10151" s="2">
        <v>10149</v>
      </c>
      <c r="B10151" s="66" t="s">
        <v>15002</v>
      </c>
      <c r="C10151" s="66">
        <v>1101050825</v>
      </c>
      <c r="D10151" s="11">
        <v>83966.98</v>
      </c>
      <c r="E10151" s="11">
        <v>26989.47</v>
      </c>
      <c r="F10151" s="3">
        <v>42403</v>
      </c>
      <c r="G10151" s="2" t="s">
        <v>14912</v>
      </c>
      <c r="H10151" s="2"/>
      <c r="I10151" s="2"/>
      <c r="J10151" s="2" t="s">
        <v>13904</v>
      </c>
      <c r="K10151" s="38" t="s">
        <v>17486</v>
      </c>
      <c r="L10151" s="82"/>
    </row>
    <row r="10152" spans="1:12" ht="144" customHeight="1" x14ac:dyDescent="0.3">
      <c r="A10152" s="2">
        <v>10150</v>
      </c>
      <c r="B10152" s="66" t="s">
        <v>15003</v>
      </c>
      <c r="C10152" s="66">
        <v>1101050561</v>
      </c>
      <c r="D10152" s="11">
        <v>74900</v>
      </c>
      <c r="E10152" s="11">
        <v>38282.120000000003</v>
      </c>
      <c r="F10152" s="3">
        <v>42403</v>
      </c>
      <c r="G10152" s="2" t="s">
        <v>14912</v>
      </c>
      <c r="H10152" s="2"/>
      <c r="I10152" s="2"/>
      <c r="J10152" s="2" t="s">
        <v>13904</v>
      </c>
      <c r="K10152" s="38" t="s">
        <v>17486</v>
      </c>
      <c r="L10152" s="82"/>
    </row>
    <row r="10153" spans="1:12" ht="144" customHeight="1" x14ac:dyDescent="0.3">
      <c r="A10153" s="2">
        <v>10151</v>
      </c>
      <c r="B10153" s="66" t="s">
        <v>15003</v>
      </c>
      <c r="C10153" s="66">
        <v>1101050622</v>
      </c>
      <c r="D10153" s="11">
        <v>80500</v>
      </c>
      <c r="E10153" s="11">
        <v>37566.480000000003</v>
      </c>
      <c r="F10153" s="3">
        <v>42403</v>
      </c>
      <c r="G10153" s="2" t="s">
        <v>14912</v>
      </c>
      <c r="H10153" s="2"/>
      <c r="I10153" s="2"/>
      <c r="J10153" s="2" t="s">
        <v>13904</v>
      </c>
      <c r="K10153" s="38" t="s">
        <v>17486</v>
      </c>
      <c r="L10153" s="82"/>
    </row>
    <row r="10154" spans="1:12" ht="144" customHeight="1" x14ac:dyDescent="0.3">
      <c r="A10154" s="2">
        <v>10152</v>
      </c>
      <c r="B10154" s="66" t="s">
        <v>15004</v>
      </c>
      <c r="C10154" s="66">
        <v>11011050639</v>
      </c>
      <c r="D10154" s="11">
        <v>69499.990000000005</v>
      </c>
      <c r="E10154" s="11">
        <v>30888.799999999999</v>
      </c>
      <c r="F10154" s="3">
        <v>42403</v>
      </c>
      <c r="G10154" s="2" t="s">
        <v>14912</v>
      </c>
      <c r="H10154" s="2"/>
      <c r="I10154" s="2"/>
      <c r="J10154" s="2" t="s">
        <v>13904</v>
      </c>
      <c r="K10154" s="38" t="s">
        <v>17486</v>
      </c>
      <c r="L10154" s="82"/>
    </row>
    <row r="10155" spans="1:12" ht="144" customHeight="1" x14ac:dyDescent="0.3">
      <c r="A10155" s="2">
        <v>10153</v>
      </c>
      <c r="B10155" s="66" t="s">
        <v>15005</v>
      </c>
      <c r="C10155" s="66">
        <v>1101050638</v>
      </c>
      <c r="D10155" s="11">
        <v>67999.990000000005</v>
      </c>
      <c r="E10155" s="11">
        <v>30600.18</v>
      </c>
      <c r="F10155" s="3">
        <v>42403</v>
      </c>
      <c r="G10155" s="2" t="s">
        <v>14912</v>
      </c>
      <c r="H10155" s="2"/>
      <c r="I10155" s="2"/>
      <c r="J10155" s="2" t="s">
        <v>13904</v>
      </c>
      <c r="K10155" s="38" t="s">
        <v>17486</v>
      </c>
      <c r="L10155" s="82"/>
    </row>
    <row r="10156" spans="1:12" ht="144" customHeight="1" x14ac:dyDescent="0.3">
      <c r="A10156" s="2">
        <v>10154</v>
      </c>
      <c r="B10156" s="66" t="s">
        <v>15006</v>
      </c>
      <c r="C10156" s="66">
        <v>1101050704</v>
      </c>
      <c r="D10156" s="11">
        <v>95800</v>
      </c>
      <c r="E10156" s="11">
        <v>55084.77</v>
      </c>
      <c r="F10156" s="3">
        <v>42403</v>
      </c>
      <c r="G10156" s="2" t="s">
        <v>14912</v>
      </c>
      <c r="H10156" s="2"/>
      <c r="I10156" s="2"/>
      <c r="J10156" s="2" t="s">
        <v>13904</v>
      </c>
      <c r="K10156" s="38" t="s">
        <v>17486</v>
      </c>
      <c r="L10156" s="82"/>
    </row>
    <row r="10157" spans="1:12" ht="144" customHeight="1" x14ac:dyDescent="0.3">
      <c r="A10157" s="2">
        <v>10155</v>
      </c>
      <c r="B10157" s="66" t="s">
        <v>3486</v>
      </c>
      <c r="C10157" s="66">
        <v>1101050310</v>
      </c>
      <c r="D10157" s="11">
        <v>73006.5</v>
      </c>
      <c r="E10157" s="11">
        <v>73006.5</v>
      </c>
      <c r="F10157" s="3">
        <v>42403</v>
      </c>
      <c r="G10157" s="2" t="s">
        <v>14912</v>
      </c>
      <c r="H10157" s="2"/>
      <c r="I10157" s="2"/>
      <c r="J10157" s="2" t="s">
        <v>13904</v>
      </c>
      <c r="K10157" s="38" t="s">
        <v>17486</v>
      </c>
      <c r="L10157" s="82"/>
    </row>
    <row r="10158" spans="1:12" ht="144" customHeight="1" x14ac:dyDescent="0.3">
      <c r="A10158" s="2">
        <v>10156</v>
      </c>
      <c r="B10158" s="66" t="s">
        <v>15007</v>
      </c>
      <c r="C10158" s="66">
        <v>1101050307</v>
      </c>
      <c r="D10158" s="11">
        <v>67991.5</v>
      </c>
      <c r="E10158" s="11">
        <v>67991.5</v>
      </c>
      <c r="F10158" s="3">
        <v>42403</v>
      </c>
      <c r="G10158" s="2" t="s">
        <v>14912</v>
      </c>
      <c r="H10158" s="2"/>
      <c r="I10158" s="2"/>
      <c r="J10158" s="2" t="s">
        <v>13904</v>
      </c>
      <c r="K10158" s="38" t="s">
        <v>17486</v>
      </c>
      <c r="L10158" s="82"/>
    </row>
    <row r="10159" spans="1:12" ht="144" customHeight="1" x14ac:dyDescent="0.3">
      <c r="A10159" s="2">
        <v>10157</v>
      </c>
      <c r="B10159" s="66" t="s">
        <v>15008</v>
      </c>
      <c r="C10159" s="66">
        <v>1101050562</v>
      </c>
      <c r="D10159" s="11">
        <v>849000</v>
      </c>
      <c r="E10159" s="11">
        <v>636750</v>
      </c>
      <c r="F10159" s="3">
        <v>42403</v>
      </c>
      <c r="G10159" s="2" t="s">
        <v>14912</v>
      </c>
      <c r="H10159" s="2"/>
      <c r="I10159" s="2"/>
      <c r="J10159" s="2" t="s">
        <v>13904</v>
      </c>
      <c r="K10159" s="38" t="s">
        <v>17486</v>
      </c>
      <c r="L10159" s="82" t="s">
        <v>19227</v>
      </c>
    </row>
    <row r="10160" spans="1:12" ht="144" customHeight="1" x14ac:dyDescent="0.3">
      <c r="A10160" s="2">
        <v>10158</v>
      </c>
      <c r="B10160" s="66" t="s">
        <v>15009</v>
      </c>
      <c r="C10160" s="66">
        <v>1101050306</v>
      </c>
      <c r="D10160" s="11">
        <v>219291.5</v>
      </c>
      <c r="E10160" s="11">
        <v>219291.5</v>
      </c>
      <c r="F10160" s="3">
        <v>42403</v>
      </c>
      <c r="G10160" s="2" t="s">
        <v>14912</v>
      </c>
      <c r="H10160" s="2"/>
      <c r="I10160" s="2"/>
      <c r="J10160" s="2" t="s">
        <v>13904</v>
      </c>
      <c r="K10160" s="38" t="s">
        <v>17486</v>
      </c>
      <c r="L10160" s="82"/>
    </row>
    <row r="10161" spans="1:12" ht="144" customHeight="1" x14ac:dyDescent="0.3">
      <c r="A10161" s="2">
        <v>10159</v>
      </c>
      <c r="B10161" s="66" t="s">
        <v>15010</v>
      </c>
      <c r="C10161" s="66">
        <v>1101050759</v>
      </c>
      <c r="D10161" s="11">
        <v>70890</v>
      </c>
      <c r="E10161" s="11">
        <v>60256.5</v>
      </c>
      <c r="F10161" s="3">
        <v>42403</v>
      </c>
      <c r="G10161" s="2" t="s">
        <v>14912</v>
      </c>
      <c r="H10161" s="2"/>
      <c r="I10161" s="2"/>
      <c r="J10161" s="2" t="s">
        <v>13904</v>
      </c>
      <c r="K10161" s="38" t="s">
        <v>17486</v>
      </c>
      <c r="L10161" s="82"/>
    </row>
    <row r="10162" spans="1:12" ht="108" customHeight="1" x14ac:dyDescent="0.3">
      <c r="A10162" s="2">
        <v>10160</v>
      </c>
      <c r="B10162" s="66" t="s">
        <v>22269</v>
      </c>
      <c r="C10162" s="66">
        <v>1101020284</v>
      </c>
      <c r="D10162" s="11">
        <v>108900</v>
      </c>
      <c r="E10162" s="11">
        <v>1815</v>
      </c>
      <c r="F10162" s="3" t="s">
        <v>22264</v>
      </c>
      <c r="G10162" s="2" t="s">
        <v>22265</v>
      </c>
      <c r="H10162" s="2"/>
      <c r="I10162" s="2"/>
      <c r="J10162" s="2" t="s">
        <v>13904</v>
      </c>
      <c r="K10162" s="38" t="s">
        <v>22263</v>
      </c>
      <c r="L10162" s="82" t="s">
        <v>23003</v>
      </c>
    </row>
    <row r="10163" spans="1:12" ht="108" customHeight="1" x14ac:dyDescent="0.3">
      <c r="A10163" s="2">
        <v>10161</v>
      </c>
      <c r="B10163" s="66" t="s">
        <v>22268</v>
      </c>
      <c r="C10163" s="66">
        <v>1101020283</v>
      </c>
      <c r="D10163" s="11">
        <v>89910</v>
      </c>
      <c r="E10163" s="11">
        <v>89910</v>
      </c>
      <c r="F10163" s="3" t="s">
        <v>22266</v>
      </c>
      <c r="G10163" s="2" t="s">
        <v>22267</v>
      </c>
      <c r="H10163" s="2"/>
      <c r="I10163" s="2"/>
      <c r="J10163" s="2" t="s">
        <v>13904</v>
      </c>
      <c r="K10163" s="38" t="s">
        <v>22263</v>
      </c>
      <c r="L10163" s="246" t="s">
        <v>23003</v>
      </c>
    </row>
    <row r="10164" spans="1:12" ht="108" customHeight="1" x14ac:dyDescent="0.3">
      <c r="A10164" s="2">
        <v>10162</v>
      </c>
      <c r="B10164" s="66" t="s">
        <v>20770</v>
      </c>
      <c r="C10164" s="66">
        <v>1520238</v>
      </c>
      <c r="D10164" s="11">
        <v>13333.36</v>
      </c>
      <c r="E10164" s="11"/>
      <c r="F10164" s="3">
        <v>42403</v>
      </c>
      <c r="G10164" s="2" t="s">
        <v>14912</v>
      </c>
      <c r="H10164" s="2" t="s">
        <v>20766</v>
      </c>
      <c r="I10164" s="2" t="s">
        <v>20767</v>
      </c>
      <c r="J10164" s="2" t="s">
        <v>12550</v>
      </c>
      <c r="K10164" s="2"/>
      <c r="L10164" s="82"/>
    </row>
    <row r="10165" spans="1:12" ht="108" customHeight="1" x14ac:dyDescent="0.3">
      <c r="A10165" s="2">
        <v>10163</v>
      </c>
      <c r="B10165" s="66" t="s">
        <v>20771</v>
      </c>
      <c r="C10165" s="66">
        <v>1520240</v>
      </c>
      <c r="D10165" s="11">
        <v>13333.36</v>
      </c>
      <c r="E10165" s="11"/>
      <c r="F10165" s="3">
        <v>42403</v>
      </c>
      <c r="G10165" s="2" t="s">
        <v>14912</v>
      </c>
      <c r="H10165" s="2" t="s">
        <v>20766</v>
      </c>
      <c r="I10165" s="2" t="s">
        <v>20768</v>
      </c>
      <c r="J10165" s="2" t="s">
        <v>12550</v>
      </c>
      <c r="K10165" s="2"/>
      <c r="L10165" s="82"/>
    </row>
    <row r="10166" spans="1:12" ht="108" customHeight="1" x14ac:dyDescent="0.3">
      <c r="A10166" s="2">
        <v>10164</v>
      </c>
      <c r="B10166" s="66" t="s">
        <v>20772</v>
      </c>
      <c r="C10166" s="66">
        <v>1520241</v>
      </c>
      <c r="D10166" s="11">
        <v>13333.36</v>
      </c>
      <c r="E10166" s="11"/>
      <c r="F10166" s="3">
        <v>42403</v>
      </c>
      <c r="G10166" s="2" t="s">
        <v>14912</v>
      </c>
      <c r="H10166" s="2" t="s">
        <v>20766</v>
      </c>
      <c r="I10166" s="2" t="s">
        <v>20769</v>
      </c>
      <c r="J10166" s="2" t="s">
        <v>12550</v>
      </c>
      <c r="K10166" s="2"/>
      <c r="L10166" s="82"/>
    </row>
    <row r="10167" spans="1:12" ht="84" customHeight="1" x14ac:dyDescent="0.3">
      <c r="A10167" s="2">
        <v>10165</v>
      </c>
      <c r="B10167" s="66" t="s">
        <v>19770</v>
      </c>
      <c r="C10167" s="66">
        <v>1520259</v>
      </c>
      <c r="D10167" s="11">
        <v>31728.47</v>
      </c>
      <c r="E10167" s="11"/>
      <c r="F10167" s="3">
        <v>42403</v>
      </c>
      <c r="G10167" s="2" t="s">
        <v>14912</v>
      </c>
      <c r="H10167" s="2"/>
      <c r="I10167" s="2"/>
      <c r="J10167" s="2" t="s">
        <v>13904</v>
      </c>
      <c r="K10167" s="2" t="s">
        <v>19765</v>
      </c>
      <c r="L10167" s="82"/>
    </row>
    <row r="10168" spans="1:12" ht="84" customHeight="1" x14ac:dyDescent="0.3">
      <c r="A10168" s="2">
        <v>10166</v>
      </c>
      <c r="B10168" s="66" t="s">
        <v>15011</v>
      </c>
      <c r="C10168" s="66">
        <v>52</v>
      </c>
      <c r="D10168" s="11">
        <v>53803.56</v>
      </c>
      <c r="E10168" s="11"/>
      <c r="F10168" s="3">
        <v>42403</v>
      </c>
      <c r="G10168" s="2" t="s">
        <v>14912</v>
      </c>
      <c r="H10168" s="2"/>
      <c r="I10168" s="2"/>
      <c r="J10168" s="2" t="s">
        <v>13904</v>
      </c>
      <c r="K10168" s="2" t="s">
        <v>19765</v>
      </c>
      <c r="L10168" s="82"/>
    </row>
    <row r="10169" spans="1:12" ht="84" customHeight="1" x14ac:dyDescent="0.3">
      <c r="A10169" s="2">
        <v>10167</v>
      </c>
      <c r="B10169" s="66" t="s">
        <v>19769</v>
      </c>
      <c r="C10169" s="66">
        <v>12003</v>
      </c>
      <c r="D10169" s="11">
        <v>21473.13</v>
      </c>
      <c r="E10169" s="11"/>
      <c r="F10169" s="3">
        <v>42403</v>
      </c>
      <c r="G10169" s="2" t="s">
        <v>14912</v>
      </c>
      <c r="H10169" s="2"/>
      <c r="I10169" s="2"/>
      <c r="J10169" s="2" t="s">
        <v>13904</v>
      </c>
      <c r="K10169" s="2" t="s">
        <v>19765</v>
      </c>
      <c r="L10169" s="82"/>
    </row>
    <row r="10170" spans="1:12" ht="84" customHeight="1" x14ac:dyDescent="0.3">
      <c r="A10170" s="2">
        <v>10168</v>
      </c>
      <c r="B10170" s="66" t="s">
        <v>15012</v>
      </c>
      <c r="C10170" s="66">
        <v>1520273</v>
      </c>
      <c r="D10170" s="11">
        <v>25998</v>
      </c>
      <c r="E10170" s="11"/>
      <c r="F10170" s="3">
        <v>42403</v>
      </c>
      <c r="G10170" s="2" t="s">
        <v>14912</v>
      </c>
      <c r="H10170" s="2"/>
      <c r="I10170" s="2"/>
      <c r="J10170" s="2" t="s">
        <v>13904</v>
      </c>
      <c r="K10170" s="2" t="s">
        <v>19765</v>
      </c>
      <c r="L10170" s="82"/>
    </row>
    <row r="10171" spans="1:12" ht="84" customHeight="1" x14ac:dyDescent="0.3">
      <c r="A10171" s="2">
        <v>10169</v>
      </c>
      <c r="B10171" s="66" t="s">
        <v>15013</v>
      </c>
      <c r="C10171" s="66">
        <v>54</v>
      </c>
      <c r="D10171" s="11">
        <v>90000</v>
      </c>
      <c r="E10171" s="11"/>
      <c r="F10171" s="3">
        <v>42403</v>
      </c>
      <c r="G10171" s="2" t="s">
        <v>14912</v>
      </c>
      <c r="H10171" s="2"/>
      <c r="I10171" s="2"/>
      <c r="J10171" s="2" t="s">
        <v>12550</v>
      </c>
      <c r="K10171" s="2"/>
      <c r="L10171" s="82" t="s">
        <v>20722</v>
      </c>
    </row>
    <row r="10172" spans="1:12" ht="84" customHeight="1" x14ac:dyDescent="0.3">
      <c r="A10172" s="2">
        <v>10170</v>
      </c>
      <c r="B10172" s="66" t="s">
        <v>15014</v>
      </c>
      <c r="C10172" s="66">
        <v>1520281</v>
      </c>
      <c r="D10172" s="11">
        <v>29773.31</v>
      </c>
      <c r="E10172" s="11"/>
      <c r="F10172" s="3">
        <v>42403</v>
      </c>
      <c r="G10172" s="2" t="s">
        <v>14912</v>
      </c>
      <c r="H10172" s="2"/>
      <c r="I10172" s="2"/>
      <c r="J10172" s="2" t="s">
        <v>13904</v>
      </c>
      <c r="K10172" s="2" t="s">
        <v>19765</v>
      </c>
      <c r="L10172" s="82"/>
    </row>
    <row r="10173" spans="1:12" ht="84" customHeight="1" x14ac:dyDescent="0.3">
      <c r="A10173" s="2">
        <v>10171</v>
      </c>
      <c r="B10173" s="66" t="s">
        <v>15015</v>
      </c>
      <c r="C10173" s="66">
        <v>55</v>
      </c>
      <c r="D10173" s="11">
        <v>43800</v>
      </c>
      <c r="E10173" s="11"/>
      <c r="F10173" s="3">
        <v>42403</v>
      </c>
      <c r="G10173" s="2" t="s">
        <v>14912</v>
      </c>
      <c r="H10173" s="2"/>
      <c r="I10173" s="2"/>
      <c r="J10173" s="2" t="s">
        <v>12550</v>
      </c>
      <c r="K10173" s="2"/>
      <c r="L10173" s="82" t="s">
        <v>20722</v>
      </c>
    </row>
    <row r="10174" spans="1:12" ht="84" customHeight="1" x14ac:dyDescent="0.3">
      <c r="A10174" s="2">
        <v>10172</v>
      </c>
      <c r="B10174" s="66" t="s">
        <v>15016</v>
      </c>
      <c r="C10174" s="66">
        <v>1520278</v>
      </c>
      <c r="D10174" s="11">
        <v>51898.31</v>
      </c>
      <c r="E10174" s="11"/>
      <c r="F10174" s="3">
        <v>42403</v>
      </c>
      <c r="G10174" s="2" t="s">
        <v>14912</v>
      </c>
      <c r="H10174" s="2"/>
      <c r="I10174" s="2"/>
      <c r="J10174" s="2" t="s">
        <v>13904</v>
      </c>
      <c r="K10174" s="2" t="s">
        <v>19765</v>
      </c>
      <c r="L10174" s="82"/>
    </row>
    <row r="10175" spans="1:12" ht="84" customHeight="1" x14ac:dyDescent="0.3">
      <c r="A10175" s="2">
        <v>10173</v>
      </c>
      <c r="B10175" s="66" t="s">
        <v>16274</v>
      </c>
      <c r="C10175" s="66">
        <v>1520284</v>
      </c>
      <c r="D10175" s="11">
        <v>800000</v>
      </c>
      <c r="E10175" s="11"/>
      <c r="F10175" s="3">
        <v>42403</v>
      </c>
      <c r="G10175" s="2" t="s">
        <v>14912</v>
      </c>
      <c r="H10175" s="2"/>
      <c r="I10175" s="2"/>
      <c r="J10175" s="2" t="s">
        <v>13904</v>
      </c>
      <c r="K10175" s="2" t="s">
        <v>19765</v>
      </c>
      <c r="L10175" s="82"/>
    </row>
    <row r="10176" spans="1:12" ht="84" customHeight="1" x14ac:dyDescent="0.3">
      <c r="A10176" s="2">
        <v>10174</v>
      </c>
      <c r="B10176" s="66" t="s">
        <v>16394</v>
      </c>
      <c r="C10176" s="66">
        <v>1520285</v>
      </c>
      <c r="D10176" s="11">
        <v>328898.31</v>
      </c>
      <c r="E10176" s="11">
        <v>328898.31</v>
      </c>
      <c r="F10176" s="3">
        <v>42403</v>
      </c>
      <c r="G10176" s="2" t="s">
        <v>14912</v>
      </c>
      <c r="H10176" s="2"/>
      <c r="I10176" s="2"/>
      <c r="J10176" s="2" t="s">
        <v>13904</v>
      </c>
      <c r="K10176" s="2" t="s">
        <v>19765</v>
      </c>
      <c r="L10176" s="82"/>
    </row>
    <row r="10177" spans="1:12" ht="84" customHeight="1" x14ac:dyDescent="0.3">
      <c r="A10177" s="2">
        <v>10175</v>
      </c>
      <c r="B10177" s="66" t="s">
        <v>16275</v>
      </c>
      <c r="C10177" s="66">
        <v>1520277</v>
      </c>
      <c r="D10177" s="11">
        <v>322457.62</v>
      </c>
      <c r="E10177" s="11"/>
      <c r="F10177" s="3">
        <v>42403</v>
      </c>
      <c r="G10177" s="2" t="s">
        <v>14912</v>
      </c>
      <c r="H10177" s="2"/>
      <c r="I10177" s="2"/>
      <c r="J10177" s="2" t="s">
        <v>13904</v>
      </c>
      <c r="K10177" s="2" t="s">
        <v>19765</v>
      </c>
      <c r="L10177" s="82"/>
    </row>
    <row r="10178" spans="1:12" ht="84" customHeight="1" x14ac:dyDescent="0.3">
      <c r="A10178" s="2">
        <v>10176</v>
      </c>
      <c r="B10178" s="66" t="s">
        <v>16276</v>
      </c>
      <c r="C10178" s="66">
        <v>1520283</v>
      </c>
      <c r="D10178" s="11">
        <v>400000</v>
      </c>
      <c r="E10178" s="11"/>
      <c r="F10178" s="3">
        <v>42403</v>
      </c>
      <c r="G10178" s="2" t="s">
        <v>14912</v>
      </c>
      <c r="H10178" s="2"/>
      <c r="I10178" s="2"/>
      <c r="J10178" s="2" t="s">
        <v>13904</v>
      </c>
      <c r="K10178" s="2" t="s">
        <v>19765</v>
      </c>
      <c r="L10178" s="82"/>
    </row>
    <row r="10179" spans="1:12" ht="96" customHeight="1" x14ac:dyDescent="0.3">
      <c r="A10179" s="2">
        <v>10177</v>
      </c>
      <c r="B10179" s="66" t="s">
        <v>18564</v>
      </c>
      <c r="C10179" s="66">
        <v>1520276</v>
      </c>
      <c r="D10179" s="11">
        <v>349152.55</v>
      </c>
      <c r="E10179" s="11"/>
      <c r="F10179" s="3">
        <v>42403</v>
      </c>
      <c r="G10179" s="2" t="s">
        <v>14912</v>
      </c>
      <c r="H10179" s="3">
        <v>42867</v>
      </c>
      <c r="I10179" s="2" t="s">
        <v>19169</v>
      </c>
      <c r="J10179" s="2" t="s">
        <v>13904</v>
      </c>
      <c r="K10179" s="2"/>
      <c r="L10179" s="82"/>
    </row>
    <row r="10180" spans="1:12" ht="84" customHeight="1" x14ac:dyDescent="0.3">
      <c r="A10180" s="2">
        <v>10178</v>
      </c>
      <c r="B10180" s="66" t="s">
        <v>16277</v>
      </c>
      <c r="C10180" s="66">
        <v>1520272</v>
      </c>
      <c r="D10180" s="11">
        <v>266949.15000000002</v>
      </c>
      <c r="E10180" s="11"/>
      <c r="F10180" s="3">
        <v>42403</v>
      </c>
      <c r="G10180" s="2" t="s">
        <v>14912</v>
      </c>
      <c r="H10180" s="2"/>
      <c r="I10180" s="2"/>
      <c r="J10180" s="2" t="s">
        <v>13904</v>
      </c>
      <c r="K10180" s="2" t="s">
        <v>19765</v>
      </c>
      <c r="L10180" s="82"/>
    </row>
    <row r="10181" spans="1:12" ht="84" customHeight="1" x14ac:dyDescent="0.3">
      <c r="A10181" s="2">
        <v>10179</v>
      </c>
      <c r="B10181" s="66" t="s">
        <v>16278</v>
      </c>
      <c r="C10181" s="66">
        <v>1520282</v>
      </c>
      <c r="D10181" s="11">
        <v>1440677.97</v>
      </c>
      <c r="E10181" s="11"/>
      <c r="F10181" s="3">
        <v>42403</v>
      </c>
      <c r="G10181" s="2" t="s">
        <v>14912</v>
      </c>
      <c r="H10181" s="2"/>
      <c r="I10181" s="2"/>
      <c r="J10181" s="2" t="s">
        <v>13904</v>
      </c>
      <c r="K10181" s="2" t="s">
        <v>19765</v>
      </c>
      <c r="L10181" s="82"/>
    </row>
    <row r="10182" spans="1:12" ht="96" customHeight="1" x14ac:dyDescent="0.3">
      <c r="A10182" s="2">
        <v>10180</v>
      </c>
      <c r="B10182" s="66" t="s">
        <v>18819</v>
      </c>
      <c r="C10182" s="66">
        <v>1510019</v>
      </c>
      <c r="D10182" s="11">
        <v>121859.91</v>
      </c>
      <c r="E10182" s="11"/>
      <c r="F10182" s="3">
        <v>42403</v>
      </c>
      <c r="G10182" s="2" t="s">
        <v>14912</v>
      </c>
      <c r="H10182" s="3">
        <v>42766</v>
      </c>
      <c r="I10182" s="2" t="s">
        <v>18735</v>
      </c>
      <c r="J10182" s="2" t="s">
        <v>13904</v>
      </c>
      <c r="K10182" s="38"/>
      <c r="L10182" s="82"/>
    </row>
    <row r="10183" spans="1:12" ht="84" customHeight="1" x14ac:dyDescent="0.3">
      <c r="A10183" s="2">
        <v>10181</v>
      </c>
      <c r="B10183" s="66" t="s">
        <v>15017</v>
      </c>
      <c r="C10183" s="66">
        <v>1520229</v>
      </c>
      <c r="D10183" s="11">
        <v>605168.77</v>
      </c>
      <c r="E10183" s="11"/>
      <c r="F10183" s="3">
        <v>42403</v>
      </c>
      <c r="G10183" s="2" t="s">
        <v>14912</v>
      </c>
      <c r="H10183" s="2"/>
      <c r="I10183" s="2"/>
      <c r="J10183" s="2" t="s">
        <v>13904</v>
      </c>
      <c r="K10183" s="2" t="s">
        <v>19765</v>
      </c>
      <c r="L10183" s="82"/>
    </row>
    <row r="10184" spans="1:12" ht="108" customHeight="1" x14ac:dyDescent="0.3">
      <c r="A10184" s="2">
        <v>10182</v>
      </c>
      <c r="B10184" s="66" t="s">
        <v>15018</v>
      </c>
      <c r="C10184" s="66">
        <v>1101330002</v>
      </c>
      <c r="D10184" s="11">
        <v>399998</v>
      </c>
      <c r="E10184" s="11">
        <v>103332.8</v>
      </c>
      <c r="F10184" s="3">
        <v>42403</v>
      </c>
      <c r="G10184" s="2" t="s">
        <v>17961</v>
      </c>
      <c r="H10184" s="2"/>
      <c r="I10184" s="2"/>
      <c r="J10184" s="2" t="s">
        <v>13904</v>
      </c>
      <c r="K10184" s="2" t="s">
        <v>19226</v>
      </c>
      <c r="L10184" s="82" t="s">
        <v>20124</v>
      </c>
    </row>
    <row r="10185" spans="1:12" ht="120" customHeight="1" x14ac:dyDescent="0.3">
      <c r="A10185" s="2">
        <v>10183</v>
      </c>
      <c r="B10185" s="66" t="s">
        <v>15019</v>
      </c>
      <c r="C10185" s="66">
        <v>1101030003</v>
      </c>
      <c r="D10185" s="11">
        <v>820028.4</v>
      </c>
      <c r="E10185" s="11">
        <v>98831.24</v>
      </c>
      <c r="F10185" s="3">
        <v>42403</v>
      </c>
      <c r="G10185" s="2" t="s">
        <v>14912</v>
      </c>
      <c r="H10185" s="2"/>
      <c r="I10185" s="2"/>
      <c r="J10185" s="2" t="s">
        <v>13904</v>
      </c>
      <c r="K10185" s="2" t="s">
        <v>19838</v>
      </c>
      <c r="L10185" s="82" t="s">
        <v>19749</v>
      </c>
    </row>
    <row r="10186" spans="1:12" ht="120" customHeight="1" x14ac:dyDescent="0.3">
      <c r="A10186" s="2">
        <v>10184</v>
      </c>
      <c r="B10186" s="66" t="s">
        <v>15020</v>
      </c>
      <c r="C10186" s="66">
        <v>1101330001</v>
      </c>
      <c r="D10186" s="11">
        <v>259840</v>
      </c>
      <c r="E10186" s="11">
        <v>116928.09</v>
      </c>
      <c r="F10186" s="3">
        <v>42403</v>
      </c>
      <c r="G10186" s="2" t="s">
        <v>14912</v>
      </c>
      <c r="H10186" s="2"/>
      <c r="I10186" s="2"/>
      <c r="J10186" s="2" t="s">
        <v>13904</v>
      </c>
      <c r="K10186" s="2" t="s">
        <v>19838</v>
      </c>
      <c r="L10186" s="82" t="s">
        <v>19749</v>
      </c>
    </row>
    <row r="10187" spans="1:12" ht="120" customHeight="1" x14ac:dyDescent="0.3">
      <c r="A10187" s="2">
        <v>10185</v>
      </c>
      <c r="B10187" s="66" t="s">
        <v>18674</v>
      </c>
      <c r="C10187" s="66" t="s">
        <v>18675</v>
      </c>
      <c r="D10187" s="11">
        <v>16000</v>
      </c>
      <c r="E10187" s="11"/>
      <c r="F10187" s="3">
        <v>42403</v>
      </c>
      <c r="G10187" s="38" t="s">
        <v>15349</v>
      </c>
      <c r="H10187" s="2"/>
      <c r="I10187" s="2"/>
      <c r="J10187" s="2" t="s">
        <v>13904</v>
      </c>
      <c r="K10187" s="2" t="s">
        <v>19838</v>
      </c>
      <c r="L10187" s="82" t="s">
        <v>22280</v>
      </c>
    </row>
    <row r="10188" spans="1:12" ht="108" customHeight="1" x14ac:dyDescent="0.3">
      <c r="A10188" s="2">
        <v>10186</v>
      </c>
      <c r="B10188" s="66" t="s">
        <v>15021</v>
      </c>
      <c r="C10188" s="66">
        <v>1101360016</v>
      </c>
      <c r="D10188" s="11">
        <v>69500</v>
      </c>
      <c r="E10188" s="11">
        <v>16988.939999999999</v>
      </c>
      <c r="F10188" s="3">
        <v>42403</v>
      </c>
      <c r="G10188" s="2" t="s">
        <v>17961</v>
      </c>
      <c r="H10188" s="2"/>
      <c r="I10188" s="2"/>
      <c r="J10188" s="2" t="s">
        <v>13904</v>
      </c>
      <c r="K10188" s="2" t="s">
        <v>19226</v>
      </c>
      <c r="L10188" s="82" t="s">
        <v>20124</v>
      </c>
    </row>
    <row r="10189" spans="1:12" ht="96" customHeight="1" x14ac:dyDescent="0.3">
      <c r="A10189" s="2">
        <v>10187</v>
      </c>
      <c r="B10189" s="66" t="s">
        <v>15022</v>
      </c>
      <c r="C10189" s="66">
        <v>13010011</v>
      </c>
      <c r="D10189" s="11">
        <v>1</v>
      </c>
      <c r="E10189" s="11"/>
      <c r="F10189" s="3">
        <v>42403</v>
      </c>
      <c r="G10189" s="2" t="s">
        <v>14912</v>
      </c>
      <c r="H10189" s="2"/>
      <c r="I10189" s="2"/>
      <c r="J10189" s="2" t="s">
        <v>12550</v>
      </c>
      <c r="K10189" s="2"/>
      <c r="L10189" s="82" t="s">
        <v>22577</v>
      </c>
    </row>
    <row r="10190" spans="1:12" ht="96" customHeight="1" x14ac:dyDescent="0.3">
      <c r="A10190" s="2">
        <v>10188</v>
      </c>
      <c r="B10190" s="66" t="s">
        <v>22578</v>
      </c>
      <c r="C10190" s="66">
        <v>14010007</v>
      </c>
      <c r="D10190" s="11">
        <v>6159.88</v>
      </c>
      <c r="E10190" s="11"/>
      <c r="F10190" s="3">
        <v>42403</v>
      </c>
      <c r="G10190" s="2" t="s">
        <v>14912</v>
      </c>
      <c r="H10190" s="2"/>
      <c r="I10190" s="2"/>
      <c r="J10190" s="2" t="s">
        <v>12550</v>
      </c>
      <c r="K10190" s="2"/>
      <c r="L10190" s="82" t="s">
        <v>22577</v>
      </c>
    </row>
    <row r="10191" spans="1:12" ht="108" customHeight="1" x14ac:dyDescent="0.3">
      <c r="A10191" s="2">
        <v>10189</v>
      </c>
      <c r="B10191" s="66" t="s">
        <v>15023</v>
      </c>
      <c r="C10191" s="66">
        <v>14010002</v>
      </c>
      <c r="D10191" s="11">
        <v>4015.89</v>
      </c>
      <c r="E10191" s="11"/>
      <c r="F10191" s="3">
        <v>42403</v>
      </c>
      <c r="G10191" s="2" t="s">
        <v>14912</v>
      </c>
      <c r="H10191" s="2"/>
      <c r="I10191" s="2"/>
      <c r="J10191" s="2" t="s">
        <v>12550</v>
      </c>
      <c r="K10191" s="2"/>
      <c r="L10191" s="82" t="s">
        <v>22576</v>
      </c>
    </row>
    <row r="10192" spans="1:12" ht="96" customHeight="1" x14ac:dyDescent="0.3">
      <c r="A10192" s="2">
        <v>10190</v>
      </c>
      <c r="B10192" s="66" t="s">
        <v>15024</v>
      </c>
      <c r="C10192" s="66">
        <v>13010005</v>
      </c>
      <c r="D10192" s="11">
        <v>1</v>
      </c>
      <c r="E10192" s="11"/>
      <c r="F10192" s="3">
        <v>42403</v>
      </c>
      <c r="G10192" s="2" t="s">
        <v>14912</v>
      </c>
      <c r="H10192" s="2"/>
      <c r="I10192" s="2"/>
      <c r="J10192" s="2" t="s">
        <v>12550</v>
      </c>
      <c r="K10192" s="2"/>
      <c r="L10192" s="82" t="s">
        <v>22577</v>
      </c>
    </row>
    <row r="10193" spans="1:15" ht="96" customHeight="1" x14ac:dyDescent="0.3">
      <c r="A10193" s="2">
        <v>10191</v>
      </c>
      <c r="B10193" s="66" t="s">
        <v>15024</v>
      </c>
      <c r="C10193" s="66">
        <v>13010006</v>
      </c>
      <c r="D10193" s="11">
        <v>1</v>
      </c>
      <c r="E10193" s="11"/>
      <c r="F10193" s="3">
        <v>42403</v>
      </c>
      <c r="G10193" s="2" t="s">
        <v>14912</v>
      </c>
      <c r="H10193" s="2"/>
      <c r="I10193" s="2"/>
      <c r="J10193" s="2" t="s">
        <v>12550</v>
      </c>
      <c r="K10193" s="2"/>
      <c r="L10193" s="82" t="s">
        <v>22577</v>
      </c>
    </row>
    <row r="10194" spans="1:15" ht="108" customHeight="1" x14ac:dyDescent="0.3">
      <c r="A10194" s="2">
        <v>10192</v>
      </c>
      <c r="B10194" s="66" t="s">
        <v>15025</v>
      </c>
      <c r="C10194" s="66">
        <v>12010001</v>
      </c>
      <c r="D10194" s="11">
        <v>42500.21</v>
      </c>
      <c r="E10194" s="11"/>
      <c r="F10194" s="3">
        <v>42403</v>
      </c>
      <c r="G10194" s="2" t="s">
        <v>14912</v>
      </c>
      <c r="H10194" s="2"/>
      <c r="I10194" s="2"/>
      <c r="J10194" s="2" t="s">
        <v>12550</v>
      </c>
      <c r="K10194" s="2"/>
      <c r="L10194" s="82" t="s">
        <v>22576</v>
      </c>
    </row>
    <row r="10195" spans="1:15" ht="108" customHeight="1" x14ac:dyDescent="0.3">
      <c r="A10195" s="2">
        <v>10193</v>
      </c>
      <c r="B10195" s="66" t="s">
        <v>14228</v>
      </c>
      <c r="C10195" s="66">
        <v>14010001</v>
      </c>
      <c r="D10195" s="11">
        <v>2738.13</v>
      </c>
      <c r="E10195" s="11"/>
      <c r="F10195" s="3">
        <v>42403</v>
      </c>
      <c r="G10195" s="2" t="s">
        <v>14912</v>
      </c>
      <c r="H10195" s="2"/>
      <c r="I10195" s="2"/>
      <c r="J10195" s="2" t="s">
        <v>12550</v>
      </c>
      <c r="K10195" s="2"/>
      <c r="L10195" s="82" t="s">
        <v>22576</v>
      </c>
    </row>
    <row r="10196" spans="1:15" ht="96" customHeight="1" x14ac:dyDescent="0.3">
      <c r="A10196" s="2">
        <v>10194</v>
      </c>
      <c r="B10196" s="66" t="s">
        <v>15026</v>
      </c>
      <c r="C10196" s="66">
        <v>13010022</v>
      </c>
      <c r="D10196" s="11">
        <v>1</v>
      </c>
      <c r="E10196" s="11"/>
      <c r="F10196" s="3">
        <v>42403</v>
      </c>
      <c r="G10196" s="2" t="s">
        <v>14912</v>
      </c>
      <c r="H10196" s="2"/>
      <c r="I10196" s="2"/>
      <c r="J10196" s="2" t="s">
        <v>12550</v>
      </c>
      <c r="K10196" s="2"/>
      <c r="L10196" s="82" t="s">
        <v>22577</v>
      </c>
    </row>
    <row r="10197" spans="1:15" ht="96" customHeight="1" x14ac:dyDescent="0.3">
      <c r="A10197" s="2">
        <v>10195</v>
      </c>
      <c r="B10197" s="66" t="s">
        <v>15027</v>
      </c>
      <c r="C10197" s="66">
        <v>13010010</v>
      </c>
      <c r="D10197" s="11">
        <v>1</v>
      </c>
      <c r="E10197" s="11"/>
      <c r="F10197" s="3">
        <v>42403</v>
      </c>
      <c r="G10197" s="2" t="s">
        <v>14912</v>
      </c>
      <c r="H10197" s="2"/>
      <c r="I10197" s="2"/>
      <c r="J10197" s="2" t="s">
        <v>12550</v>
      </c>
      <c r="K10197" s="2"/>
      <c r="L10197" s="82" t="s">
        <v>22577</v>
      </c>
    </row>
    <row r="10198" spans="1:15" ht="108" customHeight="1" x14ac:dyDescent="0.3">
      <c r="A10198" s="2">
        <v>10196</v>
      </c>
      <c r="B10198" s="66" t="s">
        <v>15028</v>
      </c>
      <c r="C10198" s="66">
        <v>14010016</v>
      </c>
      <c r="D10198" s="11">
        <v>3872.88</v>
      </c>
      <c r="E10198" s="11"/>
      <c r="F10198" s="3">
        <v>42403</v>
      </c>
      <c r="G10198" s="2" t="s">
        <v>14912</v>
      </c>
      <c r="H10198" s="2"/>
      <c r="I10198" s="2"/>
      <c r="J10198" s="2" t="s">
        <v>12550</v>
      </c>
      <c r="K10198" s="2"/>
      <c r="L10198" s="82" t="s">
        <v>22576</v>
      </c>
    </row>
    <row r="10199" spans="1:15" ht="108" customHeight="1" x14ac:dyDescent="0.3">
      <c r="A10199" s="2">
        <v>10197</v>
      </c>
      <c r="B10199" s="66" t="s">
        <v>15028</v>
      </c>
      <c r="C10199" s="66">
        <v>14010018</v>
      </c>
      <c r="D10199" s="11">
        <v>3872.89</v>
      </c>
      <c r="E10199" s="11"/>
      <c r="F10199" s="3">
        <v>42403</v>
      </c>
      <c r="G10199" s="2" t="s">
        <v>14912</v>
      </c>
      <c r="H10199" s="2"/>
      <c r="I10199" s="2"/>
      <c r="J10199" s="2" t="s">
        <v>12550</v>
      </c>
      <c r="K10199" s="2"/>
      <c r="L10199" s="82" t="s">
        <v>22576</v>
      </c>
    </row>
    <row r="10200" spans="1:15" ht="108" customHeight="1" x14ac:dyDescent="0.3">
      <c r="A10200" s="2">
        <v>10198</v>
      </c>
      <c r="B10200" s="66" t="s">
        <v>15028</v>
      </c>
      <c r="C10200" s="66">
        <v>14010017</v>
      </c>
      <c r="D10200" s="11">
        <v>3872.88</v>
      </c>
      <c r="E10200" s="11"/>
      <c r="F10200" s="3">
        <v>42403</v>
      </c>
      <c r="G10200" s="2" t="s">
        <v>14912</v>
      </c>
      <c r="H10200" s="2"/>
      <c r="I10200" s="2"/>
      <c r="J10200" s="2" t="s">
        <v>12550</v>
      </c>
      <c r="K10200" s="2"/>
      <c r="L10200" s="82" t="s">
        <v>22576</v>
      </c>
    </row>
    <row r="10201" spans="1:15" ht="108" customHeight="1" x14ac:dyDescent="0.3">
      <c r="A10201" s="2">
        <v>10199</v>
      </c>
      <c r="B10201" s="66" t="s">
        <v>15028</v>
      </c>
      <c r="C10201" s="66">
        <v>14010023</v>
      </c>
      <c r="D10201" s="11">
        <v>3872.88</v>
      </c>
      <c r="E10201" s="11"/>
      <c r="F10201" s="3">
        <v>42403</v>
      </c>
      <c r="G10201" s="2" t="s">
        <v>14912</v>
      </c>
      <c r="H10201" s="2"/>
      <c r="I10201" s="2"/>
      <c r="J10201" s="2" t="s">
        <v>12550</v>
      </c>
      <c r="K10201" s="2"/>
      <c r="L10201" s="82" t="s">
        <v>22576</v>
      </c>
    </row>
    <row r="10202" spans="1:15" ht="108" customHeight="1" x14ac:dyDescent="0.3">
      <c r="A10202" s="2">
        <v>10200</v>
      </c>
      <c r="B10202" s="66" t="s">
        <v>15028</v>
      </c>
      <c r="C10202" s="66">
        <v>14010025</v>
      </c>
      <c r="D10202" s="11">
        <v>3966.1</v>
      </c>
      <c r="E10202" s="11"/>
      <c r="F10202" s="3">
        <v>42403</v>
      </c>
      <c r="G10202" s="2" t="s">
        <v>14912</v>
      </c>
      <c r="H10202" s="2"/>
      <c r="I10202" s="2"/>
      <c r="J10202" s="2" t="s">
        <v>12550</v>
      </c>
      <c r="K10202" s="2"/>
      <c r="L10202" s="82" t="s">
        <v>22576</v>
      </c>
    </row>
    <row r="10203" spans="1:15" ht="108" customHeight="1" x14ac:dyDescent="0.3">
      <c r="A10203" s="2">
        <v>10201</v>
      </c>
      <c r="B10203" s="66" t="s">
        <v>15028</v>
      </c>
      <c r="C10203" s="66">
        <v>14010019</v>
      </c>
      <c r="D10203" s="11">
        <v>3966.1</v>
      </c>
      <c r="E10203" s="11"/>
      <c r="F10203" s="3">
        <v>42403</v>
      </c>
      <c r="G10203" s="2" t="s">
        <v>14912</v>
      </c>
      <c r="H10203" s="2"/>
      <c r="I10203" s="2"/>
      <c r="J10203" s="2" t="s">
        <v>12550</v>
      </c>
      <c r="K10203" s="2"/>
      <c r="L10203" s="82" t="s">
        <v>22576</v>
      </c>
    </row>
    <row r="10204" spans="1:15" ht="84" customHeight="1" x14ac:dyDescent="0.3">
      <c r="A10204" s="2">
        <v>10202</v>
      </c>
      <c r="B10204" s="66" t="s">
        <v>15029</v>
      </c>
      <c r="C10204" s="66">
        <v>13010185</v>
      </c>
      <c r="D10204" s="11">
        <v>50700</v>
      </c>
      <c r="E10204" s="11"/>
      <c r="F10204" s="3">
        <v>42403</v>
      </c>
      <c r="G10204" s="2" t="s">
        <v>14912</v>
      </c>
      <c r="H10204" s="2"/>
      <c r="I10204" s="2"/>
      <c r="J10204" s="2" t="s">
        <v>12550</v>
      </c>
      <c r="K10204" s="2"/>
      <c r="L10204" s="82"/>
    </row>
    <row r="10205" spans="1:15" s="19" customFormat="1" ht="84" customHeight="1" x14ac:dyDescent="0.3">
      <c r="A10205" s="2">
        <v>10203</v>
      </c>
      <c r="B10205" s="66" t="s">
        <v>19900</v>
      </c>
      <c r="C10205" s="66">
        <v>41012400001</v>
      </c>
      <c r="D10205" s="11">
        <v>313000</v>
      </c>
      <c r="E10205" s="11"/>
      <c r="F10205" s="3">
        <v>42403</v>
      </c>
      <c r="G10205" s="2" t="s">
        <v>17954</v>
      </c>
      <c r="H10205" s="2" t="s">
        <v>19901</v>
      </c>
      <c r="I10205" s="2" t="s">
        <v>19902</v>
      </c>
      <c r="J10205" s="2" t="s">
        <v>13904</v>
      </c>
      <c r="K10205" s="2" t="s">
        <v>18541</v>
      </c>
      <c r="L10205" s="82" t="s">
        <v>22664</v>
      </c>
      <c r="M10205" s="18"/>
      <c r="N10205" s="18"/>
      <c r="O10205" s="18"/>
    </row>
    <row r="10206" spans="1:15" ht="84" customHeight="1" x14ac:dyDescent="0.3">
      <c r="A10206" s="2">
        <v>10204</v>
      </c>
      <c r="B10206" s="66" t="s">
        <v>15030</v>
      </c>
      <c r="C10206" s="66">
        <v>41012400001</v>
      </c>
      <c r="D10206" s="11">
        <v>170000</v>
      </c>
      <c r="E10206" s="11">
        <v>88252.59</v>
      </c>
      <c r="F10206" s="3">
        <v>42403</v>
      </c>
      <c r="G10206" s="2" t="s">
        <v>14912</v>
      </c>
      <c r="H10206" s="2"/>
      <c r="I10206" s="2"/>
      <c r="J10206" s="2" t="s">
        <v>13904</v>
      </c>
      <c r="K10206" s="2" t="s">
        <v>18541</v>
      </c>
      <c r="L10206" s="82" t="s">
        <v>18696</v>
      </c>
    </row>
    <row r="10207" spans="1:15" s="19" customFormat="1" ht="120" customHeight="1" x14ac:dyDescent="0.3">
      <c r="A10207" s="2">
        <v>10205</v>
      </c>
      <c r="B10207" s="66" t="s">
        <v>22935</v>
      </c>
      <c r="C10207" s="66">
        <v>41012500020</v>
      </c>
      <c r="D10207" s="11">
        <v>126765.5</v>
      </c>
      <c r="E10207" s="11">
        <v>114750.84</v>
      </c>
      <c r="F10207" s="3">
        <v>42403</v>
      </c>
      <c r="G10207" s="2" t="s">
        <v>17954</v>
      </c>
      <c r="H10207" s="242" t="s">
        <v>23505</v>
      </c>
      <c r="I10207" s="242" t="s">
        <v>23509</v>
      </c>
      <c r="J10207" s="2" t="s">
        <v>13904</v>
      </c>
      <c r="K10207" s="2" t="s">
        <v>19762</v>
      </c>
      <c r="L10207" s="82" t="s">
        <v>23508</v>
      </c>
      <c r="M10207" s="18"/>
      <c r="N10207" s="18"/>
      <c r="O10207" s="18"/>
    </row>
    <row r="10208" spans="1:15" ht="120" customHeight="1" x14ac:dyDescent="0.3">
      <c r="A10208" s="2">
        <v>10206</v>
      </c>
      <c r="B10208" s="66" t="s">
        <v>17959</v>
      </c>
      <c r="C10208" s="66">
        <v>41012500018</v>
      </c>
      <c r="D10208" s="11">
        <v>164216.67000000001</v>
      </c>
      <c r="E10208" s="11">
        <v>164216.67000000001</v>
      </c>
      <c r="F10208" s="3">
        <v>42403</v>
      </c>
      <c r="G10208" s="2" t="s">
        <v>17961</v>
      </c>
      <c r="H10208" s="2"/>
      <c r="I10208" s="2"/>
      <c r="J10208" s="2" t="s">
        <v>13904</v>
      </c>
      <c r="K10208" s="2" t="s">
        <v>19763</v>
      </c>
      <c r="L10208" s="82" t="s">
        <v>18696</v>
      </c>
    </row>
    <row r="10209" spans="1:15" s="19" customFormat="1" ht="120" customHeight="1" x14ac:dyDescent="0.3">
      <c r="A10209" s="2">
        <v>10207</v>
      </c>
      <c r="B10209" s="66" t="s">
        <v>17975</v>
      </c>
      <c r="C10209" s="66">
        <v>41012500019</v>
      </c>
      <c r="D10209" s="11">
        <v>28796.2</v>
      </c>
      <c r="E10209" s="11">
        <v>28796.2</v>
      </c>
      <c r="F10209" s="3">
        <v>42403</v>
      </c>
      <c r="G10209" s="2" t="s">
        <v>17962</v>
      </c>
      <c r="H10209" s="2"/>
      <c r="I10209" s="2"/>
      <c r="J10209" s="2" t="s">
        <v>13904</v>
      </c>
      <c r="K10209" s="2" t="s">
        <v>19763</v>
      </c>
      <c r="L10209" s="82" t="s">
        <v>18696</v>
      </c>
      <c r="M10209" s="18"/>
      <c r="N10209" s="18"/>
      <c r="O10209" s="18"/>
    </row>
    <row r="10210" spans="1:15" ht="120" customHeight="1" x14ac:dyDescent="0.3">
      <c r="A10210" s="2">
        <v>10208</v>
      </c>
      <c r="B10210" s="66" t="s">
        <v>17960</v>
      </c>
      <c r="C10210" s="66">
        <v>41012400017</v>
      </c>
      <c r="D10210" s="11">
        <v>443781.31</v>
      </c>
      <c r="E10210" s="11">
        <v>440805.74</v>
      </c>
      <c r="F10210" s="3">
        <v>42403</v>
      </c>
      <c r="G10210" s="2" t="s">
        <v>17961</v>
      </c>
      <c r="H10210" s="2"/>
      <c r="I10210" s="2"/>
      <c r="J10210" s="2" t="s">
        <v>13904</v>
      </c>
      <c r="K10210" s="2" t="s">
        <v>19763</v>
      </c>
      <c r="L10210" s="82" t="s">
        <v>18696</v>
      </c>
    </row>
    <row r="10211" spans="1:15" ht="120" customHeight="1" x14ac:dyDescent="0.3">
      <c r="A10211" s="2">
        <v>10209</v>
      </c>
      <c r="B10211" s="66" t="s">
        <v>17973</v>
      </c>
      <c r="C10211" s="66">
        <v>41012400015</v>
      </c>
      <c r="D10211" s="11">
        <v>644312.43999999994</v>
      </c>
      <c r="E10211" s="11">
        <v>643498.89</v>
      </c>
      <c r="F10211" s="3">
        <v>42403</v>
      </c>
      <c r="G10211" s="2" t="s">
        <v>17961</v>
      </c>
      <c r="H10211" s="3">
        <v>43059</v>
      </c>
      <c r="I10211" s="2" t="s">
        <v>19751</v>
      </c>
      <c r="J10211" s="2" t="s">
        <v>13904</v>
      </c>
      <c r="K10211" s="2" t="s">
        <v>19763</v>
      </c>
      <c r="L10211" s="82"/>
    </row>
    <row r="10212" spans="1:15" ht="120" customHeight="1" x14ac:dyDescent="0.3">
      <c r="A10212" s="2">
        <v>10210</v>
      </c>
      <c r="B10212" s="66" t="s">
        <v>17974</v>
      </c>
      <c r="C10212" s="66">
        <v>41012400014</v>
      </c>
      <c r="D10212" s="11">
        <v>944473.2</v>
      </c>
      <c r="E10212" s="11">
        <v>942118.73</v>
      </c>
      <c r="F10212" s="3">
        <v>42403</v>
      </c>
      <c r="G10212" s="2" t="s">
        <v>14912</v>
      </c>
      <c r="H10212" s="3">
        <v>43059</v>
      </c>
      <c r="I10212" s="2" t="s">
        <v>19750</v>
      </c>
      <c r="J10212" s="2" t="s">
        <v>13904</v>
      </c>
      <c r="K10212" s="2" t="s">
        <v>19763</v>
      </c>
      <c r="L10212" s="82"/>
    </row>
    <row r="10213" spans="1:15" ht="120" customHeight="1" x14ac:dyDescent="0.3">
      <c r="A10213" s="2">
        <v>10211</v>
      </c>
      <c r="B10213" s="66" t="s">
        <v>17963</v>
      </c>
      <c r="C10213" s="66">
        <v>41012400013</v>
      </c>
      <c r="D10213" s="11">
        <v>1868112.5</v>
      </c>
      <c r="E10213" s="11">
        <v>452064.5</v>
      </c>
      <c r="F10213" s="3">
        <v>42403</v>
      </c>
      <c r="G10213" s="2" t="s">
        <v>14912</v>
      </c>
      <c r="H10213" s="3">
        <v>43069</v>
      </c>
      <c r="I10213" s="2" t="s">
        <v>20070</v>
      </c>
      <c r="J10213" s="2" t="s">
        <v>13904</v>
      </c>
      <c r="K10213" s="2" t="s">
        <v>19763</v>
      </c>
      <c r="L10213" s="82" t="s">
        <v>18696</v>
      </c>
    </row>
    <row r="10214" spans="1:15" ht="120" customHeight="1" x14ac:dyDescent="0.3">
      <c r="A10214" s="2">
        <v>10212</v>
      </c>
      <c r="B10214" s="66" t="s">
        <v>17964</v>
      </c>
      <c r="C10214" s="66">
        <v>41012400012</v>
      </c>
      <c r="D10214" s="11">
        <v>2620105.2999999998</v>
      </c>
      <c r="E10214" s="11">
        <v>768405.8</v>
      </c>
      <c r="F10214" s="3">
        <v>42403</v>
      </c>
      <c r="G10214" s="2" t="s">
        <v>14912</v>
      </c>
      <c r="H10214" s="2"/>
      <c r="I10214" s="2"/>
      <c r="J10214" s="2" t="s">
        <v>13904</v>
      </c>
      <c r="K10214" s="2" t="s">
        <v>19763</v>
      </c>
      <c r="L10214" s="82" t="s">
        <v>18696</v>
      </c>
    </row>
    <row r="10215" spans="1:15" ht="120" customHeight="1" x14ac:dyDescent="0.3">
      <c r="A10215" s="2">
        <v>10213</v>
      </c>
      <c r="B10215" s="66" t="s">
        <v>17965</v>
      </c>
      <c r="C10215" s="66">
        <v>41012400016</v>
      </c>
      <c r="D10215" s="11">
        <v>2541115.16</v>
      </c>
      <c r="E10215" s="11">
        <v>617467.31000000006</v>
      </c>
      <c r="F10215" s="3">
        <v>42403</v>
      </c>
      <c r="G10215" s="2" t="s">
        <v>17961</v>
      </c>
      <c r="H10215" s="2"/>
      <c r="I10215" s="2"/>
      <c r="J10215" s="2" t="s">
        <v>13904</v>
      </c>
      <c r="K10215" s="2" t="s">
        <v>19763</v>
      </c>
      <c r="L10215" s="82" t="s">
        <v>18696</v>
      </c>
    </row>
    <row r="10216" spans="1:15" ht="84" customHeight="1" x14ac:dyDescent="0.3">
      <c r="A10216" s="2">
        <v>10214</v>
      </c>
      <c r="B10216" s="66" t="s">
        <v>15031</v>
      </c>
      <c r="C10216" s="66">
        <v>41012800001</v>
      </c>
      <c r="D10216" s="11">
        <v>255000</v>
      </c>
      <c r="E10216" s="11">
        <v>255000</v>
      </c>
      <c r="F10216" s="3">
        <v>42403</v>
      </c>
      <c r="G10216" s="2" t="s">
        <v>14912</v>
      </c>
      <c r="H10216" s="2"/>
      <c r="I10216" s="2"/>
      <c r="J10216" s="2" t="s">
        <v>13904</v>
      </c>
      <c r="K10216" s="2" t="s">
        <v>18541</v>
      </c>
      <c r="L10216" s="82" t="s">
        <v>18696</v>
      </c>
    </row>
    <row r="10217" spans="1:15" ht="84" customHeight="1" x14ac:dyDescent="0.3">
      <c r="A10217" s="2">
        <v>10215</v>
      </c>
      <c r="B10217" s="66" t="s">
        <v>15032</v>
      </c>
      <c r="C10217" s="66">
        <v>41012800002</v>
      </c>
      <c r="D10217" s="11">
        <v>85000</v>
      </c>
      <c r="E10217" s="11">
        <v>61625.11</v>
      </c>
      <c r="F10217" s="3">
        <v>42403</v>
      </c>
      <c r="G10217" s="2" t="s">
        <v>14912</v>
      </c>
      <c r="H10217" s="2"/>
      <c r="I10217" s="2"/>
      <c r="J10217" s="2" t="s">
        <v>13904</v>
      </c>
      <c r="K10217" s="2" t="s">
        <v>18541</v>
      </c>
      <c r="L10217" s="82" t="s">
        <v>18696</v>
      </c>
    </row>
    <row r="10218" spans="1:15" s="19" customFormat="1" ht="84" customHeight="1" x14ac:dyDescent="0.3">
      <c r="A10218" s="2">
        <v>10216</v>
      </c>
      <c r="B10218" s="66" t="s">
        <v>15033</v>
      </c>
      <c r="C10218" s="66">
        <v>41013400046</v>
      </c>
      <c r="D10218" s="11">
        <v>70000</v>
      </c>
      <c r="E10218" s="11"/>
      <c r="F10218" s="3">
        <v>42403</v>
      </c>
      <c r="G10218" s="2" t="s">
        <v>14912</v>
      </c>
      <c r="H10218" s="2"/>
      <c r="I10218" s="2"/>
      <c r="J10218" s="2" t="s">
        <v>13904</v>
      </c>
      <c r="K10218" s="2" t="s">
        <v>18541</v>
      </c>
      <c r="L10218" s="82" t="s">
        <v>18696</v>
      </c>
      <c r="M10218" s="18"/>
      <c r="N10218" s="18"/>
      <c r="O10218" s="18"/>
    </row>
    <row r="10219" spans="1:15" ht="84" customHeight="1" x14ac:dyDescent="0.3">
      <c r="A10219" s="2">
        <v>10217</v>
      </c>
      <c r="B10219" s="66" t="s">
        <v>17967</v>
      </c>
      <c r="C10219" s="66">
        <v>41013400030</v>
      </c>
      <c r="D10219" s="11">
        <v>138725</v>
      </c>
      <c r="E10219" s="11">
        <v>15413.88</v>
      </c>
      <c r="F10219" s="3">
        <v>42570</v>
      </c>
      <c r="G10219" s="2" t="s">
        <v>18002</v>
      </c>
      <c r="H10219" s="2"/>
      <c r="I10219" s="2"/>
      <c r="J10219" s="2" t="s">
        <v>13904</v>
      </c>
      <c r="K10219" s="2" t="s">
        <v>18541</v>
      </c>
      <c r="L10219" s="82" t="s">
        <v>18696</v>
      </c>
    </row>
    <row r="10220" spans="1:15" s="19" customFormat="1" ht="84" customHeight="1" x14ac:dyDescent="0.3">
      <c r="A10220" s="2">
        <v>10218</v>
      </c>
      <c r="B10220" s="66" t="s">
        <v>15034</v>
      </c>
      <c r="C10220" s="66">
        <v>41013400045</v>
      </c>
      <c r="D10220" s="11">
        <v>53550</v>
      </c>
      <c r="E10220" s="11">
        <v>40091.72</v>
      </c>
      <c r="F10220" s="3">
        <v>42403</v>
      </c>
      <c r="G10220" s="2" t="s">
        <v>14912</v>
      </c>
      <c r="H10220" s="2"/>
      <c r="I10220" s="2"/>
      <c r="J10220" s="2" t="s">
        <v>13904</v>
      </c>
      <c r="K10220" s="2" t="s">
        <v>18541</v>
      </c>
      <c r="L10220" s="82" t="s">
        <v>18696</v>
      </c>
      <c r="M10220" s="18"/>
      <c r="N10220" s="18"/>
      <c r="O10220" s="18"/>
    </row>
    <row r="10221" spans="1:15" ht="144" customHeight="1" x14ac:dyDescent="0.3">
      <c r="A10221" s="2">
        <v>10219</v>
      </c>
      <c r="B10221" s="66" t="s">
        <v>19237</v>
      </c>
      <c r="C10221" s="66">
        <v>1101050749</v>
      </c>
      <c r="D10221" s="11">
        <v>63250</v>
      </c>
      <c r="E10221" s="11">
        <v>57979.3</v>
      </c>
      <c r="F10221" s="3">
        <v>42403</v>
      </c>
      <c r="G10221" s="2" t="s">
        <v>17961</v>
      </c>
      <c r="H10221" s="2"/>
      <c r="I10221" s="2"/>
      <c r="J10221" s="2" t="s">
        <v>13904</v>
      </c>
      <c r="K10221" s="38" t="s">
        <v>17486</v>
      </c>
      <c r="L10221" s="82"/>
    </row>
    <row r="10222" spans="1:15" ht="72" customHeight="1" x14ac:dyDescent="0.3">
      <c r="A10222" s="2">
        <v>10220</v>
      </c>
      <c r="B10222" s="66" t="s">
        <v>15049</v>
      </c>
      <c r="C10222" s="66" t="s">
        <v>15050</v>
      </c>
      <c r="D10222" s="11">
        <v>79900</v>
      </c>
      <c r="E10222" s="11"/>
      <c r="F10222" s="3">
        <v>42418</v>
      </c>
      <c r="G10222" s="2" t="s">
        <v>15051</v>
      </c>
      <c r="H10222" s="2"/>
      <c r="I10222" s="2"/>
      <c r="J10222" s="2" t="s">
        <v>15048</v>
      </c>
      <c r="K10222" s="2"/>
      <c r="L10222" s="82"/>
    </row>
    <row r="10223" spans="1:15" ht="108" customHeight="1" x14ac:dyDescent="0.3">
      <c r="A10223" s="2">
        <v>10221</v>
      </c>
      <c r="B10223" s="66" t="s">
        <v>19339</v>
      </c>
      <c r="C10223" s="66">
        <v>1101020248</v>
      </c>
      <c r="D10223" s="11">
        <v>974675.02</v>
      </c>
      <c r="E10223" s="11">
        <v>46413.08</v>
      </c>
      <c r="F10223" s="3" t="s">
        <v>19340</v>
      </c>
      <c r="G10223" s="2" t="s">
        <v>19341</v>
      </c>
      <c r="H10223" s="2"/>
      <c r="I10223" s="2"/>
      <c r="J10223" s="2" t="s">
        <v>19338</v>
      </c>
      <c r="K10223" s="2" t="s">
        <v>19238</v>
      </c>
      <c r="L10223" s="82" t="s">
        <v>20122</v>
      </c>
    </row>
    <row r="10224" spans="1:15" ht="84" customHeight="1" x14ac:dyDescent="0.3">
      <c r="A10224" s="2">
        <v>10222</v>
      </c>
      <c r="B10224" s="66" t="s">
        <v>16084</v>
      </c>
      <c r="C10224" s="66"/>
      <c r="D10224" s="11"/>
      <c r="E10224" s="11"/>
      <c r="F10224" s="3">
        <v>40500</v>
      </c>
      <c r="G10224" s="2" t="s">
        <v>11556</v>
      </c>
      <c r="H10224" s="2"/>
      <c r="I10224" s="2"/>
      <c r="J10224" s="2" t="s">
        <v>12550</v>
      </c>
      <c r="K10224" s="2"/>
      <c r="L10224" s="82"/>
    </row>
    <row r="10225" spans="1:12" ht="84" customHeight="1" x14ac:dyDescent="0.3">
      <c r="A10225" s="2">
        <v>10223</v>
      </c>
      <c r="B10225" s="66" t="s">
        <v>19771</v>
      </c>
      <c r="C10225" s="66">
        <v>1520256</v>
      </c>
      <c r="D10225" s="11">
        <v>27506.94</v>
      </c>
      <c r="E10225" s="11">
        <v>27506.94</v>
      </c>
      <c r="F10225" s="3">
        <v>42403</v>
      </c>
      <c r="G10225" s="2" t="s">
        <v>14912</v>
      </c>
      <c r="H10225" s="2"/>
      <c r="I10225" s="2"/>
      <c r="J10225" s="2" t="s">
        <v>13904</v>
      </c>
      <c r="K10225" s="2" t="s">
        <v>19765</v>
      </c>
      <c r="L10225" s="82"/>
    </row>
    <row r="10226" spans="1:12" ht="84" customHeight="1" x14ac:dyDescent="0.3">
      <c r="A10226" s="2">
        <v>10224</v>
      </c>
      <c r="B10226" s="57" t="s">
        <v>16086</v>
      </c>
      <c r="C10226" s="246" t="s">
        <v>16085</v>
      </c>
      <c r="D10226" s="104">
        <v>1000000</v>
      </c>
      <c r="E10226" s="71"/>
      <c r="F10226" s="3">
        <v>42403</v>
      </c>
      <c r="G10226" s="2" t="s">
        <v>16087</v>
      </c>
      <c r="H10226" s="2"/>
      <c r="I10226" s="2"/>
      <c r="J10226" s="2" t="s">
        <v>13904</v>
      </c>
      <c r="K10226" s="2" t="s">
        <v>19765</v>
      </c>
      <c r="L10226" s="82"/>
    </row>
    <row r="10227" spans="1:12" ht="84" customHeight="1" x14ac:dyDescent="0.3">
      <c r="A10227" s="2">
        <v>10225</v>
      </c>
      <c r="B10227" s="57" t="s">
        <v>16280</v>
      </c>
      <c r="C10227" s="246" t="s">
        <v>476</v>
      </c>
      <c r="D10227" s="104">
        <v>1110000</v>
      </c>
      <c r="E10227" s="71"/>
      <c r="F10227" s="3">
        <v>42403</v>
      </c>
      <c r="G10227" s="2" t="s">
        <v>16087</v>
      </c>
      <c r="H10227" s="2"/>
      <c r="I10227" s="2"/>
      <c r="J10227" s="2" t="s">
        <v>13904</v>
      </c>
      <c r="K10227" s="2" t="s">
        <v>19765</v>
      </c>
      <c r="L10227" s="82"/>
    </row>
    <row r="10228" spans="1:12" ht="84" customHeight="1" x14ac:dyDescent="0.3">
      <c r="A10228" s="2">
        <v>10226</v>
      </c>
      <c r="B10228" s="105" t="s">
        <v>16130</v>
      </c>
      <c r="C10228" s="105">
        <v>13010050</v>
      </c>
      <c r="D10228" s="121">
        <v>19500</v>
      </c>
      <c r="E10228" s="11"/>
      <c r="F10228" s="3">
        <v>42403</v>
      </c>
      <c r="G10228" s="66" t="s">
        <v>12546</v>
      </c>
      <c r="H10228" s="2"/>
      <c r="I10228" s="2"/>
      <c r="J10228" s="2" t="s">
        <v>12550</v>
      </c>
      <c r="K10228" s="2"/>
      <c r="L10228" s="82"/>
    </row>
    <row r="10229" spans="1:12" ht="84" customHeight="1" x14ac:dyDescent="0.3">
      <c r="A10229" s="2">
        <v>10227</v>
      </c>
      <c r="B10229" s="105" t="s">
        <v>16131</v>
      </c>
      <c r="C10229" s="105">
        <v>13010045</v>
      </c>
      <c r="D10229" s="121">
        <v>19067.8</v>
      </c>
      <c r="E10229" s="11"/>
      <c r="F10229" s="3">
        <v>42403</v>
      </c>
      <c r="G10229" s="66" t="s">
        <v>12546</v>
      </c>
      <c r="H10229" s="2"/>
      <c r="I10229" s="2"/>
      <c r="J10229" s="2" t="s">
        <v>12550</v>
      </c>
      <c r="K10229" s="2"/>
      <c r="L10229" s="82"/>
    </row>
    <row r="10230" spans="1:12" ht="84" customHeight="1" x14ac:dyDescent="0.3">
      <c r="A10230" s="2">
        <v>10228</v>
      </c>
      <c r="B10230" s="105" t="s">
        <v>16132</v>
      </c>
      <c r="C10230" s="105">
        <v>13010187</v>
      </c>
      <c r="D10230" s="121">
        <v>15067</v>
      </c>
      <c r="E10230" s="11"/>
      <c r="F10230" s="3">
        <v>42403</v>
      </c>
      <c r="G10230" s="66" t="s">
        <v>12546</v>
      </c>
      <c r="H10230" s="2"/>
      <c r="I10230" s="2"/>
      <c r="J10230" s="2" t="s">
        <v>12550</v>
      </c>
      <c r="K10230" s="2"/>
      <c r="L10230" s="82"/>
    </row>
    <row r="10231" spans="1:12" ht="84" customHeight="1" x14ac:dyDescent="0.3">
      <c r="A10231" s="2">
        <v>10229</v>
      </c>
      <c r="B10231" s="105" t="s">
        <v>16133</v>
      </c>
      <c r="C10231" s="105">
        <v>13010040</v>
      </c>
      <c r="D10231" s="121">
        <v>24404.76</v>
      </c>
      <c r="E10231" s="11"/>
      <c r="F10231" s="3">
        <v>42403</v>
      </c>
      <c r="G10231" s="66" t="s">
        <v>12546</v>
      </c>
      <c r="H10231" s="2"/>
      <c r="I10231" s="2"/>
      <c r="J10231" s="2" t="s">
        <v>12550</v>
      </c>
      <c r="K10231" s="2"/>
      <c r="L10231" s="82"/>
    </row>
    <row r="10232" spans="1:12" ht="84" customHeight="1" x14ac:dyDescent="0.3">
      <c r="A10232" s="2">
        <v>10230</v>
      </c>
      <c r="B10232" s="105" t="s">
        <v>16134</v>
      </c>
      <c r="C10232" s="105">
        <v>13010242</v>
      </c>
      <c r="D10232" s="121">
        <v>24000</v>
      </c>
      <c r="E10232" s="11"/>
      <c r="F10232" s="3">
        <v>42403</v>
      </c>
      <c r="G10232" s="66" t="s">
        <v>12546</v>
      </c>
      <c r="H10232" s="2"/>
      <c r="I10232" s="2"/>
      <c r="J10232" s="2" t="s">
        <v>12550</v>
      </c>
      <c r="K10232" s="2"/>
      <c r="L10232" s="82"/>
    </row>
    <row r="10233" spans="1:12" ht="84" customHeight="1" x14ac:dyDescent="0.3">
      <c r="A10233" s="2">
        <v>10231</v>
      </c>
      <c r="B10233" s="105" t="s">
        <v>16135</v>
      </c>
      <c r="C10233" s="105">
        <v>13010039</v>
      </c>
      <c r="D10233" s="121">
        <v>22000</v>
      </c>
      <c r="E10233" s="11"/>
      <c r="F10233" s="3">
        <v>42403</v>
      </c>
      <c r="G10233" s="66" t="s">
        <v>12546</v>
      </c>
      <c r="H10233" s="2"/>
      <c r="I10233" s="2"/>
      <c r="J10233" s="2" t="s">
        <v>12550</v>
      </c>
      <c r="K10233" s="2"/>
      <c r="L10233" s="82"/>
    </row>
    <row r="10234" spans="1:12" ht="84" customHeight="1" x14ac:dyDescent="0.3">
      <c r="A10234" s="2">
        <v>10232</v>
      </c>
      <c r="B10234" s="105" t="s">
        <v>16136</v>
      </c>
      <c r="C10234" s="105">
        <v>13010192</v>
      </c>
      <c r="D10234" s="121">
        <v>26950</v>
      </c>
      <c r="E10234" s="11"/>
      <c r="F10234" s="3">
        <v>42403</v>
      </c>
      <c r="G10234" s="66" t="s">
        <v>12546</v>
      </c>
      <c r="H10234" s="2"/>
      <c r="I10234" s="2"/>
      <c r="J10234" s="2" t="s">
        <v>12550</v>
      </c>
      <c r="K10234" s="2"/>
      <c r="L10234" s="82"/>
    </row>
    <row r="10235" spans="1:12" ht="84" customHeight="1" x14ac:dyDescent="0.3">
      <c r="A10235" s="2">
        <v>10233</v>
      </c>
      <c r="B10235" s="105" t="s">
        <v>16137</v>
      </c>
      <c r="C10235" s="105">
        <v>13010038</v>
      </c>
      <c r="D10235" s="121">
        <v>21848.9</v>
      </c>
      <c r="E10235" s="11"/>
      <c r="F10235" s="3">
        <v>42403</v>
      </c>
      <c r="G10235" s="66" t="s">
        <v>12546</v>
      </c>
      <c r="H10235" s="2"/>
      <c r="I10235" s="2"/>
      <c r="J10235" s="2" t="s">
        <v>12550</v>
      </c>
      <c r="K10235" s="2"/>
      <c r="L10235" s="82"/>
    </row>
    <row r="10236" spans="1:12" ht="84" customHeight="1" x14ac:dyDescent="0.3">
      <c r="A10236" s="2">
        <v>10234</v>
      </c>
      <c r="B10236" s="105" t="s">
        <v>16138</v>
      </c>
      <c r="C10236" s="105">
        <v>13010037</v>
      </c>
      <c r="D10236" s="121">
        <v>21848.9</v>
      </c>
      <c r="E10236" s="11"/>
      <c r="F10236" s="3">
        <v>42403</v>
      </c>
      <c r="G10236" s="66" t="s">
        <v>12546</v>
      </c>
      <c r="H10236" s="2"/>
      <c r="I10236" s="2"/>
      <c r="J10236" s="2" t="s">
        <v>12550</v>
      </c>
      <c r="K10236" s="2"/>
      <c r="L10236" s="82"/>
    </row>
    <row r="10237" spans="1:12" ht="84" customHeight="1" x14ac:dyDescent="0.3">
      <c r="A10237" s="2">
        <v>10235</v>
      </c>
      <c r="B10237" s="105" t="s">
        <v>16139</v>
      </c>
      <c r="C10237" s="105">
        <v>13010188</v>
      </c>
      <c r="D10237" s="121">
        <v>15067</v>
      </c>
      <c r="E10237" s="11"/>
      <c r="F10237" s="3">
        <v>42403</v>
      </c>
      <c r="G10237" s="66" t="s">
        <v>12546</v>
      </c>
      <c r="H10237" s="2"/>
      <c r="I10237" s="2"/>
      <c r="J10237" s="2" t="s">
        <v>12550</v>
      </c>
      <c r="K10237" s="2"/>
      <c r="L10237" s="82"/>
    </row>
    <row r="10238" spans="1:12" ht="84" customHeight="1" x14ac:dyDescent="0.3">
      <c r="A10238" s="2">
        <v>10236</v>
      </c>
      <c r="B10238" s="105" t="s">
        <v>16140</v>
      </c>
      <c r="C10238" s="105">
        <v>13010193</v>
      </c>
      <c r="D10238" s="121">
        <v>26950</v>
      </c>
      <c r="E10238" s="11"/>
      <c r="F10238" s="3">
        <v>42403</v>
      </c>
      <c r="G10238" s="66" t="s">
        <v>12546</v>
      </c>
      <c r="H10238" s="2"/>
      <c r="I10238" s="2"/>
      <c r="J10238" s="2" t="s">
        <v>12550</v>
      </c>
      <c r="K10238" s="2"/>
      <c r="L10238" s="82"/>
    </row>
    <row r="10239" spans="1:12" ht="84" customHeight="1" x14ac:dyDescent="0.3">
      <c r="A10239" s="2">
        <v>10237</v>
      </c>
      <c r="B10239" s="105" t="s">
        <v>16141</v>
      </c>
      <c r="C10239" s="105">
        <v>13010036</v>
      </c>
      <c r="D10239" s="121">
        <v>24404.76</v>
      </c>
      <c r="E10239" s="11"/>
      <c r="F10239" s="3">
        <v>42403</v>
      </c>
      <c r="G10239" s="66" t="s">
        <v>12546</v>
      </c>
      <c r="H10239" s="2"/>
      <c r="I10239" s="2"/>
      <c r="J10239" s="2" t="s">
        <v>12550</v>
      </c>
      <c r="K10239" s="2"/>
      <c r="L10239" s="82"/>
    </row>
    <row r="10240" spans="1:12" ht="84" customHeight="1" x14ac:dyDescent="0.3">
      <c r="A10240" s="2">
        <v>10238</v>
      </c>
      <c r="B10240" s="105" t="s">
        <v>16142</v>
      </c>
      <c r="C10240" s="105">
        <v>13010031</v>
      </c>
      <c r="D10240" s="121">
        <v>24404.76</v>
      </c>
      <c r="E10240" s="11"/>
      <c r="F10240" s="3">
        <v>42403</v>
      </c>
      <c r="G10240" s="66" t="s">
        <v>12546</v>
      </c>
      <c r="H10240" s="2"/>
      <c r="I10240" s="2"/>
      <c r="J10240" s="2" t="s">
        <v>12550</v>
      </c>
      <c r="K10240" s="2"/>
      <c r="L10240" s="82"/>
    </row>
    <row r="10241" spans="1:13" ht="84" customHeight="1" x14ac:dyDescent="0.3">
      <c r="A10241" s="2">
        <v>10239</v>
      </c>
      <c r="B10241" s="105" t="s">
        <v>16143</v>
      </c>
      <c r="C10241" s="105">
        <v>13010032</v>
      </c>
      <c r="D10241" s="121">
        <v>24404.76</v>
      </c>
      <c r="E10241" s="11"/>
      <c r="F10241" s="3">
        <v>42403</v>
      </c>
      <c r="G10241" s="66" t="s">
        <v>12546</v>
      </c>
      <c r="H10241" s="2"/>
      <c r="I10241" s="2"/>
      <c r="J10241" s="2" t="s">
        <v>12550</v>
      </c>
      <c r="K10241" s="2"/>
      <c r="L10241" s="82"/>
    </row>
    <row r="10242" spans="1:13" ht="108" customHeight="1" x14ac:dyDescent="0.3">
      <c r="A10242" s="2">
        <v>10240</v>
      </c>
      <c r="B10242" s="66" t="s">
        <v>20918</v>
      </c>
      <c r="C10242" s="66" t="s">
        <v>20919</v>
      </c>
      <c r="D10242" s="11">
        <v>103800</v>
      </c>
      <c r="E10242" s="11"/>
      <c r="F10242" s="3" t="s">
        <v>20920</v>
      </c>
      <c r="G10242" s="2" t="s">
        <v>20921</v>
      </c>
      <c r="H10242" s="2"/>
      <c r="I10242" s="2"/>
      <c r="J10242" s="2" t="s">
        <v>13904</v>
      </c>
      <c r="K10242" s="2" t="s">
        <v>20926</v>
      </c>
      <c r="L10242" s="82" t="s">
        <v>21489</v>
      </c>
    </row>
    <row r="10243" spans="1:13" ht="108" customHeight="1" x14ac:dyDescent="0.3">
      <c r="A10243" s="2">
        <v>10241</v>
      </c>
      <c r="B10243" s="66" t="s">
        <v>20922</v>
      </c>
      <c r="C10243" s="245" t="s">
        <v>20923</v>
      </c>
      <c r="D10243" s="11">
        <v>148500</v>
      </c>
      <c r="E10243" s="11"/>
      <c r="F10243" s="3">
        <v>42941</v>
      </c>
      <c r="G10243" s="2" t="s">
        <v>19736</v>
      </c>
      <c r="H10243" s="3"/>
      <c r="I10243" s="2"/>
      <c r="J10243" s="2" t="s">
        <v>13904</v>
      </c>
      <c r="K10243" s="2" t="s">
        <v>19734</v>
      </c>
      <c r="L10243" s="242" t="s">
        <v>23817</v>
      </c>
    </row>
    <row r="10244" spans="1:13" ht="108" customHeight="1" x14ac:dyDescent="0.3">
      <c r="A10244" s="2">
        <v>10242</v>
      </c>
      <c r="B10244" s="66" t="s">
        <v>16152</v>
      </c>
      <c r="C10244" s="245" t="s">
        <v>20924</v>
      </c>
      <c r="D10244" s="11">
        <v>614900</v>
      </c>
      <c r="E10244" s="11"/>
      <c r="F10244" s="3">
        <v>42599</v>
      </c>
      <c r="G10244" s="2" t="s">
        <v>16151</v>
      </c>
      <c r="H10244" s="2"/>
      <c r="I10244" s="2"/>
      <c r="J10244" s="2" t="s">
        <v>13904</v>
      </c>
      <c r="K10244" s="2" t="s">
        <v>20927</v>
      </c>
      <c r="L10244" s="242" t="s">
        <v>23817</v>
      </c>
    </row>
    <row r="10245" spans="1:13" ht="108" customHeight="1" x14ac:dyDescent="0.3">
      <c r="A10245" s="2">
        <v>10243</v>
      </c>
      <c r="B10245" s="66" t="s">
        <v>23821</v>
      </c>
      <c r="C10245" s="245" t="s">
        <v>20924</v>
      </c>
      <c r="D10245" s="11">
        <v>92668</v>
      </c>
      <c r="E10245" s="11"/>
      <c r="F10245" s="3" t="s">
        <v>23443</v>
      </c>
      <c r="G10245" s="2"/>
      <c r="H10245" s="2"/>
      <c r="I10245" s="2"/>
      <c r="J10245" s="2" t="s">
        <v>13904</v>
      </c>
      <c r="K10245" s="2" t="s">
        <v>23818</v>
      </c>
      <c r="L10245" s="242" t="s">
        <v>23820</v>
      </c>
      <c r="M10245" s="16" t="s">
        <v>23819</v>
      </c>
    </row>
    <row r="10246" spans="1:13" ht="108" customHeight="1" x14ac:dyDescent="0.3">
      <c r="A10246" s="2">
        <v>10244</v>
      </c>
      <c r="B10246" s="66" t="s">
        <v>16153</v>
      </c>
      <c r="C10246" s="245" t="s">
        <v>20925</v>
      </c>
      <c r="D10246" s="11">
        <v>4670912.34</v>
      </c>
      <c r="E10246" s="11"/>
      <c r="F10246" s="3">
        <v>42599</v>
      </c>
      <c r="G10246" s="2" t="s">
        <v>16151</v>
      </c>
      <c r="H10246" s="2"/>
      <c r="I10246" s="2"/>
      <c r="J10246" s="2" t="s">
        <v>13904</v>
      </c>
      <c r="K10246" s="2" t="s">
        <v>20927</v>
      </c>
      <c r="L10246" s="242" t="s">
        <v>23817</v>
      </c>
    </row>
    <row r="10247" spans="1:13" ht="108" customHeight="1" x14ac:dyDescent="0.3">
      <c r="A10247" s="2">
        <v>10245</v>
      </c>
      <c r="B10247" s="245" t="s">
        <v>23822</v>
      </c>
      <c r="C10247" s="245" t="s">
        <v>23824</v>
      </c>
      <c r="D10247" s="11">
        <v>1379684.8</v>
      </c>
      <c r="E10247" s="11"/>
      <c r="F10247" s="3" t="s">
        <v>23501</v>
      </c>
      <c r="G10247" s="2"/>
      <c r="H10247" s="2"/>
      <c r="I10247" s="2"/>
      <c r="J10247" s="2" t="s">
        <v>13904</v>
      </c>
      <c r="K10247" s="242" t="s">
        <v>23818</v>
      </c>
      <c r="L10247" s="242" t="s">
        <v>23820</v>
      </c>
    </row>
    <row r="10248" spans="1:13" ht="108" customHeight="1" x14ac:dyDescent="0.3">
      <c r="A10248" s="2">
        <v>10246</v>
      </c>
      <c r="B10248" s="66" t="s">
        <v>16154</v>
      </c>
      <c r="C10248" s="66" t="s">
        <v>16155</v>
      </c>
      <c r="D10248" s="11">
        <v>24009.8</v>
      </c>
      <c r="E10248" s="11"/>
      <c r="F10248" s="3">
        <v>42599</v>
      </c>
      <c r="G10248" s="2" t="s">
        <v>16151</v>
      </c>
      <c r="H10248" s="2"/>
      <c r="I10248" s="2"/>
      <c r="J10248" s="2" t="s">
        <v>13904</v>
      </c>
      <c r="K10248" s="2" t="s">
        <v>20927</v>
      </c>
      <c r="L10248" s="82"/>
    </row>
    <row r="10249" spans="1:13" ht="108" customHeight="1" x14ac:dyDescent="0.3">
      <c r="A10249" s="205">
        <v>10247</v>
      </c>
      <c r="B10249" s="245" t="s">
        <v>23823</v>
      </c>
      <c r="C10249" s="245" t="s">
        <v>23825</v>
      </c>
      <c r="D10249" s="11">
        <v>2614333.0499999998</v>
      </c>
      <c r="E10249" s="11"/>
      <c r="F10249" s="3" t="s">
        <v>23826</v>
      </c>
      <c r="G10249" s="2"/>
      <c r="H10249" s="2"/>
      <c r="I10249" s="2"/>
      <c r="J10249" s="2" t="s">
        <v>13904</v>
      </c>
      <c r="K10249" s="242" t="s">
        <v>23818</v>
      </c>
      <c r="L10249" s="242" t="s">
        <v>23820</v>
      </c>
    </row>
    <row r="10250" spans="1:13" ht="108" customHeight="1" x14ac:dyDescent="0.3">
      <c r="A10250" s="2">
        <v>10248</v>
      </c>
      <c r="B10250" s="245" t="s">
        <v>22547</v>
      </c>
      <c r="C10250" s="66"/>
      <c r="D10250" s="11">
        <v>2796189.44</v>
      </c>
      <c r="E10250" s="2"/>
      <c r="F10250" s="3">
        <v>42610</v>
      </c>
      <c r="G10250" s="2" t="s">
        <v>16254</v>
      </c>
      <c r="H10250" s="2"/>
      <c r="I10250" s="2"/>
      <c r="J10250" s="2" t="s">
        <v>12550</v>
      </c>
      <c r="K10250" s="2"/>
      <c r="L10250" s="82"/>
    </row>
    <row r="10251" spans="1:13" ht="96" customHeight="1" x14ac:dyDescent="0.3">
      <c r="A10251" s="205">
        <v>10249</v>
      </c>
      <c r="B10251" s="245" t="s">
        <v>22552</v>
      </c>
      <c r="C10251" s="66"/>
      <c r="D10251" s="11">
        <v>2796189.44</v>
      </c>
      <c r="E10251" s="2"/>
      <c r="F10251" s="3">
        <v>42610</v>
      </c>
      <c r="G10251" s="2" t="s">
        <v>16254</v>
      </c>
      <c r="H10251" s="2"/>
      <c r="I10251" s="2"/>
      <c r="J10251" s="2" t="s">
        <v>12550</v>
      </c>
      <c r="K10251" s="2"/>
      <c r="L10251" s="82"/>
    </row>
    <row r="10252" spans="1:13" ht="132" customHeight="1" x14ac:dyDescent="0.3">
      <c r="A10252" s="2">
        <v>10250</v>
      </c>
      <c r="B10252" s="106" t="s">
        <v>17971</v>
      </c>
      <c r="C10252" s="66">
        <v>41012500013</v>
      </c>
      <c r="D10252" s="97">
        <v>422740</v>
      </c>
      <c r="E10252" s="97">
        <v>422740</v>
      </c>
      <c r="F10252" s="11" t="s">
        <v>12545</v>
      </c>
      <c r="G10252" s="2" t="s">
        <v>16270</v>
      </c>
      <c r="H10252" s="2"/>
      <c r="I10252" s="2"/>
      <c r="J10252" s="2" t="s">
        <v>13904</v>
      </c>
      <c r="K10252" s="2" t="s">
        <v>18539</v>
      </c>
      <c r="L10252" s="82" t="s">
        <v>18696</v>
      </c>
    </row>
    <row r="10253" spans="1:13" ht="132" customHeight="1" x14ac:dyDescent="0.3">
      <c r="A10253" s="2">
        <v>10251</v>
      </c>
      <c r="B10253" s="82" t="s">
        <v>17968</v>
      </c>
      <c r="C10253" s="82">
        <v>41012400008</v>
      </c>
      <c r="D10253" s="22">
        <v>2299523.3199999998</v>
      </c>
      <c r="E10253" s="22">
        <v>126584.55</v>
      </c>
      <c r="F10253" s="11" t="s">
        <v>12545</v>
      </c>
      <c r="G10253" s="2" t="s">
        <v>16270</v>
      </c>
      <c r="H10253" s="2"/>
      <c r="I10253" s="2"/>
      <c r="J10253" s="2" t="s">
        <v>13904</v>
      </c>
      <c r="K10253" s="2" t="s">
        <v>18539</v>
      </c>
      <c r="L10253" s="82" t="s">
        <v>18696</v>
      </c>
    </row>
    <row r="10254" spans="1:13" ht="132" customHeight="1" x14ac:dyDescent="0.3">
      <c r="A10254" s="2">
        <v>10252</v>
      </c>
      <c r="B10254" s="82" t="s">
        <v>17969</v>
      </c>
      <c r="C10254" s="82">
        <v>41012400007</v>
      </c>
      <c r="D10254" s="22">
        <v>1008278.88</v>
      </c>
      <c r="E10254" s="22">
        <v>58816.24</v>
      </c>
      <c r="F10254" s="11" t="s">
        <v>12545</v>
      </c>
      <c r="G10254" s="2" t="s">
        <v>16270</v>
      </c>
      <c r="H10254" s="2"/>
      <c r="I10254" s="2"/>
      <c r="J10254" s="2" t="s">
        <v>13904</v>
      </c>
      <c r="K10254" s="2" t="s">
        <v>18539</v>
      </c>
      <c r="L10254" s="82" t="s">
        <v>18696</v>
      </c>
    </row>
    <row r="10255" spans="1:13" ht="132" customHeight="1" x14ac:dyDescent="0.3">
      <c r="A10255" s="2">
        <v>10253</v>
      </c>
      <c r="B10255" s="52" t="s">
        <v>16279</v>
      </c>
      <c r="C10255" s="66">
        <v>41012500014</v>
      </c>
      <c r="D10255" s="43">
        <v>258750</v>
      </c>
      <c r="E10255" s="43">
        <v>258750</v>
      </c>
      <c r="F10255" s="11" t="s">
        <v>12545</v>
      </c>
      <c r="G10255" s="2" t="s">
        <v>16271</v>
      </c>
      <c r="H10255" s="2"/>
      <c r="I10255" s="2"/>
      <c r="J10255" s="2" t="s">
        <v>13904</v>
      </c>
      <c r="K10255" s="2" t="s">
        <v>18539</v>
      </c>
      <c r="L10255" s="82" t="s">
        <v>18696</v>
      </c>
    </row>
    <row r="10256" spans="1:13" ht="132" customHeight="1" x14ac:dyDescent="0.3">
      <c r="A10256" s="2">
        <v>10254</v>
      </c>
      <c r="B10256" s="38" t="s">
        <v>16272</v>
      </c>
      <c r="C10256" s="66">
        <v>41012500012</v>
      </c>
      <c r="D10256" s="39">
        <v>167000</v>
      </c>
      <c r="E10256" s="39">
        <v>167000</v>
      </c>
      <c r="F10256" s="11" t="s">
        <v>12545</v>
      </c>
      <c r="G10256" s="2" t="s">
        <v>16273</v>
      </c>
      <c r="H10256" s="2"/>
      <c r="I10256" s="2"/>
      <c r="J10256" s="2" t="s">
        <v>13904</v>
      </c>
      <c r="K10256" s="2" t="s">
        <v>18539</v>
      </c>
      <c r="L10256" s="82" t="s">
        <v>18696</v>
      </c>
    </row>
    <row r="10257" spans="1:15" ht="84" customHeight="1" x14ac:dyDescent="0.3">
      <c r="A10257" s="2">
        <v>10255</v>
      </c>
      <c r="B10257" s="2" t="s">
        <v>16348</v>
      </c>
      <c r="C10257" s="2">
        <v>565</v>
      </c>
      <c r="D10257" s="11">
        <v>685584.75</v>
      </c>
      <c r="E10257" s="11">
        <v>171396.12</v>
      </c>
      <c r="F10257" s="62" t="s">
        <v>12545</v>
      </c>
      <c r="G10257" s="2" t="s">
        <v>16349</v>
      </c>
      <c r="H10257" s="11"/>
      <c r="I10257" s="2"/>
      <c r="J10257" s="2" t="s">
        <v>13904</v>
      </c>
      <c r="K10257" s="2" t="s">
        <v>18543</v>
      </c>
      <c r="L10257" s="82"/>
    </row>
    <row r="10258" spans="1:15" s="19" customFormat="1" ht="108" customHeight="1" x14ac:dyDescent="0.3">
      <c r="A10258" s="205">
        <v>10256</v>
      </c>
      <c r="B10258" s="66" t="s">
        <v>16393</v>
      </c>
      <c r="C10258" s="66"/>
      <c r="D10258" s="11">
        <v>2542397.4</v>
      </c>
      <c r="E10258" s="11"/>
      <c r="F10258" s="3">
        <v>42578</v>
      </c>
      <c r="G10258" s="2" t="s">
        <v>16254</v>
      </c>
      <c r="H10258" s="2"/>
      <c r="I10258" s="2"/>
      <c r="J10258" s="2" t="s">
        <v>12550</v>
      </c>
      <c r="K10258" s="2"/>
      <c r="L10258" s="2"/>
      <c r="M10258" s="18"/>
      <c r="N10258" s="18"/>
      <c r="O10258" s="18"/>
    </row>
    <row r="10259" spans="1:15" s="19" customFormat="1" ht="84" customHeight="1" x14ac:dyDescent="0.3">
      <c r="A10259" s="2">
        <v>10257</v>
      </c>
      <c r="B10259" s="66" t="s">
        <v>16460</v>
      </c>
      <c r="C10259" s="99" t="s">
        <v>16459</v>
      </c>
      <c r="D10259" s="25">
        <v>100000</v>
      </c>
      <c r="E10259" s="11">
        <v>30000.240000000002</v>
      </c>
      <c r="F10259" s="3">
        <v>42667</v>
      </c>
      <c r="G10259" s="2" t="s">
        <v>16458</v>
      </c>
      <c r="H10259" s="2"/>
      <c r="I10259" s="2"/>
      <c r="J10259" s="2" t="s">
        <v>13904</v>
      </c>
      <c r="K10259" s="2" t="s">
        <v>18565</v>
      </c>
      <c r="L10259" s="2"/>
      <c r="M10259" s="18"/>
      <c r="N10259" s="18"/>
      <c r="O10259" s="18"/>
    </row>
    <row r="10260" spans="1:15" ht="84" customHeight="1" x14ac:dyDescent="0.3">
      <c r="A10260" s="2">
        <v>10258</v>
      </c>
      <c r="B10260" s="66" t="s">
        <v>16460</v>
      </c>
      <c r="C10260" s="99" t="s">
        <v>16461</v>
      </c>
      <c r="D10260" s="43">
        <v>65000</v>
      </c>
      <c r="E10260" s="11">
        <v>19500</v>
      </c>
      <c r="F10260" s="3">
        <v>42667</v>
      </c>
      <c r="G10260" s="2" t="s">
        <v>16458</v>
      </c>
      <c r="H10260" s="2"/>
      <c r="I10260" s="2"/>
      <c r="J10260" s="2" t="s">
        <v>13904</v>
      </c>
      <c r="K10260" s="2" t="s">
        <v>18565</v>
      </c>
      <c r="L10260" s="2"/>
    </row>
    <row r="10261" spans="1:15" ht="84" customHeight="1" x14ac:dyDescent="0.3">
      <c r="A10261" s="2">
        <v>10259</v>
      </c>
      <c r="B10261" s="66" t="s">
        <v>16462</v>
      </c>
      <c r="C10261" s="99" t="s">
        <v>16463</v>
      </c>
      <c r="D10261" s="11">
        <v>627118.64</v>
      </c>
      <c r="E10261" s="11">
        <v>294555.8</v>
      </c>
      <c r="F10261" s="3">
        <v>42667</v>
      </c>
      <c r="G10261" s="2" t="s">
        <v>16458</v>
      </c>
      <c r="H10261" s="2"/>
      <c r="I10261" s="2"/>
      <c r="J10261" s="2" t="s">
        <v>13904</v>
      </c>
      <c r="K10261" s="2" t="s">
        <v>18565</v>
      </c>
      <c r="L10261" s="2"/>
    </row>
    <row r="10262" spans="1:15" ht="84" customHeight="1" x14ac:dyDescent="0.3">
      <c r="A10262" s="2">
        <v>10260</v>
      </c>
      <c r="B10262" s="38" t="s">
        <v>16464</v>
      </c>
      <c r="C10262" s="99" t="s">
        <v>16465</v>
      </c>
      <c r="D10262" s="11">
        <v>63356.27</v>
      </c>
      <c r="E10262" s="11">
        <v>45405.42</v>
      </c>
      <c r="F10262" s="3">
        <v>42667</v>
      </c>
      <c r="G10262" s="2" t="s">
        <v>16458</v>
      </c>
      <c r="H10262" s="2"/>
      <c r="I10262" s="2"/>
      <c r="J10262" s="2" t="s">
        <v>13904</v>
      </c>
      <c r="K10262" s="2" t="s">
        <v>18565</v>
      </c>
      <c r="L10262" s="2"/>
    </row>
    <row r="10263" spans="1:15" ht="84" customHeight="1" x14ac:dyDescent="0.3">
      <c r="A10263" s="2">
        <v>10261</v>
      </c>
      <c r="B10263" s="66" t="s">
        <v>16466</v>
      </c>
      <c r="C10263" s="99" t="s">
        <v>16467</v>
      </c>
      <c r="D10263" s="11">
        <v>51779.66</v>
      </c>
      <c r="E10263" s="11">
        <v>7453.13</v>
      </c>
      <c r="F10263" s="3">
        <v>42667</v>
      </c>
      <c r="G10263" s="2" t="s">
        <v>16458</v>
      </c>
      <c r="H10263" s="2"/>
      <c r="I10263" s="2"/>
      <c r="J10263" s="2" t="s">
        <v>13904</v>
      </c>
      <c r="K10263" s="2" t="s">
        <v>18565</v>
      </c>
      <c r="L10263" s="2"/>
    </row>
    <row r="10264" spans="1:15" ht="84" customHeight="1" x14ac:dyDescent="0.3">
      <c r="A10264" s="2">
        <v>10262</v>
      </c>
      <c r="B10264" s="66" t="s">
        <v>16470</v>
      </c>
      <c r="C10264" s="99" t="s">
        <v>16468</v>
      </c>
      <c r="D10264" s="11">
        <v>99411.86</v>
      </c>
      <c r="E10264" s="11">
        <v>52467.360000000001</v>
      </c>
      <c r="F10264" s="3">
        <v>42667</v>
      </c>
      <c r="G10264" s="2" t="s">
        <v>16458</v>
      </c>
      <c r="H10264" s="2" t="s">
        <v>21346</v>
      </c>
      <c r="I10264" s="2" t="s">
        <v>21347</v>
      </c>
      <c r="J10264" s="2" t="s">
        <v>13904</v>
      </c>
      <c r="K10264" s="2" t="s">
        <v>18565</v>
      </c>
      <c r="L10264" s="2"/>
    </row>
    <row r="10265" spans="1:15" ht="84" customHeight="1" x14ac:dyDescent="0.3">
      <c r="A10265" s="2">
        <v>10263</v>
      </c>
      <c r="B10265" s="66" t="s">
        <v>16471</v>
      </c>
      <c r="C10265" s="99" t="s">
        <v>16469</v>
      </c>
      <c r="D10265" s="11">
        <v>99411.86</v>
      </c>
      <c r="E10265" s="11">
        <v>0</v>
      </c>
      <c r="F10265" s="3">
        <v>42667</v>
      </c>
      <c r="G10265" s="2" t="s">
        <v>16458</v>
      </c>
      <c r="H10265" s="2" t="s">
        <v>21346</v>
      </c>
      <c r="I10265" s="2" t="s">
        <v>21347</v>
      </c>
      <c r="J10265" s="2" t="s">
        <v>13904</v>
      </c>
      <c r="K10265" s="2" t="s">
        <v>18565</v>
      </c>
      <c r="L10265" s="2"/>
    </row>
    <row r="10266" spans="1:15" ht="84" customHeight="1" x14ac:dyDescent="0.3">
      <c r="A10266" s="2">
        <v>10264</v>
      </c>
      <c r="B10266" s="66" t="s">
        <v>16472</v>
      </c>
      <c r="C10266" s="99" t="s">
        <v>16473</v>
      </c>
      <c r="D10266" s="11">
        <v>194915.25</v>
      </c>
      <c r="E10266" s="11">
        <v>71358.86</v>
      </c>
      <c r="F10266" s="3">
        <v>42667</v>
      </c>
      <c r="G10266" s="2" t="s">
        <v>16458</v>
      </c>
      <c r="H10266" s="2"/>
      <c r="I10266" s="2"/>
      <c r="J10266" s="2" t="s">
        <v>13904</v>
      </c>
      <c r="K10266" s="2" t="s">
        <v>18565</v>
      </c>
      <c r="L10266" s="2"/>
    </row>
    <row r="10267" spans="1:15" ht="84" customHeight="1" x14ac:dyDescent="0.3">
      <c r="A10267" s="2">
        <v>10265</v>
      </c>
      <c r="B10267" s="66" t="s">
        <v>16475</v>
      </c>
      <c r="C10267" s="99" t="s">
        <v>16474</v>
      </c>
      <c r="D10267" s="11">
        <v>136250</v>
      </c>
      <c r="E10267" s="11">
        <v>0</v>
      </c>
      <c r="F10267" s="3">
        <v>42667</v>
      </c>
      <c r="G10267" s="2" t="s">
        <v>16458</v>
      </c>
      <c r="H10267" s="2" t="s">
        <v>21346</v>
      </c>
      <c r="I10267" s="2" t="s">
        <v>21347</v>
      </c>
      <c r="J10267" s="2" t="s">
        <v>13904</v>
      </c>
      <c r="K10267" s="2" t="s">
        <v>18565</v>
      </c>
      <c r="L10267" s="2"/>
    </row>
    <row r="10268" spans="1:15" s="19" customFormat="1" ht="84" customHeight="1" x14ac:dyDescent="0.3">
      <c r="A10268" s="2">
        <v>10266</v>
      </c>
      <c r="B10268" s="66" t="s">
        <v>16476</v>
      </c>
      <c r="C10268" s="99" t="s">
        <v>16477</v>
      </c>
      <c r="D10268" s="25">
        <v>81000</v>
      </c>
      <c r="E10268" s="11">
        <v>48937.5</v>
      </c>
      <c r="F10268" s="3">
        <v>42667</v>
      </c>
      <c r="G10268" s="2" t="s">
        <v>16458</v>
      </c>
      <c r="H10268" s="2"/>
      <c r="I10268" s="2"/>
      <c r="J10268" s="2" t="s">
        <v>13904</v>
      </c>
      <c r="K10268" s="2" t="s">
        <v>18565</v>
      </c>
      <c r="L10268" s="2"/>
      <c r="M10268" s="18"/>
      <c r="N10268" s="18"/>
      <c r="O10268" s="18"/>
    </row>
    <row r="10269" spans="1:15" ht="84" customHeight="1" x14ac:dyDescent="0.3">
      <c r="A10269" s="2">
        <v>10267</v>
      </c>
      <c r="B10269" s="82" t="s">
        <v>16478</v>
      </c>
      <c r="C10269" s="99" t="s">
        <v>16479</v>
      </c>
      <c r="D10269" s="11">
        <v>58607.63</v>
      </c>
      <c r="E10269" s="11">
        <v>0</v>
      </c>
      <c r="F10269" s="3">
        <v>42667</v>
      </c>
      <c r="G10269" s="2" t="s">
        <v>16458</v>
      </c>
      <c r="H10269" s="2"/>
      <c r="I10269" s="2"/>
      <c r="J10269" s="2" t="s">
        <v>13904</v>
      </c>
      <c r="K10269" s="2" t="s">
        <v>18565</v>
      </c>
      <c r="L10269" s="2"/>
    </row>
    <row r="10270" spans="1:15" ht="84" customHeight="1" x14ac:dyDescent="0.3">
      <c r="A10270" s="2">
        <v>10268</v>
      </c>
      <c r="B10270" s="83" t="s">
        <v>16480</v>
      </c>
      <c r="C10270" s="99" t="s">
        <v>16481</v>
      </c>
      <c r="D10270" s="11">
        <v>50847.46</v>
      </c>
      <c r="E10270" s="11">
        <v>30266.5</v>
      </c>
      <c r="F10270" s="3">
        <v>42667</v>
      </c>
      <c r="G10270" s="2" t="s">
        <v>16458</v>
      </c>
      <c r="H10270" s="2"/>
      <c r="I10270" s="2"/>
      <c r="J10270" s="2" t="s">
        <v>13904</v>
      </c>
      <c r="K10270" s="2" t="s">
        <v>18565</v>
      </c>
      <c r="L10270" s="2"/>
    </row>
    <row r="10271" spans="1:15" ht="84" customHeight="1" x14ac:dyDescent="0.3">
      <c r="A10271" s="2">
        <v>10269</v>
      </c>
      <c r="B10271" s="82" t="s">
        <v>16482</v>
      </c>
      <c r="C10271" s="99" t="s">
        <v>16483</v>
      </c>
      <c r="D10271" s="11">
        <v>401271.19</v>
      </c>
      <c r="E10271" s="11">
        <v>188475.66</v>
      </c>
      <c r="F10271" s="3">
        <v>42667</v>
      </c>
      <c r="G10271" s="2" t="s">
        <v>16458</v>
      </c>
      <c r="H10271" s="2"/>
      <c r="I10271" s="2"/>
      <c r="J10271" s="2" t="s">
        <v>13904</v>
      </c>
      <c r="K10271" s="2" t="s">
        <v>18565</v>
      </c>
      <c r="L10271" s="2"/>
    </row>
    <row r="10272" spans="1:15" ht="84" customHeight="1" x14ac:dyDescent="0.3">
      <c r="A10272" s="2">
        <v>10270</v>
      </c>
      <c r="B10272" s="72" t="s">
        <v>16485</v>
      </c>
      <c r="C10272" s="99" t="s">
        <v>16484</v>
      </c>
      <c r="D10272" s="11">
        <v>84745.76</v>
      </c>
      <c r="E10272" s="11">
        <v>65913.399999999994</v>
      </c>
      <c r="F10272" s="3">
        <v>42667</v>
      </c>
      <c r="G10272" s="2" t="s">
        <v>16458</v>
      </c>
      <c r="H10272" s="2"/>
      <c r="I10272" s="2"/>
      <c r="J10272" s="2" t="s">
        <v>13904</v>
      </c>
      <c r="K10272" s="2" t="s">
        <v>18565</v>
      </c>
      <c r="L10272" s="2"/>
    </row>
    <row r="10273" spans="1:15" ht="84" customHeight="1" x14ac:dyDescent="0.3">
      <c r="A10273" s="2">
        <v>10271</v>
      </c>
      <c r="B10273" s="66" t="s">
        <v>16486</v>
      </c>
      <c r="C10273" s="99" t="s">
        <v>16487</v>
      </c>
      <c r="D10273" s="11">
        <v>47237.55</v>
      </c>
      <c r="E10273" s="11">
        <v>28409.13</v>
      </c>
      <c r="F10273" s="3">
        <v>42667</v>
      </c>
      <c r="G10273" s="2" t="s">
        <v>16458</v>
      </c>
      <c r="H10273" s="2"/>
      <c r="I10273" s="2"/>
      <c r="J10273" s="2" t="s">
        <v>13904</v>
      </c>
      <c r="K10273" s="2" t="s">
        <v>18565</v>
      </c>
      <c r="L10273" s="2"/>
    </row>
    <row r="10274" spans="1:15" ht="84" customHeight="1" x14ac:dyDescent="0.3">
      <c r="A10274" s="2">
        <v>10272</v>
      </c>
      <c r="B10274" s="82" t="s">
        <v>16488</v>
      </c>
      <c r="C10274" s="99" t="s">
        <v>16489</v>
      </c>
      <c r="D10274" s="11">
        <v>50505.08</v>
      </c>
      <c r="E10274" s="11">
        <v>28409.13</v>
      </c>
      <c r="F10274" s="3">
        <v>42667</v>
      </c>
      <c r="G10274" s="2" t="s">
        <v>16458</v>
      </c>
      <c r="H10274" s="2"/>
      <c r="I10274" s="2"/>
      <c r="J10274" s="2" t="s">
        <v>13904</v>
      </c>
      <c r="K10274" s="2" t="s">
        <v>18565</v>
      </c>
      <c r="L10274" s="2"/>
    </row>
    <row r="10275" spans="1:15" ht="84" customHeight="1" x14ac:dyDescent="0.3">
      <c r="A10275" s="2">
        <v>10273</v>
      </c>
      <c r="B10275" s="82" t="s">
        <v>16491</v>
      </c>
      <c r="C10275" s="99" t="s">
        <v>16490</v>
      </c>
      <c r="D10275" s="11">
        <v>47745.760000000002</v>
      </c>
      <c r="E10275" s="11">
        <v>18085.5</v>
      </c>
      <c r="F10275" s="3">
        <v>42667</v>
      </c>
      <c r="G10275" s="2" t="s">
        <v>16458</v>
      </c>
      <c r="H10275" s="2"/>
      <c r="I10275" s="2"/>
      <c r="J10275" s="2" t="s">
        <v>13904</v>
      </c>
      <c r="K10275" s="2" t="s">
        <v>18565</v>
      </c>
      <c r="L10275" s="2"/>
    </row>
    <row r="10276" spans="1:15" ht="84" customHeight="1" x14ac:dyDescent="0.3">
      <c r="A10276" s="2">
        <v>10274</v>
      </c>
      <c r="B10276" s="82" t="s">
        <v>16491</v>
      </c>
      <c r="C10276" s="99" t="s">
        <v>16492</v>
      </c>
      <c r="D10276" s="11">
        <v>47745.71</v>
      </c>
      <c r="E10276" s="11">
        <v>18085.5</v>
      </c>
      <c r="F10276" s="3">
        <v>42667</v>
      </c>
      <c r="G10276" s="2" t="s">
        <v>16458</v>
      </c>
      <c r="H10276" s="2"/>
      <c r="I10276" s="2"/>
      <c r="J10276" s="2" t="s">
        <v>13904</v>
      </c>
      <c r="K10276" s="2" t="s">
        <v>18565</v>
      </c>
      <c r="L10276" s="2"/>
    </row>
    <row r="10277" spans="1:15" ht="84" customHeight="1" x14ac:dyDescent="0.3">
      <c r="A10277" s="2">
        <v>10275</v>
      </c>
      <c r="B10277" s="66" t="s">
        <v>16493</v>
      </c>
      <c r="C10277" s="99" t="s">
        <v>16494</v>
      </c>
      <c r="D10277" s="11">
        <v>50847.46</v>
      </c>
      <c r="E10277" s="11">
        <v>16949.12</v>
      </c>
      <c r="F10277" s="3">
        <v>42667</v>
      </c>
      <c r="G10277" s="2" t="s">
        <v>16458</v>
      </c>
      <c r="H10277" s="2"/>
      <c r="I10277" s="2"/>
      <c r="J10277" s="2" t="s">
        <v>13904</v>
      </c>
      <c r="K10277" s="2" t="s">
        <v>18565</v>
      </c>
      <c r="L10277" s="2"/>
    </row>
    <row r="10278" spans="1:15" ht="84" customHeight="1" x14ac:dyDescent="0.3">
      <c r="A10278" s="2">
        <v>10276</v>
      </c>
      <c r="B10278" s="66" t="s">
        <v>16495</v>
      </c>
      <c r="C10278" s="99" t="s">
        <v>16496</v>
      </c>
      <c r="D10278" s="11">
        <v>110000</v>
      </c>
      <c r="E10278" s="11">
        <v>29791.58</v>
      </c>
      <c r="F10278" s="3">
        <v>42667</v>
      </c>
      <c r="G10278" s="2" t="s">
        <v>16458</v>
      </c>
      <c r="H10278" s="2"/>
      <c r="I10278" s="2"/>
      <c r="J10278" s="2" t="s">
        <v>13904</v>
      </c>
      <c r="K10278" s="2" t="s">
        <v>18565</v>
      </c>
      <c r="L10278" s="2"/>
    </row>
    <row r="10279" spans="1:15" ht="84" customHeight="1" x14ac:dyDescent="0.3">
      <c r="A10279" s="2">
        <v>10277</v>
      </c>
      <c r="B10279" s="66" t="s">
        <v>16497</v>
      </c>
      <c r="C10279" s="99" t="s">
        <v>16498</v>
      </c>
      <c r="D10279" s="11">
        <v>56400</v>
      </c>
      <c r="E10279" s="11">
        <v>28200</v>
      </c>
      <c r="F10279" s="3">
        <v>42667</v>
      </c>
      <c r="G10279" s="2" t="s">
        <v>16458</v>
      </c>
      <c r="H10279" s="2"/>
      <c r="I10279" s="2"/>
      <c r="J10279" s="2" t="s">
        <v>13904</v>
      </c>
      <c r="K10279" s="2" t="s">
        <v>18565</v>
      </c>
      <c r="L10279" s="2"/>
    </row>
    <row r="10280" spans="1:15" ht="84" customHeight="1" x14ac:dyDescent="0.3">
      <c r="A10280" s="2">
        <v>10278</v>
      </c>
      <c r="B10280" s="66" t="s">
        <v>16499</v>
      </c>
      <c r="C10280" s="99" t="s">
        <v>16500</v>
      </c>
      <c r="D10280" s="11">
        <v>801689.91</v>
      </c>
      <c r="E10280" s="11">
        <v>151430.22</v>
      </c>
      <c r="F10280" s="3">
        <v>42667</v>
      </c>
      <c r="G10280" s="2" t="s">
        <v>16458</v>
      </c>
      <c r="H10280" s="2"/>
      <c r="I10280" s="2"/>
      <c r="J10280" s="2" t="s">
        <v>13904</v>
      </c>
      <c r="K10280" s="2" t="s">
        <v>18565</v>
      </c>
      <c r="L10280" s="2"/>
    </row>
    <row r="10281" spans="1:15" ht="84" customHeight="1" x14ac:dyDescent="0.3">
      <c r="A10281" s="2">
        <v>10279</v>
      </c>
      <c r="B10281" s="82" t="s">
        <v>16501</v>
      </c>
      <c r="C10281" s="99" t="s">
        <v>16502</v>
      </c>
      <c r="D10281" s="11">
        <v>282696.5</v>
      </c>
      <c r="E10281" s="11">
        <v>114424.62</v>
      </c>
      <c r="F10281" s="3">
        <v>42667</v>
      </c>
      <c r="G10281" s="2" t="s">
        <v>16458</v>
      </c>
      <c r="H10281" s="2"/>
      <c r="I10281" s="2"/>
      <c r="J10281" s="2" t="s">
        <v>13904</v>
      </c>
      <c r="K10281" s="2" t="s">
        <v>18565</v>
      </c>
      <c r="L10281" s="2"/>
    </row>
    <row r="10282" spans="1:15" ht="84" customHeight="1" x14ac:dyDescent="0.3">
      <c r="A10282" s="2">
        <v>10280</v>
      </c>
      <c r="B10282" s="82" t="s">
        <v>16503</v>
      </c>
      <c r="C10282" s="99" t="s">
        <v>16504</v>
      </c>
      <c r="D10282" s="11">
        <v>264600</v>
      </c>
      <c r="E10282" s="11">
        <v>22050</v>
      </c>
      <c r="F10282" s="3">
        <v>42667</v>
      </c>
      <c r="G10282" s="2" t="s">
        <v>16458</v>
      </c>
      <c r="H10282" s="2"/>
      <c r="I10282" s="2"/>
      <c r="J10282" s="2" t="s">
        <v>13904</v>
      </c>
      <c r="K10282" s="2" t="s">
        <v>18565</v>
      </c>
      <c r="L10282" s="2"/>
    </row>
    <row r="10283" spans="1:15" s="19" customFormat="1" ht="84" customHeight="1" x14ac:dyDescent="0.3">
      <c r="A10283" s="2">
        <v>10281</v>
      </c>
      <c r="B10283" s="2" t="s">
        <v>16505</v>
      </c>
      <c r="C10283" s="99" t="s">
        <v>16506</v>
      </c>
      <c r="D10283" s="11">
        <v>47881.36</v>
      </c>
      <c r="E10283" s="11">
        <v>17048.78</v>
      </c>
      <c r="F10283" s="3">
        <v>42667</v>
      </c>
      <c r="G10283" s="2" t="s">
        <v>16458</v>
      </c>
      <c r="H10283" s="2"/>
      <c r="I10283" s="2"/>
      <c r="J10283" s="2" t="s">
        <v>13904</v>
      </c>
      <c r="K10283" s="2" t="s">
        <v>18565</v>
      </c>
      <c r="L10283" s="2"/>
      <c r="M10283" s="18"/>
      <c r="N10283" s="18"/>
      <c r="O10283" s="18"/>
    </row>
    <row r="10284" spans="1:15" ht="84" customHeight="1" x14ac:dyDescent="0.3">
      <c r="A10284" s="2">
        <v>10282</v>
      </c>
      <c r="B10284" s="105" t="s">
        <v>16507</v>
      </c>
      <c r="C10284" s="105" t="s">
        <v>16508</v>
      </c>
      <c r="D10284" s="105">
        <v>12000</v>
      </c>
      <c r="E10284" s="105">
        <v>12000</v>
      </c>
      <c r="F10284" s="3">
        <v>42676</v>
      </c>
      <c r="G10284" s="2" t="s">
        <v>16527</v>
      </c>
      <c r="H10284" s="2"/>
      <c r="I10284" s="2"/>
      <c r="J10284" s="2" t="s">
        <v>13904</v>
      </c>
      <c r="K10284" s="2" t="s">
        <v>18545</v>
      </c>
      <c r="L10284" s="82"/>
    </row>
    <row r="10285" spans="1:15" ht="84" customHeight="1" x14ac:dyDescent="0.3">
      <c r="A10285" s="2">
        <v>10283</v>
      </c>
      <c r="B10285" s="105" t="s">
        <v>16507</v>
      </c>
      <c r="C10285" s="105" t="s">
        <v>16509</v>
      </c>
      <c r="D10285" s="105">
        <v>12000</v>
      </c>
      <c r="E10285" s="105">
        <v>12000</v>
      </c>
      <c r="F10285" s="3">
        <v>42676</v>
      </c>
      <c r="G10285" s="2" t="s">
        <v>16527</v>
      </c>
      <c r="H10285" s="2"/>
      <c r="I10285" s="2"/>
      <c r="J10285" s="2" t="s">
        <v>13904</v>
      </c>
      <c r="K10285" s="2" t="s">
        <v>18545</v>
      </c>
      <c r="L10285" s="82"/>
    </row>
    <row r="10286" spans="1:15" ht="84" customHeight="1" x14ac:dyDescent="0.3">
      <c r="A10286" s="2">
        <v>10284</v>
      </c>
      <c r="B10286" s="105" t="s">
        <v>16507</v>
      </c>
      <c r="C10286" s="105" t="s">
        <v>16510</v>
      </c>
      <c r="D10286" s="105">
        <v>12000</v>
      </c>
      <c r="E10286" s="105">
        <v>12000</v>
      </c>
      <c r="F10286" s="3">
        <v>42676</v>
      </c>
      <c r="G10286" s="2" t="s">
        <v>16527</v>
      </c>
      <c r="H10286" s="2"/>
      <c r="I10286" s="2"/>
      <c r="J10286" s="2" t="s">
        <v>13904</v>
      </c>
      <c r="K10286" s="2" t="s">
        <v>18545</v>
      </c>
      <c r="L10286" s="82"/>
    </row>
    <row r="10287" spans="1:15" ht="84" customHeight="1" x14ac:dyDescent="0.3">
      <c r="A10287" s="2">
        <v>10285</v>
      </c>
      <c r="B10287" s="105" t="s">
        <v>16507</v>
      </c>
      <c r="C10287" s="105" t="s">
        <v>16511</v>
      </c>
      <c r="D10287" s="105">
        <v>12000</v>
      </c>
      <c r="E10287" s="105">
        <v>12000</v>
      </c>
      <c r="F10287" s="3">
        <v>42676</v>
      </c>
      <c r="G10287" s="2" t="s">
        <v>16527</v>
      </c>
      <c r="H10287" s="2"/>
      <c r="I10287" s="2"/>
      <c r="J10287" s="2" t="s">
        <v>13904</v>
      </c>
      <c r="K10287" s="2" t="s">
        <v>18545</v>
      </c>
      <c r="L10287" s="82"/>
    </row>
    <row r="10288" spans="1:15" ht="84" customHeight="1" x14ac:dyDescent="0.3">
      <c r="A10288" s="2">
        <v>10286</v>
      </c>
      <c r="B10288" s="105" t="s">
        <v>16507</v>
      </c>
      <c r="C10288" s="105" t="s">
        <v>16512</v>
      </c>
      <c r="D10288" s="105">
        <v>12000</v>
      </c>
      <c r="E10288" s="105">
        <v>12000</v>
      </c>
      <c r="F10288" s="3">
        <v>42676</v>
      </c>
      <c r="G10288" s="2" t="s">
        <v>16527</v>
      </c>
      <c r="H10288" s="2"/>
      <c r="I10288" s="2"/>
      <c r="J10288" s="2" t="s">
        <v>13904</v>
      </c>
      <c r="K10288" s="2" t="s">
        <v>18545</v>
      </c>
      <c r="L10288" s="82"/>
    </row>
    <row r="10289" spans="1:12" ht="84" customHeight="1" x14ac:dyDescent="0.3">
      <c r="A10289" s="2">
        <v>10287</v>
      </c>
      <c r="B10289" s="105" t="s">
        <v>16513</v>
      </c>
      <c r="C10289" s="105" t="s">
        <v>16514</v>
      </c>
      <c r="D10289" s="105">
        <v>13700</v>
      </c>
      <c r="E10289" s="105">
        <v>13700</v>
      </c>
      <c r="F10289" s="3">
        <v>42676</v>
      </c>
      <c r="G10289" s="2" t="s">
        <v>16527</v>
      </c>
      <c r="H10289" s="2"/>
      <c r="I10289" s="2"/>
      <c r="J10289" s="2" t="s">
        <v>13904</v>
      </c>
      <c r="K10289" s="2" t="s">
        <v>18545</v>
      </c>
      <c r="L10289" s="82"/>
    </row>
    <row r="10290" spans="1:12" ht="84" customHeight="1" x14ac:dyDescent="0.3">
      <c r="A10290" s="2">
        <v>10288</v>
      </c>
      <c r="B10290" s="105" t="s">
        <v>16513</v>
      </c>
      <c r="C10290" s="105" t="s">
        <v>16515</v>
      </c>
      <c r="D10290" s="105">
        <v>13700</v>
      </c>
      <c r="E10290" s="105">
        <v>13700</v>
      </c>
      <c r="F10290" s="3">
        <v>42676</v>
      </c>
      <c r="G10290" s="2" t="s">
        <v>16527</v>
      </c>
      <c r="H10290" s="2"/>
      <c r="I10290" s="2"/>
      <c r="J10290" s="2" t="s">
        <v>13904</v>
      </c>
      <c r="K10290" s="2" t="s">
        <v>18545</v>
      </c>
      <c r="L10290" s="82"/>
    </row>
    <row r="10291" spans="1:12" ht="84" customHeight="1" x14ac:dyDescent="0.3">
      <c r="A10291" s="2">
        <v>10289</v>
      </c>
      <c r="B10291" s="105" t="s">
        <v>16513</v>
      </c>
      <c r="C10291" s="105" t="s">
        <v>16516</v>
      </c>
      <c r="D10291" s="105">
        <v>13700</v>
      </c>
      <c r="E10291" s="105">
        <v>13700</v>
      </c>
      <c r="F10291" s="3">
        <v>42676</v>
      </c>
      <c r="G10291" s="2" t="s">
        <v>16527</v>
      </c>
      <c r="H10291" s="2"/>
      <c r="I10291" s="2"/>
      <c r="J10291" s="2" t="s">
        <v>13904</v>
      </c>
      <c r="K10291" s="2" t="s">
        <v>18545</v>
      </c>
      <c r="L10291" s="82"/>
    </row>
    <row r="10292" spans="1:12" ht="84" customHeight="1" x14ac:dyDescent="0.3">
      <c r="A10292" s="2">
        <v>10290</v>
      </c>
      <c r="B10292" s="105" t="s">
        <v>16513</v>
      </c>
      <c r="C10292" s="105" t="s">
        <v>16517</v>
      </c>
      <c r="D10292" s="105">
        <v>13700</v>
      </c>
      <c r="E10292" s="105">
        <v>13700</v>
      </c>
      <c r="F10292" s="3">
        <v>42676</v>
      </c>
      <c r="G10292" s="2" t="s">
        <v>16527</v>
      </c>
      <c r="H10292" s="2"/>
      <c r="I10292" s="2"/>
      <c r="J10292" s="2" t="s">
        <v>13904</v>
      </c>
      <c r="K10292" s="2" t="s">
        <v>18545</v>
      </c>
      <c r="L10292" s="82"/>
    </row>
    <row r="10293" spans="1:12" ht="84" customHeight="1" x14ac:dyDescent="0.3">
      <c r="A10293" s="2">
        <v>10291</v>
      </c>
      <c r="B10293" s="105" t="s">
        <v>16513</v>
      </c>
      <c r="C10293" s="105" t="s">
        <v>16518</v>
      </c>
      <c r="D10293" s="105">
        <v>13700</v>
      </c>
      <c r="E10293" s="105">
        <v>13700</v>
      </c>
      <c r="F10293" s="3">
        <v>42676</v>
      </c>
      <c r="G10293" s="2" t="s">
        <v>16527</v>
      </c>
      <c r="H10293" s="2"/>
      <c r="I10293" s="2"/>
      <c r="J10293" s="2" t="s">
        <v>13904</v>
      </c>
      <c r="K10293" s="2" t="s">
        <v>18545</v>
      </c>
      <c r="L10293" s="82"/>
    </row>
    <row r="10294" spans="1:12" ht="84" customHeight="1" x14ac:dyDescent="0.3">
      <c r="A10294" s="2">
        <v>10292</v>
      </c>
      <c r="B10294" s="105" t="s">
        <v>16513</v>
      </c>
      <c r="C10294" s="105" t="s">
        <v>16519</v>
      </c>
      <c r="D10294" s="105">
        <v>13700</v>
      </c>
      <c r="E10294" s="105">
        <v>13700</v>
      </c>
      <c r="F10294" s="3">
        <v>42676</v>
      </c>
      <c r="G10294" s="2" t="s">
        <v>16527</v>
      </c>
      <c r="H10294" s="2"/>
      <c r="I10294" s="2"/>
      <c r="J10294" s="2" t="s">
        <v>13904</v>
      </c>
      <c r="K10294" s="2" t="s">
        <v>18545</v>
      </c>
      <c r="L10294" s="82"/>
    </row>
    <row r="10295" spans="1:12" ht="84" customHeight="1" x14ac:dyDescent="0.3">
      <c r="A10295" s="2">
        <v>10293</v>
      </c>
      <c r="B10295" s="105" t="s">
        <v>16513</v>
      </c>
      <c r="C10295" s="105" t="s">
        <v>16520</v>
      </c>
      <c r="D10295" s="105">
        <v>13700</v>
      </c>
      <c r="E10295" s="105">
        <v>13700</v>
      </c>
      <c r="F10295" s="3">
        <v>42676</v>
      </c>
      <c r="G10295" s="2" t="s">
        <v>16527</v>
      </c>
      <c r="H10295" s="2"/>
      <c r="I10295" s="2"/>
      <c r="J10295" s="2" t="s">
        <v>13904</v>
      </c>
      <c r="K10295" s="2" t="s">
        <v>18545</v>
      </c>
      <c r="L10295" s="82"/>
    </row>
    <row r="10296" spans="1:12" ht="84" customHeight="1" x14ac:dyDescent="0.3">
      <c r="A10296" s="2">
        <v>10294</v>
      </c>
      <c r="B10296" s="105" t="s">
        <v>16521</v>
      </c>
      <c r="C10296" s="105" t="s">
        <v>16522</v>
      </c>
      <c r="D10296" s="105">
        <v>14228.09</v>
      </c>
      <c r="E10296" s="105">
        <v>14228.09</v>
      </c>
      <c r="F10296" s="3">
        <v>42676</v>
      </c>
      <c r="G10296" s="2" t="s">
        <v>16527</v>
      </c>
      <c r="H10296" s="2"/>
      <c r="I10296" s="2"/>
      <c r="J10296" s="2" t="s">
        <v>13904</v>
      </c>
      <c r="K10296" s="2" t="s">
        <v>18545</v>
      </c>
      <c r="L10296" s="82"/>
    </row>
    <row r="10297" spans="1:12" ht="84" customHeight="1" x14ac:dyDescent="0.3">
      <c r="A10297" s="2">
        <v>10295</v>
      </c>
      <c r="B10297" s="105" t="s">
        <v>16523</v>
      </c>
      <c r="C10297" s="105" t="s">
        <v>16524</v>
      </c>
      <c r="D10297" s="105">
        <v>13900</v>
      </c>
      <c r="E10297" s="105">
        <v>13900</v>
      </c>
      <c r="F10297" s="3">
        <v>42676</v>
      </c>
      <c r="G10297" s="2" t="s">
        <v>16527</v>
      </c>
      <c r="H10297" s="2"/>
      <c r="I10297" s="2"/>
      <c r="J10297" s="2" t="s">
        <v>13904</v>
      </c>
      <c r="K10297" s="2" t="s">
        <v>18545</v>
      </c>
      <c r="L10297" s="82"/>
    </row>
    <row r="10298" spans="1:12" ht="84" customHeight="1" x14ac:dyDescent="0.3">
      <c r="A10298" s="2">
        <v>10296</v>
      </c>
      <c r="B10298" s="105" t="s">
        <v>16525</v>
      </c>
      <c r="C10298" s="105" t="s">
        <v>16526</v>
      </c>
      <c r="D10298" s="105">
        <v>13900</v>
      </c>
      <c r="E10298" s="105">
        <v>13900</v>
      </c>
      <c r="F10298" s="3">
        <v>42676</v>
      </c>
      <c r="G10298" s="2" t="s">
        <v>16527</v>
      </c>
      <c r="H10298" s="2"/>
      <c r="I10298" s="2"/>
      <c r="J10298" s="2" t="s">
        <v>13904</v>
      </c>
      <c r="K10298" s="2" t="s">
        <v>18545</v>
      </c>
      <c r="L10298" s="82"/>
    </row>
    <row r="10299" spans="1:12" ht="84" customHeight="1" x14ac:dyDescent="0.3">
      <c r="A10299" s="2">
        <v>10297</v>
      </c>
      <c r="B10299" s="82" t="s">
        <v>16624</v>
      </c>
      <c r="C10299" s="82">
        <v>345200252</v>
      </c>
      <c r="D10299" s="43">
        <v>54450</v>
      </c>
      <c r="E10299" s="43">
        <v>54450</v>
      </c>
      <c r="F10299" s="3">
        <v>42403</v>
      </c>
      <c r="G10299" s="66" t="s">
        <v>12547</v>
      </c>
      <c r="H10299" s="207" t="s">
        <v>23596</v>
      </c>
      <c r="I10299" s="66" t="s">
        <v>23597</v>
      </c>
      <c r="J10299" s="2" t="s">
        <v>12550</v>
      </c>
      <c r="K10299" s="2"/>
      <c r="L10299" s="82"/>
    </row>
    <row r="10300" spans="1:12" ht="84" customHeight="1" x14ac:dyDescent="0.3">
      <c r="A10300" s="2">
        <v>10298</v>
      </c>
      <c r="B10300" s="82" t="s">
        <v>16613</v>
      </c>
      <c r="C10300" s="82">
        <v>345200275</v>
      </c>
      <c r="D10300" s="43">
        <v>13167</v>
      </c>
      <c r="E10300" s="43">
        <v>13167</v>
      </c>
      <c r="F10300" s="3">
        <v>42403</v>
      </c>
      <c r="G10300" s="66" t="s">
        <v>12547</v>
      </c>
      <c r="H10300" s="2"/>
      <c r="I10300" s="2"/>
      <c r="J10300" s="2" t="s">
        <v>12550</v>
      </c>
      <c r="K10300" s="2"/>
      <c r="L10300" s="82"/>
    </row>
    <row r="10301" spans="1:12" ht="84" customHeight="1" x14ac:dyDescent="0.3">
      <c r="A10301" s="2">
        <v>10299</v>
      </c>
      <c r="B10301" s="82" t="s">
        <v>16613</v>
      </c>
      <c r="C10301" s="82">
        <v>345200276</v>
      </c>
      <c r="D10301" s="43">
        <v>13167</v>
      </c>
      <c r="E10301" s="43">
        <v>13167</v>
      </c>
      <c r="F10301" s="3">
        <v>42403</v>
      </c>
      <c r="G10301" s="66" t="s">
        <v>12547</v>
      </c>
      <c r="H10301" s="2"/>
      <c r="I10301" s="2"/>
      <c r="J10301" s="2" t="s">
        <v>12550</v>
      </c>
      <c r="K10301" s="2"/>
      <c r="L10301" s="82"/>
    </row>
    <row r="10302" spans="1:12" ht="84" customHeight="1" x14ac:dyDescent="0.3">
      <c r="A10302" s="2">
        <v>10300</v>
      </c>
      <c r="B10302" s="82" t="s">
        <v>16613</v>
      </c>
      <c r="C10302" s="82">
        <v>345200277</v>
      </c>
      <c r="D10302" s="43">
        <v>13167</v>
      </c>
      <c r="E10302" s="43">
        <v>13167</v>
      </c>
      <c r="F10302" s="3">
        <v>42403</v>
      </c>
      <c r="G10302" s="66" t="s">
        <v>12547</v>
      </c>
      <c r="H10302" s="2"/>
      <c r="I10302" s="2"/>
      <c r="J10302" s="2" t="s">
        <v>12550</v>
      </c>
      <c r="K10302" s="2"/>
      <c r="L10302" s="82"/>
    </row>
    <row r="10303" spans="1:12" ht="84" customHeight="1" x14ac:dyDescent="0.3">
      <c r="A10303" s="2">
        <v>10301</v>
      </c>
      <c r="B10303" s="82" t="s">
        <v>16614</v>
      </c>
      <c r="C10303" s="82">
        <v>345200278</v>
      </c>
      <c r="D10303" s="43">
        <v>10290</v>
      </c>
      <c r="E10303" s="43">
        <v>10290</v>
      </c>
      <c r="F10303" s="3">
        <v>42403</v>
      </c>
      <c r="G10303" s="66" t="s">
        <v>12547</v>
      </c>
      <c r="H10303" s="2"/>
      <c r="I10303" s="2"/>
      <c r="J10303" s="2" t="s">
        <v>12550</v>
      </c>
      <c r="K10303" s="2"/>
      <c r="L10303" s="82"/>
    </row>
    <row r="10304" spans="1:12" ht="84" customHeight="1" x14ac:dyDescent="0.3">
      <c r="A10304" s="2">
        <v>10302</v>
      </c>
      <c r="B10304" s="82" t="s">
        <v>16614</v>
      </c>
      <c r="C10304" s="82">
        <v>345200279</v>
      </c>
      <c r="D10304" s="43">
        <v>10290</v>
      </c>
      <c r="E10304" s="43">
        <v>10290</v>
      </c>
      <c r="F10304" s="3">
        <v>42403</v>
      </c>
      <c r="G10304" s="66" t="s">
        <v>12547</v>
      </c>
      <c r="H10304" s="2"/>
      <c r="I10304" s="2"/>
      <c r="J10304" s="2" t="s">
        <v>12550</v>
      </c>
      <c r="K10304" s="2"/>
      <c r="L10304" s="82"/>
    </row>
    <row r="10305" spans="1:12" ht="84" customHeight="1" x14ac:dyDescent="0.3">
      <c r="A10305" s="2">
        <v>10303</v>
      </c>
      <c r="B10305" s="82" t="s">
        <v>16614</v>
      </c>
      <c r="C10305" s="82">
        <v>345200280</v>
      </c>
      <c r="D10305" s="43">
        <v>10290</v>
      </c>
      <c r="E10305" s="43">
        <v>10290</v>
      </c>
      <c r="F10305" s="3">
        <v>42403</v>
      </c>
      <c r="G10305" s="66" t="s">
        <v>12547</v>
      </c>
      <c r="H10305" s="2"/>
      <c r="I10305" s="2"/>
      <c r="J10305" s="2" t="s">
        <v>12550</v>
      </c>
      <c r="K10305" s="2"/>
      <c r="L10305" s="82"/>
    </row>
    <row r="10306" spans="1:12" ht="84" customHeight="1" x14ac:dyDescent="0.3">
      <c r="A10306" s="2">
        <v>10304</v>
      </c>
      <c r="B10306" s="82" t="s">
        <v>16614</v>
      </c>
      <c r="C10306" s="82">
        <v>345200281</v>
      </c>
      <c r="D10306" s="43">
        <v>10290</v>
      </c>
      <c r="E10306" s="43">
        <v>10290</v>
      </c>
      <c r="F10306" s="3">
        <v>42403</v>
      </c>
      <c r="G10306" s="66" t="s">
        <v>12547</v>
      </c>
      <c r="H10306" s="2"/>
      <c r="I10306" s="2"/>
      <c r="J10306" s="2" t="s">
        <v>12550</v>
      </c>
      <c r="K10306" s="2"/>
      <c r="L10306" s="82"/>
    </row>
    <row r="10307" spans="1:12" ht="84" customHeight="1" x14ac:dyDescent="0.3">
      <c r="A10307" s="2">
        <v>10305</v>
      </c>
      <c r="B10307" s="82" t="s">
        <v>16614</v>
      </c>
      <c r="C10307" s="82">
        <v>345200282</v>
      </c>
      <c r="D10307" s="43">
        <v>10290</v>
      </c>
      <c r="E10307" s="43">
        <v>10290</v>
      </c>
      <c r="F10307" s="3">
        <v>42403</v>
      </c>
      <c r="G10307" s="66" t="s">
        <v>12547</v>
      </c>
      <c r="H10307" s="2"/>
      <c r="I10307" s="2"/>
      <c r="J10307" s="2" t="s">
        <v>12550</v>
      </c>
      <c r="K10307" s="2"/>
      <c r="L10307" s="82"/>
    </row>
    <row r="10308" spans="1:12" ht="84" customHeight="1" x14ac:dyDescent="0.3">
      <c r="A10308" s="2">
        <v>10306</v>
      </c>
      <c r="B10308" s="82" t="s">
        <v>16614</v>
      </c>
      <c r="C10308" s="82">
        <v>345200283</v>
      </c>
      <c r="D10308" s="43">
        <v>10290</v>
      </c>
      <c r="E10308" s="43">
        <v>10290</v>
      </c>
      <c r="F10308" s="3">
        <v>42403</v>
      </c>
      <c r="G10308" s="66" t="s">
        <v>12547</v>
      </c>
      <c r="H10308" s="2"/>
      <c r="I10308" s="2"/>
      <c r="J10308" s="2" t="s">
        <v>12550</v>
      </c>
      <c r="K10308" s="2"/>
      <c r="L10308" s="82"/>
    </row>
    <row r="10309" spans="1:12" ht="84" customHeight="1" x14ac:dyDescent="0.3">
      <c r="A10309" s="2">
        <v>10307</v>
      </c>
      <c r="B10309" s="82" t="s">
        <v>16625</v>
      </c>
      <c r="C10309" s="82" t="s">
        <v>16618</v>
      </c>
      <c r="D10309" s="43">
        <v>94689.54</v>
      </c>
      <c r="E10309" s="43">
        <v>94689.54</v>
      </c>
      <c r="F10309" s="3">
        <v>42403</v>
      </c>
      <c r="G10309" s="66" t="s">
        <v>12547</v>
      </c>
      <c r="H10309" s="2"/>
      <c r="I10309" s="2"/>
      <c r="J10309" s="2" t="s">
        <v>12550</v>
      </c>
      <c r="K10309" s="2"/>
      <c r="L10309" s="82"/>
    </row>
    <row r="10310" spans="1:12" ht="84" customHeight="1" x14ac:dyDescent="0.3">
      <c r="A10310" s="2">
        <v>10308</v>
      </c>
      <c r="B10310" s="82" t="s">
        <v>16615</v>
      </c>
      <c r="C10310" s="82">
        <v>345200218</v>
      </c>
      <c r="D10310" s="43">
        <v>5260.46</v>
      </c>
      <c r="E10310" s="43">
        <v>5260.46</v>
      </c>
      <c r="F10310" s="3">
        <v>42403</v>
      </c>
      <c r="G10310" s="66" t="s">
        <v>12547</v>
      </c>
      <c r="H10310" s="2"/>
      <c r="I10310" s="2"/>
      <c r="J10310" s="2" t="s">
        <v>12550</v>
      </c>
      <c r="K10310" s="2"/>
      <c r="L10310" s="82"/>
    </row>
    <row r="10311" spans="1:12" ht="84" customHeight="1" x14ac:dyDescent="0.3">
      <c r="A10311" s="2">
        <v>10309</v>
      </c>
      <c r="B10311" s="82" t="s">
        <v>16626</v>
      </c>
      <c r="C10311" s="82" t="s">
        <v>16619</v>
      </c>
      <c r="D10311" s="43">
        <v>70600</v>
      </c>
      <c r="E10311" s="43">
        <v>70600</v>
      </c>
      <c r="F10311" s="3">
        <v>42403</v>
      </c>
      <c r="G10311" s="66" t="s">
        <v>12547</v>
      </c>
      <c r="H10311" s="2"/>
      <c r="I10311" s="2"/>
      <c r="J10311" s="2" t="s">
        <v>12550</v>
      </c>
      <c r="K10311" s="2"/>
      <c r="L10311" s="82"/>
    </row>
    <row r="10312" spans="1:12" ht="84" customHeight="1" x14ac:dyDescent="0.3">
      <c r="A10312" s="2">
        <v>10310</v>
      </c>
      <c r="B10312" s="82" t="s">
        <v>16627</v>
      </c>
      <c r="C10312" s="82" t="s">
        <v>16620</v>
      </c>
      <c r="D10312" s="43">
        <v>31995</v>
      </c>
      <c r="E10312" s="43">
        <v>31995</v>
      </c>
      <c r="F10312" s="3">
        <v>42403</v>
      </c>
      <c r="G10312" s="66" t="s">
        <v>12547</v>
      </c>
      <c r="H10312" s="2"/>
      <c r="I10312" s="2"/>
      <c r="J10312" s="2" t="s">
        <v>12550</v>
      </c>
      <c r="K10312" s="2"/>
      <c r="L10312" s="82"/>
    </row>
    <row r="10313" spans="1:12" ht="84" customHeight="1" x14ac:dyDescent="0.3">
      <c r="A10313" s="2">
        <v>10311</v>
      </c>
      <c r="B10313" s="82" t="s">
        <v>16628</v>
      </c>
      <c r="C10313" s="82" t="s">
        <v>16621</v>
      </c>
      <c r="D10313" s="43">
        <v>67068</v>
      </c>
      <c r="E10313" s="43">
        <v>67068</v>
      </c>
      <c r="F10313" s="3">
        <v>42403</v>
      </c>
      <c r="G10313" s="66" t="s">
        <v>12547</v>
      </c>
      <c r="H10313" s="2"/>
      <c r="I10313" s="2"/>
      <c r="J10313" s="2" t="s">
        <v>12550</v>
      </c>
      <c r="K10313" s="2"/>
      <c r="L10313" s="82"/>
    </row>
    <row r="10314" spans="1:12" ht="84" customHeight="1" x14ac:dyDescent="0.3">
      <c r="A10314" s="2">
        <v>10312</v>
      </c>
      <c r="B10314" s="82" t="s">
        <v>16629</v>
      </c>
      <c r="C10314" s="82" t="s">
        <v>16622</v>
      </c>
      <c r="D10314" s="43">
        <v>25596</v>
      </c>
      <c r="E10314" s="43">
        <v>25596</v>
      </c>
      <c r="F10314" s="3">
        <v>42403</v>
      </c>
      <c r="G10314" s="66" t="s">
        <v>12547</v>
      </c>
      <c r="H10314" s="2"/>
      <c r="I10314" s="2"/>
      <c r="J10314" s="2" t="s">
        <v>12550</v>
      </c>
      <c r="K10314" s="2"/>
      <c r="L10314" s="82"/>
    </row>
    <row r="10315" spans="1:12" ht="84" customHeight="1" x14ac:dyDescent="0.3">
      <c r="A10315" s="2">
        <v>10313</v>
      </c>
      <c r="B10315" s="82" t="s">
        <v>16616</v>
      </c>
      <c r="C10315" s="82">
        <v>345200372</v>
      </c>
      <c r="D10315" s="43">
        <v>12590</v>
      </c>
      <c r="E10315" s="6">
        <v>0</v>
      </c>
      <c r="F10315" s="3">
        <v>42403</v>
      </c>
      <c r="G10315" s="66" t="s">
        <v>12547</v>
      </c>
      <c r="H10315" s="2"/>
      <c r="I10315" s="2"/>
      <c r="J10315" s="2" t="s">
        <v>12550</v>
      </c>
      <c r="K10315" s="2"/>
      <c r="L10315" s="82"/>
    </row>
    <row r="10316" spans="1:12" ht="84" customHeight="1" x14ac:dyDescent="0.3">
      <c r="A10316" s="2">
        <v>10314</v>
      </c>
      <c r="B10316" s="82" t="s">
        <v>16616</v>
      </c>
      <c r="C10316" s="82">
        <v>345200373</v>
      </c>
      <c r="D10316" s="43">
        <v>12590</v>
      </c>
      <c r="E10316" s="6">
        <v>0</v>
      </c>
      <c r="F10316" s="3">
        <v>42403</v>
      </c>
      <c r="G10316" s="66" t="s">
        <v>12547</v>
      </c>
      <c r="H10316" s="2"/>
      <c r="I10316" s="2"/>
      <c r="J10316" s="2" t="s">
        <v>12550</v>
      </c>
      <c r="K10316" s="2"/>
      <c r="L10316" s="82"/>
    </row>
    <row r="10317" spans="1:12" ht="84" customHeight="1" x14ac:dyDescent="0.3">
      <c r="A10317" s="2">
        <v>10315</v>
      </c>
      <c r="B10317" s="82" t="s">
        <v>16616</v>
      </c>
      <c r="C10317" s="82">
        <v>345200374</v>
      </c>
      <c r="D10317" s="43">
        <v>12590</v>
      </c>
      <c r="E10317" s="6">
        <v>0</v>
      </c>
      <c r="F10317" s="3">
        <v>42403</v>
      </c>
      <c r="G10317" s="66" t="s">
        <v>12547</v>
      </c>
      <c r="H10317" s="2"/>
      <c r="I10317" s="2"/>
      <c r="J10317" s="2" t="s">
        <v>12550</v>
      </c>
      <c r="K10317" s="2"/>
      <c r="L10317" s="82"/>
    </row>
    <row r="10318" spans="1:12" ht="84" customHeight="1" x14ac:dyDescent="0.3">
      <c r="A10318" s="2">
        <v>10316</v>
      </c>
      <c r="B10318" s="82" t="s">
        <v>16617</v>
      </c>
      <c r="C10318" s="82">
        <v>345200376</v>
      </c>
      <c r="D10318" s="43">
        <v>11890</v>
      </c>
      <c r="E10318" s="6">
        <v>0</v>
      </c>
      <c r="F10318" s="3">
        <v>42403</v>
      </c>
      <c r="G10318" s="66" t="s">
        <v>12547</v>
      </c>
      <c r="H10318" s="2"/>
      <c r="I10318" s="2"/>
      <c r="J10318" s="2" t="s">
        <v>12550</v>
      </c>
      <c r="K10318" s="2"/>
      <c r="L10318" s="82"/>
    </row>
    <row r="10319" spans="1:12" ht="84" customHeight="1" x14ac:dyDescent="0.3">
      <c r="A10319" s="2">
        <v>10317</v>
      </c>
      <c r="B10319" s="82" t="s">
        <v>16630</v>
      </c>
      <c r="C10319" s="82" t="s">
        <v>16623</v>
      </c>
      <c r="D10319" s="43">
        <v>37710</v>
      </c>
      <c r="E10319" s="6">
        <v>0</v>
      </c>
      <c r="F10319" s="3">
        <v>42403</v>
      </c>
      <c r="G10319" s="66" t="s">
        <v>12547</v>
      </c>
      <c r="H10319" s="2"/>
      <c r="I10319" s="2"/>
      <c r="J10319" s="2" t="s">
        <v>12550</v>
      </c>
      <c r="K10319" s="2"/>
      <c r="L10319" s="82"/>
    </row>
    <row r="10320" spans="1:12" ht="84" customHeight="1" x14ac:dyDescent="0.3">
      <c r="A10320" s="2">
        <v>10318</v>
      </c>
      <c r="B10320" s="82" t="s">
        <v>16617</v>
      </c>
      <c r="C10320" s="82">
        <v>345200378</v>
      </c>
      <c r="D10320" s="43">
        <v>11890</v>
      </c>
      <c r="E10320" s="43">
        <v>11890</v>
      </c>
      <c r="F10320" s="3">
        <v>42403</v>
      </c>
      <c r="G10320" s="66" t="s">
        <v>12547</v>
      </c>
      <c r="H10320" s="2"/>
      <c r="I10320" s="2"/>
      <c r="J10320" s="2" t="s">
        <v>12550</v>
      </c>
      <c r="K10320" s="2"/>
      <c r="L10320" s="82"/>
    </row>
    <row r="10321" spans="1:12" ht="84" customHeight="1" x14ac:dyDescent="0.3">
      <c r="A10321" s="2">
        <v>10319</v>
      </c>
      <c r="B10321" s="82" t="s">
        <v>16631</v>
      </c>
      <c r="C10321" s="66"/>
      <c r="D10321" s="43">
        <v>43500</v>
      </c>
      <c r="E10321" s="43"/>
      <c r="F10321" s="3">
        <v>42403</v>
      </c>
      <c r="G10321" s="66" t="s">
        <v>12547</v>
      </c>
      <c r="H10321" s="2"/>
      <c r="I10321" s="2"/>
      <c r="J10321" s="2" t="s">
        <v>12550</v>
      </c>
      <c r="K10321" s="2"/>
      <c r="L10321" s="82"/>
    </row>
    <row r="10322" spans="1:12" ht="84" customHeight="1" x14ac:dyDescent="0.3">
      <c r="A10322" s="2">
        <v>10320</v>
      </c>
      <c r="B10322" s="82" t="s">
        <v>16632</v>
      </c>
      <c r="C10322" s="82">
        <v>43690043</v>
      </c>
      <c r="D10322" s="43">
        <v>19000</v>
      </c>
      <c r="E10322" s="43">
        <v>19000</v>
      </c>
      <c r="F10322" s="3">
        <v>42403</v>
      </c>
      <c r="G10322" s="66" t="s">
        <v>12547</v>
      </c>
      <c r="H10322" s="2"/>
      <c r="I10322" s="2"/>
      <c r="J10322" s="2" t="s">
        <v>12550</v>
      </c>
      <c r="K10322" s="2"/>
      <c r="L10322" s="82"/>
    </row>
    <row r="10323" spans="1:12" ht="84" customHeight="1" x14ac:dyDescent="0.3">
      <c r="A10323" s="2">
        <v>10321</v>
      </c>
      <c r="B10323" s="82" t="s">
        <v>16633</v>
      </c>
      <c r="C10323" s="82">
        <v>43690044</v>
      </c>
      <c r="D10323" s="43">
        <v>4600</v>
      </c>
      <c r="E10323" s="43">
        <v>4600</v>
      </c>
      <c r="F10323" s="3">
        <v>42403</v>
      </c>
      <c r="G10323" s="66" t="s">
        <v>12547</v>
      </c>
      <c r="H10323" s="2"/>
      <c r="I10323" s="2"/>
      <c r="J10323" s="2" t="s">
        <v>12550</v>
      </c>
      <c r="K10323" s="2"/>
      <c r="L10323" s="82"/>
    </row>
    <row r="10324" spans="1:12" ht="84" customHeight="1" x14ac:dyDescent="0.3">
      <c r="A10324" s="2">
        <v>10322</v>
      </c>
      <c r="B10324" s="82" t="s">
        <v>16634</v>
      </c>
      <c r="C10324" s="82">
        <v>345200045</v>
      </c>
      <c r="D10324" s="43">
        <v>20400</v>
      </c>
      <c r="E10324" s="43">
        <v>20400</v>
      </c>
      <c r="F10324" s="3">
        <v>42403</v>
      </c>
      <c r="G10324" s="66" t="s">
        <v>12547</v>
      </c>
      <c r="H10324" s="2"/>
      <c r="I10324" s="2"/>
      <c r="J10324" s="2" t="s">
        <v>12550</v>
      </c>
      <c r="K10324" s="2"/>
      <c r="L10324" s="82"/>
    </row>
    <row r="10325" spans="1:12" ht="84" customHeight="1" x14ac:dyDescent="0.3">
      <c r="A10325" s="2">
        <v>10323</v>
      </c>
      <c r="B10325" s="38" t="s">
        <v>16635</v>
      </c>
      <c r="C10325" s="38"/>
      <c r="D10325" s="39">
        <v>90200</v>
      </c>
      <c r="E10325" s="39">
        <v>90200</v>
      </c>
      <c r="F10325" s="3">
        <v>42403</v>
      </c>
      <c r="G10325" s="66" t="s">
        <v>12547</v>
      </c>
      <c r="H10325" s="207" t="s">
        <v>23596</v>
      </c>
      <c r="I10325" s="245" t="s">
        <v>23597</v>
      </c>
      <c r="J10325" s="2" t="s">
        <v>12550</v>
      </c>
      <c r="K10325" s="2"/>
      <c r="L10325" s="82"/>
    </row>
    <row r="10326" spans="1:12" ht="84" customHeight="1" x14ac:dyDescent="0.3">
      <c r="A10326" s="2">
        <v>10324</v>
      </c>
      <c r="B10326" s="38" t="s">
        <v>16636</v>
      </c>
      <c r="C10326" s="38"/>
      <c r="D10326" s="39">
        <v>8500</v>
      </c>
      <c r="E10326" s="39">
        <v>8500</v>
      </c>
      <c r="F10326" s="3">
        <v>42403</v>
      </c>
      <c r="G10326" s="66" t="s">
        <v>12547</v>
      </c>
      <c r="H10326" s="2"/>
      <c r="I10326" s="2"/>
      <c r="J10326" s="2" t="s">
        <v>12550</v>
      </c>
      <c r="K10326" s="2"/>
      <c r="L10326" s="82"/>
    </row>
    <row r="10327" spans="1:12" ht="84" customHeight="1" x14ac:dyDescent="0.3">
      <c r="A10327" s="2">
        <v>10325</v>
      </c>
      <c r="B10327" s="38" t="s">
        <v>16637</v>
      </c>
      <c r="C10327" s="38"/>
      <c r="D10327" s="39">
        <v>67600</v>
      </c>
      <c r="E10327" s="39">
        <v>67600</v>
      </c>
      <c r="F10327" s="3">
        <v>42403</v>
      </c>
      <c r="G10327" s="66" t="s">
        <v>12547</v>
      </c>
      <c r="H10327" s="2"/>
      <c r="I10327" s="2"/>
      <c r="J10327" s="2" t="s">
        <v>12550</v>
      </c>
      <c r="K10327" s="2"/>
      <c r="L10327" s="82"/>
    </row>
    <row r="10328" spans="1:12" ht="84" customHeight="1" x14ac:dyDescent="0.3">
      <c r="A10328" s="2">
        <v>10326</v>
      </c>
      <c r="B10328" s="38" t="s">
        <v>16638</v>
      </c>
      <c r="C10328" s="38"/>
      <c r="D10328" s="39">
        <v>99000</v>
      </c>
      <c r="E10328" s="39">
        <v>99000</v>
      </c>
      <c r="F10328" s="3">
        <v>42403</v>
      </c>
      <c r="G10328" s="66" t="s">
        <v>12547</v>
      </c>
      <c r="H10328" s="207" t="s">
        <v>23596</v>
      </c>
      <c r="I10328" s="245" t="s">
        <v>23597</v>
      </c>
      <c r="J10328" s="2" t="s">
        <v>12550</v>
      </c>
      <c r="K10328" s="2"/>
      <c r="L10328" s="82"/>
    </row>
    <row r="10329" spans="1:12" ht="84" customHeight="1" x14ac:dyDescent="0.3">
      <c r="A10329" s="2">
        <v>10327</v>
      </c>
      <c r="B10329" s="38" t="s">
        <v>16639</v>
      </c>
      <c r="C10329" s="38"/>
      <c r="D10329" s="39">
        <v>100771.98</v>
      </c>
      <c r="E10329" s="39">
        <v>29716.69</v>
      </c>
      <c r="F10329" s="3">
        <v>42403</v>
      </c>
      <c r="G10329" s="66" t="s">
        <v>12547</v>
      </c>
      <c r="H10329" s="2"/>
      <c r="I10329" s="2"/>
      <c r="J10329" s="2" t="s">
        <v>12550</v>
      </c>
      <c r="K10329" s="2"/>
      <c r="L10329" s="82"/>
    </row>
    <row r="10330" spans="1:12" ht="84" customHeight="1" x14ac:dyDescent="0.3">
      <c r="A10330" s="2">
        <v>10328</v>
      </c>
      <c r="B10330" s="38" t="s">
        <v>16640</v>
      </c>
      <c r="C10330" s="38"/>
      <c r="D10330" s="39"/>
      <c r="E10330" s="39"/>
      <c r="F10330" s="3">
        <v>42403</v>
      </c>
      <c r="G10330" s="66" t="s">
        <v>12547</v>
      </c>
      <c r="H10330" s="2"/>
      <c r="I10330" s="2"/>
      <c r="J10330" s="2" t="s">
        <v>12550</v>
      </c>
      <c r="K10330" s="2"/>
      <c r="L10330" s="82"/>
    </row>
    <row r="10331" spans="1:12" ht="84" customHeight="1" x14ac:dyDescent="0.3">
      <c r="A10331" s="2">
        <v>10329</v>
      </c>
      <c r="B10331" s="38" t="s">
        <v>16641</v>
      </c>
      <c r="C10331" s="38"/>
      <c r="D10331" s="39"/>
      <c r="E10331" s="39"/>
      <c r="F10331" s="3">
        <v>42403</v>
      </c>
      <c r="G10331" s="66" t="s">
        <v>12547</v>
      </c>
      <c r="H10331" s="2"/>
      <c r="I10331" s="2"/>
      <c r="J10331" s="2" t="s">
        <v>12550</v>
      </c>
      <c r="K10331" s="2"/>
      <c r="L10331" s="82"/>
    </row>
    <row r="10332" spans="1:12" ht="84" customHeight="1" x14ac:dyDescent="0.3">
      <c r="A10332" s="2">
        <v>10330</v>
      </c>
      <c r="B10332" s="38" t="s">
        <v>16642</v>
      </c>
      <c r="C10332" s="38"/>
      <c r="D10332" s="39"/>
      <c r="E10332" s="39"/>
      <c r="F10332" s="3">
        <v>42403</v>
      </c>
      <c r="G10332" s="66" t="s">
        <v>12547</v>
      </c>
      <c r="H10332" s="2"/>
      <c r="I10332" s="2"/>
      <c r="J10332" s="2" t="s">
        <v>12550</v>
      </c>
      <c r="K10332" s="2"/>
      <c r="L10332" s="82"/>
    </row>
    <row r="10333" spans="1:12" ht="84" customHeight="1" x14ac:dyDescent="0.3">
      <c r="A10333" s="2">
        <v>10331</v>
      </c>
      <c r="B10333" s="38" t="s">
        <v>16643</v>
      </c>
      <c r="C10333" s="38"/>
      <c r="D10333" s="39">
        <v>34062.559999999998</v>
      </c>
      <c r="E10333" s="39">
        <v>34062.559999999998</v>
      </c>
      <c r="F10333" s="3">
        <v>42403</v>
      </c>
      <c r="G10333" s="66" t="s">
        <v>12547</v>
      </c>
      <c r="H10333" s="207" t="s">
        <v>23596</v>
      </c>
      <c r="I10333" s="245" t="s">
        <v>23597</v>
      </c>
      <c r="J10333" s="2" t="s">
        <v>12550</v>
      </c>
      <c r="K10333" s="2"/>
      <c r="L10333" s="82"/>
    </row>
    <row r="10334" spans="1:12" ht="84" customHeight="1" x14ac:dyDescent="0.3">
      <c r="A10334" s="2">
        <v>10332</v>
      </c>
      <c r="B10334" s="38" t="s">
        <v>16644</v>
      </c>
      <c r="C10334" s="38"/>
      <c r="D10334" s="39">
        <v>123230.73</v>
      </c>
      <c r="E10334" s="39">
        <v>67922.69</v>
      </c>
      <c r="F10334" s="3">
        <v>42403</v>
      </c>
      <c r="G10334" s="66" t="s">
        <v>12547</v>
      </c>
      <c r="H10334" s="207" t="s">
        <v>23596</v>
      </c>
      <c r="I10334" s="245" t="s">
        <v>23597</v>
      </c>
      <c r="J10334" s="2" t="s">
        <v>12550</v>
      </c>
      <c r="K10334" s="2"/>
      <c r="L10334" s="82"/>
    </row>
    <row r="10335" spans="1:12" ht="84" customHeight="1" x14ac:dyDescent="0.3">
      <c r="A10335" s="2">
        <v>10333</v>
      </c>
      <c r="B10335" s="38" t="s">
        <v>16645</v>
      </c>
      <c r="C10335" s="38"/>
      <c r="D10335" s="39">
        <v>59653</v>
      </c>
      <c r="E10335" s="39"/>
      <c r="F10335" s="3">
        <v>42403</v>
      </c>
      <c r="G10335" s="66" t="s">
        <v>12547</v>
      </c>
      <c r="H10335" s="207" t="s">
        <v>23596</v>
      </c>
      <c r="I10335" s="245" t="s">
        <v>23597</v>
      </c>
      <c r="J10335" s="2" t="s">
        <v>12550</v>
      </c>
      <c r="K10335" s="2"/>
      <c r="L10335" s="82"/>
    </row>
    <row r="10336" spans="1:12" ht="84" customHeight="1" x14ac:dyDescent="0.3">
      <c r="A10336" s="2">
        <v>10334</v>
      </c>
      <c r="B10336" s="38" t="s">
        <v>16646</v>
      </c>
      <c r="C10336" s="38"/>
      <c r="D10336" s="39">
        <v>16750.93</v>
      </c>
      <c r="E10336" s="39">
        <v>16750.93</v>
      </c>
      <c r="F10336" s="3">
        <v>42403</v>
      </c>
      <c r="G10336" s="66" t="s">
        <v>12547</v>
      </c>
      <c r="H10336" s="2"/>
      <c r="I10336" s="2"/>
      <c r="J10336" s="2" t="s">
        <v>12550</v>
      </c>
      <c r="K10336" s="2"/>
      <c r="L10336" s="82"/>
    </row>
    <row r="10337" spans="1:12" ht="84" customHeight="1" x14ac:dyDescent="0.3">
      <c r="A10337" s="2">
        <v>10335</v>
      </c>
      <c r="B10337" s="38" t="s">
        <v>16647</v>
      </c>
      <c r="C10337" s="38"/>
      <c r="D10337" s="39">
        <v>187289.60000000001</v>
      </c>
      <c r="E10337" s="39">
        <v>109629.21</v>
      </c>
      <c r="F10337" s="3">
        <v>42403</v>
      </c>
      <c r="G10337" s="66" t="s">
        <v>12547</v>
      </c>
      <c r="H10337" s="2"/>
      <c r="I10337" s="2"/>
      <c r="J10337" s="2" t="s">
        <v>12550</v>
      </c>
      <c r="K10337" s="2"/>
      <c r="L10337" s="82"/>
    </row>
    <row r="10338" spans="1:12" ht="84" customHeight="1" x14ac:dyDescent="0.3">
      <c r="A10338" s="2">
        <v>10336</v>
      </c>
      <c r="B10338" s="66" t="s">
        <v>16648</v>
      </c>
      <c r="C10338" s="66"/>
      <c r="D10338" s="20">
        <v>7874.9</v>
      </c>
      <c r="E10338" s="20">
        <v>7874.9</v>
      </c>
      <c r="F10338" s="3">
        <v>42403</v>
      </c>
      <c r="G10338" s="66" t="s">
        <v>12547</v>
      </c>
      <c r="H10338" s="2"/>
      <c r="I10338" s="2"/>
      <c r="J10338" s="2" t="s">
        <v>12550</v>
      </c>
      <c r="K10338" s="2"/>
      <c r="L10338" s="82"/>
    </row>
    <row r="10339" spans="1:12" ht="84" customHeight="1" x14ac:dyDescent="0.3">
      <c r="A10339" s="2">
        <v>10337</v>
      </c>
      <c r="B10339" s="38" t="s">
        <v>16649</v>
      </c>
      <c r="C10339" s="38"/>
      <c r="D10339" s="39">
        <v>296195.44</v>
      </c>
      <c r="E10339" s="39">
        <v>83922.03</v>
      </c>
      <c r="F10339" s="3">
        <v>42403</v>
      </c>
      <c r="G10339" s="66" t="s">
        <v>12547</v>
      </c>
      <c r="H10339" s="2"/>
      <c r="I10339" s="2"/>
      <c r="J10339" s="2" t="s">
        <v>12550</v>
      </c>
      <c r="K10339" s="2"/>
      <c r="L10339" s="82"/>
    </row>
    <row r="10340" spans="1:12" ht="84" customHeight="1" x14ac:dyDescent="0.3">
      <c r="A10340" s="2">
        <v>10338</v>
      </c>
      <c r="B10340" s="38" t="s">
        <v>16650</v>
      </c>
      <c r="C10340" s="38"/>
      <c r="D10340" s="112">
        <v>371913</v>
      </c>
      <c r="E10340" s="112">
        <v>242340.87</v>
      </c>
      <c r="F10340" s="3">
        <v>42403</v>
      </c>
      <c r="G10340" s="66" t="s">
        <v>12547</v>
      </c>
      <c r="H10340" s="2"/>
      <c r="I10340" s="2"/>
      <c r="J10340" s="2" t="s">
        <v>12550</v>
      </c>
      <c r="K10340" s="2"/>
      <c r="L10340" s="82"/>
    </row>
    <row r="10341" spans="1:12" ht="84" customHeight="1" x14ac:dyDescent="0.3">
      <c r="A10341" s="2">
        <v>10339</v>
      </c>
      <c r="B10341" s="38" t="s">
        <v>16651</v>
      </c>
      <c r="C10341" s="38"/>
      <c r="D10341" s="39">
        <v>2055087.06</v>
      </c>
      <c r="E10341" s="39">
        <v>866151.56</v>
      </c>
      <c r="F10341" s="3">
        <v>42403</v>
      </c>
      <c r="G10341" s="66" t="s">
        <v>12547</v>
      </c>
      <c r="H10341" s="2"/>
      <c r="I10341" s="2"/>
      <c r="J10341" s="2" t="s">
        <v>12550</v>
      </c>
      <c r="K10341" s="2"/>
      <c r="L10341" s="82"/>
    </row>
    <row r="10342" spans="1:12" ht="84" customHeight="1" x14ac:dyDescent="0.3">
      <c r="A10342" s="2">
        <v>10340</v>
      </c>
      <c r="B10342" s="38" t="s">
        <v>16652</v>
      </c>
      <c r="C10342" s="38"/>
      <c r="D10342" s="112">
        <v>606632.28</v>
      </c>
      <c r="E10342" s="112">
        <v>175806.36</v>
      </c>
      <c r="F10342" s="3">
        <v>42403</v>
      </c>
      <c r="G10342" s="66" t="s">
        <v>12547</v>
      </c>
      <c r="H10342" s="2"/>
      <c r="I10342" s="2"/>
      <c r="J10342" s="2" t="s">
        <v>12550</v>
      </c>
      <c r="K10342" s="2"/>
      <c r="L10342" s="82"/>
    </row>
    <row r="10343" spans="1:12" ht="84" customHeight="1" x14ac:dyDescent="0.3">
      <c r="A10343" s="2">
        <v>10341</v>
      </c>
      <c r="B10343" s="38" t="s">
        <v>16653</v>
      </c>
      <c r="C10343" s="38"/>
      <c r="D10343" s="39">
        <v>375600</v>
      </c>
      <c r="E10343" s="39"/>
      <c r="F10343" s="3">
        <v>42403</v>
      </c>
      <c r="G10343" s="66" t="s">
        <v>12547</v>
      </c>
      <c r="H10343" s="2"/>
      <c r="I10343" s="2"/>
      <c r="J10343" s="2" t="s">
        <v>12550</v>
      </c>
      <c r="K10343" s="246" t="s">
        <v>23511</v>
      </c>
      <c r="L10343" s="82"/>
    </row>
    <row r="10344" spans="1:12" ht="96" customHeight="1" x14ac:dyDescent="0.3">
      <c r="A10344" s="2">
        <v>10342</v>
      </c>
      <c r="B10344" s="66" t="s">
        <v>16654</v>
      </c>
      <c r="C10344" s="66"/>
      <c r="D10344" s="111">
        <v>195932</v>
      </c>
      <c r="E10344" s="111">
        <v>195932</v>
      </c>
      <c r="F10344" s="3">
        <v>42403</v>
      </c>
      <c r="G10344" s="66" t="s">
        <v>12547</v>
      </c>
      <c r="H10344" s="3">
        <v>42822</v>
      </c>
      <c r="I10344" s="27" t="s">
        <v>18339</v>
      </c>
      <c r="J10344" s="2" t="s">
        <v>13904</v>
      </c>
      <c r="K10344" s="2"/>
      <c r="L10344" s="82"/>
    </row>
    <row r="10345" spans="1:12" ht="84" customHeight="1" x14ac:dyDescent="0.3">
      <c r="A10345" s="2">
        <v>10343</v>
      </c>
      <c r="B10345" s="61" t="s">
        <v>16659</v>
      </c>
      <c r="C10345" s="64"/>
      <c r="D10345" s="2"/>
      <c r="E10345" s="2"/>
      <c r="F10345" s="3">
        <v>42403</v>
      </c>
      <c r="G10345" s="66" t="s">
        <v>12547</v>
      </c>
      <c r="H10345" s="2"/>
      <c r="I10345" s="2"/>
      <c r="J10345" s="2" t="s">
        <v>12550</v>
      </c>
      <c r="K10345" s="2"/>
      <c r="L10345" s="82"/>
    </row>
    <row r="10346" spans="1:12" ht="84" customHeight="1" x14ac:dyDescent="0.3">
      <c r="A10346" s="2">
        <v>10344</v>
      </c>
      <c r="B10346" s="61" t="s">
        <v>16660</v>
      </c>
      <c r="C10346" s="64"/>
      <c r="D10346" s="2"/>
      <c r="E10346" s="2"/>
      <c r="F10346" s="3">
        <v>42403</v>
      </c>
      <c r="G10346" s="66" t="s">
        <v>12547</v>
      </c>
      <c r="H10346" s="2"/>
      <c r="I10346" s="2"/>
      <c r="J10346" s="2" t="s">
        <v>12550</v>
      </c>
      <c r="K10346" s="2"/>
      <c r="L10346" s="82"/>
    </row>
    <row r="10347" spans="1:12" ht="84" customHeight="1" x14ac:dyDescent="0.3">
      <c r="A10347" s="2">
        <v>10345</v>
      </c>
      <c r="B10347" s="61" t="s">
        <v>16661</v>
      </c>
      <c r="C10347" s="64"/>
      <c r="D10347" s="2"/>
      <c r="E10347" s="2"/>
      <c r="F10347" s="3">
        <v>42403</v>
      </c>
      <c r="G10347" s="66" t="s">
        <v>12547</v>
      </c>
      <c r="H10347" s="2"/>
      <c r="I10347" s="2"/>
      <c r="J10347" s="2" t="s">
        <v>12550</v>
      </c>
      <c r="K10347" s="2"/>
      <c r="L10347" s="82"/>
    </row>
    <row r="10348" spans="1:12" ht="84" customHeight="1" x14ac:dyDescent="0.3">
      <c r="A10348" s="2">
        <v>10346</v>
      </c>
      <c r="B10348" s="52" t="s">
        <v>20629</v>
      </c>
      <c r="C10348" s="82" t="s">
        <v>16666</v>
      </c>
      <c r="D10348" s="43">
        <v>5900</v>
      </c>
      <c r="E10348" s="43">
        <v>5900</v>
      </c>
      <c r="F10348" s="3">
        <v>42403</v>
      </c>
      <c r="G10348" s="66" t="s">
        <v>12549</v>
      </c>
      <c r="H10348" s="207" t="s">
        <v>23596</v>
      </c>
      <c r="I10348" s="245" t="s">
        <v>23597</v>
      </c>
      <c r="J10348" s="2" t="s">
        <v>12550</v>
      </c>
      <c r="K10348" s="2"/>
      <c r="L10348" s="82"/>
    </row>
    <row r="10349" spans="1:12" ht="84" customHeight="1" x14ac:dyDescent="0.3">
      <c r="A10349" s="2">
        <v>10347</v>
      </c>
      <c r="B10349" s="52" t="s">
        <v>20630</v>
      </c>
      <c r="C10349" s="82" t="s">
        <v>16667</v>
      </c>
      <c r="D10349" s="43">
        <v>5900</v>
      </c>
      <c r="E10349" s="43">
        <v>5900</v>
      </c>
      <c r="F10349" s="3">
        <v>42403</v>
      </c>
      <c r="G10349" s="66" t="s">
        <v>12549</v>
      </c>
      <c r="H10349" s="207" t="s">
        <v>23596</v>
      </c>
      <c r="I10349" s="245" t="s">
        <v>23597</v>
      </c>
      <c r="J10349" s="2" t="s">
        <v>12550</v>
      </c>
      <c r="K10349" s="2"/>
      <c r="L10349" s="82"/>
    </row>
    <row r="10350" spans="1:12" ht="84" customHeight="1" x14ac:dyDescent="0.3">
      <c r="A10350" s="2">
        <v>10348</v>
      </c>
      <c r="B10350" s="52" t="s">
        <v>20631</v>
      </c>
      <c r="C10350" s="82" t="s">
        <v>16668</v>
      </c>
      <c r="D10350" s="43">
        <v>5900</v>
      </c>
      <c r="E10350" s="43">
        <v>5900</v>
      </c>
      <c r="F10350" s="3">
        <v>42403</v>
      </c>
      <c r="G10350" s="66" t="s">
        <v>12549</v>
      </c>
      <c r="H10350" s="207" t="s">
        <v>23596</v>
      </c>
      <c r="I10350" s="245" t="s">
        <v>23597</v>
      </c>
      <c r="J10350" s="2" t="s">
        <v>12550</v>
      </c>
      <c r="K10350" s="2"/>
      <c r="L10350" s="82"/>
    </row>
    <row r="10351" spans="1:12" ht="84" customHeight="1" x14ac:dyDescent="0.3">
      <c r="A10351" s="2">
        <v>10349</v>
      </c>
      <c r="B10351" s="54" t="s">
        <v>20632</v>
      </c>
      <c r="C10351" s="6" t="s">
        <v>16669</v>
      </c>
      <c r="D10351" s="43">
        <v>5310</v>
      </c>
      <c r="E10351" s="43">
        <v>5310</v>
      </c>
      <c r="F10351" s="3">
        <v>42403</v>
      </c>
      <c r="G10351" s="66" t="s">
        <v>12549</v>
      </c>
      <c r="H10351" s="207" t="s">
        <v>23596</v>
      </c>
      <c r="I10351" s="245" t="s">
        <v>23597</v>
      </c>
      <c r="J10351" s="2" t="s">
        <v>12550</v>
      </c>
      <c r="K10351" s="2"/>
      <c r="L10351" s="82"/>
    </row>
    <row r="10352" spans="1:12" ht="84" customHeight="1" x14ac:dyDescent="0.3">
      <c r="A10352" s="2">
        <v>10350</v>
      </c>
      <c r="B10352" s="52" t="s">
        <v>20773</v>
      </c>
      <c r="C10352" s="82" t="s">
        <v>16670</v>
      </c>
      <c r="D10352" s="43">
        <v>24000</v>
      </c>
      <c r="E10352" s="43">
        <v>7733.14</v>
      </c>
      <c r="F10352" s="3">
        <v>42403</v>
      </c>
      <c r="G10352" s="66" t="s">
        <v>12549</v>
      </c>
      <c r="H10352" s="2"/>
      <c r="I10352" s="2"/>
      <c r="J10352" s="2" t="s">
        <v>12550</v>
      </c>
      <c r="K10352" s="2"/>
      <c r="L10352" s="82"/>
    </row>
    <row r="10353" spans="1:12" ht="84" customHeight="1" x14ac:dyDescent="0.3">
      <c r="A10353" s="2">
        <v>10351</v>
      </c>
      <c r="B10353" s="52" t="s">
        <v>20774</v>
      </c>
      <c r="C10353" s="82" t="s">
        <v>16671</v>
      </c>
      <c r="D10353" s="43">
        <v>24000</v>
      </c>
      <c r="E10353" s="43">
        <v>7733.14</v>
      </c>
      <c r="F10353" s="3">
        <v>42403</v>
      </c>
      <c r="G10353" s="66" t="s">
        <v>12549</v>
      </c>
      <c r="H10353" s="2"/>
      <c r="I10353" s="2"/>
      <c r="J10353" s="2" t="s">
        <v>12550</v>
      </c>
      <c r="K10353" s="2"/>
      <c r="L10353" s="82"/>
    </row>
    <row r="10354" spans="1:12" ht="84" customHeight="1" x14ac:dyDescent="0.3">
      <c r="A10354" s="2">
        <v>10352</v>
      </c>
      <c r="B10354" s="52" t="s">
        <v>16797</v>
      </c>
      <c r="C10354" s="82" t="s">
        <v>16672</v>
      </c>
      <c r="D10354" s="43">
        <v>60000</v>
      </c>
      <c r="E10354" s="43">
        <v>10714.35</v>
      </c>
      <c r="F10354" s="3">
        <v>42403</v>
      </c>
      <c r="G10354" s="66" t="s">
        <v>12549</v>
      </c>
      <c r="H10354" s="2"/>
      <c r="I10354" s="2"/>
      <c r="J10354" s="2" t="s">
        <v>12550</v>
      </c>
      <c r="K10354" s="2"/>
      <c r="L10354" s="82"/>
    </row>
    <row r="10355" spans="1:12" ht="84" customHeight="1" x14ac:dyDescent="0.3">
      <c r="A10355" s="2">
        <v>10353</v>
      </c>
      <c r="B10355" s="52" t="s">
        <v>20628</v>
      </c>
      <c r="C10355" s="82" t="s">
        <v>16673</v>
      </c>
      <c r="D10355" s="43">
        <v>10620</v>
      </c>
      <c r="E10355" s="43">
        <v>10620</v>
      </c>
      <c r="F10355" s="3">
        <v>42403</v>
      </c>
      <c r="G10355" s="66" t="s">
        <v>12549</v>
      </c>
      <c r="H10355" s="2"/>
      <c r="I10355" s="2"/>
      <c r="J10355" s="2" t="s">
        <v>12550</v>
      </c>
      <c r="K10355" s="2"/>
      <c r="L10355" s="82"/>
    </row>
    <row r="10356" spans="1:12" ht="84" customHeight="1" x14ac:dyDescent="0.3">
      <c r="A10356" s="2">
        <v>10354</v>
      </c>
      <c r="B10356" s="52" t="s">
        <v>20628</v>
      </c>
      <c r="C10356" s="82" t="s">
        <v>16674</v>
      </c>
      <c r="D10356" s="43">
        <v>10620</v>
      </c>
      <c r="E10356" s="43">
        <v>10620</v>
      </c>
      <c r="F10356" s="3">
        <v>42403</v>
      </c>
      <c r="G10356" s="66" t="s">
        <v>12549</v>
      </c>
      <c r="H10356" s="2"/>
      <c r="I10356" s="2"/>
      <c r="J10356" s="2" t="s">
        <v>12550</v>
      </c>
      <c r="K10356" s="2"/>
      <c r="L10356" s="82"/>
    </row>
    <row r="10357" spans="1:12" ht="84" customHeight="1" x14ac:dyDescent="0.3">
      <c r="A10357" s="2">
        <v>10355</v>
      </c>
      <c r="B10357" s="52" t="s">
        <v>16798</v>
      </c>
      <c r="C10357" s="82" t="s">
        <v>16675</v>
      </c>
      <c r="D10357" s="43">
        <v>14160</v>
      </c>
      <c r="E10357" s="43">
        <v>14160</v>
      </c>
      <c r="F10357" s="3">
        <v>42403</v>
      </c>
      <c r="G10357" s="66" t="s">
        <v>12549</v>
      </c>
      <c r="H10357" s="207" t="s">
        <v>23596</v>
      </c>
      <c r="I10357" s="245" t="s">
        <v>23597</v>
      </c>
      <c r="J10357" s="2" t="s">
        <v>12550</v>
      </c>
      <c r="K10357" s="2"/>
      <c r="L10357" s="82"/>
    </row>
    <row r="10358" spans="1:12" ht="84" customHeight="1" x14ac:dyDescent="0.3">
      <c r="A10358" s="2">
        <v>10356</v>
      </c>
      <c r="B10358" s="52" t="s">
        <v>20633</v>
      </c>
      <c r="C10358" s="82" t="s">
        <v>763</v>
      </c>
      <c r="D10358" s="43">
        <v>10000</v>
      </c>
      <c r="E10358" s="43">
        <v>10000</v>
      </c>
      <c r="F10358" s="3">
        <v>42403</v>
      </c>
      <c r="G10358" s="66" t="s">
        <v>12549</v>
      </c>
      <c r="H10358" s="207" t="s">
        <v>23596</v>
      </c>
      <c r="I10358" s="245" t="s">
        <v>23597</v>
      </c>
      <c r="J10358" s="2" t="s">
        <v>12550</v>
      </c>
      <c r="K10358" s="2"/>
      <c r="L10358" s="82"/>
    </row>
    <row r="10359" spans="1:12" ht="84" customHeight="1" x14ac:dyDescent="0.3">
      <c r="A10359" s="2">
        <v>10357</v>
      </c>
      <c r="B10359" s="52" t="s">
        <v>20633</v>
      </c>
      <c r="C10359" s="82" t="s">
        <v>764</v>
      </c>
      <c r="D10359" s="43">
        <v>10000</v>
      </c>
      <c r="E10359" s="43">
        <v>10000</v>
      </c>
      <c r="F10359" s="3">
        <v>42403</v>
      </c>
      <c r="G10359" s="66" t="s">
        <v>12549</v>
      </c>
      <c r="H10359" s="207" t="s">
        <v>23596</v>
      </c>
      <c r="I10359" s="245" t="s">
        <v>23597</v>
      </c>
      <c r="J10359" s="2" t="s">
        <v>12550</v>
      </c>
      <c r="K10359" s="2"/>
      <c r="L10359" s="82"/>
    </row>
    <row r="10360" spans="1:12" ht="84" customHeight="1" x14ac:dyDescent="0.3">
      <c r="A10360" s="2">
        <v>10358</v>
      </c>
      <c r="B10360" s="52" t="s">
        <v>20634</v>
      </c>
      <c r="C10360" s="82" t="s">
        <v>765</v>
      </c>
      <c r="D10360" s="43">
        <v>14950</v>
      </c>
      <c r="E10360" s="43">
        <v>14950</v>
      </c>
      <c r="F10360" s="3">
        <v>42403</v>
      </c>
      <c r="G10360" s="66" t="s">
        <v>12549</v>
      </c>
      <c r="H10360" s="2"/>
      <c r="I10360" s="2"/>
      <c r="J10360" s="2" t="s">
        <v>12550</v>
      </c>
      <c r="K10360" s="2"/>
      <c r="L10360" s="82"/>
    </row>
    <row r="10361" spans="1:12" ht="84" customHeight="1" x14ac:dyDescent="0.3">
      <c r="A10361" s="2">
        <v>10359</v>
      </c>
      <c r="B10361" s="52" t="s">
        <v>20635</v>
      </c>
      <c r="C10361" s="82" t="s">
        <v>16676</v>
      </c>
      <c r="D10361" s="43">
        <v>14950</v>
      </c>
      <c r="E10361" s="43">
        <v>14950</v>
      </c>
      <c r="F10361" s="3">
        <v>42403</v>
      </c>
      <c r="G10361" s="66" t="s">
        <v>12549</v>
      </c>
      <c r="H10361" s="2"/>
      <c r="I10361" s="2"/>
      <c r="J10361" s="2" t="s">
        <v>12550</v>
      </c>
      <c r="K10361" s="2"/>
      <c r="L10361" s="82"/>
    </row>
    <row r="10362" spans="1:12" ht="84" customHeight="1" x14ac:dyDescent="0.3">
      <c r="A10362" s="2">
        <v>10360</v>
      </c>
      <c r="B10362" s="52" t="s">
        <v>20636</v>
      </c>
      <c r="C10362" s="82" t="s">
        <v>16677</v>
      </c>
      <c r="D10362" s="43">
        <v>12900</v>
      </c>
      <c r="E10362" s="43">
        <v>12900</v>
      </c>
      <c r="F10362" s="3">
        <v>42403</v>
      </c>
      <c r="G10362" s="66" t="s">
        <v>12549</v>
      </c>
      <c r="H10362" s="207" t="s">
        <v>23596</v>
      </c>
      <c r="I10362" s="245" t="s">
        <v>23597</v>
      </c>
      <c r="J10362" s="2" t="s">
        <v>12550</v>
      </c>
      <c r="K10362" s="2"/>
      <c r="L10362" s="82"/>
    </row>
    <row r="10363" spans="1:12" ht="84" customHeight="1" x14ac:dyDescent="0.3">
      <c r="A10363" s="2">
        <v>10361</v>
      </c>
      <c r="B10363" s="52" t="s">
        <v>20637</v>
      </c>
      <c r="C10363" s="82" t="s">
        <v>16678</v>
      </c>
      <c r="D10363" s="43">
        <v>12900</v>
      </c>
      <c r="E10363" s="43">
        <v>12900</v>
      </c>
      <c r="F10363" s="3">
        <v>42403</v>
      </c>
      <c r="G10363" s="66" t="s">
        <v>12549</v>
      </c>
      <c r="H10363" s="2"/>
      <c r="I10363" s="2"/>
      <c r="J10363" s="2" t="s">
        <v>12550</v>
      </c>
      <c r="K10363" s="2"/>
      <c r="L10363" s="82"/>
    </row>
    <row r="10364" spans="1:12" ht="84" customHeight="1" x14ac:dyDescent="0.3">
      <c r="A10364" s="2">
        <v>10362</v>
      </c>
      <c r="B10364" s="52" t="s">
        <v>20638</v>
      </c>
      <c r="C10364" s="82" t="s">
        <v>16679</v>
      </c>
      <c r="D10364" s="43">
        <v>14160</v>
      </c>
      <c r="E10364" s="43">
        <v>14160</v>
      </c>
      <c r="F10364" s="3">
        <v>42403</v>
      </c>
      <c r="G10364" s="66" t="s">
        <v>12549</v>
      </c>
      <c r="H10364" s="207" t="s">
        <v>23596</v>
      </c>
      <c r="I10364" s="245" t="s">
        <v>23597</v>
      </c>
      <c r="J10364" s="2" t="s">
        <v>12550</v>
      </c>
      <c r="K10364" s="2"/>
      <c r="L10364" s="82"/>
    </row>
    <row r="10365" spans="1:12" ht="84" customHeight="1" x14ac:dyDescent="0.3">
      <c r="A10365" s="2">
        <v>10363</v>
      </c>
      <c r="B10365" s="52" t="s">
        <v>20639</v>
      </c>
      <c r="C10365" s="82" t="s">
        <v>16680</v>
      </c>
      <c r="D10365" s="43">
        <v>14160</v>
      </c>
      <c r="E10365" s="43">
        <v>14160</v>
      </c>
      <c r="F10365" s="3">
        <v>42403</v>
      </c>
      <c r="G10365" s="66" t="s">
        <v>12549</v>
      </c>
      <c r="H10365" s="207" t="s">
        <v>23596</v>
      </c>
      <c r="I10365" s="245" t="s">
        <v>23597</v>
      </c>
      <c r="J10365" s="2" t="s">
        <v>12550</v>
      </c>
      <c r="K10365" s="2"/>
      <c r="L10365" s="82"/>
    </row>
    <row r="10366" spans="1:12" ht="84" customHeight="1" x14ac:dyDescent="0.3">
      <c r="A10366" s="2">
        <v>10364</v>
      </c>
      <c r="B10366" s="52" t="s">
        <v>20640</v>
      </c>
      <c r="C10366" s="82" t="s">
        <v>16681</v>
      </c>
      <c r="D10366" s="43">
        <v>14160</v>
      </c>
      <c r="E10366" s="43">
        <v>14160</v>
      </c>
      <c r="F10366" s="3">
        <v>42403</v>
      </c>
      <c r="G10366" s="66" t="s">
        <v>12549</v>
      </c>
      <c r="H10366" s="207" t="s">
        <v>23596</v>
      </c>
      <c r="I10366" s="245" t="s">
        <v>23597</v>
      </c>
      <c r="J10366" s="2" t="s">
        <v>12550</v>
      </c>
      <c r="K10366" s="2"/>
      <c r="L10366" s="82"/>
    </row>
    <row r="10367" spans="1:12" ht="84" customHeight="1" x14ac:dyDescent="0.3">
      <c r="A10367" s="2">
        <v>10365</v>
      </c>
      <c r="B10367" s="52" t="s">
        <v>20641</v>
      </c>
      <c r="C10367" s="82" t="s">
        <v>16682</v>
      </c>
      <c r="D10367" s="43">
        <v>14160</v>
      </c>
      <c r="E10367" s="43">
        <v>14160</v>
      </c>
      <c r="F10367" s="3">
        <v>42403</v>
      </c>
      <c r="G10367" s="66" t="s">
        <v>12549</v>
      </c>
      <c r="H10367" s="207" t="s">
        <v>23596</v>
      </c>
      <c r="I10367" s="245" t="s">
        <v>23597</v>
      </c>
      <c r="J10367" s="2" t="s">
        <v>12550</v>
      </c>
      <c r="K10367" s="2"/>
      <c r="L10367" s="82"/>
    </row>
    <row r="10368" spans="1:12" ht="84" customHeight="1" x14ac:dyDescent="0.3">
      <c r="A10368" s="2">
        <v>10366</v>
      </c>
      <c r="B10368" s="52" t="s">
        <v>20642</v>
      </c>
      <c r="C10368" s="82" t="s">
        <v>16683</v>
      </c>
      <c r="D10368" s="43">
        <v>14160</v>
      </c>
      <c r="E10368" s="43">
        <v>14160</v>
      </c>
      <c r="F10368" s="3">
        <v>42403</v>
      </c>
      <c r="G10368" s="66" t="s">
        <v>12549</v>
      </c>
      <c r="H10368" s="207" t="s">
        <v>23596</v>
      </c>
      <c r="I10368" s="245" t="s">
        <v>23597</v>
      </c>
      <c r="J10368" s="2" t="s">
        <v>12550</v>
      </c>
      <c r="K10368" s="2"/>
      <c r="L10368" s="82"/>
    </row>
    <row r="10369" spans="1:12" ht="84" customHeight="1" x14ac:dyDescent="0.3">
      <c r="A10369" s="2">
        <v>10367</v>
      </c>
      <c r="B10369" s="52" t="s">
        <v>20643</v>
      </c>
      <c r="C10369" s="82" t="s">
        <v>798</v>
      </c>
      <c r="D10369" s="43">
        <v>99900</v>
      </c>
      <c r="E10369" s="43">
        <v>3330</v>
      </c>
      <c r="F10369" s="3">
        <v>42403</v>
      </c>
      <c r="G10369" s="66" t="s">
        <v>12549</v>
      </c>
      <c r="H10369" s="2"/>
      <c r="I10369" s="2"/>
      <c r="J10369" s="2" t="s">
        <v>12550</v>
      </c>
      <c r="K10369" s="2"/>
      <c r="L10369" s="82"/>
    </row>
    <row r="10370" spans="1:12" ht="84" customHeight="1" x14ac:dyDescent="0.3">
      <c r="A10370" s="2">
        <v>10368</v>
      </c>
      <c r="B10370" s="52" t="s">
        <v>20644</v>
      </c>
      <c r="C10370" s="82" t="s">
        <v>799</v>
      </c>
      <c r="D10370" s="43">
        <v>62000</v>
      </c>
      <c r="E10370" s="43">
        <v>2066.64</v>
      </c>
      <c r="F10370" s="3">
        <v>42403</v>
      </c>
      <c r="G10370" s="66" t="s">
        <v>12549</v>
      </c>
      <c r="H10370" s="207" t="s">
        <v>23596</v>
      </c>
      <c r="I10370" s="245" t="s">
        <v>23597</v>
      </c>
      <c r="J10370" s="2" t="s">
        <v>12550</v>
      </c>
      <c r="K10370" s="2"/>
      <c r="L10370" s="82"/>
    </row>
    <row r="10371" spans="1:12" ht="108" customHeight="1" x14ac:dyDescent="0.3">
      <c r="A10371" s="2">
        <v>10369</v>
      </c>
      <c r="B10371" s="52" t="s">
        <v>20645</v>
      </c>
      <c r="C10371" s="82" t="s">
        <v>16684</v>
      </c>
      <c r="D10371" s="43">
        <v>2871574.26</v>
      </c>
      <c r="E10371" s="43"/>
      <c r="F10371" s="3">
        <v>42403</v>
      </c>
      <c r="G10371" s="66" t="s">
        <v>12549</v>
      </c>
      <c r="H10371" s="2"/>
      <c r="I10371" s="2"/>
      <c r="J10371" s="2" t="s">
        <v>12550</v>
      </c>
      <c r="K10371" s="2"/>
      <c r="L10371" s="82"/>
    </row>
    <row r="10372" spans="1:12" ht="84" customHeight="1" x14ac:dyDescent="0.3">
      <c r="A10372" s="2">
        <v>10370</v>
      </c>
      <c r="B10372" s="52" t="s">
        <v>20650</v>
      </c>
      <c r="C10372" s="82" t="s">
        <v>16685</v>
      </c>
      <c r="D10372" s="43">
        <v>39000</v>
      </c>
      <c r="E10372" s="43"/>
      <c r="F10372" s="3">
        <v>42403</v>
      </c>
      <c r="G10372" s="66" t="s">
        <v>12549</v>
      </c>
      <c r="H10372" s="207" t="s">
        <v>23596</v>
      </c>
      <c r="I10372" s="245" t="s">
        <v>23597</v>
      </c>
      <c r="J10372" s="2" t="s">
        <v>12550</v>
      </c>
      <c r="K10372" s="2"/>
      <c r="L10372" s="82"/>
    </row>
    <row r="10373" spans="1:12" ht="84" customHeight="1" x14ac:dyDescent="0.3">
      <c r="A10373" s="2">
        <v>10371</v>
      </c>
      <c r="B10373" s="52" t="s">
        <v>20651</v>
      </c>
      <c r="C10373" s="82" t="s">
        <v>16686</v>
      </c>
      <c r="D10373" s="43">
        <v>39000</v>
      </c>
      <c r="E10373" s="43">
        <v>39000</v>
      </c>
      <c r="F10373" s="3">
        <v>42403</v>
      </c>
      <c r="G10373" s="66" t="s">
        <v>12549</v>
      </c>
      <c r="H10373" s="207" t="s">
        <v>23596</v>
      </c>
      <c r="I10373" s="245" t="s">
        <v>23597</v>
      </c>
      <c r="J10373" s="2" t="s">
        <v>12550</v>
      </c>
      <c r="K10373" s="2"/>
      <c r="L10373" s="82"/>
    </row>
    <row r="10374" spans="1:12" ht="84" customHeight="1" x14ac:dyDescent="0.3">
      <c r="A10374" s="2">
        <v>10372</v>
      </c>
      <c r="B10374" s="52" t="s">
        <v>20652</v>
      </c>
      <c r="C10374" s="82" t="s">
        <v>16687</v>
      </c>
      <c r="D10374" s="43">
        <v>39000</v>
      </c>
      <c r="E10374" s="43">
        <v>39000</v>
      </c>
      <c r="F10374" s="3">
        <v>42403</v>
      </c>
      <c r="G10374" s="66" t="s">
        <v>12549</v>
      </c>
      <c r="H10374" s="207" t="s">
        <v>23596</v>
      </c>
      <c r="I10374" s="245" t="s">
        <v>23597</v>
      </c>
      <c r="J10374" s="2" t="s">
        <v>12550</v>
      </c>
      <c r="K10374" s="2"/>
      <c r="L10374" s="82"/>
    </row>
    <row r="10375" spans="1:12" ht="84" customHeight="1" x14ac:dyDescent="0.3">
      <c r="A10375" s="2">
        <v>10373</v>
      </c>
      <c r="B10375" s="52" t="s">
        <v>20653</v>
      </c>
      <c r="C10375" s="82" t="s">
        <v>16688</v>
      </c>
      <c r="D10375" s="43">
        <v>39000</v>
      </c>
      <c r="E10375" s="43">
        <v>39000</v>
      </c>
      <c r="F10375" s="3">
        <v>42403</v>
      </c>
      <c r="G10375" s="66" t="s">
        <v>12549</v>
      </c>
      <c r="H10375" s="207" t="s">
        <v>23596</v>
      </c>
      <c r="I10375" s="245" t="s">
        <v>23597</v>
      </c>
      <c r="J10375" s="2" t="s">
        <v>12550</v>
      </c>
      <c r="K10375" s="2"/>
      <c r="L10375" s="82"/>
    </row>
    <row r="10376" spans="1:12" ht="84" customHeight="1" x14ac:dyDescent="0.3">
      <c r="A10376" s="2">
        <v>10374</v>
      </c>
      <c r="B10376" s="52" t="s">
        <v>20654</v>
      </c>
      <c r="C10376" s="82" t="s">
        <v>16689</v>
      </c>
      <c r="D10376" s="43">
        <v>39000</v>
      </c>
      <c r="E10376" s="43">
        <v>39000</v>
      </c>
      <c r="F10376" s="3">
        <v>42403</v>
      </c>
      <c r="G10376" s="66" t="s">
        <v>12549</v>
      </c>
      <c r="H10376" s="207" t="s">
        <v>23596</v>
      </c>
      <c r="I10376" s="245" t="s">
        <v>23597</v>
      </c>
      <c r="J10376" s="2" t="s">
        <v>12550</v>
      </c>
      <c r="K10376" s="2"/>
      <c r="L10376" s="82"/>
    </row>
    <row r="10377" spans="1:12" ht="84" customHeight="1" x14ac:dyDescent="0.3">
      <c r="A10377" s="2">
        <v>10375</v>
      </c>
      <c r="B10377" s="52" t="s">
        <v>20655</v>
      </c>
      <c r="C10377" s="82" t="s">
        <v>16690</v>
      </c>
      <c r="D10377" s="43">
        <v>39000</v>
      </c>
      <c r="E10377" s="43"/>
      <c r="F10377" s="3">
        <v>42403</v>
      </c>
      <c r="G10377" s="66" t="s">
        <v>12549</v>
      </c>
      <c r="H10377" s="207" t="s">
        <v>23596</v>
      </c>
      <c r="I10377" s="245" t="s">
        <v>23597</v>
      </c>
      <c r="J10377" s="2" t="s">
        <v>12550</v>
      </c>
      <c r="K10377" s="2"/>
      <c r="L10377" s="82"/>
    </row>
    <row r="10378" spans="1:12" ht="84" customHeight="1" x14ac:dyDescent="0.3">
      <c r="A10378" s="2">
        <v>10376</v>
      </c>
      <c r="B10378" s="52" t="s">
        <v>20669</v>
      </c>
      <c r="C10378" s="82" t="s">
        <v>16691</v>
      </c>
      <c r="D10378" s="43">
        <v>39000</v>
      </c>
      <c r="E10378" s="43">
        <v>39000</v>
      </c>
      <c r="F10378" s="3">
        <v>42403</v>
      </c>
      <c r="G10378" s="66" t="s">
        <v>12549</v>
      </c>
      <c r="H10378" s="207" t="s">
        <v>23596</v>
      </c>
      <c r="I10378" s="245" t="s">
        <v>23597</v>
      </c>
      <c r="J10378" s="2" t="s">
        <v>12550</v>
      </c>
      <c r="K10378" s="2"/>
      <c r="L10378" s="82"/>
    </row>
    <row r="10379" spans="1:12" ht="84" customHeight="1" x14ac:dyDescent="0.3">
      <c r="A10379" s="2">
        <v>10377</v>
      </c>
      <c r="B10379" s="52" t="s">
        <v>20656</v>
      </c>
      <c r="C10379" s="82" t="s">
        <v>16692</v>
      </c>
      <c r="D10379" s="43">
        <v>39000</v>
      </c>
      <c r="E10379" s="43"/>
      <c r="F10379" s="3">
        <v>42403</v>
      </c>
      <c r="G10379" s="66" t="s">
        <v>12549</v>
      </c>
      <c r="H10379" s="207" t="s">
        <v>23596</v>
      </c>
      <c r="I10379" s="245" t="s">
        <v>23597</v>
      </c>
      <c r="J10379" s="2" t="s">
        <v>12550</v>
      </c>
      <c r="K10379" s="2"/>
      <c r="L10379" s="82"/>
    </row>
    <row r="10380" spans="1:12" ht="84" customHeight="1" x14ac:dyDescent="0.3">
      <c r="A10380" s="2">
        <v>10378</v>
      </c>
      <c r="B10380" s="52" t="s">
        <v>20657</v>
      </c>
      <c r="C10380" s="82" t="s">
        <v>772</v>
      </c>
      <c r="D10380" s="43">
        <v>40279.49</v>
      </c>
      <c r="E10380" s="43">
        <v>2125.91</v>
      </c>
      <c r="F10380" s="3">
        <v>42403</v>
      </c>
      <c r="G10380" s="66" t="s">
        <v>12549</v>
      </c>
      <c r="H10380" s="207" t="s">
        <v>23596</v>
      </c>
      <c r="I10380" s="245" t="s">
        <v>23597</v>
      </c>
      <c r="J10380" s="2" t="s">
        <v>12550</v>
      </c>
      <c r="K10380" s="2"/>
      <c r="L10380" s="82"/>
    </row>
    <row r="10381" spans="1:12" ht="84" customHeight="1" x14ac:dyDescent="0.3">
      <c r="A10381" s="2">
        <v>10379</v>
      </c>
      <c r="B10381" s="52" t="s">
        <v>20658</v>
      </c>
      <c r="C10381" s="82" t="s">
        <v>773</v>
      </c>
      <c r="D10381" s="43">
        <v>40279.49</v>
      </c>
      <c r="E10381" s="43">
        <v>2125.91</v>
      </c>
      <c r="F10381" s="3">
        <v>42403</v>
      </c>
      <c r="G10381" s="66" t="s">
        <v>12549</v>
      </c>
      <c r="H10381" s="207" t="s">
        <v>23596</v>
      </c>
      <c r="I10381" s="245" t="s">
        <v>23597</v>
      </c>
      <c r="J10381" s="2" t="s">
        <v>12550</v>
      </c>
      <c r="K10381" s="2"/>
      <c r="L10381" s="82"/>
    </row>
    <row r="10382" spans="1:12" ht="84" customHeight="1" x14ac:dyDescent="0.3">
      <c r="A10382" s="2">
        <v>10380</v>
      </c>
      <c r="B10382" s="52" t="s">
        <v>20659</v>
      </c>
      <c r="C10382" s="82" t="s">
        <v>16693</v>
      </c>
      <c r="D10382" s="43">
        <v>39000</v>
      </c>
      <c r="E10382" s="43">
        <v>39000</v>
      </c>
      <c r="F10382" s="3">
        <v>42403</v>
      </c>
      <c r="G10382" s="66" t="s">
        <v>12549</v>
      </c>
      <c r="H10382" s="207" t="s">
        <v>23596</v>
      </c>
      <c r="I10382" s="245" t="s">
        <v>23597</v>
      </c>
      <c r="J10382" s="2" t="s">
        <v>12550</v>
      </c>
      <c r="K10382" s="2"/>
      <c r="L10382" s="82"/>
    </row>
    <row r="10383" spans="1:12" ht="84" customHeight="1" x14ac:dyDescent="0.3">
      <c r="A10383" s="2">
        <v>10381</v>
      </c>
      <c r="B10383" s="52" t="s">
        <v>20660</v>
      </c>
      <c r="C10383" s="82" t="s">
        <v>16694</v>
      </c>
      <c r="D10383" s="43">
        <v>39000</v>
      </c>
      <c r="E10383" s="43">
        <v>39000</v>
      </c>
      <c r="F10383" s="3">
        <v>42403</v>
      </c>
      <c r="G10383" s="66" t="s">
        <v>12549</v>
      </c>
      <c r="H10383" s="2"/>
      <c r="I10383" s="2"/>
      <c r="J10383" s="2" t="s">
        <v>12550</v>
      </c>
      <c r="K10383" s="2"/>
      <c r="L10383" s="82"/>
    </row>
    <row r="10384" spans="1:12" ht="84" customHeight="1" x14ac:dyDescent="0.3">
      <c r="A10384" s="2">
        <v>10382</v>
      </c>
      <c r="B10384" s="52" t="s">
        <v>20661</v>
      </c>
      <c r="C10384" s="82" t="s">
        <v>16695</v>
      </c>
      <c r="D10384" s="43">
        <v>187220</v>
      </c>
      <c r="E10384" s="43">
        <v>187220</v>
      </c>
      <c r="F10384" s="3">
        <v>42403</v>
      </c>
      <c r="G10384" s="66" t="s">
        <v>12549</v>
      </c>
      <c r="H10384" s="2"/>
      <c r="I10384" s="2"/>
      <c r="J10384" s="2" t="s">
        <v>12550</v>
      </c>
      <c r="K10384" s="2"/>
      <c r="L10384" s="82"/>
    </row>
    <row r="10385" spans="1:12" ht="84" customHeight="1" x14ac:dyDescent="0.3">
      <c r="A10385" s="2">
        <v>10383</v>
      </c>
      <c r="B10385" s="52" t="s">
        <v>20662</v>
      </c>
      <c r="C10385" s="6" t="s">
        <v>16696</v>
      </c>
      <c r="D10385" s="43">
        <v>670386.5</v>
      </c>
      <c r="E10385" s="43"/>
      <c r="F10385" s="3">
        <v>42403</v>
      </c>
      <c r="G10385" s="66" t="s">
        <v>12549</v>
      </c>
      <c r="H10385" s="2"/>
      <c r="I10385" s="2"/>
      <c r="J10385" s="2" t="s">
        <v>12550</v>
      </c>
      <c r="K10385" s="2"/>
      <c r="L10385" s="82"/>
    </row>
    <row r="10386" spans="1:12" ht="84" customHeight="1" x14ac:dyDescent="0.3">
      <c r="A10386" s="2">
        <v>10384</v>
      </c>
      <c r="B10386" s="52" t="s">
        <v>20663</v>
      </c>
      <c r="C10386" s="6" t="s">
        <v>16697</v>
      </c>
      <c r="D10386" s="43">
        <v>62835.63</v>
      </c>
      <c r="E10386" s="43">
        <v>3316.26</v>
      </c>
      <c r="F10386" s="3">
        <v>42403</v>
      </c>
      <c r="G10386" s="66" t="s">
        <v>12549</v>
      </c>
      <c r="H10386" s="207" t="s">
        <v>23596</v>
      </c>
      <c r="I10386" s="245" t="s">
        <v>23597</v>
      </c>
      <c r="J10386" s="2" t="s">
        <v>12550</v>
      </c>
      <c r="K10386" s="2"/>
      <c r="L10386" s="82"/>
    </row>
    <row r="10387" spans="1:12" ht="84" customHeight="1" x14ac:dyDescent="0.3">
      <c r="A10387" s="2">
        <v>10385</v>
      </c>
      <c r="B10387" s="52" t="s">
        <v>20664</v>
      </c>
      <c r="C10387" s="6" t="s">
        <v>16698</v>
      </c>
      <c r="D10387" s="43">
        <v>75000</v>
      </c>
      <c r="E10387" s="43"/>
      <c r="F10387" s="3">
        <v>42403</v>
      </c>
      <c r="G10387" s="66" t="s">
        <v>12549</v>
      </c>
      <c r="H10387" s="207" t="s">
        <v>23596</v>
      </c>
      <c r="I10387" s="245" t="s">
        <v>23597</v>
      </c>
      <c r="J10387" s="2" t="s">
        <v>12550</v>
      </c>
      <c r="K10387" s="2"/>
      <c r="L10387" s="82"/>
    </row>
    <row r="10388" spans="1:12" ht="84" customHeight="1" x14ac:dyDescent="0.3">
      <c r="A10388" s="2">
        <v>10386</v>
      </c>
      <c r="B10388" s="52" t="s">
        <v>16799</v>
      </c>
      <c r="C10388" s="6" t="s">
        <v>16699</v>
      </c>
      <c r="D10388" s="43">
        <v>75000</v>
      </c>
      <c r="E10388" s="43"/>
      <c r="F10388" s="3">
        <v>42403</v>
      </c>
      <c r="G10388" s="66" t="s">
        <v>12549</v>
      </c>
      <c r="H10388" s="2"/>
      <c r="I10388" s="2"/>
      <c r="J10388" s="2" t="s">
        <v>12550</v>
      </c>
      <c r="K10388" s="2"/>
      <c r="L10388" s="82"/>
    </row>
    <row r="10389" spans="1:12" ht="84" customHeight="1" x14ac:dyDescent="0.3">
      <c r="A10389" s="2">
        <v>10387</v>
      </c>
      <c r="B10389" s="52" t="s">
        <v>16800</v>
      </c>
      <c r="C10389" s="6" t="s">
        <v>16700</v>
      </c>
      <c r="D10389" s="43">
        <v>75000</v>
      </c>
      <c r="E10389" s="43"/>
      <c r="F10389" s="3">
        <v>42403</v>
      </c>
      <c r="G10389" s="66" t="s">
        <v>12549</v>
      </c>
      <c r="H10389" s="2"/>
      <c r="I10389" s="2"/>
      <c r="J10389" s="2" t="s">
        <v>12550</v>
      </c>
      <c r="K10389" s="2"/>
      <c r="L10389" s="82"/>
    </row>
    <row r="10390" spans="1:12" ht="84" customHeight="1" x14ac:dyDescent="0.3">
      <c r="A10390" s="2">
        <v>10388</v>
      </c>
      <c r="B10390" s="52" t="s">
        <v>16801</v>
      </c>
      <c r="C10390" s="6" t="s">
        <v>16701</v>
      </c>
      <c r="D10390" s="43">
        <v>56390.95</v>
      </c>
      <c r="E10390" s="43">
        <v>2976.16</v>
      </c>
      <c r="F10390" s="3">
        <v>42403</v>
      </c>
      <c r="G10390" s="66" t="s">
        <v>12549</v>
      </c>
      <c r="H10390" s="2"/>
      <c r="I10390" s="2"/>
      <c r="J10390" s="2" t="s">
        <v>12550</v>
      </c>
      <c r="K10390" s="2"/>
      <c r="L10390" s="82"/>
    </row>
    <row r="10391" spans="1:12" ht="84" customHeight="1" x14ac:dyDescent="0.3">
      <c r="A10391" s="2">
        <v>10389</v>
      </c>
      <c r="B10391" s="52" t="s">
        <v>16801</v>
      </c>
      <c r="C10391" s="6" t="s">
        <v>16702</v>
      </c>
      <c r="D10391" s="43">
        <v>75000</v>
      </c>
      <c r="E10391" s="43"/>
      <c r="F10391" s="3">
        <v>42403</v>
      </c>
      <c r="G10391" s="66" t="s">
        <v>12549</v>
      </c>
      <c r="H10391" s="2"/>
      <c r="I10391" s="2"/>
      <c r="J10391" s="2" t="s">
        <v>12550</v>
      </c>
      <c r="K10391" s="2"/>
      <c r="L10391" s="82"/>
    </row>
    <row r="10392" spans="1:12" ht="84" customHeight="1" x14ac:dyDescent="0.3">
      <c r="A10392" s="2">
        <v>10390</v>
      </c>
      <c r="B10392" s="52" t="s">
        <v>20665</v>
      </c>
      <c r="C10392" s="6" t="s">
        <v>16703</v>
      </c>
      <c r="D10392" s="43">
        <v>75000</v>
      </c>
      <c r="E10392" s="43"/>
      <c r="F10392" s="3">
        <v>42403</v>
      </c>
      <c r="G10392" s="66" t="s">
        <v>12549</v>
      </c>
      <c r="H10392" s="207" t="s">
        <v>23596</v>
      </c>
      <c r="I10392" s="245" t="s">
        <v>23597</v>
      </c>
      <c r="J10392" s="2" t="s">
        <v>12550</v>
      </c>
      <c r="K10392" s="2"/>
      <c r="L10392" s="82"/>
    </row>
    <row r="10393" spans="1:12" ht="84" customHeight="1" x14ac:dyDescent="0.3">
      <c r="A10393" s="2">
        <v>10391</v>
      </c>
      <c r="B10393" s="52" t="s">
        <v>16801</v>
      </c>
      <c r="C10393" s="6" t="s">
        <v>16704</v>
      </c>
      <c r="D10393" s="43">
        <v>75000</v>
      </c>
      <c r="E10393" s="43"/>
      <c r="F10393" s="3">
        <v>42403</v>
      </c>
      <c r="G10393" s="66" t="s">
        <v>12549</v>
      </c>
      <c r="H10393" s="2"/>
      <c r="I10393" s="2"/>
      <c r="J10393" s="2" t="s">
        <v>12550</v>
      </c>
      <c r="K10393" s="2"/>
      <c r="L10393" s="82"/>
    </row>
    <row r="10394" spans="1:12" ht="84" customHeight="1" x14ac:dyDescent="0.3">
      <c r="A10394" s="2">
        <v>10392</v>
      </c>
      <c r="B10394" s="52" t="s">
        <v>16802</v>
      </c>
      <c r="C10394" s="6" t="s">
        <v>803</v>
      </c>
      <c r="D10394" s="43">
        <v>10000</v>
      </c>
      <c r="E10394" s="43">
        <v>10000</v>
      </c>
      <c r="F10394" s="3">
        <v>42403</v>
      </c>
      <c r="G10394" s="66" t="s">
        <v>12549</v>
      </c>
      <c r="H10394" s="2"/>
      <c r="I10394" s="2"/>
      <c r="J10394" s="2" t="s">
        <v>12550</v>
      </c>
      <c r="K10394" s="2"/>
      <c r="L10394" s="82"/>
    </row>
    <row r="10395" spans="1:12" ht="84" customHeight="1" x14ac:dyDescent="0.3">
      <c r="A10395" s="2">
        <v>10393</v>
      </c>
      <c r="B10395" s="52" t="s">
        <v>16802</v>
      </c>
      <c r="C10395" s="6" t="s">
        <v>804</v>
      </c>
      <c r="D10395" s="43">
        <v>10000</v>
      </c>
      <c r="E10395" s="43">
        <v>10000</v>
      </c>
      <c r="F10395" s="3">
        <v>42403</v>
      </c>
      <c r="G10395" s="66" t="s">
        <v>12549</v>
      </c>
      <c r="H10395" s="2"/>
      <c r="I10395" s="2"/>
      <c r="J10395" s="2" t="s">
        <v>12550</v>
      </c>
      <c r="K10395" s="2"/>
      <c r="L10395" s="82"/>
    </row>
    <row r="10396" spans="1:12" ht="84" customHeight="1" x14ac:dyDescent="0.3">
      <c r="A10396" s="2">
        <v>10394</v>
      </c>
      <c r="B10396" s="52" t="s">
        <v>16803</v>
      </c>
      <c r="C10396" s="6" t="s">
        <v>805</v>
      </c>
      <c r="D10396" s="43">
        <v>10000</v>
      </c>
      <c r="E10396" s="43">
        <v>10000</v>
      </c>
      <c r="F10396" s="3">
        <v>42403</v>
      </c>
      <c r="G10396" s="66" t="s">
        <v>12549</v>
      </c>
      <c r="H10396" s="2"/>
      <c r="I10396" s="2"/>
      <c r="J10396" s="2" t="s">
        <v>12550</v>
      </c>
      <c r="K10396" s="2"/>
      <c r="L10396" s="82"/>
    </row>
    <row r="10397" spans="1:12" ht="84" customHeight="1" x14ac:dyDescent="0.3">
      <c r="A10397" s="2">
        <v>10395</v>
      </c>
      <c r="B10397" s="52" t="s">
        <v>16803</v>
      </c>
      <c r="C10397" s="6" t="s">
        <v>16705</v>
      </c>
      <c r="D10397" s="43">
        <v>8142</v>
      </c>
      <c r="E10397" s="43">
        <v>8142</v>
      </c>
      <c r="F10397" s="3">
        <v>42403</v>
      </c>
      <c r="G10397" s="66" t="s">
        <v>12549</v>
      </c>
      <c r="H10397" s="2"/>
      <c r="I10397" s="2"/>
      <c r="J10397" s="2" t="s">
        <v>12550</v>
      </c>
      <c r="K10397" s="2"/>
      <c r="L10397" s="82"/>
    </row>
    <row r="10398" spans="1:12" ht="84" customHeight="1" x14ac:dyDescent="0.3">
      <c r="A10398" s="2">
        <v>10396</v>
      </c>
      <c r="B10398" s="52" t="s">
        <v>16803</v>
      </c>
      <c r="C10398" s="6" t="s">
        <v>353</v>
      </c>
      <c r="D10398" s="43">
        <v>8142</v>
      </c>
      <c r="E10398" s="43">
        <v>8142</v>
      </c>
      <c r="F10398" s="3">
        <v>42403</v>
      </c>
      <c r="G10398" s="66" t="s">
        <v>12549</v>
      </c>
      <c r="H10398" s="2"/>
      <c r="I10398" s="2"/>
      <c r="J10398" s="2" t="s">
        <v>12550</v>
      </c>
      <c r="K10398" s="2"/>
      <c r="L10398" s="82"/>
    </row>
    <row r="10399" spans="1:12" ht="84" customHeight="1" x14ac:dyDescent="0.3">
      <c r="A10399" s="2">
        <v>10397</v>
      </c>
      <c r="B10399" s="52" t="s">
        <v>16802</v>
      </c>
      <c r="C10399" s="6" t="s">
        <v>354</v>
      </c>
      <c r="D10399" s="43">
        <v>8142</v>
      </c>
      <c r="E10399" s="43">
        <v>8142</v>
      </c>
      <c r="F10399" s="3">
        <v>42403</v>
      </c>
      <c r="G10399" s="66" t="s">
        <v>12549</v>
      </c>
      <c r="H10399" s="2"/>
      <c r="I10399" s="2"/>
      <c r="J10399" s="2" t="s">
        <v>12550</v>
      </c>
      <c r="K10399" s="2"/>
      <c r="L10399" s="82"/>
    </row>
    <row r="10400" spans="1:12" ht="84" customHeight="1" x14ac:dyDescent="0.3">
      <c r="A10400" s="2">
        <v>10398</v>
      </c>
      <c r="B10400" s="52" t="s">
        <v>16804</v>
      </c>
      <c r="C10400" s="82" t="s">
        <v>346</v>
      </c>
      <c r="D10400" s="43">
        <v>7960</v>
      </c>
      <c r="E10400" s="43">
        <v>7960</v>
      </c>
      <c r="F10400" s="3">
        <v>42403</v>
      </c>
      <c r="G10400" s="66" t="s">
        <v>12549</v>
      </c>
      <c r="H10400" s="2"/>
      <c r="I10400" s="2"/>
      <c r="J10400" s="2" t="s">
        <v>12550</v>
      </c>
      <c r="K10400" s="2"/>
      <c r="L10400" s="82"/>
    </row>
    <row r="10401" spans="1:12" ht="84" customHeight="1" x14ac:dyDescent="0.3">
      <c r="A10401" s="2">
        <v>10399</v>
      </c>
      <c r="B10401" s="52" t="s">
        <v>16805</v>
      </c>
      <c r="C10401" s="82" t="s">
        <v>342</v>
      </c>
      <c r="D10401" s="43">
        <v>7960</v>
      </c>
      <c r="E10401" s="43">
        <v>7960</v>
      </c>
      <c r="F10401" s="3">
        <v>42403</v>
      </c>
      <c r="G10401" s="66" t="s">
        <v>12549</v>
      </c>
      <c r="H10401" s="2"/>
      <c r="I10401" s="2"/>
      <c r="J10401" s="2" t="s">
        <v>12550</v>
      </c>
      <c r="K10401" s="2"/>
      <c r="L10401" s="82"/>
    </row>
    <row r="10402" spans="1:12" ht="84" customHeight="1" x14ac:dyDescent="0.3">
      <c r="A10402" s="2">
        <v>10400</v>
      </c>
      <c r="B10402" s="52" t="s">
        <v>16805</v>
      </c>
      <c r="C10402" s="82" t="s">
        <v>343</v>
      </c>
      <c r="D10402" s="43">
        <v>7960</v>
      </c>
      <c r="E10402" s="43"/>
      <c r="F10402" s="3">
        <v>42403</v>
      </c>
      <c r="G10402" s="66" t="s">
        <v>12549</v>
      </c>
      <c r="H10402" s="2"/>
      <c r="I10402" s="2"/>
      <c r="J10402" s="2" t="s">
        <v>12550</v>
      </c>
      <c r="K10402" s="2"/>
      <c r="L10402" s="82"/>
    </row>
    <row r="10403" spans="1:12" ht="84" customHeight="1" x14ac:dyDescent="0.3">
      <c r="A10403" s="2">
        <v>10401</v>
      </c>
      <c r="B10403" s="52" t="s">
        <v>20666</v>
      </c>
      <c r="C10403" s="82" t="s">
        <v>16706</v>
      </c>
      <c r="D10403" s="43">
        <v>10620</v>
      </c>
      <c r="E10403" s="43">
        <v>10620</v>
      </c>
      <c r="F10403" s="3">
        <v>42403</v>
      </c>
      <c r="G10403" s="66" t="s">
        <v>12549</v>
      </c>
      <c r="H10403" s="207" t="s">
        <v>23596</v>
      </c>
      <c r="I10403" s="245" t="s">
        <v>23597</v>
      </c>
      <c r="J10403" s="2" t="s">
        <v>12550</v>
      </c>
      <c r="K10403" s="2"/>
      <c r="L10403" s="82"/>
    </row>
    <row r="10404" spans="1:12" ht="84" customHeight="1" x14ac:dyDescent="0.3">
      <c r="A10404" s="2">
        <v>10402</v>
      </c>
      <c r="B10404" s="52" t="s">
        <v>20667</v>
      </c>
      <c r="C10404" s="82" t="s">
        <v>16707</v>
      </c>
      <c r="D10404" s="43">
        <v>10620</v>
      </c>
      <c r="E10404" s="43">
        <v>10620</v>
      </c>
      <c r="F10404" s="3">
        <v>42403</v>
      </c>
      <c r="G10404" s="66" t="s">
        <v>12549</v>
      </c>
      <c r="H10404" s="2"/>
      <c r="I10404" s="2"/>
      <c r="J10404" s="2" t="s">
        <v>12550</v>
      </c>
      <c r="K10404" s="2"/>
      <c r="L10404" s="82"/>
    </row>
    <row r="10405" spans="1:12" ht="84" customHeight="1" x14ac:dyDescent="0.3">
      <c r="A10405" s="2">
        <v>10403</v>
      </c>
      <c r="B10405" s="52" t="s">
        <v>20668</v>
      </c>
      <c r="C10405" s="82" t="s">
        <v>16708</v>
      </c>
      <c r="D10405" s="43">
        <v>10620</v>
      </c>
      <c r="E10405" s="43">
        <v>10620</v>
      </c>
      <c r="F10405" s="3">
        <v>42403</v>
      </c>
      <c r="G10405" s="66" t="s">
        <v>12549</v>
      </c>
      <c r="H10405" s="207" t="s">
        <v>23596</v>
      </c>
      <c r="I10405" s="245" t="s">
        <v>23597</v>
      </c>
      <c r="J10405" s="2" t="s">
        <v>12550</v>
      </c>
      <c r="K10405" s="2"/>
      <c r="L10405" s="82"/>
    </row>
    <row r="10406" spans="1:12" ht="84" customHeight="1" x14ac:dyDescent="0.3">
      <c r="A10406" s="2">
        <v>10404</v>
      </c>
      <c r="B10406" s="52" t="s">
        <v>20670</v>
      </c>
      <c r="C10406" s="82" t="s">
        <v>16709</v>
      </c>
      <c r="D10406" s="43">
        <v>10620</v>
      </c>
      <c r="E10406" s="43">
        <v>10620</v>
      </c>
      <c r="F10406" s="3">
        <v>42403</v>
      </c>
      <c r="G10406" s="66" t="s">
        <v>12549</v>
      </c>
      <c r="H10406" s="207" t="s">
        <v>23596</v>
      </c>
      <c r="I10406" s="245" t="s">
        <v>23597</v>
      </c>
      <c r="J10406" s="2" t="s">
        <v>12550</v>
      </c>
      <c r="K10406" s="2"/>
      <c r="L10406" s="82"/>
    </row>
    <row r="10407" spans="1:12" ht="84" customHeight="1" x14ac:dyDescent="0.3">
      <c r="A10407" s="2">
        <v>10405</v>
      </c>
      <c r="B10407" s="52" t="s">
        <v>20671</v>
      </c>
      <c r="C10407" s="82" t="s">
        <v>16710</v>
      </c>
      <c r="D10407" s="43">
        <v>10620</v>
      </c>
      <c r="E10407" s="43">
        <v>10620</v>
      </c>
      <c r="F10407" s="3">
        <v>42403</v>
      </c>
      <c r="G10407" s="66" t="s">
        <v>12549</v>
      </c>
      <c r="H10407" s="207" t="s">
        <v>23596</v>
      </c>
      <c r="I10407" s="245" t="s">
        <v>23597</v>
      </c>
      <c r="J10407" s="2" t="s">
        <v>12550</v>
      </c>
      <c r="K10407" s="2"/>
      <c r="L10407" s="82"/>
    </row>
    <row r="10408" spans="1:12" ht="84" customHeight="1" x14ac:dyDescent="0.3">
      <c r="A10408" s="2">
        <v>10406</v>
      </c>
      <c r="B10408" s="52" t="s">
        <v>20672</v>
      </c>
      <c r="C10408" s="82" t="s">
        <v>16711</v>
      </c>
      <c r="D10408" s="43">
        <v>14160</v>
      </c>
      <c r="E10408" s="43">
        <v>14160</v>
      </c>
      <c r="F10408" s="3">
        <v>42403</v>
      </c>
      <c r="G10408" s="66" t="s">
        <v>12549</v>
      </c>
      <c r="H10408" s="207" t="s">
        <v>23596</v>
      </c>
      <c r="I10408" s="245" t="s">
        <v>23597</v>
      </c>
      <c r="J10408" s="2" t="s">
        <v>12550</v>
      </c>
      <c r="K10408" s="2"/>
      <c r="L10408" s="82"/>
    </row>
    <row r="10409" spans="1:12" ht="84" customHeight="1" x14ac:dyDescent="0.3">
      <c r="A10409" s="2">
        <v>10407</v>
      </c>
      <c r="B10409" s="52" t="s">
        <v>20673</v>
      </c>
      <c r="C10409" s="82" t="s">
        <v>16712</v>
      </c>
      <c r="D10409" s="43">
        <v>14160</v>
      </c>
      <c r="E10409" s="43">
        <v>14160</v>
      </c>
      <c r="F10409" s="3">
        <v>42403</v>
      </c>
      <c r="G10409" s="66" t="s">
        <v>12549</v>
      </c>
      <c r="H10409" s="207" t="s">
        <v>23596</v>
      </c>
      <c r="I10409" s="245" t="s">
        <v>23597</v>
      </c>
      <c r="J10409" s="2" t="s">
        <v>12550</v>
      </c>
      <c r="K10409" s="2"/>
      <c r="L10409" s="82"/>
    </row>
    <row r="10410" spans="1:12" ht="84" customHeight="1" x14ac:dyDescent="0.3">
      <c r="A10410" s="2">
        <v>10408</v>
      </c>
      <c r="B10410" s="52" t="s">
        <v>20674</v>
      </c>
      <c r="C10410" s="82" t="s">
        <v>16713</v>
      </c>
      <c r="D10410" s="43">
        <v>14160</v>
      </c>
      <c r="E10410" s="43">
        <v>14160</v>
      </c>
      <c r="F10410" s="3">
        <v>42403</v>
      </c>
      <c r="G10410" s="66" t="s">
        <v>12549</v>
      </c>
      <c r="H10410" s="207" t="s">
        <v>23596</v>
      </c>
      <c r="I10410" s="245" t="s">
        <v>23597</v>
      </c>
      <c r="J10410" s="2" t="s">
        <v>12550</v>
      </c>
      <c r="K10410" s="2"/>
      <c r="L10410" s="82"/>
    </row>
    <row r="10411" spans="1:12" ht="84" customHeight="1" x14ac:dyDescent="0.3">
      <c r="A10411" s="2">
        <v>10409</v>
      </c>
      <c r="B10411" s="52" t="s">
        <v>20675</v>
      </c>
      <c r="C10411" s="82" t="s">
        <v>16714</v>
      </c>
      <c r="D10411" s="43">
        <v>14160</v>
      </c>
      <c r="E10411" s="43">
        <v>14160</v>
      </c>
      <c r="F10411" s="3">
        <v>42403</v>
      </c>
      <c r="G10411" s="66" t="s">
        <v>12549</v>
      </c>
      <c r="H10411" s="207" t="s">
        <v>23596</v>
      </c>
      <c r="I10411" s="245" t="s">
        <v>23597</v>
      </c>
      <c r="J10411" s="2" t="s">
        <v>12550</v>
      </c>
      <c r="K10411" s="2"/>
      <c r="L10411" s="82"/>
    </row>
    <row r="10412" spans="1:12" ht="84" customHeight="1" x14ac:dyDescent="0.3">
      <c r="A10412" s="2">
        <v>10410</v>
      </c>
      <c r="B10412" s="52" t="s">
        <v>20676</v>
      </c>
      <c r="C10412" s="82" t="s">
        <v>16715</v>
      </c>
      <c r="D10412" s="43">
        <v>14160</v>
      </c>
      <c r="E10412" s="43">
        <v>14160</v>
      </c>
      <c r="F10412" s="3">
        <v>42403</v>
      </c>
      <c r="G10412" s="66" t="s">
        <v>12549</v>
      </c>
      <c r="H10412" s="207" t="s">
        <v>23596</v>
      </c>
      <c r="I10412" s="245" t="s">
        <v>23597</v>
      </c>
      <c r="J10412" s="2" t="s">
        <v>12550</v>
      </c>
      <c r="K10412" s="2"/>
      <c r="L10412" s="82"/>
    </row>
    <row r="10413" spans="1:12" ht="84" customHeight="1" x14ac:dyDescent="0.3">
      <c r="A10413" s="2">
        <v>10411</v>
      </c>
      <c r="B10413" s="52" t="s">
        <v>20677</v>
      </c>
      <c r="C10413" s="82" t="s">
        <v>16716</v>
      </c>
      <c r="D10413" s="43">
        <v>48680</v>
      </c>
      <c r="E10413" s="43">
        <v>48680</v>
      </c>
      <c r="F10413" s="3">
        <v>42403</v>
      </c>
      <c r="G10413" s="66" t="s">
        <v>12549</v>
      </c>
      <c r="H10413" s="207" t="s">
        <v>23596</v>
      </c>
      <c r="I10413" s="245" t="s">
        <v>23597</v>
      </c>
      <c r="J10413" s="2" t="s">
        <v>12550</v>
      </c>
      <c r="K10413" s="2"/>
      <c r="L10413" s="82"/>
    </row>
    <row r="10414" spans="1:12" ht="84" customHeight="1" x14ac:dyDescent="0.3">
      <c r="A10414" s="2">
        <v>10412</v>
      </c>
      <c r="B10414" s="52" t="s">
        <v>20678</v>
      </c>
      <c r="C10414" s="82" t="s">
        <v>16717</v>
      </c>
      <c r="D10414" s="43">
        <v>94400</v>
      </c>
      <c r="E10414" s="43">
        <v>94400</v>
      </c>
      <c r="F10414" s="3">
        <v>42403</v>
      </c>
      <c r="G10414" s="66" t="s">
        <v>12549</v>
      </c>
      <c r="H10414" s="207" t="s">
        <v>23596</v>
      </c>
      <c r="I10414" s="245" t="s">
        <v>23597</v>
      </c>
      <c r="J10414" s="2" t="s">
        <v>12550</v>
      </c>
      <c r="K10414" s="2"/>
      <c r="L10414" s="82"/>
    </row>
    <row r="10415" spans="1:12" ht="84" customHeight="1" x14ac:dyDescent="0.3">
      <c r="A10415" s="2">
        <v>10413</v>
      </c>
      <c r="B10415" s="52" t="s">
        <v>16806</v>
      </c>
      <c r="C10415" s="6" t="s">
        <v>16718</v>
      </c>
      <c r="D10415" s="43">
        <v>5000</v>
      </c>
      <c r="E10415" s="43">
        <v>5000</v>
      </c>
      <c r="F10415" s="3">
        <v>42403</v>
      </c>
      <c r="G10415" s="66" t="s">
        <v>12549</v>
      </c>
      <c r="H10415" s="2"/>
      <c r="I10415" s="2"/>
      <c r="J10415" s="2" t="s">
        <v>12550</v>
      </c>
      <c r="K10415" s="2"/>
      <c r="L10415" s="82"/>
    </row>
    <row r="10416" spans="1:12" ht="84" customHeight="1" x14ac:dyDescent="0.3">
      <c r="A10416" s="2">
        <v>10414</v>
      </c>
      <c r="B10416" s="52" t="s">
        <v>16806</v>
      </c>
      <c r="C10416" s="6" t="s">
        <v>16719</v>
      </c>
      <c r="D10416" s="43">
        <v>5000</v>
      </c>
      <c r="E10416" s="43">
        <v>5000</v>
      </c>
      <c r="F10416" s="3">
        <v>42403</v>
      </c>
      <c r="G10416" s="66" t="s">
        <v>12549</v>
      </c>
      <c r="H10416" s="2"/>
      <c r="I10416" s="2"/>
      <c r="J10416" s="2" t="s">
        <v>12550</v>
      </c>
      <c r="K10416" s="2"/>
      <c r="L10416" s="82"/>
    </row>
    <row r="10417" spans="1:12" ht="84" customHeight="1" x14ac:dyDescent="0.3">
      <c r="A10417" s="2">
        <v>10415</v>
      </c>
      <c r="B10417" s="52" t="s">
        <v>16806</v>
      </c>
      <c r="C10417" s="6" t="s">
        <v>16720</v>
      </c>
      <c r="D10417" s="43">
        <v>5000</v>
      </c>
      <c r="E10417" s="43">
        <v>5000</v>
      </c>
      <c r="F10417" s="3">
        <v>42403</v>
      </c>
      <c r="G10417" s="66" t="s">
        <v>12549</v>
      </c>
      <c r="H10417" s="2"/>
      <c r="I10417" s="2"/>
      <c r="J10417" s="2" t="s">
        <v>12550</v>
      </c>
      <c r="K10417" s="2"/>
      <c r="L10417" s="82"/>
    </row>
    <row r="10418" spans="1:12" ht="84" customHeight="1" x14ac:dyDescent="0.3">
      <c r="A10418" s="2">
        <v>10416</v>
      </c>
      <c r="B10418" s="52" t="s">
        <v>16806</v>
      </c>
      <c r="C10418" s="6" t="s">
        <v>16721</v>
      </c>
      <c r="D10418" s="43">
        <v>5000</v>
      </c>
      <c r="E10418" s="43"/>
      <c r="F10418" s="3">
        <v>42403</v>
      </c>
      <c r="G10418" s="66" t="s">
        <v>12549</v>
      </c>
      <c r="H10418" s="2"/>
      <c r="I10418" s="2"/>
      <c r="J10418" s="2" t="s">
        <v>12550</v>
      </c>
      <c r="K10418" s="2"/>
      <c r="L10418" s="82"/>
    </row>
    <row r="10419" spans="1:12" ht="84" customHeight="1" x14ac:dyDescent="0.3">
      <c r="A10419" s="2">
        <v>10417</v>
      </c>
      <c r="B10419" s="52" t="s">
        <v>20679</v>
      </c>
      <c r="C10419" s="6" t="s">
        <v>16722</v>
      </c>
      <c r="D10419" s="43">
        <v>114360.4</v>
      </c>
      <c r="E10419" s="43">
        <v>114360.4</v>
      </c>
      <c r="F10419" s="3">
        <v>42403</v>
      </c>
      <c r="G10419" s="66" t="s">
        <v>12549</v>
      </c>
      <c r="H10419" s="2"/>
      <c r="I10419" s="2"/>
      <c r="J10419" s="2" t="s">
        <v>12550</v>
      </c>
      <c r="K10419" s="2"/>
      <c r="L10419" s="82"/>
    </row>
    <row r="10420" spans="1:12" ht="84" customHeight="1" x14ac:dyDescent="0.3">
      <c r="A10420" s="2">
        <v>10418</v>
      </c>
      <c r="B10420" s="52" t="s">
        <v>16723</v>
      </c>
      <c r="C10420" s="6" t="s">
        <v>731</v>
      </c>
      <c r="D10420" s="43">
        <v>212061.96</v>
      </c>
      <c r="E10420" s="43">
        <v>32225.119999999999</v>
      </c>
      <c r="F10420" s="3">
        <v>42403</v>
      </c>
      <c r="G10420" s="66" t="s">
        <v>12549</v>
      </c>
      <c r="H10420" s="2"/>
      <c r="I10420" s="2"/>
      <c r="J10420" s="2" t="s">
        <v>12550</v>
      </c>
      <c r="K10420" s="2"/>
      <c r="L10420" s="82"/>
    </row>
    <row r="10421" spans="1:12" ht="84" customHeight="1" x14ac:dyDescent="0.3">
      <c r="A10421" s="2">
        <v>10419</v>
      </c>
      <c r="B10421" s="52" t="s">
        <v>16723</v>
      </c>
      <c r="C10421" s="6" t="s">
        <v>16724</v>
      </c>
      <c r="D10421" s="43">
        <v>15000</v>
      </c>
      <c r="E10421" s="43">
        <v>15000</v>
      </c>
      <c r="F10421" s="3">
        <v>42403</v>
      </c>
      <c r="G10421" s="66" t="s">
        <v>12549</v>
      </c>
      <c r="H10421" s="2"/>
      <c r="I10421" s="2"/>
      <c r="J10421" s="2" t="s">
        <v>12550</v>
      </c>
      <c r="K10421" s="2"/>
      <c r="L10421" s="82"/>
    </row>
    <row r="10422" spans="1:12" ht="84" customHeight="1" x14ac:dyDescent="0.3">
      <c r="A10422" s="2">
        <v>10420</v>
      </c>
      <c r="B10422" s="52" t="s">
        <v>16723</v>
      </c>
      <c r="C10422" s="6" t="s">
        <v>16725</v>
      </c>
      <c r="D10422" s="43">
        <v>100000</v>
      </c>
      <c r="E10422" s="43">
        <v>1111.1199999999999</v>
      </c>
      <c r="F10422" s="3">
        <v>42403</v>
      </c>
      <c r="G10422" s="66" t="s">
        <v>12549</v>
      </c>
      <c r="H10422" s="2"/>
      <c r="I10422" s="2"/>
      <c r="J10422" s="2" t="s">
        <v>12550</v>
      </c>
      <c r="K10422" s="2"/>
      <c r="L10422" s="82"/>
    </row>
    <row r="10423" spans="1:12" ht="84" customHeight="1" x14ac:dyDescent="0.3">
      <c r="A10423" s="2">
        <v>10421</v>
      </c>
      <c r="B10423" s="52" t="s">
        <v>16807</v>
      </c>
      <c r="C10423" s="6" t="s">
        <v>16726</v>
      </c>
      <c r="D10423" s="43">
        <v>5000</v>
      </c>
      <c r="E10423" s="43">
        <v>5000</v>
      </c>
      <c r="F10423" s="3">
        <v>42403</v>
      </c>
      <c r="G10423" s="66" t="s">
        <v>12549</v>
      </c>
      <c r="H10423" s="2"/>
      <c r="I10423" s="2"/>
      <c r="J10423" s="2" t="s">
        <v>12550</v>
      </c>
      <c r="K10423" s="2"/>
      <c r="L10423" s="82"/>
    </row>
    <row r="10424" spans="1:12" ht="84" customHeight="1" x14ac:dyDescent="0.3">
      <c r="A10424" s="2">
        <v>10422</v>
      </c>
      <c r="B10424" s="52" t="s">
        <v>16807</v>
      </c>
      <c r="C10424" s="6" t="s">
        <v>16727</v>
      </c>
      <c r="D10424" s="43">
        <v>5000</v>
      </c>
      <c r="E10424" s="43">
        <v>5000</v>
      </c>
      <c r="F10424" s="3">
        <v>42403</v>
      </c>
      <c r="G10424" s="66" t="s">
        <v>12549</v>
      </c>
      <c r="H10424" s="2"/>
      <c r="I10424" s="2"/>
      <c r="J10424" s="2" t="s">
        <v>12550</v>
      </c>
      <c r="K10424" s="2"/>
      <c r="L10424" s="82"/>
    </row>
    <row r="10425" spans="1:12" ht="84" customHeight="1" x14ac:dyDescent="0.3">
      <c r="A10425" s="2">
        <v>10423</v>
      </c>
      <c r="B10425" s="52" t="s">
        <v>16808</v>
      </c>
      <c r="C10425" s="82" t="s">
        <v>16728</v>
      </c>
      <c r="D10425" s="43">
        <v>5000</v>
      </c>
      <c r="E10425" s="43">
        <v>5000</v>
      </c>
      <c r="F10425" s="3">
        <v>42403</v>
      </c>
      <c r="G10425" s="66" t="s">
        <v>12549</v>
      </c>
      <c r="H10425" s="2"/>
      <c r="I10425" s="2"/>
      <c r="J10425" s="2" t="s">
        <v>12550</v>
      </c>
      <c r="K10425" s="2"/>
      <c r="L10425" s="82"/>
    </row>
    <row r="10426" spans="1:12" ht="84" customHeight="1" x14ac:dyDescent="0.3">
      <c r="A10426" s="2">
        <v>10424</v>
      </c>
      <c r="B10426" s="52" t="s">
        <v>16808</v>
      </c>
      <c r="C10426" s="82" t="s">
        <v>16729</v>
      </c>
      <c r="D10426" s="43">
        <v>5000</v>
      </c>
      <c r="E10426" s="43">
        <v>5000</v>
      </c>
      <c r="F10426" s="3">
        <v>42403</v>
      </c>
      <c r="G10426" s="66" t="s">
        <v>12549</v>
      </c>
      <c r="H10426" s="2"/>
      <c r="I10426" s="2"/>
      <c r="J10426" s="2" t="s">
        <v>12550</v>
      </c>
      <c r="K10426" s="2"/>
      <c r="L10426" s="82"/>
    </row>
    <row r="10427" spans="1:12" ht="84" customHeight="1" x14ac:dyDescent="0.3">
      <c r="A10427" s="2">
        <v>10425</v>
      </c>
      <c r="B10427" s="52" t="s">
        <v>16808</v>
      </c>
      <c r="C10427" s="82" t="s">
        <v>16730</v>
      </c>
      <c r="D10427" s="43">
        <v>5000</v>
      </c>
      <c r="E10427" s="43">
        <v>5000</v>
      </c>
      <c r="F10427" s="3">
        <v>42403</v>
      </c>
      <c r="G10427" s="66" t="s">
        <v>12549</v>
      </c>
      <c r="H10427" s="2"/>
      <c r="I10427" s="2"/>
      <c r="J10427" s="2" t="s">
        <v>12550</v>
      </c>
      <c r="K10427" s="2"/>
      <c r="L10427" s="82"/>
    </row>
    <row r="10428" spans="1:12" ht="84" customHeight="1" x14ac:dyDescent="0.3">
      <c r="A10428" s="2">
        <v>10426</v>
      </c>
      <c r="B10428" s="52" t="s">
        <v>16808</v>
      </c>
      <c r="C10428" s="82" t="s">
        <v>16731</v>
      </c>
      <c r="D10428" s="43">
        <v>5000</v>
      </c>
      <c r="E10428" s="43">
        <v>5000</v>
      </c>
      <c r="F10428" s="3">
        <v>42403</v>
      </c>
      <c r="G10428" s="66" t="s">
        <v>12549</v>
      </c>
      <c r="H10428" s="2"/>
      <c r="I10428" s="2"/>
      <c r="J10428" s="2" t="s">
        <v>12550</v>
      </c>
      <c r="K10428" s="2"/>
      <c r="L10428" s="82"/>
    </row>
    <row r="10429" spans="1:12" ht="84" customHeight="1" x14ac:dyDescent="0.3">
      <c r="A10429" s="2">
        <v>10427</v>
      </c>
      <c r="B10429" s="52" t="s">
        <v>16808</v>
      </c>
      <c r="C10429" s="82" t="s">
        <v>16732</v>
      </c>
      <c r="D10429" s="43">
        <v>5000</v>
      </c>
      <c r="E10429" s="43">
        <v>5000</v>
      </c>
      <c r="F10429" s="3">
        <v>42403</v>
      </c>
      <c r="G10429" s="66" t="s">
        <v>12549</v>
      </c>
      <c r="H10429" s="2"/>
      <c r="I10429" s="2"/>
      <c r="J10429" s="2" t="s">
        <v>12550</v>
      </c>
      <c r="K10429" s="2"/>
      <c r="L10429" s="82"/>
    </row>
    <row r="10430" spans="1:12" ht="84" customHeight="1" x14ac:dyDescent="0.3">
      <c r="A10430" s="2">
        <v>10428</v>
      </c>
      <c r="B10430" s="52" t="s">
        <v>16808</v>
      </c>
      <c r="C10430" s="6" t="s">
        <v>16733</v>
      </c>
      <c r="D10430" s="43">
        <v>5000</v>
      </c>
      <c r="E10430" s="43">
        <v>5000</v>
      </c>
      <c r="F10430" s="3">
        <v>42403</v>
      </c>
      <c r="G10430" s="66" t="s">
        <v>12549</v>
      </c>
      <c r="H10430" s="2"/>
      <c r="I10430" s="2"/>
      <c r="J10430" s="2" t="s">
        <v>12550</v>
      </c>
      <c r="K10430" s="2"/>
      <c r="L10430" s="82"/>
    </row>
    <row r="10431" spans="1:12" ht="84" customHeight="1" x14ac:dyDescent="0.3">
      <c r="A10431" s="2">
        <v>10429</v>
      </c>
      <c r="B10431" s="52" t="s">
        <v>16808</v>
      </c>
      <c r="C10431" s="6" t="s">
        <v>16734</v>
      </c>
      <c r="D10431" s="43">
        <v>5000</v>
      </c>
      <c r="E10431" s="43">
        <v>5000</v>
      </c>
      <c r="F10431" s="3">
        <v>42403</v>
      </c>
      <c r="G10431" s="66" t="s">
        <v>12549</v>
      </c>
      <c r="H10431" s="2"/>
      <c r="I10431" s="2"/>
      <c r="J10431" s="2" t="s">
        <v>12550</v>
      </c>
      <c r="K10431" s="2"/>
      <c r="L10431" s="82"/>
    </row>
    <row r="10432" spans="1:12" ht="84" customHeight="1" x14ac:dyDescent="0.3">
      <c r="A10432" s="2">
        <v>10430</v>
      </c>
      <c r="B10432" s="52" t="s">
        <v>16808</v>
      </c>
      <c r="C10432" s="6" t="s">
        <v>16735</v>
      </c>
      <c r="D10432" s="43">
        <v>5000</v>
      </c>
      <c r="E10432" s="43">
        <v>5000</v>
      </c>
      <c r="F10432" s="3">
        <v>42403</v>
      </c>
      <c r="G10432" s="66" t="s">
        <v>12549</v>
      </c>
      <c r="H10432" s="2"/>
      <c r="I10432" s="2"/>
      <c r="J10432" s="2" t="s">
        <v>12550</v>
      </c>
      <c r="K10432" s="2"/>
      <c r="L10432" s="82"/>
    </row>
    <row r="10433" spans="1:12" ht="84" customHeight="1" x14ac:dyDescent="0.3">
      <c r="A10433" s="2">
        <v>10431</v>
      </c>
      <c r="B10433" s="52" t="s">
        <v>16808</v>
      </c>
      <c r="C10433" s="6" t="s">
        <v>16736</v>
      </c>
      <c r="D10433" s="43">
        <v>5000</v>
      </c>
      <c r="E10433" s="43"/>
      <c r="F10433" s="3">
        <v>42403</v>
      </c>
      <c r="G10433" s="66" t="s">
        <v>12549</v>
      </c>
      <c r="H10433" s="2"/>
      <c r="I10433" s="2"/>
      <c r="J10433" s="2" t="s">
        <v>12550</v>
      </c>
      <c r="K10433" s="2"/>
      <c r="L10433" s="82"/>
    </row>
    <row r="10434" spans="1:12" ht="84" customHeight="1" x14ac:dyDescent="0.3">
      <c r="A10434" s="2">
        <v>10432</v>
      </c>
      <c r="B10434" s="52" t="s">
        <v>16808</v>
      </c>
      <c r="C10434" s="6" t="s">
        <v>16737</v>
      </c>
      <c r="D10434" s="43">
        <v>5000</v>
      </c>
      <c r="E10434" s="43"/>
      <c r="F10434" s="3">
        <v>42403</v>
      </c>
      <c r="G10434" s="66" t="s">
        <v>12549</v>
      </c>
      <c r="H10434" s="2"/>
      <c r="I10434" s="2"/>
      <c r="J10434" s="2" t="s">
        <v>12550</v>
      </c>
      <c r="K10434" s="2"/>
      <c r="L10434" s="82"/>
    </row>
    <row r="10435" spans="1:12" ht="84" customHeight="1" x14ac:dyDescent="0.3">
      <c r="A10435" s="2">
        <v>10433</v>
      </c>
      <c r="B10435" s="52" t="s">
        <v>16819</v>
      </c>
      <c r="C10435" s="6" t="s">
        <v>16738</v>
      </c>
      <c r="D10435" s="43">
        <v>597793</v>
      </c>
      <c r="E10435" s="43">
        <v>597793</v>
      </c>
      <c r="F10435" s="3">
        <v>42403</v>
      </c>
      <c r="G10435" s="66" t="s">
        <v>12549</v>
      </c>
      <c r="H10435" s="2"/>
      <c r="I10435" s="2"/>
      <c r="J10435" s="2" t="s">
        <v>12550</v>
      </c>
      <c r="K10435" s="2"/>
      <c r="L10435" s="82"/>
    </row>
    <row r="10436" spans="1:12" ht="84" customHeight="1" x14ac:dyDescent="0.3">
      <c r="A10436" s="2">
        <v>10434</v>
      </c>
      <c r="B10436" s="52" t="s">
        <v>20680</v>
      </c>
      <c r="C10436" s="6" t="s">
        <v>16739</v>
      </c>
      <c r="D10436" s="43">
        <v>128000</v>
      </c>
      <c r="E10436" s="43">
        <v>6400.05</v>
      </c>
      <c r="F10436" s="3">
        <v>42403</v>
      </c>
      <c r="G10436" s="66" t="s">
        <v>12549</v>
      </c>
      <c r="H10436" s="2"/>
      <c r="I10436" s="2"/>
      <c r="J10436" s="2" t="s">
        <v>12550</v>
      </c>
      <c r="K10436" s="2"/>
      <c r="L10436" s="82"/>
    </row>
    <row r="10437" spans="1:12" ht="84" customHeight="1" x14ac:dyDescent="0.3">
      <c r="A10437" s="2">
        <v>10435</v>
      </c>
      <c r="B10437" s="52" t="s">
        <v>20681</v>
      </c>
      <c r="C10437" s="6" t="s">
        <v>831</v>
      </c>
      <c r="D10437" s="43">
        <v>75000</v>
      </c>
      <c r="E10437" s="43">
        <v>1750</v>
      </c>
      <c r="F10437" s="3">
        <v>42403</v>
      </c>
      <c r="G10437" s="66" t="s">
        <v>12549</v>
      </c>
      <c r="H10437" s="2"/>
      <c r="I10437" s="2"/>
      <c r="J10437" s="2" t="s">
        <v>12550</v>
      </c>
      <c r="K10437" s="2"/>
      <c r="L10437" s="82"/>
    </row>
    <row r="10438" spans="1:12" ht="84" customHeight="1" x14ac:dyDescent="0.3">
      <c r="A10438" s="2">
        <v>10436</v>
      </c>
      <c r="B10438" s="52" t="s">
        <v>20680</v>
      </c>
      <c r="C10438" s="6" t="s">
        <v>832</v>
      </c>
      <c r="D10438" s="43">
        <v>75000</v>
      </c>
      <c r="E10438" s="43">
        <v>1750</v>
      </c>
      <c r="F10438" s="3">
        <v>42403</v>
      </c>
      <c r="G10438" s="66" t="s">
        <v>12549</v>
      </c>
      <c r="H10438" s="2"/>
      <c r="I10438" s="2"/>
      <c r="J10438" s="2" t="s">
        <v>12550</v>
      </c>
      <c r="K10438" s="2"/>
      <c r="L10438" s="82"/>
    </row>
    <row r="10439" spans="1:12" ht="84" customHeight="1" x14ac:dyDescent="0.3">
      <c r="A10439" s="2">
        <v>10437</v>
      </c>
      <c r="B10439" s="52" t="s">
        <v>20682</v>
      </c>
      <c r="C10439" s="6" t="s">
        <v>16740</v>
      </c>
      <c r="D10439" s="43">
        <v>85000</v>
      </c>
      <c r="E10439" s="43"/>
      <c r="F10439" s="3">
        <v>42403</v>
      </c>
      <c r="G10439" s="66" t="s">
        <v>12549</v>
      </c>
      <c r="H10439" s="207" t="s">
        <v>23596</v>
      </c>
      <c r="I10439" s="245" t="s">
        <v>23597</v>
      </c>
      <c r="J10439" s="2" t="s">
        <v>12550</v>
      </c>
      <c r="K10439" s="2"/>
      <c r="L10439" s="82"/>
    </row>
    <row r="10440" spans="1:12" ht="84" customHeight="1" x14ac:dyDescent="0.3">
      <c r="A10440" s="2">
        <v>10438</v>
      </c>
      <c r="B10440" s="52" t="s">
        <v>20683</v>
      </c>
      <c r="C10440" s="6" t="s">
        <v>16741</v>
      </c>
      <c r="D10440" s="43">
        <v>100000</v>
      </c>
      <c r="E10440" s="43"/>
      <c r="F10440" s="3">
        <v>42403</v>
      </c>
      <c r="G10440" s="66" t="s">
        <v>12549</v>
      </c>
      <c r="H10440" s="2"/>
      <c r="I10440" s="2"/>
      <c r="J10440" s="2" t="s">
        <v>12550</v>
      </c>
      <c r="K10440" s="2"/>
      <c r="L10440" s="82"/>
    </row>
    <row r="10441" spans="1:12" ht="84" customHeight="1" x14ac:dyDescent="0.3">
      <c r="A10441" s="2">
        <v>10439</v>
      </c>
      <c r="B10441" s="52" t="s">
        <v>20684</v>
      </c>
      <c r="C10441" s="6" t="s">
        <v>16742</v>
      </c>
      <c r="D10441" s="43">
        <v>62500</v>
      </c>
      <c r="E10441" s="43"/>
      <c r="F10441" s="3">
        <v>42403</v>
      </c>
      <c r="G10441" s="66" t="s">
        <v>12549</v>
      </c>
      <c r="H10441" s="2"/>
      <c r="I10441" s="2"/>
      <c r="J10441" s="2" t="s">
        <v>12550</v>
      </c>
      <c r="K10441" s="2"/>
      <c r="L10441" s="82"/>
    </row>
    <row r="10442" spans="1:12" ht="84" customHeight="1" x14ac:dyDescent="0.3">
      <c r="A10442" s="2">
        <v>10440</v>
      </c>
      <c r="B10442" s="52" t="s">
        <v>20685</v>
      </c>
      <c r="C10442" s="6" t="s">
        <v>16743</v>
      </c>
      <c r="D10442" s="43">
        <v>100000</v>
      </c>
      <c r="E10442" s="43"/>
      <c r="F10442" s="3">
        <v>42403</v>
      </c>
      <c r="G10442" s="66" t="s">
        <v>12549</v>
      </c>
      <c r="H10442" s="2"/>
      <c r="I10442" s="2"/>
      <c r="J10442" s="2" t="s">
        <v>12550</v>
      </c>
      <c r="K10442" s="2"/>
      <c r="L10442" s="82"/>
    </row>
    <row r="10443" spans="1:12" ht="84" customHeight="1" x14ac:dyDescent="0.3">
      <c r="A10443" s="2">
        <v>10441</v>
      </c>
      <c r="B10443" s="52" t="s">
        <v>20687</v>
      </c>
      <c r="C10443" s="6" t="s">
        <v>16744</v>
      </c>
      <c r="D10443" s="43">
        <v>85000</v>
      </c>
      <c r="E10443" s="43"/>
      <c r="F10443" s="3">
        <v>42403</v>
      </c>
      <c r="G10443" s="66" t="s">
        <v>12549</v>
      </c>
      <c r="H10443" s="2"/>
      <c r="I10443" s="2"/>
      <c r="J10443" s="2" t="s">
        <v>12550</v>
      </c>
      <c r="K10443" s="2"/>
      <c r="L10443" s="82"/>
    </row>
    <row r="10444" spans="1:12" ht="84" customHeight="1" x14ac:dyDescent="0.3">
      <c r="A10444" s="2">
        <v>10442</v>
      </c>
      <c r="B10444" s="52" t="s">
        <v>20686</v>
      </c>
      <c r="C10444" s="6" t="s">
        <v>16745</v>
      </c>
      <c r="D10444" s="43">
        <v>67500</v>
      </c>
      <c r="E10444" s="43"/>
      <c r="F10444" s="3">
        <v>42403</v>
      </c>
      <c r="G10444" s="66" t="s">
        <v>12549</v>
      </c>
      <c r="H10444" s="2"/>
      <c r="I10444" s="2"/>
      <c r="J10444" s="2" t="s">
        <v>12550</v>
      </c>
      <c r="K10444" s="2"/>
      <c r="L10444" s="82"/>
    </row>
    <row r="10445" spans="1:12" ht="84" customHeight="1" x14ac:dyDescent="0.3">
      <c r="A10445" s="2">
        <v>10443</v>
      </c>
      <c r="B10445" s="52" t="s">
        <v>16818</v>
      </c>
      <c r="C10445" s="6" t="s">
        <v>771</v>
      </c>
      <c r="D10445" s="43">
        <v>37500</v>
      </c>
      <c r="E10445" s="43">
        <v>37500</v>
      </c>
      <c r="F10445" s="3">
        <v>42403</v>
      </c>
      <c r="G10445" s="66" t="s">
        <v>12549</v>
      </c>
      <c r="H10445" s="2"/>
      <c r="I10445" s="2"/>
      <c r="J10445" s="2" t="s">
        <v>12550</v>
      </c>
      <c r="K10445" s="2"/>
      <c r="L10445" s="82"/>
    </row>
    <row r="10446" spans="1:12" ht="84" customHeight="1" x14ac:dyDescent="0.3">
      <c r="A10446" s="2">
        <v>10444</v>
      </c>
      <c r="B10446" s="52" t="s">
        <v>20688</v>
      </c>
      <c r="C10446" s="6" t="s">
        <v>16746</v>
      </c>
      <c r="D10446" s="43">
        <v>40000</v>
      </c>
      <c r="E10446" s="43">
        <v>40000</v>
      </c>
      <c r="F10446" s="3">
        <v>42403</v>
      </c>
      <c r="G10446" s="66" t="s">
        <v>12549</v>
      </c>
      <c r="H10446" s="207" t="s">
        <v>23596</v>
      </c>
      <c r="I10446" s="245" t="s">
        <v>23597</v>
      </c>
      <c r="J10446" s="2" t="s">
        <v>12550</v>
      </c>
      <c r="K10446" s="2"/>
      <c r="L10446" s="82"/>
    </row>
    <row r="10447" spans="1:12" ht="84" customHeight="1" x14ac:dyDescent="0.3">
      <c r="A10447" s="2">
        <v>10445</v>
      </c>
      <c r="B10447" s="52" t="s">
        <v>20689</v>
      </c>
      <c r="C10447" s="82" t="s">
        <v>16747</v>
      </c>
      <c r="D10447" s="43">
        <v>4130</v>
      </c>
      <c r="E10447" s="43">
        <v>4130</v>
      </c>
      <c r="F10447" s="3">
        <v>42403</v>
      </c>
      <c r="G10447" s="66" t="s">
        <v>12549</v>
      </c>
      <c r="H10447" s="2"/>
      <c r="I10447" s="2"/>
      <c r="J10447" s="2" t="s">
        <v>12550</v>
      </c>
      <c r="K10447" s="2"/>
      <c r="L10447" s="82"/>
    </row>
    <row r="10448" spans="1:12" ht="84" customHeight="1" x14ac:dyDescent="0.3">
      <c r="A10448" s="2">
        <v>10446</v>
      </c>
      <c r="B10448" s="52" t="s">
        <v>20689</v>
      </c>
      <c r="C10448" s="82" t="s">
        <v>16748</v>
      </c>
      <c r="D10448" s="43">
        <v>4130</v>
      </c>
      <c r="E10448" s="43">
        <v>4130</v>
      </c>
      <c r="F10448" s="3">
        <v>42403</v>
      </c>
      <c r="G10448" s="66" t="s">
        <v>12549</v>
      </c>
      <c r="H10448" s="2"/>
      <c r="I10448" s="2"/>
      <c r="J10448" s="2" t="s">
        <v>12550</v>
      </c>
      <c r="K10448" s="2"/>
      <c r="L10448" s="82"/>
    </row>
    <row r="10449" spans="1:12" ht="84" customHeight="1" x14ac:dyDescent="0.3">
      <c r="A10449" s="2">
        <v>10447</v>
      </c>
      <c r="B10449" s="52" t="s">
        <v>20690</v>
      </c>
      <c r="C10449" s="82" t="s">
        <v>16749</v>
      </c>
      <c r="D10449" s="43">
        <v>4130</v>
      </c>
      <c r="E10449" s="43">
        <v>4130</v>
      </c>
      <c r="F10449" s="3">
        <v>42403</v>
      </c>
      <c r="G10449" s="66" t="s">
        <v>12549</v>
      </c>
      <c r="H10449" s="207" t="s">
        <v>23596</v>
      </c>
      <c r="I10449" s="245" t="s">
        <v>23597</v>
      </c>
      <c r="J10449" s="2" t="s">
        <v>12550</v>
      </c>
      <c r="K10449" s="2"/>
      <c r="L10449" s="82"/>
    </row>
    <row r="10450" spans="1:12" ht="84" customHeight="1" x14ac:dyDescent="0.3">
      <c r="A10450" s="2">
        <v>10448</v>
      </c>
      <c r="B10450" s="52" t="s">
        <v>20692</v>
      </c>
      <c r="C10450" s="82" t="s">
        <v>16750</v>
      </c>
      <c r="D10450" s="43">
        <v>4130</v>
      </c>
      <c r="E10450" s="43">
        <v>4130</v>
      </c>
      <c r="F10450" s="3">
        <v>42403</v>
      </c>
      <c r="G10450" s="66" t="s">
        <v>12549</v>
      </c>
      <c r="H10450" s="207" t="s">
        <v>23596</v>
      </c>
      <c r="I10450" s="245" t="s">
        <v>23597</v>
      </c>
      <c r="J10450" s="2" t="s">
        <v>12550</v>
      </c>
      <c r="K10450" s="2"/>
      <c r="L10450" s="82"/>
    </row>
    <row r="10451" spans="1:12" ht="84" customHeight="1" x14ac:dyDescent="0.3">
      <c r="A10451" s="2">
        <v>10449</v>
      </c>
      <c r="B10451" s="52" t="s">
        <v>20691</v>
      </c>
      <c r="C10451" s="82" t="s">
        <v>16751</v>
      </c>
      <c r="D10451" s="43">
        <v>5310</v>
      </c>
      <c r="E10451" s="43">
        <v>5310</v>
      </c>
      <c r="F10451" s="3">
        <v>42403</v>
      </c>
      <c r="G10451" s="66" t="s">
        <v>12549</v>
      </c>
      <c r="H10451" s="207" t="s">
        <v>23596</v>
      </c>
      <c r="I10451" s="245" t="s">
        <v>23597</v>
      </c>
      <c r="J10451" s="2" t="s">
        <v>12550</v>
      </c>
      <c r="K10451" s="2"/>
      <c r="L10451" s="82"/>
    </row>
    <row r="10452" spans="1:12" ht="84" customHeight="1" x14ac:dyDescent="0.3">
      <c r="A10452" s="2">
        <v>10450</v>
      </c>
      <c r="B10452" s="52" t="s">
        <v>20693</v>
      </c>
      <c r="C10452" s="82" t="s">
        <v>16752</v>
      </c>
      <c r="D10452" s="43">
        <v>5310</v>
      </c>
      <c r="E10452" s="43">
        <v>5310</v>
      </c>
      <c r="F10452" s="3">
        <v>42403</v>
      </c>
      <c r="G10452" s="66" t="s">
        <v>12549</v>
      </c>
      <c r="H10452" s="2"/>
      <c r="I10452" s="2"/>
      <c r="J10452" s="2" t="s">
        <v>12550</v>
      </c>
      <c r="K10452" s="2"/>
      <c r="L10452" s="82"/>
    </row>
    <row r="10453" spans="1:12" ht="84" customHeight="1" x14ac:dyDescent="0.3">
      <c r="A10453" s="2">
        <v>10451</v>
      </c>
      <c r="B10453" s="52" t="s">
        <v>20693</v>
      </c>
      <c r="C10453" s="82" t="s">
        <v>16753</v>
      </c>
      <c r="D10453" s="43">
        <v>5310</v>
      </c>
      <c r="E10453" s="43">
        <v>5310</v>
      </c>
      <c r="F10453" s="3">
        <v>42403</v>
      </c>
      <c r="G10453" s="66" t="s">
        <v>12549</v>
      </c>
      <c r="H10453" s="2"/>
      <c r="I10453" s="2"/>
      <c r="J10453" s="2" t="s">
        <v>12550</v>
      </c>
      <c r="K10453" s="2"/>
      <c r="L10453" s="82"/>
    </row>
    <row r="10454" spans="1:12" ht="84" customHeight="1" x14ac:dyDescent="0.3">
      <c r="A10454" s="2">
        <v>10452</v>
      </c>
      <c r="B10454" s="52" t="s">
        <v>20694</v>
      </c>
      <c r="C10454" s="82" t="s">
        <v>16754</v>
      </c>
      <c r="D10454" s="43">
        <v>5310</v>
      </c>
      <c r="E10454" s="43">
        <v>5310</v>
      </c>
      <c r="F10454" s="3">
        <v>42403</v>
      </c>
      <c r="G10454" s="66" t="s">
        <v>12549</v>
      </c>
      <c r="H10454" s="207" t="s">
        <v>23596</v>
      </c>
      <c r="I10454" s="245" t="s">
        <v>23597</v>
      </c>
      <c r="J10454" s="2" t="s">
        <v>12550</v>
      </c>
      <c r="K10454" s="2"/>
      <c r="L10454" s="82"/>
    </row>
    <row r="10455" spans="1:12" ht="84" customHeight="1" x14ac:dyDescent="0.3">
      <c r="A10455" s="2">
        <v>10453</v>
      </c>
      <c r="B10455" s="52" t="s">
        <v>20694</v>
      </c>
      <c r="C10455" s="82" t="s">
        <v>16755</v>
      </c>
      <c r="D10455" s="43">
        <v>5310</v>
      </c>
      <c r="E10455" s="43">
        <v>5310</v>
      </c>
      <c r="F10455" s="3">
        <v>42403</v>
      </c>
      <c r="G10455" s="66" t="s">
        <v>12549</v>
      </c>
      <c r="H10455" s="207" t="s">
        <v>23596</v>
      </c>
      <c r="I10455" s="245" t="s">
        <v>23597</v>
      </c>
      <c r="J10455" s="2" t="s">
        <v>12550</v>
      </c>
      <c r="K10455" s="2"/>
      <c r="L10455" s="82"/>
    </row>
    <row r="10456" spans="1:12" ht="84" customHeight="1" x14ac:dyDescent="0.3">
      <c r="A10456" s="2">
        <v>10454</v>
      </c>
      <c r="B10456" s="52" t="s">
        <v>20695</v>
      </c>
      <c r="C10456" s="82" t="s">
        <v>16756</v>
      </c>
      <c r="D10456" s="43">
        <v>4130</v>
      </c>
      <c r="E10456" s="43">
        <v>4130</v>
      </c>
      <c r="F10456" s="3">
        <v>42403</v>
      </c>
      <c r="G10456" s="66" t="s">
        <v>12549</v>
      </c>
      <c r="H10456" s="207" t="s">
        <v>23596</v>
      </c>
      <c r="I10456" s="245" t="s">
        <v>23597</v>
      </c>
      <c r="J10456" s="2" t="s">
        <v>12550</v>
      </c>
      <c r="K10456" s="2"/>
      <c r="L10456" s="82"/>
    </row>
    <row r="10457" spans="1:12" ht="84" customHeight="1" x14ac:dyDescent="0.3">
      <c r="A10457" s="2">
        <v>10455</v>
      </c>
      <c r="B10457" s="52" t="s">
        <v>20696</v>
      </c>
      <c r="C10457" s="82" t="s">
        <v>16757</v>
      </c>
      <c r="D10457" s="43">
        <v>4130</v>
      </c>
      <c r="E10457" s="43">
        <v>4130</v>
      </c>
      <c r="F10457" s="3">
        <v>42403</v>
      </c>
      <c r="G10457" s="66" t="s">
        <v>12549</v>
      </c>
      <c r="H10457" s="207" t="s">
        <v>23596</v>
      </c>
      <c r="I10457" s="245" t="s">
        <v>23597</v>
      </c>
      <c r="J10457" s="2" t="s">
        <v>12550</v>
      </c>
      <c r="K10457" s="2"/>
      <c r="L10457" s="82"/>
    </row>
    <row r="10458" spans="1:12" ht="84" customHeight="1" x14ac:dyDescent="0.3">
      <c r="A10458" s="2">
        <v>10456</v>
      </c>
      <c r="B10458" s="52" t="s">
        <v>16817</v>
      </c>
      <c r="C10458" s="82" t="s">
        <v>344</v>
      </c>
      <c r="D10458" s="43">
        <v>50000</v>
      </c>
      <c r="E10458" s="43">
        <v>1041.6500000000001</v>
      </c>
      <c r="F10458" s="3">
        <v>42403</v>
      </c>
      <c r="G10458" s="66" t="s">
        <v>12549</v>
      </c>
      <c r="H10458" s="2"/>
      <c r="I10458" s="2"/>
      <c r="J10458" s="2" t="s">
        <v>12550</v>
      </c>
      <c r="K10458" s="2"/>
      <c r="L10458" s="82"/>
    </row>
    <row r="10459" spans="1:12" ht="84" customHeight="1" x14ac:dyDescent="0.3">
      <c r="A10459" s="2">
        <v>10457</v>
      </c>
      <c r="B10459" s="52" t="s">
        <v>16816</v>
      </c>
      <c r="C10459" s="82" t="s">
        <v>729</v>
      </c>
      <c r="D10459" s="43">
        <v>52750</v>
      </c>
      <c r="E10459" s="43">
        <v>6813.49</v>
      </c>
      <c r="F10459" s="3">
        <v>42403</v>
      </c>
      <c r="G10459" s="66" t="s">
        <v>12549</v>
      </c>
      <c r="H10459" s="2"/>
      <c r="I10459" s="2"/>
      <c r="J10459" s="2" t="s">
        <v>12550</v>
      </c>
      <c r="K10459" s="2"/>
      <c r="L10459" s="82"/>
    </row>
    <row r="10460" spans="1:12" ht="84" customHeight="1" x14ac:dyDescent="0.3">
      <c r="A10460" s="2">
        <v>10458</v>
      </c>
      <c r="B10460" s="52" t="s">
        <v>16815</v>
      </c>
      <c r="C10460" s="82" t="s">
        <v>726</v>
      </c>
      <c r="D10460" s="43">
        <v>52750</v>
      </c>
      <c r="E10460" s="43">
        <v>6813.49</v>
      </c>
      <c r="F10460" s="3">
        <v>42403</v>
      </c>
      <c r="G10460" s="66" t="s">
        <v>12549</v>
      </c>
      <c r="H10460" s="2"/>
      <c r="I10460" s="2"/>
      <c r="J10460" s="2" t="s">
        <v>12550</v>
      </c>
      <c r="K10460" s="2"/>
      <c r="L10460" s="82"/>
    </row>
    <row r="10461" spans="1:12" ht="84" customHeight="1" x14ac:dyDescent="0.3">
      <c r="A10461" s="2">
        <v>10459</v>
      </c>
      <c r="B10461" s="52" t="s">
        <v>16814</v>
      </c>
      <c r="C10461" s="82" t="s">
        <v>727</v>
      </c>
      <c r="D10461" s="43">
        <v>52750</v>
      </c>
      <c r="E10461" s="43">
        <v>6813.49</v>
      </c>
      <c r="F10461" s="3">
        <v>42403</v>
      </c>
      <c r="G10461" s="66" t="s">
        <v>12549</v>
      </c>
      <c r="H10461" s="2"/>
      <c r="I10461" s="2"/>
      <c r="J10461" s="2" t="s">
        <v>12550</v>
      </c>
      <c r="K10461" s="2"/>
      <c r="L10461" s="82"/>
    </row>
    <row r="10462" spans="1:12" ht="84" customHeight="1" x14ac:dyDescent="0.3">
      <c r="A10462" s="2">
        <v>10460</v>
      </c>
      <c r="B10462" s="52" t="s">
        <v>16813</v>
      </c>
      <c r="C10462" s="82" t="s">
        <v>728</v>
      </c>
      <c r="D10462" s="43">
        <v>52750</v>
      </c>
      <c r="E10462" s="43">
        <v>6813.49</v>
      </c>
      <c r="F10462" s="3">
        <v>42403</v>
      </c>
      <c r="G10462" s="66" t="s">
        <v>12549</v>
      </c>
      <c r="H10462" s="2"/>
      <c r="I10462" s="2"/>
      <c r="J10462" s="2" t="s">
        <v>12550</v>
      </c>
      <c r="K10462" s="2"/>
      <c r="L10462" s="82"/>
    </row>
    <row r="10463" spans="1:12" ht="84" customHeight="1" x14ac:dyDescent="0.3">
      <c r="A10463" s="2">
        <v>10461</v>
      </c>
      <c r="B10463" s="52" t="s">
        <v>20697</v>
      </c>
      <c r="C10463" s="6" t="s">
        <v>815</v>
      </c>
      <c r="D10463" s="43">
        <v>6000</v>
      </c>
      <c r="E10463" s="43">
        <v>6000</v>
      </c>
      <c r="F10463" s="3">
        <v>42403</v>
      </c>
      <c r="G10463" s="66" t="s">
        <v>12549</v>
      </c>
      <c r="H10463" s="207" t="s">
        <v>23596</v>
      </c>
      <c r="I10463" s="245" t="s">
        <v>23597</v>
      </c>
      <c r="J10463" s="2" t="s">
        <v>12550</v>
      </c>
      <c r="K10463" s="2"/>
      <c r="L10463" s="82"/>
    </row>
    <row r="10464" spans="1:12" ht="84" customHeight="1" x14ac:dyDescent="0.3">
      <c r="A10464" s="2">
        <v>10462</v>
      </c>
      <c r="B10464" s="52" t="s">
        <v>20698</v>
      </c>
      <c r="C10464" s="82" t="s">
        <v>16758</v>
      </c>
      <c r="D10464" s="43">
        <v>2930</v>
      </c>
      <c r="E10464" s="43"/>
      <c r="F10464" s="3">
        <v>42403</v>
      </c>
      <c r="G10464" s="66" t="s">
        <v>12549</v>
      </c>
      <c r="H10464" s="2"/>
      <c r="I10464" s="2"/>
      <c r="J10464" s="2" t="s">
        <v>12550</v>
      </c>
      <c r="K10464" s="2"/>
      <c r="L10464" s="82"/>
    </row>
    <row r="10465" spans="1:12" ht="84" customHeight="1" x14ac:dyDescent="0.3">
      <c r="A10465" s="2">
        <v>10463</v>
      </c>
      <c r="B10465" s="52" t="s">
        <v>20699</v>
      </c>
      <c r="C10465" s="82" t="s">
        <v>16759</v>
      </c>
      <c r="D10465" s="43">
        <v>2930</v>
      </c>
      <c r="E10465" s="43"/>
      <c r="F10465" s="3">
        <v>42403</v>
      </c>
      <c r="G10465" s="66" t="s">
        <v>12549</v>
      </c>
      <c r="H10465" s="207" t="s">
        <v>23596</v>
      </c>
      <c r="I10465" s="245" t="s">
        <v>23597</v>
      </c>
      <c r="J10465" s="2" t="s">
        <v>12550</v>
      </c>
      <c r="K10465" s="2"/>
      <c r="L10465" s="82"/>
    </row>
    <row r="10466" spans="1:12" ht="84" customHeight="1" x14ac:dyDescent="0.3">
      <c r="A10466" s="2">
        <v>10464</v>
      </c>
      <c r="B10466" s="52" t="s">
        <v>20700</v>
      </c>
      <c r="C10466" s="82" t="s">
        <v>16760</v>
      </c>
      <c r="D10466" s="43">
        <v>2930</v>
      </c>
      <c r="E10466" s="43"/>
      <c r="F10466" s="3">
        <v>42403</v>
      </c>
      <c r="G10466" s="66" t="s">
        <v>12549</v>
      </c>
      <c r="H10466" s="207" t="s">
        <v>23596</v>
      </c>
      <c r="I10466" s="245" t="s">
        <v>23597</v>
      </c>
      <c r="J10466" s="2" t="s">
        <v>12550</v>
      </c>
      <c r="K10466" s="2"/>
      <c r="L10466" s="82"/>
    </row>
    <row r="10467" spans="1:12" ht="84" customHeight="1" x14ac:dyDescent="0.3">
      <c r="A10467" s="2">
        <v>10465</v>
      </c>
      <c r="B10467" s="52" t="s">
        <v>20701</v>
      </c>
      <c r="C10467" s="82" t="s">
        <v>16761</v>
      </c>
      <c r="D10467" s="43">
        <v>2930</v>
      </c>
      <c r="E10467" s="43"/>
      <c r="F10467" s="3">
        <v>42403</v>
      </c>
      <c r="G10467" s="66" t="s">
        <v>12549</v>
      </c>
      <c r="H10467" s="207" t="s">
        <v>23596</v>
      </c>
      <c r="I10467" s="245" t="s">
        <v>23597</v>
      </c>
      <c r="J10467" s="2" t="s">
        <v>12550</v>
      </c>
      <c r="K10467" s="2"/>
      <c r="L10467" s="82"/>
    </row>
    <row r="10468" spans="1:12" ht="84" customHeight="1" x14ac:dyDescent="0.3">
      <c r="A10468" s="2">
        <v>10466</v>
      </c>
      <c r="B10468" s="52" t="s">
        <v>20702</v>
      </c>
      <c r="C10468" s="82" t="s">
        <v>16762</v>
      </c>
      <c r="D10468" s="43">
        <v>2930</v>
      </c>
      <c r="E10468" s="43"/>
      <c r="F10468" s="3">
        <v>42403</v>
      </c>
      <c r="G10468" s="66" t="s">
        <v>12549</v>
      </c>
      <c r="H10468" s="2"/>
      <c r="I10468" s="2"/>
      <c r="J10468" s="2" t="s">
        <v>12550</v>
      </c>
      <c r="K10468" s="2"/>
      <c r="L10468" s="82"/>
    </row>
    <row r="10469" spans="1:12" ht="84" customHeight="1" x14ac:dyDescent="0.3">
      <c r="A10469" s="2">
        <v>10467</v>
      </c>
      <c r="B10469" s="52" t="s">
        <v>20703</v>
      </c>
      <c r="C10469" s="82" t="s">
        <v>16763</v>
      </c>
      <c r="D10469" s="43">
        <v>2930</v>
      </c>
      <c r="E10469" s="43"/>
      <c r="F10469" s="3">
        <v>42403</v>
      </c>
      <c r="G10469" s="66" t="s">
        <v>12549</v>
      </c>
      <c r="H10469" s="207" t="s">
        <v>23596</v>
      </c>
      <c r="I10469" s="245" t="s">
        <v>23597</v>
      </c>
      <c r="J10469" s="2" t="s">
        <v>12550</v>
      </c>
      <c r="K10469" s="2"/>
      <c r="L10469" s="82"/>
    </row>
    <row r="10470" spans="1:12" ht="84" customHeight="1" x14ac:dyDescent="0.3">
      <c r="A10470" s="2">
        <v>10468</v>
      </c>
      <c r="B10470" s="52" t="s">
        <v>20704</v>
      </c>
      <c r="C10470" s="82" t="s">
        <v>16764</v>
      </c>
      <c r="D10470" s="43">
        <v>2930</v>
      </c>
      <c r="E10470" s="43"/>
      <c r="F10470" s="3">
        <v>42403</v>
      </c>
      <c r="G10470" s="66" t="s">
        <v>12549</v>
      </c>
      <c r="H10470" s="207" t="s">
        <v>23596</v>
      </c>
      <c r="I10470" s="245" t="s">
        <v>23597</v>
      </c>
      <c r="J10470" s="2" t="s">
        <v>12550</v>
      </c>
      <c r="K10470" s="2"/>
      <c r="L10470" s="82"/>
    </row>
    <row r="10471" spans="1:12" ht="84" customHeight="1" x14ac:dyDescent="0.3">
      <c r="A10471" s="2">
        <v>10469</v>
      </c>
      <c r="B10471" s="52" t="s">
        <v>20705</v>
      </c>
      <c r="C10471" s="82" t="s">
        <v>16765</v>
      </c>
      <c r="D10471" s="43">
        <v>2930</v>
      </c>
      <c r="E10471" s="43"/>
      <c r="F10471" s="3">
        <v>42403</v>
      </c>
      <c r="G10471" s="66" t="s">
        <v>12549</v>
      </c>
      <c r="H10471" s="207" t="s">
        <v>23596</v>
      </c>
      <c r="I10471" s="245" t="s">
        <v>23597</v>
      </c>
      <c r="J10471" s="2" t="s">
        <v>12550</v>
      </c>
      <c r="K10471" s="2"/>
      <c r="L10471" s="82"/>
    </row>
    <row r="10472" spans="1:12" ht="84" customHeight="1" x14ac:dyDescent="0.3">
      <c r="A10472" s="2">
        <v>10470</v>
      </c>
      <c r="B10472" s="52" t="s">
        <v>20706</v>
      </c>
      <c r="C10472" s="82" t="s">
        <v>16766</v>
      </c>
      <c r="D10472" s="43">
        <v>2930</v>
      </c>
      <c r="E10472" s="43"/>
      <c r="F10472" s="3">
        <v>42403</v>
      </c>
      <c r="G10472" s="66" t="s">
        <v>12549</v>
      </c>
      <c r="H10472" s="2"/>
      <c r="I10472" s="2"/>
      <c r="J10472" s="2" t="s">
        <v>12550</v>
      </c>
      <c r="K10472" s="2"/>
      <c r="L10472" s="82"/>
    </row>
    <row r="10473" spans="1:12" ht="84" customHeight="1" x14ac:dyDescent="0.3">
      <c r="A10473" s="2">
        <v>10471</v>
      </c>
      <c r="B10473" s="52" t="s">
        <v>20707</v>
      </c>
      <c r="C10473" s="82" t="s">
        <v>16767</v>
      </c>
      <c r="D10473" s="43">
        <v>2930</v>
      </c>
      <c r="E10473" s="43"/>
      <c r="F10473" s="3">
        <v>42403</v>
      </c>
      <c r="G10473" s="66" t="s">
        <v>12549</v>
      </c>
      <c r="H10473" s="207" t="s">
        <v>23596</v>
      </c>
      <c r="I10473" s="245" t="s">
        <v>23597</v>
      </c>
      <c r="J10473" s="2" t="s">
        <v>12550</v>
      </c>
      <c r="K10473" s="2"/>
      <c r="L10473" s="82"/>
    </row>
    <row r="10474" spans="1:12" ht="84" customHeight="1" x14ac:dyDescent="0.3">
      <c r="A10474" s="2">
        <v>10472</v>
      </c>
      <c r="B10474" s="52" t="s">
        <v>20708</v>
      </c>
      <c r="C10474" s="82" t="s">
        <v>16768</v>
      </c>
      <c r="D10474" s="43">
        <v>2930</v>
      </c>
      <c r="E10474" s="43"/>
      <c r="F10474" s="3">
        <v>42403</v>
      </c>
      <c r="G10474" s="66" t="s">
        <v>12549</v>
      </c>
      <c r="H10474" s="207" t="s">
        <v>23596</v>
      </c>
      <c r="I10474" s="245" t="s">
        <v>23597</v>
      </c>
      <c r="J10474" s="2" t="s">
        <v>12550</v>
      </c>
      <c r="K10474" s="2"/>
      <c r="L10474" s="82"/>
    </row>
    <row r="10475" spans="1:12" ht="84" customHeight="1" x14ac:dyDescent="0.3">
      <c r="A10475" s="2">
        <v>10473</v>
      </c>
      <c r="B10475" s="52" t="s">
        <v>20709</v>
      </c>
      <c r="C10475" s="82" t="s">
        <v>16769</v>
      </c>
      <c r="D10475" s="43">
        <v>2930</v>
      </c>
      <c r="E10475" s="43"/>
      <c r="F10475" s="3">
        <v>42403</v>
      </c>
      <c r="G10475" s="66" t="s">
        <v>12549</v>
      </c>
      <c r="H10475" s="2"/>
      <c r="I10475" s="2"/>
      <c r="J10475" s="2" t="s">
        <v>12550</v>
      </c>
      <c r="K10475" s="2"/>
      <c r="L10475" s="82"/>
    </row>
    <row r="10476" spans="1:12" ht="84" customHeight="1" x14ac:dyDescent="0.3">
      <c r="A10476" s="2">
        <v>10474</v>
      </c>
      <c r="B10476" s="52" t="s">
        <v>20710</v>
      </c>
      <c r="C10476" s="82" t="s">
        <v>16770</v>
      </c>
      <c r="D10476" s="43">
        <v>2930</v>
      </c>
      <c r="E10476" s="43"/>
      <c r="F10476" s="3">
        <v>42403</v>
      </c>
      <c r="G10476" s="66" t="s">
        <v>12549</v>
      </c>
      <c r="H10476" s="2"/>
      <c r="I10476" s="2"/>
      <c r="J10476" s="2" t="s">
        <v>12550</v>
      </c>
      <c r="K10476" s="2"/>
      <c r="L10476" s="82"/>
    </row>
    <row r="10477" spans="1:12" ht="84" customHeight="1" x14ac:dyDescent="0.3">
      <c r="A10477" s="2">
        <v>10475</v>
      </c>
      <c r="B10477" s="52" t="s">
        <v>20711</v>
      </c>
      <c r="C10477" s="82" t="s">
        <v>16771</v>
      </c>
      <c r="D10477" s="43">
        <v>2930</v>
      </c>
      <c r="E10477" s="43"/>
      <c r="F10477" s="3">
        <v>42403</v>
      </c>
      <c r="G10477" s="66" t="s">
        <v>12549</v>
      </c>
      <c r="H10477" s="207" t="s">
        <v>23596</v>
      </c>
      <c r="I10477" s="245" t="s">
        <v>23597</v>
      </c>
      <c r="J10477" s="2" t="s">
        <v>12550</v>
      </c>
      <c r="K10477" s="2"/>
      <c r="L10477" s="82"/>
    </row>
    <row r="10478" spans="1:12" ht="84" customHeight="1" x14ac:dyDescent="0.3">
      <c r="A10478" s="2">
        <v>10476</v>
      </c>
      <c r="B10478" s="52" t="s">
        <v>20712</v>
      </c>
      <c r="C10478" s="82" t="s">
        <v>16772</v>
      </c>
      <c r="D10478" s="43">
        <v>2930</v>
      </c>
      <c r="E10478" s="43"/>
      <c r="F10478" s="3">
        <v>42403</v>
      </c>
      <c r="G10478" s="66" t="s">
        <v>12549</v>
      </c>
      <c r="H10478" s="207" t="s">
        <v>23596</v>
      </c>
      <c r="I10478" s="245" t="s">
        <v>23597</v>
      </c>
      <c r="J10478" s="2" t="s">
        <v>12550</v>
      </c>
      <c r="K10478" s="2"/>
      <c r="L10478" s="82"/>
    </row>
    <row r="10479" spans="1:12" ht="84" customHeight="1" x14ac:dyDescent="0.3">
      <c r="A10479" s="2">
        <v>10477</v>
      </c>
      <c r="B10479" s="52" t="s">
        <v>20713</v>
      </c>
      <c r="C10479" s="82" t="s">
        <v>16773</v>
      </c>
      <c r="D10479" s="43">
        <v>2930</v>
      </c>
      <c r="E10479" s="43"/>
      <c r="F10479" s="3">
        <v>42403</v>
      </c>
      <c r="G10479" s="66" t="s">
        <v>12549</v>
      </c>
      <c r="H10479" s="207" t="s">
        <v>23596</v>
      </c>
      <c r="I10479" s="245" t="s">
        <v>23597</v>
      </c>
      <c r="J10479" s="2" t="s">
        <v>12550</v>
      </c>
      <c r="K10479" s="2"/>
      <c r="L10479" s="82"/>
    </row>
    <row r="10480" spans="1:12" ht="84" customHeight="1" x14ac:dyDescent="0.3">
      <c r="A10480" s="2">
        <v>10478</v>
      </c>
      <c r="B10480" s="52" t="s">
        <v>20714</v>
      </c>
      <c r="C10480" s="82" t="s">
        <v>16774</v>
      </c>
      <c r="D10480" s="43">
        <v>2930</v>
      </c>
      <c r="E10480" s="43"/>
      <c r="F10480" s="3">
        <v>42403</v>
      </c>
      <c r="G10480" s="66" t="s">
        <v>12549</v>
      </c>
      <c r="H10480" s="2"/>
      <c r="I10480" s="2"/>
      <c r="J10480" s="2" t="s">
        <v>12550</v>
      </c>
      <c r="K10480" s="2"/>
      <c r="L10480" s="82"/>
    </row>
    <row r="10481" spans="1:12" ht="84" customHeight="1" x14ac:dyDescent="0.3">
      <c r="A10481" s="2">
        <v>10479</v>
      </c>
      <c r="B10481" s="52" t="s">
        <v>20715</v>
      </c>
      <c r="C10481" s="82" t="s">
        <v>16775</v>
      </c>
      <c r="D10481" s="43">
        <v>2930</v>
      </c>
      <c r="E10481" s="43"/>
      <c r="F10481" s="3">
        <v>42403</v>
      </c>
      <c r="G10481" s="66" t="s">
        <v>12549</v>
      </c>
      <c r="H10481" s="207" t="s">
        <v>23596</v>
      </c>
      <c r="I10481" s="245" t="s">
        <v>23597</v>
      </c>
      <c r="J10481" s="2" t="s">
        <v>12550</v>
      </c>
      <c r="K10481" s="2"/>
      <c r="L10481" s="82"/>
    </row>
    <row r="10482" spans="1:12" ht="84" customHeight="1" x14ac:dyDescent="0.3">
      <c r="A10482" s="2">
        <v>10480</v>
      </c>
      <c r="B10482" s="52" t="s">
        <v>20716</v>
      </c>
      <c r="C10482" s="82" t="s">
        <v>16776</v>
      </c>
      <c r="D10482" s="43">
        <v>2930</v>
      </c>
      <c r="E10482" s="43"/>
      <c r="F10482" s="3">
        <v>42403</v>
      </c>
      <c r="G10482" s="66" t="s">
        <v>12549</v>
      </c>
      <c r="H10482" s="207" t="s">
        <v>23596</v>
      </c>
      <c r="I10482" s="245" t="s">
        <v>23597</v>
      </c>
      <c r="J10482" s="2" t="s">
        <v>12550</v>
      </c>
      <c r="K10482" s="2"/>
      <c r="L10482" s="82"/>
    </row>
    <row r="10483" spans="1:12" ht="84" customHeight="1" x14ac:dyDescent="0.3">
      <c r="A10483" s="2">
        <v>10481</v>
      </c>
      <c r="B10483" s="52" t="s">
        <v>16828</v>
      </c>
      <c r="C10483" s="6" t="s">
        <v>345</v>
      </c>
      <c r="D10483" s="43">
        <v>142850.98000000001</v>
      </c>
      <c r="E10483" s="43">
        <v>142850.98000000001</v>
      </c>
      <c r="F10483" s="3">
        <v>42403</v>
      </c>
      <c r="G10483" s="66" t="s">
        <v>12549</v>
      </c>
      <c r="H10483" s="2"/>
      <c r="I10483" s="2"/>
      <c r="J10483" s="2" t="s">
        <v>12550</v>
      </c>
      <c r="K10483" s="2"/>
      <c r="L10483" s="82"/>
    </row>
    <row r="10484" spans="1:12" ht="84" customHeight="1" x14ac:dyDescent="0.3">
      <c r="A10484" s="2">
        <v>10482</v>
      </c>
      <c r="B10484" s="52" t="s">
        <v>16812</v>
      </c>
      <c r="C10484" s="82" t="s">
        <v>835</v>
      </c>
      <c r="D10484" s="43">
        <v>4142.55</v>
      </c>
      <c r="E10484" s="43">
        <v>4142.55</v>
      </c>
      <c r="F10484" s="3">
        <v>42403</v>
      </c>
      <c r="G10484" s="66" t="s">
        <v>12549</v>
      </c>
      <c r="H10484" s="207" t="s">
        <v>23596</v>
      </c>
      <c r="I10484" s="245" t="s">
        <v>23597</v>
      </c>
      <c r="J10484" s="2" t="s">
        <v>12550</v>
      </c>
      <c r="K10484" s="2"/>
      <c r="L10484" s="82"/>
    </row>
    <row r="10485" spans="1:12" ht="84" customHeight="1" x14ac:dyDescent="0.3">
      <c r="A10485" s="2">
        <v>10483</v>
      </c>
      <c r="B10485" s="52" t="s">
        <v>16812</v>
      </c>
      <c r="C10485" s="82" t="s">
        <v>834</v>
      </c>
      <c r="D10485" s="43">
        <v>4142.55</v>
      </c>
      <c r="E10485" s="43"/>
      <c r="F10485" s="3">
        <v>42403</v>
      </c>
      <c r="G10485" s="66" t="s">
        <v>12549</v>
      </c>
      <c r="H10485" s="207" t="s">
        <v>23596</v>
      </c>
      <c r="I10485" s="245" t="s">
        <v>23597</v>
      </c>
      <c r="J10485" s="2" t="s">
        <v>12550</v>
      </c>
      <c r="K10485" s="2"/>
      <c r="L10485" s="82"/>
    </row>
    <row r="10486" spans="1:12" ht="84" customHeight="1" x14ac:dyDescent="0.3">
      <c r="A10486" s="2">
        <v>10484</v>
      </c>
      <c r="B10486" s="52" t="s">
        <v>16812</v>
      </c>
      <c r="C10486" s="82" t="s">
        <v>16777</v>
      </c>
      <c r="D10486" s="43">
        <v>4142.55</v>
      </c>
      <c r="E10486" s="43"/>
      <c r="F10486" s="3">
        <v>42403</v>
      </c>
      <c r="G10486" s="66" t="s">
        <v>12549</v>
      </c>
      <c r="H10486" s="207" t="s">
        <v>23596</v>
      </c>
      <c r="I10486" s="245" t="s">
        <v>23597</v>
      </c>
      <c r="J10486" s="2" t="s">
        <v>12550</v>
      </c>
      <c r="K10486" s="2"/>
      <c r="L10486" s="82"/>
    </row>
    <row r="10487" spans="1:12" ht="84" customHeight="1" x14ac:dyDescent="0.3">
      <c r="A10487" s="2">
        <v>10485</v>
      </c>
      <c r="B10487" s="52" t="s">
        <v>16812</v>
      </c>
      <c r="C10487" s="6" t="s">
        <v>16778</v>
      </c>
      <c r="D10487" s="43">
        <v>8250</v>
      </c>
      <c r="E10487" s="43">
        <v>8250</v>
      </c>
      <c r="F10487" s="3">
        <v>42403</v>
      </c>
      <c r="G10487" s="66" t="s">
        <v>12549</v>
      </c>
      <c r="H10487" s="207" t="s">
        <v>23596</v>
      </c>
      <c r="I10487" s="245" t="s">
        <v>23597</v>
      </c>
      <c r="J10487" s="2" t="s">
        <v>12550</v>
      </c>
      <c r="K10487" s="2"/>
      <c r="L10487" s="82"/>
    </row>
    <row r="10488" spans="1:12" ht="84" customHeight="1" x14ac:dyDescent="0.3">
      <c r="A10488" s="2">
        <v>10486</v>
      </c>
      <c r="B10488" s="52" t="s">
        <v>16812</v>
      </c>
      <c r="C10488" s="6" t="s">
        <v>16779</v>
      </c>
      <c r="D10488" s="43">
        <v>8250</v>
      </c>
      <c r="E10488" s="43">
        <v>8250</v>
      </c>
      <c r="F10488" s="3">
        <v>42403</v>
      </c>
      <c r="G10488" s="66" t="s">
        <v>12549</v>
      </c>
      <c r="H10488" s="2"/>
      <c r="I10488" s="2"/>
      <c r="J10488" s="2" t="s">
        <v>12550</v>
      </c>
      <c r="K10488" s="2"/>
      <c r="L10488" s="82"/>
    </row>
    <row r="10489" spans="1:12" ht="84" customHeight="1" x14ac:dyDescent="0.3">
      <c r="A10489" s="2">
        <v>10487</v>
      </c>
      <c r="B10489" s="52" t="s">
        <v>16812</v>
      </c>
      <c r="C10489" s="6" t="s">
        <v>16780</v>
      </c>
      <c r="D10489" s="43">
        <v>8250</v>
      </c>
      <c r="E10489" s="43">
        <v>8250</v>
      </c>
      <c r="F10489" s="3">
        <v>42403</v>
      </c>
      <c r="G10489" s="66" t="s">
        <v>12549</v>
      </c>
      <c r="H10489" s="207" t="s">
        <v>23596</v>
      </c>
      <c r="I10489" s="245" t="s">
        <v>23597</v>
      </c>
      <c r="J10489" s="2" t="s">
        <v>12550</v>
      </c>
      <c r="K10489" s="2"/>
      <c r="L10489" s="82"/>
    </row>
    <row r="10490" spans="1:12" ht="84" customHeight="1" x14ac:dyDescent="0.3">
      <c r="A10490" s="2">
        <v>10488</v>
      </c>
      <c r="B10490" s="52" t="s">
        <v>16812</v>
      </c>
      <c r="C10490" s="6" t="s">
        <v>16781</v>
      </c>
      <c r="D10490" s="43">
        <v>8250</v>
      </c>
      <c r="E10490" s="43">
        <v>8250</v>
      </c>
      <c r="F10490" s="3">
        <v>42403</v>
      </c>
      <c r="G10490" s="66" t="s">
        <v>12549</v>
      </c>
      <c r="H10490" s="207" t="s">
        <v>23596</v>
      </c>
      <c r="I10490" s="245" t="s">
        <v>23597</v>
      </c>
      <c r="J10490" s="2" t="s">
        <v>12550</v>
      </c>
      <c r="K10490" s="2"/>
      <c r="L10490" s="82"/>
    </row>
    <row r="10491" spans="1:12" ht="84" customHeight="1" x14ac:dyDescent="0.3">
      <c r="A10491" s="2">
        <v>10489</v>
      </c>
      <c r="B10491" s="52" t="s">
        <v>20721</v>
      </c>
      <c r="C10491" s="6" t="s">
        <v>16782</v>
      </c>
      <c r="D10491" s="43">
        <v>3300</v>
      </c>
      <c r="E10491" s="43">
        <v>3300</v>
      </c>
      <c r="F10491" s="3">
        <v>42403</v>
      </c>
      <c r="G10491" s="66" t="s">
        <v>12549</v>
      </c>
      <c r="H10491" s="207" t="s">
        <v>23596</v>
      </c>
      <c r="I10491" s="245" t="s">
        <v>23597</v>
      </c>
      <c r="J10491" s="2" t="s">
        <v>12550</v>
      </c>
      <c r="K10491" s="2"/>
      <c r="L10491" s="82"/>
    </row>
    <row r="10492" spans="1:12" ht="84" customHeight="1" x14ac:dyDescent="0.3">
      <c r="A10492" s="2">
        <v>10490</v>
      </c>
      <c r="B10492" s="52" t="s">
        <v>20717</v>
      </c>
      <c r="C10492" s="6" t="s">
        <v>766</v>
      </c>
      <c r="D10492" s="43">
        <v>4900</v>
      </c>
      <c r="E10492" s="43">
        <v>4900</v>
      </c>
      <c r="F10492" s="3">
        <v>42403</v>
      </c>
      <c r="G10492" s="66" t="s">
        <v>12549</v>
      </c>
      <c r="H10492" s="2"/>
      <c r="I10492" s="2"/>
      <c r="J10492" s="2" t="s">
        <v>12550</v>
      </c>
      <c r="K10492" s="2"/>
      <c r="L10492" s="82"/>
    </row>
    <row r="10493" spans="1:12" ht="84" customHeight="1" x14ac:dyDescent="0.3">
      <c r="A10493" s="2">
        <v>10491</v>
      </c>
      <c r="B10493" s="52" t="s">
        <v>20717</v>
      </c>
      <c r="C10493" s="6" t="s">
        <v>767</v>
      </c>
      <c r="D10493" s="43">
        <v>4900</v>
      </c>
      <c r="E10493" s="43">
        <v>4900</v>
      </c>
      <c r="F10493" s="3">
        <v>42403</v>
      </c>
      <c r="G10493" s="66" t="s">
        <v>12549</v>
      </c>
      <c r="H10493" s="2"/>
      <c r="I10493" s="2"/>
      <c r="J10493" s="2" t="s">
        <v>12550</v>
      </c>
      <c r="K10493" s="2"/>
      <c r="L10493" s="82"/>
    </row>
    <row r="10494" spans="1:12" ht="84" customHeight="1" x14ac:dyDescent="0.3">
      <c r="A10494" s="2">
        <v>10492</v>
      </c>
      <c r="B10494" s="52" t="s">
        <v>20718</v>
      </c>
      <c r="C10494" s="6" t="s">
        <v>16783</v>
      </c>
      <c r="D10494" s="43">
        <v>5310</v>
      </c>
      <c r="E10494" s="43">
        <v>5310</v>
      </c>
      <c r="F10494" s="3">
        <v>42403</v>
      </c>
      <c r="G10494" s="66" t="s">
        <v>12549</v>
      </c>
      <c r="H10494" s="207" t="s">
        <v>23596</v>
      </c>
      <c r="I10494" s="245" t="s">
        <v>23597</v>
      </c>
      <c r="J10494" s="2" t="s">
        <v>12550</v>
      </c>
      <c r="K10494" s="2"/>
      <c r="L10494" s="82"/>
    </row>
    <row r="10495" spans="1:12" ht="84" customHeight="1" x14ac:dyDescent="0.3">
      <c r="A10495" s="2">
        <v>10493</v>
      </c>
      <c r="B10495" s="52" t="s">
        <v>16811</v>
      </c>
      <c r="C10495" s="6" t="s">
        <v>426</v>
      </c>
      <c r="D10495" s="43">
        <v>1180</v>
      </c>
      <c r="E10495" s="43">
        <v>1180</v>
      </c>
      <c r="F10495" s="3">
        <v>42403</v>
      </c>
      <c r="G10495" s="66" t="s">
        <v>12549</v>
      </c>
      <c r="H10495" s="2"/>
      <c r="I10495" s="2"/>
      <c r="J10495" s="2" t="s">
        <v>12550</v>
      </c>
      <c r="K10495" s="2"/>
      <c r="L10495" s="82"/>
    </row>
    <row r="10496" spans="1:12" ht="84" customHeight="1" x14ac:dyDescent="0.3">
      <c r="A10496" s="2">
        <v>10494</v>
      </c>
      <c r="B10496" s="52" t="s">
        <v>16811</v>
      </c>
      <c r="C10496" s="6" t="s">
        <v>427</v>
      </c>
      <c r="D10496" s="43">
        <v>1180</v>
      </c>
      <c r="E10496" s="43">
        <v>1180</v>
      </c>
      <c r="F10496" s="3">
        <v>42403</v>
      </c>
      <c r="G10496" s="66" t="s">
        <v>12549</v>
      </c>
      <c r="H10496" s="2"/>
      <c r="I10496" s="2"/>
      <c r="J10496" s="2" t="s">
        <v>12550</v>
      </c>
      <c r="K10496" s="2"/>
      <c r="L10496" s="82"/>
    </row>
    <row r="10497" spans="1:12" ht="84" customHeight="1" x14ac:dyDescent="0.3">
      <c r="A10497" s="2">
        <v>10495</v>
      </c>
      <c r="B10497" s="52" t="s">
        <v>16811</v>
      </c>
      <c r="C10497" s="6" t="s">
        <v>428</v>
      </c>
      <c r="D10497" s="43">
        <v>1180</v>
      </c>
      <c r="E10497" s="43">
        <v>1180</v>
      </c>
      <c r="F10497" s="3">
        <v>42403</v>
      </c>
      <c r="G10497" s="66" t="s">
        <v>12549</v>
      </c>
      <c r="H10497" s="2"/>
      <c r="I10497" s="2"/>
      <c r="J10497" s="2" t="s">
        <v>12550</v>
      </c>
      <c r="K10497" s="2"/>
      <c r="L10497" s="82"/>
    </row>
    <row r="10498" spans="1:12" ht="84" customHeight="1" x14ac:dyDescent="0.3">
      <c r="A10498" s="2">
        <v>10496</v>
      </c>
      <c r="B10498" s="52" t="s">
        <v>20719</v>
      </c>
      <c r="C10498" s="6" t="s">
        <v>16784</v>
      </c>
      <c r="D10498" s="43">
        <v>42780</v>
      </c>
      <c r="E10498" s="43">
        <v>42780</v>
      </c>
      <c r="F10498" s="3">
        <v>42403</v>
      </c>
      <c r="G10498" s="66" t="s">
        <v>12549</v>
      </c>
      <c r="H10498" s="2"/>
      <c r="I10498" s="2"/>
      <c r="J10498" s="2" t="s">
        <v>12550</v>
      </c>
      <c r="K10498" s="2"/>
      <c r="L10498" s="82"/>
    </row>
    <row r="10499" spans="1:12" ht="84" customHeight="1" x14ac:dyDescent="0.3">
      <c r="A10499" s="2">
        <v>10497</v>
      </c>
      <c r="B10499" s="52" t="s">
        <v>16809</v>
      </c>
      <c r="C10499" s="6" t="s">
        <v>16785</v>
      </c>
      <c r="D10499" s="43">
        <v>3500</v>
      </c>
      <c r="E10499" s="43">
        <v>3500</v>
      </c>
      <c r="F10499" s="3">
        <v>42403</v>
      </c>
      <c r="G10499" s="66" t="s">
        <v>12549</v>
      </c>
      <c r="H10499" s="2"/>
      <c r="I10499" s="2"/>
      <c r="J10499" s="2" t="s">
        <v>12550</v>
      </c>
      <c r="K10499" s="2"/>
      <c r="L10499" s="82"/>
    </row>
    <row r="10500" spans="1:12" ht="84" customHeight="1" x14ac:dyDescent="0.3">
      <c r="A10500" s="2">
        <v>10498</v>
      </c>
      <c r="B10500" s="52" t="s">
        <v>16809</v>
      </c>
      <c r="C10500" s="6" t="s">
        <v>16786</v>
      </c>
      <c r="D10500" s="43">
        <v>3500</v>
      </c>
      <c r="E10500" s="43">
        <v>3500</v>
      </c>
      <c r="F10500" s="3">
        <v>42403</v>
      </c>
      <c r="G10500" s="66" t="s">
        <v>12549</v>
      </c>
      <c r="H10500" s="2"/>
      <c r="I10500" s="2"/>
      <c r="J10500" s="2" t="s">
        <v>12550</v>
      </c>
      <c r="K10500" s="2"/>
      <c r="L10500" s="82"/>
    </row>
    <row r="10501" spans="1:12" ht="84" customHeight="1" x14ac:dyDescent="0.3">
      <c r="A10501" s="2">
        <v>10499</v>
      </c>
      <c r="B10501" s="52" t="s">
        <v>16809</v>
      </c>
      <c r="C10501" s="6" t="s">
        <v>16787</v>
      </c>
      <c r="D10501" s="43">
        <v>3500</v>
      </c>
      <c r="E10501" s="43">
        <v>3500</v>
      </c>
      <c r="F10501" s="3">
        <v>42403</v>
      </c>
      <c r="G10501" s="66" t="s">
        <v>12549</v>
      </c>
      <c r="H10501" s="2"/>
      <c r="I10501" s="2"/>
      <c r="J10501" s="2" t="s">
        <v>12550</v>
      </c>
      <c r="K10501" s="2"/>
      <c r="L10501" s="82"/>
    </row>
    <row r="10502" spans="1:12" ht="84" customHeight="1" x14ac:dyDescent="0.3">
      <c r="A10502" s="2">
        <v>10500</v>
      </c>
      <c r="B10502" s="52" t="s">
        <v>16809</v>
      </c>
      <c r="C10502" s="6" t="s">
        <v>16788</v>
      </c>
      <c r="D10502" s="43">
        <v>3500</v>
      </c>
      <c r="E10502" s="43">
        <v>3500</v>
      </c>
      <c r="F10502" s="3">
        <v>42403</v>
      </c>
      <c r="G10502" s="66" t="s">
        <v>12549</v>
      </c>
      <c r="H10502" s="2"/>
      <c r="I10502" s="2"/>
      <c r="J10502" s="2" t="s">
        <v>12550</v>
      </c>
      <c r="K10502" s="2"/>
      <c r="L10502" s="82"/>
    </row>
    <row r="10503" spans="1:12" ht="84" customHeight="1" x14ac:dyDescent="0.3">
      <c r="A10503" s="2">
        <v>10501</v>
      </c>
      <c r="B10503" s="52" t="s">
        <v>16809</v>
      </c>
      <c r="C10503" s="6" t="s">
        <v>16789</v>
      </c>
      <c r="D10503" s="43">
        <v>3500</v>
      </c>
      <c r="E10503" s="43">
        <v>3500</v>
      </c>
      <c r="F10503" s="3">
        <v>42403</v>
      </c>
      <c r="G10503" s="66" t="s">
        <v>12549</v>
      </c>
      <c r="H10503" s="2"/>
      <c r="I10503" s="2"/>
      <c r="J10503" s="2" t="s">
        <v>12550</v>
      </c>
      <c r="K10503" s="2"/>
      <c r="L10503" s="82"/>
    </row>
    <row r="10504" spans="1:12" ht="84" customHeight="1" x14ac:dyDescent="0.3">
      <c r="A10504" s="2">
        <v>10502</v>
      </c>
      <c r="B10504" s="52" t="s">
        <v>16810</v>
      </c>
      <c r="C10504" s="6" t="s">
        <v>16790</v>
      </c>
      <c r="D10504" s="43">
        <v>3500</v>
      </c>
      <c r="E10504" s="43">
        <v>3500</v>
      </c>
      <c r="F10504" s="3">
        <v>42403</v>
      </c>
      <c r="G10504" s="66" t="s">
        <v>12549</v>
      </c>
      <c r="H10504" s="2"/>
      <c r="I10504" s="2"/>
      <c r="J10504" s="2" t="s">
        <v>12550</v>
      </c>
      <c r="K10504" s="2"/>
      <c r="L10504" s="82"/>
    </row>
    <row r="10505" spans="1:12" ht="84" customHeight="1" x14ac:dyDescent="0.3">
      <c r="A10505" s="2">
        <v>10503</v>
      </c>
      <c r="B10505" s="52" t="s">
        <v>16809</v>
      </c>
      <c r="C10505" s="6" t="s">
        <v>16791</v>
      </c>
      <c r="D10505" s="43">
        <v>3500</v>
      </c>
      <c r="E10505" s="43">
        <v>3500</v>
      </c>
      <c r="F10505" s="3">
        <v>42403</v>
      </c>
      <c r="G10505" s="66" t="s">
        <v>12549</v>
      </c>
      <c r="H10505" s="2"/>
      <c r="I10505" s="2"/>
      <c r="J10505" s="2" t="s">
        <v>12550</v>
      </c>
      <c r="K10505" s="2"/>
      <c r="L10505" s="82"/>
    </row>
    <row r="10506" spans="1:12" ht="84" customHeight="1" x14ac:dyDescent="0.3">
      <c r="A10506" s="2">
        <v>10504</v>
      </c>
      <c r="B10506" s="52" t="s">
        <v>16809</v>
      </c>
      <c r="C10506" s="6" t="s">
        <v>16792</v>
      </c>
      <c r="D10506" s="43">
        <v>3500</v>
      </c>
      <c r="E10506" s="43">
        <v>3500</v>
      </c>
      <c r="F10506" s="3">
        <v>42403</v>
      </c>
      <c r="G10506" s="66" t="s">
        <v>12549</v>
      </c>
      <c r="H10506" s="2"/>
      <c r="I10506" s="2"/>
      <c r="J10506" s="2" t="s">
        <v>12550</v>
      </c>
      <c r="K10506" s="2"/>
      <c r="L10506" s="82"/>
    </row>
    <row r="10507" spans="1:12" ht="84" customHeight="1" x14ac:dyDescent="0.3">
      <c r="A10507" s="2">
        <v>10505</v>
      </c>
      <c r="B10507" s="52" t="s">
        <v>16810</v>
      </c>
      <c r="C10507" s="6" t="s">
        <v>16793</v>
      </c>
      <c r="D10507" s="43">
        <v>3500</v>
      </c>
      <c r="E10507" s="43">
        <v>3500</v>
      </c>
      <c r="F10507" s="3">
        <v>42403</v>
      </c>
      <c r="G10507" s="66" t="s">
        <v>12549</v>
      </c>
      <c r="H10507" s="2"/>
      <c r="I10507" s="2"/>
      <c r="J10507" s="2" t="s">
        <v>12550</v>
      </c>
      <c r="K10507" s="2"/>
      <c r="L10507" s="82"/>
    </row>
    <row r="10508" spans="1:12" ht="84" customHeight="1" x14ac:dyDescent="0.3">
      <c r="A10508" s="2">
        <v>10506</v>
      </c>
      <c r="B10508" s="52" t="s">
        <v>16809</v>
      </c>
      <c r="C10508" s="6" t="s">
        <v>16794</v>
      </c>
      <c r="D10508" s="43">
        <v>3500</v>
      </c>
      <c r="E10508" s="43">
        <v>3500</v>
      </c>
      <c r="F10508" s="3">
        <v>42403</v>
      </c>
      <c r="G10508" s="66" t="s">
        <v>12549</v>
      </c>
      <c r="H10508" s="2"/>
      <c r="I10508" s="2"/>
      <c r="J10508" s="2" t="s">
        <v>12550</v>
      </c>
      <c r="K10508" s="2"/>
      <c r="L10508" s="82"/>
    </row>
    <row r="10509" spans="1:12" ht="84" customHeight="1" x14ac:dyDescent="0.3">
      <c r="A10509" s="2">
        <v>10507</v>
      </c>
      <c r="B10509" s="52" t="s">
        <v>20720</v>
      </c>
      <c r="C10509" s="6" t="s">
        <v>16795</v>
      </c>
      <c r="D10509" s="43">
        <v>5310</v>
      </c>
      <c r="E10509" s="43">
        <v>5310</v>
      </c>
      <c r="F10509" s="3">
        <v>42403</v>
      </c>
      <c r="G10509" s="66" t="s">
        <v>12549</v>
      </c>
      <c r="H10509" s="207" t="s">
        <v>23596</v>
      </c>
      <c r="I10509" s="245" t="s">
        <v>23597</v>
      </c>
      <c r="J10509" s="2" t="s">
        <v>12550</v>
      </c>
      <c r="K10509" s="2"/>
      <c r="L10509" s="82"/>
    </row>
    <row r="10510" spans="1:12" ht="84" customHeight="1" x14ac:dyDescent="0.3">
      <c r="A10510" s="2">
        <v>10508</v>
      </c>
      <c r="B10510" s="57" t="s">
        <v>16820</v>
      </c>
      <c r="C10510" s="6" t="s">
        <v>16796</v>
      </c>
      <c r="D10510" s="104">
        <v>44847.7</v>
      </c>
      <c r="E10510" s="104">
        <v>44847.7</v>
      </c>
      <c r="F10510" s="3">
        <v>42403</v>
      </c>
      <c r="G10510" s="66" t="s">
        <v>12549</v>
      </c>
      <c r="H10510" s="2"/>
      <c r="I10510" s="2"/>
      <c r="J10510" s="2" t="s">
        <v>12550</v>
      </c>
      <c r="K10510" s="2"/>
      <c r="L10510" s="82"/>
    </row>
    <row r="10511" spans="1:12" ht="84" customHeight="1" x14ac:dyDescent="0.3">
      <c r="A10511" s="2">
        <v>10509</v>
      </c>
      <c r="B10511" s="57" t="s">
        <v>16821</v>
      </c>
      <c r="C10511" s="6" t="s">
        <v>16796</v>
      </c>
      <c r="D10511" s="104">
        <v>51050</v>
      </c>
      <c r="E10511" s="104">
        <v>51050</v>
      </c>
      <c r="F10511" s="3">
        <v>42403</v>
      </c>
      <c r="G10511" s="66" t="s">
        <v>12549</v>
      </c>
      <c r="H10511" s="2"/>
      <c r="I10511" s="2"/>
      <c r="J10511" s="2" t="s">
        <v>12550</v>
      </c>
      <c r="K10511" s="2"/>
      <c r="L10511" s="82"/>
    </row>
    <row r="10512" spans="1:12" ht="84" customHeight="1" x14ac:dyDescent="0.3">
      <c r="A10512" s="2">
        <v>10510</v>
      </c>
      <c r="B10512" s="57" t="s">
        <v>16822</v>
      </c>
      <c r="C10512" s="6" t="s">
        <v>16796</v>
      </c>
      <c r="D10512" s="104">
        <v>40840</v>
      </c>
      <c r="E10512" s="104">
        <v>40840</v>
      </c>
      <c r="F10512" s="3">
        <v>42403</v>
      </c>
      <c r="G10512" s="66" t="s">
        <v>12549</v>
      </c>
      <c r="H10512" s="2"/>
      <c r="I10512" s="2"/>
      <c r="J10512" s="2" t="s">
        <v>12550</v>
      </c>
      <c r="K10512" s="2"/>
      <c r="L10512" s="82"/>
    </row>
    <row r="10513" spans="1:16" ht="84" customHeight="1" x14ac:dyDescent="0.3">
      <c r="A10513" s="2">
        <v>10511</v>
      </c>
      <c r="B10513" s="57" t="s">
        <v>19523</v>
      </c>
      <c r="C10513" s="6" t="s">
        <v>16796</v>
      </c>
      <c r="D10513" s="104">
        <v>25525</v>
      </c>
      <c r="E10513" s="104">
        <v>25525</v>
      </c>
      <c r="F10513" s="3">
        <v>42403</v>
      </c>
      <c r="G10513" s="66" t="s">
        <v>12549</v>
      </c>
      <c r="H10513" s="2"/>
      <c r="I10513" s="2"/>
      <c r="J10513" s="2" t="s">
        <v>12550</v>
      </c>
      <c r="K10513" s="2"/>
      <c r="L10513" s="82"/>
    </row>
    <row r="10514" spans="1:16" ht="84" customHeight="1" x14ac:dyDescent="0.3">
      <c r="A10514" s="2">
        <v>10512</v>
      </c>
      <c r="B10514" s="57" t="s">
        <v>16821</v>
      </c>
      <c r="C10514" s="6" t="s">
        <v>16796</v>
      </c>
      <c r="D10514" s="104">
        <v>51050</v>
      </c>
      <c r="E10514" s="104">
        <v>51050</v>
      </c>
      <c r="F10514" s="3">
        <v>42403</v>
      </c>
      <c r="G10514" s="66" t="s">
        <v>12549</v>
      </c>
      <c r="H10514" s="2"/>
      <c r="I10514" s="2"/>
      <c r="J10514" s="2" t="s">
        <v>12550</v>
      </c>
      <c r="K10514" s="2"/>
      <c r="L10514" s="82"/>
    </row>
    <row r="10515" spans="1:16" ht="84" customHeight="1" x14ac:dyDescent="0.3">
      <c r="A10515" s="2">
        <v>10513</v>
      </c>
      <c r="B10515" s="57" t="s">
        <v>16823</v>
      </c>
      <c r="C10515" s="6" t="s">
        <v>16796</v>
      </c>
      <c r="D10515" s="104">
        <v>25525</v>
      </c>
      <c r="E10515" s="104">
        <v>25525</v>
      </c>
      <c r="F10515" s="3">
        <v>42403</v>
      </c>
      <c r="G10515" s="66" t="s">
        <v>12549</v>
      </c>
      <c r="H10515" s="2"/>
      <c r="I10515" s="2"/>
      <c r="J10515" s="2" t="s">
        <v>12550</v>
      </c>
      <c r="K10515" s="2"/>
      <c r="L10515" s="82"/>
    </row>
    <row r="10516" spans="1:16" ht="84" customHeight="1" x14ac:dyDescent="0.3">
      <c r="A10516" s="2">
        <v>10514</v>
      </c>
      <c r="B10516" s="57" t="s">
        <v>16824</v>
      </c>
      <c r="C10516" s="6" t="s">
        <v>16796</v>
      </c>
      <c r="D10516" s="104">
        <v>29609</v>
      </c>
      <c r="E10516" s="104">
        <v>29609</v>
      </c>
      <c r="F10516" s="3">
        <v>42403</v>
      </c>
      <c r="G10516" s="66" t="s">
        <v>12549</v>
      </c>
      <c r="H10516" s="2"/>
      <c r="I10516" s="2"/>
      <c r="J10516" s="2" t="s">
        <v>12550</v>
      </c>
      <c r="K10516" s="2"/>
      <c r="L10516" s="82"/>
    </row>
    <row r="10517" spans="1:16" ht="84" customHeight="1" x14ac:dyDescent="0.3">
      <c r="A10517" s="2">
        <v>10515</v>
      </c>
      <c r="B10517" s="57" t="s">
        <v>16825</v>
      </c>
      <c r="C10517" s="6" t="s">
        <v>16796</v>
      </c>
      <c r="D10517" s="104">
        <v>25525</v>
      </c>
      <c r="E10517" s="104">
        <v>25525</v>
      </c>
      <c r="F10517" s="3">
        <v>42403</v>
      </c>
      <c r="G10517" s="66" t="s">
        <v>12549</v>
      </c>
      <c r="H10517" s="2"/>
      <c r="I10517" s="2"/>
      <c r="J10517" s="2" t="s">
        <v>12550</v>
      </c>
      <c r="K10517" s="2"/>
      <c r="L10517" s="82"/>
    </row>
    <row r="10518" spans="1:16" ht="84" customHeight="1" x14ac:dyDescent="0.3">
      <c r="A10518" s="2">
        <v>10516</v>
      </c>
      <c r="B10518" s="57" t="s">
        <v>20147</v>
      </c>
      <c r="C10518" s="6" t="s">
        <v>16796</v>
      </c>
      <c r="D10518" s="104">
        <v>39819</v>
      </c>
      <c r="E10518" s="104">
        <v>39819</v>
      </c>
      <c r="F10518" s="3">
        <v>42403</v>
      </c>
      <c r="G10518" s="66" t="s">
        <v>12549</v>
      </c>
      <c r="H10518" s="2"/>
      <c r="I10518" s="2"/>
      <c r="J10518" s="2" t="s">
        <v>12550</v>
      </c>
      <c r="K10518" s="2"/>
      <c r="L10518" s="82"/>
    </row>
    <row r="10519" spans="1:16" ht="84" customHeight="1" x14ac:dyDescent="0.3">
      <c r="A10519" s="2">
        <v>10517</v>
      </c>
      <c r="B10519" s="57" t="s">
        <v>16826</v>
      </c>
      <c r="C10519" s="6" t="s">
        <v>16796</v>
      </c>
      <c r="D10519" s="104">
        <v>39819</v>
      </c>
      <c r="E10519" s="104">
        <v>39819</v>
      </c>
      <c r="F10519" s="3">
        <v>42403</v>
      </c>
      <c r="G10519" s="66" t="s">
        <v>12549</v>
      </c>
      <c r="H10519" s="2"/>
      <c r="I10519" s="2"/>
      <c r="J10519" s="2" t="s">
        <v>12550</v>
      </c>
      <c r="K10519" s="2"/>
      <c r="L10519" s="82"/>
    </row>
    <row r="10520" spans="1:16" ht="84" customHeight="1" x14ac:dyDescent="0.3">
      <c r="A10520" s="2">
        <v>10518</v>
      </c>
      <c r="B10520" s="57" t="s">
        <v>16825</v>
      </c>
      <c r="C10520" s="6" t="s">
        <v>16796</v>
      </c>
      <c r="D10520" s="104">
        <v>25525</v>
      </c>
      <c r="E10520" s="104">
        <v>25525</v>
      </c>
      <c r="F10520" s="3">
        <v>42403</v>
      </c>
      <c r="G10520" s="66" t="s">
        <v>12549</v>
      </c>
      <c r="H10520" s="2"/>
      <c r="I10520" s="2"/>
      <c r="J10520" s="2" t="s">
        <v>12550</v>
      </c>
      <c r="K10520" s="2"/>
      <c r="L10520" s="82"/>
    </row>
    <row r="10521" spans="1:16" ht="84" customHeight="1" x14ac:dyDescent="0.3">
      <c r="A10521" s="2">
        <v>10519</v>
      </c>
      <c r="B10521" s="57" t="s">
        <v>16827</v>
      </c>
      <c r="C10521" s="6" t="s">
        <v>16796</v>
      </c>
      <c r="D10521" s="104">
        <v>40840</v>
      </c>
      <c r="E10521" s="104">
        <v>40840</v>
      </c>
      <c r="F10521" s="3">
        <v>42403</v>
      </c>
      <c r="G10521" s="66" t="s">
        <v>12549</v>
      </c>
      <c r="H10521" s="2"/>
      <c r="I10521" s="2"/>
      <c r="J10521" s="2" t="s">
        <v>12550</v>
      </c>
      <c r="K10521" s="2"/>
      <c r="L10521" s="82"/>
    </row>
    <row r="10522" spans="1:16" ht="84" customHeight="1" x14ac:dyDescent="0.3">
      <c r="A10522" s="2">
        <v>10520</v>
      </c>
      <c r="B10522" s="83" t="s">
        <v>16831</v>
      </c>
      <c r="C10522" s="83" t="s">
        <v>16829</v>
      </c>
      <c r="D10522" s="22">
        <v>19000</v>
      </c>
      <c r="E10522" s="22">
        <v>10133.76</v>
      </c>
      <c r="F10522" s="3">
        <v>42403</v>
      </c>
      <c r="G10522" s="66" t="s">
        <v>12549</v>
      </c>
      <c r="H10522" s="2"/>
      <c r="I10522" s="2"/>
      <c r="J10522" s="2" t="s">
        <v>12550</v>
      </c>
      <c r="K10522" s="113"/>
      <c r="L10522" s="82"/>
      <c r="N10522" s="17"/>
      <c r="O10522" s="17"/>
    </row>
    <row r="10523" spans="1:16" ht="84" customHeight="1" x14ac:dyDescent="0.3">
      <c r="A10523" s="2">
        <v>10521</v>
      </c>
      <c r="B10523" s="83" t="s">
        <v>16831</v>
      </c>
      <c r="C10523" s="83" t="s">
        <v>16830</v>
      </c>
      <c r="D10523" s="22">
        <v>19000</v>
      </c>
      <c r="E10523" s="22">
        <v>10133.76</v>
      </c>
      <c r="F10523" s="3">
        <v>42403</v>
      </c>
      <c r="G10523" s="66" t="s">
        <v>12549</v>
      </c>
      <c r="H10523" s="2"/>
      <c r="I10523" s="2"/>
      <c r="J10523" s="2" t="s">
        <v>12550</v>
      </c>
      <c r="K10523" s="113"/>
      <c r="L10523" s="82"/>
      <c r="N10523" s="17"/>
      <c r="O10523" s="17"/>
    </row>
    <row r="10524" spans="1:16" s="1" customFormat="1" ht="84" customHeight="1" x14ac:dyDescent="0.25">
      <c r="A10524" s="2">
        <v>10522</v>
      </c>
      <c r="B10524" s="82" t="s">
        <v>16832</v>
      </c>
      <c r="C10524" s="82"/>
      <c r="D10524" s="22">
        <v>2102564.25</v>
      </c>
      <c r="E10524" s="22">
        <v>549559.18999999994</v>
      </c>
      <c r="F10524" s="3">
        <v>42403</v>
      </c>
      <c r="G10524" s="66" t="s">
        <v>12547</v>
      </c>
      <c r="H10524" s="25"/>
      <c r="I10524" s="66"/>
      <c r="J10524" s="2" t="s">
        <v>12550</v>
      </c>
      <c r="K10524" s="207"/>
      <c r="L10524" s="59"/>
      <c r="M10524" s="7"/>
      <c r="N10524" s="114"/>
      <c r="O10524" s="12"/>
      <c r="P10524" s="7"/>
    </row>
    <row r="10525" spans="1:16" s="1" customFormat="1" ht="84" customHeight="1" x14ac:dyDescent="0.25">
      <c r="A10525" s="2">
        <v>10523</v>
      </c>
      <c r="B10525" s="82" t="s">
        <v>16833</v>
      </c>
      <c r="C10525" s="82"/>
      <c r="D10525" s="22">
        <v>183974.37</v>
      </c>
      <c r="E10525" s="22">
        <v>48086.43</v>
      </c>
      <c r="F10525" s="3">
        <v>42403</v>
      </c>
      <c r="G10525" s="66" t="s">
        <v>12547</v>
      </c>
      <c r="H10525" s="25"/>
      <c r="I10525" s="66"/>
      <c r="J10525" s="2" t="s">
        <v>12550</v>
      </c>
      <c r="K10525" s="207"/>
      <c r="L10525" s="59"/>
      <c r="M10525" s="7"/>
      <c r="N10525" s="114"/>
      <c r="O10525" s="12"/>
      <c r="P10525" s="7"/>
    </row>
    <row r="10526" spans="1:16" s="1" customFormat="1" ht="84" customHeight="1" x14ac:dyDescent="0.25">
      <c r="A10526" s="2">
        <v>10524</v>
      </c>
      <c r="B10526" s="82" t="s">
        <v>16834</v>
      </c>
      <c r="C10526" s="82"/>
      <c r="D10526" s="22">
        <v>538489.79</v>
      </c>
      <c r="E10526" s="22">
        <v>538489.79</v>
      </c>
      <c r="F10526" s="3">
        <v>42403</v>
      </c>
      <c r="G10526" s="66" t="s">
        <v>12547</v>
      </c>
      <c r="H10526" s="25"/>
      <c r="I10526" s="66"/>
      <c r="J10526" s="2" t="s">
        <v>12550</v>
      </c>
      <c r="K10526" s="207"/>
      <c r="L10526" s="59"/>
      <c r="M10526" s="7"/>
      <c r="N10526" s="114"/>
      <c r="O10526" s="12"/>
      <c r="P10526" s="7"/>
    </row>
    <row r="10527" spans="1:16" s="1" customFormat="1" ht="84" customHeight="1" x14ac:dyDescent="0.25">
      <c r="A10527" s="2">
        <v>10525</v>
      </c>
      <c r="B10527" s="82" t="s">
        <v>16835</v>
      </c>
      <c r="C10527" s="82"/>
      <c r="D10527" s="22">
        <v>40617.51</v>
      </c>
      <c r="E10527" s="22">
        <v>40617.51</v>
      </c>
      <c r="F10527" s="3">
        <v>42403</v>
      </c>
      <c r="G10527" s="66" t="s">
        <v>12547</v>
      </c>
      <c r="H10527" s="25"/>
      <c r="I10527" s="66"/>
      <c r="J10527" s="2" t="s">
        <v>12550</v>
      </c>
      <c r="K10527" s="207"/>
      <c r="L10527" s="59"/>
      <c r="M10527" s="7"/>
      <c r="N10527" s="114"/>
      <c r="O10527" s="12"/>
      <c r="P10527" s="7"/>
    </row>
    <row r="10528" spans="1:16" s="1" customFormat="1" ht="84" customHeight="1" x14ac:dyDescent="0.25">
      <c r="A10528" s="2">
        <v>10526</v>
      </c>
      <c r="B10528" s="82" t="s">
        <v>16836</v>
      </c>
      <c r="C10528" s="82"/>
      <c r="D10528" s="22">
        <v>38139.86</v>
      </c>
      <c r="E10528" s="22">
        <v>38139.86</v>
      </c>
      <c r="F10528" s="3">
        <v>42403</v>
      </c>
      <c r="G10528" s="66" t="s">
        <v>12547</v>
      </c>
      <c r="H10528" s="25"/>
      <c r="I10528" s="66"/>
      <c r="J10528" s="2" t="s">
        <v>12550</v>
      </c>
      <c r="K10528" s="207"/>
      <c r="L10528" s="59"/>
      <c r="M10528" s="7"/>
      <c r="N10528" s="114"/>
      <c r="O10528" s="12"/>
    </row>
    <row r="10529" spans="1:15" s="1" customFormat="1" ht="84" customHeight="1" x14ac:dyDescent="0.25">
      <c r="A10529" s="2">
        <v>10527</v>
      </c>
      <c r="B10529" s="82" t="s">
        <v>16837</v>
      </c>
      <c r="C10529" s="82"/>
      <c r="D10529" s="22">
        <v>4990459.16</v>
      </c>
      <c r="E10529" s="22">
        <v>4990459.16</v>
      </c>
      <c r="F10529" s="3">
        <v>42403</v>
      </c>
      <c r="G10529" s="66" t="s">
        <v>12547</v>
      </c>
      <c r="H10529" s="25"/>
      <c r="I10529" s="66"/>
      <c r="J10529" s="2" t="s">
        <v>12550</v>
      </c>
      <c r="K10529" s="207"/>
      <c r="L10529" s="59"/>
      <c r="M10529" s="7"/>
      <c r="N10529" s="114"/>
      <c r="O10529" s="12"/>
    </row>
    <row r="10530" spans="1:15" s="1" customFormat="1" ht="84" customHeight="1" x14ac:dyDescent="0.25">
      <c r="A10530" s="2">
        <v>10528</v>
      </c>
      <c r="B10530" s="82" t="s">
        <v>16838</v>
      </c>
      <c r="C10530" s="82"/>
      <c r="D10530" s="22">
        <v>239542.04</v>
      </c>
      <c r="E10530" s="22">
        <v>239542.04</v>
      </c>
      <c r="F10530" s="3">
        <v>42403</v>
      </c>
      <c r="G10530" s="66" t="s">
        <v>12547</v>
      </c>
      <c r="H10530" s="25"/>
      <c r="I10530" s="66"/>
      <c r="J10530" s="2" t="s">
        <v>12550</v>
      </c>
      <c r="K10530" s="207"/>
      <c r="L10530" s="59"/>
      <c r="M10530" s="7"/>
      <c r="N10530" s="114"/>
      <c r="O10530" s="12"/>
    </row>
    <row r="10531" spans="1:15" s="1" customFormat="1" ht="84" customHeight="1" x14ac:dyDescent="0.25">
      <c r="A10531" s="2">
        <v>10529</v>
      </c>
      <c r="B10531" s="82" t="s">
        <v>16839</v>
      </c>
      <c r="C10531" s="82"/>
      <c r="D10531" s="22">
        <v>59885.51</v>
      </c>
      <c r="E10531" s="22">
        <v>59885.51</v>
      </c>
      <c r="F10531" s="3">
        <v>42403</v>
      </c>
      <c r="G10531" s="66" t="s">
        <v>12547</v>
      </c>
      <c r="H10531" s="25"/>
      <c r="I10531" s="66"/>
      <c r="J10531" s="2" t="s">
        <v>12550</v>
      </c>
      <c r="K10531" s="207"/>
      <c r="L10531" s="59"/>
      <c r="M10531" s="7"/>
      <c r="N10531" s="114"/>
      <c r="O10531" s="12"/>
    </row>
    <row r="10532" spans="1:15" s="1" customFormat="1" ht="84" customHeight="1" x14ac:dyDescent="0.25">
      <c r="A10532" s="2">
        <v>10530</v>
      </c>
      <c r="B10532" s="82" t="s">
        <v>16957</v>
      </c>
      <c r="C10532" s="82"/>
      <c r="D10532" s="22">
        <v>78846.16</v>
      </c>
      <c r="E10532" s="22">
        <v>20608.47</v>
      </c>
      <c r="F10532" s="3">
        <v>42403</v>
      </c>
      <c r="G10532" s="66" t="s">
        <v>12547</v>
      </c>
      <c r="H10532" s="207"/>
      <c r="I10532" s="66"/>
      <c r="J10532" s="2" t="s">
        <v>12550</v>
      </c>
      <c r="K10532" s="207"/>
      <c r="L10532" s="59"/>
    </row>
    <row r="10533" spans="1:15" s="1" customFormat="1" ht="84" customHeight="1" x14ac:dyDescent="0.25">
      <c r="A10533" s="2">
        <v>10531</v>
      </c>
      <c r="B10533" s="82" t="s">
        <v>16958</v>
      </c>
      <c r="C10533" s="82"/>
      <c r="D10533" s="22">
        <v>2759615.58</v>
      </c>
      <c r="E10533" s="22">
        <v>721296.43</v>
      </c>
      <c r="F10533" s="3">
        <v>42403</v>
      </c>
      <c r="G10533" s="66" t="s">
        <v>12547</v>
      </c>
      <c r="H10533" s="207"/>
      <c r="I10533" s="66"/>
      <c r="J10533" s="2" t="s">
        <v>12550</v>
      </c>
      <c r="K10533" s="207"/>
      <c r="L10533" s="59"/>
    </row>
    <row r="10534" spans="1:15" s="1" customFormat="1" ht="84" customHeight="1" x14ac:dyDescent="0.25">
      <c r="A10534" s="2">
        <v>10532</v>
      </c>
      <c r="B10534" s="82" t="s">
        <v>16959</v>
      </c>
      <c r="C10534" s="82"/>
      <c r="D10534" s="22">
        <v>189230.78</v>
      </c>
      <c r="E10534" s="22">
        <v>49460.33</v>
      </c>
      <c r="F10534" s="3">
        <v>42403</v>
      </c>
      <c r="G10534" s="66" t="s">
        <v>12547</v>
      </c>
      <c r="H10534" s="207"/>
      <c r="I10534" s="66"/>
      <c r="J10534" s="2" t="s">
        <v>12550</v>
      </c>
      <c r="K10534" s="207"/>
      <c r="L10534" s="59"/>
    </row>
    <row r="10535" spans="1:15" customFormat="1" ht="72" customHeight="1" x14ac:dyDescent="0.3">
      <c r="A10535" s="2">
        <v>10533</v>
      </c>
      <c r="B10535" s="83" t="s">
        <v>16955</v>
      </c>
      <c r="C10535" s="83" t="s">
        <v>16956</v>
      </c>
      <c r="D10535" s="22">
        <v>59270</v>
      </c>
      <c r="E10535" s="22">
        <v>20744.43</v>
      </c>
      <c r="F10535" s="3">
        <v>42403</v>
      </c>
      <c r="G10535" s="66" t="s">
        <v>12549</v>
      </c>
      <c r="H10535" s="63"/>
      <c r="I10535" s="63"/>
      <c r="J10535" s="2" t="s">
        <v>15048</v>
      </c>
      <c r="K10535" s="63"/>
      <c r="L10535" s="137"/>
    </row>
    <row r="10536" spans="1:15" customFormat="1" ht="72" customHeight="1" x14ac:dyDescent="0.3">
      <c r="A10536" s="2">
        <v>10534</v>
      </c>
      <c r="B10536" s="83" t="s">
        <v>16960</v>
      </c>
      <c r="C10536" s="83" t="s">
        <v>12044</v>
      </c>
      <c r="D10536" s="22">
        <v>80218.97</v>
      </c>
      <c r="E10536" s="22">
        <v>80218.97</v>
      </c>
      <c r="F10536" s="3">
        <v>42403</v>
      </c>
      <c r="G10536" s="66" t="s">
        <v>12549</v>
      </c>
      <c r="H10536" s="117"/>
      <c r="I10536" s="117"/>
      <c r="J10536" s="2" t="s">
        <v>15048</v>
      </c>
      <c r="K10536" s="117"/>
      <c r="L10536" s="137"/>
    </row>
    <row r="10537" spans="1:15" ht="108" customHeight="1" x14ac:dyDescent="0.3">
      <c r="A10537" s="2">
        <v>10535</v>
      </c>
      <c r="B10537" s="120" t="s">
        <v>16961</v>
      </c>
      <c r="C10537" s="120">
        <v>1101340004</v>
      </c>
      <c r="D10537" s="119">
        <v>52980</v>
      </c>
      <c r="E10537" s="22">
        <v>35889.839999999997</v>
      </c>
      <c r="F10537" s="3">
        <v>42403</v>
      </c>
      <c r="G10537" s="66" t="s">
        <v>12549</v>
      </c>
      <c r="H10537" s="2"/>
      <c r="I10537" s="2"/>
      <c r="J10537" s="2" t="s">
        <v>13904</v>
      </c>
      <c r="K10537" s="2" t="s">
        <v>23397</v>
      </c>
      <c r="L10537" s="82" t="s">
        <v>20123</v>
      </c>
    </row>
    <row r="10538" spans="1:15" ht="84" customHeight="1" x14ac:dyDescent="0.3">
      <c r="A10538" s="2">
        <v>10536</v>
      </c>
      <c r="B10538" s="106" t="s">
        <v>16966</v>
      </c>
      <c r="C10538" s="106" t="s">
        <v>16967</v>
      </c>
      <c r="D10538" s="116">
        <v>91741.7</v>
      </c>
      <c r="E10538" s="22">
        <v>0</v>
      </c>
      <c r="F10538" s="26">
        <v>42403</v>
      </c>
      <c r="G10538" s="38" t="s">
        <v>15349</v>
      </c>
      <c r="H10538" s="66"/>
      <c r="I10538" s="66"/>
      <c r="J10538" s="2" t="s">
        <v>12550</v>
      </c>
      <c r="K10538" s="66"/>
      <c r="L10538" s="82"/>
    </row>
    <row r="10539" spans="1:15" ht="84" customHeight="1" x14ac:dyDescent="0.3">
      <c r="A10539" s="2">
        <v>10537</v>
      </c>
      <c r="B10539" s="106" t="s">
        <v>16968</v>
      </c>
      <c r="C10539" s="116" t="s">
        <v>16969</v>
      </c>
      <c r="D10539" s="20">
        <v>36696.639999999999</v>
      </c>
      <c r="E10539" s="22">
        <v>0</v>
      </c>
      <c r="F10539" s="26">
        <v>42403</v>
      </c>
      <c r="G10539" s="38" t="s">
        <v>15349</v>
      </c>
      <c r="H10539" s="66"/>
      <c r="I10539" s="66"/>
      <c r="J10539" s="2" t="s">
        <v>12550</v>
      </c>
      <c r="K10539" s="66"/>
      <c r="L10539" s="82"/>
    </row>
    <row r="10540" spans="1:15" ht="84" customHeight="1" x14ac:dyDescent="0.3">
      <c r="A10540" s="2">
        <v>10538</v>
      </c>
      <c r="B10540" s="105" t="s">
        <v>16993</v>
      </c>
      <c r="C10540" s="105"/>
      <c r="D10540" s="21">
        <v>20584.349999999999</v>
      </c>
      <c r="E10540" s="22">
        <v>0</v>
      </c>
      <c r="F10540" s="26">
        <v>42403</v>
      </c>
      <c r="G10540" s="38" t="s">
        <v>15349</v>
      </c>
      <c r="H10540" s="66"/>
      <c r="I10540" s="66"/>
      <c r="J10540" s="2" t="s">
        <v>12550</v>
      </c>
      <c r="K10540" s="82"/>
      <c r="L10540" s="82"/>
      <c r="N10540" s="17"/>
      <c r="O10540" s="17"/>
    </row>
    <row r="10541" spans="1:15" ht="84" customHeight="1" x14ac:dyDescent="0.3">
      <c r="A10541" s="2">
        <v>10539</v>
      </c>
      <c r="B10541" s="105" t="s">
        <v>16994</v>
      </c>
      <c r="C10541" s="105"/>
      <c r="D10541" s="21">
        <v>18555.28</v>
      </c>
      <c r="E10541" s="21">
        <v>18555.28</v>
      </c>
      <c r="F10541" s="26">
        <v>42403</v>
      </c>
      <c r="G10541" s="38" t="s">
        <v>15349</v>
      </c>
      <c r="H10541" s="66"/>
      <c r="I10541" s="66"/>
      <c r="J10541" s="2" t="s">
        <v>12550</v>
      </c>
      <c r="K10541" s="82"/>
      <c r="L10541" s="82"/>
      <c r="N10541" s="17"/>
      <c r="O10541" s="17"/>
    </row>
    <row r="10542" spans="1:15" ht="84" customHeight="1" x14ac:dyDescent="0.3">
      <c r="A10542" s="2">
        <v>10540</v>
      </c>
      <c r="B10542" s="105" t="s">
        <v>16995</v>
      </c>
      <c r="C10542" s="105"/>
      <c r="D10542" s="21">
        <v>6386.83</v>
      </c>
      <c r="E10542" s="21">
        <v>0</v>
      </c>
      <c r="F10542" s="26">
        <v>42403</v>
      </c>
      <c r="G10542" s="38" t="s">
        <v>15349</v>
      </c>
      <c r="H10542" s="2"/>
      <c r="I10542" s="2"/>
      <c r="J10542" s="2" t="s">
        <v>12550</v>
      </c>
      <c r="K10542" s="82"/>
      <c r="L10542" s="82"/>
      <c r="N10542" s="17"/>
      <c r="O10542" s="17"/>
    </row>
    <row r="10543" spans="1:15" ht="84" customHeight="1" x14ac:dyDescent="0.3">
      <c r="A10543" s="2">
        <v>10541</v>
      </c>
      <c r="B10543" s="105" t="s">
        <v>16996</v>
      </c>
      <c r="C10543" s="105" t="s">
        <v>16997</v>
      </c>
      <c r="D10543" s="21">
        <v>455</v>
      </c>
      <c r="E10543" s="21">
        <v>0</v>
      </c>
      <c r="F10543" s="26">
        <v>42403</v>
      </c>
      <c r="G10543" s="38" t="s">
        <v>15349</v>
      </c>
      <c r="H10543" s="2"/>
      <c r="I10543" s="2"/>
      <c r="J10543" s="2" t="s">
        <v>12550</v>
      </c>
      <c r="K10543" s="82"/>
      <c r="L10543" s="82"/>
      <c r="N10543" s="17"/>
      <c r="O10543" s="17"/>
    </row>
    <row r="10544" spans="1:15" ht="84" customHeight="1" x14ac:dyDescent="0.3">
      <c r="A10544" s="2">
        <v>10542</v>
      </c>
      <c r="B10544" s="105" t="s">
        <v>16998</v>
      </c>
      <c r="C10544" s="105"/>
      <c r="D10544" s="21">
        <v>52225.13</v>
      </c>
      <c r="E10544" s="21">
        <v>0</v>
      </c>
      <c r="F10544" s="26">
        <v>42403</v>
      </c>
      <c r="G10544" s="38" t="s">
        <v>15349</v>
      </c>
      <c r="H10544" s="2"/>
      <c r="I10544" s="2"/>
      <c r="J10544" s="2" t="s">
        <v>12550</v>
      </c>
      <c r="K10544" s="82"/>
      <c r="L10544" s="82"/>
      <c r="N10544" s="17"/>
      <c r="O10544" s="17"/>
    </row>
    <row r="10545" spans="1:15" ht="84" customHeight="1" x14ac:dyDescent="0.3">
      <c r="A10545" s="2">
        <v>10543</v>
      </c>
      <c r="B10545" s="105" t="s">
        <v>16999</v>
      </c>
      <c r="C10545" s="105"/>
      <c r="D10545" s="21">
        <v>19848</v>
      </c>
      <c r="E10545" s="21">
        <v>3969.6</v>
      </c>
      <c r="F10545" s="26">
        <v>42403</v>
      </c>
      <c r="G10545" s="38" t="s">
        <v>15349</v>
      </c>
      <c r="H10545" s="2"/>
      <c r="I10545" s="2"/>
      <c r="J10545" s="2" t="s">
        <v>12550</v>
      </c>
      <c r="K10545" s="113"/>
      <c r="L10545" s="82"/>
      <c r="N10545" s="17"/>
      <c r="O10545" s="17"/>
    </row>
    <row r="10546" spans="1:15" ht="84" customHeight="1" x14ac:dyDescent="0.3">
      <c r="A10546" s="2">
        <v>10544</v>
      </c>
      <c r="B10546" s="105" t="s">
        <v>17000</v>
      </c>
      <c r="C10546" s="105"/>
      <c r="D10546" s="21">
        <v>188652</v>
      </c>
      <c r="E10546" s="21">
        <v>4491.72</v>
      </c>
      <c r="F10546" s="26">
        <v>42403</v>
      </c>
      <c r="G10546" s="38" t="s">
        <v>15349</v>
      </c>
      <c r="H10546" s="2"/>
      <c r="I10546" s="2"/>
      <c r="J10546" s="2" t="s">
        <v>12550</v>
      </c>
      <c r="K10546" s="113"/>
      <c r="L10546" s="82"/>
      <c r="N10546" s="17"/>
      <c r="O10546" s="17"/>
    </row>
    <row r="10547" spans="1:15" ht="84" customHeight="1" x14ac:dyDescent="0.3">
      <c r="A10547" s="2">
        <v>10545</v>
      </c>
      <c r="B10547" s="105" t="s">
        <v>17002</v>
      </c>
      <c r="C10547" s="105"/>
      <c r="D10547" s="21">
        <v>15000</v>
      </c>
      <c r="E10547" s="21">
        <v>1500</v>
      </c>
      <c r="F10547" s="26">
        <v>42403</v>
      </c>
      <c r="G10547" s="38" t="s">
        <v>15349</v>
      </c>
      <c r="H10547" s="2"/>
      <c r="I10547" s="2"/>
      <c r="J10547" s="2" t="s">
        <v>12550</v>
      </c>
      <c r="K10547" s="113"/>
      <c r="L10547" s="82"/>
      <c r="N10547" s="17"/>
      <c r="O10547" s="17"/>
    </row>
    <row r="10548" spans="1:15" ht="84" customHeight="1" x14ac:dyDescent="0.3">
      <c r="A10548" s="2">
        <v>10546</v>
      </c>
      <c r="B10548" s="105" t="s">
        <v>17002</v>
      </c>
      <c r="C10548" s="105"/>
      <c r="D10548" s="21">
        <v>15000</v>
      </c>
      <c r="E10548" s="21">
        <v>1500</v>
      </c>
      <c r="F10548" s="26">
        <v>42403</v>
      </c>
      <c r="G10548" s="38" t="s">
        <v>15349</v>
      </c>
      <c r="H10548" s="2"/>
      <c r="I10548" s="2"/>
      <c r="J10548" s="2" t="s">
        <v>12550</v>
      </c>
      <c r="K10548" s="113"/>
      <c r="L10548" s="82"/>
      <c r="N10548" s="17"/>
      <c r="O10548" s="17"/>
    </row>
    <row r="10549" spans="1:15" ht="84" customHeight="1" x14ac:dyDescent="0.3">
      <c r="A10549" s="2">
        <v>10547</v>
      </c>
      <c r="B10549" s="105" t="s">
        <v>17002</v>
      </c>
      <c r="C10549" s="105"/>
      <c r="D10549" s="21">
        <v>18500</v>
      </c>
      <c r="E10549" s="21">
        <v>924.99</v>
      </c>
      <c r="F10549" s="26">
        <v>42403</v>
      </c>
      <c r="G10549" s="38" t="s">
        <v>15349</v>
      </c>
      <c r="H10549" s="2"/>
      <c r="I10549" s="2"/>
      <c r="J10549" s="2" t="s">
        <v>12550</v>
      </c>
      <c r="K10549" s="113"/>
      <c r="L10549" s="82"/>
      <c r="N10549" s="17"/>
      <c r="O10549" s="17"/>
    </row>
    <row r="10550" spans="1:15" ht="84" customHeight="1" x14ac:dyDescent="0.3">
      <c r="A10550" s="2">
        <v>10548</v>
      </c>
      <c r="B10550" s="105" t="s">
        <v>17001</v>
      </c>
      <c r="C10550" s="105"/>
      <c r="D10550" s="21">
        <v>18500</v>
      </c>
      <c r="E10550" s="21">
        <v>924.99</v>
      </c>
      <c r="F10550" s="26">
        <v>42403</v>
      </c>
      <c r="G10550" s="38" t="s">
        <v>15349</v>
      </c>
      <c r="H10550" s="2"/>
      <c r="I10550" s="2"/>
      <c r="J10550" s="2" t="s">
        <v>12550</v>
      </c>
      <c r="K10550" s="113"/>
      <c r="L10550" s="82"/>
      <c r="N10550" s="17"/>
      <c r="O10550" s="17"/>
    </row>
    <row r="10551" spans="1:15" ht="84" customHeight="1" x14ac:dyDescent="0.3">
      <c r="A10551" s="2">
        <v>10549</v>
      </c>
      <c r="B10551" s="105" t="s">
        <v>17003</v>
      </c>
      <c r="C10551" s="105"/>
      <c r="D10551" s="21">
        <v>249000</v>
      </c>
      <c r="E10551" s="21">
        <v>0</v>
      </c>
      <c r="F10551" s="26">
        <v>42403</v>
      </c>
      <c r="G10551" s="38" t="s">
        <v>15349</v>
      </c>
      <c r="H10551" s="2"/>
      <c r="I10551" s="2"/>
      <c r="J10551" s="2" t="s">
        <v>12550</v>
      </c>
      <c r="K10551" s="113"/>
      <c r="L10551" s="82"/>
      <c r="N10551" s="17"/>
      <c r="O10551" s="17"/>
    </row>
    <row r="10552" spans="1:15" ht="84" customHeight="1" x14ac:dyDescent="0.3">
      <c r="A10552" s="2">
        <v>10550</v>
      </c>
      <c r="B10552" s="105" t="s">
        <v>17004</v>
      </c>
      <c r="C10552" s="105"/>
      <c r="D10552" s="21">
        <v>128545.9</v>
      </c>
      <c r="E10552" s="21">
        <v>6121.24</v>
      </c>
      <c r="F10552" s="26">
        <v>42403</v>
      </c>
      <c r="G10552" s="38" t="s">
        <v>15349</v>
      </c>
      <c r="H10552" s="2"/>
      <c r="I10552" s="2"/>
      <c r="J10552" s="2" t="s">
        <v>12550</v>
      </c>
      <c r="K10552" s="113"/>
      <c r="L10552" s="82"/>
      <c r="N10552" s="17"/>
      <c r="O10552" s="17"/>
    </row>
    <row r="10553" spans="1:15" ht="84" customHeight="1" x14ac:dyDescent="0.3">
      <c r="A10553" s="2">
        <v>10551</v>
      </c>
      <c r="B10553" s="105" t="s">
        <v>17005</v>
      </c>
      <c r="C10553" s="105"/>
      <c r="D10553" s="21">
        <v>137765.79</v>
      </c>
      <c r="E10553" s="21"/>
      <c r="F10553" s="26">
        <v>42403</v>
      </c>
      <c r="G10553" s="38" t="s">
        <v>15349</v>
      </c>
      <c r="H10553" s="2"/>
      <c r="I10553" s="2"/>
      <c r="J10553" s="2" t="s">
        <v>12550</v>
      </c>
      <c r="K10553" s="113"/>
      <c r="L10553" s="82"/>
      <c r="N10553" s="17"/>
      <c r="O10553" s="17"/>
    </row>
    <row r="10554" spans="1:15" ht="84" customHeight="1" x14ac:dyDescent="0.3">
      <c r="A10554" s="2">
        <v>10552</v>
      </c>
      <c r="B10554" s="105" t="s">
        <v>17006</v>
      </c>
      <c r="C10554" s="105"/>
      <c r="D10554" s="21">
        <v>2498706</v>
      </c>
      <c r="E10554" s="21">
        <v>437273.55</v>
      </c>
      <c r="F10554" s="26">
        <v>42403</v>
      </c>
      <c r="G10554" s="38" t="s">
        <v>15349</v>
      </c>
      <c r="H10554" s="2"/>
      <c r="I10554" s="2"/>
      <c r="J10554" s="2" t="s">
        <v>12550</v>
      </c>
      <c r="K10554" s="113"/>
      <c r="L10554" s="82"/>
      <c r="N10554" s="17"/>
      <c r="O10554" s="17"/>
    </row>
    <row r="10555" spans="1:15" ht="84" customHeight="1" x14ac:dyDescent="0.3">
      <c r="A10555" s="2">
        <v>10553</v>
      </c>
      <c r="B10555" s="105" t="s">
        <v>17007</v>
      </c>
      <c r="C10555" s="105"/>
      <c r="D10555" s="21">
        <v>8560000</v>
      </c>
      <c r="E10555" s="21">
        <v>0</v>
      </c>
      <c r="F10555" s="26">
        <v>42403</v>
      </c>
      <c r="G10555" s="38" t="s">
        <v>15349</v>
      </c>
      <c r="H10555" s="2"/>
      <c r="I10555" s="2"/>
      <c r="J10555" s="2" t="s">
        <v>12550</v>
      </c>
      <c r="K10555" s="113"/>
      <c r="L10555" s="82"/>
      <c r="N10555" s="17"/>
      <c r="O10555" s="17"/>
    </row>
    <row r="10556" spans="1:15" ht="84" customHeight="1" x14ac:dyDescent="0.3">
      <c r="A10556" s="2">
        <v>10554</v>
      </c>
      <c r="B10556" s="105" t="s">
        <v>17008</v>
      </c>
      <c r="C10556" s="105"/>
      <c r="D10556" s="21">
        <v>1824000</v>
      </c>
      <c r="E10556" s="21">
        <v>0</v>
      </c>
      <c r="F10556" s="26">
        <v>42403</v>
      </c>
      <c r="G10556" s="38" t="s">
        <v>15349</v>
      </c>
      <c r="H10556" s="2"/>
      <c r="I10556" s="2"/>
      <c r="J10556" s="2" t="s">
        <v>12550</v>
      </c>
      <c r="K10556" s="113"/>
      <c r="L10556" s="82"/>
      <c r="N10556" s="17"/>
      <c r="O10556" s="17"/>
    </row>
    <row r="10557" spans="1:15" ht="84" customHeight="1" x14ac:dyDescent="0.3">
      <c r="A10557" s="2">
        <v>10555</v>
      </c>
      <c r="B10557" s="105" t="s">
        <v>17009</v>
      </c>
      <c r="C10557" s="105"/>
      <c r="D10557" s="21">
        <v>13716.78</v>
      </c>
      <c r="E10557" s="21">
        <v>13716.78</v>
      </c>
      <c r="F10557" s="26">
        <v>42403</v>
      </c>
      <c r="G10557" s="38" t="s">
        <v>15349</v>
      </c>
      <c r="H10557" s="2"/>
      <c r="I10557" s="2"/>
      <c r="J10557" s="2" t="s">
        <v>12550</v>
      </c>
      <c r="K10557" s="113"/>
      <c r="L10557" s="82"/>
      <c r="N10557" s="17"/>
      <c r="O10557" s="17"/>
    </row>
    <row r="10558" spans="1:15" ht="84" customHeight="1" x14ac:dyDescent="0.3">
      <c r="A10558" s="2">
        <v>10556</v>
      </c>
      <c r="B10558" s="105" t="s">
        <v>17010</v>
      </c>
      <c r="C10558" s="105"/>
      <c r="D10558" s="21">
        <v>28626.54</v>
      </c>
      <c r="E10558" s="21">
        <v>0</v>
      </c>
      <c r="F10558" s="26">
        <v>42403</v>
      </c>
      <c r="G10558" s="38" t="s">
        <v>15349</v>
      </c>
      <c r="H10558" s="2"/>
      <c r="I10558" s="2"/>
      <c r="J10558" s="2" t="s">
        <v>12550</v>
      </c>
      <c r="K10558" s="113"/>
      <c r="L10558" s="82"/>
      <c r="N10558" s="17"/>
      <c r="O10558" s="17"/>
    </row>
    <row r="10559" spans="1:15" ht="84" customHeight="1" x14ac:dyDescent="0.3">
      <c r="A10559" s="2">
        <v>10557</v>
      </c>
      <c r="B10559" s="105" t="s">
        <v>17011</v>
      </c>
      <c r="C10559" s="105"/>
      <c r="D10559" s="21">
        <v>20584.349999999999</v>
      </c>
      <c r="E10559" s="21">
        <v>0</v>
      </c>
      <c r="F10559" s="26">
        <v>42403</v>
      </c>
      <c r="G10559" s="38" t="s">
        <v>15349</v>
      </c>
      <c r="H10559" s="2"/>
      <c r="I10559" s="2"/>
      <c r="J10559" s="2" t="s">
        <v>12550</v>
      </c>
      <c r="K10559" s="113"/>
      <c r="L10559" s="82"/>
      <c r="N10559" s="17"/>
      <c r="O10559" s="17"/>
    </row>
    <row r="10560" spans="1:15" ht="84" customHeight="1" x14ac:dyDescent="0.3">
      <c r="A10560" s="2">
        <v>10558</v>
      </c>
      <c r="B10560" s="105" t="s">
        <v>17012</v>
      </c>
      <c r="C10560" s="105"/>
      <c r="D10560" s="21">
        <v>16010.05</v>
      </c>
      <c r="E10560" s="21">
        <v>16010.05</v>
      </c>
      <c r="F10560" s="26">
        <v>42403</v>
      </c>
      <c r="G10560" s="38" t="s">
        <v>15349</v>
      </c>
      <c r="H10560" s="2"/>
      <c r="I10560" s="2"/>
      <c r="J10560" s="2" t="s">
        <v>12550</v>
      </c>
      <c r="K10560" s="113"/>
      <c r="L10560" s="82"/>
      <c r="N10560" s="17"/>
      <c r="O10560" s="17"/>
    </row>
    <row r="10561" spans="1:15" ht="84" customHeight="1" x14ac:dyDescent="0.3">
      <c r="A10561" s="2">
        <v>10559</v>
      </c>
      <c r="B10561" s="105" t="s">
        <v>17013</v>
      </c>
      <c r="C10561" s="105"/>
      <c r="D10561" s="21">
        <v>16446</v>
      </c>
      <c r="E10561" s="21">
        <v>16446</v>
      </c>
      <c r="F10561" s="26">
        <v>42403</v>
      </c>
      <c r="G10561" s="38" t="s">
        <v>15349</v>
      </c>
      <c r="H10561" s="2"/>
      <c r="I10561" s="2"/>
      <c r="J10561" s="2" t="s">
        <v>12550</v>
      </c>
      <c r="K10561" s="113"/>
      <c r="L10561" s="82"/>
      <c r="N10561" s="17"/>
      <c r="O10561" s="17"/>
    </row>
    <row r="10562" spans="1:15" ht="84" customHeight="1" x14ac:dyDescent="0.3">
      <c r="A10562" s="2">
        <v>10560</v>
      </c>
      <c r="B10562" s="105" t="s">
        <v>17014</v>
      </c>
      <c r="C10562" s="105"/>
      <c r="D10562" s="21">
        <v>30720.66</v>
      </c>
      <c r="E10562" s="21">
        <v>0</v>
      </c>
      <c r="F10562" s="26">
        <v>42403</v>
      </c>
      <c r="G10562" s="38" t="s">
        <v>15349</v>
      </c>
      <c r="H10562" s="2"/>
      <c r="I10562" s="2"/>
      <c r="J10562" s="2" t="s">
        <v>12550</v>
      </c>
      <c r="K10562" s="113"/>
      <c r="L10562" s="82"/>
      <c r="N10562" s="17"/>
      <c r="O10562" s="17"/>
    </row>
    <row r="10563" spans="1:15" ht="84" customHeight="1" x14ac:dyDescent="0.3">
      <c r="A10563" s="2">
        <v>10561</v>
      </c>
      <c r="B10563" s="105" t="s">
        <v>17015</v>
      </c>
      <c r="C10563" s="105"/>
      <c r="D10563" s="21">
        <v>10292.18</v>
      </c>
      <c r="E10563" s="21">
        <v>10292.18</v>
      </c>
      <c r="F10563" s="26">
        <v>42403</v>
      </c>
      <c r="G10563" s="38" t="s">
        <v>15349</v>
      </c>
      <c r="H10563" s="2"/>
      <c r="I10563" s="2"/>
      <c r="J10563" s="2" t="s">
        <v>12550</v>
      </c>
      <c r="K10563" s="113"/>
      <c r="L10563" s="82"/>
      <c r="N10563" s="17"/>
      <c r="O10563" s="17"/>
    </row>
    <row r="10564" spans="1:15" ht="84" customHeight="1" x14ac:dyDescent="0.3">
      <c r="A10564" s="2">
        <v>10562</v>
      </c>
      <c r="B10564" s="105" t="s">
        <v>17016</v>
      </c>
      <c r="C10564" s="105"/>
      <c r="D10564" s="21">
        <v>30876.53</v>
      </c>
      <c r="E10564" s="21">
        <v>0</v>
      </c>
      <c r="F10564" s="26">
        <v>42403</v>
      </c>
      <c r="G10564" s="38" t="s">
        <v>15349</v>
      </c>
      <c r="H10564" s="2"/>
      <c r="I10564" s="2"/>
      <c r="J10564" s="2" t="s">
        <v>12550</v>
      </c>
      <c r="K10564" s="113"/>
      <c r="L10564" s="82"/>
      <c r="N10564" s="17"/>
      <c r="O10564" s="17"/>
    </row>
    <row r="10565" spans="1:15" ht="84" customHeight="1" x14ac:dyDescent="0.3">
      <c r="A10565" s="2">
        <v>10563</v>
      </c>
      <c r="B10565" s="105" t="s">
        <v>17017</v>
      </c>
      <c r="C10565" s="105"/>
      <c r="D10565" s="21">
        <v>23296</v>
      </c>
      <c r="E10565" s="21">
        <v>554.66</v>
      </c>
      <c r="F10565" s="26">
        <v>42403</v>
      </c>
      <c r="G10565" s="38" t="s">
        <v>15349</v>
      </c>
      <c r="H10565" s="2"/>
      <c r="I10565" s="2"/>
      <c r="J10565" s="2" t="s">
        <v>12550</v>
      </c>
      <c r="K10565" s="113"/>
      <c r="L10565" s="82"/>
      <c r="N10565" s="17"/>
      <c r="O10565" s="17"/>
    </row>
    <row r="10566" spans="1:15" ht="84" customHeight="1" x14ac:dyDescent="0.3">
      <c r="A10566" s="2">
        <v>10564</v>
      </c>
      <c r="B10566" s="105" t="s">
        <v>17020</v>
      </c>
      <c r="C10566" s="105"/>
      <c r="D10566" s="21">
        <v>21112</v>
      </c>
      <c r="E10566" s="21"/>
      <c r="F10566" s="26">
        <v>42403</v>
      </c>
      <c r="G10566" s="38" t="s">
        <v>15349</v>
      </c>
      <c r="H10566" s="2"/>
      <c r="I10566" s="2"/>
      <c r="J10566" s="2" t="s">
        <v>12550</v>
      </c>
      <c r="K10566" s="113"/>
      <c r="L10566" s="82"/>
      <c r="N10566" s="17"/>
      <c r="O10566" s="17"/>
    </row>
    <row r="10567" spans="1:15" ht="84" customHeight="1" x14ac:dyDescent="0.3">
      <c r="A10567" s="2">
        <v>10565</v>
      </c>
      <c r="B10567" s="105" t="s">
        <v>17021</v>
      </c>
      <c r="C10567" s="105"/>
      <c r="D10567" s="21">
        <v>27955</v>
      </c>
      <c r="E10567" s="21">
        <v>665.6</v>
      </c>
      <c r="F10567" s="26">
        <v>42403</v>
      </c>
      <c r="G10567" s="38" t="s">
        <v>15349</v>
      </c>
      <c r="H10567" s="2"/>
      <c r="I10567" s="2"/>
      <c r="J10567" s="2" t="s">
        <v>12550</v>
      </c>
      <c r="K10567" s="113"/>
      <c r="L10567" s="82"/>
      <c r="N10567" s="17"/>
      <c r="O10567" s="17"/>
    </row>
    <row r="10568" spans="1:15" ht="84" customHeight="1" x14ac:dyDescent="0.3">
      <c r="A10568" s="2">
        <v>10566</v>
      </c>
      <c r="B10568" s="105" t="s">
        <v>17022</v>
      </c>
      <c r="C10568" s="105"/>
      <c r="D10568" s="21">
        <v>14627.13</v>
      </c>
      <c r="E10568" s="21">
        <v>14627.13</v>
      </c>
      <c r="F10568" s="26">
        <v>42403</v>
      </c>
      <c r="G10568" s="38" t="s">
        <v>15349</v>
      </c>
      <c r="H10568" s="2"/>
      <c r="I10568" s="2"/>
      <c r="J10568" s="2" t="s">
        <v>12550</v>
      </c>
      <c r="K10568" s="113"/>
      <c r="L10568" s="82"/>
      <c r="N10568" s="17"/>
      <c r="O10568" s="17"/>
    </row>
    <row r="10569" spans="1:15" ht="84" customHeight="1" x14ac:dyDescent="0.3">
      <c r="A10569" s="2">
        <v>10567</v>
      </c>
      <c r="B10569" s="105" t="s">
        <v>17023</v>
      </c>
      <c r="C10569" s="105"/>
      <c r="D10569" s="21">
        <v>15011</v>
      </c>
      <c r="E10569" s="21">
        <v>357.4</v>
      </c>
      <c r="F10569" s="26">
        <v>42403</v>
      </c>
      <c r="G10569" s="38" t="s">
        <v>15349</v>
      </c>
      <c r="H10569" s="2"/>
      <c r="I10569" s="2"/>
      <c r="J10569" s="2" t="s">
        <v>12550</v>
      </c>
      <c r="K10569" s="113"/>
      <c r="L10569" s="82"/>
      <c r="N10569" s="17"/>
      <c r="O10569" s="17"/>
    </row>
    <row r="10570" spans="1:15" ht="84" customHeight="1" x14ac:dyDescent="0.3">
      <c r="A10570" s="2">
        <v>10568</v>
      </c>
      <c r="B10570" s="105" t="s">
        <v>17023</v>
      </c>
      <c r="C10570" s="105"/>
      <c r="D10570" s="21">
        <v>15360.33</v>
      </c>
      <c r="E10570" s="21">
        <v>15360.33</v>
      </c>
      <c r="F10570" s="26">
        <v>42403</v>
      </c>
      <c r="G10570" s="38" t="s">
        <v>15349</v>
      </c>
      <c r="H10570" s="2"/>
      <c r="I10570" s="2"/>
      <c r="J10570" s="2" t="s">
        <v>12550</v>
      </c>
      <c r="K10570" s="113"/>
      <c r="L10570" s="82"/>
      <c r="N10570" s="17"/>
      <c r="O10570" s="17"/>
    </row>
    <row r="10571" spans="1:15" ht="84" customHeight="1" x14ac:dyDescent="0.3">
      <c r="A10571" s="2">
        <v>10569</v>
      </c>
      <c r="B10571" s="105" t="s">
        <v>17023</v>
      </c>
      <c r="C10571" s="105"/>
      <c r="D10571" s="21">
        <v>14283</v>
      </c>
      <c r="E10571" s="21">
        <v>14283</v>
      </c>
      <c r="F10571" s="26">
        <v>42403</v>
      </c>
      <c r="G10571" s="38" t="s">
        <v>15349</v>
      </c>
      <c r="H10571" s="2"/>
      <c r="I10571" s="2"/>
      <c r="J10571" s="2" t="s">
        <v>12550</v>
      </c>
      <c r="K10571" s="113"/>
      <c r="L10571" s="82"/>
      <c r="N10571" s="17"/>
      <c r="O10571" s="17"/>
    </row>
    <row r="10572" spans="1:15" ht="84" customHeight="1" x14ac:dyDescent="0.3">
      <c r="A10572" s="2">
        <v>10570</v>
      </c>
      <c r="B10572" s="105" t="s">
        <v>17018</v>
      </c>
      <c r="C10572" s="105"/>
      <c r="D10572" s="21">
        <v>95115.28</v>
      </c>
      <c r="E10572" s="21">
        <v>4529.28</v>
      </c>
      <c r="F10572" s="26">
        <v>42403</v>
      </c>
      <c r="G10572" s="38" t="s">
        <v>15349</v>
      </c>
      <c r="H10572" s="2"/>
      <c r="I10572" s="2"/>
      <c r="J10572" s="2" t="s">
        <v>12550</v>
      </c>
      <c r="K10572" s="113"/>
      <c r="L10572" s="82"/>
      <c r="N10572" s="17"/>
      <c r="O10572" s="17"/>
    </row>
    <row r="10573" spans="1:15" ht="84" customHeight="1" x14ac:dyDescent="0.3">
      <c r="A10573" s="2">
        <v>10571</v>
      </c>
      <c r="B10573" s="105" t="s">
        <v>17019</v>
      </c>
      <c r="C10573" s="105"/>
      <c r="D10573" s="21">
        <v>8245.85</v>
      </c>
      <c r="E10573" s="21">
        <v>8245.85</v>
      </c>
      <c r="F10573" s="26">
        <v>42403</v>
      </c>
      <c r="G10573" s="38" t="s">
        <v>15349</v>
      </c>
      <c r="H10573" s="2"/>
      <c r="I10573" s="2"/>
      <c r="J10573" s="2" t="s">
        <v>12550</v>
      </c>
      <c r="K10573" s="113"/>
      <c r="L10573" s="82"/>
      <c r="N10573" s="17"/>
      <c r="O10573" s="17"/>
    </row>
    <row r="10574" spans="1:15" ht="84" customHeight="1" x14ac:dyDescent="0.3">
      <c r="A10574" s="2">
        <v>10572</v>
      </c>
      <c r="B10574" s="105" t="s">
        <v>17024</v>
      </c>
      <c r="C10574" s="105"/>
      <c r="D10574" s="21">
        <v>57720.95</v>
      </c>
      <c r="E10574" s="21">
        <v>57720.95</v>
      </c>
      <c r="F10574" s="26">
        <v>42403</v>
      </c>
      <c r="G10574" s="38" t="s">
        <v>15349</v>
      </c>
      <c r="H10574" s="2"/>
      <c r="I10574" s="2"/>
      <c r="J10574" s="2" t="s">
        <v>12550</v>
      </c>
      <c r="K10574" s="113"/>
      <c r="L10574" s="82"/>
      <c r="N10574" s="17"/>
      <c r="O10574" s="17"/>
    </row>
    <row r="10575" spans="1:15" ht="84" customHeight="1" x14ac:dyDescent="0.3">
      <c r="A10575" s="2">
        <v>10573</v>
      </c>
      <c r="B10575" s="105" t="s">
        <v>17025</v>
      </c>
      <c r="C10575" s="105"/>
      <c r="D10575" s="21">
        <v>80000</v>
      </c>
      <c r="E10575" s="21">
        <v>5666.61</v>
      </c>
      <c r="F10575" s="26">
        <v>42403</v>
      </c>
      <c r="G10575" s="38" t="s">
        <v>15349</v>
      </c>
      <c r="H10575" s="2"/>
      <c r="I10575" s="2"/>
      <c r="J10575" s="2" t="s">
        <v>12550</v>
      </c>
      <c r="K10575" s="113"/>
      <c r="L10575" s="82"/>
      <c r="N10575" s="17"/>
      <c r="O10575" s="17"/>
    </row>
    <row r="10576" spans="1:15" ht="84" customHeight="1" x14ac:dyDescent="0.3">
      <c r="A10576" s="2">
        <v>10574</v>
      </c>
      <c r="B10576" s="105" t="s">
        <v>17026</v>
      </c>
      <c r="C10576" s="105"/>
      <c r="D10576" s="21">
        <v>58440</v>
      </c>
      <c r="E10576" s="21">
        <v>41742</v>
      </c>
      <c r="F10576" s="26">
        <v>42403</v>
      </c>
      <c r="G10576" s="38" t="s">
        <v>15349</v>
      </c>
      <c r="H10576" s="2"/>
      <c r="I10576" s="2"/>
      <c r="J10576" s="2" t="s">
        <v>12550</v>
      </c>
      <c r="K10576" s="113"/>
      <c r="L10576" s="82"/>
      <c r="N10576" s="17"/>
      <c r="O10576" s="17"/>
    </row>
    <row r="10577" spans="1:15" ht="84" customHeight="1" x14ac:dyDescent="0.3">
      <c r="A10577" s="2">
        <v>10575</v>
      </c>
      <c r="B10577" s="105" t="s">
        <v>17027</v>
      </c>
      <c r="C10577" s="105"/>
      <c r="D10577" s="21">
        <v>4240</v>
      </c>
      <c r="E10577" s="21">
        <v>3028.8</v>
      </c>
      <c r="F10577" s="26">
        <v>42403</v>
      </c>
      <c r="G10577" s="38" t="s">
        <v>15349</v>
      </c>
      <c r="H10577" s="2"/>
      <c r="I10577" s="2"/>
      <c r="J10577" s="2" t="s">
        <v>12550</v>
      </c>
      <c r="K10577" s="113"/>
      <c r="L10577" s="82"/>
      <c r="N10577" s="17"/>
      <c r="O10577" s="17"/>
    </row>
    <row r="10578" spans="1:15" ht="84" customHeight="1" x14ac:dyDescent="0.3">
      <c r="A10578" s="2">
        <v>10576</v>
      </c>
      <c r="B10578" s="105" t="s">
        <v>17028</v>
      </c>
      <c r="C10578" s="105"/>
      <c r="D10578" s="21">
        <v>19480</v>
      </c>
      <c r="E10578" s="21">
        <v>12986.4</v>
      </c>
      <c r="F10578" s="26">
        <v>42403</v>
      </c>
      <c r="G10578" s="38" t="s">
        <v>15349</v>
      </c>
      <c r="H10578" s="2"/>
      <c r="I10578" s="2"/>
      <c r="J10578" s="2" t="s">
        <v>12550</v>
      </c>
      <c r="K10578" s="113"/>
      <c r="L10578" s="82"/>
      <c r="N10578" s="17"/>
      <c r="O10578" s="17"/>
    </row>
    <row r="10579" spans="1:15" ht="84" customHeight="1" x14ac:dyDescent="0.3">
      <c r="A10579" s="2">
        <v>10577</v>
      </c>
      <c r="B10579" s="105" t="s">
        <v>17029</v>
      </c>
      <c r="C10579" s="105"/>
      <c r="D10579" s="21">
        <v>9740.01</v>
      </c>
      <c r="E10579" s="21">
        <v>6493.2</v>
      </c>
      <c r="F10579" s="26">
        <v>42403</v>
      </c>
      <c r="G10579" s="38" t="s">
        <v>15349</v>
      </c>
      <c r="H10579" s="2"/>
      <c r="I10579" s="2"/>
      <c r="J10579" s="2" t="s">
        <v>12550</v>
      </c>
      <c r="K10579" s="113"/>
      <c r="L10579" s="82"/>
      <c r="N10579" s="17"/>
      <c r="O10579" s="17"/>
    </row>
    <row r="10580" spans="1:15" ht="84" customHeight="1" x14ac:dyDescent="0.3">
      <c r="A10580" s="2">
        <v>10578</v>
      </c>
      <c r="B10580" s="105" t="s">
        <v>17030</v>
      </c>
      <c r="C10580" s="105"/>
      <c r="D10580" s="21">
        <v>940972.26</v>
      </c>
      <c r="E10580" s="21">
        <v>177464.01</v>
      </c>
      <c r="F10580" s="26">
        <v>42403</v>
      </c>
      <c r="G10580" s="38" t="s">
        <v>15349</v>
      </c>
      <c r="H10580" s="2"/>
      <c r="I10580" s="2"/>
      <c r="J10580" s="2" t="s">
        <v>12550</v>
      </c>
      <c r="K10580" s="113"/>
      <c r="L10580" s="82"/>
      <c r="N10580" s="17"/>
      <c r="O10580" s="17"/>
    </row>
    <row r="10581" spans="1:15" ht="84" customHeight="1" x14ac:dyDescent="0.3">
      <c r="A10581" s="2">
        <v>10579</v>
      </c>
      <c r="B10581" s="105" t="s">
        <v>17031</v>
      </c>
      <c r="C10581" s="105"/>
      <c r="D10581" s="21">
        <v>1875878.45</v>
      </c>
      <c r="E10581" s="21">
        <v>63960.88</v>
      </c>
      <c r="F10581" s="26">
        <v>42403</v>
      </c>
      <c r="G10581" s="38" t="s">
        <v>15349</v>
      </c>
      <c r="H10581" s="2"/>
      <c r="I10581" s="2"/>
      <c r="J10581" s="2" t="s">
        <v>12550</v>
      </c>
      <c r="K10581" s="113"/>
      <c r="L10581" s="82"/>
      <c r="N10581" s="17"/>
      <c r="O10581" s="17"/>
    </row>
    <row r="10582" spans="1:15" ht="84" customHeight="1" x14ac:dyDescent="0.3">
      <c r="A10582" s="2">
        <v>10580</v>
      </c>
      <c r="B10582" s="105" t="s">
        <v>17032</v>
      </c>
      <c r="C10582" s="105"/>
      <c r="D10582" s="21">
        <v>735228.29</v>
      </c>
      <c r="E10582" s="21">
        <v>0</v>
      </c>
      <c r="F10582" s="26">
        <v>42403</v>
      </c>
      <c r="G10582" s="38" t="s">
        <v>15349</v>
      </c>
      <c r="H10582" s="2"/>
      <c r="I10582" s="2"/>
      <c r="J10582" s="2" t="s">
        <v>12550</v>
      </c>
      <c r="K10582" s="113"/>
      <c r="L10582" s="82"/>
      <c r="N10582" s="17"/>
      <c r="O10582" s="17"/>
    </row>
    <row r="10583" spans="1:15" ht="84" customHeight="1" x14ac:dyDescent="0.3">
      <c r="A10583" s="2">
        <v>10581</v>
      </c>
      <c r="B10583" s="105" t="s">
        <v>17033</v>
      </c>
      <c r="C10583" s="105"/>
      <c r="D10583" s="21">
        <v>7151.5</v>
      </c>
      <c r="E10583" s="21">
        <v>7151.5</v>
      </c>
      <c r="F10583" s="26">
        <v>42403</v>
      </c>
      <c r="G10583" s="38" t="s">
        <v>15349</v>
      </c>
      <c r="H10583" s="2"/>
      <c r="I10583" s="2"/>
      <c r="J10583" s="2" t="s">
        <v>12550</v>
      </c>
      <c r="K10583" s="113"/>
      <c r="L10583" s="82"/>
      <c r="N10583" s="17"/>
      <c r="O10583" s="17"/>
    </row>
    <row r="10584" spans="1:15" ht="84" customHeight="1" x14ac:dyDescent="0.3">
      <c r="A10584" s="2">
        <v>10582</v>
      </c>
      <c r="B10584" s="105" t="s">
        <v>17034</v>
      </c>
      <c r="C10584" s="105"/>
      <c r="D10584" s="21">
        <v>29732.94</v>
      </c>
      <c r="E10584" s="21"/>
      <c r="F10584" s="26">
        <v>42403</v>
      </c>
      <c r="G10584" s="38" t="s">
        <v>15349</v>
      </c>
      <c r="H10584" s="2"/>
      <c r="I10584" s="2"/>
      <c r="J10584" s="2" t="s">
        <v>12550</v>
      </c>
      <c r="K10584" s="113"/>
      <c r="L10584" s="82"/>
      <c r="N10584" s="17"/>
      <c r="O10584" s="17"/>
    </row>
    <row r="10585" spans="1:15" ht="84" customHeight="1" x14ac:dyDescent="0.3">
      <c r="A10585" s="2">
        <v>10583</v>
      </c>
      <c r="B10585" s="105" t="s">
        <v>17035</v>
      </c>
      <c r="C10585" s="105"/>
      <c r="D10585" s="21">
        <v>12303</v>
      </c>
      <c r="E10585" s="21">
        <v>12303</v>
      </c>
      <c r="F10585" s="26">
        <v>42403</v>
      </c>
      <c r="G10585" s="38" t="s">
        <v>15349</v>
      </c>
      <c r="H10585" s="2"/>
      <c r="I10585" s="2"/>
      <c r="J10585" s="2" t="s">
        <v>12550</v>
      </c>
      <c r="K10585" s="113"/>
      <c r="L10585" s="82"/>
      <c r="N10585" s="17"/>
      <c r="O10585" s="17"/>
    </row>
    <row r="10586" spans="1:15" ht="84" customHeight="1" x14ac:dyDescent="0.3">
      <c r="A10586" s="2">
        <v>10584</v>
      </c>
      <c r="B10586" s="105" t="s">
        <v>17036</v>
      </c>
      <c r="C10586" s="105"/>
      <c r="D10586" s="21">
        <v>12956.95</v>
      </c>
      <c r="E10586" s="21">
        <v>12956.95</v>
      </c>
      <c r="F10586" s="26">
        <v>42403</v>
      </c>
      <c r="G10586" s="38" t="s">
        <v>15349</v>
      </c>
      <c r="H10586" s="2"/>
      <c r="I10586" s="2"/>
      <c r="J10586" s="2" t="s">
        <v>12550</v>
      </c>
      <c r="K10586" s="113"/>
      <c r="L10586" s="82"/>
      <c r="N10586" s="17"/>
      <c r="O10586" s="17"/>
    </row>
    <row r="10587" spans="1:15" ht="84" customHeight="1" x14ac:dyDescent="0.3">
      <c r="A10587" s="2">
        <v>10585</v>
      </c>
      <c r="B10587" s="105" t="s">
        <v>17037</v>
      </c>
      <c r="C10587" s="105"/>
      <c r="D10587" s="21">
        <v>12158</v>
      </c>
      <c r="E10587" s="21">
        <v>12158</v>
      </c>
      <c r="F10587" s="26">
        <v>42403</v>
      </c>
      <c r="G10587" s="38" t="s">
        <v>15349</v>
      </c>
      <c r="H10587" s="2"/>
      <c r="I10587" s="2"/>
      <c r="J10587" s="2" t="s">
        <v>12550</v>
      </c>
      <c r="K10587" s="113"/>
      <c r="L10587" s="82"/>
      <c r="N10587" s="17"/>
      <c r="O10587" s="17"/>
    </row>
    <row r="10588" spans="1:15" ht="84" customHeight="1" x14ac:dyDescent="0.3">
      <c r="A10588" s="2">
        <v>10586</v>
      </c>
      <c r="B10588" s="105" t="s">
        <v>17038</v>
      </c>
      <c r="C10588" s="105"/>
      <c r="D10588" s="21">
        <v>12653</v>
      </c>
      <c r="E10588" s="21">
        <v>12653</v>
      </c>
      <c r="F10588" s="26">
        <v>42403</v>
      </c>
      <c r="G10588" s="38" t="s">
        <v>15349</v>
      </c>
      <c r="H10588" s="2"/>
      <c r="I10588" s="2"/>
      <c r="J10588" s="2" t="s">
        <v>12550</v>
      </c>
      <c r="K10588" s="113"/>
      <c r="L10588" s="82"/>
      <c r="N10588" s="17"/>
      <c r="O10588" s="17"/>
    </row>
    <row r="10589" spans="1:15" ht="84" customHeight="1" x14ac:dyDescent="0.3">
      <c r="A10589" s="2">
        <v>10587</v>
      </c>
      <c r="B10589" s="105" t="s">
        <v>17039</v>
      </c>
      <c r="C10589" s="105" t="s">
        <v>16970</v>
      </c>
      <c r="D10589" s="21">
        <v>36861.69</v>
      </c>
      <c r="E10589" s="21">
        <v>0</v>
      </c>
      <c r="F10589" s="26">
        <v>42403</v>
      </c>
      <c r="G10589" s="38" t="s">
        <v>15349</v>
      </c>
      <c r="H10589" s="2"/>
      <c r="I10589" s="2"/>
      <c r="J10589" s="2" t="s">
        <v>12550</v>
      </c>
      <c r="K10589" s="113"/>
      <c r="L10589" s="82"/>
      <c r="N10589" s="17"/>
      <c r="O10589" s="17"/>
    </row>
    <row r="10590" spans="1:15" ht="84" customHeight="1" x14ac:dyDescent="0.3">
      <c r="A10590" s="2">
        <v>10588</v>
      </c>
      <c r="B10590" s="105" t="s">
        <v>17039</v>
      </c>
      <c r="C10590" s="105" t="s">
        <v>16971</v>
      </c>
      <c r="D10590" s="21">
        <v>36861.69</v>
      </c>
      <c r="E10590" s="21">
        <v>0</v>
      </c>
      <c r="F10590" s="26">
        <v>42403</v>
      </c>
      <c r="G10590" s="38" t="s">
        <v>15349</v>
      </c>
      <c r="H10590" s="2"/>
      <c r="I10590" s="2"/>
      <c r="J10590" s="2" t="s">
        <v>12550</v>
      </c>
      <c r="K10590" s="113"/>
      <c r="L10590" s="82"/>
      <c r="N10590" s="17"/>
      <c r="O10590" s="17"/>
    </row>
    <row r="10591" spans="1:15" ht="84" customHeight="1" x14ac:dyDescent="0.3">
      <c r="A10591" s="2">
        <v>10589</v>
      </c>
      <c r="B10591" s="105" t="s">
        <v>17039</v>
      </c>
      <c r="C10591" s="105" t="s">
        <v>16972</v>
      </c>
      <c r="D10591" s="21">
        <v>36861.69</v>
      </c>
      <c r="E10591" s="21">
        <v>0</v>
      </c>
      <c r="F10591" s="26">
        <v>42403</v>
      </c>
      <c r="G10591" s="38" t="s">
        <v>15349</v>
      </c>
      <c r="H10591" s="2"/>
      <c r="I10591" s="2"/>
      <c r="J10591" s="2" t="s">
        <v>12550</v>
      </c>
      <c r="K10591" s="113"/>
      <c r="L10591" s="82"/>
      <c r="N10591" s="17"/>
      <c r="O10591" s="17"/>
    </row>
    <row r="10592" spans="1:15" ht="84" customHeight="1" x14ac:dyDescent="0.3">
      <c r="A10592" s="2">
        <v>10590</v>
      </c>
      <c r="B10592" s="105" t="s">
        <v>17039</v>
      </c>
      <c r="C10592" s="105" t="s">
        <v>16973</v>
      </c>
      <c r="D10592" s="21">
        <v>36861.69</v>
      </c>
      <c r="E10592" s="21">
        <v>0</v>
      </c>
      <c r="F10592" s="26">
        <v>42403</v>
      </c>
      <c r="G10592" s="38" t="s">
        <v>15349</v>
      </c>
      <c r="H10592" s="2"/>
      <c r="I10592" s="2"/>
      <c r="J10592" s="2" t="s">
        <v>12550</v>
      </c>
      <c r="K10592" s="113"/>
      <c r="L10592" s="82"/>
      <c r="N10592" s="17"/>
      <c r="O10592" s="17"/>
    </row>
    <row r="10593" spans="1:15" ht="84" customHeight="1" x14ac:dyDescent="0.3">
      <c r="A10593" s="2">
        <v>10591</v>
      </c>
      <c r="B10593" s="105" t="s">
        <v>17039</v>
      </c>
      <c r="C10593" s="105" t="s">
        <v>16974</v>
      </c>
      <c r="D10593" s="21">
        <v>36861.69</v>
      </c>
      <c r="E10593" s="21">
        <v>0</v>
      </c>
      <c r="F10593" s="26">
        <v>42403</v>
      </c>
      <c r="G10593" s="38" t="s">
        <v>15349</v>
      </c>
      <c r="H10593" s="2"/>
      <c r="I10593" s="2"/>
      <c r="J10593" s="2" t="s">
        <v>12550</v>
      </c>
      <c r="K10593" s="113"/>
      <c r="L10593" s="82"/>
      <c r="N10593" s="17"/>
      <c r="O10593" s="17"/>
    </row>
    <row r="10594" spans="1:15" ht="84" customHeight="1" x14ac:dyDescent="0.3">
      <c r="A10594" s="2">
        <v>10592</v>
      </c>
      <c r="B10594" s="105" t="s">
        <v>17040</v>
      </c>
      <c r="C10594" s="105" t="s">
        <v>16975</v>
      </c>
      <c r="D10594" s="21">
        <v>22373.82</v>
      </c>
      <c r="E10594" s="21">
        <v>0</v>
      </c>
      <c r="F10594" s="26">
        <v>42403</v>
      </c>
      <c r="G10594" s="38" t="s">
        <v>15349</v>
      </c>
      <c r="H10594" s="2"/>
      <c r="I10594" s="2"/>
      <c r="J10594" s="2" t="s">
        <v>12550</v>
      </c>
      <c r="K10594" s="113"/>
      <c r="L10594" s="82"/>
      <c r="N10594" s="17"/>
      <c r="O10594" s="17"/>
    </row>
    <row r="10595" spans="1:15" ht="84" customHeight="1" x14ac:dyDescent="0.3">
      <c r="A10595" s="2">
        <v>10593</v>
      </c>
      <c r="B10595" s="105" t="s">
        <v>17040</v>
      </c>
      <c r="C10595" s="105" t="s">
        <v>16976</v>
      </c>
      <c r="D10595" s="21">
        <v>22373.82</v>
      </c>
      <c r="E10595" s="21">
        <v>0</v>
      </c>
      <c r="F10595" s="26">
        <v>42403</v>
      </c>
      <c r="G10595" s="38" t="s">
        <v>15349</v>
      </c>
      <c r="H10595" s="2"/>
      <c r="I10595" s="2"/>
      <c r="J10595" s="2" t="s">
        <v>12550</v>
      </c>
      <c r="K10595" s="113"/>
      <c r="L10595" s="82"/>
      <c r="N10595" s="17"/>
      <c r="O10595" s="17"/>
    </row>
    <row r="10596" spans="1:15" ht="84" customHeight="1" x14ac:dyDescent="0.3">
      <c r="A10596" s="2">
        <v>10594</v>
      </c>
      <c r="B10596" s="105" t="s">
        <v>17040</v>
      </c>
      <c r="C10596" s="105" t="s">
        <v>16977</v>
      </c>
      <c r="D10596" s="21">
        <v>22373.82</v>
      </c>
      <c r="E10596" s="21">
        <v>0</v>
      </c>
      <c r="F10596" s="26">
        <v>42403</v>
      </c>
      <c r="G10596" s="38" t="s">
        <v>15349</v>
      </c>
      <c r="H10596" s="2"/>
      <c r="I10596" s="2"/>
      <c r="J10596" s="2" t="s">
        <v>12550</v>
      </c>
      <c r="K10596" s="113"/>
      <c r="L10596" s="82"/>
      <c r="N10596" s="17"/>
      <c r="O10596" s="17"/>
    </row>
    <row r="10597" spans="1:15" ht="84" customHeight="1" x14ac:dyDescent="0.3">
      <c r="A10597" s="2">
        <v>10595</v>
      </c>
      <c r="B10597" s="105" t="s">
        <v>17040</v>
      </c>
      <c r="C10597" s="105" t="s">
        <v>16978</v>
      </c>
      <c r="D10597" s="21">
        <v>22373.82</v>
      </c>
      <c r="E10597" s="21">
        <v>0</v>
      </c>
      <c r="F10597" s="26">
        <v>42403</v>
      </c>
      <c r="G10597" s="38" t="s">
        <v>15349</v>
      </c>
      <c r="H10597" s="2"/>
      <c r="I10597" s="2"/>
      <c r="J10597" s="2" t="s">
        <v>12550</v>
      </c>
      <c r="K10597" s="113"/>
      <c r="L10597" s="82"/>
      <c r="N10597" s="17"/>
      <c r="O10597" s="17"/>
    </row>
    <row r="10598" spans="1:15" ht="84" customHeight="1" x14ac:dyDescent="0.3">
      <c r="A10598" s="2">
        <v>10596</v>
      </c>
      <c r="B10598" s="105" t="s">
        <v>17040</v>
      </c>
      <c r="C10598" s="105" t="s">
        <v>16979</v>
      </c>
      <c r="D10598" s="21">
        <v>22373.82</v>
      </c>
      <c r="E10598" s="21">
        <v>0</v>
      </c>
      <c r="F10598" s="26">
        <v>42403</v>
      </c>
      <c r="G10598" s="38" t="s">
        <v>15349</v>
      </c>
      <c r="H10598" s="2"/>
      <c r="I10598" s="2"/>
      <c r="J10598" s="2" t="s">
        <v>12550</v>
      </c>
      <c r="K10598" s="113"/>
      <c r="L10598" s="82"/>
      <c r="N10598" s="17"/>
      <c r="O10598" s="17"/>
    </row>
    <row r="10599" spans="1:15" ht="84" customHeight="1" x14ac:dyDescent="0.3">
      <c r="A10599" s="2">
        <v>10597</v>
      </c>
      <c r="B10599" s="105" t="s">
        <v>17040</v>
      </c>
      <c r="C10599" s="105" t="s">
        <v>16980</v>
      </c>
      <c r="D10599" s="21">
        <v>22373.82</v>
      </c>
      <c r="E10599" s="21">
        <v>0</v>
      </c>
      <c r="F10599" s="26">
        <v>42403</v>
      </c>
      <c r="G10599" s="38" t="s">
        <v>15349</v>
      </c>
      <c r="H10599" s="2"/>
      <c r="I10599" s="2"/>
      <c r="J10599" s="2" t="s">
        <v>12550</v>
      </c>
      <c r="K10599" s="113"/>
      <c r="L10599" s="82"/>
      <c r="N10599" s="17"/>
      <c r="O10599" s="17"/>
    </row>
    <row r="10600" spans="1:15" ht="84" customHeight="1" x14ac:dyDescent="0.3">
      <c r="A10600" s="2">
        <v>10598</v>
      </c>
      <c r="B10600" s="105" t="s">
        <v>17040</v>
      </c>
      <c r="C10600" s="105" t="s">
        <v>16981</v>
      </c>
      <c r="D10600" s="21">
        <v>22373.82</v>
      </c>
      <c r="E10600" s="21">
        <v>0</v>
      </c>
      <c r="F10600" s="26">
        <v>42403</v>
      </c>
      <c r="G10600" s="38" t="s">
        <v>15349</v>
      </c>
      <c r="H10600" s="2"/>
      <c r="I10600" s="2"/>
      <c r="J10600" s="2" t="s">
        <v>12550</v>
      </c>
      <c r="K10600" s="113"/>
      <c r="L10600" s="82"/>
      <c r="N10600" s="17"/>
      <c r="O10600" s="17"/>
    </row>
    <row r="10601" spans="1:15" ht="84" customHeight="1" x14ac:dyDescent="0.3">
      <c r="A10601" s="2">
        <v>10599</v>
      </c>
      <c r="B10601" s="105" t="s">
        <v>17040</v>
      </c>
      <c r="C10601" s="105" t="s">
        <v>16982</v>
      </c>
      <c r="D10601" s="21">
        <v>22373.82</v>
      </c>
      <c r="E10601" s="21">
        <v>0</v>
      </c>
      <c r="F10601" s="26">
        <v>42403</v>
      </c>
      <c r="G10601" s="38" t="s">
        <v>15349</v>
      </c>
      <c r="H10601" s="2"/>
      <c r="I10601" s="2"/>
      <c r="J10601" s="2" t="s">
        <v>12550</v>
      </c>
      <c r="K10601" s="113"/>
      <c r="L10601" s="82"/>
      <c r="N10601" s="17"/>
      <c r="O10601" s="17"/>
    </row>
    <row r="10602" spans="1:15" ht="84" customHeight="1" x14ac:dyDescent="0.3">
      <c r="A10602" s="2">
        <v>10600</v>
      </c>
      <c r="B10602" s="105" t="s">
        <v>17040</v>
      </c>
      <c r="C10602" s="105" t="s">
        <v>16983</v>
      </c>
      <c r="D10602" s="21">
        <v>22373.82</v>
      </c>
      <c r="E10602" s="21">
        <v>0</v>
      </c>
      <c r="F10602" s="26">
        <v>42403</v>
      </c>
      <c r="G10602" s="38" t="s">
        <v>15349</v>
      </c>
      <c r="H10602" s="2"/>
      <c r="I10602" s="2"/>
      <c r="J10602" s="2" t="s">
        <v>12550</v>
      </c>
      <c r="K10602" s="113"/>
      <c r="L10602" s="82"/>
      <c r="N10602" s="17"/>
      <c r="O10602" s="17"/>
    </row>
    <row r="10603" spans="1:15" ht="84" customHeight="1" x14ac:dyDescent="0.3">
      <c r="A10603" s="2">
        <v>10601</v>
      </c>
      <c r="B10603" s="105" t="s">
        <v>17040</v>
      </c>
      <c r="C10603" s="105" t="s">
        <v>16984</v>
      </c>
      <c r="D10603" s="21">
        <v>22373.81</v>
      </c>
      <c r="E10603" s="21">
        <v>0</v>
      </c>
      <c r="F10603" s="26">
        <v>42403</v>
      </c>
      <c r="G10603" s="38" t="s">
        <v>15349</v>
      </c>
      <c r="H10603" s="2"/>
      <c r="I10603" s="2"/>
      <c r="J10603" s="2" t="s">
        <v>12550</v>
      </c>
      <c r="K10603" s="113"/>
      <c r="L10603" s="82"/>
      <c r="N10603" s="17"/>
      <c r="O10603" s="17"/>
    </row>
    <row r="10604" spans="1:15" ht="84" customHeight="1" x14ac:dyDescent="0.3">
      <c r="A10604" s="2">
        <v>10602</v>
      </c>
      <c r="B10604" s="105" t="s">
        <v>16985</v>
      </c>
      <c r="C10604" s="105"/>
      <c r="D10604" s="21">
        <v>51334</v>
      </c>
      <c r="E10604" s="21">
        <v>0</v>
      </c>
      <c r="F10604" s="26">
        <v>42403</v>
      </c>
      <c r="G10604" s="38" t="s">
        <v>15349</v>
      </c>
      <c r="H10604" s="2"/>
      <c r="I10604" s="2"/>
      <c r="J10604" s="2" t="s">
        <v>12550</v>
      </c>
      <c r="K10604" s="113"/>
      <c r="L10604" s="82"/>
      <c r="N10604" s="17"/>
      <c r="O10604" s="17"/>
    </row>
    <row r="10605" spans="1:15" ht="84" customHeight="1" x14ac:dyDescent="0.3">
      <c r="A10605" s="2">
        <v>10603</v>
      </c>
      <c r="B10605" s="105" t="s">
        <v>17041</v>
      </c>
      <c r="C10605" s="105"/>
      <c r="D10605" s="21">
        <v>1067732.8</v>
      </c>
      <c r="E10605" s="21">
        <v>0</v>
      </c>
      <c r="F10605" s="26">
        <v>42403</v>
      </c>
      <c r="G10605" s="38" t="s">
        <v>15349</v>
      </c>
      <c r="H10605" s="2"/>
      <c r="I10605" s="2"/>
      <c r="J10605" s="2" t="s">
        <v>12550</v>
      </c>
      <c r="K10605" s="113"/>
      <c r="L10605" s="82"/>
      <c r="N10605" s="17"/>
      <c r="O10605" s="17"/>
    </row>
    <row r="10606" spans="1:15" ht="84" customHeight="1" x14ac:dyDescent="0.3">
      <c r="A10606" s="2">
        <v>10604</v>
      </c>
      <c r="B10606" s="105" t="s">
        <v>16968</v>
      </c>
      <c r="C10606" s="105"/>
      <c r="D10606" s="21">
        <v>25187.32</v>
      </c>
      <c r="E10606" s="21">
        <v>25187.32</v>
      </c>
      <c r="F10606" s="26">
        <v>42403</v>
      </c>
      <c r="G10606" s="38" t="s">
        <v>15349</v>
      </c>
      <c r="H10606" s="2"/>
      <c r="I10606" s="2"/>
      <c r="J10606" s="2" t="s">
        <v>12550</v>
      </c>
      <c r="K10606" s="113"/>
      <c r="L10606" s="82"/>
      <c r="N10606" s="17"/>
      <c r="O10606" s="17"/>
    </row>
    <row r="10607" spans="1:15" ht="84" customHeight="1" x14ac:dyDescent="0.3">
      <c r="A10607" s="2">
        <v>10605</v>
      </c>
      <c r="B10607" s="105" t="s">
        <v>17042</v>
      </c>
      <c r="C10607" s="105"/>
      <c r="D10607" s="21">
        <v>27445.8</v>
      </c>
      <c r="E10607" s="21">
        <v>27445.8</v>
      </c>
      <c r="F10607" s="26">
        <v>42403</v>
      </c>
      <c r="G10607" s="38" t="s">
        <v>15349</v>
      </c>
      <c r="H10607" s="2"/>
      <c r="I10607" s="2"/>
      <c r="J10607" s="2" t="s">
        <v>12550</v>
      </c>
      <c r="K10607" s="113"/>
      <c r="L10607" s="82"/>
      <c r="N10607" s="17"/>
      <c r="O10607" s="17"/>
    </row>
    <row r="10608" spans="1:15" ht="84" customHeight="1" x14ac:dyDescent="0.3">
      <c r="A10608" s="2">
        <v>10606</v>
      </c>
      <c r="B10608" s="105" t="s">
        <v>17043</v>
      </c>
      <c r="C10608" s="105"/>
      <c r="D10608" s="21">
        <v>13910.34</v>
      </c>
      <c r="E10608" s="21">
        <v>13910.34</v>
      </c>
      <c r="F10608" s="26">
        <v>42403</v>
      </c>
      <c r="G10608" s="38" t="s">
        <v>15349</v>
      </c>
      <c r="H10608" s="2"/>
      <c r="I10608" s="2"/>
      <c r="J10608" s="2" t="s">
        <v>12550</v>
      </c>
      <c r="K10608" s="113"/>
      <c r="L10608" s="82"/>
      <c r="N10608" s="17"/>
      <c r="O10608" s="17"/>
    </row>
    <row r="10609" spans="1:15" ht="84" customHeight="1" x14ac:dyDescent="0.3">
      <c r="A10609" s="2">
        <v>10607</v>
      </c>
      <c r="B10609" s="105" t="s">
        <v>17045</v>
      </c>
      <c r="C10609" s="105"/>
      <c r="D10609" s="21">
        <v>4095.06</v>
      </c>
      <c r="E10609" s="21">
        <v>4095.06</v>
      </c>
      <c r="F10609" s="26">
        <v>42403</v>
      </c>
      <c r="G10609" s="38" t="s">
        <v>15349</v>
      </c>
      <c r="H10609" s="2"/>
      <c r="I10609" s="2"/>
      <c r="J10609" s="2" t="s">
        <v>12550</v>
      </c>
      <c r="K10609" s="113"/>
      <c r="L10609" s="82"/>
      <c r="N10609" s="17"/>
      <c r="O10609" s="17"/>
    </row>
    <row r="10610" spans="1:15" ht="84" customHeight="1" x14ac:dyDescent="0.3">
      <c r="A10610" s="2">
        <v>10608</v>
      </c>
      <c r="B10610" s="105" t="s">
        <v>17046</v>
      </c>
      <c r="C10610" s="105"/>
      <c r="D10610" s="21">
        <v>7984</v>
      </c>
      <c r="E10610" s="21">
        <v>7984</v>
      </c>
      <c r="F10610" s="26">
        <v>42403</v>
      </c>
      <c r="G10610" s="38" t="s">
        <v>15349</v>
      </c>
      <c r="H10610" s="2"/>
      <c r="I10610" s="2"/>
      <c r="J10610" s="2" t="s">
        <v>12550</v>
      </c>
      <c r="K10610" s="113"/>
      <c r="L10610" s="82"/>
      <c r="N10610" s="17"/>
      <c r="O10610" s="17"/>
    </row>
    <row r="10611" spans="1:15" ht="84" customHeight="1" x14ac:dyDescent="0.3">
      <c r="A10611" s="2">
        <v>10609</v>
      </c>
      <c r="B10611" s="105" t="s">
        <v>17044</v>
      </c>
      <c r="C10611" s="105"/>
      <c r="D10611" s="21">
        <v>41493.360000000001</v>
      </c>
      <c r="E10611" s="21">
        <v>41493.360000000001</v>
      </c>
      <c r="F10611" s="26">
        <v>42403</v>
      </c>
      <c r="G10611" s="38" t="s">
        <v>15349</v>
      </c>
      <c r="H10611" s="2"/>
      <c r="I10611" s="2"/>
      <c r="J10611" s="2" t="s">
        <v>12550</v>
      </c>
      <c r="K10611" s="113"/>
      <c r="L10611" s="82"/>
      <c r="N10611" s="17"/>
      <c r="O10611" s="17"/>
    </row>
    <row r="10612" spans="1:15" ht="84" customHeight="1" x14ac:dyDescent="0.3">
      <c r="A10612" s="2">
        <v>10610</v>
      </c>
      <c r="B10612" s="105" t="s">
        <v>17047</v>
      </c>
      <c r="C10612" s="105"/>
      <c r="D10612" s="21">
        <v>11182</v>
      </c>
      <c r="E10612" s="21">
        <v>11182</v>
      </c>
      <c r="F10612" s="26">
        <v>42403</v>
      </c>
      <c r="G10612" s="38" t="s">
        <v>15349</v>
      </c>
      <c r="H10612" s="2"/>
      <c r="I10612" s="2"/>
      <c r="J10612" s="2" t="s">
        <v>12550</v>
      </c>
      <c r="K10612" s="113"/>
      <c r="L10612" s="82"/>
      <c r="N10612" s="17"/>
      <c r="O10612" s="17"/>
    </row>
    <row r="10613" spans="1:15" ht="84" customHeight="1" x14ac:dyDescent="0.3">
      <c r="A10613" s="2">
        <v>10611</v>
      </c>
      <c r="B10613" s="105" t="s">
        <v>17048</v>
      </c>
      <c r="C10613" s="105"/>
      <c r="D10613" s="21">
        <v>138725.48000000001</v>
      </c>
      <c r="E10613" s="21">
        <v>0</v>
      </c>
      <c r="F10613" s="26">
        <v>42403</v>
      </c>
      <c r="G10613" s="38" t="s">
        <v>15349</v>
      </c>
      <c r="H10613" s="2"/>
      <c r="I10613" s="2"/>
      <c r="J10613" s="2" t="s">
        <v>12550</v>
      </c>
      <c r="K10613" s="113"/>
      <c r="L10613" s="82"/>
      <c r="N10613" s="17"/>
      <c r="O10613" s="17"/>
    </row>
    <row r="10614" spans="1:15" ht="84" customHeight="1" x14ac:dyDescent="0.3">
      <c r="A10614" s="2">
        <v>10612</v>
      </c>
      <c r="B10614" s="105" t="s">
        <v>17049</v>
      </c>
      <c r="C10614" s="105"/>
      <c r="D10614" s="21">
        <v>43931.4</v>
      </c>
      <c r="E10614" s="21">
        <v>43931.4</v>
      </c>
      <c r="F10614" s="26">
        <v>42403</v>
      </c>
      <c r="G10614" s="38" t="s">
        <v>15349</v>
      </c>
      <c r="H10614" s="2"/>
      <c r="I10614" s="2"/>
      <c r="J10614" s="2" t="s">
        <v>12550</v>
      </c>
      <c r="K10614" s="113"/>
      <c r="L10614" s="82"/>
      <c r="N10614" s="17"/>
      <c r="O10614" s="17"/>
    </row>
    <row r="10615" spans="1:15" ht="84" customHeight="1" x14ac:dyDescent="0.3">
      <c r="A10615" s="2">
        <v>10613</v>
      </c>
      <c r="B10615" s="105" t="s">
        <v>16986</v>
      </c>
      <c r="C10615" s="105"/>
      <c r="D10615" s="21">
        <v>1191486</v>
      </c>
      <c r="E10615" s="21">
        <v>190638</v>
      </c>
      <c r="F10615" s="26">
        <v>42403</v>
      </c>
      <c r="G10615" s="38" t="s">
        <v>15349</v>
      </c>
      <c r="H10615" s="2"/>
      <c r="I10615" s="2"/>
      <c r="J10615" s="2" t="s">
        <v>12550</v>
      </c>
      <c r="K10615" s="246" t="s">
        <v>23511</v>
      </c>
      <c r="L10615" s="82"/>
      <c r="N10615" s="17"/>
      <c r="O10615" s="17"/>
    </row>
    <row r="10616" spans="1:15" ht="84" customHeight="1" x14ac:dyDescent="0.3">
      <c r="A10616" s="2">
        <v>10614</v>
      </c>
      <c r="B10616" s="105" t="s">
        <v>16987</v>
      </c>
      <c r="C10616" s="105"/>
      <c r="D10616" s="21">
        <v>1684765</v>
      </c>
      <c r="E10616" s="21">
        <v>323475</v>
      </c>
      <c r="F10616" s="26">
        <v>42403</v>
      </c>
      <c r="G10616" s="38" t="s">
        <v>15349</v>
      </c>
      <c r="H10616" s="2"/>
      <c r="I10616" s="2"/>
      <c r="J10616" s="2" t="s">
        <v>12550</v>
      </c>
      <c r="K10616" s="113"/>
      <c r="L10616" s="82"/>
      <c r="N10616" s="17"/>
      <c r="O10616" s="17"/>
    </row>
    <row r="10617" spans="1:15" ht="84" customHeight="1" x14ac:dyDescent="0.3">
      <c r="A10617" s="2">
        <v>10615</v>
      </c>
      <c r="B10617" s="105" t="s">
        <v>17050</v>
      </c>
      <c r="C10617" s="105"/>
      <c r="D10617" s="21">
        <v>58240.82</v>
      </c>
      <c r="E10617" s="21">
        <v>0</v>
      </c>
      <c r="F10617" s="26">
        <v>42403</v>
      </c>
      <c r="G10617" s="38" t="s">
        <v>15349</v>
      </c>
      <c r="H10617" s="2"/>
      <c r="I10617" s="2"/>
      <c r="J10617" s="2" t="s">
        <v>12550</v>
      </c>
      <c r="K10617" s="113"/>
      <c r="L10617" s="82"/>
      <c r="N10617" s="17"/>
      <c r="O10617" s="17"/>
    </row>
    <row r="10618" spans="1:15" ht="84" customHeight="1" x14ac:dyDescent="0.3">
      <c r="A10618" s="2">
        <v>10616</v>
      </c>
      <c r="B10618" s="105" t="s">
        <v>17051</v>
      </c>
      <c r="C10618" s="105"/>
      <c r="D10618" s="21">
        <v>61600</v>
      </c>
      <c r="E10618" s="21">
        <v>61600</v>
      </c>
      <c r="F10618" s="26">
        <v>42403</v>
      </c>
      <c r="G10618" s="38" t="s">
        <v>15349</v>
      </c>
      <c r="H10618" s="2"/>
      <c r="I10618" s="2"/>
      <c r="J10618" s="2" t="s">
        <v>12550</v>
      </c>
      <c r="K10618" s="113"/>
      <c r="L10618" s="82"/>
      <c r="N10618" s="17"/>
      <c r="O10618" s="17"/>
    </row>
    <row r="10619" spans="1:15" ht="84" customHeight="1" x14ac:dyDescent="0.3">
      <c r="A10619" s="2">
        <v>10617</v>
      </c>
      <c r="B10619" s="105" t="s">
        <v>17052</v>
      </c>
      <c r="C10619" s="105"/>
      <c r="D10619" s="21">
        <v>3773.8</v>
      </c>
      <c r="E10619" s="21">
        <v>0</v>
      </c>
      <c r="F10619" s="26">
        <v>42403</v>
      </c>
      <c r="G10619" s="38" t="s">
        <v>15349</v>
      </c>
      <c r="H10619" s="2"/>
      <c r="I10619" s="2"/>
      <c r="J10619" s="2" t="s">
        <v>12550</v>
      </c>
      <c r="K10619" s="113"/>
      <c r="L10619" s="82"/>
      <c r="N10619" s="17"/>
      <c r="O10619" s="17"/>
    </row>
    <row r="10620" spans="1:15" ht="84" customHeight="1" x14ac:dyDescent="0.3">
      <c r="A10620" s="2">
        <v>10618</v>
      </c>
      <c r="B10620" s="105" t="s">
        <v>17053</v>
      </c>
      <c r="C10620" s="105"/>
      <c r="D10620" s="21">
        <v>5130.3500000000004</v>
      </c>
      <c r="E10620" s="21">
        <v>0</v>
      </c>
      <c r="F10620" s="26">
        <v>42403</v>
      </c>
      <c r="G10620" s="38" t="s">
        <v>15349</v>
      </c>
      <c r="H10620" s="2"/>
      <c r="I10620" s="2"/>
      <c r="J10620" s="2" t="s">
        <v>12550</v>
      </c>
      <c r="K10620" s="113"/>
      <c r="L10620" s="82"/>
      <c r="N10620" s="17"/>
      <c r="O10620" s="17"/>
    </row>
    <row r="10621" spans="1:15" ht="84" customHeight="1" x14ac:dyDescent="0.3">
      <c r="A10621" s="2">
        <v>10619</v>
      </c>
      <c r="B10621" s="105" t="s">
        <v>17054</v>
      </c>
      <c r="C10621" s="105"/>
      <c r="D10621" s="21">
        <v>6840.47</v>
      </c>
      <c r="E10621" s="21">
        <v>0</v>
      </c>
      <c r="F10621" s="26">
        <v>42403</v>
      </c>
      <c r="G10621" s="38" t="s">
        <v>15349</v>
      </c>
      <c r="H10621" s="2"/>
      <c r="I10621" s="2"/>
      <c r="J10621" s="2" t="s">
        <v>12550</v>
      </c>
      <c r="K10621" s="113"/>
      <c r="L10621" s="82"/>
      <c r="N10621" s="17"/>
      <c r="O10621" s="17"/>
    </row>
    <row r="10622" spans="1:15" ht="84" customHeight="1" x14ac:dyDescent="0.3">
      <c r="A10622" s="2">
        <v>10620</v>
      </c>
      <c r="B10622" s="105" t="s">
        <v>17055</v>
      </c>
      <c r="C10622" s="105"/>
      <c r="D10622" s="21">
        <v>1293</v>
      </c>
      <c r="E10622" s="21">
        <v>0</v>
      </c>
      <c r="F10622" s="26">
        <v>42403</v>
      </c>
      <c r="G10622" s="38" t="s">
        <v>15349</v>
      </c>
      <c r="H10622" s="2"/>
      <c r="I10622" s="2"/>
      <c r="J10622" s="2" t="s">
        <v>12550</v>
      </c>
      <c r="K10622" s="113"/>
      <c r="L10622" s="82"/>
      <c r="N10622" s="17"/>
      <c r="O10622" s="17"/>
    </row>
    <row r="10623" spans="1:15" ht="84" customHeight="1" x14ac:dyDescent="0.3">
      <c r="A10623" s="2">
        <v>10621</v>
      </c>
      <c r="B10623" s="105" t="s">
        <v>17056</v>
      </c>
      <c r="C10623" s="105"/>
      <c r="D10623" s="21">
        <v>16200</v>
      </c>
      <c r="E10623" s="21">
        <v>3240</v>
      </c>
      <c r="F10623" s="26">
        <v>42403</v>
      </c>
      <c r="G10623" s="38" t="s">
        <v>15349</v>
      </c>
      <c r="H10623" s="2"/>
      <c r="I10623" s="2"/>
      <c r="J10623" s="2" t="s">
        <v>12550</v>
      </c>
      <c r="K10623" s="113"/>
      <c r="L10623" s="82"/>
      <c r="N10623" s="17"/>
      <c r="O10623" s="17"/>
    </row>
    <row r="10624" spans="1:15" ht="84" customHeight="1" x14ac:dyDescent="0.3">
      <c r="A10624" s="2">
        <v>10622</v>
      </c>
      <c r="B10624" s="105" t="s">
        <v>17057</v>
      </c>
      <c r="C10624" s="105" t="s">
        <v>17058</v>
      </c>
      <c r="D10624" s="21">
        <v>50388</v>
      </c>
      <c r="E10624" s="21">
        <v>20155.22</v>
      </c>
      <c r="F10624" s="26">
        <v>42403</v>
      </c>
      <c r="G10624" s="38" t="s">
        <v>15349</v>
      </c>
      <c r="H10624" s="2"/>
      <c r="I10624" s="2"/>
      <c r="J10624" s="2" t="s">
        <v>12550</v>
      </c>
      <c r="K10624" s="113"/>
      <c r="L10624" s="82"/>
      <c r="N10624" s="17"/>
      <c r="O10624" s="17"/>
    </row>
    <row r="10625" spans="1:15" ht="84" customHeight="1" x14ac:dyDescent="0.3">
      <c r="A10625" s="2">
        <v>10623</v>
      </c>
      <c r="B10625" s="105" t="s">
        <v>17059</v>
      </c>
      <c r="C10625" s="105" t="s">
        <v>17060</v>
      </c>
      <c r="D10625" s="21">
        <v>50000</v>
      </c>
      <c r="E10625" s="21">
        <v>50000</v>
      </c>
      <c r="F10625" s="26">
        <v>42403</v>
      </c>
      <c r="G10625" s="38" t="s">
        <v>15349</v>
      </c>
      <c r="H10625" s="2"/>
      <c r="I10625" s="2"/>
      <c r="J10625" s="2" t="s">
        <v>12550</v>
      </c>
      <c r="K10625" s="113"/>
      <c r="L10625" s="82"/>
      <c r="N10625" s="17"/>
      <c r="O10625" s="17"/>
    </row>
    <row r="10626" spans="1:15" ht="84" customHeight="1" x14ac:dyDescent="0.3">
      <c r="A10626" s="2">
        <v>10624</v>
      </c>
      <c r="B10626" s="105" t="s">
        <v>17061</v>
      </c>
      <c r="C10626" s="105" t="s">
        <v>16988</v>
      </c>
      <c r="D10626" s="21">
        <v>160160</v>
      </c>
      <c r="E10626" s="21">
        <v>0</v>
      </c>
      <c r="F10626" s="26">
        <v>42403</v>
      </c>
      <c r="G10626" s="38" t="s">
        <v>15349</v>
      </c>
      <c r="H10626" s="2"/>
      <c r="I10626" s="2"/>
      <c r="J10626" s="2" t="s">
        <v>12550</v>
      </c>
      <c r="K10626" s="113"/>
      <c r="L10626" s="82"/>
      <c r="N10626" s="17"/>
      <c r="O10626" s="17"/>
    </row>
    <row r="10627" spans="1:15" ht="84" customHeight="1" x14ac:dyDescent="0.3">
      <c r="A10627" s="2">
        <v>10625</v>
      </c>
      <c r="B10627" s="105" t="s">
        <v>17063</v>
      </c>
      <c r="C10627" s="105" t="s">
        <v>17062</v>
      </c>
      <c r="D10627" s="21">
        <v>27955</v>
      </c>
      <c r="E10627" s="21">
        <v>27955</v>
      </c>
      <c r="F10627" s="26">
        <v>42403</v>
      </c>
      <c r="G10627" s="38" t="s">
        <v>15349</v>
      </c>
      <c r="H10627" s="2"/>
      <c r="I10627" s="2"/>
      <c r="J10627" s="2" t="s">
        <v>12550</v>
      </c>
      <c r="K10627" s="113"/>
      <c r="L10627" s="82"/>
      <c r="N10627" s="17"/>
      <c r="O10627" s="17"/>
    </row>
    <row r="10628" spans="1:15" ht="84" customHeight="1" x14ac:dyDescent="0.3">
      <c r="A10628" s="2">
        <v>10626</v>
      </c>
      <c r="B10628" s="105" t="s">
        <v>17065</v>
      </c>
      <c r="C10628" s="105" t="s">
        <v>17064</v>
      </c>
      <c r="D10628" s="21">
        <v>42224</v>
      </c>
      <c r="E10628" s="21">
        <v>0</v>
      </c>
      <c r="F10628" s="26">
        <v>42403</v>
      </c>
      <c r="G10628" s="38" t="s">
        <v>15349</v>
      </c>
      <c r="H10628" s="2"/>
      <c r="I10628" s="2"/>
      <c r="J10628" s="2" t="s">
        <v>12550</v>
      </c>
      <c r="K10628" s="113"/>
      <c r="L10628" s="82"/>
      <c r="N10628" s="17"/>
      <c r="O10628" s="17"/>
    </row>
    <row r="10629" spans="1:15" ht="84" customHeight="1" x14ac:dyDescent="0.3">
      <c r="A10629" s="2">
        <v>10627</v>
      </c>
      <c r="B10629" s="105" t="s">
        <v>17066</v>
      </c>
      <c r="C10629" s="105" t="s">
        <v>16989</v>
      </c>
      <c r="D10629" s="21">
        <v>16118</v>
      </c>
      <c r="E10629" s="21">
        <v>16118</v>
      </c>
      <c r="F10629" s="26">
        <v>42403</v>
      </c>
      <c r="G10629" s="38" t="s">
        <v>15349</v>
      </c>
      <c r="H10629" s="2"/>
      <c r="I10629" s="2"/>
      <c r="J10629" s="2" t="s">
        <v>12550</v>
      </c>
      <c r="K10629" s="113"/>
      <c r="L10629" s="82"/>
      <c r="N10629" s="17"/>
      <c r="O10629" s="17"/>
    </row>
    <row r="10630" spans="1:15" ht="84" customHeight="1" x14ac:dyDescent="0.3">
      <c r="A10630" s="2">
        <v>10628</v>
      </c>
      <c r="B10630" s="105" t="s">
        <v>17067</v>
      </c>
      <c r="C10630" s="105" t="s">
        <v>16990</v>
      </c>
      <c r="D10630" s="21">
        <v>18127</v>
      </c>
      <c r="E10630" s="21">
        <v>18127</v>
      </c>
      <c r="F10630" s="26">
        <v>42403</v>
      </c>
      <c r="G10630" s="38" t="s">
        <v>15349</v>
      </c>
      <c r="H10630" s="2"/>
      <c r="I10630" s="2"/>
      <c r="J10630" s="2" t="s">
        <v>12550</v>
      </c>
      <c r="K10630" s="113"/>
      <c r="L10630" s="82"/>
      <c r="N10630" s="17"/>
      <c r="O10630" s="17"/>
    </row>
    <row r="10631" spans="1:15" ht="84" customHeight="1" x14ac:dyDescent="0.3">
      <c r="A10631" s="2">
        <v>10629</v>
      </c>
      <c r="B10631" s="105" t="s">
        <v>17036</v>
      </c>
      <c r="C10631" s="105" t="s">
        <v>16991</v>
      </c>
      <c r="D10631" s="21">
        <v>12653</v>
      </c>
      <c r="E10631" s="21">
        <v>12653</v>
      </c>
      <c r="F10631" s="26">
        <v>42403</v>
      </c>
      <c r="G10631" s="38" t="s">
        <v>15349</v>
      </c>
      <c r="H10631" s="2"/>
      <c r="I10631" s="2"/>
      <c r="J10631" s="2" t="s">
        <v>12550</v>
      </c>
      <c r="K10631" s="113"/>
      <c r="L10631" s="82"/>
      <c r="N10631" s="17"/>
      <c r="O10631" s="17"/>
    </row>
    <row r="10632" spans="1:15" ht="84" customHeight="1" x14ac:dyDescent="0.3">
      <c r="A10632" s="2">
        <v>10630</v>
      </c>
      <c r="B10632" s="105" t="s">
        <v>17068</v>
      </c>
      <c r="C10632" s="105" t="s">
        <v>17069</v>
      </c>
      <c r="D10632" s="21">
        <v>24905</v>
      </c>
      <c r="E10632" s="21">
        <v>24905</v>
      </c>
      <c r="F10632" s="26">
        <v>42403</v>
      </c>
      <c r="G10632" s="38" t="s">
        <v>15349</v>
      </c>
      <c r="H10632" s="2"/>
      <c r="I10632" s="2"/>
      <c r="J10632" s="2" t="s">
        <v>12550</v>
      </c>
      <c r="K10632" s="113"/>
      <c r="L10632" s="82"/>
      <c r="N10632" s="17"/>
      <c r="O10632" s="17"/>
    </row>
    <row r="10633" spans="1:15" ht="84" customHeight="1" x14ac:dyDescent="0.3">
      <c r="A10633" s="2">
        <v>10631</v>
      </c>
      <c r="B10633" s="105" t="s">
        <v>17070</v>
      </c>
      <c r="C10633" s="105" t="s">
        <v>16992</v>
      </c>
      <c r="D10633" s="21">
        <v>85904</v>
      </c>
      <c r="E10633" s="21">
        <v>0</v>
      </c>
      <c r="F10633" s="26">
        <v>42403</v>
      </c>
      <c r="G10633" s="38" t="s">
        <v>15349</v>
      </c>
      <c r="H10633" s="2"/>
      <c r="I10633" s="2"/>
      <c r="J10633" s="2" t="s">
        <v>12550</v>
      </c>
      <c r="K10633" s="113"/>
      <c r="L10633" s="82"/>
      <c r="N10633" s="17"/>
      <c r="O10633" s="17"/>
    </row>
    <row r="10634" spans="1:15" ht="84" customHeight="1" x14ac:dyDescent="0.3">
      <c r="A10634" s="2">
        <v>10632</v>
      </c>
      <c r="B10634" s="106" t="s">
        <v>17072</v>
      </c>
      <c r="C10634" s="106" t="s">
        <v>17071</v>
      </c>
      <c r="D10634" s="11">
        <v>251854.92</v>
      </c>
      <c r="E10634" s="11">
        <v>251854.92</v>
      </c>
      <c r="F10634" s="26">
        <v>42403</v>
      </c>
      <c r="G10634" s="38" t="s">
        <v>15349</v>
      </c>
      <c r="H10634" s="2"/>
      <c r="I10634" s="2"/>
      <c r="J10634" s="2" t="s">
        <v>12550</v>
      </c>
      <c r="K10634" s="2"/>
      <c r="L10634" s="82"/>
    </row>
    <row r="10635" spans="1:15" ht="84" customHeight="1" x14ac:dyDescent="0.3">
      <c r="A10635" s="2">
        <v>10633</v>
      </c>
      <c r="B10635" s="106" t="s">
        <v>17073</v>
      </c>
      <c r="C10635" s="106" t="s">
        <v>17074</v>
      </c>
      <c r="D10635" s="11">
        <v>47100</v>
      </c>
      <c r="E10635" s="11">
        <v>47100</v>
      </c>
      <c r="F10635" s="26">
        <v>42403</v>
      </c>
      <c r="G10635" s="38" t="s">
        <v>15349</v>
      </c>
      <c r="H10635" s="2"/>
      <c r="I10635" s="2"/>
      <c r="J10635" s="2" t="s">
        <v>12550</v>
      </c>
      <c r="K10635" s="2"/>
      <c r="L10635" s="82"/>
    </row>
    <row r="10636" spans="1:15" ht="84" customHeight="1" x14ac:dyDescent="0.3">
      <c r="A10636" s="2">
        <v>10634</v>
      </c>
      <c r="B10636" s="106" t="s">
        <v>17075</v>
      </c>
      <c r="C10636" s="66" t="s">
        <v>17076</v>
      </c>
      <c r="D10636" s="20">
        <v>72000</v>
      </c>
      <c r="E10636" s="20">
        <v>72000</v>
      </c>
      <c r="F10636" s="26">
        <v>42403</v>
      </c>
      <c r="G10636" s="38" t="s">
        <v>15349</v>
      </c>
      <c r="H10636" s="66"/>
      <c r="I10636" s="66"/>
      <c r="J10636" s="2" t="s">
        <v>12550</v>
      </c>
      <c r="K10636" s="66"/>
      <c r="L10636" s="82"/>
    </row>
    <row r="10637" spans="1:15" ht="84" customHeight="1" x14ac:dyDescent="0.3">
      <c r="A10637" s="2">
        <v>10635</v>
      </c>
      <c r="B10637" s="106" t="s">
        <v>17077</v>
      </c>
      <c r="C10637" s="66" t="s">
        <v>17078</v>
      </c>
      <c r="D10637" s="121">
        <v>98767.2</v>
      </c>
      <c r="E10637" s="121">
        <v>98767.2</v>
      </c>
      <c r="F10637" s="26">
        <v>42403</v>
      </c>
      <c r="G10637" s="38" t="s">
        <v>15349</v>
      </c>
      <c r="H10637" s="2"/>
      <c r="I10637" s="2"/>
      <c r="J10637" s="2" t="s">
        <v>12550</v>
      </c>
      <c r="K10637" s="2"/>
      <c r="L10637" s="82"/>
    </row>
    <row r="10638" spans="1:15" ht="84" customHeight="1" x14ac:dyDescent="0.3">
      <c r="A10638" s="2">
        <v>10636</v>
      </c>
      <c r="B10638" s="38" t="s">
        <v>17079</v>
      </c>
      <c r="C10638" s="38" t="s">
        <v>17080</v>
      </c>
      <c r="D10638" s="39">
        <v>51190.18</v>
      </c>
      <c r="E10638" s="39">
        <v>51190.18</v>
      </c>
      <c r="F10638" s="75">
        <v>42403</v>
      </c>
      <c r="G10638" s="38" t="s">
        <v>15349</v>
      </c>
      <c r="H10638" s="66"/>
      <c r="I10638" s="66"/>
      <c r="J10638" s="2" t="s">
        <v>12550</v>
      </c>
      <c r="K10638" s="66"/>
      <c r="L10638" s="82"/>
    </row>
    <row r="10639" spans="1:15" ht="72" customHeight="1" x14ac:dyDescent="0.3">
      <c r="A10639" s="2">
        <v>10637</v>
      </c>
      <c r="B10639" s="82" t="s">
        <v>17081</v>
      </c>
      <c r="C10639" s="82">
        <v>1101340080</v>
      </c>
      <c r="D10639" s="22">
        <v>54300</v>
      </c>
      <c r="E10639" s="22">
        <v>10860</v>
      </c>
      <c r="F10639" s="75">
        <v>42403</v>
      </c>
      <c r="G10639" s="38" t="s">
        <v>15349</v>
      </c>
      <c r="H10639" s="2"/>
      <c r="I10639" s="2"/>
      <c r="J10639" s="82" t="s">
        <v>15722</v>
      </c>
      <c r="K10639" s="82"/>
      <c r="L10639" s="82"/>
      <c r="N10639" s="17"/>
      <c r="O10639" s="17"/>
    </row>
    <row r="10640" spans="1:15" ht="120" customHeight="1" x14ac:dyDescent="0.3">
      <c r="A10640" s="2">
        <v>10638</v>
      </c>
      <c r="B10640" s="106" t="s">
        <v>17082</v>
      </c>
      <c r="C10640" s="106"/>
      <c r="D10640" s="116">
        <v>1952687.5</v>
      </c>
      <c r="E10640" s="11">
        <v>2362012.2000000002</v>
      </c>
      <c r="F10640" s="75">
        <v>42403</v>
      </c>
      <c r="G10640" s="38" t="s">
        <v>15349</v>
      </c>
      <c r="H10640" s="2"/>
      <c r="I10640" s="2"/>
      <c r="J10640" s="2" t="s">
        <v>13904</v>
      </c>
      <c r="K10640" s="2" t="s">
        <v>19838</v>
      </c>
      <c r="L10640" s="82" t="s">
        <v>19749</v>
      </c>
    </row>
    <row r="10641" spans="1:15" ht="84" customHeight="1" x14ac:dyDescent="0.3">
      <c r="A10641" s="2">
        <v>10639</v>
      </c>
      <c r="B10641" s="105" t="s">
        <v>18678</v>
      </c>
      <c r="C10641" s="105" t="s">
        <v>17083</v>
      </c>
      <c r="D10641" s="121">
        <v>106369.25</v>
      </c>
      <c r="E10641" s="11">
        <v>60782.400000000001</v>
      </c>
      <c r="F10641" s="75">
        <v>42403</v>
      </c>
      <c r="G10641" s="38" t="s">
        <v>15349</v>
      </c>
      <c r="H10641" s="2"/>
      <c r="I10641" s="2"/>
      <c r="J10641" s="2" t="s">
        <v>12550</v>
      </c>
      <c r="K10641" s="2"/>
      <c r="L10641" s="82"/>
    </row>
    <row r="10642" spans="1:15" ht="120" customHeight="1" x14ac:dyDescent="0.3">
      <c r="A10642" s="2">
        <v>10640</v>
      </c>
      <c r="B10642" s="105" t="s">
        <v>18676</v>
      </c>
      <c r="C10642" s="105" t="s">
        <v>18677</v>
      </c>
      <c r="D10642" s="121">
        <v>10000</v>
      </c>
      <c r="E10642" s="11">
        <v>0</v>
      </c>
      <c r="F10642" s="75">
        <v>42403</v>
      </c>
      <c r="G10642" s="38" t="s">
        <v>15349</v>
      </c>
      <c r="H10642" s="2"/>
      <c r="I10642" s="2"/>
      <c r="J10642" s="2" t="s">
        <v>13904</v>
      </c>
      <c r="K10642" s="2" t="s">
        <v>19838</v>
      </c>
      <c r="L10642" s="246" t="s">
        <v>22280</v>
      </c>
    </row>
    <row r="10643" spans="1:15" ht="84" customHeight="1" x14ac:dyDescent="0.3">
      <c r="A10643" s="2">
        <v>10641</v>
      </c>
      <c r="B10643" s="105" t="s">
        <v>17086</v>
      </c>
      <c r="C10643" s="105">
        <v>12010006</v>
      </c>
      <c r="D10643" s="121">
        <v>226407.18</v>
      </c>
      <c r="E10643" s="11">
        <v>0</v>
      </c>
      <c r="F10643" s="75">
        <v>42403</v>
      </c>
      <c r="G10643" s="38" t="s">
        <v>15349</v>
      </c>
      <c r="H10643" s="2"/>
      <c r="I10643" s="2"/>
      <c r="J10643" s="2" t="s">
        <v>12550</v>
      </c>
      <c r="K10643" s="2"/>
      <c r="L10643" s="82"/>
    </row>
    <row r="10644" spans="1:15" ht="84" customHeight="1" x14ac:dyDescent="0.3">
      <c r="A10644" s="2">
        <v>10642</v>
      </c>
      <c r="B10644" s="105" t="s">
        <v>17087</v>
      </c>
      <c r="C10644" s="152">
        <v>13010185</v>
      </c>
      <c r="D10644" s="121">
        <v>50700</v>
      </c>
      <c r="E10644" s="11">
        <v>0</v>
      </c>
      <c r="F10644" s="75">
        <v>42403</v>
      </c>
      <c r="G10644" s="38" t="s">
        <v>15349</v>
      </c>
      <c r="H10644" s="242" t="s">
        <v>22975</v>
      </c>
      <c r="I10644" s="242" t="s">
        <v>22977</v>
      </c>
      <c r="J10644" s="2" t="s">
        <v>13904</v>
      </c>
      <c r="K10644" s="2"/>
      <c r="L10644" s="82" t="s">
        <v>22978</v>
      </c>
    </row>
    <row r="10645" spans="1:15" ht="84" customHeight="1" x14ac:dyDescent="0.3">
      <c r="A10645" s="2">
        <v>10643</v>
      </c>
      <c r="B10645" s="105" t="s">
        <v>17970</v>
      </c>
      <c r="C10645" s="105">
        <v>41012400002</v>
      </c>
      <c r="D10645" s="21">
        <v>7746</v>
      </c>
      <c r="E10645" s="11">
        <v>7746</v>
      </c>
      <c r="F10645" s="75">
        <v>42403</v>
      </c>
      <c r="G10645" s="38" t="s">
        <v>15349</v>
      </c>
      <c r="H10645" s="2"/>
      <c r="I10645" s="2"/>
      <c r="J10645" s="2" t="s">
        <v>13904</v>
      </c>
      <c r="K10645" s="2" t="s">
        <v>18541</v>
      </c>
      <c r="L10645" s="82" t="s">
        <v>18696</v>
      </c>
    </row>
    <row r="10646" spans="1:15" ht="84" customHeight="1" x14ac:dyDescent="0.3">
      <c r="A10646" s="2">
        <v>10644</v>
      </c>
      <c r="B10646" s="106" t="s">
        <v>17089</v>
      </c>
      <c r="C10646" s="66" t="s">
        <v>17088</v>
      </c>
      <c r="D10646" s="152">
        <v>96812.5</v>
      </c>
      <c r="E10646" s="2">
        <v>96812.5</v>
      </c>
      <c r="F10646" s="75">
        <v>42403</v>
      </c>
      <c r="G10646" s="38" t="s">
        <v>15349</v>
      </c>
      <c r="H10646" s="2"/>
      <c r="I10646" s="2"/>
      <c r="J10646" s="2" t="s">
        <v>12550</v>
      </c>
      <c r="K10646" s="2"/>
      <c r="L10646" s="82"/>
    </row>
    <row r="10647" spans="1:15" ht="84" customHeight="1" x14ac:dyDescent="0.3">
      <c r="A10647" s="2">
        <v>10645</v>
      </c>
      <c r="B10647" s="105" t="s">
        <v>17094</v>
      </c>
      <c r="C10647" s="105">
        <v>110136102</v>
      </c>
      <c r="D10647" s="21">
        <v>16067</v>
      </c>
      <c r="E10647" s="21"/>
      <c r="F10647" s="75">
        <v>42403</v>
      </c>
      <c r="G10647" s="38" t="s">
        <v>15349</v>
      </c>
      <c r="H10647" s="2"/>
      <c r="I10647" s="2"/>
      <c r="J10647" s="2" t="s">
        <v>13904</v>
      </c>
      <c r="K10647" s="2" t="s">
        <v>19839</v>
      </c>
      <c r="L10647" s="246" t="s">
        <v>22280</v>
      </c>
      <c r="N10647" s="17"/>
      <c r="O10647" s="17"/>
    </row>
    <row r="10648" spans="1:15" ht="84" customHeight="1" x14ac:dyDescent="0.3">
      <c r="A10648" s="2">
        <v>10646</v>
      </c>
      <c r="B10648" s="105" t="s">
        <v>17091</v>
      </c>
      <c r="C10648" s="105">
        <v>1101360099</v>
      </c>
      <c r="D10648" s="21">
        <v>13192</v>
      </c>
      <c r="E10648" s="21"/>
      <c r="F10648" s="75">
        <v>42403</v>
      </c>
      <c r="G10648" s="38" t="s">
        <v>15349</v>
      </c>
      <c r="H10648" s="2"/>
      <c r="I10648" s="2"/>
      <c r="J10648" s="2" t="s">
        <v>13904</v>
      </c>
      <c r="K10648" s="2" t="s">
        <v>19839</v>
      </c>
      <c r="L10648" s="246" t="s">
        <v>22280</v>
      </c>
      <c r="N10648" s="17"/>
      <c r="O10648" s="17"/>
    </row>
    <row r="10649" spans="1:15" ht="84" customHeight="1" x14ac:dyDescent="0.3">
      <c r="A10649" s="2">
        <v>10647</v>
      </c>
      <c r="B10649" s="105" t="s">
        <v>17092</v>
      </c>
      <c r="C10649" s="105">
        <v>1101360103</v>
      </c>
      <c r="D10649" s="21">
        <v>26442</v>
      </c>
      <c r="E10649" s="21"/>
      <c r="F10649" s="75">
        <v>42403</v>
      </c>
      <c r="G10649" s="38" t="s">
        <v>15349</v>
      </c>
      <c r="H10649" s="2"/>
      <c r="I10649" s="2"/>
      <c r="J10649" s="2" t="s">
        <v>13904</v>
      </c>
      <c r="K10649" s="2" t="s">
        <v>19839</v>
      </c>
      <c r="L10649" s="246" t="s">
        <v>22280</v>
      </c>
      <c r="N10649" s="17"/>
      <c r="O10649" s="17"/>
    </row>
    <row r="10650" spans="1:15" ht="84" customHeight="1" x14ac:dyDescent="0.3">
      <c r="A10650" s="2">
        <v>10648</v>
      </c>
      <c r="B10650" s="105" t="s">
        <v>17093</v>
      </c>
      <c r="C10650" s="105">
        <v>1101360104</v>
      </c>
      <c r="D10650" s="21">
        <v>10048.25</v>
      </c>
      <c r="E10650" s="21"/>
      <c r="F10650" s="75">
        <v>42403</v>
      </c>
      <c r="G10650" s="38" t="s">
        <v>15349</v>
      </c>
      <c r="H10650" s="2"/>
      <c r="I10650" s="2"/>
      <c r="J10650" s="2" t="s">
        <v>13904</v>
      </c>
      <c r="K10650" s="2" t="s">
        <v>19839</v>
      </c>
      <c r="L10650" s="246" t="s">
        <v>22280</v>
      </c>
      <c r="N10650" s="17"/>
      <c r="O10650" s="17"/>
    </row>
    <row r="10651" spans="1:15" ht="84" customHeight="1" x14ac:dyDescent="0.3">
      <c r="A10651" s="2">
        <v>10649</v>
      </c>
      <c r="B10651" s="105" t="s">
        <v>17090</v>
      </c>
      <c r="C10651" s="105">
        <v>1101360105</v>
      </c>
      <c r="D10651" s="21">
        <v>15692</v>
      </c>
      <c r="E10651" s="21"/>
      <c r="F10651" s="75">
        <v>42403</v>
      </c>
      <c r="G10651" s="38" t="s">
        <v>15349</v>
      </c>
      <c r="H10651" s="2"/>
      <c r="I10651" s="2"/>
      <c r="J10651" s="2" t="s">
        <v>13904</v>
      </c>
      <c r="K10651" s="2" t="s">
        <v>19839</v>
      </c>
      <c r="L10651" s="246" t="s">
        <v>22280</v>
      </c>
      <c r="N10651" s="17"/>
      <c r="O10651" s="17"/>
    </row>
    <row r="10652" spans="1:15" ht="84" customHeight="1" x14ac:dyDescent="0.3">
      <c r="A10652" s="2">
        <v>10650</v>
      </c>
      <c r="B10652" s="105" t="s">
        <v>17090</v>
      </c>
      <c r="C10652" s="105">
        <v>1101360106</v>
      </c>
      <c r="D10652" s="21">
        <v>15692</v>
      </c>
      <c r="E10652" s="21"/>
      <c r="F10652" s="75">
        <v>42403</v>
      </c>
      <c r="G10652" s="38" t="s">
        <v>15349</v>
      </c>
      <c r="H10652" s="2"/>
      <c r="I10652" s="2"/>
      <c r="J10652" s="2" t="s">
        <v>13904</v>
      </c>
      <c r="K10652" s="2" t="s">
        <v>19839</v>
      </c>
      <c r="L10652" s="246" t="s">
        <v>22280</v>
      </c>
      <c r="N10652" s="17"/>
      <c r="O10652" s="17"/>
    </row>
    <row r="10653" spans="1:15" ht="84" customHeight="1" x14ac:dyDescent="0.3">
      <c r="A10653" s="2">
        <v>10651</v>
      </c>
      <c r="B10653" s="105" t="s">
        <v>17095</v>
      </c>
      <c r="C10653" s="105"/>
      <c r="D10653" s="21">
        <v>209500</v>
      </c>
      <c r="E10653" s="21"/>
      <c r="F10653" s="75">
        <v>42403</v>
      </c>
      <c r="G10653" s="38" t="s">
        <v>15349</v>
      </c>
      <c r="H10653" s="2"/>
      <c r="I10653" s="2"/>
      <c r="J10653" s="2" t="s">
        <v>12550</v>
      </c>
      <c r="K10653" s="113"/>
      <c r="L10653" s="82"/>
      <c r="N10653" s="17"/>
      <c r="O10653" s="17"/>
    </row>
    <row r="10654" spans="1:15" ht="84" customHeight="1" x14ac:dyDescent="0.3">
      <c r="A10654" s="2">
        <v>10652</v>
      </c>
      <c r="B10654" s="105" t="s">
        <v>23723</v>
      </c>
      <c r="C10654" s="105"/>
      <c r="D10654" s="21">
        <v>299853.12</v>
      </c>
      <c r="E10654" s="21"/>
      <c r="F10654" s="75">
        <v>42403</v>
      </c>
      <c r="G10654" s="38" t="s">
        <v>15349</v>
      </c>
      <c r="H10654" s="2"/>
      <c r="I10654" s="2"/>
      <c r="J10654" s="2" t="s">
        <v>12550</v>
      </c>
      <c r="K10654" s="113"/>
      <c r="L10654" s="82"/>
      <c r="N10654" s="17"/>
      <c r="O10654" s="17"/>
    </row>
    <row r="10655" spans="1:15" ht="84" customHeight="1" x14ac:dyDescent="0.3">
      <c r="A10655" s="2">
        <v>10653</v>
      </c>
      <c r="B10655" s="105" t="s">
        <v>17096</v>
      </c>
      <c r="C10655" s="105"/>
      <c r="D10655" s="21">
        <v>64939.47</v>
      </c>
      <c r="E10655" s="21"/>
      <c r="F10655" s="75">
        <v>42403</v>
      </c>
      <c r="G10655" s="38" t="s">
        <v>15349</v>
      </c>
      <c r="H10655" s="2"/>
      <c r="I10655" s="2"/>
      <c r="J10655" s="2" t="s">
        <v>12550</v>
      </c>
      <c r="K10655" s="113"/>
      <c r="L10655" s="82"/>
      <c r="N10655" s="17"/>
      <c r="O10655" s="17"/>
    </row>
    <row r="10656" spans="1:15" ht="84" customHeight="1" x14ac:dyDescent="0.3">
      <c r="A10656" s="2">
        <v>10654</v>
      </c>
      <c r="B10656" s="105" t="s">
        <v>17097</v>
      </c>
      <c r="C10656" s="105"/>
      <c r="D10656" s="21">
        <v>34879.5</v>
      </c>
      <c r="E10656" s="21"/>
      <c r="F10656" s="75">
        <v>42403</v>
      </c>
      <c r="G10656" s="38" t="s">
        <v>15349</v>
      </c>
      <c r="H10656" s="2"/>
      <c r="I10656" s="2"/>
      <c r="J10656" s="2" t="s">
        <v>12550</v>
      </c>
      <c r="K10656" s="113"/>
      <c r="L10656" s="82"/>
      <c r="N10656" s="17"/>
      <c r="O10656" s="17"/>
    </row>
    <row r="10657" spans="1:15" ht="84" customHeight="1" x14ac:dyDescent="0.3">
      <c r="A10657" s="2">
        <v>10655</v>
      </c>
      <c r="B10657" s="105" t="s">
        <v>17101</v>
      </c>
      <c r="C10657" s="105">
        <v>1101360098</v>
      </c>
      <c r="D10657" s="21">
        <v>189147.11</v>
      </c>
      <c r="E10657" s="21"/>
      <c r="F10657" s="75">
        <v>42403</v>
      </c>
      <c r="G10657" s="38" t="s">
        <v>15349</v>
      </c>
      <c r="H10657" s="2"/>
      <c r="I10657" s="2"/>
      <c r="J10657" s="2" t="s">
        <v>12550</v>
      </c>
      <c r="K10657" s="113"/>
      <c r="L10657" s="82"/>
      <c r="N10657" s="17"/>
      <c r="O10657" s="17"/>
    </row>
    <row r="10658" spans="1:15" ht="84" customHeight="1" x14ac:dyDescent="0.3">
      <c r="A10658" s="2">
        <v>10656</v>
      </c>
      <c r="B10658" s="105" t="s">
        <v>17102</v>
      </c>
      <c r="C10658" s="105" t="s">
        <v>17098</v>
      </c>
      <c r="D10658" s="21">
        <v>80000</v>
      </c>
      <c r="E10658" s="21"/>
      <c r="F10658" s="75">
        <v>42403</v>
      </c>
      <c r="G10658" s="38" t="s">
        <v>15349</v>
      </c>
      <c r="H10658" s="2"/>
      <c r="I10658" s="2"/>
      <c r="J10658" s="2" t="s">
        <v>12550</v>
      </c>
      <c r="K10658" s="113"/>
      <c r="L10658" s="82"/>
      <c r="N10658" s="17"/>
      <c r="O10658" s="17"/>
    </row>
    <row r="10659" spans="1:15" ht="84" customHeight="1" x14ac:dyDescent="0.3">
      <c r="A10659" s="2">
        <v>10657</v>
      </c>
      <c r="B10659" s="105" t="s">
        <v>17103</v>
      </c>
      <c r="C10659" s="105" t="s">
        <v>17099</v>
      </c>
      <c r="D10659" s="21">
        <v>19481.8</v>
      </c>
      <c r="E10659" s="21">
        <v>19481.8</v>
      </c>
      <c r="F10659" s="75">
        <v>42403</v>
      </c>
      <c r="G10659" s="38" t="s">
        <v>15349</v>
      </c>
      <c r="H10659" s="2"/>
      <c r="I10659" s="2"/>
      <c r="J10659" s="2" t="s">
        <v>12550</v>
      </c>
      <c r="K10659" s="113"/>
      <c r="L10659" s="82"/>
      <c r="N10659" s="17"/>
      <c r="O10659" s="17"/>
    </row>
    <row r="10660" spans="1:15" ht="84" customHeight="1" x14ac:dyDescent="0.3">
      <c r="A10660" s="2">
        <v>10658</v>
      </c>
      <c r="B10660" s="105" t="s">
        <v>17100</v>
      </c>
      <c r="C10660" s="105"/>
      <c r="D10660" s="21">
        <v>20000</v>
      </c>
      <c r="E10660" s="21"/>
      <c r="F10660" s="75">
        <v>42403</v>
      </c>
      <c r="G10660" s="38" t="s">
        <v>15349</v>
      </c>
      <c r="H10660" s="2"/>
      <c r="I10660" s="2"/>
      <c r="J10660" s="2" t="s">
        <v>12550</v>
      </c>
      <c r="K10660" s="113"/>
      <c r="L10660" s="82"/>
      <c r="N10660" s="17"/>
      <c r="O10660" s="17"/>
    </row>
    <row r="10661" spans="1:15" ht="84" customHeight="1" x14ac:dyDescent="0.3">
      <c r="A10661" s="2">
        <v>10659</v>
      </c>
      <c r="B10661" s="105" t="s">
        <v>17104</v>
      </c>
      <c r="C10661" s="105" t="s">
        <v>17105</v>
      </c>
      <c r="D10661" s="21">
        <v>242500</v>
      </c>
      <c r="E10661" s="21"/>
      <c r="F10661" s="75">
        <v>42403</v>
      </c>
      <c r="G10661" s="38" t="s">
        <v>15349</v>
      </c>
      <c r="H10661" s="2"/>
      <c r="I10661" s="2"/>
      <c r="J10661" s="2" t="s">
        <v>12550</v>
      </c>
      <c r="K10661" s="113"/>
      <c r="L10661" s="82"/>
      <c r="N10661" s="17"/>
      <c r="O10661" s="17"/>
    </row>
    <row r="10662" spans="1:15" ht="84" customHeight="1" x14ac:dyDescent="0.3">
      <c r="A10662" s="2">
        <v>10660</v>
      </c>
      <c r="B10662" s="105" t="s">
        <v>17107</v>
      </c>
      <c r="C10662" s="105" t="s">
        <v>17106</v>
      </c>
      <c r="D10662" s="21">
        <v>227500</v>
      </c>
      <c r="E10662" s="21"/>
      <c r="F10662" s="75">
        <v>42403</v>
      </c>
      <c r="G10662" s="38" t="s">
        <v>15349</v>
      </c>
      <c r="H10662" s="2"/>
      <c r="I10662" s="2"/>
      <c r="J10662" s="2" t="s">
        <v>12550</v>
      </c>
      <c r="K10662" s="113"/>
      <c r="L10662" s="82"/>
      <c r="N10662" s="17"/>
      <c r="O10662" s="17"/>
    </row>
    <row r="10663" spans="1:15" ht="84" customHeight="1" x14ac:dyDescent="0.3">
      <c r="A10663" s="2">
        <v>10661</v>
      </c>
      <c r="B10663" s="211" t="s">
        <v>17108</v>
      </c>
      <c r="C10663" s="66" t="s">
        <v>17109</v>
      </c>
      <c r="D10663" s="11">
        <v>30800</v>
      </c>
      <c r="E10663" s="11"/>
      <c r="F10663" s="75">
        <v>42403</v>
      </c>
      <c r="G10663" s="38" t="s">
        <v>15349</v>
      </c>
      <c r="H10663" s="2"/>
      <c r="I10663" s="2"/>
      <c r="J10663" s="2" t="s">
        <v>12550</v>
      </c>
      <c r="K10663" s="2"/>
      <c r="L10663" s="82"/>
    </row>
    <row r="10664" spans="1:15" ht="84" customHeight="1" x14ac:dyDescent="0.3">
      <c r="A10664" s="2">
        <v>10662</v>
      </c>
      <c r="B10664" s="105" t="s">
        <v>17110</v>
      </c>
      <c r="C10664" s="105"/>
      <c r="D10664" s="105">
        <v>62942.400000000001</v>
      </c>
      <c r="E10664" s="105">
        <v>62942.400000000001</v>
      </c>
      <c r="F10664" s="75">
        <v>42403</v>
      </c>
      <c r="G10664" s="38" t="s">
        <v>15349</v>
      </c>
      <c r="H10664" s="2"/>
      <c r="I10664" s="2"/>
      <c r="J10664" s="2" t="s">
        <v>12550</v>
      </c>
      <c r="K10664" s="113"/>
      <c r="L10664" s="82"/>
      <c r="N10664" s="17"/>
      <c r="O10664" s="17"/>
    </row>
    <row r="10665" spans="1:15" ht="84" customHeight="1" x14ac:dyDescent="0.3">
      <c r="A10665" s="2">
        <v>10663</v>
      </c>
      <c r="B10665" s="105" t="s">
        <v>17114</v>
      </c>
      <c r="C10665" s="105"/>
      <c r="D10665" s="21">
        <v>3916.86</v>
      </c>
      <c r="E10665" s="21"/>
      <c r="F10665" s="75">
        <v>42403</v>
      </c>
      <c r="G10665" s="38" t="s">
        <v>15349</v>
      </c>
      <c r="H10665" s="2"/>
      <c r="I10665" s="2"/>
      <c r="J10665" s="2" t="s">
        <v>12550</v>
      </c>
      <c r="K10665" s="113"/>
      <c r="L10665" s="82"/>
      <c r="N10665" s="17"/>
      <c r="O10665" s="17"/>
    </row>
    <row r="10666" spans="1:15" ht="84" customHeight="1" x14ac:dyDescent="0.3">
      <c r="A10666" s="2">
        <v>10664</v>
      </c>
      <c r="B10666" s="105" t="s">
        <v>17115</v>
      </c>
      <c r="C10666" s="105"/>
      <c r="D10666" s="21">
        <v>2492.54</v>
      </c>
      <c r="E10666" s="21"/>
      <c r="F10666" s="75">
        <v>42403</v>
      </c>
      <c r="G10666" s="38" t="s">
        <v>15349</v>
      </c>
      <c r="H10666" s="2"/>
      <c r="I10666" s="2"/>
      <c r="J10666" s="2" t="s">
        <v>12550</v>
      </c>
      <c r="K10666" s="113"/>
      <c r="L10666" s="82"/>
      <c r="N10666" s="17"/>
      <c r="O10666" s="17"/>
    </row>
    <row r="10667" spans="1:15" ht="84" customHeight="1" x14ac:dyDescent="0.3">
      <c r="A10667" s="2">
        <v>10665</v>
      </c>
      <c r="B10667" s="105" t="s">
        <v>17116</v>
      </c>
      <c r="C10667" s="105"/>
      <c r="D10667" s="21">
        <v>19704.900000000001</v>
      </c>
      <c r="E10667" s="21"/>
      <c r="F10667" s="75">
        <v>42403</v>
      </c>
      <c r="G10667" s="38" t="s">
        <v>15349</v>
      </c>
      <c r="H10667" s="2"/>
      <c r="I10667" s="2"/>
      <c r="J10667" s="2" t="s">
        <v>12550</v>
      </c>
      <c r="K10667" s="113"/>
      <c r="L10667" s="82"/>
      <c r="N10667" s="17"/>
      <c r="O10667" s="17"/>
    </row>
    <row r="10668" spans="1:15" ht="84" customHeight="1" x14ac:dyDescent="0.3">
      <c r="A10668" s="2">
        <v>10666</v>
      </c>
      <c r="B10668" s="105" t="s">
        <v>17117</v>
      </c>
      <c r="C10668" s="105"/>
      <c r="D10668" s="21">
        <v>13522.64</v>
      </c>
      <c r="E10668" s="21"/>
      <c r="F10668" s="75">
        <v>42403</v>
      </c>
      <c r="G10668" s="38" t="s">
        <v>15349</v>
      </c>
      <c r="H10668" s="2"/>
      <c r="I10668" s="2"/>
      <c r="J10668" s="2" t="s">
        <v>12550</v>
      </c>
      <c r="K10668" s="113"/>
      <c r="L10668" s="82"/>
      <c r="N10668" s="17"/>
      <c r="O10668" s="17"/>
    </row>
    <row r="10669" spans="1:15" ht="84" customHeight="1" x14ac:dyDescent="0.3">
      <c r="A10669" s="2">
        <v>10667</v>
      </c>
      <c r="B10669" s="105" t="s">
        <v>17118</v>
      </c>
      <c r="C10669" s="105"/>
      <c r="D10669" s="21">
        <v>14751.97</v>
      </c>
      <c r="E10669" s="21"/>
      <c r="F10669" s="75">
        <v>42403</v>
      </c>
      <c r="G10669" s="38" t="s">
        <v>15349</v>
      </c>
      <c r="H10669" s="2"/>
      <c r="I10669" s="2"/>
      <c r="J10669" s="2" t="s">
        <v>12550</v>
      </c>
      <c r="K10669" s="113"/>
      <c r="L10669" s="82"/>
      <c r="N10669" s="17"/>
      <c r="O10669" s="17"/>
    </row>
    <row r="10670" spans="1:15" ht="84" customHeight="1" x14ac:dyDescent="0.3">
      <c r="A10670" s="2">
        <v>10668</v>
      </c>
      <c r="B10670" s="105" t="s">
        <v>17136</v>
      </c>
      <c r="C10670" s="105"/>
      <c r="D10670" s="21">
        <v>11555.7</v>
      </c>
      <c r="E10670" s="21"/>
      <c r="F10670" s="75">
        <v>42403</v>
      </c>
      <c r="G10670" s="38" t="s">
        <v>15349</v>
      </c>
      <c r="H10670" s="2"/>
      <c r="I10670" s="2"/>
      <c r="J10670" s="2" t="s">
        <v>12550</v>
      </c>
      <c r="K10670" s="113"/>
      <c r="L10670" s="82"/>
      <c r="N10670" s="17"/>
      <c r="O10670" s="17"/>
    </row>
    <row r="10671" spans="1:15" ht="84" customHeight="1" x14ac:dyDescent="0.3">
      <c r="A10671" s="2">
        <v>10669</v>
      </c>
      <c r="B10671" s="105" t="s">
        <v>17119</v>
      </c>
      <c r="C10671" s="105"/>
      <c r="D10671" s="21">
        <v>1600000</v>
      </c>
      <c r="E10671" s="21"/>
      <c r="F10671" s="75">
        <v>42403</v>
      </c>
      <c r="G10671" s="38" t="s">
        <v>15349</v>
      </c>
      <c r="H10671" s="2"/>
      <c r="I10671" s="2"/>
      <c r="J10671" s="2" t="s">
        <v>12550</v>
      </c>
      <c r="K10671" s="113"/>
      <c r="L10671" s="82"/>
      <c r="N10671" s="17"/>
      <c r="O10671" s="17"/>
    </row>
    <row r="10672" spans="1:15" ht="84" customHeight="1" x14ac:dyDescent="0.3">
      <c r="A10672" s="2">
        <v>10670</v>
      </c>
      <c r="B10672" s="105" t="s">
        <v>17120</v>
      </c>
      <c r="C10672" s="105"/>
      <c r="D10672" s="21">
        <v>55269.440000000002</v>
      </c>
      <c r="E10672" s="21">
        <v>29476.799999999999</v>
      </c>
      <c r="F10672" s="75">
        <v>42403</v>
      </c>
      <c r="G10672" s="38" t="s">
        <v>15349</v>
      </c>
      <c r="H10672" s="2"/>
      <c r="I10672" s="2"/>
      <c r="J10672" s="2" t="s">
        <v>12550</v>
      </c>
      <c r="K10672" s="113"/>
      <c r="L10672" s="82"/>
      <c r="N10672" s="17"/>
      <c r="O10672" s="17"/>
    </row>
    <row r="10673" spans="1:15" ht="84" customHeight="1" x14ac:dyDescent="0.3">
      <c r="A10673" s="2">
        <v>10671</v>
      </c>
      <c r="B10673" s="105" t="s">
        <v>17121</v>
      </c>
      <c r="C10673" s="105">
        <v>1101360075</v>
      </c>
      <c r="D10673" s="21">
        <v>3968.75</v>
      </c>
      <c r="E10673" s="21">
        <v>3968.75</v>
      </c>
      <c r="F10673" s="75">
        <v>42403</v>
      </c>
      <c r="G10673" s="38" t="s">
        <v>15349</v>
      </c>
      <c r="H10673" s="2"/>
      <c r="I10673" s="2"/>
      <c r="J10673" s="2" t="s">
        <v>12550</v>
      </c>
      <c r="K10673" s="113"/>
      <c r="L10673" s="82"/>
      <c r="N10673" s="17"/>
      <c r="O10673" s="17"/>
    </row>
    <row r="10674" spans="1:15" ht="84" customHeight="1" x14ac:dyDescent="0.3">
      <c r="A10674" s="2">
        <v>10672</v>
      </c>
      <c r="B10674" s="105" t="s">
        <v>17121</v>
      </c>
      <c r="C10674" s="105">
        <v>1101360076</v>
      </c>
      <c r="D10674" s="21">
        <v>3968.75</v>
      </c>
      <c r="E10674" s="21">
        <v>3968.75</v>
      </c>
      <c r="F10674" s="75">
        <v>42403</v>
      </c>
      <c r="G10674" s="38" t="s">
        <v>15349</v>
      </c>
      <c r="H10674" s="2"/>
      <c r="I10674" s="2"/>
      <c r="J10674" s="2" t="s">
        <v>12550</v>
      </c>
      <c r="K10674" s="113"/>
      <c r="L10674" s="82"/>
      <c r="N10674" s="17"/>
      <c r="O10674" s="17"/>
    </row>
    <row r="10675" spans="1:15" ht="84" customHeight="1" x14ac:dyDescent="0.3">
      <c r="A10675" s="2">
        <v>10673</v>
      </c>
      <c r="B10675" s="105" t="s">
        <v>17111</v>
      </c>
      <c r="C10675" s="105"/>
      <c r="D10675" s="21">
        <v>2340</v>
      </c>
      <c r="E10675" s="21"/>
      <c r="F10675" s="75">
        <v>42403</v>
      </c>
      <c r="G10675" s="38" t="s">
        <v>15349</v>
      </c>
      <c r="H10675" s="2"/>
      <c r="I10675" s="2"/>
      <c r="J10675" s="2" t="s">
        <v>12550</v>
      </c>
      <c r="K10675" s="113"/>
      <c r="L10675" s="82"/>
      <c r="N10675" s="17"/>
      <c r="O10675" s="17"/>
    </row>
    <row r="10676" spans="1:15" ht="84" customHeight="1" x14ac:dyDescent="0.3">
      <c r="A10676" s="2">
        <v>10674</v>
      </c>
      <c r="B10676" s="105" t="s">
        <v>17112</v>
      </c>
      <c r="C10676" s="105"/>
      <c r="D10676" s="21">
        <v>1170</v>
      </c>
      <c r="E10676" s="21"/>
      <c r="F10676" s="75">
        <v>42403</v>
      </c>
      <c r="G10676" s="38" t="s">
        <v>15349</v>
      </c>
      <c r="H10676" s="2"/>
      <c r="I10676" s="2"/>
      <c r="J10676" s="2" t="s">
        <v>12550</v>
      </c>
      <c r="K10676" s="113"/>
      <c r="L10676" s="82"/>
      <c r="N10676" s="17"/>
      <c r="O10676" s="17"/>
    </row>
    <row r="10677" spans="1:15" ht="84" customHeight="1" x14ac:dyDescent="0.3">
      <c r="A10677" s="2">
        <v>10675</v>
      </c>
      <c r="B10677" s="105" t="s">
        <v>17123</v>
      </c>
      <c r="C10677" s="105" t="s">
        <v>17122</v>
      </c>
      <c r="D10677" s="21">
        <v>116988.57</v>
      </c>
      <c r="E10677" s="21">
        <v>116988.57</v>
      </c>
      <c r="F10677" s="75">
        <v>42403</v>
      </c>
      <c r="G10677" s="38" t="s">
        <v>15349</v>
      </c>
      <c r="H10677" s="2"/>
      <c r="I10677" s="2"/>
      <c r="J10677" s="2" t="s">
        <v>12550</v>
      </c>
      <c r="K10677" s="113"/>
      <c r="L10677" s="82"/>
      <c r="N10677" s="17"/>
      <c r="O10677" s="17"/>
    </row>
    <row r="10678" spans="1:15" ht="84" customHeight="1" x14ac:dyDescent="0.3">
      <c r="A10678" s="2">
        <v>10676</v>
      </c>
      <c r="B10678" s="105" t="s">
        <v>17124</v>
      </c>
      <c r="C10678" s="105">
        <v>1101360107</v>
      </c>
      <c r="D10678" s="21">
        <v>27000</v>
      </c>
      <c r="E10678" s="21"/>
      <c r="F10678" s="75">
        <v>42403</v>
      </c>
      <c r="G10678" s="38" t="s">
        <v>15349</v>
      </c>
      <c r="H10678" s="2"/>
      <c r="I10678" s="2"/>
      <c r="J10678" s="2" t="s">
        <v>12550</v>
      </c>
      <c r="K10678" s="113"/>
      <c r="L10678" s="82"/>
      <c r="N10678" s="17"/>
      <c r="O10678" s="17"/>
    </row>
    <row r="10679" spans="1:15" ht="84" customHeight="1" x14ac:dyDescent="0.3">
      <c r="A10679" s="2">
        <v>10677</v>
      </c>
      <c r="B10679" s="105" t="s">
        <v>17033</v>
      </c>
      <c r="C10679" s="105">
        <v>1101360108</v>
      </c>
      <c r="D10679" s="21">
        <v>11069</v>
      </c>
      <c r="E10679" s="21"/>
      <c r="F10679" s="75">
        <v>42403</v>
      </c>
      <c r="G10679" s="38" t="s">
        <v>15349</v>
      </c>
      <c r="H10679" s="2"/>
      <c r="I10679" s="2"/>
      <c r="J10679" s="2" t="s">
        <v>12550</v>
      </c>
      <c r="K10679" s="113"/>
      <c r="L10679" s="82"/>
      <c r="N10679" s="17"/>
      <c r="O10679" s="17"/>
    </row>
    <row r="10680" spans="1:15" ht="84" customHeight="1" x14ac:dyDescent="0.3">
      <c r="A10680" s="2">
        <v>10678</v>
      </c>
      <c r="B10680" s="105" t="s">
        <v>17125</v>
      </c>
      <c r="C10680" s="105"/>
      <c r="D10680" s="21">
        <v>4224.3999999999996</v>
      </c>
      <c r="E10680" s="21"/>
      <c r="F10680" s="75">
        <v>42403</v>
      </c>
      <c r="G10680" s="38" t="s">
        <v>15349</v>
      </c>
      <c r="H10680" s="2"/>
      <c r="I10680" s="2"/>
      <c r="J10680" s="2" t="s">
        <v>12550</v>
      </c>
      <c r="K10680" s="113"/>
      <c r="L10680" s="82"/>
      <c r="N10680" s="17"/>
      <c r="O10680" s="17"/>
    </row>
    <row r="10681" spans="1:15" ht="84" customHeight="1" x14ac:dyDescent="0.3">
      <c r="A10681" s="2">
        <v>10679</v>
      </c>
      <c r="B10681" s="105" t="s">
        <v>17126</v>
      </c>
      <c r="C10681" s="105"/>
      <c r="D10681" s="21">
        <v>8800.56</v>
      </c>
      <c r="E10681" s="21"/>
      <c r="F10681" s="75">
        <v>42403</v>
      </c>
      <c r="G10681" s="38" t="s">
        <v>15349</v>
      </c>
      <c r="H10681" s="2"/>
      <c r="I10681" s="2"/>
      <c r="J10681" s="2" t="s">
        <v>12550</v>
      </c>
      <c r="K10681" s="113"/>
      <c r="L10681" s="82"/>
      <c r="N10681" s="17"/>
      <c r="O10681" s="17"/>
    </row>
    <row r="10682" spans="1:15" ht="84" customHeight="1" x14ac:dyDescent="0.3">
      <c r="A10682" s="2">
        <v>10680</v>
      </c>
      <c r="B10682" s="105" t="s">
        <v>17127</v>
      </c>
      <c r="C10682" s="105"/>
      <c r="D10682" s="21">
        <v>1532415</v>
      </c>
      <c r="E10682" s="21"/>
      <c r="F10682" s="75">
        <v>42403</v>
      </c>
      <c r="G10682" s="38" t="s">
        <v>15349</v>
      </c>
      <c r="H10682" s="2"/>
      <c r="I10682" s="2"/>
      <c r="J10682" s="2" t="s">
        <v>12550</v>
      </c>
      <c r="K10682" s="113"/>
      <c r="L10682" s="82"/>
      <c r="N10682" s="17"/>
      <c r="O10682" s="17"/>
    </row>
    <row r="10683" spans="1:15" ht="84" customHeight="1" x14ac:dyDescent="0.3">
      <c r="A10683" s="2">
        <v>10681</v>
      </c>
      <c r="B10683" s="105" t="s">
        <v>17128</v>
      </c>
      <c r="C10683" s="105">
        <v>1101360089</v>
      </c>
      <c r="D10683" s="21">
        <v>9174.16</v>
      </c>
      <c r="E10683" s="21"/>
      <c r="F10683" s="75">
        <v>42403</v>
      </c>
      <c r="G10683" s="38" t="s">
        <v>15349</v>
      </c>
      <c r="H10683" s="2"/>
      <c r="I10683" s="2"/>
      <c r="J10683" s="2" t="s">
        <v>12550</v>
      </c>
      <c r="K10683" s="113"/>
      <c r="L10683" s="82"/>
      <c r="N10683" s="17"/>
      <c r="O10683" s="17"/>
    </row>
    <row r="10684" spans="1:15" ht="84" customHeight="1" x14ac:dyDescent="0.3">
      <c r="A10684" s="2">
        <v>10682</v>
      </c>
      <c r="B10684" s="105" t="s">
        <v>17137</v>
      </c>
      <c r="C10684" s="105"/>
      <c r="D10684" s="21">
        <v>23112</v>
      </c>
      <c r="E10684" s="21"/>
      <c r="F10684" s="75">
        <v>42403</v>
      </c>
      <c r="G10684" s="38" t="s">
        <v>15349</v>
      </c>
      <c r="H10684" s="2"/>
      <c r="I10684" s="2"/>
      <c r="J10684" s="2" t="s">
        <v>12550</v>
      </c>
      <c r="K10684" s="113"/>
      <c r="L10684" s="82"/>
      <c r="N10684" s="17"/>
      <c r="O10684" s="17"/>
    </row>
    <row r="10685" spans="1:15" ht="84" customHeight="1" x14ac:dyDescent="0.3">
      <c r="A10685" s="2">
        <v>10683</v>
      </c>
      <c r="B10685" s="105" t="s">
        <v>17129</v>
      </c>
      <c r="C10685" s="105" t="s">
        <v>17138</v>
      </c>
      <c r="D10685" s="21">
        <v>24375</v>
      </c>
      <c r="E10685" s="21">
        <v>24375</v>
      </c>
      <c r="F10685" s="75">
        <v>42403</v>
      </c>
      <c r="G10685" s="38" t="s">
        <v>15349</v>
      </c>
      <c r="H10685" s="2"/>
      <c r="I10685" s="2"/>
      <c r="J10685" s="2" t="s">
        <v>12550</v>
      </c>
      <c r="K10685" s="113"/>
      <c r="L10685" s="82"/>
      <c r="N10685" s="17"/>
      <c r="O10685" s="17"/>
    </row>
    <row r="10686" spans="1:15" ht="84" customHeight="1" x14ac:dyDescent="0.3">
      <c r="A10686" s="2">
        <v>10684</v>
      </c>
      <c r="B10686" s="105" t="s">
        <v>17130</v>
      </c>
      <c r="C10686" s="105" t="s">
        <v>17113</v>
      </c>
      <c r="D10686" s="21">
        <v>24375</v>
      </c>
      <c r="E10686" s="21">
        <v>24375</v>
      </c>
      <c r="F10686" s="75">
        <v>42403</v>
      </c>
      <c r="G10686" s="38" t="s">
        <v>15349</v>
      </c>
      <c r="H10686" s="2"/>
      <c r="I10686" s="2"/>
      <c r="J10686" s="2" t="s">
        <v>12550</v>
      </c>
      <c r="K10686" s="113"/>
      <c r="L10686" s="82"/>
      <c r="N10686" s="17"/>
      <c r="O10686" s="17"/>
    </row>
    <row r="10687" spans="1:15" ht="84" customHeight="1" x14ac:dyDescent="0.3">
      <c r="A10687" s="2">
        <v>10685</v>
      </c>
      <c r="B10687" s="105" t="s">
        <v>23724</v>
      </c>
      <c r="C10687" s="105"/>
      <c r="D10687" s="21"/>
      <c r="E10687" s="21"/>
      <c r="F10687" s="75">
        <v>42403</v>
      </c>
      <c r="G10687" s="38" t="s">
        <v>15349</v>
      </c>
      <c r="H10687" s="2"/>
      <c r="I10687" s="2"/>
      <c r="J10687" s="2" t="s">
        <v>12550</v>
      </c>
      <c r="K10687" s="113"/>
      <c r="L10687" s="82"/>
      <c r="N10687" s="17"/>
      <c r="O10687" s="17"/>
    </row>
    <row r="10688" spans="1:15" ht="84" customHeight="1" x14ac:dyDescent="0.3">
      <c r="A10688" s="242" t="s">
        <v>23726</v>
      </c>
      <c r="B10688" s="105" t="s">
        <v>23725</v>
      </c>
      <c r="C10688" s="105"/>
      <c r="D10688" s="21"/>
      <c r="E10688" s="21"/>
      <c r="F10688" s="75">
        <v>42403</v>
      </c>
      <c r="G10688" s="38" t="s">
        <v>15349</v>
      </c>
      <c r="H10688" s="242"/>
      <c r="I10688" s="242"/>
      <c r="J10688" s="242" t="s">
        <v>12550</v>
      </c>
      <c r="K10688" s="113"/>
      <c r="L10688" s="246"/>
      <c r="N10688" s="17"/>
      <c r="O10688" s="17"/>
    </row>
    <row r="10689" spans="1:15" ht="84" customHeight="1" x14ac:dyDescent="0.3">
      <c r="A10689" s="242" t="s">
        <v>23729</v>
      </c>
      <c r="B10689" s="105" t="s">
        <v>23727</v>
      </c>
      <c r="C10689" s="105"/>
      <c r="D10689" s="21"/>
      <c r="E10689" s="21"/>
      <c r="F10689" s="75">
        <v>42403</v>
      </c>
      <c r="G10689" s="38" t="s">
        <v>15349</v>
      </c>
      <c r="H10689" s="242"/>
      <c r="I10689" s="242"/>
      <c r="J10689" s="242" t="s">
        <v>12550</v>
      </c>
      <c r="K10689" s="113"/>
      <c r="L10689" s="246"/>
      <c r="N10689" s="17"/>
      <c r="O10689" s="17"/>
    </row>
    <row r="10690" spans="1:15" ht="84" customHeight="1" x14ac:dyDescent="0.3">
      <c r="A10690" s="242" t="s">
        <v>23730</v>
      </c>
      <c r="B10690" s="105" t="s">
        <v>23728</v>
      </c>
      <c r="C10690" s="105"/>
      <c r="D10690" s="21"/>
      <c r="E10690" s="21"/>
      <c r="F10690" s="75">
        <v>42403</v>
      </c>
      <c r="G10690" s="38" t="s">
        <v>15349</v>
      </c>
      <c r="H10690" s="242"/>
      <c r="I10690" s="242"/>
      <c r="J10690" s="242" t="s">
        <v>12550</v>
      </c>
      <c r="K10690" s="113"/>
      <c r="L10690" s="246"/>
      <c r="N10690" s="17"/>
      <c r="O10690" s="17"/>
    </row>
    <row r="10691" spans="1:15" ht="84" customHeight="1" x14ac:dyDescent="0.3">
      <c r="A10691" s="242" t="s">
        <v>23731</v>
      </c>
      <c r="B10691" s="105" t="s">
        <v>23736</v>
      </c>
      <c r="C10691" s="105"/>
      <c r="D10691" s="21"/>
      <c r="E10691" s="21"/>
      <c r="F10691" s="75">
        <v>42403</v>
      </c>
      <c r="G10691" s="38" t="s">
        <v>15349</v>
      </c>
      <c r="H10691" s="242"/>
      <c r="I10691" s="242"/>
      <c r="J10691" s="242" t="s">
        <v>12550</v>
      </c>
      <c r="K10691" s="113"/>
      <c r="L10691" s="246"/>
      <c r="N10691" s="17"/>
      <c r="O10691" s="17"/>
    </row>
    <row r="10692" spans="1:15" ht="84" customHeight="1" x14ac:dyDescent="0.3">
      <c r="A10692" s="242" t="s">
        <v>23732</v>
      </c>
      <c r="B10692" s="105" t="s">
        <v>23737</v>
      </c>
      <c r="C10692" s="105"/>
      <c r="D10692" s="21"/>
      <c r="E10692" s="21"/>
      <c r="F10692" s="75">
        <v>42403</v>
      </c>
      <c r="G10692" s="38" t="s">
        <v>15349</v>
      </c>
      <c r="H10692" s="242"/>
      <c r="I10692" s="242"/>
      <c r="J10692" s="242" t="s">
        <v>12550</v>
      </c>
      <c r="K10692" s="113"/>
      <c r="L10692" s="246"/>
      <c r="N10692" s="17"/>
      <c r="O10692" s="17"/>
    </row>
    <row r="10693" spans="1:15" ht="84" customHeight="1" x14ac:dyDescent="0.3">
      <c r="A10693" s="242" t="s">
        <v>23733</v>
      </c>
      <c r="B10693" s="105" t="s">
        <v>23738</v>
      </c>
      <c r="C10693" s="105"/>
      <c r="D10693" s="21"/>
      <c r="E10693" s="21"/>
      <c r="F10693" s="75">
        <v>42403</v>
      </c>
      <c r="G10693" s="38" t="s">
        <v>15349</v>
      </c>
      <c r="H10693" s="242"/>
      <c r="I10693" s="242"/>
      <c r="J10693" s="242" t="s">
        <v>12550</v>
      </c>
      <c r="K10693" s="113"/>
      <c r="L10693" s="246"/>
      <c r="N10693" s="17"/>
      <c r="O10693" s="17"/>
    </row>
    <row r="10694" spans="1:15" ht="84" customHeight="1" x14ac:dyDescent="0.3">
      <c r="A10694" s="242" t="s">
        <v>23734</v>
      </c>
      <c r="B10694" s="105" t="s">
        <v>23739</v>
      </c>
      <c r="C10694" s="105"/>
      <c r="D10694" s="21"/>
      <c r="E10694" s="21"/>
      <c r="F10694" s="75">
        <v>42403</v>
      </c>
      <c r="G10694" s="38" t="s">
        <v>15349</v>
      </c>
      <c r="H10694" s="242"/>
      <c r="I10694" s="242"/>
      <c r="J10694" s="242" t="s">
        <v>12550</v>
      </c>
      <c r="K10694" s="113"/>
      <c r="L10694" s="246"/>
      <c r="N10694" s="17"/>
      <c r="O10694" s="17"/>
    </row>
    <row r="10695" spans="1:15" ht="84" customHeight="1" x14ac:dyDescent="0.3">
      <c r="A10695" s="242" t="s">
        <v>23735</v>
      </c>
      <c r="B10695" s="105" t="s">
        <v>23740</v>
      </c>
      <c r="C10695" s="105"/>
      <c r="D10695" s="21"/>
      <c r="E10695" s="21"/>
      <c r="F10695" s="75">
        <v>42403</v>
      </c>
      <c r="G10695" s="38" t="s">
        <v>15349</v>
      </c>
      <c r="H10695" s="242"/>
      <c r="I10695" s="242"/>
      <c r="J10695" s="242" t="s">
        <v>12550</v>
      </c>
      <c r="K10695" s="113"/>
      <c r="L10695" s="246"/>
      <c r="N10695" s="17"/>
      <c r="O10695" s="17"/>
    </row>
    <row r="10696" spans="1:15" ht="84" customHeight="1" x14ac:dyDescent="0.3">
      <c r="A10696" s="242" t="s">
        <v>23741</v>
      </c>
      <c r="B10696" s="105" t="s">
        <v>23747</v>
      </c>
      <c r="C10696" s="105"/>
      <c r="D10696" s="21"/>
      <c r="E10696" s="21"/>
      <c r="F10696" s="75">
        <v>42403</v>
      </c>
      <c r="G10696" s="38" t="s">
        <v>15349</v>
      </c>
      <c r="H10696" s="242"/>
      <c r="I10696" s="242"/>
      <c r="J10696" s="242" t="s">
        <v>12550</v>
      </c>
      <c r="K10696" s="113"/>
      <c r="L10696" s="246"/>
      <c r="N10696" s="17"/>
      <c r="O10696" s="17"/>
    </row>
    <row r="10697" spans="1:15" ht="84" customHeight="1" x14ac:dyDescent="0.3">
      <c r="A10697" s="242" t="s">
        <v>23742</v>
      </c>
      <c r="B10697" s="105" t="s">
        <v>23800</v>
      </c>
      <c r="C10697" s="105"/>
      <c r="D10697" s="21"/>
      <c r="E10697" s="21"/>
      <c r="F10697" s="75">
        <v>42403</v>
      </c>
      <c r="G10697" s="38" t="s">
        <v>15349</v>
      </c>
      <c r="H10697" s="242"/>
      <c r="I10697" s="242"/>
      <c r="J10697" s="242" t="s">
        <v>12550</v>
      </c>
      <c r="K10697" s="113"/>
      <c r="L10697" s="246"/>
      <c r="N10697" s="17"/>
      <c r="O10697" s="17"/>
    </row>
    <row r="10698" spans="1:15" ht="84" customHeight="1" x14ac:dyDescent="0.3">
      <c r="A10698" s="242" t="s">
        <v>23743</v>
      </c>
      <c r="B10698" s="105" t="s">
        <v>23748</v>
      </c>
      <c r="C10698" s="105"/>
      <c r="D10698" s="21"/>
      <c r="E10698" s="21"/>
      <c r="F10698" s="75">
        <v>42403</v>
      </c>
      <c r="G10698" s="38" t="s">
        <v>15349</v>
      </c>
      <c r="H10698" s="242"/>
      <c r="I10698" s="242"/>
      <c r="J10698" s="242" t="s">
        <v>12550</v>
      </c>
      <c r="K10698" s="113"/>
      <c r="L10698" s="246"/>
      <c r="N10698" s="17"/>
      <c r="O10698" s="17"/>
    </row>
    <row r="10699" spans="1:15" ht="84" customHeight="1" x14ac:dyDescent="0.3">
      <c r="A10699" s="242" t="s">
        <v>23744</v>
      </c>
      <c r="B10699" s="105" t="s">
        <v>23749</v>
      </c>
      <c r="C10699" s="105"/>
      <c r="D10699" s="21"/>
      <c r="E10699" s="21"/>
      <c r="F10699" s="75">
        <v>42403</v>
      </c>
      <c r="G10699" s="38" t="s">
        <v>15349</v>
      </c>
      <c r="H10699" s="242"/>
      <c r="I10699" s="242"/>
      <c r="J10699" s="242" t="s">
        <v>12550</v>
      </c>
      <c r="K10699" s="113"/>
      <c r="L10699" s="246"/>
      <c r="N10699" s="17"/>
      <c r="O10699" s="17"/>
    </row>
    <row r="10700" spans="1:15" ht="84" customHeight="1" x14ac:dyDescent="0.3">
      <c r="A10700" s="242" t="s">
        <v>23745</v>
      </c>
      <c r="B10700" s="105" t="s">
        <v>23750</v>
      </c>
      <c r="C10700" s="105"/>
      <c r="D10700" s="21"/>
      <c r="E10700" s="21"/>
      <c r="F10700" s="75">
        <v>42403</v>
      </c>
      <c r="G10700" s="38" t="s">
        <v>15349</v>
      </c>
      <c r="H10700" s="242"/>
      <c r="I10700" s="242"/>
      <c r="J10700" s="242" t="s">
        <v>12550</v>
      </c>
      <c r="K10700" s="113"/>
      <c r="L10700" s="246"/>
      <c r="N10700" s="17"/>
      <c r="O10700" s="17"/>
    </row>
    <row r="10701" spans="1:15" ht="84" customHeight="1" x14ac:dyDescent="0.3">
      <c r="A10701" s="242" t="s">
        <v>23746</v>
      </c>
      <c r="B10701" s="105" t="s">
        <v>23751</v>
      </c>
      <c r="C10701" s="105"/>
      <c r="D10701" s="21"/>
      <c r="E10701" s="21"/>
      <c r="F10701" s="75">
        <v>42403</v>
      </c>
      <c r="G10701" s="38" t="s">
        <v>15349</v>
      </c>
      <c r="H10701" s="242"/>
      <c r="I10701" s="242"/>
      <c r="J10701" s="242" t="s">
        <v>12550</v>
      </c>
      <c r="K10701" s="113"/>
      <c r="L10701" s="246"/>
      <c r="N10701" s="17"/>
      <c r="O10701" s="17"/>
    </row>
    <row r="10702" spans="1:15" ht="84" customHeight="1" x14ac:dyDescent="0.3">
      <c r="A10702" s="242" t="s">
        <v>23752</v>
      </c>
      <c r="B10702" s="105" t="s">
        <v>23755</v>
      </c>
      <c r="C10702" s="105"/>
      <c r="D10702" s="21"/>
      <c r="E10702" s="21"/>
      <c r="F10702" s="75">
        <v>42403</v>
      </c>
      <c r="G10702" s="38" t="s">
        <v>15349</v>
      </c>
      <c r="H10702" s="242"/>
      <c r="I10702" s="242"/>
      <c r="J10702" s="242" t="s">
        <v>12550</v>
      </c>
      <c r="K10702" s="113"/>
      <c r="L10702" s="246"/>
      <c r="N10702" s="17"/>
      <c r="O10702" s="17"/>
    </row>
    <row r="10703" spans="1:15" ht="84" customHeight="1" x14ac:dyDescent="0.3">
      <c r="A10703" s="242" t="s">
        <v>23753</v>
      </c>
      <c r="B10703" s="105" t="s">
        <v>23756</v>
      </c>
      <c r="C10703" s="105"/>
      <c r="D10703" s="21"/>
      <c r="E10703" s="21"/>
      <c r="F10703" s="75">
        <v>42403</v>
      </c>
      <c r="G10703" s="38" t="s">
        <v>15349</v>
      </c>
      <c r="H10703" s="242"/>
      <c r="I10703" s="242"/>
      <c r="J10703" s="242" t="s">
        <v>12550</v>
      </c>
      <c r="K10703" s="113"/>
      <c r="L10703" s="246"/>
      <c r="N10703" s="17"/>
      <c r="O10703" s="17"/>
    </row>
    <row r="10704" spans="1:15" ht="84" customHeight="1" x14ac:dyDescent="0.3">
      <c r="A10704" s="242" t="s">
        <v>23754</v>
      </c>
      <c r="B10704" s="105" t="s">
        <v>23757</v>
      </c>
      <c r="C10704" s="105"/>
      <c r="D10704" s="21"/>
      <c r="E10704" s="21"/>
      <c r="F10704" s="75">
        <v>42403</v>
      </c>
      <c r="G10704" s="38" t="s">
        <v>15349</v>
      </c>
      <c r="H10704" s="242"/>
      <c r="I10704" s="242"/>
      <c r="J10704" s="242" t="s">
        <v>12550</v>
      </c>
      <c r="K10704" s="113"/>
      <c r="L10704" s="246"/>
      <c r="N10704" s="17"/>
      <c r="O10704" s="17"/>
    </row>
    <row r="10705" spans="1:15" ht="84" customHeight="1" x14ac:dyDescent="0.3">
      <c r="A10705" s="242" t="s">
        <v>23758</v>
      </c>
      <c r="B10705" s="105" t="s">
        <v>23766</v>
      </c>
      <c r="C10705" s="105"/>
      <c r="D10705" s="21"/>
      <c r="E10705" s="21"/>
      <c r="F10705" s="75">
        <v>42403</v>
      </c>
      <c r="G10705" s="38" t="s">
        <v>15349</v>
      </c>
      <c r="H10705" s="242"/>
      <c r="I10705" s="242"/>
      <c r="J10705" s="242" t="s">
        <v>12550</v>
      </c>
      <c r="K10705" s="113"/>
      <c r="L10705" s="246"/>
      <c r="N10705" s="17"/>
      <c r="O10705" s="17"/>
    </row>
    <row r="10706" spans="1:15" ht="84" customHeight="1" x14ac:dyDescent="0.3">
      <c r="A10706" s="242" t="s">
        <v>23759</v>
      </c>
      <c r="B10706" s="105" t="s">
        <v>23767</v>
      </c>
      <c r="C10706" s="105"/>
      <c r="D10706" s="21"/>
      <c r="E10706" s="21"/>
      <c r="F10706" s="75">
        <v>42403</v>
      </c>
      <c r="G10706" s="38" t="s">
        <v>15349</v>
      </c>
      <c r="H10706" s="242"/>
      <c r="I10706" s="242"/>
      <c r="J10706" s="242" t="s">
        <v>12550</v>
      </c>
      <c r="K10706" s="113"/>
      <c r="L10706" s="246"/>
      <c r="N10706" s="17"/>
      <c r="O10706" s="17"/>
    </row>
    <row r="10707" spans="1:15" ht="84" customHeight="1" x14ac:dyDescent="0.3">
      <c r="A10707" s="242" t="s">
        <v>23760</v>
      </c>
      <c r="B10707" s="105" t="s">
        <v>23768</v>
      </c>
      <c r="C10707" s="105"/>
      <c r="D10707" s="21"/>
      <c r="E10707" s="21"/>
      <c r="F10707" s="75">
        <v>42403</v>
      </c>
      <c r="G10707" s="38" t="s">
        <v>15349</v>
      </c>
      <c r="H10707" s="242"/>
      <c r="I10707" s="242"/>
      <c r="J10707" s="242" t="s">
        <v>12550</v>
      </c>
      <c r="K10707" s="113"/>
      <c r="L10707" s="246"/>
      <c r="N10707" s="17"/>
      <c r="O10707" s="17"/>
    </row>
    <row r="10708" spans="1:15" ht="84" customHeight="1" x14ac:dyDescent="0.3">
      <c r="A10708" s="242" t="s">
        <v>23761</v>
      </c>
      <c r="B10708" s="105" t="s">
        <v>23769</v>
      </c>
      <c r="C10708" s="105"/>
      <c r="D10708" s="21"/>
      <c r="E10708" s="21"/>
      <c r="F10708" s="75">
        <v>42403</v>
      </c>
      <c r="G10708" s="38" t="s">
        <v>15349</v>
      </c>
      <c r="H10708" s="242"/>
      <c r="I10708" s="242"/>
      <c r="J10708" s="242" t="s">
        <v>12550</v>
      </c>
      <c r="K10708" s="113"/>
      <c r="L10708" s="246"/>
      <c r="N10708" s="17"/>
      <c r="O10708" s="17"/>
    </row>
    <row r="10709" spans="1:15" ht="84" customHeight="1" x14ac:dyDescent="0.3">
      <c r="A10709" s="242" t="s">
        <v>23762</v>
      </c>
      <c r="B10709" s="105" t="s">
        <v>23770</v>
      </c>
      <c r="C10709" s="105"/>
      <c r="D10709" s="21"/>
      <c r="E10709" s="21"/>
      <c r="F10709" s="75">
        <v>42403</v>
      </c>
      <c r="G10709" s="38" t="s">
        <v>15349</v>
      </c>
      <c r="H10709" s="242"/>
      <c r="I10709" s="242"/>
      <c r="J10709" s="242" t="s">
        <v>12550</v>
      </c>
      <c r="K10709" s="113"/>
      <c r="L10709" s="246"/>
      <c r="N10709" s="17"/>
      <c r="O10709" s="17"/>
    </row>
    <row r="10710" spans="1:15" ht="84" customHeight="1" x14ac:dyDescent="0.3">
      <c r="A10710" s="242" t="s">
        <v>23763</v>
      </c>
      <c r="B10710" s="105" t="s">
        <v>23771</v>
      </c>
      <c r="C10710" s="105"/>
      <c r="D10710" s="21"/>
      <c r="E10710" s="21"/>
      <c r="F10710" s="75">
        <v>42403</v>
      </c>
      <c r="G10710" s="38" t="s">
        <v>15349</v>
      </c>
      <c r="H10710" s="242"/>
      <c r="I10710" s="242"/>
      <c r="J10710" s="242" t="s">
        <v>12550</v>
      </c>
      <c r="K10710" s="113"/>
      <c r="L10710" s="246"/>
      <c r="N10710" s="17"/>
      <c r="O10710" s="17"/>
    </row>
    <row r="10711" spans="1:15" ht="84" customHeight="1" x14ac:dyDescent="0.3">
      <c r="A10711" s="242" t="s">
        <v>23764</v>
      </c>
      <c r="B10711" s="105" t="s">
        <v>23772</v>
      </c>
      <c r="C10711" s="105"/>
      <c r="D10711" s="21"/>
      <c r="E10711" s="21"/>
      <c r="F10711" s="75">
        <v>42403</v>
      </c>
      <c r="G10711" s="38" t="s">
        <v>15349</v>
      </c>
      <c r="H10711" s="242"/>
      <c r="I10711" s="242"/>
      <c r="J10711" s="242" t="s">
        <v>12550</v>
      </c>
      <c r="K10711" s="113"/>
      <c r="L10711" s="246"/>
      <c r="N10711" s="17"/>
      <c r="O10711" s="17"/>
    </row>
    <row r="10712" spans="1:15" ht="84" customHeight="1" x14ac:dyDescent="0.3">
      <c r="A10712" s="242" t="s">
        <v>23765</v>
      </c>
      <c r="B10712" s="105" t="s">
        <v>23799</v>
      </c>
      <c r="C10712" s="105"/>
      <c r="D10712" s="21"/>
      <c r="E10712" s="21"/>
      <c r="F10712" s="75">
        <v>42403</v>
      </c>
      <c r="G10712" s="38" t="s">
        <v>15349</v>
      </c>
      <c r="H10712" s="242"/>
      <c r="I10712" s="242"/>
      <c r="J10712" s="242" t="s">
        <v>12550</v>
      </c>
      <c r="K10712" s="113"/>
      <c r="L10712" s="246"/>
      <c r="N10712" s="17"/>
      <c r="O10712" s="17"/>
    </row>
    <row r="10713" spans="1:15" ht="84" customHeight="1" x14ac:dyDescent="0.3">
      <c r="A10713" s="242" t="s">
        <v>23773</v>
      </c>
      <c r="B10713" s="105" t="s">
        <v>23787</v>
      </c>
      <c r="C10713" s="105"/>
      <c r="D10713" s="21"/>
      <c r="E10713" s="21"/>
      <c r="F10713" s="75">
        <v>42403</v>
      </c>
      <c r="G10713" s="38" t="s">
        <v>15349</v>
      </c>
      <c r="H10713" s="242"/>
      <c r="I10713" s="242"/>
      <c r="J10713" s="242" t="s">
        <v>12550</v>
      </c>
      <c r="K10713" s="113"/>
      <c r="L10713" s="246"/>
      <c r="N10713" s="17"/>
      <c r="O10713" s="17"/>
    </row>
    <row r="10714" spans="1:15" ht="84" customHeight="1" x14ac:dyDescent="0.3">
      <c r="A10714" s="242" t="s">
        <v>23774</v>
      </c>
      <c r="B10714" s="105" t="s">
        <v>23788</v>
      </c>
      <c r="C10714" s="105"/>
      <c r="D10714" s="21"/>
      <c r="E10714" s="21"/>
      <c r="F10714" s="75">
        <v>42403</v>
      </c>
      <c r="G10714" s="38" t="s">
        <v>15349</v>
      </c>
      <c r="H10714" s="242"/>
      <c r="I10714" s="242"/>
      <c r="J10714" s="242" t="s">
        <v>12550</v>
      </c>
      <c r="K10714" s="113"/>
      <c r="L10714" s="246"/>
      <c r="N10714" s="17"/>
      <c r="O10714" s="17"/>
    </row>
    <row r="10715" spans="1:15" ht="84" customHeight="1" x14ac:dyDescent="0.3">
      <c r="A10715" s="242" t="s">
        <v>23775</v>
      </c>
      <c r="B10715" s="105" t="s">
        <v>23789</v>
      </c>
      <c r="C10715" s="105"/>
      <c r="D10715" s="21"/>
      <c r="E10715" s="21"/>
      <c r="F10715" s="75">
        <v>42403</v>
      </c>
      <c r="G10715" s="38" t="s">
        <v>15349</v>
      </c>
      <c r="H10715" s="242"/>
      <c r="I10715" s="242"/>
      <c r="J10715" s="242" t="s">
        <v>12550</v>
      </c>
      <c r="K10715" s="113"/>
      <c r="L10715" s="246"/>
      <c r="N10715" s="17"/>
      <c r="O10715" s="17"/>
    </row>
    <row r="10716" spans="1:15" ht="84" customHeight="1" x14ac:dyDescent="0.3">
      <c r="A10716" s="242" t="s">
        <v>23776</v>
      </c>
      <c r="B10716" s="105" t="s">
        <v>23790</v>
      </c>
      <c r="C10716" s="105"/>
      <c r="D10716" s="21"/>
      <c r="E10716" s="21"/>
      <c r="F10716" s="75">
        <v>42403</v>
      </c>
      <c r="G10716" s="38" t="s">
        <v>15349</v>
      </c>
      <c r="H10716" s="242"/>
      <c r="I10716" s="242"/>
      <c r="J10716" s="242" t="s">
        <v>12550</v>
      </c>
      <c r="K10716" s="113"/>
      <c r="L10716" s="246"/>
      <c r="N10716" s="17"/>
      <c r="O10716" s="17"/>
    </row>
    <row r="10717" spans="1:15" ht="84" customHeight="1" x14ac:dyDescent="0.3">
      <c r="A10717" s="242" t="s">
        <v>23777</v>
      </c>
      <c r="B10717" s="105" t="s">
        <v>23791</v>
      </c>
      <c r="C10717" s="105"/>
      <c r="D10717" s="21"/>
      <c r="E10717" s="21"/>
      <c r="F10717" s="75">
        <v>42403</v>
      </c>
      <c r="G10717" s="38" t="s">
        <v>15349</v>
      </c>
      <c r="H10717" s="242"/>
      <c r="I10717" s="242"/>
      <c r="J10717" s="242" t="s">
        <v>12550</v>
      </c>
      <c r="K10717" s="113"/>
      <c r="L10717" s="246"/>
      <c r="N10717" s="17"/>
      <c r="O10717" s="17"/>
    </row>
    <row r="10718" spans="1:15" ht="84" customHeight="1" x14ac:dyDescent="0.3">
      <c r="A10718" s="242" t="s">
        <v>23778</v>
      </c>
      <c r="B10718" s="105" t="s">
        <v>23792</v>
      </c>
      <c r="C10718" s="105"/>
      <c r="D10718" s="21"/>
      <c r="E10718" s="21"/>
      <c r="F10718" s="75">
        <v>42403</v>
      </c>
      <c r="G10718" s="38" t="s">
        <v>15349</v>
      </c>
      <c r="H10718" s="242"/>
      <c r="I10718" s="242"/>
      <c r="J10718" s="242" t="s">
        <v>12550</v>
      </c>
      <c r="K10718" s="113"/>
      <c r="L10718" s="246"/>
      <c r="N10718" s="17"/>
      <c r="O10718" s="17"/>
    </row>
    <row r="10719" spans="1:15" ht="84" customHeight="1" x14ac:dyDescent="0.3">
      <c r="A10719" s="242" t="s">
        <v>23779</v>
      </c>
      <c r="B10719" s="105" t="s">
        <v>23793</v>
      </c>
      <c r="C10719" s="105"/>
      <c r="D10719" s="21"/>
      <c r="E10719" s="21"/>
      <c r="F10719" s="75">
        <v>42403</v>
      </c>
      <c r="G10719" s="38" t="s">
        <v>15349</v>
      </c>
      <c r="H10719" s="242"/>
      <c r="I10719" s="242"/>
      <c r="J10719" s="242" t="s">
        <v>12550</v>
      </c>
      <c r="K10719" s="113"/>
      <c r="L10719" s="246"/>
      <c r="N10719" s="17"/>
      <c r="O10719" s="17"/>
    </row>
    <row r="10720" spans="1:15" ht="84" customHeight="1" x14ac:dyDescent="0.3">
      <c r="A10720" s="242" t="s">
        <v>23780</v>
      </c>
      <c r="B10720" s="105" t="s">
        <v>23794</v>
      </c>
      <c r="C10720" s="105"/>
      <c r="D10720" s="21"/>
      <c r="E10720" s="21"/>
      <c r="F10720" s="75">
        <v>42403</v>
      </c>
      <c r="G10720" s="38" t="s">
        <v>15349</v>
      </c>
      <c r="H10720" s="242"/>
      <c r="I10720" s="242"/>
      <c r="J10720" s="242" t="s">
        <v>12550</v>
      </c>
      <c r="K10720" s="113"/>
      <c r="L10720" s="246"/>
      <c r="N10720" s="17"/>
      <c r="O10720" s="17"/>
    </row>
    <row r="10721" spans="1:15" ht="84" customHeight="1" x14ac:dyDescent="0.3">
      <c r="A10721" s="242" t="s">
        <v>23781</v>
      </c>
      <c r="B10721" s="105" t="s">
        <v>23795</v>
      </c>
      <c r="C10721" s="105"/>
      <c r="D10721" s="21"/>
      <c r="E10721" s="21"/>
      <c r="F10721" s="75">
        <v>42403</v>
      </c>
      <c r="G10721" s="38" t="s">
        <v>15349</v>
      </c>
      <c r="H10721" s="242"/>
      <c r="I10721" s="242"/>
      <c r="J10721" s="242" t="s">
        <v>12550</v>
      </c>
      <c r="K10721" s="113"/>
      <c r="L10721" s="246"/>
      <c r="N10721" s="17"/>
      <c r="O10721" s="17"/>
    </row>
    <row r="10722" spans="1:15" ht="84" customHeight="1" x14ac:dyDescent="0.3">
      <c r="A10722" s="242" t="s">
        <v>23782</v>
      </c>
      <c r="B10722" s="105" t="s">
        <v>23796</v>
      </c>
      <c r="C10722" s="105"/>
      <c r="D10722" s="21"/>
      <c r="E10722" s="21"/>
      <c r="F10722" s="75">
        <v>42403</v>
      </c>
      <c r="G10722" s="38" t="s">
        <v>15349</v>
      </c>
      <c r="H10722" s="242"/>
      <c r="I10722" s="242"/>
      <c r="J10722" s="242" t="s">
        <v>12550</v>
      </c>
      <c r="K10722" s="113"/>
      <c r="L10722" s="246"/>
      <c r="N10722" s="17"/>
      <c r="O10722" s="17"/>
    </row>
    <row r="10723" spans="1:15" ht="84" customHeight="1" x14ac:dyDescent="0.3">
      <c r="A10723" s="242" t="s">
        <v>23783</v>
      </c>
      <c r="B10723" s="105" t="s">
        <v>23797</v>
      </c>
      <c r="C10723" s="105"/>
      <c r="D10723" s="21"/>
      <c r="E10723" s="21"/>
      <c r="F10723" s="75">
        <v>42403</v>
      </c>
      <c r="G10723" s="38" t="s">
        <v>15349</v>
      </c>
      <c r="H10723" s="242"/>
      <c r="I10723" s="242"/>
      <c r="J10723" s="242" t="s">
        <v>12550</v>
      </c>
      <c r="K10723" s="113"/>
      <c r="L10723" s="246"/>
      <c r="N10723" s="17"/>
      <c r="O10723" s="17"/>
    </row>
    <row r="10724" spans="1:15" ht="84" customHeight="1" x14ac:dyDescent="0.3">
      <c r="A10724" s="242" t="s">
        <v>23784</v>
      </c>
      <c r="B10724" s="105" t="s">
        <v>23798</v>
      </c>
      <c r="C10724" s="105"/>
      <c r="D10724" s="21"/>
      <c r="E10724" s="21"/>
      <c r="F10724" s="75">
        <v>42403</v>
      </c>
      <c r="G10724" s="38" t="s">
        <v>15349</v>
      </c>
      <c r="H10724" s="242"/>
      <c r="I10724" s="242"/>
      <c r="J10724" s="242" t="s">
        <v>12550</v>
      </c>
      <c r="K10724" s="113"/>
      <c r="L10724" s="246"/>
      <c r="N10724" s="17"/>
      <c r="O10724" s="17"/>
    </row>
    <row r="10725" spans="1:15" ht="84" customHeight="1" x14ac:dyDescent="0.3">
      <c r="A10725" s="242" t="s">
        <v>23785</v>
      </c>
      <c r="B10725" s="105" t="s">
        <v>23801</v>
      </c>
      <c r="C10725" s="105"/>
      <c r="D10725" s="21"/>
      <c r="E10725" s="21"/>
      <c r="F10725" s="75">
        <v>42403</v>
      </c>
      <c r="G10725" s="38" t="s">
        <v>15349</v>
      </c>
      <c r="H10725" s="242"/>
      <c r="I10725" s="242"/>
      <c r="J10725" s="242" t="s">
        <v>12550</v>
      </c>
      <c r="K10725" s="113"/>
      <c r="L10725" s="246"/>
      <c r="N10725" s="17"/>
      <c r="O10725" s="17"/>
    </row>
    <row r="10726" spans="1:15" ht="84" customHeight="1" x14ac:dyDescent="0.3">
      <c r="A10726" s="242" t="s">
        <v>23786</v>
      </c>
      <c r="B10726" s="105" t="s">
        <v>23802</v>
      </c>
      <c r="C10726" s="105"/>
      <c r="D10726" s="21"/>
      <c r="E10726" s="21"/>
      <c r="F10726" s="75">
        <v>42403</v>
      </c>
      <c r="G10726" s="38" t="s">
        <v>15349</v>
      </c>
      <c r="H10726" s="242"/>
      <c r="I10726" s="242"/>
      <c r="J10726" s="242" t="s">
        <v>12550</v>
      </c>
      <c r="K10726" s="113"/>
      <c r="L10726" s="246"/>
      <c r="N10726" s="17"/>
      <c r="O10726" s="17"/>
    </row>
    <row r="10727" spans="1:15" ht="84" customHeight="1" x14ac:dyDescent="0.3">
      <c r="A10727" s="2">
        <v>10686</v>
      </c>
      <c r="B10727" s="105" t="s">
        <v>17131</v>
      </c>
      <c r="C10727" s="105"/>
      <c r="D10727" s="21"/>
      <c r="E10727" s="21"/>
      <c r="F10727" s="75">
        <v>42403</v>
      </c>
      <c r="G10727" s="38" t="s">
        <v>15349</v>
      </c>
      <c r="H10727" s="2"/>
      <c r="I10727" s="2"/>
      <c r="J10727" s="2" t="s">
        <v>12550</v>
      </c>
      <c r="K10727" s="113"/>
      <c r="L10727" s="82"/>
      <c r="N10727" s="17"/>
      <c r="O10727" s="17"/>
    </row>
    <row r="10728" spans="1:15" ht="84" customHeight="1" x14ac:dyDescent="0.3">
      <c r="A10728" s="2">
        <v>10687</v>
      </c>
      <c r="B10728" s="105" t="s">
        <v>17132</v>
      </c>
      <c r="C10728" s="105"/>
      <c r="D10728" s="21"/>
      <c r="E10728" s="21"/>
      <c r="F10728" s="75">
        <v>42403</v>
      </c>
      <c r="G10728" s="38" t="s">
        <v>15349</v>
      </c>
      <c r="H10728" s="2"/>
      <c r="I10728" s="2"/>
      <c r="J10728" s="2" t="s">
        <v>12550</v>
      </c>
      <c r="K10728" s="113"/>
      <c r="L10728" s="82"/>
      <c r="N10728" s="17"/>
      <c r="O10728" s="17"/>
    </row>
    <row r="10729" spans="1:15" ht="84" customHeight="1" x14ac:dyDescent="0.3">
      <c r="A10729" s="2">
        <v>10688</v>
      </c>
      <c r="B10729" s="105" t="s">
        <v>17133</v>
      </c>
      <c r="C10729" s="105"/>
      <c r="D10729" s="21"/>
      <c r="E10729" s="21"/>
      <c r="F10729" s="75">
        <v>42403</v>
      </c>
      <c r="G10729" s="38" t="s">
        <v>15349</v>
      </c>
      <c r="H10729" s="2"/>
      <c r="I10729" s="2"/>
      <c r="J10729" s="2" t="s">
        <v>12550</v>
      </c>
      <c r="K10729" s="113"/>
      <c r="L10729" s="82"/>
      <c r="N10729" s="17"/>
      <c r="O10729" s="17"/>
    </row>
    <row r="10730" spans="1:15" ht="84" customHeight="1" x14ac:dyDescent="0.3">
      <c r="A10730" s="2">
        <v>10689</v>
      </c>
      <c r="B10730" s="105" t="s">
        <v>17134</v>
      </c>
      <c r="C10730" s="105"/>
      <c r="D10730" s="21"/>
      <c r="E10730" s="21"/>
      <c r="F10730" s="75">
        <v>42403</v>
      </c>
      <c r="G10730" s="38" t="s">
        <v>15349</v>
      </c>
      <c r="H10730" s="2"/>
      <c r="I10730" s="2"/>
      <c r="J10730" s="2" t="s">
        <v>12550</v>
      </c>
      <c r="K10730" s="113"/>
      <c r="L10730" s="82"/>
      <c r="N10730" s="17"/>
      <c r="O10730" s="17"/>
    </row>
    <row r="10731" spans="1:15" ht="84" customHeight="1" x14ac:dyDescent="0.3">
      <c r="A10731" s="2">
        <v>10690</v>
      </c>
      <c r="B10731" s="105" t="s">
        <v>17135</v>
      </c>
      <c r="C10731" s="105"/>
      <c r="D10731" s="21"/>
      <c r="E10731" s="21"/>
      <c r="F10731" s="75">
        <v>42403</v>
      </c>
      <c r="G10731" s="38" t="s">
        <v>15349</v>
      </c>
      <c r="H10731" s="2"/>
      <c r="I10731" s="2"/>
      <c r="J10731" s="2" t="s">
        <v>12550</v>
      </c>
      <c r="K10731" s="82"/>
      <c r="L10731" s="82"/>
      <c r="N10731" s="17"/>
      <c r="O10731" s="17"/>
    </row>
    <row r="10732" spans="1:15" s="19" customFormat="1" ht="84" customHeight="1" x14ac:dyDescent="0.3">
      <c r="A10732" s="2">
        <v>10691</v>
      </c>
      <c r="B10732" s="32" t="s">
        <v>17139</v>
      </c>
      <c r="C10732" s="32"/>
      <c r="D10732" s="32"/>
      <c r="E10732" s="32"/>
      <c r="F10732" s="75">
        <v>42403</v>
      </c>
      <c r="G10732" s="38" t="s">
        <v>15349</v>
      </c>
      <c r="H10732" s="2"/>
      <c r="I10732" s="2"/>
      <c r="J10732" s="2" t="s">
        <v>12550</v>
      </c>
      <c r="K10732" s="2"/>
      <c r="L10732" s="2"/>
      <c r="M10732" s="18"/>
      <c r="N10732" s="18"/>
      <c r="O10732" s="18"/>
    </row>
    <row r="10733" spans="1:15" ht="84" customHeight="1" x14ac:dyDescent="0.3">
      <c r="A10733" s="2">
        <v>10692</v>
      </c>
      <c r="B10733" s="105" t="s">
        <v>17140</v>
      </c>
      <c r="C10733" s="105"/>
      <c r="D10733" s="105"/>
      <c r="E10733" s="105"/>
      <c r="F10733" s="75">
        <v>42403</v>
      </c>
      <c r="G10733" s="38" t="s">
        <v>15349</v>
      </c>
      <c r="H10733" s="2"/>
      <c r="I10733" s="2"/>
      <c r="J10733" s="2" t="s">
        <v>12550</v>
      </c>
      <c r="K10733" s="2"/>
      <c r="L10733" s="82"/>
    </row>
    <row r="10734" spans="1:15" ht="84" customHeight="1" x14ac:dyDescent="0.3">
      <c r="A10734" s="2">
        <v>10693</v>
      </c>
      <c r="B10734" s="105" t="s">
        <v>17141</v>
      </c>
      <c r="C10734" s="105"/>
      <c r="D10734" s="105"/>
      <c r="E10734" s="105"/>
      <c r="F10734" s="75">
        <v>42403</v>
      </c>
      <c r="G10734" s="38" t="s">
        <v>15349</v>
      </c>
      <c r="H10734" s="2"/>
      <c r="I10734" s="2"/>
      <c r="J10734" s="2" t="s">
        <v>12550</v>
      </c>
      <c r="K10734" s="2"/>
      <c r="L10734" s="82"/>
    </row>
    <row r="10735" spans="1:15" ht="84" customHeight="1" x14ac:dyDescent="0.3">
      <c r="A10735" s="2">
        <v>10694</v>
      </c>
      <c r="B10735" s="105" t="s">
        <v>17142</v>
      </c>
      <c r="C10735" s="105"/>
      <c r="D10735" s="105"/>
      <c r="E10735" s="105"/>
      <c r="F10735" s="75">
        <v>42403</v>
      </c>
      <c r="G10735" s="38" t="s">
        <v>15349</v>
      </c>
      <c r="H10735" s="2"/>
      <c r="I10735" s="2"/>
      <c r="J10735" s="2" t="s">
        <v>12550</v>
      </c>
      <c r="K10735" s="2"/>
      <c r="L10735" s="82"/>
    </row>
    <row r="10736" spans="1:15" ht="84" customHeight="1" x14ac:dyDescent="0.3">
      <c r="A10736" s="2">
        <v>10695</v>
      </c>
      <c r="B10736" s="105" t="s">
        <v>17143</v>
      </c>
      <c r="C10736" s="105"/>
      <c r="D10736" s="105"/>
      <c r="E10736" s="105"/>
      <c r="F10736" s="75">
        <v>42403</v>
      </c>
      <c r="G10736" s="38" t="s">
        <v>15349</v>
      </c>
      <c r="H10736" s="2"/>
      <c r="I10736" s="2"/>
      <c r="J10736" s="2" t="s">
        <v>12550</v>
      </c>
      <c r="K10736" s="2"/>
      <c r="L10736" s="82"/>
    </row>
    <row r="10737" spans="1:12" ht="84" customHeight="1" x14ac:dyDescent="0.3">
      <c r="A10737" s="2">
        <v>10696</v>
      </c>
      <c r="B10737" s="105" t="s">
        <v>17144</v>
      </c>
      <c r="C10737" s="105"/>
      <c r="D10737" s="105"/>
      <c r="E10737" s="105"/>
      <c r="F10737" s="75">
        <v>42403</v>
      </c>
      <c r="G10737" s="38" t="s">
        <v>15349</v>
      </c>
      <c r="H10737" s="2"/>
      <c r="I10737" s="2"/>
      <c r="J10737" s="2" t="s">
        <v>12550</v>
      </c>
      <c r="K10737" s="2"/>
      <c r="L10737" s="82"/>
    </row>
    <row r="10738" spans="1:12" ht="84" customHeight="1" x14ac:dyDescent="0.3">
      <c r="A10738" s="2">
        <v>10697</v>
      </c>
      <c r="B10738" s="105" t="s">
        <v>17145</v>
      </c>
      <c r="C10738" s="105"/>
      <c r="D10738" s="105"/>
      <c r="E10738" s="105"/>
      <c r="F10738" s="75">
        <v>42403</v>
      </c>
      <c r="G10738" s="38" t="s">
        <v>15349</v>
      </c>
      <c r="H10738" s="2"/>
      <c r="I10738" s="2"/>
      <c r="J10738" s="2" t="s">
        <v>12550</v>
      </c>
      <c r="K10738" s="2"/>
      <c r="L10738" s="82"/>
    </row>
    <row r="10739" spans="1:12" ht="84" customHeight="1" x14ac:dyDescent="0.3">
      <c r="A10739" s="2">
        <v>10698</v>
      </c>
      <c r="B10739" s="105" t="s">
        <v>17146</v>
      </c>
      <c r="C10739" s="105"/>
      <c r="D10739" s="105"/>
      <c r="E10739" s="105"/>
      <c r="F10739" s="75">
        <v>42403</v>
      </c>
      <c r="G10739" s="38" t="s">
        <v>15349</v>
      </c>
      <c r="H10739" s="2"/>
      <c r="I10739" s="2"/>
      <c r="J10739" s="2" t="s">
        <v>12550</v>
      </c>
      <c r="K10739" s="2"/>
      <c r="L10739" s="82"/>
    </row>
    <row r="10740" spans="1:12" ht="84" customHeight="1" x14ac:dyDescent="0.3">
      <c r="A10740" s="2">
        <v>10699</v>
      </c>
      <c r="B10740" s="105" t="s">
        <v>17147</v>
      </c>
      <c r="C10740" s="105"/>
      <c r="D10740" s="105"/>
      <c r="E10740" s="105"/>
      <c r="F10740" s="75">
        <v>42403</v>
      </c>
      <c r="G10740" s="38" t="s">
        <v>15349</v>
      </c>
      <c r="H10740" s="2"/>
      <c r="I10740" s="2"/>
      <c r="J10740" s="2" t="s">
        <v>12550</v>
      </c>
      <c r="K10740" s="2"/>
      <c r="L10740" s="82"/>
    </row>
    <row r="10741" spans="1:12" ht="84" customHeight="1" x14ac:dyDescent="0.3">
      <c r="A10741" s="2">
        <v>10700</v>
      </c>
      <c r="B10741" s="105" t="s">
        <v>17148</v>
      </c>
      <c r="C10741" s="105"/>
      <c r="D10741" s="105"/>
      <c r="E10741" s="105"/>
      <c r="F10741" s="75">
        <v>42403</v>
      </c>
      <c r="G10741" s="38" t="s">
        <v>15349</v>
      </c>
      <c r="H10741" s="2"/>
      <c r="I10741" s="2"/>
      <c r="J10741" s="2" t="s">
        <v>12550</v>
      </c>
      <c r="K10741" s="2"/>
      <c r="L10741" s="82"/>
    </row>
    <row r="10742" spans="1:12" ht="84" customHeight="1" x14ac:dyDescent="0.3">
      <c r="A10742" s="2">
        <v>10701</v>
      </c>
      <c r="B10742" s="105" t="s">
        <v>17140</v>
      </c>
      <c r="C10742" s="105"/>
      <c r="D10742" s="105"/>
      <c r="E10742" s="105"/>
      <c r="F10742" s="75">
        <v>42403</v>
      </c>
      <c r="G10742" s="38" t="s">
        <v>15349</v>
      </c>
      <c r="H10742" s="2"/>
      <c r="I10742" s="2"/>
      <c r="J10742" s="2" t="s">
        <v>12550</v>
      </c>
      <c r="K10742" s="2"/>
      <c r="L10742" s="82"/>
    </row>
    <row r="10743" spans="1:12" ht="84" customHeight="1" x14ac:dyDescent="0.3">
      <c r="A10743" s="2">
        <v>10702</v>
      </c>
      <c r="B10743" s="105" t="s">
        <v>17149</v>
      </c>
      <c r="C10743" s="105"/>
      <c r="D10743" s="105"/>
      <c r="E10743" s="105"/>
      <c r="F10743" s="75">
        <v>42403</v>
      </c>
      <c r="G10743" s="38" t="s">
        <v>15349</v>
      </c>
      <c r="H10743" s="2"/>
      <c r="I10743" s="2"/>
      <c r="J10743" s="2" t="s">
        <v>12550</v>
      </c>
      <c r="K10743" s="2"/>
      <c r="L10743" s="82"/>
    </row>
    <row r="10744" spans="1:12" ht="84" customHeight="1" x14ac:dyDescent="0.3">
      <c r="A10744" s="2">
        <v>10703</v>
      </c>
      <c r="B10744" s="105" t="s">
        <v>17150</v>
      </c>
      <c r="C10744" s="105"/>
      <c r="D10744" s="105"/>
      <c r="E10744" s="105"/>
      <c r="F10744" s="75">
        <v>42403</v>
      </c>
      <c r="G10744" s="38" t="s">
        <v>15349</v>
      </c>
      <c r="H10744" s="2"/>
      <c r="I10744" s="2"/>
      <c r="J10744" s="2" t="s">
        <v>12550</v>
      </c>
      <c r="K10744" s="2"/>
      <c r="L10744" s="82"/>
    </row>
    <row r="10745" spans="1:12" ht="84" customHeight="1" x14ac:dyDescent="0.3">
      <c r="A10745" s="2">
        <v>10704</v>
      </c>
      <c r="B10745" s="105" t="s">
        <v>17151</v>
      </c>
      <c r="C10745" s="105"/>
      <c r="D10745" s="105"/>
      <c r="E10745" s="105"/>
      <c r="F10745" s="75">
        <v>42403</v>
      </c>
      <c r="G10745" s="38" t="s">
        <v>15349</v>
      </c>
      <c r="H10745" s="2"/>
      <c r="I10745" s="2"/>
      <c r="J10745" s="2" t="s">
        <v>12550</v>
      </c>
      <c r="K10745" s="2"/>
      <c r="L10745" s="82"/>
    </row>
    <row r="10746" spans="1:12" ht="84" customHeight="1" x14ac:dyDescent="0.3">
      <c r="A10746" s="2">
        <v>10705</v>
      </c>
      <c r="B10746" s="105" t="s">
        <v>17152</v>
      </c>
      <c r="C10746" s="105"/>
      <c r="D10746" s="105"/>
      <c r="E10746" s="105"/>
      <c r="F10746" s="75">
        <v>42403</v>
      </c>
      <c r="G10746" s="38" t="s">
        <v>15349</v>
      </c>
      <c r="H10746" s="2"/>
      <c r="I10746" s="2"/>
      <c r="J10746" s="2" t="s">
        <v>12550</v>
      </c>
      <c r="K10746" s="2"/>
      <c r="L10746" s="82"/>
    </row>
    <row r="10747" spans="1:12" ht="84" customHeight="1" x14ac:dyDescent="0.3">
      <c r="A10747" s="2">
        <v>10706</v>
      </c>
      <c r="B10747" s="105" t="s">
        <v>17153</v>
      </c>
      <c r="C10747" s="105"/>
      <c r="D10747" s="105"/>
      <c r="E10747" s="105"/>
      <c r="F10747" s="75">
        <v>42403</v>
      </c>
      <c r="G10747" s="38" t="s">
        <v>15349</v>
      </c>
      <c r="H10747" s="2"/>
      <c r="I10747" s="2"/>
      <c r="J10747" s="2" t="s">
        <v>12550</v>
      </c>
      <c r="K10747" s="2"/>
      <c r="L10747" s="82"/>
    </row>
    <row r="10748" spans="1:12" ht="84" customHeight="1" x14ac:dyDescent="0.3">
      <c r="A10748" s="2">
        <v>10707</v>
      </c>
      <c r="B10748" s="105" t="s">
        <v>17154</v>
      </c>
      <c r="C10748" s="105"/>
      <c r="D10748" s="105"/>
      <c r="E10748" s="105"/>
      <c r="F10748" s="75">
        <v>42403</v>
      </c>
      <c r="G10748" s="38" t="s">
        <v>15349</v>
      </c>
      <c r="H10748" s="2"/>
      <c r="I10748" s="2"/>
      <c r="J10748" s="2" t="s">
        <v>12550</v>
      </c>
      <c r="K10748" s="2"/>
      <c r="L10748" s="82"/>
    </row>
    <row r="10749" spans="1:12" ht="84" customHeight="1" x14ac:dyDescent="0.3">
      <c r="A10749" s="2">
        <v>10708</v>
      </c>
      <c r="B10749" s="105" t="s">
        <v>17155</v>
      </c>
      <c r="C10749" s="105"/>
      <c r="D10749" s="105"/>
      <c r="E10749" s="105"/>
      <c r="F10749" s="75">
        <v>42403</v>
      </c>
      <c r="G10749" s="38" t="s">
        <v>15349</v>
      </c>
      <c r="H10749" s="2"/>
      <c r="I10749" s="2"/>
      <c r="J10749" s="2" t="s">
        <v>12550</v>
      </c>
      <c r="K10749" s="2"/>
      <c r="L10749" s="82"/>
    </row>
    <row r="10750" spans="1:12" ht="84" customHeight="1" x14ac:dyDescent="0.3">
      <c r="A10750" s="2">
        <v>10709</v>
      </c>
      <c r="B10750" s="105" t="s">
        <v>17156</v>
      </c>
      <c r="C10750" s="105"/>
      <c r="D10750" s="105"/>
      <c r="E10750" s="105"/>
      <c r="F10750" s="75">
        <v>42403</v>
      </c>
      <c r="G10750" s="38" t="s">
        <v>15349</v>
      </c>
      <c r="H10750" s="2"/>
      <c r="I10750" s="2"/>
      <c r="J10750" s="2" t="s">
        <v>12550</v>
      </c>
      <c r="K10750" s="2"/>
      <c r="L10750" s="82"/>
    </row>
    <row r="10751" spans="1:12" ht="84" customHeight="1" x14ac:dyDescent="0.3">
      <c r="A10751" s="2">
        <v>10710</v>
      </c>
      <c r="B10751" s="105" t="s">
        <v>17157</v>
      </c>
      <c r="C10751" s="105"/>
      <c r="D10751" s="105"/>
      <c r="E10751" s="105"/>
      <c r="F10751" s="75">
        <v>42403</v>
      </c>
      <c r="G10751" s="38" t="s">
        <v>15349</v>
      </c>
      <c r="H10751" s="2"/>
      <c r="I10751" s="2"/>
      <c r="J10751" s="2" t="s">
        <v>12550</v>
      </c>
      <c r="K10751" s="2"/>
      <c r="L10751" s="82"/>
    </row>
    <row r="10752" spans="1:12" ht="84" customHeight="1" x14ac:dyDescent="0.3">
      <c r="A10752" s="2">
        <v>10711</v>
      </c>
      <c r="B10752" s="105" t="s">
        <v>17158</v>
      </c>
      <c r="C10752" s="105"/>
      <c r="D10752" s="105"/>
      <c r="E10752" s="105"/>
      <c r="F10752" s="75">
        <v>42403</v>
      </c>
      <c r="G10752" s="38" t="s">
        <v>15349</v>
      </c>
      <c r="H10752" s="2"/>
      <c r="I10752" s="2"/>
      <c r="J10752" s="2" t="s">
        <v>12550</v>
      </c>
      <c r="K10752" s="2"/>
      <c r="L10752" s="82"/>
    </row>
    <row r="10753" spans="1:12" ht="84" customHeight="1" x14ac:dyDescent="0.3">
      <c r="A10753" s="2">
        <v>10712</v>
      </c>
      <c r="B10753" s="105" t="s">
        <v>17159</v>
      </c>
      <c r="C10753" s="105"/>
      <c r="D10753" s="105"/>
      <c r="E10753" s="105"/>
      <c r="F10753" s="75">
        <v>42403</v>
      </c>
      <c r="G10753" s="38" t="s">
        <v>15349</v>
      </c>
      <c r="H10753" s="2"/>
      <c r="I10753" s="2"/>
      <c r="J10753" s="2" t="s">
        <v>12550</v>
      </c>
      <c r="K10753" s="2"/>
      <c r="L10753" s="82"/>
    </row>
    <row r="10754" spans="1:12" ht="84" customHeight="1" x14ac:dyDescent="0.3">
      <c r="A10754" s="2">
        <v>10713</v>
      </c>
      <c r="B10754" s="105" t="s">
        <v>17160</v>
      </c>
      <c r="C10754" s="105"/>
      <c r="D10754" s="105"/>
      <c r="E10754" s="105"/>
      <c r="F10754" s="75">
        <v>42403</v>
      </c>
      <c r="G10754" s="38" t="s">
        <v>15349</v>
      </c>
      <c r="H10754" s="2"/>
      <c r="I10754" s="2"/>
      <c r="J10754" s="2" t="s">
        <v>12550</v>
      </c>
      <c r="K10754" s="2"/>
      <c r="L10754" s="82"/>
    </row>
    <row r="10755" spans="1:12" ht="84" customHeight="1" x14ac:dyDescent="0.3">
      <c r="A10755" s="2">
        <v>10714</v>
      </c>
      <c r="B10755" s="105" t="s">
        <v>17161</v>
      </c>
      <c r="C10755" s="105"/>
      <c r="D10755" s="105"/>
      <c r="E10755" s="105"/>
      <c r="F10755" s="75">
        <v>42403</v>
      </c>
      <c r="G10755" s="38" t="s">
        <v>15349</v>
      </c>
      <c r="H10755" s="2"/>
      <c r="I10755" s="2"/>
      <c r="J10755" s="2" t="s">
        <v>12550</v>
      </c>
      <c r="K10755" s="2"/>
      <c r="L10755" s="82"/>
    </row>
    <row r="10756" spans="1:12" ht="84" customHeight="1" x14ac:dyDescent="0.3">
      <c r="A10756" s="2">
        <v>10715</v>
      </c>
      <c r="B10756" s="105" t="s">
        <v>17162</v>
      </c>
      <c r="C10756" s="105"/>
      <c r="D10756" s="105"/>
      <c r="E10756" s="105"/>
      <c r="F10756" s="75">
        <v>42403</v>
      </c>
      <c r="G10756" s="38" t="s">
        <v>15349</v>
      </c>
      <c r="H10756" s="2"/>
      <c r="I10756" s="2"/>
      <c r="J10756" s="2" t="s">
        <v>12550</v>
      </c>
      <c r="K10756" s="2"/>
      <c r="L10756" s="82"/>
    </row>
    <row r="10757" spans="1:12" ht="84" customHeight="1" x14ac:dyDescent="0.3">
      <c r="A10757" s="2">
        <v>10716</v>
      </c>
      <c r="B10757" s="105" t="s">
        <v>17163</v>
      </c>
      <c r="C10757" s="105"/>
      <c r="D10757" s="105"/>
      <c r="E10757" s="105"/>
      <c r="F10757" s="75">
        <v>42403</v>
      </c>
      <c r="G10757" s="38" t="s">
        <v>15349</v>
      </c>
      <c r="H10757" s="2"/>
      <c r="I10757" s="2"/>
      <c r="J10757" s="2" t="s">
        <v>12550</v>
      </c>
      <c r="K10757" s="2"/>
      <c r="L10757" s="82"/>
    </row>
    <row r="10758" spans="1:12" ht="84" customHeight="1" x14ac:dyDescent="0.3">
      <c r="A10758" s="2">
        <v>10717</v>
      </c>
      <c r="B10758" s="105" t="s">
        <v>17164</v>
      </c>
      <c r="C10758" s="105"/>
      <c r="D10758" s="105"/>
      <c r="E10758" s="105"/>
      <c r="F10758" s="75">
        <v>42403</v>
      </c>
      <c r="G10758" s="38" t="s">
        <v>15349</v>
      </c>
      <c r="H10758" s="2"/>
      <c r="I10758" s="2"/>
      <c r="J10758" s="2" t="s">
        <v>12550</v>
      </c>
      <c r="K10758" s="2"/>
      <c r="L10758" s="82"/>
    </row>
    <row r="10759" spans="1:12" ht="84" customHeight="1" x14ac:dyDescent="0.3">
      <c r="A10759" s="2">
        <v>10718</v>
      </c>
      <c r="B10759" s="105" t="s">
        <v>17165</v>
      </c>
      <c r="C10759" s="105"/>
      <c r="D10759" s="105"/>
      <c r="E10759" s="105"/>
      <c r="F10759" s="75">
        <v>42403</v>
      </c>
      <c r="G10759" s="38" t="s">
        <v>15349</v>
      </c>
      <c r="H10759" s="2"/>
      <c r="I10759" s="2"/>
      <c r="J10759" s="2" t="s">
        <v>12550</v>
      </c>
      <c r="K10759" s="2"/>
      <c r="L10759" s="82"/>
    </row>
    <row r="10760" spans="1:12" ht="84" customHeight="1" x14ac:dyDescent="0.3">
      <c r="A10760" s="2">
        <v>10719</v>
      </c>
      <c r="B10760" s="105" t="s">
        <v>17166</v>
      </c>
      <c r="C10760" s="105"/>
      <c r="D10760" s="105"/>
      <c r="E10760" s="105"/>
      <c r="F10760" s="75">
        <v>42403</v>
      </c>
      <c r="G10760" s="38" t="s">
        <v>15349</v>
      </c>
      <c r="H10760" s="2"/>
      <c r="I10760" s="2"/>
      <c r="J10760" s="2" t="s">
        <v>12550</v>
      </c>
      <c r="K10760" s="2"/>
      <c r="L10760" s="82"/>
    </row>
    <row r="10761" spans="1:12" ht="84" customHeight="1" x14ac:dyDescent="0.3">
      <c r="A10761" s="2">
        <v>10720</v>
      </c>
      <c r="B10761" s="105" t="s">
        <v>17167</v>
      </c>
      <c r="C10761" s="105"/>
      <c r="D10761" s="105"/>
      <c r="E10761" s="105"/>
      <c r="F10761" s="75">
        <v>42403</v>
      </c>
      <c r="G10761" s="38" t="s">
        <v>15349</v>
      </c>
      <c r="H10761" s="2"/>
      <c r="I10761" s="2"/>
      <c r="J10761" s="2" t="s">
        <v>12550</v>
      </c>
      <c r="K10761" s="2"/>
      <c r="L10761" s="82"/>
    </row>
    <row r="10762" spans="1:12" ht="84" customHeight="1" x14ac:dyDescent="0.3">
      <c r="A10762" s="2">
        <v>10721</v>
      </c>
      <c r="B10762" s="105" t="s">
        <v>17168</v>
      </c>
      <c r="C10762" s="105"/>
      <c r="D10762" s="105"/>
      <c r="E10762" s="105"/>
      <c r="F10762" s="75">
        <v>42403</v>
      </c>
      <c r="G10762" s="38" t="s">
        <v>15349</v>
      </c>
      <c r="H10762" s="2"/>
      <c r="I10762" s="2"/>
      <c r="J10762" s="2" t="s">
        <v>12550</v>
      </c>
      <c r="K10762" s="2"/>
      <c r="L10762" s="82"/>
    </row>
    <row r="10763" spans="1:12" ht="84" customHeight="1" x14ac:dyDescent="0.3">
      <c r="A10763" s="2">
        <v>10722</v>
      </c>
      <c r="B10763" s="105" t="s">
        <v>17169</v>
      </c>
      <c r="C10763" s="105"/>
      <c r="D10763" s="105"/>
      <c r="E10763" s="105"/>
      <c r="F10763" s="75">
        <v>42403</v>
      </c>
      <c r="G10763" s="38" t="s">
        <v>15349</v>
      </c>
      <c r="H10763" s="2"/>
      <c r="I10763" s="2"/>
      <c r="J10763" s="2" t="s">
        <v>12550</v>
      </c>
      <c r="K10763" s="2"/>
      <c r="L10763" s="82"/>
    </row>
    <row r="10764" spans="1:12" ht="84" customHeight="1" x14ac:dyDescent="0.3">
      <c r="A10764" s="2">
        <v>10723</v>
      </c>
      <c r="B10764" s="105" t="s">
        <v>17170</v>
      </c>
      <c r="C10764" s="105"/>
      <c r="D10764" s="105"/>
      <c r="E10764" s="105"/>
      <c r="F10764" s="75">
        <v>42403</v>
      </c>
      <c r="G10764" s="38" t="s">
        <v>15349</v>
      </c>
      <c r="H10764" s="2"/>
      <c r="I10764" s="2"/>
      <c r="J10764" s="2" t="s">
        <v>12550</v>
      </c>
      <c r="K10764" s="2"/>
      <c r="L10764" s="82"/>
    </row>
    <row r="10765" spans="1:12" ht="84" customHeight="1" x14ac:dyDescent="0.3">
      <c r="A10765" s="2">
        <v>10724</v>
      </c>
      <c r="B10765" s="105" t="s">
        <v>17171</v>
      </c>
      <c r="C10765" s="105"/>
      <c r="D10765" s="105"/>
      <c r="E10765" s="105"/>
      <c r="F10765" s="75">
        <v>42403</v>
      </c>
      <c r="G10765" s="38" t="s">
        <v>15349</v>
      </c>
      <c r="H10765" s="2"/>
      <c r="I10765" s="2"/>
      <c r="J10765" s="2" t="s">
        <v>12550</v>
      </c>
      <c r="K10765" s="2"/>
      <c r="L10765" s="82"/>
    </row>
    <row r="10766" spans="1:12" ht="84" customHeight="1" x14ac:dyDescent="0.3">
      <c r="A10766" s="2">
        <v>10725</v>
      </c>
      <c r="B10766" s="105" t="s">
        <v>17172</v>
      </c>
      <c r="C10766" s="105"/>
      <c r="D10766" s="105"/>
      <c r="E10766" s="105"/>
      <c r="F10766" s="75">
        <v>42403</v>
      </c>
      <c r="G10766" s="38" t="s">
        <v>15349</v>
      </c>
      <c r="H10766" s="2"/>
      <c r="I10766" s="2"/>
      <c r="J10766" s="2" t="s">
        <v>12550</v>
      </c>
      <c r="K10766" s="2"/>
      <c r="L10766" s="82"/>
    </row>
    <row r="10767" spans="1:12" ht="84" customHeight="1" x14ac:dyDescent="0.3">
      <c r="A10767" s="2">
        <v>10726</v>
      </c>
      <c r="B10767" s="105" t="s">
        <v>17173</v>
      </c>
      <c r="C10767" s="105"/>
      <c r="D10767" s="105"/>
      <c r="E10767" s="105"/>
      <c r="F10767" s="75">
        <v>42403</v>
      </c>
      <c r="G10767" s="38" t="s">
        <v>15349</v>
      </c>
      <c r="H10767" s="2"/>
      <c r="I10767" s="2"/>
      <c r="J10767" s="2" t="s">
        <v>12550</v>
      </c>
      <c r="K10767" s="2"/>
      <c r="L10767" s="82"/>
    </row>
    <row r="10768" spans="1:12" ht="84" customHeight="1" x14ac:dyDescent="0.3">
      <c r="A10768" s="2">
        <v>10727</v>
      </c>
      <c r="B10768" s="105" t="s">
        <v>17175</v>
      </c>
      <c r="C10768" s="105"/>
      <c r="D10768" s="105"/>
      <c r="E10768" s="105"/>
      <c r="F10768" s="75">
        <v>42403</v>
      </c>
      <c r="G10768" s="38" t="s">
        <v>15349</v>
      </c>
      <c r="H10768" s="2"/>
      <c r="I10768" s="2"/>
      <c r="J10768" s="2" t="s">
        <v>12550</v>
      </c>
      <c r="K10768" s="2"/>
      <c r="L10768" s="82"/>
    </row>
    <row r="10769" spans="1:12" ht="84" customHeight="1" x14ac:dyDescent="0.3">
      <c r="A10769" s="2">
        <v>10728</v>
      </c>
      <c r="B10769" s="105" t="s">
        <v>17176</v>
      </c>
      <c r="C10769" s="105"/>
      <c r="D10769" s="105"/>
      <c r="E10769" s="105"/>
      <c r="F10769" s="75">
        <v>42403</v>
      </c>
      <c r="G10769" s="38" t="s">
        <v>15349</v>
      </c>
      <c r="H10769" s="2"/>
      <c r="I10769" s="2"/>
      <c r="J10769" s="2" t="s">
        <v>12550</v>
      </c>
      <c r="K10769" s="2"/>
      <c r="L10769" s="82"/>
    </row>
    <row r="10770" spans="1:12" ht="84" customHeight="1" x14ac:dyDescent="0.3">
      <c r="A10770" s="2">
        <v>10729</v>
      </c>
      <c r="B10770" s="105" t="s">
        <v>17174</v>
      </c>
      <c r="C10770" s="105"/>
      <c r="D10770" s="105"/>
      <c r="E10770" s="105"/>
      <c r="F10770" s="75">
        <v>42403</v>
      </c>
      <c r="G10770" s="38" t="s">
        <v>15349</v>
      </c>
      <c r="H10770" s="2"/>
      <c r="I10770" s="2"/>
      <c r="J10770" s="2" t="s">
        <v>12550</v>
      </c>
      <c r="K10770" s="2"/>
      <c r="L10770" s="82"/>
    </row>
    <row r="10771" spans="1:12" ht="84" customHeight="1" x14ac:dyDescent="0.3">
      <c r="A10771" s="2">
        <v>10730</v>
      </c>
      <c r="B10771" s="105" t="s">
        <v>17177</v>
      </c>
      <c r="C10771" s="105"/>
      <c r="D10771" s="105"/>
      <c r="E10771" s="105"/>
      <c r="F10771" s="75">
        <v>42403</v>
      </c>
      <c r="G10771" s="38" t="s">
        <v>15349</v>
      </c>
      <c r="H10771" s="2"/>
      <c r="I10771" s="2"/>
      <c r="J10771" s="2" t="s">
        <v>12550</v>
      </c>
      <c r="K10771" s="2"/>
      <c r="L10771" s="82"/>
    </row>
    <row r="10772" spans="1:12" ht="84" customHeight="1" x14ac:dyDescent="0.3">
      <c r="A10772" s="2">
        <v>10731</v>
      </c>
      <c r="B10772" s="105" t="s">
        <v>17178</v>
      </c>
      <c r="C10772" s="105"/>
      <c r="D10772" s="105"/>
      <c r="E10772" s="105"/>
      <c r="F10772" s="75">
        <v>42403</v>
      </c>
      <c r="G10772" s="38" t="s">
        <v>15349</v>
      </c>
      <c r="H10772" s="2"/>
      <c r="I10772" s="2"/>
      <c r="J10772" s="2" t="s">
        <v>12550</v>
      </c>
      <c r="K10772" s="2"/>
      <c r="L10772" s="82"/>
    </row>
    <row r="10773" spans="1:12" ht="84" customHeight="1" x14ac:dyDescent="0.3">
      <c r="A10773" s="2">
        <v>10732</v>
      </c>
      <c r="B10773" s="105" t="s">
        <v>17179</v>
      </c>
      <c r="C10773" s="105"/>
      <c r="D10773" s="105"/>
      <c r="E10773" s="105"/>
      <c r="F10773" s="75">
        <v>42403</v>
      </c>
      <c r="G10773" s="38" t="s">
        <v>15349</v>
      </c>
      <c r="H10773" s="2"/>
      <c r="I10773" s="2"/>
      <c r="J10773" s="2" t="s">
        <v>12550</v>
      </c>
      <c r="K10773" s="2"/>
      <c r="L10773" s="82"/>
    </row>
    <row r="10774" spans="1:12" ht="84" customHeight="1" x14ac:dyDescent="0.3">
      <c r="A10774" s="2">
        <v>10733</v>
      </c>
      <c r="B10774" s="105" t="s">
        <v>17180</v>
      </c>
      <c r="C10774" s="105"/>
      <c r="D10774" s="105"/>
      <c r="E10774" s="105"/>
      <c r="F10774" s="75">
        <v>42403</v>
      </c>
      <c r="G10774" s="38" t="s">
        <v>15349</v>
      </c>
      <c r="H10774" s="2"/>
      <c r="I10774" s="2"/>
      <c r="J10774" s="2" t="s">
        <v>12550</v>
      </c>
      <c r="K10774" s="2"/>
      <c r="L10774" s="82"/>
    </row>
    <row r="10775" spans="1:12" ht="84" customHeight="1" x14ac:dyDescent="0.3">
      <c r="A10775" s="2">
        <v>10734</v>
      </c>
      <c r="B10775" s="105" t="s">
        <v>17181</v>
      </c>
      <c r="C10775" s="105"/>
      <c r="D10775" s="105"/>
      <c r="E10775" s="105"/>
      <c r="F10775" s="75">
        <v>42403</v>
      </c>
      <c r="G10775" s="38" t="s">
        <v>15349</v>
      </c>
      <c r="H10775" s="2"/>
      <c r="I10775" s="2"/>
      <c r="J10775" s="2" t="s">
        <v>12550</v>
      </c>
      <c r="K10775" s="2"/>
      <c r="L10775" s="82"/>
    </row>
    <row r="10776" spans="1:12" ht="84" customHeight="1" x14ac:dyDescent="0.3">
      <c r="A10776" s="2">
        <v>10735</v>
      </c>
      <c r="B10776" s="105" t="s">
        <v>17182</v>
      </c>
      <c r="C10776" s="105"/>
      <c r="D10776" s="105"/>
      <c r="E10776" s="105"/>
      <c r="F10776" s="75">
        <v>42403</v>
      </c>
      <c r="G10776" s="38" t="s">
        <v>15349</v>
      </c>
      <c r="H10776" s="2"/>
      <c r="I10776" s="2"/>
      <c r="J10776" s="2" t="s">
        <v>12550</v>
      </c>
      <c r="K10776" s="2"/>
      <c r="L10776" s="82"/>
    </row>
    <row r="10777" spans="1:12" ht="84" customHeight="1" x14ac:dyDescent="0.3">
      <c r="A10777" s="2">
        <v>10736</v>
      </c>
      <c r="B10777" s="105" t="s">
        <v>17183</v>
      </c>
      <c r="C10777" s="105"/>
      <c r="D10777" s="105"/>
      <c r="E10777" s="105"/>
      <c r="F10777" s="75">
        <v>42403</v>
      </c>
      <c r="G10777" s="38" t="s">
        <v>15349</v>
      </c>
      <c r="H10777" s="2"/>
      <c r="I10777" s="2"/>
      <c r="J10777" s="2" t="s">
        <v>12550</v>
      </c>
      <c r="K10777" s="2"/>
      <c r="L10777" s="82"/>
    </row>
    <row r="10778" spans="1:12" ht="84" customHeight="1" x14ac:dyDescent="0.3">
      <c r="A10778" s="2">
        <v>10737</v>
      </c>
      <c r="B10778" s="105" t="s">
        <v>17184</v>
      </c>
      <c r="C10778" s="105"/>
      <c r="D10778" s="105"/>
      <c r="E10778" s="105"/>
      <c r="F10778" s="75">
        <v>42403</v>
      </c>
      <c r="G10778" s="38" t="s">
        <v>15349</v>
      </c>
      <c r="H10778" s="2"/>
      <c r="I10778" s="2"/>
      <c r="J10778" s="2" t="s">
        <v>12550</v>
      </c>
      <c r="K10778" s="2"/>
      <c r="L10778" s="82"/>
    </row>
    <row r="10779" spans="1:12" ht="84" customHeight="1" x14ac:dyDescent="0.3">
      <c r="A10779" s="2">
        <v>10738</v>
      </c>
      <c r="B10779" s="105" t="s">
        <v>17185</v>
      </c>
      <c r="C10779" s="105"/>
      <c r="D10779" s="105"/>
      <c r="E10779" s="105"/>
      <c r="F10779" s="75">
        <v>42403</v>
      </c>
      <c r="G10779" s="38" t="s">
        <v>15349</v>
      </c>
      <c r="H10779" s="2"/>
      <c r="I10779" s="2"/>
      <c r="J10779" s="2" t="s">
        <v>12550</v>
      </c>
      <c r="K10779" s="2"/>
      <c r="L10779" s="82"/>
    </row>
    <row r="10780" spans="1:12" ht="84" customHeight="1" x14ac:dyDescent="0.3">
      <c r="A10780" s="2">
        <v>10739</v>
      </c>
      <c r="B10780" s="105" t="s">
        <v>17186</v>
      </c>
      <c r="C10780" s="105"/>
      <c r="D10780" s="105"/>
      <c r="E10780" s="105"/>
      <c r="F10780" s="75">
        <v>42403</v>
      </c>
      <c r="G10780" s="38" t="s">
        <v>15349</v>
      </c>
      <c r="H10780" s="2"/>
      <c r="I10780" s="2"/>
      <c r="J10780" s="2" t="s">
        <v>12550</v>
      </c>
      <c r="K10780" s="2"/>
      <c r="L10780" s="82"/>
    </row>
    <row r="10781" spans="1:12" ht="84" customHeight="1" x14ac:dyDescent="0.3">
      <c r="A10781" s="2">
        <v>10740</v>
      </c>
      <c r="B10781" s="105" t="s">
        <v>17187</v>
      </c>
      <c r="C10781" s="105"/>
      <c r="D10781" s="105"/>
      <c r="E10781" s="105"/>
      <c r="F10781" s="75">
        <v>42403</v>
      </c>
      <c r="G10781" s="38" t="s">
        <v>15349</v>
      </c>
      <c r="H10781" s="2"/>
      <c r="I10781" s="2"/>
      <c r="J10781" s="2" t="s">
        <v>12550</v>
      </c>
      <c r="K10781" s="2"/>
      <c r="L10781" s="82"/>
    </row>
    <row r="10782" spans="1:12" ht="84" customHeight="1" x14ac:dyDescent="0.3">
      <c r="A10782" s="2">
        <v>10741</v>
      </c>
      <c r="B10782" s="105" t="s">
        <v>17188</v>
      </c>
      <c r="C10782" s="105"/>
      <c r="D10782" s="105"/>
      <c r="E10782" s="105"/>
      <c r="F10782" s="75">
        <v>42403</v>
      </c>
      <c r="G10782" s="38" t="s">
        <v>15349</v>
      </c>
      <c r="H10782" s="2"/>
      <c r="I10782" s="2"/>
      <c r="J10782" s="2" t="s">
        <v>12550</v>
      </c>
      <c r="K10782" s="2"/>
      <c r="L10782" s="82"/>
    </row>
    <row r="10783" spans="1:12" ht="84" customHeight="1" x14ac:dyDescent="0.3">
      <c r="A10783" s="2">
        <v>10742</v>
      </c>
      <c r="B10783" s="105" t="s">
        <v>17189</v>
      </c>
      <c r="C10783" s="105"/>
      <c r="D10783" s="105"/>
      <c r="E10783" s="105"/>
      <c r="F10783" s="75">
        <v>42403</v>
      </c>
      <c r="G10783" s="38" t="s">
        <v>15349</v>
      </c>
      <c r="H10783" s="2"/>
      <c r="I10783" s="2"/>
      <c r="J10783" s="2" t="s">
        <v>12550</v>
      </c>
      <c r="K10783" s="2"/>
      <c r="L10783" s="82"/>
    </row>
    <row r="10784" spans="1:12" ht="84" customHeight="1" x14ac:dyDescent="0.3">
      <c r="A10784" s="2">
        <v>10743</v>
      </c>
      <c r="B10784" s="105" t="s">
        <v>17190</v>
      </c>
      <c r="C10784" s="105"/>
      <c r="D10784" s="105"/>
      <c r="E10784" s="105"/>
      <c r="F10784" s="75">
        <v>42403</v>
      </c>
      <c r="G10784" s="38" t="s">
        <v>15349</v>
      </c>
      <c r="H10784" s="2"/>
      <c r="I10784" s="2"/>
      <c r="J10784" s="2" t="s">
        <v>12550</v>
      </c>
      <c r="K10784" s="2"/>
      <c r="L10784" s="82"/>
    </row>
    <row r="10785" spans="1:12" ht="84" customHeight="1" x14ac:dyDescent="0.3">
      <c r="A10785" s="2">
        <v>10744</v>
      </c>
      <c r="B10785" s="105" t="s">
        <v>17191</v>
      </c>
      <c r="C10785" s="105"/>
      <c r="D10785" s="105"/>
      <c r="E10785" s="105"/>
      <c r="F10785" s="75">
        <v>42403</v>
      </c>
      <c r="G10785" s="38" t="s">
        <v>15349</v>
      </c>
      <c r="H10785" s="2"/>
      <c r="I10785" s="2"/>
      <c r="J10785" s="2" t="s">
        <v>12550</v>
      </c>
      <c r="K10785" s="2"/>
      <c r="L10785" s="82"/>
    </row>
    <row r="10786" spans="1:12" ht="84" customHeight="1" x14ac:dyDescent="0.3">
      <c r="A10786" s="2">
        <v>10745</v>
      </c>
      <c r="B10786" s="105" t="s">
        <v>17192</v>
      </c>
      <c r="C10786" s="105"/>
      <c r="D10786" s="105"/>
      <c r="E10786" s="105"/>
      <c r="F10786" s="75">
        <v>42403</v>
      </c>
      <c r="G10786" s="38" t="s">
        <v>15349</v>
      </c>
      <c r="H10786" s="2"/>
      <c r="I10786" s="2"/>
      <c r="J10786" s="2" t="s">
        <v>12550</v>
      </c>
      <c r="K10786" s="2"/>
      <c r="L10786" s="82"/>
    </row>
    <row r="10787" spans="1:12" ht="84" customHeight="1" x14ac:dyDescent="0.3">
      <c r="A10787" s="2">
        <v>10746</v>
      </c>
      <c r="B10787" s="105" t="s">
        <v>17193</v>
      </c>
      <c r="C10787" s="105"/>
      <c r="D10787" s="105"/>
      <c r="E10787" s="105"/>
      <c r="F10787" s="75">
        <v>42403</v>
      </c>
      <c r="G10787" s="38" t="s">
        <v>15349</v>
      </c>
      <c r="H10787" s="2"/>
      <c r="I10787" s="2"/>
      <c r="J10787" s="2" t="s">
        <v>12550</v>
      </c>
      <c r="K10787" s="2"/>
      <c r="L10787" s="82"/>
    </row>
    <row r="10788" spans="1:12" ht="84" customHeight="1" x14ac:dyDescent="0.3">
      <c r="A10788" s="2">
        <v>10747</v>
      </c>
      <c r="B10788" s="105" t="s">
        <v>17194</v>
      </c>
      <c r="C10788" s="105"/>
      <c r="D10788" s="105"/>
      <c r="E10788" s="105"/>
      <c r="F10788" s="75">
        <v>42403</v>
      </c>
      <c r="G10788" s="38" t="s">
        <v>15349</v>
      </c>
      <c r="H10788" s="2"/>
      <c r="I10788" s="2"/>
      <c r="J10788" s="2" t="s">
        <v>12550</v>
      </c>
      <c r="K10788" s="2"/>
      <c r="L10788" s="82"/>
    </row>
    <row r="10789" spans="1:12" ht="84" customHeight="1" x14ac:dyDescent="0.3">
      <c r="A10789" s="2">
        <v>10748</v>
      </c>
      <c r="B10789" s="105" t="s">
        <v>17195</v>
      </c>
      <c r="C10789" s="105"/>
      <c r="D10789" s="105"/>
      <c r="E10789" s="105"/>
      <c r="F10789" s="75">
        <v>42403</v>
      </c>
      <c r="G10789" s="38" t="s">
        <v>15349</v>
      </c>
      <c r="H10789" s="2"/>
      <c r="I10789" s="2"/>
      <c r="J10789" s="2" t="s">
        <v>12550</v>
      </c>
      <c r="K10789" s="2"/>
      <c r="L10789" s="82"/>
    </row>
    <row r="10790" spans="1:12" ht="84" customHeight="1" x14ac:dyDescent="0.3">
      <c r="A10790" s="2">
        <v>10749</v>
      </c>
      <c r="B10790" s="105" t="s">
        <v>17196</v>
      </c>
      <c r="C10790" s="105"/>
      <c r="D10790" s="105"/>
      <c r="E10790" s="105"/>
      <c r="F10790" s="75">
        <v>42403</v>
      </c>
      <c r="G10790" s="38" t="s">
        <v>15349</v>
      </c>
      <c r="H10790" s="2"/>
      <c r="I10790" s="2"/>
      <c r="J10790" s="2" t="s">
        <v>12550</v>
      </c>
      <c r="K10790" s="2"/>
      <c r="L10790" s="82"/>
    </row>
    <row r="10791" spans="1:12" ht="84" customHeight="1" x14ac:dyDescent="0.3">
      <c r="A10791" s="2">
        <v>10750</v>
      </c>
      <c r="B10791" s="105" t="s">
        <v>17197</v>
      </c>
      <c r="C10791" s="105"/>
      <c r="D10791" s="105"/>
      <c r="E10791" s="105"/>
      <c r="F10791" s="75">
        <v>42403</v>
      </c>
      <c r="G10791" s="38" t="s">
        <v>15349</v>
      </c>
      <c r="H10791" s="2"/>
      <c r="I10791" s="2"/>
      <c r="J10791" s="2" t="s">
        <v>12550</v>
      </c>
      <c r="K10791" s="2"/>
      <c r="L10791" s="82"/>
    </row>
    <row r="10792" spans="1:12" ht="84" customHeight="1" x14ac:dyDescent="0.3">
      <c r="A10792" s="2">
        <v>10751</v>
      </c>
      <c r="B10792" s="105" t="s">
        <v>17198</v>
      </c>
      <c r="C10792" s="105"/>
      <c r="D10792" s="105"/>
      <c r="E10792" s="105"/>
      <c r="F10792" s="75">
        <v>42403</v>
      </c>
      <c r="G10792" s="38" t="s">
        <v>15349</v>
      </c>
      <c r="H10792" s="2"/>
      <c r="I10792" s="2"/>
      <c r="J10792" s="2" t="s">
        <v>12550</v>
      </c>
      <c r="K10792" s="2"/>
      <c r="L10792" s="82"/>
    </row>
    <row r="10793" spans="1:12" ht="84" customHeight="1" x14ac:dyDescent="0.3">
      <c r="A10793" s="2">
        <v>10752</v>
      </c>
      <c r="B10793" s="105" t="s">
        <v>17199</v>
      </c>
      <c r="C10793" s="105"/>
      <c r="D10793" s="105"/>
      <c r="E10793" s="105"/>
      <c r="F10793" s="75">
        <v>42403</v>
      </c>
      <c r="G10793" s="38" t="s">
        <v>15349</v>
      </c>
      <c r="H10793" s="2"/>
      <c r="I10793" s="2"/>
      <c r="J10793" s="2" t="s">
        <v>12550</v>
      </c>
      <c r="K10793" s="2"/>
      <c r="L10793" s="82"/>
    </row>
    <row r="10794" spans="1:12" ht="84" customHeight="1" x14ac:dyDescent="0.3">
      <c r="A10794" s="2">
        <v>10753</v>
      </c>
      <c r="B10794" s="105" t="s">
        <v>17200</v>
      </c>
      <c r="C10794" s="105"/>
      <c r="D10794" s="105"/>
      <c r="E10794" s="105"/>
      <c r="F10794" s="75">
        <v>42403</v>
      </c>
      <c r="G10794" s="38" t="s">
        <v>15349</v>
      </c>
      <c r="H10794" s="2"/>
      <c r="I10794" s="2"/>
      <c r="J10794" s="2" t="s">
        <v>12550</v>
      </c>
      <c r="K10794" s="2"/>
      <c r="L10794" s="82"/>
    </row>
    <row r="10795" spans="1:12" ht="84" customHeight="1" x14ac:dyDescent="0.3">
      <c r="A10795" s="2">
        <v>10754</v>
      </c>
      <c r="B10795" s="105" t="s">
        <v>17201</v>
      </c>
      <c r="C10795" s="105"/>
      <c r="D10795" s="105"/>
      <c r="E10795" s="105"/>
      <c r="F10795" s="75">
        <v>42403</v>
      </c>
      <c r="G10795" s="38" t="s">
        <v>15349</v>
      </c>
      <c r="H10795" s="2"/>
      <c r="I10795" s="2"/>
      <c r="J10795" s="2" t="s">
        <v>12550</v>
      </c>
      <c r="K10795" s="2"/>
      <c r="L10795" s="82"/>
    </row>
    <row r="10796" spans="1:12" ht="84" customHeight="1" x14ac:dyDescent="0.3">
      <c r="A10796" s="2">
        <v>10755</v>
      </c>
      <c r="B10796" s="105" t="s">
        <v>17202</v>
      </c>
      <c r="C10796" s="105"/>
      <c r="D10796" s="105"/>
      <c r="E10796" s="105"/>
      <c r="F10796" s="75">
        <v>42403</v>
      </c>
      <c r="G10796" s="38" t="s">
        <v>15349</v>
      </c>
      <c r="H10796" s="2"/>
      <c r="I10796" s="2"/>
      <c r="J10796" s="2" t="s">
        <v>12550</v>
      </c>
      <c r="K10796" s="2"/>
      <c r="L10796" s="82"/>
    </row>
    <row r="10797" spans="1:12" ht="84" customHeight="1" x14ac:dyDescent="0.3">
      <c r="A10797" s="2">
        <v>10756</v>
      </c>
      <c r="B10797" s="105" t="s">
        <v>17203</v>
      </c>
      <c r="C10797" s="105"/>
      <c r="D10797" s="105"/>
      <c r="E10797" s="105"/>
      <c r="F10797" s="75">
        <v>42403</v>
      </c>
      <c r="G10797" s="38" t="s">
        <v>15349</v>
      </c>
      <c r="H10797" s="2"/>
      <c r="I10797" s="2"/>
      <c r="J10797" s="2" t="s">
        <v>12550</v>
      </c>
      <c r="K10797" s="2"/>
      <c r="L10797" s="82"/>
    </row>
    <row r="10798" spans="1:12" ht="84" customHeight="1" x14ac:dyDescent="0.3">
      <c r="A10798" s="2">
        <v>10757</v>
      </c>
      <c r="B10798" s="105" t="s">
        <v>17204</v>
      </c>
      <c r="C10798" s="105"/>
      <c r="D10798" s="105"/>
      <c r="E10798" s="105"/>
      <c r="F10798" s="75">
        <v>42403</v>
      </c>
      <c r="G10798" s="38" t="s">
        <v>15349</v>
      </c>
      <c r="H10798" s="2"/>
      <c r="I10798" s="2"/>
      <c r="J10798" s="2" t="s">
        <v>12550</v>
      </c>
      <c r="K10798" s="2"/>
      <c r="L10798" s="82"/>
    </row>
    <row r="10799" spans="1:12" ht="84" customHeight="1" x14ac:dyDescent="0.3">
      <c r="A10799" s="2">
        <v>10758</v>
      </c>
      <c r="B10799" s="105" t="s">
        <v>17205</v>
      </c>
      <c r="C10799" s="105"/>
      <c r="D10799" s="105"/>
      <c r="E10799" s="105"/>
      <c r="F10799" s="75">
        <v>42403</v>
      </c>
      <c r="G10799" s="38" t="s">
        <v>15349</v>
      </c>
      <c r="H10799" s="2"/>
      <c r="I10799" s="2"/>
      <c r="J10799" s="2" t="s">
        <v>12550</v>
      </c>
      <c r="K10799" s="2"/>
      <c r="L10799" s="82"/>
    </row>
    <row r="10800" spans="1:12" ht="84" customHeight="1" x14ac:dyDescent="0.3">
      <c r="A10800" s="2">
        <v>10759</v>
      </c>
      <c r="B10800" s="105" t="s">
        <v>17206</v>
      </c>
      <c r="C10800" s="105"/>
      <c r="D10800" s="105"/>
      <c r="E10800" s="105"/>
      <c r="F10800" s="75">
        <v>42403</v>
      </c>
      <c r="G10800" s="38" t="s">
        <v>15349</v>
      </c>
      <c r="H10800" s="2"/>
      <c r="I10800" s="2"/>
      <c r="J10800" s="2" t="s">
        <v>12550</v>
      </c>
      <c r="K10800" s="2"/>
      <c r="L10800" s="82"/>
    </row>
    <row r="10801" spans="1:12" ht="84" customHeight="1" x14ac:dyDescent="0.3">
      <c r="A10801" s="2">
        <v>10760</v>
      </c>
      <c r="B10801" s="105" t="s">
        <v>17207</v>
      </c>
      <c r="C10801" s="105"/>
      <c r="D10801" s="105"/>
      <c r="E10801" s="105"/>
      <c r="F10801" s="75">
        <v>42403</v>
      </c>
      <c r="G10801" s="38" t="s">
        <v>15349</v>
      </c>
      <c r="H10801" s="2"/>
      <c r="I10801" s="2"/>
      <c r="J10801" s="2" t="s">
        <v>12550</v>
      </c>
      <c r="K10801" s="2"/>
      <c r="L10801" s="82"/>
    </row>
    <row r="10802" spans="1:12" ht="84" customHeight="1" x14ac:dyDescent="0.3">
      <c r="A10802" s="2">
        <v>10761</v>
      </c>
      <c r="B10802" s="105" t="s">
        <v>17208</v>
      </c>
      <c r="C10802" s="105"/>
      <c r="D10802" s="105"/>
      <c r="E10802" s="105"/>
      <c r="F10802" s="75">
        <v>42403</v>
      </c>
      <c r="G10802" s="38" t="s">
        <v>15349</v>
      </c>
      <c r="H10802" s="2"/>
      <c r="I10802" s="2"/>
      <c r="J10802" s="2" t="s">
        <v>12550</v>
      </c>
      <c r="K10802" s="2"/>
      <c r="L10802" s="82"/>
    </row>
    <row r="10803" spans="1:12" ht="84" customHeight="1" x14ac:dyDescent="0.3">
      <c r="A10803" s="2">
        <v>10762</v>
      </c>
      <c r="B10803" s="105" t="s">
        <v>17209</v>
      </c>
      <c r="C10803" s="105"/>
      <c r="D10803" s="105"/>
      <c r="E10803" s="105"/>
      <c r="F10803" s="75">
        <v>42403</v>
      </c>
      <c r="G10803" s="38" t="s">
        <v>15349</v>
      </c>
      <c r="H10803" s="2"/>
      <c r="I10803" s="2"/>
      <c r="J10803" s="2" t="s">
        <v>12550</v>
      </c>
      <c r="K10803" s="2"/>
      <c r="L10803" s="82"/>
    </row>
    <row r="10804" spans="1:12" ht="84" customHeight="1" x14ac:dyDescent="0.3">
      <c r="A10804" s="2">
        <v>10763</v>
      </c>
      <c r="B10804" s="82" t="s">
        <v>17329</v>
      </c>
      <c r="C10804" s="82"/>
      <c r="D10804" s="6"/>
      <c r="E10804" s="6"/>
      <c r="F10804" s="75">
        <v>42403</v>
      </c>
      <c r="G10804" s="66" t="s">
        <v>12548</v>
      </c>
      <c r="H10804" s="2"/>
      <c r="I10804" s="2"/>
      <c r="J10804" s="2" t="s">
        <v>12550</v>
      </c>
      <c r="K10804" s="2"/>
      <c r="L10804" s="82"/>
    </row>
    <row r="10805" spans="1:12" ht="84" customHeight="1" x14ac:dyDescent="0.3">
      <c r="A10805" s="2">
        <v>10764</v>
      </c>
      <c r="B10805" s="82" t="s">
        <v>17330</v>
      </c>
      <c r="C10805" s="82"/>
      <c r="D10805" s="6"/>
      <c r="E10805" s="6"/>
      <c r="F10805" s="75">
        <v>42403</v>
      </c>
      <c r="G10805" s="66" t="s">
        <v>12548</v>
      </c>
      <c r="H10805" s="2"/>
      <c r="I10805" s="2"/>
      <c r="J10805" s="2" t="s">
        <v>12550</v>
      </c>
      <c r="K10805" s="2"/>
      <c r="L10805" s="82"/>
    </row>
    <row r="10806" spans="1:12" ht="84" customHeight="1" x14ac:dyDescent="0.3">
      <c r="A10806" s="2">
        <v>10765</v>
      </c>
      <c r="B10806" s="82" t="s">
        <v>17331</v>
      </c>
      <c r="C10806" s="82"/>
      <c r="D10806" s="6"/>
      <c r="E10806" s="6"/>
      <c r="F10806" s="75">
        <v>42403</v>
      </c>
      <c r="G10806" s="66" t="s">
        <v>12548</v>
      </c>
      <c r="H10806" s="2"/>
      <c r="I10806" s="2"/>
      <c r="J10806" s="2" t="s">
        <v>12550</v>
      </c>
      <c r="K10806" s="2"/>
      <c r="L10806" s="82"/>
    </row>
    <row r="10807" spans="1:12" ht="84" customHeight="1" x14ac:dyDescent="0.3">
      <c r="A10807" s="2">
        <v>10766</v>
      </c>
      <c r="B10807" s="82" t="s">
        <v>17332</v>
      </c>
      <c r="C10807" s="82"/>
      <c r="D10807" s="6"/>
      <c r="E10807" s="6"/>
      <c r="F10807" s="75">
        <v>42403</v>
      </c>
      <c r="G10807" s="66" t="s">
        <v>12548</v>
      </c>
      <c r="H10807" s="2"/>
      <c r="I10807" s="2"/>
      <c r="J10807" s="2" t="s">
        <v>12550</v>
      </c>
      <c r="K10807" s="2"/>
      <c r="L10807" s="82"/>
    </row>
    <row r="10808" spans="1:12" ht="84" customHeight="1" x14ac:dyDescent="0.3">
      <c r="A10808" s="2">
        <v>10767</v>
      </c>
      <c r="B10808" s="82" t="s">
        <v>17333</v>
      </c>
      <c r="C10808" s="82"/>
      <c r="D10808" s="6"/>
      <c r="E10808" s="6"/>
      <c r="F10808" s="75">
        <v>42403</v>
      </c>
      <c r="G10808" s="66" t="s">
        <v>12548</v>
      </c>
      <c r="H10808" s="2"/>
      <c r="I10808" s="2"/>
      <c r="J10808" s="2" t="s">
        <v>12550</v>
      </c>
      <c r="K10808" s="2"/>
      <c r="L10808" s="82"/>
    </row>
    <row r="10809" spans="1:12" ht="84" customHeight="1" x14ac:dyDescent="0.3">
      <c r="A10809" s="2">
        <v>10768</v>
      </c>
      <c r="B10809" s="82" t="s">
        <v>17334</v>
      </c>
      <c r="C10809" s="82"/>
      <c r="D10809" s="6"/>
      <c r="E10809" s="6"/>
      <c r="F10809" s="75">
        <v>42403</v>
      </c>
      <c r="G10809" s="66" t="s">
        <v>12548</v>
      </c>
      <c r="H10809" s="2"/>
      <c r="I10809" s="2"/>
      <c r="J10809" s="2" t="s">
        <v>12550</v>
      </c>
      <c r="K10809" s="2"/>
      <c r="L10809" s="82"/>
    </row>
    <row r="10810" spans="1:12" ht="84" customHeight="1" x14ac:dyDescent="0.3">
      <c r="A10810" s="2">
        <v>10769</v>
      </c>
      <c r="B10810" s="82" t="s">
        <v>17335</v>
      </c>
      <c r="C10810" s="82"/>
      <c r="D10810" s="6"/>
      <c r="E10810" s="6"/>
      <c r="F10810" s="75">
        <v>42403</v>
      </c>
      <c r="G10810" s="66" t="s">
        <v>12548</v>
      </c>
      <c r="H10810" s="2"/>
      <c r="I10810" s="2"/>
      <c r="J10810" s="2" t="s">
        <v>12550</v>
      </c>
      <c r="K10810" s="2"/>
      <c r="L10810" s="82"/>
    </row>
    <row r="10811" spans="1:12" ht="84" customHeight="1" x14ac:dyDescent="0.3">
      <c r="A10811" s="2">
        <v>10770</v>
      </c>
      <c r="B10811" s="82" t="s">
        <v>17336</v>
      </c>
      <c r="C10811" s="82"/>
      <c r="D10811" s="6"/>
      <c r="E10811" s="6"/>
      <c r="F10811" s="75">
        <v>42403</v>
      </c>
      <c r="G10811" s="66" t="s">
        <v>12548</v>
      </c>
      <c r="H10811" s="2"/>
      <c r="I10811" s="2"/>
      <c r="J10811" s="2" t="s">
        <v>12550</v>
      </c>
      <c r="K10811" s="2"/>
      <c r="L10811" s="82"/>
    </row>
    <row r="10812" spans="1:12" ht="84" customHeight="1" x14ac:dyDescent="0.3">
      <c r="A10812" s="2">
        <v>10771</v>
      </c>
      <c r="B10812" s="82" t="s">
        <v>17328</v>
      </c>
      <c r="C10812" s="82"/>
      <c r="D10812" s="6"/>
      <c r="E10812" s="6"/>
      <c r="F10812" s="75">
        <v>42403</v>
      </c>
      <c r="G10812" s="66" t="s">
        <v>12548</v>
      </c>
      <c r="H10812" s="2"/>
      <c r="I10812" s="2"/>
      <c r="J10812" s="2" t="s">
        <v>12550</v>
      </c>
      <c r="K10812" s="2"/>
      <c r="L10812" s="82"/>
    </row>
    <row r="10813" spans="1:12" ht="84" customHeight="1" x14ac:dyDescent="0.3">
      <c r="A10813" s="2">
        <v>10772</v>
      </c>
      <c r="B10813" s="82" t="s">
        <v>17327</v>
      </c>
      <c r="C10813" s="82"/>
      <c r="D10813" s="6"/>
      <c r="E10813" s="6"/>
      <c r="F10813" s="75">
        <v>42403</v>
      </c>
      <c r="G10813" s="66" t="s">
        <v>12548</v>
      </c>
      <c r="H10813" s="2"/>
      <c r="I10813" s="2"/>
      <c r="J10813" s="2" t="s">
        <v>12550</v>
      </c>
      <c r="K10813" s="2"/>
      <c r="L10813" s="82"/>
    </row>
    <row r="10814" spans="1:12" ht="84" customHeight="1" x14ac:dyDescent="0.3">
      <c r="A10814" s="2">
        <v>10773</v>
      </c>
      <c r="B10814" s="82" t="s">
        <v>17326</v>
      </c>
      <c r="C10814" s="82"/>
      <c r="D10814" s="6"/>
      <c r="E10814" s="6"/>
      <c r="F10814" s="75">
        <v>42403</v>
      </c>
      <c r="G10814" s="66" t="s">
        <v>12548</v>
      </c>
      <c r="H10814" s="2"/>
      <c r="I10814" s="2"/>
      <c r="J10814" s="2" t="s">
        <v>12550</v>
      </c>
      <c r="K10814" s="2"/>
      <c r="L10814" s="82"/>
    </row>
    <row r="10815" spans="1:12" ht="84" customHeight="1" x14ac:dyDescent="0.3">
      <c r="A10815" s="2">
        <v>10774</v>
      </c>
      <c r="B10815" s="82" t="s">
        <v>17325</v>
      </c>
      <c r="C10815" s="82"/>
      <c r="D10815" s="6"/>
      <c r="E10815" s="6"/>
      <c r="F10815" s="75">
        <v>42403</v>
      </c>
      <c r="G10815" s="66" t="s">
        <v>12548</v>
      </c>
      <c r="H10815" s="2"/>
      <c r="I10815" s="2"/>
      <c r="J10815" s="2" t="s">
        <v>12550</v>
      </c>
      <c r="K10815" s="2"/>
      <c r="L10815" s="82"/>
    </row>
    <row r="10816" spans="1:12" ht="84" customHeight="1" x14ac:dyDescent="0.3">
      <c r="A10816" s="2">
        <v>10775</v>
      </c>
      <c r="B10816" s="82" t="s">
        <v>17324</v>
      </c>
      <c r="C10816" s="82"/>
      <c r="D10816" s="6"/>
      <c r="E10816" s="6"/>
      <c r="F10816" s="75">
        <v>42403</v>
      </c>
      <c r="G10816" s="66" t="s">
        <v>12548</v>
      </c>
      <c r="H10816" s="2"/>
      <c r="I10816" s="2"/>
      <c r="J10816" s="2" t="s">
        <v>12550</v>
      </c>
      <c r="K10816" s="2"/>
      <c r="L10816" s="82"/>
    </row>
    <row r="10817" spans="1:12" ht="84" customHeight="1" x14ac:dyDescent="0.3">
      <c r="A10817" s="2">
        <v>10776</v>
      </c>
      <c r="B10817" s="82" t="s">
        <v>17323</v>
      </c>
      <c r="C10817" s="82"/>
      <c r="D10817" s="6"/>
      <c r="E10817" s="6"/>
      <c r="F10817" s="75">
        <v>42403</v>
      </c>
      <c r="G10817" s="66" t="s">
        <v>12548</v>
      </c>
      <c r="H10817" s="2"/>
      <c r="I10817" s="2"/>
      <c r="J10817" s="2" t="s">
        <v>12550</v>
      </c>
      <c r="K10817" s="2"/>
      <c r="L10817" s="82"/>
    </row>
    <row r="10818" spans="1:12" ht="84" customHeight="1" x14ac:dyDescent="0.3">
      <c r="A10818" s="2">
        <v>10777</v>
      </c>
      <c r="B10818" s="82" t="s">
        <v>17322</v>
      </c>
      <c r="C10818" s="82"/>
      <c r="D10818" s="6"/>
      <c r="E10818" s="6"/>
      <c r="F10818" s="75">
        <v>42403</v>
      </c>
      <c r="G10818" s="66" t="s">
        <v>12548</v>
      </c>
      <c r="H10818" s="2"/>
      <c r="I10818" s="2"/>
      <c r="J10818" s="2" t="s">
        <v>12550</v>
      </c>
      <c r="K10818" s="2"/>
      <c r="L10818" s="82"/>
    </row>
    <row r="10819" spans="1:12" ht="84" customHeight="1" x14ac:dyDescent="0.3">
      <c r="A10819" s="2">
        <v>10778</v>
      </c>
      <c r="B10819" s="82" t="s">
        <v>17321</v>
      </c>
      <c r="C10819" s="82"/>
      <c r="D10819" s="6"/>
      <c r="E10819" s="6"/>
      <c r="F10819" s="75">
        <v>42403</v>
      </c>
      <c r="G10819" s="66" t="s">
        <v>12548</v>
      </c>
      <c r="H10819" s="2"/>
      <c r="I10819" s="2"/>
      <c r="J10819" s="2" t="s">
        <v>12550</v>
      </c>
      <c r="K10819" s="2"/>
      <c r="L10819" s="82"/>
    </row>
    <row r="10820" spans="1:12" ht="84" customHeight="1" x14ac:dyDescent="0.3">
      <c r="A10820" s="2">
        <v>10779</v>
      </c>
      <c r="B10820" s="82" t="s">
        <v>17320</v>
      </c>
      <c r="C10820" s="82"/>
      <c r="D10820" s="6"/>
      <c r="E10820" s="6"/>
      <c r="F10820" s="75">
        <v>42403</v>
      </c>
      <c r="G10820" s="66" t="s">
        <v>12548</v>
      </c>
      <c r="H10820" s="2"/>
      <c r="I10820" s="2"/>
      <c r="J10820" s="2" t="s">
        <v>12550</v>
      </c>
      <c r="K10820" s="2"/>
      <c r="L10820" s="82"/>
    </row>
    <row r="10821" spans="1:12" ht="84" customHeight="1" x14ac:dyDescent="0.3">
      <c r="A10821" s="2">
        <v>10780</v>
      </c>
      <c r="B10821" s="82" t="s">
        <v>17319</v>
      </c>
      <c r="C10821" s="82"/>
      <c r="D10821" s="6"/>
      <c r="E10821" s="6"/>
      <c r="F10821" s="75">
        <v>42403</v>
      </c>
      <c r="G10821" s="66" t="s">
        <v>12548</v>
      </c>
      <c r="H10821" s="2"/>
      <c r="I10821" s="2"/>
      <c r="J10821" s="2" t="s">
        <v>12550</v>
      </c>
      <c r="K10821" s="2"/>
      <c r="L10821" s="82"/>
    </row>
    <row r="10822" spans="1:12" ht="84" customHeight="1" x14ac:dyDescent="0.3">
      <c r="A10822" s="2">
        <v>10781</v>
      </c>
      <c r="B10822" s="82" t="s">
        <v>17318</v>
      </c>
      <c r="C10822" s="82"/>
      <c r="D10822" s="6"/>
      <c r="E10822" s="6"/>
      <c r="F10822" s="75">
        <v>42403</v>
      </c>
      <c r="G10822" s="66" t="s">
        <v>12548</v>
      </c>
      <c r="H10822" s="2"/>
      <c r="I10822" s="2"/>
      <c r="J10822" s="2" t="s">
        <v>12550</v>
      </c>
      <c r="K10822" s="2"/>
      <c r="L10822" s="82"/>
    </row>
    <row r="10823" spans="1:12" ht="84" customHeight="1" x14ac:dyDescent="0.3">
      <c r="A10823" s="2">
        <v>10782</v>
      </c>
      <c r="B10823" s="82" t="s">
        <v>17317</v>
      </c>
      <c r="C10823" s="82"/>
      <c r="D10823" s="6"/>
      <c r="E10823" s="6"/>
      <c r="F10823" s="75">
        <v>42403</v>
      </c>
      <c r="G10823" s="66" t="s">
        <v>12548</v>
      </c>
      <c r="H10823" s="2"/>
      <c r="I10823" s="2"/>
      <c r="J10823" s="2" t="s">
        <v>12550</v>
      </c>
      <c r="K10823" s="2"/>
      <c r="L10823" s="82"/>
    </row>
    <row r="10824" spans="1:12" ht="84" customHeight="1" x14ac:dyDescent="0.3">
      <c r="A10824" s="2">
        <v>10783</v>
      </c>
      <c r="B10824" s="82" t="s">
        <v>17316</v>
      </c>
      <c r="C10824" s="82"/>
      <c r="D10824" s="6"/>
      <c r="E10824" s="6"/>
      <c r="F10824" s="75">
        <v>42403</v>
      </c>
      <c r="G10824" s="66" t="s">
        <v>12548</v>
      </c>
      <c r="H10824" s="2"/>
      <c r="I10824" s="2"/>
      <c r="J10824" s="2" t="s">
        <v>12550</v>
      </c>
      <c r="K10824" s="2"/>
      <c r="L10824" s="82"/>
    </row>
    <row r="10825" spans="1:12" ht="84" customHeight="1" x14ac:dyDescent="0.3">
      <c r="A10825" s="2">
        <v>10784</v>
      </c>
      <c r="B10825" s="82" t="s">
        <v>17315</v>
      </c>
      <c r="C10825" s="82"/>
      <c r="D10825" s="6"/>
      <c r="E10825" s="6"/>
      <c r="F10825" s="75">
        <v>42403</v>
      </c>
      <c r="G10825" s="66" t="s">
        <v>12548</v>
      </c>
      <c r="H10825" s="2"/>
      <c r="I10825" s="2"/>
      <c r="J10825" s="2" t="s">
        <v>12550</v>
      </c>
      <c r="K10825" s="2"/>
      <c r="L10825" s="82"/>
    </row>
    <row r="10826" spans="1:12" ht="84" customHeight="1" x14ac:dyDescent="0.3">
      <c r="A10826" s="2">
        <v>10785</v>
      </c>
      <c r="B10826" s="82" t="s">
        <v>17337</v>
      </c>
      <c r="C10826" s="82"/>
      <c r="D10826" s="6"/>
      <c r="E10826" s="33"/>
      <c r="F10826" s="75">
        <v>42403</v>
      </c>
      <c r="G10826" s="66" t="s">
        <v>12548</v>
      </c>
      <c r="H10826" s="2"/>
      <c r="I10826" s="2"/>
      <c r="J10826" s="2" t="s">
        <v>12550</v>
      </c>
      <c r="K10826" s="2"/>
      <c r="L10826" s="82"/>
    </row>
    <row r="10827" spans="1:12" ht="84" customHeight="1" x14ac:dyDescent="0.3">
      <c r="A10827" s="2">
        <v>10786</v>
      </c>
      <c r="B10827" s="82" t="s">
        <v>17338</v>
      </c>
      <c r="C10827" s="82"/>
      <c r="D10827" s="6"/>
      <c r="E10827" s="33"/>
      <c r="F10827" s="75">
        <v>42403</v>
      </c>
      <c r="G10827" s="66" t="s">
        <v>12548</v>
      </c>
      <c r="H10827" s="2"/>
      <c r="I10827" s="2"/>
      <c r="J10827" s="2" t="s">
        <v>12550</v>
      </c>
      <c r="K10827" s="2"/>
      <c r="L10827" s="82"/>
    </row>
    <row r="10828" spans="1:12" ht="84" customHeight="1" x14ac:dyDescent="0.3">
      <c r="A10828" s="2">
        <v>10787</v>
      </c>
      <c r="B10828" s="82" t="s">
        <v>17339</v>
      </c>
      <c r="C10828" s="82"/>
      <c r="D10828" s="6"/>
      <c r="E10828" s="33"/>
      <c r="F10828" s="75">
        <v>42403</v>
      </c>
      <c r="G10828" s="66" t="s">
        <v>12548</v>
      </c>
      <c r="H10828" s="2"/>
      <c r="I10828" s="2"/>
      <c r="J10828" s="2" t="s">
        <v>12550</v>
      </c>
      <c r="K10828" s="2"/>
      <c r="L10828" s="82"/>
    </row>
    <row r="10829" spans="1:12" ht="84" customHeight="1" x14ac:dyDescent="0.3">
      <c r="A10829" s="2">
        <v>10788</v>
      </c>
      <c r="B10829" s="82" t="s">
        <v>17340</v>
      </c>
      <c r="C10829" s="82"/>
      <c r="D10829" s="6"/>
      <c r="E10829" s="33"/>
      <c r="F10829" s="75">
        <v>42403</v>
      </c>
      <c r="G10829" s="66" t="s">
        <v>12548</v>
      </c>
      <c r="H10829" s="2"/>
      <c r="I10829" s="2"/>
      <c r="J10829" s="2" t="s">
        <v>12550</v>
      </c>
      <c r="K10829" s="2"/>
      <c r="L10829" s="82"/>
    </row>
    <row r="10830" spans="1:12" ht="84" customHeight="1" x14ac:dyDescent="0.3">
      <c r="A10830" s="2">
        <v>10789</v>
      </c>
      <c r="B10830" s="82" t="s">
        <v>17341</v>
      </c>
      <c r="C10830" s="82"/>
      <c r="D10830" s="6"/>
      <c r="E10830" s="33"/>
      <c r="F10830" s="75">
        <v>42403</v>
      </c>
      <c r="G10830" s="66" t="s">
        <v>12548</v>
      </c>
      <c r="H10830" s="2"/>
      <c r="I10830" s="2"/>
      <c r="J10830" s="2" t="s">
        <v>12550</v>
      </c>
      <c r="K10830" s="2"/>
      <c r="L10830" s="82"/>
    </row>
    <row r="10831" spans="1:12" ht="84" customHeight="1" x14ac:dyDescent="0.3">
      <c r="A10831" s="2">
        <v>10790</v>
      </c>
      <c r="B10831" s="82" t="s">
        <v>17342</v>
      </c>
      <c r="C10831" s="82"/>
      <c r="D10831" s="6"/>
      <c r="E10831" s="33"/>
      <c r="F10831" s="75">
        <v>42403</v>
      </c>
      <c r="G10831" s="66" t="s">
        <v>12548</v>
      </c>
      <c r="H10831" s="2"/>
      <c r="I10831" s="2"/>
      <c r="J10831" s="2" t="s">
        <v>12550</v>
      </c>
      <c r="K10831" s="2"/>
      <c r="L10831" s="82"/>
    </row>
    <row r="10832" spans="1:12" ht="84" customHeight="1" x14ac:dyDescent="0.3">
      <c r="A10832" s="2">
        <v>10791</v>
      </c>
      <c r="B10832" s="82" t="s">
        <v>17343</v>
      </c>
      <c r="C10832" s="82"/>
      <c r="D10832" s="6"/>
      <c r="E10832" s="33"/>
      <c r="F10832" s="75">
        <v>42403</v>
      </c>
      <c r="G10832" s="66" t="s">
        <v>12548</v>
      </c>
      <c r="H10832" s="2"/>
      <c r="I10832" s="2"/>
      <c r="J10832" s="2" t="s">
        <v>12550</v>
      </c>
      <c r="K10832" s="2"/>
      <c r="L10832" s="82"/>
    </row>
    <row r="10833" spans="1:12" ht="84" customHeight="1" x14ac:dyDescent="0.3">
      <c r="A10833" s="2">
        <v>10792</v>
      </c>
      <c r="B10833" s="82" t="s">
        <v>17344</v>
      </c>
      <c r="C10833" s="82"/>
      <c r="D10833" s="6"/>
      <c r="E10833" s="33"/>
      <c r="F10833" s="75">
        <v>42403</v>
      </c>
      <c r="G10833" s="66" t="s">
        <v>12548</v>
      </c>
      <c r="H10833" s="2"/>
      <c r="I10833" s="2"/>
      <c r="J10833" s="2" t="s">
        <v>12550</v>
      </c>
      <c r="K10833" s="2"/>
      <c r="L10833" s="82"/>
    </row>
    <row r="10834" spans="1:12" ht="84" customHeight="1" x14ac:dyDescent="0.3">
      <c r="A10834" s="2">
        <v>10793</v>
      </c>
      <c r="B10834" s="82" t="s">
        <v>17345</v>
      </c>
      <c r="C10834" s="82"/>
      <c r="D10834" s="6"/>
      <c r="E10834" s="33"/>
      <c r="F10834" s="75">
        <v>42403</v>
      </c>
      <c r="G10834" s="66" t="s">
        <v>12548</v>
      </c>
      <c r="H10834" s="2"/>
      <c r="I10834" s="2"/>
      <c r="J10834" s="2" t="s">
        <v>12550</v>
      </c>
      <c r="K10834" s="2"/>
      <c r="L10834" s="82"/>
    </row>
    <row r="10835" spans="1:12" ht="84" customHeight="1" x14ac:dyDescent="0.3">
      <c r="A10835" s="2">
        <v>10794</v>
      </c>
      <c r="B10835" s="82" t="s">
        <v>17346</v>
      </c>
      <c r="C10835" s="82"/>
      <c r="D10835" s="6"/>
      <c r="E10835" s="33"/>
      <c r="F10835" s="75">
        <v>42403</v>
      </c>
      <c r="G10835" s="66" t="s">
        <v>12548</v>
      </c>
      <c r="H10835" s="2"/>
      <c r="I10835" s="2"/>
      <c r="J10835" s="2" t="s">
        <v>12550</v>
      </c>
      <c r="K10835" s="2"/>
      <c r="L10835" s="82"/>
    </row>
    <row r="10836" spans="1:12" ht="84" customHeight="1" x14ac:dyDescent="0.3">
      <c r="A10836" s="2">
        <v>10795</v>
      </c>
      <c r="B10836" s="82" t="s">
        <v>17347</v>
      </c>
      <c r="C10836" s="82"/>
      <c r="D10836" s="6"/>
      <c r="E10836" s="33"/>
      <c r="F10836" s="75">
        <v>42403</v>
      </c>
      <c r="G10836" s="66" t="s">
        <v>12548</v>
      </c>
      <c r="H10836" s="2"/>
      <c r="I10836" s="2"/>
      <c r="J10836" s="2" t="s">
        <v>12550</v>
      </c>
      <c r="K10836" s="2"/>
      <c r="L10836" s="82"/>
    </row>
    <row r="10837" spans="1:12" ht="84" customHeight="1" x14ac:dyDescent="0.3">
      <c r="A10837" s="2">
        <v>10796</v>
      </c>
      <c r="B10837" s="82" t="s">
        <v>17348</v>
      </c>
      <c r="C10837" s="82"/>
      <c r="D10837" s="6"/>
      <c r="E10837" s="33"/>
      <c r="F10837" s="75">
        <v>42403</v>
      </c>
      <c r="G10837" s="66" t="s">
        <v>12548</v>
      </c>
      <c r="H10837" s="2"/>
      <c r="I10837" s="2"/>
      <c r="J10837" s="2" t="s">
        <v>12550</v>
      </c>
      <c r="K10837" s="2"/>
      <c r="L10837" s="82"/>
    </row>
    <row r="10838" spans="1:12" ht="84" customHeight="1" x14ac:dyDescent="0.3">
      <c r="A10838" s="2">
        <v>10797</v>
      </c>
      <c r="B10838" s="82" t="s">
        <v>17349</v>
      </c>
      <c r="C10838" s="82"/>
      <c r="D10838" s="6"/>
      <c r="E10838" s="33"/>
      <c r="F10838" s="75">
        <v>42403</v>
      </c>
      <c r="G10838" s="66" t="s">
        <v>12548</v>
      </c>
      <c r="H10838" s="2"/>
      <c r="I10838" s="2"/>
      <c r="J10838" s="2" t="s">
        <v>12550</v>
      </c>
      <c r="K10838" s="2"/>
      <c r="L10838" s="82"/>
    </row>
    <row r="10839" spans="1:12" ht="84" customHeight="1" x14ac:dyDescent="0.3">
      <c r="A10839" s="2">
        <v>10798</v>
      </c>
      <c r="B10839" s="2" t="s">
        <v>17354</v>
      </c>
      <c r="C10839" s="2"/>
      <c r="D10839" s="207"/>
      <c r="E10839" s="207"/>
      <c r="F10839" s="75">
        <v>42403</v>
      </c>
      <c r="G10839" s="66" t="s">
        <v>12548</v>
      </c>
      <c r="H10839" s="2"/>
      <c r="I10839" s="2"/>
      <c r="J10839" s="2" t="s">
        <v>12550</v>
      </c>
      <c r="K10839" s="2"/>
      <c r="L10839" s="82"/>
    </row>
    <row r="10840" spans="1:12" ht="84" customHeight="1" x14ac:dyDescent="0.3">
      <c r="A10840" s="2">
        <v>10799</v>
      </c>
      <c r="B10840" s="2" t="s">
        <v>17355</v>
      </c>
      <c r="C10840" s="2"/>
      <c r="D10840" s="207"/>
      <c r="E10840" s="207"/>
      <c r="F10840" s="75">
        <v>42403</v>
      </c>
      <c r="G10840" s="66" t="s">
        <v>12548</v>
      </c>
      <c r="H10840" s="2"/>
      <c r="I10840" s="2"/>
      <c r="J10840" s="2" t="s">
        <v>12550</v>
      </c>
      <c r="K10840" s="2"/>
      <c r="L10840" s="82"/>
    </row>
    <row r="10841" spans="1:12" ht="84" customHeight="1" x14ac:dyDescent="0.3">
      <c r="A10841" s="2">
        <v>10800</v>
      </c>
      <c r="B10841" s="2" t="s">
        <v>17353</v>
      </c>
      <c r="C10841" s="2"/>
      <c r="D10841" s="207"/>
      <c r="E10841" s="207"/>
      <c r="F10841" s="75">
        <v>42403</v>
      </c>
      <c r="G10841" s="66" t="s">
        <v>12548</v>
      </c>
      <c r="H10841" s="2"/>
      <c r="I10841" s="2"/>
      <c r="J10841" s="2" t="s">
        <v>12550</v>
      </c>
      <c r="K10841" s="2"/>
      <c r="L10841" s="82"/>
    </row>
    <row r="10842" spans="1:12" ht="84" customHeight="1" x14ac:dyDescent="0.3">
      <c r="A10842" s="2">
        <v>10801</v>
      </c>
      <c r="B10842" s="2" t="s">
        <v>17352</v>
      </c>
      <c r="C10842" s="2"/>
      <c r="D10842" s="207"/>
      <c r="E10842" s="207"/>
      <c r="F10842" s="75">
        <v>42403</v>
      </c>
      <c r="G10842" s="66" t="s">
        <v>12548</v>
      </c>
      <c r="H10842" s="2"/>
      <c r="I10842" s="2"/>
      <c r="J10842" s="2" t="s">
        <v>12550</v>
      </c>
      <c r="K10842" s="2"/>
      <c r="L10842" s="82"/>
    </row>
    <row r="10843" spans="1:12" ht="84" customHeight="1" x14ac:dyDescent="0.3">
      <c r="A10843" s="2">
        <v>10802</v>
      </c>
      <c r="B10843" s="2" t="s">
        <v>17351</v>
      </c>
      <c r="C10843" s="2"/>
      <c r="D10843" s="207"/>
      <c r="E10843" s="207"/>
      <c r="F10843" s="75">
        <v>42403</v>
      </c>
      <c r="G10843" s="66" t="s">
        <v>12548</v>
      </c>
      <c r="H10843" s="2"/>
      <c r="I10843" s="2"/>
      <c r="J10843" s="2" t="s">
        <v>12550</v>
      </c>
      <c r="K10843" s="2"/>
      <c r="L10843" s="82"/>
    </row>
    <row r="10844" spans="1:12" ht="84" customHeight="1" x14ac:dyDescent="0.3">
      <c r="A10844" s="2">
        <v>10803</v>
      </c>
      <c r="B10844" s="2" t="s">
        <v>17350</v>
      </c>
      <c r="C10844" s="2"/>
      <c r="D10844" s="207"/>
      <c r="E10844" s="207"/>
      <c r="F10844" s="75">
        <v>42403</v>
      </c>
      <c r="G10844" s="66" t="s">
        <v>12548</v>
      </c>
      <c r="H10844" s="2"/>
      <c r="I10844" s="2"/>
      <c r="J10844" s="2" t="s">
        <v>12550</v>
      </c>
      <c r="K10844" s="2"/>
      <c r="L10844" s="82"/>
    </row>
    <row r="10845" spans="1:12" ht="84" customHeight="1" x14ac:dyDescent="0.3">
      <c r="A10845" s="2">
        <v>10804</v>
      </c>
      <c r="B10845" s="2" t="s">
        <v>17356</v>
      </c>
      <c r="C10845" s="2"/>
      <c r="D10845" s="207"/>
      <c r="E10845" s="207"/>
      <c r="F10845" s="75">
        <v>42403</v>
      </c>
      <c r="G10845" s="66" t="s">
        <v>12548</v>
      </c>
      <c r="H10845" s="2"/>
      <c r="I10845" s="2"/>
      <c r="J10845" s="2" t="s">
        <v>12550</v>
      </c>
      <c r="K10845" s="2"/>
      <c r="L10845" s="82"/>
    </row>
    <row r="10846" spans="1:12" ht="84" customHeight="1" x14ac:dyDescent="0.3">
      <c r="A10846" s="2">
        <v>10805</v>
      </c>
      <c r="B10846" s="2" t="s">
        <v>17357</v>
      </c>
      <c r="C10846" s="2"/>
      <c r="D10846" s="207"/>
      <c r="E10846" s="207"/>
      <c r="F10846" s="75">
        <v>42403</v>
      </c>
      <c r="G10846" s="66" t="s">
        <v>12548</v>
      </c>
      <c r="H10846" s="2"/>
      <c r="I10846" s="2"/>
      <c r="J10846" s="2" t="s">
        <v>12550</v>
      </c>
      <c r="K10846" s="2"/>
      <c r="L10846" s="82"/>
    </row>
    <row r="10847" spans="1:12" ht="84" customHeight="1" x14ac:dyDescent="0.3">
      <c r="A10847" s="2">
        <v>10806</v>
      </c>
      <c r="B10847" s="2" t="s">
        <v>17458</v>
      </c>
      <c r="C10847" s="2"/>
      <c r="D10847" s="207"/>
      <c r="E10847" s="207"/>
      <c r="F10847" s="75">
        <v>42403</v>
      </c>
      <c r="G10847" s="66" t="s">
        <v>12548</v>
      </c>
      <c r="H10847" s="2"/>
      <c r="I10847" s="2"/>
      <c r="J10847" s="2" t="s">
        <v>12550</v>
      </c>
      <c r="K10847" s="2"/>
      <c r="L10847" s="82"/>
    </row>
    <row r="10848" spans="1:12" ht="84" customHeight="1" x14ac:dyDescent="0.3">
      <c r="A10848" s="2">
        <v>10807</v>
      </c>
      <c r="B10848" s="2" t="s">
        <v>17358</v>
      </c>
      <c r="C10848" s="2"/>
      <c r="D10848" s="207"/>
      <c r="E10848" s="207"/>
      <c r="F10848" s="75">
        <v>42403</v>
      </c>
      <c r="G10848" s="66" t="s">
        <v>12548</v>
      </c>
      <c r="H10848" s="2"/>
      <c r="I10848" s="2"/>
      <c r="J10848" s="2" t="s">
        <v>12550</v>
      </c>
      <c r="K10848" s="2"/>
      <c r="L10848" s="82"/>
    </row>
    <row r="10849" spans="1:12" ht="84" customHeight="1" x14ac:dyDescent="0.3">
      <c r="A10849" s="2">
        <v>10808</v>
      </c>
      <c r="B10849" s="2" t="s">
        <v>17359</v>
      </c>
      <c r="C10849" s="2"/>
      <c r="D10849" s="207"/>
      <c r="E10849" s="207"/>
      <c r="F10849" s="75">
        <v>42403</v>
      </c>
      <c r="G10849" s="66" t="s">
        <v>12548</v>
      </c>
      <c r="H10849" s="2"/>
      <c r="I10849" s="2"/>
      <c r="J10849" s="2" t="s">
        <v>12550</v>
      </c>
      <c r="K10849" s="2"/>
      <c r="L10849" s="82"/>
    </row>
    <row r="10850" spans="1:12" ht="84" customHeight="1" x14ac:dyDescent="0.3">
      <c r="A10850" s="2">
        <v>10809</v>
      </c>
      <c r="B10850" s="2" t="s">
        <v>17360</v>
      </c>
      <c r="C10850" s="2"/>
      <c r="D10850" s="207"/>
      <c r="E10850" s="207"/>
      <c r="F10850" s="75">
        <v>42403</v>
      </c>
      <c r="G10850" s="66" t="s">
        <v>12548</v>
      </c>
      <c r="H10850" s="2"/>
      <c r="I10850" s="2"/>
      <c r="J10850" s="2" t="s">
        <v>12550</v>
      </c>
      <c r="K10850" s="2"/>
      <c r="L10850" s="82"/>
    </row>
    <row r="10851" spans="1:12" ht="84" customHeight="1" x14ac:dyDescent="0.3">
      <c r="A10851" s="2">
        <v>10810</v>
      </c>
      <c r="B10851" s="2" t="s">
        <v>17361</v>
      </c>
      <c r="C10851" s="2"/>
      <c r="D10851" s="207"/>
      <c r="E10851" s="207"/>
      <c r="F10851" s="75">
        <v>42403</v>
      </c>
      <c r="G10851" s="66" t="s">
        <v>12548</v>
      </c>
      <c r="H10851" s="2"/>
      <c r="I10851" s="2"/>
      <c r="J10851" s="2" t="s">
        <v>12550</v>
      </c>
      <c r="K10851" s="2"/>
      <c r="L10851" s="82"/>
    </row>
    <row r="10852" spans="1:12" ht="84" customHeight="1" x14ac:dyDescent="0.3">
      <c r="A10852" s="2">
        <v>10811</v>
      </c>
      <c r="B10852" s="2" t="s">
        <v>17362</v>
      </c>
      <c r="C10852" s="2"/>
      <c r="D10852" s="207"/>
      <c r="E10852" s="207"/>
      <c r="F10852" s="75">
        <v>42403</v>
      </c>
      <c r="G10852" s="66" t="s">
        <v>12548</v>
      </c>
      <c r="H10852" s="2"/>
      <c r="I10852" s="2"/>
      <c r="J10852" s="2" t="s">
        <v>12550</v>
      </c>
      <c r="K10852" s="2"/>
      <c r="L10852" s="82"/>
    </row>
    <row r="10853" spans="1:12" ht="84" customHeight="1" x14ac:dyDescent="0.3">
      <c r="A10853" s="2">
        <v>10812</v>
      </c>
      <c r="B10853" s="2" t="s">
        <v>17363</v>
      </c>
      <c r="C10853" s="2"/>
      <c r="D10853" s="207"/>
      <c r="E10853" s="207"/>
      <c r="F10853" s="75">
        <v>42403</v>
      </c>
      <c r="G10853" s="66" t="s">
        <v>12548</v>
      </c>
      <c r="H10853" s="2"/>
      <c r="I10853" s="2"/>
      <c r="J10853" s="2" t="s">
        <v>12550</v>
      </c>
      <c r="K10853" s="2"/>
      <c r="L10853" s="82"/>
    </row>
    <row r="10854" spans="1:12" ht="84" customHeight="1" x14ac:dyDescent="0.3">
      <c r="A10854" s="2">
        <v>10813</v>
      </c>
      <c r="B10854" s="2" t="s">
        <v>17364</v>
      </c>
      <c r="C10854" s="2"/>
      <c r="D10854" s="207"/>
      <c r="E10854" s="207"/>
      <c r="F10854" s="75">
        <v>42403</v>
      </c>
      <c r="G10854" s="66" t="s">
        <v>12548</v>
      </c>
      <c r="H10854" s="2"/>
      <c r="I10854" s="2"/>
      <c r="J10854" s="2" t="s">
        <v>12550</v>
      </c>
      <c r="K10854" s="2"/>
      <c r="L10854" s="82"/>
    </row>
    <row r="10855" spans="1:12" ht="84" customHeight="1" x14ac:dyDescent="0.3">
      <c r="A10855" s="2">
        <v>10814</v>
      </c>
      <c r="B10855" s="2" t="s">
        <v>17365</v>
      </c>
      <c r="C10855" s="2"/>
      <c r="D10855" s="207"/>
      <c r="E10855" s="207"/>
      <c r="F10855" s="75">
        <v>42403</v>
      </c>
      <c r="G10855" s="66" t="s">
        <v>12548</v>
      </c>
      <c r="H10855" s="2"/>
      <c r="I10855" s="2"/>
      <c r="J10855" s="2" t="s">
        <v>12550</v>
      </c>
      <c r="K10855" s="2"/>
      <c r="L10855" s="82"/>
    </row>
    <row r="10856" spans="1:12" ht="84" customHeight="1" x14ac:dyDescent="0.3">
      <c r="A10856" s="2">
        <v>10815</v>
      </c>
      <c r="B10856" s="2" t="s">
        <v>17366</v>
      </c>
      <c r="C10856" s="2"/>
      <c r="D10856" s="207"/>
      <c r="E10856" s="207"/>
      <c r="F10856" s="75">
        <v>42403</v>
      </c>
      <c r="G10856" s="66" t="s">
        <v>12548</v>
      </c>
      <c r="H10856" s="2"/>
      <c r="I10856" s="2"/>
      <c r="J10856" s="2" t="s">
        <v>12550</v>
      </c>
      <c r="K10856" s="2"/>
      <c r="L10856" s="82"/>
    </row>
    <row r="10857" spans="1:12" ht="84" customHeight="1" x14ac:dyDescent="0.3">
      <c r="A10857" s="2">
        <v>10816</v>
      </c>
      <c r="B10857" s="2" t="s">
        <v>17367</v>
      </c>
      <c r="C10857" s="2"/>
      <c r="D10857" s="207"/>
      <c r="E10857" s="207"/>
      <c r="F10857" s="75">
        <v>42403</v>
      </c>
      <c r="G10857" s="66" t="s">
        <v>12548</v>
      </c>
      <c r="H10857" s="2"/>
      <c r="I10857" s="2"/>
      <c r="J10857" s="2" t="s">
        <v>12550</v>
      </c>
      <c r="K10857" s="2"/>
      <c r="L10857" s="82"/>
    </row>
    <row r="10858" spans="1:12" ht="84" customHeight="1" x14ac:dyDescent="0.3">
      <c r="A10858" s="2">
        <v>10817</v>
      </c>
      <c r="B10858" s="2" t="s">
        <v>17368</v>
      </c>
      <c r="C10858" s="2"/>
      <c r="D10858" s="207"/>
      <c r="E10858" s="207"/>
      <c r="F10858" s="75">
        <v>42403</v>
      </c>
      <c r="G10858" s="66" t="s">
        <v>12548</v>
      </c>
      <c r="H10858" s="2"/>
      <c r="I10858" s="2"/>
      <c r="J10858" s="2" t="s">
        <v>12550</v>
      </c>
      <c r="K10858" s="2"/>
      <c r="L10858" s="82"/>
    </row>
    <row r="10859" spans="1:12" ht="84" customHeight="1" x14ac:dyDescent="0.3">
      <c r="A10859" s="2">
        <v>10818</v>
      </c>
      <c r="B10859" s="2" t="s">
        <v>17369</v>
      </c>
      <c r="C10859" s="2"/>
      <c r="D10859" s="207"/>
      <c r="E10859" s="207"/>
      <c r="F10859" s="75">
        <v>42403</v>
      </c>
      <c r="G10859" s="66" t="s">
        <v>12548</v>
      </c>
      <c r="H10859" s="2"/>
      <c r="I10859" s="2"/>
      <c r="J10859" s="2" t="s">
        <v>12550</v>
      </c>
      <c r="K10859" s="2"/>
      <c r="L10859" s="82"/>
    </row>
    <row r="10860" spans="1:12" ht="84" customHeight="1" x14ac:dyDescent="0.3">
      <c r="A10860" s="2">
        <v>10819</v>
      </c>
      <c r="B10860" s="2" t="s">
        <v>17370</v>
      </c>
      <c r="C10860" s="2"/>
      <c r="D10860" s="207"/>
      <c r="E10860" s="207"/>
      <c r="F10860" s="75">
        <v>42403</v>
      </c>
      <c r="G10860" s="66" t="s">
        <v>12548</v>
      </c>
      <c r="H10860" s="2"/>
      <c r="I10860" s="2"/>
      <c r="J10860" s="2" t="s">
        <v>12550</v>
      </c>
      <c r="K10860" s="2"/>
      <c r="L10860" s="82"/>
    </row>
    <row r="10861" spans="1:12" ht="84" customHeight="1" x14ac:dyDescent="0.3">
      <c r="A10861" s="2">
        <v>10820</v>
      </c>
      <c r="B10861" s="2" t="s">
        <v>17371</v>
      </c>
      <c r="C10861" s="2"/>
      <c r="D10861" s="207"/>
      <c r="E10861" s="207"/>
      <c r="F10861" s="75">
        <v>42403</v>
      </c>
      <c r="G10861" s="66" t="s">
        <v>12548</v>
      </c>
      <c r="H10861" s="2"/>
      <c r="I10861" s="2"/>
      <c r="J10861" s="2" t="s">
        <v>12550</v>
      </c>
      <c r="K10861" s="2"/>
      <c r="L10861" s="82"/>
    </row>
    <row r="10862" spans="1:12" ht="84" customHeight="1" x14ac:dyDescent="0.3">
      <c r="A10862" s="2">
        <v>10821</v>
      </c>
      <c r="B10862" s="2" t="s">
        <v>17372</v>
      </c>
      <c r="C10862" s="2"/>
      <c r="D10862" s="207"/>
      <c r="E10862" s="207"/>
      <c r="F10862" s="75">
        <v>42403</v>
      </c>
      <c r="G10862" s="66" t="s">
        <v>12548</v>
      </c>
      <c r="H10862" s="2"/>
      <c r="I10862" s="2"/>
      <c r="J10862" s="2" t="s">
        <v>12550</v>
      </c>
      <c r="K10862" s="2"/>
      <c r="L10862" s="82"/>
    </row>
    <row r="10863" spans="1:12" ht="84" customHeight="1" x14ac:dyDescent="0.3">
      <c r="A10863" s="2">
        <v>10822</v>
      </c>
      <c r="B10863" s="2" t="s">
        <v>17373</v>
      </c>
      <c r="C10863" s="2"/>
      <c r="D10863" s="207"/>
      <c r="E10863" s="207"/>
      <c r="F10863" s="75">
        <v>42403</v>
      </c>
      <c r="G10863" s="66" t="s">
        <v>12548</v>
      </c>
      <c r="H10863" s="2"/>
      <c r="I10863" s="2"/>
      <c r="J10863" s="2" t="s">
        <v>12550</v>
      </c>
      <c r="K10863" s="2"/>
      <c r="L10863" s="82"/>
    </row>
    <row r="10864" spans="1:12" ht="84" customHeight="1" x14ac:dyDescent="0.3">
      <c r="A10864" s="2">
        <v>10823</v>
      </c>
      <c r="B10864" s="2" t="s">
        <v>17374</v>
      </c>
      <c r="C10864" s="2"/>
      <c r="D10864" s="207"/>
      <c r="E10864" s="207"/>
      <c r="F10864" s="75">
        <v>42403</v>
      </c>
      <c r="G10864" s="66" t="s">
        <v>12548</v>
      </c>
      <c r="H10864" s="2"/>
      <c r="I10864" s="2"/>
      <c r="J10864" s="2" t="s">
        <v>12550</v>
      </c>
      <c r="K10864" s="2"/>
      <c r="L10864" s="82"/>
    </row>
    <row r="10865" spans="1:15" ht="84" customHeight="1" x14ac:dyDescent="0.3">
      <c r="A10865" s="2">
        <v>10824</v>
      </c>
      <c r="B10865" s="2" t="s">
        <v>17375</v>
      </c>
      <c r="C10865" s="2"/>
      <c r="D10865" s="207"/>
      <c r="E10865" s="207"/>
      <c r="F10865" s="75">
        <v>42403</v>
      </c>
      <c r="G10865" s="66" t="s">
        <v>12548</v>
      </c>
      <c r="H10865" s="2"/>
      <c r="I10865" s="2"/>
      <c r="J10865" s="2" t="s">
        <v>12550</v>
      </c>
      <c r="K10865" s="2"/>
      <c r="L10865" s="82"/>
    </row>
    <row r="10866" spans="1:15" ht="84" customHeight="1" x14ac:dyDescent="0.3">
      <c r="A10866" s="2">
        <v>10825</v>
      </c>
      <c r="B10866" s="2" t="s">
        <v>17376</v>
      </c>
      <c r="C10866" s="2"/>
      <c r="D10866" s="207"/>
      <c r="E10866" s="207"/>
      <c r="F10866" s="75">
        <v>42403</v>
      </c>
      <c r="G10866" s="66" t="s">
        <v>12548</v>
      </c>
      <c r="H10866" s="2"/>
      <c r="I10866" s="2"/>
      <c r="J10866" s="2" t="s">
        <v>12550</v>
      </c>
      <c r="K10866" s="2"/>
      <c r="L10866" s="82"/>
    </row>
    <row r="10867" spans="1:15" ht="84" customHeight="1" x14ac:dyDescent="0.3">
      <c r="A10867" s="2">
        <v>10826</v>
      </c>
      <c r="B10867" s="2" t="s">
        <v>17377</v>
      </c>
      <c r="C10867" s="2"/>
      <c r="D10867" s="207"/>
      <c r="E10867" s="207"/>
      <c r="F10867" s="75">
        <v>42403</v>
      </c>
      <c r="G10867" s="66" t="s">
        <v>12548</v>
      </c>
      <c r="H10867" s="2"/>
      <c r="I10867" s="2"/>
      <c r="J10867" s="2" t="s">
        <v>12550</v>
      </c>
      <c r="K10867" s="2"/>
      <c r="L10867" s="82"/>
    </row>
    <row r="10868" spans="1:15" ht="84" customHeight="1" x14ac:dyDescent="0.3">
      <c r="A10868" s="2">
        <v>10827</v>
      </c>
      <c r="B10868" s="2" t="s">
        <v>17378</v>
      </c>
      <c r="C10868" s="2"/>
      <c r="D10868" s="207"/>
      <c r="E10868" s="207"/>
      <c r="F10868" s="75">
        <v>42403</v>
      </c>
      <c r="G10868" s="66" t="s">
        <v>12548</v>
      </c>
      <c r="H10868" s="2"/>
      <c r="I10868" s="2"/>
      <c r="J10868" s="2" t="s">
        <v>12550</v>
      </c>
      <c r="K10868" s="2"/>
      <c r="L10868" s="82"/>
    </row>
    <row r="10869" spans="1:15" ht="84" customHeight="1" x14ac:dyDescent="0.3">
      <c r="A10869" s="2">
        <v>10828</v>
      </c>
      <c r="B10869" s="2" t="s">
        <v>19524</v>
      </c>
      <c r="C10869" s="2"/>
      <c r="D10869" s="207"/>
      <c r="E10869" s="207"/>
      <c r="F10869" s="75">
        <v>42403</v>
      </c>
      <c r="G10869" s="66" t="s">
        <v>12548</v>
      </c>
      <c r="H10869" s="2"/>
      <c r="I10869" s="2"/>
      <c r="J10869" s="2" t="s">
        <v>12550</v>
      </c>
      <c r="K10869" s="2"/>
      <c r="L10869" s="82"/>
    </row>
    <row r="10870" spans="1:15" ht="84" customHeight="1" x14ac:dyDescent="0.3">
      <c r="A10870" s="2">
        <v>10829</v>
      </c>
      <c r="B10870" s="2" t="s">
        <v>17379</v>
      </c>
      <c r="C10870" s="2"/>
      <c r="D10870" s="207"/>
      <c r="E10870" s="207"/>
      <c r="F10870" s="75">
        <v>42403</v>
      </c>
      <c r="G10870" s="66" t="s">
        <v>12548</v>
      </c>
      <c r="H10870" s="2"/>
      <c r="I10870" s="2"/>
      <c r="J10870" s="2" t="s">
        <v>12550</v>
      </c>
      <c r="K10870" s="2"/>
      <c r="L10870" s="82"/>
    </row>
    <row r="10871" spans="1:15" ht="84" customHeight="1" x14ac:dyDescent="0.3">
      <c r="A10871" s="2">
        <v>10830</v>
      </c>
      <c r="B10871" s="2" t="s">
        <v>17380</v>
      </c>
      <c r="C10871" s="2"/>
      <c r="D10871" s="207"/>
      <c r="E10871" s="207"/>
      <c r="F10871" s="75">
        <v>42403</v>
      </c>
      <c r="G10871" s="66" t="s">
        <v>12548</v>
      </c>
      <c r="H10871" s="2"/>
      <c r="I10871" s="2"/>
      <c r="J10871" s="2" t="s">
        <v>12550</v>
      </c>
      <c r="K10871" s="2"/>
      <c r="L10871" s="82"/>
    </row>
    <row r="10872" spans="1:15" ht="84" customHeight="1" x14ac:dyDescent="0.3">
      <c r="A10872" s="2">
        <v>10831</v>
      </c>
      <c r="B10872" s="2" t="s">
        <v>17459</v>
      </c>
      <c r="C10872" s="2"/>
      <c r="D10872" s="207"/>
      <c r="E10872" s="207"/>
      <c r="F10872" s="75">
        <v>42403</v>
      </c>
      <c r="G10872" s="66" t="s">
        <v>12548</v>
      </c>
      <c r="H10872" s="2"/>
      <c r="I10872" s="2"/>
      <c r="J10872" s="2" t="s">
        <v>12550</v>
      </c>
      <c r="K10872" s="2"/>
      <c r="L10872" s="82"/>
    </row>
    <row r="10873" spans="1:15" ht="84" customHeight="1" x14ac:dyDescent="0.3">
      <c r="A10873" s="2">
        <v>10832</v>
      </c>
      <c r="B10873" s="2" t="s">
        <v>17460</v>
      </c>
      <c r="C10873" s="2"/>
      <c r="D10873" s="207"/>
      <c r="E10873" s="123"/>
      <c r="F10873" s="75">
        <v>42403</v>
      </c>
      <c r="G10873" s="66" t="s">
        <v>12548</v>
      </c>
      <c r="H10873" s="2"/>
      <c r="I10873" s="2"/>
      <c r="J10873" s="2" t="s">
        <v>12550</v>
      </c>
      <c r="K10873" s="2"/>
      <c r="L10873" s="82"/>
    </row>
    <row r="10874" spans="1:15" ht="84" customHeight="1" x14ac:dyDescent="0.3">
      <c r="A10874" s="2">
        <v>10833</v>
      </c>
      <c r="B10874" s="2" t="s">
        <v>17381</v>
      </c>
      <c r="C10874" s="2"/>
      <c r="D10874" s="25">
        <v>99795.35</v>
      </c>
      <c r="E10874" s="25"/>
      <c r="F10874" s="75">
        <v>42403</v>
      </c>
      <c r="G10874" s="66" t="s">
        <v>12548</v>
      </c>
      <c r="H10874" s="2"/>
      <c r="I10874" s="2"/>
      <c r="J10874" s="2" t="s">
        <v>12550</v>
      </c>
      <c r="K10874" s="2"/>
      <c r="L10874" s="82"/>
    </row>
    <row r="10875" spans="1:15" ht="84" customHeight="1" x14ac:dyDescent="0.3">
      <c r="A10875" s="2">
        <v>10834</v>
      </c>
      <c r="B10875" s="2" t="s">
        <v>17382</v>
      </c>
      <c r="C10875" s="2"/>
      <c r="D10875" s="25">
        <v>178684.37</v>
      </c>
      <c r="E10875" s="25"/>
      <c r="F10875" s="75">
        <v>42403</v>
      </c>
      <c r="G10875" s="66" t="s">
        <v>12548</v>
      </c>
      <c r="H10875" s="2"/>
      <c r="I10875" s="2"/>
      <c r="J10875" s="2" t="s">
        <v>12550</v>
      </c>
      <c r="K10875" s="2"/>
      <c r="L10875" s="82"/>
    </row>
    <row r="10876" spans="1:15" ht="84" customHeight="1" x14ac:dyDescent="0.3">
      <c r="A10876" s="2">
        <v>10835</v>
      </c>
      <c r="B10876" s="2" t="s">
        <v>17461</v>
      </c>
      <c r="C10876" s="2"/>
      <c r="D10876" s="25">
        <v>62086.36</v>
      </c>
      <c r="E10876" s="25"/>
      <c r="F10876" s="75">
        <v>42403</v>
      </c>
      <c r="G10876" s="66" t="s">
        <v>12548</v>
      </c>
      <c r="H10876" s="2"/>
      <c r="I10876" s="2"/>
      <c r="J10876" s="2" t="s">
        <v>12550</v>
      </c>
      <c r="K10876" s="2"/>
      <c r="L10876" s="82"/>
    </row>
    <row r="10877" spans="1:15" ht="84" customHeight="1" x14ac:dyDescent="0.3">
      <c r="A10877" s="2">
        <v>10836</v>
      </c>
      <c r="B10877" s="2" t="s">
        <v>17383</v>
      </c>
      <c r="C10877" s="2"/>
      <c r="D10877" s="43"/>
      <c r="E10877" s="43"/>
      <c r="F10877" s="75">
        <v>42403</v>
      </c>
      <c r="G10877" s="66" t="s">
        <v>12548</v>
      </c>
      <c r="H10877" s="2"/>
      <c r="I10877" s="2"/>
      <c r="J10877" s="2" t="s">
        <v>12550</v>
      </c>
      <c r="K10877" s="113"/>
      <c r="L10877" s="82"/>
      <c r="N10877" s="17"/>
      <c r="O10877" s="17"/>
    </row>
    <row r="10878" spans="1:15" ht="84" customHeight="1" x14ac:dyDescent="0.3">
      <c r="A10878" s="2">
        <v>10837</v>
      </c>
      <c r="B10878" s="2" t="s">
        <v>17384</v>
      </c>
      <c r="C10878" s="2"/>
      <c r="D10878" s="43"/>
      <c r="E10878" s="43"/>
      <c r="F10878" s="75">
        <v>42403</v>
      </c>
      <c r="G10878" s="66" t="s">
        <v>12548</v>
      </c>
      <c r="H10878" s="2"/>
      <c r="I10878" s="2"/>
      <c r="J10878" s="2" t="s">
        <v>12550</v>
      </c>
      <c r="K10878" s="113"/>
      <c r="L10878" s="82"/>
      <c r="N10878" s="17"/>
      <c r="O10878" s="17"/>
    </row>
    <row r="10879" spans="1:15" ht="84" customHeight="1" x14ac:dyDescent="0.3">
      <c r="A10879" s="2">
        <v>10838</v>
      </c>
      <c r="B10879" s="2" t="s">
        <v>17385</v>
      </c>
      <c r="C10879" s="2"/>
      <c r="D10879" s="43"/>
      <c r="E10879" s="43"/>
      <c r="F10879" s="75">
        <v>42403</v>
      </c>
      <c r="G10879" s="66" t="s">
        <v>12548</v>
      </c>
      <c r="H10879" s="2"/>
      <c r="I10879" s="2"/>
      <c r="J10879" s="2" t="s">
        <v>12550</v>
      </c>
      <c r="K10879" s="113"/>
      <c r="L10879" s="82"/>
      <c r="N10879" s="17"/>
      <c r="O10879" s="17"/>
    </row>
    <row r="10880" spans="1:15" ht="84" customHeight="1" x14ac:dyDescent="0.3">
      <c r="A10880" s="2">
        <v>10839</v>
      </c>
      <c r="B10880" s="82" t="s">
        <v>17386</v>
      </c>
      <c r="C10880" s="82"/>
      <c r="D10880" s="43"/>
      <c r="E10880" s="43"/>
      <c r="F10880" s="75">
        <v>42403</v>
      </c>
      <c r="G10880" s="66" t="s">
        <v>12548</v>
      </c>
      <c r="H10880" s="2"/>
      <c r="I10880" s="2"/>
      <c r="J10880" s="2" t="s">
        <v>12550</v>
      </c>
      <c r="K10880" s="113"/>
      <c r="L10880" s="82"/>
      <c r="N10880" s="17"/>
      <c r="O10880" s="17"/>
    </row>
    <row r="10881" spans="1:15" ht="84" customHeight="1" x14ac:dyDescent="0.3">
      <c r="A10881" s="2">
        <v>10840</v>
      </c>
      <c r="B10881" s="82" t="s">
        <v>17387</v>
      </c>
      <c r="C10881" s="82"/>
      <c r="D10881" s="43"/>
      <c r="E10881" s="43"/>
      <c r="F10881" s="75">
        <v>42403</v>
      </c>
      <c r="G10881" s="66" t="s">
        <v>12548</v>
      </c>
      <c r="H10881" s="2"/>
      <c r="I10881" s="2"/>
      <c r="J10881" s="2" t="s">
        <v>12550</v>
      </c>
      <c r="K10881" s="113"/>
      <c r="L10881" s="82"/>
      <c r="N10881" s="17"/>
      <c r="O10881" s="17"/>
    </row>
    <row r="10882" spans="1:15" ht="84" customHeight="1" x14ac:dyDescent="0.3">
      <c r="A10882" s="2">
        <v>10841</v>
      </c>
      <c r="B10882" s="82" t="s">
        <v>17388</v>
      </c>
      <c r="C10882" s="82"/>
      <c r="D10882" s="43"/>
      <c r="E10882" s="43"/>
      <c r="F10882" s="75">
        <v>42403</v>
      </c>
      <c r="G10882" s="66" t="s">
        <v>12548</v>
      </c>
      <c r="H10882" s="2"/>
      <c r="I10882" s="2"/>
      <c r="J10882" s="2" t="s">
        <v>12550</v>
      </c>
      <c r="K10882" s="113"/>
      <c r="L10882" s="82"/>
      <c r="N10882" s="17"/>
      <c r="O10882" s="17"/>
    </row>
    <row r="10883" spans="1:15" ht="84" customHeight="1" x14ac:dyDescent="0.3">
      <c r="A10883" s="2">
        <v>10842</v>
      </c>
      <c r="B10883" s="82" t="s">
        <v>17389</v>
      </c>
      <c r="C10883" s="82"/>
      <c r="D10883" s="43"/>
      <c r="E10883" s="43"/>
      <c r="F10883" s="75">
        <v>42403</v>
      </c>
      <c r="G10883" s="66" t="s">
        <v>12548</v>
      </c>
      <c r="H10883" s="2"/>
      <c r="I10883" s="2"/>
      <c r="J10883" s="2" t="s">
        <v>12550</v>
      </c>
      <c r="K10883" s="113"/>
      <c r="L10883" s="82"/>
      <c r="N10883" s="17"/>
      <c r="O10883" s="17"/>
    </row>
    <row r="10884" spans="1:15" ht="84" customHeight="1" x14ac:dyDescent="0.3">
      <c r="A10884" s="2">
        <v>10843</v>
      </c>
      <c r="B10884" s="82" t="s">
        <v>17390</v>
      </c>
      <c r="C10884" s="82"/>
      <c r="D10884" s="43"/>
      <c r="E10884" s="43"/>
      <c r="F10884" s="75">
        <v>42403</v>
      </c>
      <c r="G10884" s="66" t="s">
        <v>12548</v>
      </c>
      <c r="H10884" s="2"/>
      <c r="I10884" s="2"/>
      <c r="J10884" s="2" t="s">
        <v>12550</v>
      </c>
      <c r="K10884" s="113"/>
      <c r="L10884" s="82"/>
      <c r="N10884" s="17"/>
      <c r="O10884" s="17"/>
    </row>
    <row r="10885" spans="1:15" ht="84" customHeight="1" x14ac:dyDescent="0.3">
      <c r="A10885" s="2">
        <v>10844</v>
      </c>
      <c r="B10885" s="2" t="s">
        <v>17391</v>
      </c>
      <c r="C10885" s="2"/>
      <c r="D10885" s="43">
        <v>11700</v>
      </c>
      <c r="E10885" s="43">
        <v>11700</v>
      </c>
      <c r="F10885" s="75">
        <v>42403</v>
      </c>
      <c r="G10885" s="66" t="s">
        <v>12548</v>
      </c>
      <c r="H10885" s="2"/>
      <c r="I10885" s="2"/>
      <c r="J10885" s="2" t="s">
        <v>12550</v>
      </c>
      <c r="K10885" s="113"/>
      <c r="L10885" s="82"/>
      <c r="N10885" s="17"/>
      <c r="O10885" s="17"/>
    </row>
    <row r="10886" spans="1:15" ht="84" customHeight="1" x14ac:dyDescent="0.3">
      <c r="A10886" s="2">
        <v>10845</v>
      </c>
      <c r="B10886" s="2" t="s">
        <v>17392</v>
      </c>
      <c r="C10886" s="2"/>
      <c r="D10886" s="43">
        <v>9800</v>
      </c>
      <c r="E10886" s="43">
        <v>9800</v>
      </c>
      <c r="F10886" s="75">
        <v>42403</v>
      </c>
      <c r="G10886" s="66" t="s">
        <v>12548</v>
      </c>
      <c r="H10886" s="2"/>
      <c r="I10886" s="2"/>
      <c r="J10886" s="2" t="s">
        <v>12550</v>
      </c>
      <c r="K10886" s="113"/>
      <c r="L10886" s="82"/>
      <c r="N10886" s="17"/>
      <c r="O10886" s="17"/>
    </row>
    <row r="10887" spans="1:15" ht="84" customHeight="1" x14ac:dyDescent="0.3">
      <c r="A10887" s="2">
        <v>10846</v>
      </c>
      <c r="B10887" s="2" t="s">
        <v>17393</v>
      </c>
      <c r="C10887" s="2"/>
      <c r="D10887" s="43">
        <v>64944</v>
      </c>
      <c r="E10887" s="43">
        <v>64945</v>
      </c>
      <c r="F10887" s="75">
        <v>42403</v>
      </c>
      <c r="G10887" s="66" t="s">
        <v>12548</v>
      </c>
      <c r="H10887" s="2"/>
      <c r="I10887" s="2"/>
      <c r="J10887" s="2" t="s">
        <v>12550</v>
      </c>
      <c r="K10887" s="113"/>
      <c r="L10887" s="82"/>
      <c r="N10887" s="17"/>
      <c r="O10887" s="17"/>
    </row>
    <row r="10888" spans="1:15" ht="84" customHeight="1" x14ac:dyDescent="0.3">
      <c r="A10888" s="2">
        <v>10847</v>
      </c>
      <c r="B10888" s="2" t="s">
        <v>17394</v>
      </c>
      <c r="C10888" s="2"/>
      <c r="D10888" s="43">
        <v>4600</v>
      </c>
      <c r="E10888" s="43"/>
      <c r="F10888" s="75">
        <v>42403</v>
      </c>
      <c r="G10888" s="66" t="s">
        <v>12548</v>
      </c>
      <c r="H10888" s="2"/>
      <c r="I10888" s="2"/>
      <c r="J10888" s="2" t="s">
        <v>12550</v>
      </c>
      <c r="K10888" s="113"/>
      <c r="L10888" s="82"/>
      <c r="N10888" s="17"/>
      <c r="O10888" s="17"/>
    </row>
    <row r="10889" spans="1:15" ht="84" customHeight="1" x14ac:dyDescent="0.3">
      <c r="A10889" s="2">
        <v>10848</v>
      </c>
      <c r="B10889" s="2" t="s">
        <v>17395</v>
      </c>
      <c r="C10889" s="2"/>
      <c r="D10889" s="43">
        <v>4600</v>
      </c>
      <c r="E10889" s="43"/>
      <c r="F10889" s="75">
        <v>42403</v>
      </c>
      <c r="G10889" s="66" t="s">
        <v>12548</v>
      </c>
      <c r="H10889" s="2"/>
      <c r="I10889" s="2"/>
      <c r="J10889" s="2" t="s">
        <v>12550</v>
      </c>
      <c r="K10889" s="113"/>
      <c r="L10889" s="82"/>
      <c r="N10889" s="17"/>
      <c r="O10889" s="17"/>
    </row>
    <row r="10890" spans="1:15" ht="84" customHeight="1" x14ac:dyDescent="0.3">
      <c r="A10890" s="2">
        <v>10849</v>
      </c>
      <c r="B10890" s="2" t="s">
        <v>17396</v>
      </c>
      <c r="C10890" s="2"/>
      <c r="D10890" s="43">
        <v>9200</v>
      </c>
      <c r="E10890" s="43"/>
      <c r="F10890" s="75">
        <v>42403</v>
      </c>
      <c r="G10890" s="66" t="s">
        <v>12548</v>
      </c>
      <c r="H10890" s="2"/>
      <c r="I10890" s="2"/>
      <c r="J10890" s="2" t="s">
        <v>12550</v>
      </c>
      <c r="K10890" s="113"/>
      <c r="L10890" s="82"/>
      <c r="N10890" s="17"/>
      <c r="O10890" s="17"/>
    </row>
    <row r="10891" spans="1:15" ht="84" customHeight="1" x14ac:dyDescent="0.3">
      <c r="A10891" s="2">
        <v>10850</v>
      </c>
      <c r="B10891" s="2" t="s">
        <v>17399</v>
      </c>
      <c r="C10891" s="2"/>
      <c r="D10891" s="43">
        <v>50000</v>
      </c>
      <c r="E10891" s="43"/>
      <c r="F10891" s="75">
        <v>42403</v>
      </c>
      <c r="G10891" s="66" t="s">
        <v>12548</v>
      </c>
      <c r="H10891" s="2"/>
      <c r="I10891" s="2"/>
      <c r="J10891" s="2" t="s">
        <v>12550</v>
      </c>
      <c r="K10891" s="113"/>
      <c r="L10891" s="82"/>
      <c r="N10891" s="17"/>
      <c r="O10891" s="17"/>
    </row>
    <row r="10892" spans="1:15" ht="84" customHeight="1" x14ac:dyDescent="0.3">
      <c r="A10892" s="2">
        <v>10851</v>
      </c>
      <c r="B10892" s="2" t="s">
        <v>17400</v>
      </c>
      <c r="C10892" s="2"/>
      <c r="D10892" s="43">
        <v>2500</v>
      </c>
      <c r="E10892" s="43"/>
      <c r="F10892" s="75">
        <v>42403</v>
      </c>
      <c r="G10892" s="66" t="s">
        <v>12548</v>
      </c>
      <c r="H10892" s="2"/>
      <c r="I10892" s="2"/>
      <c r="J10892" s="2" t="s">
        <v>12550</v>
      </c>
      <c r="K10892" s="113"/>
      <c r="L10892" s="82"/>
      <c r="N10892" s="17"/>
      <c r="O10892" s="17"/>
    </row>
    <row r="10893" spans="1:15" ht="84" customHeight="1" x14ac:dyDescent="0.3">
      <c r="A10893" s="2">
        <v>10852</v>
      </c>
      <c r="B10893" s="2" t="s">
        <v>17401</v>
      </c>
      <c r="C10893" s="2"/>
      <c r="D10893" s="43">
        <v>2500</v>
      </c>
      <c r="E10893" s="43"/>
      <c r="F10893" s="75">
        <v>42403</v>
      </c>
      <c r="G10893" s="66" t="s">
        <v>12548</v>
      </c>
      <c r="H10893" s="2"/>
      <c r="I10893" s="2"/>
      <c r="J10893" s="2" t="s">
        <v>12550</v>
      </c>
      <c r="K10893" s="113"/>
      <c r="L10893" s="82"/>
      <c r="N10893" s="17"/>
      <c r="O10893" s="17"/>
    </row>
    <row r="10894" spans="1:15" ht="84" customHeight="1" x14ac:dyDescent="0.3">
      <c r="A10894" s="2">
        <v>10853</v>
      </c>
      <c r="B10894" s="2" t="s">
        <v>17402</v>
      </c>
      <c r="C10894" s="2"/>
      <c r="D10894" s="43">
        <v>2500</v>
      </c>
      <c r="E10894" s="43"/>
      <c r="F10894" s="75">
        <v>42403</v>
      </c>
      <c r="G10894" s="66" t="s">
        <v>12548</v>
      </c>
      <c r="H10894" s="2"/>
      <c r="I10894" s="2"/>
      <c r="J10894" s="2" t="s">
        <v>12550</v>
      </c>
      <c r="K10894" s="113"/>
      <c r="L10894" s="82"/>
      <c r="N10894" s="17"/>
      <c r="O10894" s="17"/>
    </row>
    <row r="10895" spans="1:15" ht="84" customHeight="1" x14ac:dyDescent="0.3">
      <c r="A10895" s="2">
        <v>10854</v>
      </c>
      <c r="B10895" s="2" t="s">
        <v>17403</v>
      </c>
      <c r="C10895" s="2"/>
      <c r="D10895" s="43">
        <v>2500</v>
      </c>
      <c r="E10895" s="43"/>
      <c r="F10895" s="75">
        <v>42403</v>
      </c>
      <c r="G10895" s="66" t="s">
        <v>12548</v>
      </c>
      <c r="H10895" s="2"/>
      <c r="I10895" s="2"/>
      <c r="J10895" s="2" t="s">
        <v>12550</v>
      </c>
      <c r="K10895" s="113"/>
      <c r="L10895" s="82"/>
      <c r="N10895" s="17"/>
      <c r="O10895" s="17"/>
    </row>
    <row r="10896" spans="1:15" ht="84" customHeight="1" x14ac:dyDescent="0.3">
      <c r="A10896" s="2">
        <v>10855</v>
      </c>
      <c r="B10896" s="2" t="s">
        <v>17398</v>
      </c>
      <c r="C10896" s="2"/>
      <c r="D10896" s="43">
        <v>2500</v>
      </c>
      <c r="E10896" s="43"/>
      <c r="F10896" s="75">
        <v>42403</v>
      </c>
      <c r="G10896" s="66" t="s">
        <v>12548</v>
      </c>
      <c r="H10896" s="2"/>
      <c r="I10896" s="2"/>
      <c r="J10896" s="2" t="s">
        <v>12550</v>
      </c>
      <c r="K10896" s="113"/>
      <c r="L10896" s="82"/>
      <c r="N10896" s="17"/>
      <c r="O10896" s="17"/>
    </row>
    <row r="10897" spans="1:15" ht="84" customHeight="1" x14ac:dyDescent="0.3">
      <c r="A10897" s="2">
        <v>10856</v>
      </c>
      <c r="B10897" s="2" t="s">
        <v>17397</v>
      </c>
      <c r="C10897" s="2"/>
      <c r="D10897" s="43">
        <v>2500</v>
      </c>
      <c r="E10897" s="43"/>
      <c r="F10897" s="75">
        <v>42403</v>
      </c>
      <c r="G10897" s="66" t="s">
        <v>12548</v>
      </c>
      <c r="H10897" s="2"/>
      <c r="I10897" s="2"/>
      <c r="J10897" s="2" t="s">
        <v>12550</v>
      </c>
      <c r="K10897" s="113"/>
      <c r="L10897" s="82"/>
      <c r="N10897" s="17"/>
      <c r="O10897" s="17"/>
    </row>
    <row r="10898" spans="1:15" ht="84" customHeight="1" x14ac:dyDescent="0.3">
      <c r="A10898" s="2">
        <v>10857</v>
      </c>
      <c r="B10898" s="2" t="s">
        <v>17404</v>
      </c>
      <c r="C10898" s="2"/>
      <c r="D10898" s="43">
        <v>2500</v>
      </c>
      <c r="E10898" s="43"/>
      <c r="F10898" s="75">
        <v>42403</v>
      </c>
      <c r="G10898" s="66" t="s">
        <v>12548</v>
      </c>
      <c r="H10898" s="2"/>
      <c r="I10898" s="2"/>
      <c r="J10898" s="2" t="s">
        <v>12550</v>
      </c>
      <c r="K10898" s="113"/>
      <c r="L10898" s="82"/>
      <c r="N10898" s="17"/>
      <c r="O10898" s="17"/>
    </row>
    <row r="10899" spans="1:15" ht="84" customHeight="1" x14ac:dyDescent="0.3">
      <c r="A10899" s="2">
        <v>10858</v>
      </c>
      <c r="B10899" s="2" t="s">
        <v>17405</v>
      </c>
      <c r="C10899" s="2"/>
      <c r="D10899" s="43">
        <v>2500</v>
      </c>
      <c r="E10899" s="43"/>
      <c r="F10899" s="75">
        <v>42403</v>
      </c>
      <c r="G10899" s="66" t="s">
        <v>12548</v>
      </c>
      <c r="H10899" s="2"/>
      <c r="I10899" s="2"/>
      <c r="J10899" s="2" t="s">
        <v>12550</v>
      </c>
      <c r="K10899" s="113"/>
      <c r="L10899" s="82"/>
      <c r="N10899" s="17"/>
      <c r="O10899" s="17"/>
    </row>
    <row r="10900" spans="1:15" ht="84" customHeight="1" x14ac:dyDescent="0.3">
      <c r="A10900" s="2">
        <v>10859</v>
      </c>
      <c r="B10900" s="2" t="s">
        <v>17406</v>
      </c>
      <c r="C10900" s="2"/>
      <c r="D10900" s="43">
        <v>2500</v>
      </c>
      <c r="E10900" s="43"/>
      <c r="F10900" s="75">
        <v>42403</v>
      </c>
      <c r="G10900" s="66" t="s">
        <v>12548</v>
      </c>
      <c r="H10900" s="2"/>
      <c r="I10900" s="2"/>
      <c r="J10900" s="2" t="s">
        <v>12550</v>
      </c>
      <c r="K10900" s="113"/>
      <c r="L10900" s="82"/>
      <c r="N10900" s="17"/>
      <c r="O10900" s="17"/>
    </row>
    <row r="10901" spans="1:15" ht="84" customHeight="1" x14ac:dyDescent="0.3">
      <c r="A10901" s="2">
        <v>10860</v>
      </c>
      <c r="B10901" s="2" t="s">
        <v>17407</v>
      </c>
      <c r="C10901" s="2"/>
      <c r="D10901" s="43">
        <v>2500</v>
      </c>
      <c r="E10901" s="43"/>
      <c r="F10901" s="75">
        <v>42403</v>
      </c>
      <c r="G10901" s="66" t="s">
        <v>12548</v>
      </c>
      <c r="H10901" s="2"/>
      <c r="I10901" s="2"/>
      <c r="J10901" s="2" t="s">
        <v>12550</v>
      </c>
      <c r="K10901" s="113"/>
      <c r="L10901" s="82"/>
      <c r="N10901" s="17"/>
      <c r="O10901" s="17"/>
    </row>
    <row r="10902" spans="1:15" ht="84" customHeight="1" x14ac:dyDescent="0.3">
      <c r="A10902" s="2">
        <v>10861</v>
      </c>
      <c r="B10902" s="2" t="s">
        <v>17408</v>
      </c>
      <c r="C10902" s="2"/>
      <c r="D10902" s="43">
        <v>2500</v>
      </c>
      <c r="E10902" s="43"/>
      <c r="F10902" s="75">
        <v>42403</v>
      </c>
      <c r="G10902" s="66" t="s">
        <v>12548</v>
      </c>
      <c r="H10902" s="2"/>
      <c r="I10902" s="2"/>
      <c r="J10902" s="2" t="s">
        <v>12550</v>
      </c>
      <c r="K10902" s="113"/>
      <c r="L10902" s="82"/>
      <c r="N10902" s="17"/>
      <c r="O10902" s="17"/>
    </row>
    <row r="10903" spans="1:15" ht="84" customHeight="1" x14ac:dyDescent="0.3">
      <c r="A10903" s="2">
        <v>10862</v>
      </c>
      <c r="B10903" s="2" t="s">
        <v>17409</v>
      </c>
      <c r="C10903" s="2"/>
      <c r="D10903" s="43">
        <v>2500</v>
      </c>
      <c r="E10903" s="43"/>
      <c r="F10903" s="75">
        <v>42403</v>
      </c>
      <c r="G10903" s="66" t="s">
        <v>12548</v>
      </c>
      <c r="H10903" s="2"/>
      <c r="I10903" s="2"/>
      <c r="J10903" s="2" t="s">
        <v>12550</v>
      </c>
      <c r="K10903" s="113"/>
      <c r="L10903" s="82"/>
      <c r="N10903" s="17"/>
      <c r="O10903" s="17"/>
    </row>
    <row r="10904" spans="1:15" ht="84" customHeight="1" x14ac:dyDescent="0.3">
      <c r="A10904" s="2">
        <v>10863</v>
      </c>
      <c r="B10904" s="2" t="s">
        <v>17410</v>
      </c>
      <c r="C10904" s="2"/>
      <c r="D10904" s="43">
        <v>2500</v>
      </c>
      <c r="E10904" s="43"/>
      <c r="F10904" s="75">
        <v>42403</v>
      </c>
      <c r="G10904" s="66" t="s">
        <v>12548</v>
      </c>
      <c r="H10904" s="2"/>
      <c r="I10904" s="2"/>
      <c r="J10904" s="2" t="s">
        <v>12550</v>
      </c>
      <c r="K10904" s="113"/>
      <c r="L10904" s="82"/>
      <c r="N10904" s="17"/>
      <c r="O10904" s="17"/>
    </row>
    <row r="10905" spans="1:15" ht="84" customHeight="1" x14ac:dyDescent="0.3">
      <c r="A10905" s="2">
        <v>10864</v>
      </c>
      <c r="B10905" s="2" t="s">
        <v>17411</v>
      </c>
      <c r="C10905" s="2"/>
      <c r="D10905" s="43">
        <v>2500</v>
      </c>
      <c r="E10905" s="43"/>
      <c r="F10905" s="75">
        <v>42403</v>
      </c>
      <c r="G10905" s="66" t="s">
        <v>12548</v>
      </c>
      <c r="H10905" s="2"/>
      <c r="I10905" s="2"/>
      <c r="J10905" s="2" t="s">
        <v>12550</v>
      </c>
      <c r="K10905" s="113"/>
      <c r="L10905" s="82"/>
      <c r="N10905" s="17"/>
      <c r="O10905" s="17"/>
    </row>
    <row r="10906" spans="1:15" ht="84" customHeight="1" x14ac:dyDescent="0.3">
      <c r="A10906" s="2">
        <v>10865</v>
      </c>
      <c r="B10906" s="2" t="s">
        <v>17412</v>
      </c>
      <c r="C10906" s="2"/>
      <c r="D10906" s="43">
        <v>6000</v>
      </c>
      <c r="E10906" s="43"/>
      <c r="F10906" s="75">
        <v>42403</v>
      </c>
      <c r="G10906" s="66" t="s">
        <v>12548</v>
      </c>
      <c r="H10906" s="2"/>
      <c r="I10906" s="2"/>
      <c r="J10906" s="2" t="s">
        <v>12550</v>
      </c>
      <c r="K10906" s="113"/>
      <c r="L10906" s="82"/>
      <c r="N10906" s="17"/>
      <c r="O10906" s="17"/>
    </row>
    <row r="10907" spans="1:15" ht="84" customHeight="1" x14ac:dyDescent="0.3">
      <c r="A10907" s="2">
        <v>10866</v>
      </c>
      <c r="B10907" s="2" t="s">
        <v>17413</v>
      </c>
      <c r="C10907" s="2"/>
      <c r="D10907" s="43">
        <v>6000</v>
      </c>
      <c r="E10907" s="43"/>
      <c r="F10907" s="75">
        <v>42403</v>
      </c>
      <c r="G10907" s="66" t="s">
        <v>12548</v>
      </c>
      <c r="H10907" s="2"/>
      <c r="I10907" s="2"/>
      <c r="J10907" s="2" t="s">
        <v>12550</v>
      </c>
      <c r="K10907" s="113"/>
      <c r="L10907" s="82"/>
      <c r="N10907" s="17"/>
      <c r="O10907" s="17"/>
    </row>
    <row r="10908" spans="1:15" ht="84" customHeight="1" x14ac:dyDescent="0.3">
      <c r="A10908" s="2">
        <v>10867</v>
      </c>
      <c r="B10908" s="2" t="s">
        <v>17414</v>
      </c>
      <c r="C10908" s="2"/>
      <c r="D10908" s="43">
        <v>6000</v>
      </c>
      <c r="E10908" s="43"/>
      <c r="F10908" s="75">
        <v>42403</v>
      </c>
      <c r="G10908" s="66" t="s">
        <v>12548</v>
      </c>
      <c r="H10908" s="2"/>
      <c r="I10908" s="2"/>
      <c r="J10908" s="2" t="s">
        <v>12550</v>
      </c>
      <c r="K10908" s="113"/>
      <c r="L10908" s="82"/>
      <c r="N10908" s="17"/>
      <c r="O10908" s="17"/>
    </row>
    <row r="10909" spans="1:15" ht="108" x14ac:dyDescent="0.3">
      <c r="A10909" s="2">
        <v>10868</v>
      </c>
      <c r="B10909" s="242" t="s">
        <v>23324</v>
      </c>
      <c r="C10909" s="2"/>
      <c r="D10909" s="43">
        <v>6000</v>
      </c>
      <c r="E10909" s="43"/>
      <c r="F10909" s="75">
        <v>42403</v>
      </c>
      <c r="G10909" s="66" t="s">
        <v>12548</v>
      </c>
      <c r="H10909" s="2"/>
      <c r="I10909" s="2"/>
      <c r="J10909" s="2" t="s">
        <v>12550</v>
      </c>
      <c r="K10909" s="113"/>
      <c r="L10909" s="82" t="s">
        <v>23325</v>
      </c>
      <c r="N10909" s="17"/>
      <c r="O10909" s="17"/>
    </row>
    <row r="10910" spans="1:15" ht="84" customHeight="1" x14ac:dyDescent="0.3">
      <c r="A10910" s="2">
        <v>10869</v>
      </c>
      <c r="B10910" s="242" t="s">
        <v>23321</v>
      </c>
      <c r="C10910" s="2"/>
      <c r="D10910" s="43">
        <v>6000</v>
      </c>
      <c r="E10910" s="43"/>
      <c r="F10910" s="75">
        <v>42403</v>
      </c>
      <c r="G10910" s="66" t="s">
        <v>12548</v>
      </c>
      <c r="H10910" s="2"/>
      <c r="I10910" s="2"/>
      <c r="J10910" s="2" t="s">
        <v>12550</v>
      </c>
      <c r="K10910" s="113"/>
      <c r="L10910" s="82"/>
      <c r="N10910" s="17"/>
      <c r="O10910" s="17"/>
    </row>
    <row r="10911" spans="1:15" ht="84" customHeight="1" x14ac:dyDescent="0.3">
      <c r="A10911" s="2">
        <v>10870</v>
      </c>
      <c r="B10911" s="2" t="s">
        <v>17415</v>
      </c>
      <c r="C10911" s="2"/>
      <c r="D10911" s="43">
        <v>12000</v>
      </c>
      <c r="E10911" s="43"/>
      <c r="F10911" s="75">
        <v>42403</v>
      </c>
      <c r="G10911" s="66" t="s">
        <v>12548</v>
      </c>
      <c r="H10911" s="2"/>
      <c r="I10911" s="2"/>
      <c r="J10911" s="2" t="s">
        <v>12550</v>
      </c>
      <c r="K10911" s="113"/>
      <c r="L10911" s="82"/>
      <c r="N10911" s="17"/>
      <c r="O10911" s="17"/>
    </row>
    <row r="10912" spans="1:15" ht="84" customHeight="1" x14ac:dyDescent="0.3">
      <c r="A10912" s="2">
        <v>10871</v>
      </c>
      <c r="B10912" s="2" t="s">
        <v>17416</v>
      </c>
      <c r="C10912" s="2"/>
      <c r="D10912" s="43">
        <v>6000</v>
      </c>
      <c r="E10912" s="43"/>
      <c r="F10912" s="75">
        <v>42403</v>
      </c>
      <c r="G10912" s="66" t="s">
        <v>12548</v>
      </c>
      <c r="H10912" s="2"/>
      <c r="I10912" s="2"/>
      <c r="J10912" s="2" t="s">
        <v>12550</v>
      </c>
      <c r="K10912" s="113"/>
      <c r="L10912" s="82"/>
      <c r="N10912" s="17"/>
      <c r="O10912" s="17"/>
    </row>
    <row r="10913" spans="1:15" ht="84" customHeight="1" x14ac:dyDescent="0.3">
      <c r="A10913" s="2">
        <v>10872</v>
      </c>
      <c r="B10913" s="2" t="s">
        <v>17417</v>
      </c>
      <c r="C10913" s="2"/>
      <c r="D10913" s="43">
        <v>6000</v>
      </c>
      <c r="E10913" s="43"/>
      <c r="F10913" s="75">
        <v>42403</v>
      </c>
      <c r="G10913" s="66" t="s">
        <v>12548</v>
      </c>
      <c r="H10913" s="2"/>
      <c r="I10913" s="2"/>
      <c r="J10913" s="2" t="s">
        <v>12550</v>
      </c>
      <c r="K10913" s="113"/>
      <c r="L10913" s="82"/>
      <c r="N10913" s="17"/>
      <c r="O10913" s="17"/>
    </row>
    <row r="10914" spans="1:15" ht="84" customHeight="1" x14ac:dyDescent="0.3">
      <c r="A10914" s="2">
        <v>10873</v>
      </c>
      <c r="B10914" s="2" t="s">
        <v>17418</v>
      </c>
      <c r="C10914" s="2"/>
      <c r="D10914" s="43">
        <v>4000</v>
      </c>
      <c r="E10914" s="43"/>
      <c r="F10914" s="75">
        <v>42403</v>
      </c>
      <c r="G10914" s="66" t="s">
        <v>12548</v>
      </c>
      <c r="H10914" s="2"/>
      <c r="I10914" s="2"/>
      <c r="J10914" s="2" t="s">
        <v>12550</v>
      </c>
      <c r="K10914" s="113"/>
      <c r="L10914" s="82"/>
      <c r="N10914" s="17"/>
      <c r="O10914" s="17"/>
    </row>
    <row r="10915" spans="1:15" ht="84" customHeight="1" x14ac:dyDescent="0.3">
      <c r="A10915" s="2">
        <v>10874</v>
      </c>
      <c r="B10915" s="2" t="s">
        <v>17419</v>
      </c>
      <c r="C10915" s="2"/>
      <c r="D10915" s="43">
        <v>98000</v>
      </c>
      <c r="E10915" s="43"/>
      <c r="F10915" s="75">
        <v>42403</v>
      </c>
      <c r="G10915" s="66" t="s">
        <v>12548</v>
      </c>
      <c r="H10915" s="2"/>
      <c r="I10915" s="2"/>
      <c r="J10915" s="2" t="s">
        <v>12550</v>
      </c>
      <c r="K10915" s="113"/>
      <c r="L10915" s="82"/>
      <c r="N10915" s="17"/>
      <c r="O10915" s="17"/>
    </row>
    <row r="10916" spans="1:15" ht="84" customHeight="1" x14ac:dyDescent="0.3">
      <c r="A10916" s="2">
        <v>10875</v>
      </c>
      <c r="B10916" s="82" t="s">
        <v>17420</v>
      </c>
      <c r="C10916" s="82"/>
      <c r="D10916" s="43"/>
      <c r="E10916" s="43"/>
      <c r="F10916" s="75">
        <v>42403</v>
      </c>
      <c r="G10916" s="66" t="s">
        <v>12548</v>
      </c>
      <c r="H10916" s="2"/>
      <c r="I10916" s="2"/>
      <c r="J10916" s="2" t="s">
        <v>12550</v>
      </c>
      <c r="K10916" s="113"/>
      <c r="L10916" s="82"/>
      <c r="N10916" s="17"/>
      <c r="O10916" s="17"/>
    </row>
    <row r="10917" spans="1:15" ht="84" customHeight="1" x14ac:dyDescent="0.3">
      <c r="A10917" s="2">
        <v>10876</v>
      </c>
      <c r="B10917" s="82" t="s">
        <v>17421</v>
      </c>
      <c r="C10917" s="82"/>
      <c r="D10917" s="43"/>
      <c r="E10917" s="43"/>
      <c r="F10917" s="75">
        <v>42403</v>
      </c>
      <c r="G10917" s="66" t="s">
        <v>12548</v>
      </c>
      <c r="H10917" s="2"/>
      <c r="I10917" s="2"/>
      <c r="J10917" s="2" t="s">
        <v>12550</v>
      </c>
      <c r="K10917" s="113"/>
      <c r="L10917" s="82"/>
      <c r="N10917" s="17"/>
      <c r="O10917" s="17"/>
    </row>
    <row r="10918" spans="1:15" ht="84" customHeight="1" x14ac:dyDescent="0.3">
      <c r="A10918" s="2">
        <v>10877</v>
      </c>
      <c r="B10918" s="82" t="s">
        <v>17422</v>
      </c>
      <c r="C10918" s="82"/>
      <c r="D10918" s="43"/>
      <c r="E10918" s="43"/>
      <c r="F10918" s="75">
        <v>42403</v>
      </c>
      <c r="G10918" s="66" t="s">
        <v>12548</v>
      </c>
      <c r="H10918" s="2"/>
      <c r="I10918" s="2"/>
      <c r="J10918" s="2" t="s">
        <v>12550</v>
      </c>
      <c r="K10918" s="113"/>
      <c r="L10918" s="82"/>
      <c r="N10918" s="17"/>
      <c r="O10918" s="17"/>
    </row>
    <row r="10919" spans="1:15" ht="84" customHeight="1" x14ac:dyDescent="0.3">
      <c r="A10919" s="2">
        <v>10878</v>
      </c>
      <c r="B10919" s="82" t="s">
        <v>17423</v>
      </c>
      <c r="C10919" s="82"/>
      <c r="D10919" s="43"/>
      <c r="E10919" s="43"/>
      <c r="F10919" s="75">
        <v>42403</v>
      </c>
      <c r="G10919" s="66" t="s">
        <v>12548</v>
      </c>
      <c r="H10919" s="2"/>
      <c r="I10919" s="2"/>
      <c r="J10919" s="2" t="s">
        <v>12550</v>
      </c>
      <c r="K10919" s="113"/>
      <c r="L10919" s="82"/>
      <c r="N10919" s="17"/>
      <c r="O10919" s="17"/>
    </row>
    <row r="10920" spans="1:15" ht="84" customHeight="1" x14ac:dyDescent="0.3">
      <c r="A10920" s="2">
        <v>10879</v>
      </c>
      <c r="B10920" s="2" t="s">
        <v>17424</v>
      </c>
      <c r="C10920" s="2"/>
      <c r="D10920" s="43">
        <v>900</v>
      </c>
      <c r="E10920" s="43"/>
      <c r="F10920" s="75">
        <v>42403</v>
      </c>
      <c r="G10920" s="66" t="s">
        <v>12548</v>
      </c>
      <c r="H10920" s="2"/>
      <c r="I10920" s="2"/>
      <c r="J10920" s="2" t="s">
        <v>12550</v>
      </c>
      <c r="K10920" s="113"/>
      <c r="L10920" s="82"/>
      <c r="N10920" s="17"/>
      <c r="O10920" s="17"/>
    </row>
    <row r="10921" spans="1:15" ht="84" customHeight="1" x14ac:dyDescent="0.3">
      <c r="A10921" s="2">
        <v>10880</v>
      </c>
      <c r="B10921" s="2" t="s">
        <v>17425</v>
      </c>
      <c r="C10921" s="2"/>
      <c r="D10921" s="43">
        <v>1486.8</v>
      </c>
      <c r="E10921" s="43"/>
      <c r="F10921" s="75">
        <v>42403</v>
      </c>
      <c r="G10921" s="66" t="s">
        <v>12548</v>
      </c>
      <c r="H10921" s="2"/>
      <c r="I10921" s="2"/>
      <c r="J10921" s="2" t="s">
        <v>12550</v>
      </c>
      <c r="K10921" s="113"/>
      <c r="L10921" s="82"/>
      <c r="N10921" s="17"/>
      <c r="O10921" s="17"/>
    </row>
    <row r="10922" spans="1:15" ht="84" customHeight="1" x14ac:dyDescent="0.3">
      <c r="A10922" s="2">
        <v>10881</v>
      </c>
      <c r="B10922" s="2" t="s">
        <v>17426</v>
      </c>
      <c r="C10922" s="2"/>
      <c r="D10922" s="43">
        <v>13600</v>
      </c>
      <c r="E10922" s="43"/>
      <c r="F10922" s="75">
        <v>42403</v>
      </c>
      <c r="G10922" s="66" t="s">
        <v>12548</v>
      </c>
      <c r="H10922" s="2"/>
      <c r="I10922" s="2"/>
      <c r="J10922" s="2" t="s">
        <v>12550</v>
      </c>
      <c r="K10922" s="113"/>
      <c r="L10922" s="82"/>
      <c r="N10922" s="17"/>
      <c r="O10922" s="17"/>
    </row>
    <row r="10923" spans="1:15" ht="84" customHeight="1" x14ac:dyDescent="0.3">
      <c r="A10923" s="2">
        <v>10882</v>
      </c>
      <c r="B10923" s="82" t="s">
        <v>17427</v>
      </c>
      <c r="C10923" s="82"/>
      <c r="D10923" s="43"/>
      <c r="E10923" s="43"/>
      <c r="F10923" s="75">
        <v>42403</v>
      </c>
      <c r="G10923" s="66" t="s">
        <v>12548</v>
      </c>
      <c r="H10923" s="2"/>
      <c r="I10923" s="2"/>
      <c r="J10923" s="2" t="s">
        <v>12550</v>
      </c>
      <c r="K10923" s="113"/>
      <c r="L10923" s="82"/>
      <c r="N10923" s="17"/>
      <c r="O10923" s="17"/>
    </row>
    <row r="10924" spans="1:15" ht="84" customHeight="1" x14ac:dyDescent="0.3">
      <c r="A10924" s="2">
        <v>10883</v>
      </c>
      <c r="B10924" s="82" t="s">
        <v>17428</v>
      </c>
      <c r="C10924" s="82"/>
      <c r="D10924" s="43"/>
      <c r="E10924" s="43"/>
      <c r="F10924" s="75">
        <v>42403</v>
      </c>
      <c r="G10924" s="66" t="s">
        <v>12548</v>
      </c>
      <c r="H10924" s="2"/>
      <c r="I10924" s="2"/>
      <c r="J10924" s="2" t="s">
        <v>12550</v>
      </c>
      <c r="K10924" s="113"/>
      <c r="L10924" s="82"/>
      <c r="N10924" s="17"/>
      <c r="O10924" s="17"/>
    </row>
    <row r="10925" spans="1:15" ht="84" customHeight="1" x14ac:dyDescent="0.3">
      <c r="A10925" s="2">
        <v>10884</v>
      </c>
      <c r="B10925" s="82" t="s">
        <v>17429</v>
      </c>
      <c r="C10925" s="82"/>
      <c r="D10925" s="43"/>
      <c r="E10925" s="43"/>
      <c r="F10925" s="75">
        <v>42403</v>
      </c>
      <c r="G10925" s="66" t="s">
        <v>12548</v>
      </c>
      <c r="H10925" s="2"/>
      <c r="I10925" s="2"/>
      <c r="J10925" s="2" t="s">
        <v>12550</v>
      </c>
      <c r="K10925" s="113"/>
      <c r="L10925" s="82"/>
      <c r="N10925" s="17"/>
      <c r="O10925" s="17"/>
    </row>
    <row r="10926" spans="1:15" ht="84" customHeight="1" x14ac:dyDescent="0.3">
      <c r="A10926" s="2">
        <v>10885</v>
      </c>
      <c r="B10926" s="2" t="s">
        <v>17430</v>
      </c>
      <c r="C10926" s="2"/>
      <c r="D10926" s="43">
        <v>1000000</v>
      </c>
      <c r="E10926" s="43"/>
      <c r="F10926" s="75">
        <v>42403</v>
      </c>
      <c r="G10926" s="66" t="s">
        <v>12548</v>
      </c>
      <c r="H10926" s="2"/>
      <c r="I10926" s="2"/>
      <c r="J10926" s="2" t="s">
        <v>12550</v>
      </c>
      <c r="K10926" s="113"/>
      <c r="L10926" s="82"/>
      <c r="N10926" s="17"/>
      <c r="O10926" s="17"/>
    </row>
    <row r="10927" spans="1:15" ht="84" customHeight="1" x14ac:dyDescent="0.3">
      <c r="A10927" s="2">
        <v>10886</v>
      </c>
      <c r="B10927" s="2" t="s">
        <v>17462</v>
      </c>
      <c r="C10927" s="2"/>
      <c r="D10927" s="43">
        <v>28000</v>
      </c>
      <c r="E10927" s="43">
        <v>2333.34</v>
      </c>
      <c r="F10927" s="75">
        <v>42403</v>
      </c>
      <c r="G10927" s="66" t="s">
        <v>12548</v>
      </c>
      <c r="H10927" s="2"/>
      <c r="I10927" s="2"/>
      <c r="J10927" s="2" t="s">
        <v>12550</v>
      </c>
      <c r="K10927" s="113"/>
      <c r="L10927" s="82"/>
      <c r="N10927" s="17"/>
      <c r="O10927" s="17"/>
    </row>
    <row r="10928" spans="1:15" ht="84" customHeight="1" x14ac:dyDescent="0.3">
      <c r="A10928" s="2">
        <v>10887</v>
      </c>
      <c r="B10928" s="2" t="s">
        <v>17463</v>
      </c>
      <c r="C10928" s="2"/>
      <c r="D10928" s="43">
        <v>87283.199999999997</v>
      </c>
      <c r="E10928" s="43">
        <v>6444.27</v>
      </c>
      <c r="F10928" s="75">
        <v>42403</v>
      </c>
      <c r="G10928" s="66" t="s">
        <v>12548</v>
      </c>
      <c r="H10928" s="2"/>
      <c r="I10928" s="2"/>
      <c r="J10928" s="2" t="s">
        <v>12550</v>
      </c>
      <c r="K10928" s="113"/>
      <c r="L10928" s="82"/>
      <c r="N10928" s="17"/>
      <c r="O10928" s="17"/>
    </row>
    <row r="10929" spans="1:15" ht="84" customHeight="1" x14ac:dyDescent="0.3">
      <c r="A10929" s="2">
        <v>10888</v>
      </c>
      <c r="B10929" s="2" t="s">
        <v>22556</v>
      </c>
      <c r="C10929" s="2"/>
      <c r="D10929" s="43">
        <v>38100</v>
      </c>
      <c r="E10929" s="43">
        <v>4233.32</v>
      </c>
      <c r="F10929" s="75">
        <v>42403</v>
      </c>
      <c r="G10929" s="66" t="s">
        <v>12548</v>
      </c>
      <c r="H10929" s="2"/>
      <c r="I10929" s="2"/>
      <c r="J10929" s="2" t="s">
        <v>12550</v>
      </c>
      <c r="K10929" s="113"/>
      <c r="L10929" s="82"/>
      <c r="N10929" s="17"/>
      <c r="O10929" s="17"/>
    </row>
    <row r="10930" spans="1:15" ht="84" customHeight="1" x14ac:dyDescent="0.3">
      <c r="A10930" s="2">
        <v>10889</v>
      </c>
      <c r="B10930" s="2" t="s">
        <v>17464</v>
      </c>
      <c r="C10930" s="2"/>
      <c r="D10930" s="43">
        <v>117463.2</v>
      </c>
      <c r="E10930" s="43"/>
      <c r="F10930" s="75">
        <v>42403</v>
      </c>
      <c r="G10930" s="66" t="s">
        <v>12548</v>
      </c>
      <c r="H10930" s="2"/>
      <c r="I10930" s="2"/>
      <c r="J10930" s="2" t="s">
        <v>12550</v>
      </c>
      <c r="K10930" s="113"/>
      <c r="L10930" s="82"/>
      <c r="N10930" s="17"/>
      <c r="O10930" s="17"/>
    </row>
    <row r="10931" spans="1:15" ht="84" customHeight="1" x14ac:dyDescent="0.3">
      <c r="A10931" s="2">
        <v>10890</v>
      </c>
      <c r="B10931" s="2" t="s">
        <v>23326</v>
      </c>
      <c r="C10931" s="2"/>
      <c r="D10931" s="43">
        <v>24500</v>
      </c>
      <c r="E10931" s="43">
        <v>2722.24</v>
      </c>
      <c r="F10931" s="75">
        <v>42403</v>
      </c>
      <c r="G10931" s="66" t="s">
        <v>12548</v>
      </c>
      <c r="H10931" s="2"/>
      <c r="I10931" s="2"/>
      <c r="J10931" s="2" t="s">
        <v>12550</v>
      </c>
      <c r="K10931" s="113"/>
      <c r="L10931" s="82"/>
      <c r="N10931" s="17"/>
      <c r="O10931" s="17"/>
    </row>
    <row r="10932" spans="1:15" ht="84" customHeight="1" x14ac:dyDescent="0.3">
      <c r="A10932" s="2">
        <v>10891</v>
      </c>
      <c r="B10932" s="2" t="s">
        <v>23327</v>
      </c>
      <c r="C10932" s="2"/>
      <c r="D10932" s="43">
        <v>27400</v>
      </c>
      <c r="E10932" s="43">
        <v>1522.22</v>
      </c>
      <c r="F10932" s="75">
        <v>42403</v>
      </c>
      <c r="G10932" s="66" t="s">
        <v>12548</v>
      </c>
      <c r="H10932" s="2"/>
      <c r="I10932" s="2"/>
      <c r="J10932" s="2" t="s">
        <v>12550</v>
      </c>
      <c r="K10932" s="113"/>
      <c r="L10932" s="82"/>
      <c r="N10932" s="17"/>
      <c r="O10932" s="17"/>
    </row>
    <row r="10933" spans="1:15" ht="84" customHeight="1" x14ac:dyDescent="0.3">
      <c r="A10933" s="2">
        <v>10892</v>
      </c>
      <c r="B10933" s="2" t="s">
        <v>17465</v>
      </c>
      <c r="C10933" s="2"/>
      <c r="D10933" s="43">
        <v>14296.8</v>
      </c>
      <c r="E10933" s="43">
        <v>1588.52</v>
      </c>
      <c r="F10933" s="75">
        <v>42403</v>
      </c>
      <c r="G10933" s="66" t="s">
        <v>12548</v>
      </c>
      <c r="H10933" s="2"/>
      <c r="I10933" s="2"/>
      <c r="J10933" s="2" t="s">
        <v>12550</v>
      </c>
      <c r="K10933" s="113"/>
      <c r="L10933" s="82"/>
      <c r="N10933" s="17"/>
      <c r="O10933" s="17"/>
    </row>
    <row r="10934" spans="1:15" ht="84" customHeight="1" x14ac:dyDescent="0.3">
      <c r="A10934" s="2">
        <v>10893</v>
      </c>
      <c r="B10934" s="242" t="s">
        <v>23322</v>
      </c>
      <c r="C10934" s="2"/>
      <c r="D10934" s="43">
        <v>9952</v>
      </c>
      <c r="E10934" s="43">
        <v>9952</v>
      </c>
      <c r="F10934" s="75">
        <v>42403</v>
      </c>
      <c r="G10934" s="66" t="s">
        <v>12548</v>
      </c>
      <c r="H10934" s="2"/>
      <c r="I10934" s="2"/>
      <c r="J10934" s="2" t="s">
        <v>12550</v>
      </c>
      <c r="K10934" s="113"/>
      <c r="L10934" s="82" t="s">
        <v>23323</v>
      </c>
      <c r="N10934" s="17"/>
      <c r="O10934" s="17"/>
    </row>
    <row r="10935" spans="1:15" ht="84" customHeight="1" x14ac:dyDescent="0.3">
      <c r="A10935" s="2">
        <v>10894</v>
      </c>
      <c r="B10935" s="2" t="s">
        <v>17466</v>
      </c>
      <c r="C10935" s="2"/>
      <c r="D10935" s="43">
        <v>12700</v>
      </c>
      <c r="E10935" s="43">
        <v>12700</v>
      </c>
      <c r="F10935" s="75">
        <v>42403</v>
      </c>
      <c r="G10935" s="66" t="s">
        <v>12548</v>
      </c>
      <c r="H10935" s="2"/>
      <c r="I10935" s="2"/>
      <c r="J10935" s="2" t="s">
        <v>12550</v>
      </c>
      <c r="K10935" s="113"/>
      <c r="L10935" s="82"/>
      <c r="N10935" s="17"/>
      <c r="O10935" s="17"/>
    </row>
    <row r="10936" spans="1:15" ht="84" customHeight="1" x14ac:dyDescent="0.3">
      <c r="A10936" s="2">
        <v>10895</v>
      </c>
      <c r="B10936" s="82" t="s">
        <v>17431</v>
      </c>
      <c r="C10936" s="82"/>
      <c r="D10936" s="43">
        <v>78209</v>
      </c>
      <c r="E10936" s="43">
        <v>78209</v>
      </c>
      <c r="F10936" s="75">
        <v>42403</v>
      </c>
      <c r="G10936" s="66" t="s">
        <v>12548</v>
      </c>
      <c r="H10936" s="2"/>
      <c r="I10936" s="2"/>
      <c r="J10936" s="2" t="s">
        <v>12550</v>
      </c>
      <c r="K10936" s="113"/>
      <c r="L10936" s="82"/>
      <c r="N10936" s="17"/>
      <c r="O10936" s="17"/>
    </row>
    <row r="10937" spans="1:15" ht="84" customHeight="1" x14ac:dyDescent="0.3">
      <c r="A10937" s="2">
        <v>10896</v>
      </c>
      <c r="B10937" s="82" t="s">
        <v>17432</v>
      </c>
      <c r="C10937" s="82"/>
      <c r="D10937" s="43">
        <v>24500</v>
      </c>
      <c r="E10937" s="43">
        <v>24500</v>
      </c>
      <c r="F10937" s="75">
        <v>42403</v>
      </c>
      <c r="G10937" s="66" t="s">
        <v>12548</v>
      </c>
      <c r="H10937" s="2"/>
      <c r="I10937" s="2"/>
      <c r="J10937" s="2" t="s">
        <v>12550</v>
      </c>
      <c r="K10937" s="113"/>
      <c r="L10937" s="82"/>
      <c r="N10937" s="17"/>
      <c r="O10937" s="17"/>
    </row>
    <row r="10938" spans="1:15" ht="84" customHeight="1" x14ac:dyDescent="0.3">
      <c r="A10938" s="2">
        <v>10897</v>
      </c>
      <c r="B10938" s="82" t="s">
        <v>17433</v>
      </c>
      <c r="C10938" s="82"/>
      <c r="D10938" s="43">
        <v>24500</v>
      </c>
      <c r="E10938" s="43">
        <v>24500</v>
      </c>
      <c r="F10938" s="75">
        <v>42403</v>
      </c>
      <c r="G10938" s="66" t="s">
        <v>12548</v>
      </c>
      <c r="H10938" s="2"/>
      <c r="I10938" s="2"/>
      <c r="J10938" s="2" t="s">
        <v>12550</v>
      </c>
      <c r="K10938" s="113"/>
      <c r="L10938" s="82"/>
      <c r="N10938" s="17"/>
      <c r="O10938" s="17"/>
    </row>
    <row r="10939" spans="1:15" ht="84" customHeight="1" x14ac:dyDescent="0.3">
      <c r="A10939" s="2">
        <v>10898</v>
      </c>
      <c r="B10939" s="2" t="s">
        <v>17467</v>
      </c>
      <c r="C10939" s="2"/>
      <c r="D10939" s="43">
        <v>14000</v>
      </c>
      <c r="E10939" s="43">
        <v>14000</v>
      </c>
      <c r="F10939" s="75">
        <v>42403</v>
      </c>
      <c r="G10939" s="66" t="s">
        <v>12548</v>
      </c>
      <c r="H10939" s="2"/>
      <c r="I10939" s="2"/>
      <c r="J10939" s="2" t="s">
        <v>12550</v>
      </c>
      <c r="K10939" s="113"/>
      <c r="L10939" s="82"/>
      <c r="N10939" s="17"/>
      <c r="O10939" s="17"/>
    </row>
    <row r="10940" spans="1:15" ht="84" customHeight="1" x14ac:dyDescent="0.3">
      <c r="A10940" s="2">
        <v>10899</v>
      </c>
      <c r="B10940" s="2" t="s">
        <v>17434</v>
      </c>
      <c r="C10940" s="2"/>
      <c r="D10940" s="43">
        <v>25400</v>
      </c>
      <c r="E10940" s="43">
        <v>25400</v>
      </c>
      <c r="F10940" s="75">
        <v>42403</v>
      </c>
      <c r="G10940" s="66" t="s">
        <v>12548</v>
      </c>
      <c r="H10940" s="2"/>
      <c r="I10940" s="2"/>
      <c r="J10940" s="2" t="s">
        <v>12550</v>
      </c>
      <c r="K10940" s="113"/>
      <c r="L10940" s="82"/>
      <c r="N10940" s="17"/>
      <c r="O10940" s="17"/>
    </row>
    <row r="10941" spans="1:15" ht="84" customHeight="1" x14ac:dyDescent="0.3">
      <c r="A10941" s="2">
        <v>10900</v>
      </c>
      <c r="B10941" s="82" t="s">
        <v>17435</v>
      </c>
      <c r="C10941" s="82"/>
      <c r="D10941" s="43">
        <v>60900</v>
      </c>
      <c r="E10941" s="43">
        <v>60900</v>
      </c>
      <c r="F10941" s="75">
        <v>42403</v>
      </c>
      <c r="G10941" s="66" t="s">
        <v>12548</v>
      </c>
      <c r="H10941" s="2"/>
      <c r="I10941" s="2"/>
      <c r="J10941" s="2" t="s">
        <v>12550</v>
      </c>
      <c r="K10941" s="113"/>
      <c r="L10941" s="82"/>
      <c r="N10941" s="17"/>
      <c r="O10941" s="17"/>
    </row>
    <row r="10942" spans="1:15" ht="84" customHeight="1" x14ac:dyDescent="0.3">
      <c r="A10942" s="2">
        <v>10901</v>
      </c>
      <c r="B10942" s="82" t="s">
        <v>17436</v>
      </c>
      <c r="C10942" s="82"/>
      <c r="D10942" s="43">
        <v>60900</v>
      </c>
      <c r="E10942" s="43">
        <v>60900</v>
      </c>
      <c r="F10942" s="75">
        <v>42403</v>
      </c>
      <c r="G10942" s="66" t="s">
        <v>12548</v>
      </c>
      <c r="H10942" s="2"/>
      <c r="I10942" s="2"/>
      <c r="J10942" s="2" t="s">
        <v>12550</v>
      </c>
      <c r="K10942" s="113"/>
      <c r="L10942" s="82"/>
      <c r="N10942" s="17"/>
      <c r="O10942" s="17"/>
    </row>
    <row r="10943" spans="1:15" ht="84" customHeight="1" x14ac:dyDescent="0.3">
      <c r="A10943" s="2">
        <v>10902</v>
      </c>
      <c r="B10943" s="2" t="s">
        <v>17468</v>
      </c>
      <c r="C10943" s="2"/>
      <c r="D10943" s="43">
        <v>11400</v>
      </c>
      <c r="E10943" s="43">
        <v>11400</v>
      </c>
      <c r="F10943" s="75">
        <v>42403</v>
      </c>
      <c r="G10943" s="66" t="s">
        <v>12548</v>
      </c>
      <c r="H10943" s="2"/>
      <c r="I10943" s="2"/>
      <c r="J10943" s="2" t="s">
        <v>12550</v>
      </c>
      <c r="K10943" s="113"/>
      <c r="L10943" s="82"/>
      <c r="N10943" s="17"/>
      <c r="O10943" s="17"/>
    </row>
    <row r="10944" spans="1:15" ht="84" customHeight="1" x14ac:dyDescent="0.3">
      <c r="A10944" s="2">
        <v>10903</v>
      </c>
      <c r="B10944" s="2" t="s">
        <v>17437</v>
      </c>
      <c r="C10944" s="2"/>
      <c r="D10944" s="43">
        <v>133000</v>
      </c>
      <c r="E10944" s="43">
        <v>3694.44</v>
      </c>
      <c r="F10944" s="75">
        <v>42403</v>
      </c>
      <c r="G10944" s="66" t="s">
        <v>12548</v>
      </c>
      <c r="H10944" s="2"/>
      <c r="I10944" s="2"/>
      <c r="J10944" s="2" t="s">
        <v>12550</v>
      </c>
      <c r="K10944" s="113"/>
      <c r="L10944" s="82"/>
      <c r="N10944" s="17"/>
      <c r="O10944" s="17"/>
    </row>
    <row r="10945" spans="1:15" ht="84" customHeight="1" x14ac:dyDescent="0.3">
      <c r="A10945" s="2">
        <v>10904</v>
      </c>
      <c r="B10945" s="2" t="s">
        <v>19119</v>
      </c>
      <c r="C10945" s="2"/>
      <c r="D10945" s="43">
        <v>133000</v>
      </c>
      <c r="E10945" s="43">
        <v>3694.44</v>
      </c>
      <c r="F10945" s="75">
        <v>42403</v>
      </c>
      <c r="G10945" s="66" t="s">
        <v>12548</v>
      </c>
      <c r="H10945" s="2"/>
      <c r="I10945" s="2"/>
      <c r="J10945" s="2" t="s">
        <v>12550</v>
      </c>
      <c r="K10945" s="113"/>
      <c r="L10945" s="82"/>
      <c r="N10945" s="17"/>
      <c r="O10945" s="17"/>
    </row>
    <row r="10946" spans="1:15" ht="84" customHeight="1" x14ac:dyDescent="0.3">
      <c r="A10946" s="2">
        <v>10905</v>
      </c>
      <c r="B10946" s="2" t="s">
        <v>17438</v>
      </c>
      <c r="C10946" s="2"/>
      <c r="D10946" s="43">
        <v>104000</v>
      </c>
      <c r="E10946" s="43">
        <v>2888.89</v>
      </c>
      <c r="F10946" s="75">
        <v>42403</v>
      </c>
      <c r="G10946" s="66" t="s">
        <v>12548</v>
      </c>
      <c r="H10946" s="2"/>
      <c r="I10946" s="2"/>
      <c r="J10946" s="2" t="s">
        <v>12550</v>
      </c>
      <c r="K10946" s="113"/>
      <c r="L10946" s="82"/>
      <c r="N10946" s="17"/>
      <c r="O10946" s="17"/>
    </row>
    <row r="10947" spans="1:15" ht="84" customHeight="1" x14ac:dyDescent="0.3">
      <c r="A10947" s="2">
        <v>10906</v>
      </c>
      <c r="B10947" s="82" t="s">
        <v>17439</v>
      </c>
      <c r="C10947" s="82"/>
      <c r="D10947" s="43">
        <v>43000</v>
      </c>
      <c r="E10947" s="43">
        <v>43000</v>
      </c>
      <c r="F10947" s="75">
        <v>42403</v>
      </c>
      <c r="G10947" s="66" t="s">
        <v>12548</v>
      </c>
      <c r="H10947" s="2"/>
      <c r="I10947" s="2"/>
      <c r="J10947" s="2" t="s">
        <v>12550</v>
      </c>
      <c r="K10947" s="113"/>
      <c r="L10947" s="82"/>
      <c r="N10947" s="17"/>
      <c r="O10947" s="17"/>
    </row>
    <row r="10948" spans="1:15" ht="84" customHeight="1" x14ac:dyDescent="0.3">
      <c r="A10948" s="2">
        <v>10907</v>
      </c>
      <c r="B10948" s="82" t="s">
        <v>17440</v>
      </c>
      <c r="C10948" s="82"/>
      <c r="D10948" s="43">
        <v>29000</v>
      </c>
      <c r="E10948" s="43">
        <v>29000</v>
      </c>
      <c r="F10948" s="75">
        <v>42403</v>
      </c>
      <c r="G10948" s="66" t="s">
        <v>12548</v>
      </c>
      <c r="H10948" s="2"/>
      <c r="I10948" s="2"/>
      <c r="J10948" s="2" t="s">
        <v>12550</v>
      </c>
      <c r="K10948" s="113"/>
      <c r="L10948" s="82"/>
      <c r="N10948" s="17"/>
      <c r="O10948" s="17"/>
    </row>
    <row r="10949" spans="1:15" ht="84" customHeight="1" x14ac:dyDescent="0.3">
      <c r="A10949" s="2">
        <v>10908</v>
      </c>
      <c r="B10949" s="2" t="s">
        <v>17469</v>
      </c>
      <c r="C10949" s="2"/>
      <c r="D10949" s="43">
        <v>9000</v>
      </c>
      <c r="E10949" s="43">
        <v>9000</v>
      </c>
      <c r="F10949" s="75">
        <v>42403</v>
      </c>
      <c r="G10949" s="66" t="s">
        <v>12548</v>
      </c>
      <c r="H10949" s="2"/>
      <c r="I10949" s="2"/>
      <c r="J10949" s="2" t="s">
        <v>12550</v>
      </c>
      <c r="K10949" s="113"/>
      <c r="L10949" s="82"/>
      <c r="N10949" s="17"/>
      <c r="O10949" s="17"/>
    </row>
    <row r="10950" spans="1:15" ht="84" customHeight="1" x14ac:dyDescent="0.3">
      <c r="A10950" s="2">
        <v>10909</v>
      </c>
      <c r="B10950" s="2" t="s">
        <v>17441</v>
      </c>
      <c r="C10950" s="2"/>
      <c r="D10950" s="43">
        <v>14000</v>
      </c>
      <c r="E10950" s="43">
        <v>14000</v>
      </c>
      <c r="F10950" s="75">
        <v>42403</v>
      </c>
      <c r="G10950" s="66" t="s">
        <v>12548</v>
      </c>
      <c r="H10950" s="2"/>
      <c r="I10950" s="2"/>
      <c r="J10950" s="2" t="s">
        <v>12550</v>
      </c>
      <c r="K10950" s="113"/>
      <c r="L10950" s="82"/>
      <c r="N10950" s="17"/>
      <c r="O10950" s="17"/>
    </row>
    <row r="10951" spans="1:15" ht="84" customHeight="1" x14ac:dyDescent="0.3">
      <c r="A10951" s="2">
        <v>10910</v>
      </c>
      <c r="B10951" s="82" t="s">
        <v>17442</v>
      </c>
      <c r="C10951" s="82"/>
      <c r="D10951" s="43">
        <v>101190.6</v>
      </c>
      <c r="E10951" s="43">
        <v>17832</v>
      </c>
      <c r="F10951" s="75">
        <v>42403</v>
      </c>
      <c r="G10951" s="66" t="s">
        <v>12548</v>
      </c>
      <c r="H10951" s="2"/>
      <c r="I10951" s="2"/>
      <c r="J10951" s="2" t="s">
        <v>12550</v>
      </c>
      <c r="K10951" s="113"/>
      <c r="L10951" s="82"/>
      <c r="N10951" s="17"/>
      <c r="O10951" s="17"/>
    </row>
    <row r="10952" spans="1:15" ht="84" customHeight="1" x14ac:dyDescent="0.3">
      <c r="A10952" s="2">
        <v>10911</v>
      </c>
      <c r="B10952" s="82" t="s">
        <v>17443</v>
      </c>
      <c r="C10952" s="82"/>
      <c r="D10952" s="43">
        <v>96702.61</v>
      </c>
      <c r="E10952" s="43">
        <v>13344</v>
      </c>
      <c r="F10952" s="75">
        <v>42403</v>
      </c>
      <c r="G10952" s="66" t="s">
        <v>12548</v>
      </c>
      <c r="H10952" s="2"/>
      <c r="I10952" s="2"/>
      <c r="J10952" s="2" t="s">
        <v>12550</v>
      </c>
      <c r="K10952" s="113"/>
      <c r="L10952" s="82"/>
      <c r="N10952" s="17"/>
      <c r="O10952" s="17"/>
    </row>
    <row r="10953" spans="1:15" ht="84" customHeight="1" x14ac:dyDescent="0.3">
      <c r="A10953" s="2">
        <v>10912</v>
      </c>
      <c r="B10953" s="82" t="s">
        <v>17446</v>
      </c>
      <c r="C10953" s="82"/>
      <c r="D10953" s="43">
        <v>83625</v>
      </c>
      <c r="E10953" s="43">
        <v>83625</v>
      </c>
      <c r="F10953" s="75">
        <v>42403</v>
      </c>
      <c r="G10953" s="66" t="s">
        <v>12548</v>
      </c>
      <c r="H10953" s="2"/>
      <c r="I10953" s="2"/>
      <c r="J10953" s="2" t="s">
        <v>12550</v>
      </c>
      <c r="K10953" s="113"/>
      <c r="L10953" s="82"/>
      <c r="N10953" s="17"/>
      <c r="O10953" s="17"/>
    </row>
    <row r="10954" spans="1:15" ht="84" customHeight="1" x14ac:dyDescent="0.3">
      <c r="A10954" s="2">
        <v>10913</v>
      </c>
      <c r="B10954" s="2" t="s">
        <v>17444</v>
      </c>
      <c r="C10954" s="2"/>
      <c r="D10954" s="43">
        <v>12973</v>
      </c>
      <c r="E10954" s="43">
        <v>12973</v>
      </c>
      <c r="F10954" s="75">
        <v>42403</v>
      </c>
      <c r="G10954" s="66" t="s">
        <v>12548</v>
      </c>
      <c r="H10954" s="2"/>
      <c r="I10954" s="2"/>
      <c r="J10954" s="2" t="s">
        <v>12550</v>
      </c>
      <c r="K10954" s="113"/>
      <c r="L10954" s="82"/>
      <c r="N10954" s="17"/>
      <c r="O10954" s="17"/>
    </row>
    <row r="10955" spans="1:15" ht="84" customHeight="1" x14ac:dyDescent="0.3">
      <c r="A10955" s="2">
        <v>10914</v>
      </c>
      <c r="B10955" s="82" t="s">
        <v>17445</v>
      </c>
      <c r="C10955" s="82"/>
      <c r="D10955" s="43">
        <v>43715</v>
      </c>
      <c r="E10955" s="43">
        <v>43715</v>
      </c>
      <c r="F10955" s="75">
        <v>42403</v>
      </c>
      <c r="G10955" s="66" t="s">
        <v>12548</v>
      </c>
      <c r="H10955" s="2"/>
      <c r="I10955" s="2"/>
      <c r="J10955" s="2" t="s">
        <v>12550</v>
      </c>
      <c r="K10955" s="113"/>
      <c r="L10955" s="82"/>
      <c r="N10955" s="17"/>
      <c r="O10955" s="17"/>
    </row>
    <row r="10956" spans="1:15" ht="84" customHeight="1" x14ac:dyDescent="0.3">
      <c r="A10956" s="2">
        <v>10915</v>
      </c>
      <c r="B10956" s="82" t="s">
        <v>17447</v>
      </c>
      <c r="C10956" s="82"/>
      <c r="D10956" s="43">
        <v>45640</v>
      </c>
      <c r="E10956" s="43">
        <v>45640</v>
      </c>
      <c r="F10956" s="75">
        <v>42403</v>
      </c>
      <c r="G10956" s="66" t="s">
        <v>12548</v>
      </c>
      <c r="H10956" s="2"/>
      <c r="I10956" s="2"/>
      <c r="J10956" s="2" t="s">
        <v>12550</v>
      </c>
      <c r="K10956" s="113"/>
      <c r="L10956" s="82"/>
      <c r="N10956" s="17"/>
      <c r="O10956" s="17"/>
    </row>
    <row r="10957" spans="1:15" ht="84" customHeight="1" x14ac:dyDescent="0.3">
      <c r="A10957" s="2">
        <v>10916</v>
      </c>
      <c r="B10957" s="2" t="s">
        <v>17470</v>
      </c>
      <c r="C10957" s="2"/>
      <c r="D10957" s="43">
        <v>11048</v>
      </c>
      <c r="E10957" s="43">
        <v>11048</v>
      </c>
      <c r="F10957" s="75">
        <v>42403</v>
      </c>
      <c r="G10957" s="66" t="s">
        <v>12548</v>
      </c>
      <c r="H10957" s="2"/>
      <c r="I10957" s="2"/>
      <c r="J10957" s="2" t="s">
        <v>12550</v>
      </c>
      <c r="K10957" s="113"/>
      <c r="L10957" s="82"/>
      <c r="N10957" s="17"/>
      <c r="O10957" s="17"/>
    </row>
    <row r="10958" spans="1:15" ht="84" customHeight="1" x14ac:dyDescent="0.3">
      <c r="A10958" s="2">
        <v>10917</v>
      </c>
      <c r="B10958" s="2" t="s">
        <v>17471</v>
      </c>
      <c r="C10958" s="2"/>
      <c r="D10958" s="43">
        <v>99200</v>
      </c>
      <c r="E10958" s="43"/>
      <c r="F10958" s="75">
        <v>42403</v>
      </c>
      <c r="G10958" s="66" t="s">
        <v>12548</v>
      </c>
      <c r="H10958" s="2"/>
      <c r="I10958" s="2"/>
      <c r="J10958" s="2" t="s">
        <v>12550</v>
      </c>
      <c r="K10958" s="113"/>
      <c r="L10958" s="82"/>
      <c r="N10958" s="17"/>
      <c r="O10958" s="17"/>
    </row>
    <row r="10959" spans="1:15" ht="84" customHeight="1" x14ac:dyDescent="0.3">
      <c r="A10959" s="2">
        <v>10918</v>
      </c>
      <c r="B10959" s="2" t="s">
        <v>17448</v>
      </c>
      <c r="C10959" s="2"/>
      <c r="D10959" s="43">
        <v>2106.79</v>
      </c>
      <c r="E10959" s="43">
        <v>2106.79</v>
      </c>
      <c r="F10959" s="75">
        <v>42403</v>
      </c>
      <c r="G10959" s="66" t="s">
        <v>12548</v>
      </c>
      <c r="H10959" s="2"/>
      <c r="I10959" s="2"/>
      <c r="J10959" s="2" t="s">
        <v>12550</v>
      </c>
      <c r="K10959" s="113"/>
      <c r="L10959" s="82"/>
      <c r="N10959" s="17"/>
      <c r="O10959" s="17"/>
    </row>
    <row r="10960" spans="1:15" ht="84" customHeight="1" x14ac:dyDescent="0.3">
      <c r="A10960" s="2">
        <v>10919</v>
      </c>
      <c r="B10960" s="2" t="s">
        <v>17449</v>
      </c>
      <c r="C10960" s="2"/>
      <c r="D10960" s="43">
        <v>631405.5</v>
      </c>
      <c r="E10960" s="43"/>
      <c r="F10960" s="75">
        <v>42403</v>
      </c>
      <c r="G10960" s="66" t="s">
        <v>12548</v>
      </c>
      <c r="H10960" s="2"/>
      <c r="I10960" s="2"/>
      <c r="J10960" s="2" t="s">
        <v>12550</v>
      </c>
      <c r="K10960" s="113"/>
      <c r="L10960" s="82"/>
      <c r="N10960" s="17"/>
      <c r="O10960" s="17"/>
    </row>
    <row r="10961" spans="1:15" ht="84" customHeight="1" x14ac:dyDescent="0.3">
      <c r="A10961" s="2">
        <v>10920</v>
      </c>
      <c r="B10961" s="2" t="s">
        <v>17450</v>
      </c>
      <c r="C10961" s="2"/>
      <c r="D10961" s="43">
        <v>4385028.3899999997</v>
      </c>
      <c r="E10961" s="43"/>
      <c r="F10961" s="75">
        <v>42403</v>
      </c>
      <c r="G10961" s="66" t="s">
        <v>12548</v>
      </c>
      <c r="H10961" s="2"/>
      <c r="I10961" s="2"/>
      <c r="J10961" s="2" t="s">
        <v>12550</v>
      </c>
      <c r="K10961" s="113"/>
      <c r="L10961" s="82"/>
      <c r="N10961" s="17"/>
      <c r="O10961" s="17"/>
    </row>
    <row r="10962" spans="1:15" ht="96" customHeight="1" x14ac:dyDescent="0.3">
      <c r="A10962" s="2">
        <v>10921</v>
      </c>
      <c r="B10962" s="2" t="s">
        <v>17451</v>
      </c>
      <c r="C10962" s="2"/>
      <c r="D10962" s="43">
        <v>664222.79</v>
      </c>
      <c r="E10962" s="43"/>
      <c r="F10962" s="75">
        <v>42403</v>
      </c>
      <c r="G10962" s="66" t="s">
        <v>12548</v>
      </c>
      <c r="H10962" s="2"/>
      <c r="I10962" s="2"/>
      <c r="J10962" s="2" t="s">
        <v>12550</v>
      </c>
      <c r="K10962" s="113"/>
      <c r="L10962" s="82"/>
      <c r="N10962" s="17"/>
      <c r="O10962" s="17"/>
    </row>
    <row r="10963" spans="1:15" ht="120" customHeight="1" x14ac:dyDescent="0.3">
      <c r="A10963" s="2">
        <v>10922</v>
      </c>
      <c r="B10963" s="2" t="s">
        <v>17472</v>
      </c>
      <c r="C10963" s="2"/>
      <c r="D10963" s="43">
        <v>357637.07</v>
      </c>
      <c r="E10963" s="43"/>
      <c r="F10963" s="75">
        <v>42403</v>
      </c>
      <c r="G10963" s="66" t="s">
        <v>12548</v>
      </c>
      <c r="H10963" s="2"/>
      <c r="I10963" s="2"/>
      <c r="J10963" s="2" t="s">
        <v>12550</v>
      </c>
      <c r="K10963" s="113"/>
      <c r="L10963" s="82"/>
      <c r="N10963" s="17"/>
      <c r="O10963" s="17"/>
    </row>
    <row r="10964" spans="1:15" ht="84" customHeight="1" x14ac:dyDescent="0.3">
      <c r="A10964" s="2">
        <v>10923</v>
      </c>
      <c r="B10964" s="2" t="s">
        <v>17452</v>
      </c>
      <c r="C10964" s="2"/>
      <c r="D10964" s="43">
        <v>95000</v>
      </c>
      <c r="E10964" s="43"/>
      <c r="F10964" s="75">
        <v>42403</v>
      </c>
      <c r="G10964" s="66" t="s">
        <v>12548</v>
      </c>
      <c r="H10964" s="2"/>
      <c r="I10964" s="2"/>
      <c r="J10964" s="2" t="s">
        <v>12550</v>
      </c>
      <c r="K10964" s="113"/>
      <c r="L10964" s="82"/>
      <c r="N10964" s="17"/>
      <c r="O10964" s="17"/>
    </row>
    <row r="10965" spans="1:15" ht="84" customHeight="1" x14ac:dyDescent="0.3">
      <c r="A10965" s="2">
        <v>10924</v>
      </c>
      <c r="B10965" s="2" t="s">
        <v>17455</v>
      </c>
      <c r="C10965" s="2"/>
      <c r="D10965" s="43">
        <v>69072</v>
      </c>
      <c r="E10965" s="43">
        <v>24672</v>
      </c>
      <c r="F10965" s="75">
        <v>42403</v>
      </c>
      <c r="G10965" s="66" t="s">
        <v>12548</v>
      </c>
      <c r="H10965" s="2"/>
      <c r="I10965" s="2"/>
      <c r="J10965" s="2" t="s">
        <v>12550</v>
      </c>
      <c r="K10965" s="113"/>
      <c r="L10965" s="82"/>
      <c r="N10965" s="17"/>
      <c r="O10965" s="17"/>
    </row>
    <row r="10966" spans="1:15" ht="84" customHeight="1" x14ac:dyDescent="0.3">
      <c r="A10966" s="2">
        <v>10925</v>
      </c>
      <c r="B10966" s="2" t="s">
        <v>17454</v>
      </c>
      <c r="C10966" s="2"/>
      <c r="D10966" s="43">
        <v>9072</v>
      </c>
      <c r="E10966" s="43">
        <v>9072</v>
      </c>
      <c r="F10966" s="75">
        <v>42403</v>
      </c>
      <c r="G10966" s="66" t="s">
        <v>12548</v>
      </c>
      <c r="H10966" s="2"/>
      <c r="I10966" s="2"/>
      <c r="J10966" s="2" t="s">
        <v>12550</v>
      </c>
      <c r="K10966" s="113"/>
      <c r="L10966" s="82"/>
      <c r="N10966" s="17"/>
      <c r="O10966" s="17"/>
    </row>
    <row r="10967" spans="1:15" ht="84" customHeight="1" x14ac:dyDescent="0.3">
      <c r="A10967" s="2">
        <v>10926</v>
      </c>
      <c r="B10967" s="2" t="s">
        <v>17456</v>
      </c>
      <c r="C10967" s="2"/>
      <c r="D10967" s="43">
        <v>40272</v>
      </c>
      <c r="E10967" s="43">
        <v>40272</v>
      </c>
      <c r="F10967" s="75">
        <v>42403</v>
      </c>
      <c r="G10967" s="66" t="s">
        <v>12548</v>
      </c>
      <c r="H10967" s="2"/>
      <c r="I10967" s="2"/>
      <c r="J10967" s="2" t="s">
        <v>12550</v>
      </c>
      <c r="K10967" s="113"/>
      <c r="L10967" s="82"/>
      <c r="N10967" s="17"/>
      <c r="O10967" s="17"/>
    </row>
    <row r="10968" spans="1:15" ht="84" customHeight="1" x14ac:dyDescent="0.3">
      <c r="A10968" s="2">
        <v>10927</v>
      </c>
      <c r="B10968" s="2" t="s">
        <v>17453</v>
      </c>
      <c r="C10968" s="2"/>
      <c r="D10968" s="43">
        <v>9072</v>
      </c>
      <c r="E10968" s="43">
        <v>9072</v>
      </c>
      <c r="F10968" s="75">
        <v>42403</v>
      </c>
      <c r="G10968" s="66" t="s">
        <v>12548</v>
      </c>
      <c r="H10968" s="2"/>
      <c r="I10968" s="2"/>
      <c r="J10968" s="2" t="s">
        <v>12550</v>
      </c>
      <c r="K10968" s="113"/>
      <c r="L10968" s="82"/>
      <c r="N10968" s="17"/>
      <c r="O10968" s="17"/>
    </row>
    <row r="10969" spans="1:15" ht="132" x14ac:dyDescent="0.3">
      <c r="A10969" s="2">
        <v>10928</v>
      </c>
      <c r="B10969" s="242" t="s">
        <v>23320</v>
      </c>
      <c r="C10969" s="2"/>
      <c r="D10969" s="43">
        <v>69072</v>
      </c>
      <c r="E10969" s="43">
        <v>24627</v>
      </c>
      <c r="F10969" s="75">
        <v>42403</v>
      </c>
      <c r="G10969" s="66" t="s">
        <v>12548</v>
      </c>
      <c r="H10969" s="2"/>
      <c r="I10969" s="2"/>
      <c r="J10969" s="2" t="s">
        <v>12550</v>
      </c>
      <c r="K10969" s="113"/>
      <c r="L10969" s="82"/>
      <c r="N10969" s="17"/>
      <c r="O10969" s="17"/>
    </row>
    <row r="10970" spans="1:15" ht="84" customHeight="1" x14ac:dyDescent="0.3">
      <c r="A10970" s="2">
        <v>10929</v>
      </c>
      <c r="B10970" s="2" t="s">
        <v>17473</v>
      </c>
      <c r="C10970" s="2"/>
      <c r="D10970" s="43">
        <v>10000</v>
      </c>
      <c r="E10970" s="43">
        <v>10000</v>
      </c>
      <c r="F10970" s="75">
        <v>42403</v>
      </c>
      <c r="G10970" s="66" t="s">
        <v>12548</v>
      </c>
      <c r="H10970" s="2"/>
      <c r="I10970" s="2"/>
      <c r="J10970" s="2" t="s">
        <v>12550</v>
      </c>
      <c r="K10970" s="113"/>
      <c r="L10970" s="82"/>
      <c r="N10970" s="17"/>
      <c r="O10970" s="17"/>
    </row>
    <row r="10971" spans="1:15" ht="84" customHeight="1" x14ac:dyDescent="0.3">
      <c r="A10971" s="2">
        <v>10930</v>
      </c>
      <c r="B10971" s="2" t="s">
        <v>17474</v>
      </c>
      <c r="C10971" s="2"/>
      <c r="D10971" s="43">
        <v>10000</v>
      </c>
      <c r="E10971" s="43">
        <v>10000</v>
      </c>
      <c r="F10971" s="75">
        <v>42403</v>
      </c>
      <c r="G10971" s="66" t="s">
        <v>12548</v>
      </c>
      <c r="H10971" s="2"/>
      <c r="I10971" s="2"/>
      <c r="J10971" s="2" t="s">
        <v>12550</v>
      </c>
      <c r="K10971" s="113"/>
      <c r="L10971" s="82"/>
      <c r="N10971" s="17"/>
      <c r="O10971" s="17"/>
    </row>
    <row r="10972" spans="1:15" ht="84" customHeight="1" x14ac:dyDescent="0.3">
      <c r="A10972" s="2">
        <v>10931</v>
      </c>
      <c r="B10972" s="2" t="s">
        <v>17475</v>
      </c>
      <c r="C10972" s="2"/>
      <c r="D10972" s="43">
        <v>39711</v>
      </c>
      <c r="E10972" s="43">
        <v>39711</v>
      </c>
      <c r="F10972" s="75">
        <v>42403</v>
      </c>
      <c r="G10972" s="66" t="s">
        <v>12548</v>
      </c>
      <c r="H10972" s="2"/>
      <c r="I10972" s="2"/>
      <c r="J10972" s="2" t="s">
        <v>12550</v>
      </c>
      <c r="K10972" s="113"/>
      <c r="L10972" s="82"/>
      <c r="N10972" s="17"/>
      <c r="O10972" s="17"/>
    </row>
    <row r="10973" spans="1:15" ht="84" customHeight="1" x14ac:dyDescent="0.3">
      <c r="A10973" s="2">
        <v>10932</v>
      </c>
      <c r="B10973" s="2" t="s">
        <v>17476</v>
      </c>
      <c r="C10973" s="2"/>
      <c r="D10973" s="43">
        <v>99900</v>
      </c>
      <c r="E10973" s="43">
        <v>99900</v>
      </c>
      <c r="F10973" s="75">
        <v>42403</v>
      </c>
      <c r="G10973" s="66" t="s">
        <v>12548</v>
      </c>
      <c r="H10973" s="2"/>
      <c r="I10973" s="2"/>
      <c r="J10973" s="2" t="s">
        <v>12550</v>
      </c>
      <c r="K10973" s="113"/>
      <c r="L10973" s="82"/>
      <c r="N10973" s="17"/>
      <c r="O10973" s="17"/>
    </row>
    <row r="10974" spans="1:15" ht="84" customHeight="1" x14ac:dyDescent="0.3">
      <c r="A10974" s="2">
        <v>10933</v>
      </c>
      <c r="B10974" s="2" t="s">
        <v>20779</v>
      </c>
      <c r="C10974" s="2"/>
      <c r="D10974" s="43">
        <v>7045.05</v>
      </c>
      <c r="E10974" s="43">
        <v>7045.05</v>
      </c>
      <c r="F10974" s="75">
        <v>42403</v>
      </c>
      <c r="G10974" s="66" t="s">
        <v>12548</v>
      </c>
      <c r="H10974" s="2"/>
      <c r="I10974" s="2"/>
      <c r="J10974" s="2" t="s">
        <v>12550</v>
      </c>
      <c r="K10974" s="113"/>
      <c r="L10974" s="82"/>
      <c r="N10974" s="17"/>
      <c r="O10974" s="17"/>
    </row>
    <row r="10975" spans="1:15" ht="84" customHeight="1" x14ac:dyDescent="0.3">
      <c r="A10975" s="2">
        <v>10934</v>
      </c>
      <c r="B10975" s="2" t="s">
        <v>20775</v>
      </c>
      <c r="C10975" s="2"/>
      <c r="D10975" s="43">
        <v>180000</v>
      </c>
      <c r="E10975" s="43">
        <v>180000</v>
      </c>
      <c r="F10975" s="75">
        <v>42403</v>
      </c>
      <c r="G10975" s="66" t="s">
        <v>12548</v>
      </c>
      <c r="H10975" s="2"/>
      <c r="I10975" s="2"/>
      <c r="J10975" s="2" t="s">
        <v>12550</v>
      </c>
      <c r="K10975" s="113"/>
      <c r="L10975" s="82"/>
      <c r="N10975" s="17"/>
      <c r="O10975" s="17"/>
    </row>
    <row r="10976" spans="1:15" ht="84" customHeight="1" x14ac:dyDescent="0.3">
      <c r="A10976" s="2">
        <v>10935</v>
      </c>
      <c r="B10976" s="2" t="s">
        <v>20776</v>
      </c>
      <c r="C10976" s="2"/>
      <c r="D10976" s="43">
        <v>90000</v>
      </c>
      <c r="E10976" s="43">
        <v>90000</v>
      </c>
      <c r="F10976" s="75">
        <v>42403</v>
      </c>
      <c r="G10976" s="66" t="s">
        <v>12548</v>
      </c>
      <c r="H10976" s="2"/>
      <c r="I10976" s="2"/>
      <c r="J10976" s="2" t="s">
        <v>12550</v>
      </c>
      <c r="K10976" s="113"/>
      <c r="L10976" s="82"/>
      <c r="N10976" s="17"/>
      <c r="O10976" s="17"/>
    </row>
    <row r="10977" spans="1:15" ht="84" customHeight="1" x14ac:dyDescent="0.3">
      <c r="A10977" s="2">
        <v>10936</v>
      </c>
      <c r="B10977" s="2" t="s">
        <v>20777</v>
      </c>
      <c r="C10977" s="2"/>
      <c r="D10977" s="43">
        <v>112000</v>
      </c>
      <c r="E10977" s="43">
        <v>112000</v>
      </c>
      <c r="F10977" s="75">
        <v>42403</v>
      </c>
      <c r="G10977" s="66" t="s">
        <v>12548</v>
      </c>
      <c r="H10977" s="2"/>
      <c r="I10977" s="2"/>
      <c r="J10977" s="2" t="s">
        <v>12550</v>
      </c>
      <c r="K10977" s="113"/>
      <c r="L10977" s="82"/>
      <c r="N10977" s="17"/>
      <c r="O10977" s="17"/>
    </row>
    <row r="10978" spans="1:15" ht="84" customHeight="1" x14ac:dyDescent="0.3">
      <c r="A10978" s="2">
        <v>10937</v>
      </c>
      <c r="B10978" s="2" t="s">
        <v>17477</v>
      </c>
      <c r="C10978" s="2"/>
      <c r="D10978" s="43">
        <v>79296</v>
      </c>
      <c r="E10978" s="43">
        <v>79296</v>
      </c>
      <c r="F10978" s="75">
        <v>42403</v>
      </c>
      <c r="G10978" s="66" t="s">
        <v>12548</v>
      </c>
      <c r="H10978" s="2"/>
      <c r="I10978" s="2"/>
      <c r="J10978" s="2" t="s">
        <v>12550</v>
      </c>
      <c r="K10978" s="113"/>
      <c r="L10978" s="82"/>
      <c r="N10978" s="17"/>
      <c r="O10978" s="17"/>
    </row>
    <row r="10979" spans="1:15" ht="84" customHeight="1" x14ac:dyDescent="0.3">
      <c r="A10979" s="2">
        <v>10938</v>
      </c>
      <c r="B10979" s="2" t="s">
        <v>20778</v>
      </c>
      <c r="C10979" s="2"/>
      <c r="D10979" s="43">
        <v>70500</v>
      </c>
      <c r="E10979" s="43">
        <v>3916.7</v>
      </c>
      <c r="F10979" s="75">
        <v>42403</v>
      </c>
      <c r="G10979" s="66" t="s">
        <v>12548</v>
      </c>
      <c r="H10979" s="2"/>
      <c r="I10979" s="2"/>
      <c r="J10979" s="2" t="s">
        <v>12550</v>
      </c>
      <c r="K10979" s="113"/>
      <c r="L10979" s="82"/>
      <c r="N10979" s="17"/>
      <c r="O10979" s="17"/>
    </row>
    <row r="10980" spans="1:15" ht="84" customHeight="1" x14ac:dyDescent="0.3">
      <c r="A10980" s="2">
        <v>10939</v>
      </c>
      <c r="B10980" s="2" t="s">
        <v>17457</v>
      </c>
      <c r="C10980" s="2"/>
      <c r="D10980" s="43">
        <v>92368.639999999999</v>
      </c>
      <c r="E10980" s="43">
        <v>44644.92</v>
      </c>
      <c r="F10980" s="75">
        <v>42403</v>
      </c>
      <c r="G10980" s="66" t="s">
        <v>12548</v>
      </c>
      <c r="H10980" s="2"/>
      <c r="I10980" s="2"/>
      <c r="J10980" s="2" t="s">
        <v>12550</v>
      </c>
      <c r="K10980" s="113"/>
      <c r="L10980" s="82"/>
      <c r="N10980" s="17"/>
      <c r="O10980" s="17"/>
    </row>
    <row r="10981" spans="1:15" s="1" customFormat="1" ht="96" customHeight="1" x14ac:dyDescent="0.25">
      <c r="A10981" s="2">
        <v>10940</v>
      </c>
      <c r="B10981" s="82" t="s">
        <v>17479</v>
      </c>
      <c r="C10981" s="82" t="s">
        <v>17478</v>
      </c>
      <c r="D10981" s="43">
        <v>274164</v>
      </c>
      <c r="E10981" s="43">
        <v>274164</v>
      </c>
      <c r="F10981" s="75">
        <v>42403</v>
      </c>
      <c r="G10981" s="66" t="s">
        <v>12548</v>
      </c>
      <c r="H10981" s="153">
        <v>42822</v>
      </c>
      <c r="I10981" s="27" t="s">
        <v>18339</v>
      </c>
      <c r="J10981" s="2" t="s">
        <v>13904</v>
      </c>
      <c r="K10981" s="6"/>
      <c r="L10981" s="59"/>
    </row>
    <row r="10982" spans="1:15" s="1" customFormat="1" ht="108" customHeight="1" x14ac:dyDescent="0.25">
      <c r="A10982" s="2">
        <v>10941</v>
      </c>
      <c r="B10982" s="95" t="s">
        <v>17481</v>
      </c>
      <c r="C10982" s="95" t="s">
        <v>17482</v>
      </c>
      <c r="D10982" s="96">
        <v>101265.84</v>
      </c>
      <c r="E10982" s="43">
        <v>101265.84</v>
      </c>
      <c r="F10982" s="75">
        <v>42403</v>
      </c>
      <c r="G10982" s="2" t="s">
        <v>17961</v>
      </c>
      <c r="H10982" s="6"/>
      <c r="I10982" s="6"/>
      <c r="J10982" s="2" t="s">
        <v>13904</v>
      </c>
      <c r="K10982" s="38" t="s">
        <v>19238</v>
      </c>
      <c r="L10982" s="38" t="s">
        <v>20122</v>
      </c>
    </row>
    <row r="10983" spans="1:15" s="1" customFormat="1" ht="108" customHeight="1" x14ac:dyDescent="0.25">
      <c r="A10983" s="2">
        <v>10942</v>
      </c>
      <c r="B10983" s="95" t="s">
        <v>17483</v>
      </c>
      <c r="C10983" s="95" t="s">
        <v>17484</v>
      </c>
      <c r="D10983" s="96">
        <v>58000</v>
      </c>
      <c r="E10983" s="43">
        <v>38666.400000000001</v>
      </c>
      <c r="F10983" s="75">
        <v>42403</v>
      </c>
      <c r="G10983" s="2" t="s">
        <v>17961</v>
      </c>
      <c r="H10983" s="6"/>
      <c r="I10983" s="6"/>
      <c r="J10983" s="2" t="s">
        <v>13904</v>
      </c>
      <c r="K10983" s="38" t="s">
        <v>19238</v>
      </c>
      <c r="L10983" s="38" t="s">
        <v>20122</v>
      </c>
    </row>
    <row r="10984" spans="1:15" s="1" customFormat="1" ht="108" customHeight="1" x14ac:dyDescent="0.25">
      <c r="A10984" s="2">
        <v>10943</v>
      </c>
      <c r="B10984" s="95" t="s">
        <v>18733</v>
      </c>
      <c r="C10984" s="95" t="s">
        <v>17485</v>
      </c>
      <c r="D10984" s="96">
        <v>72000</v>
      </c>
      <c r="E10984" s="43">
        <v>72000</v>
      </c>
      <c r="F10984" s="75">
        <v>42403</v>
      </c>
      <c r="G10984" s="2" t="s">
        <v>17961</v>
      </c>
      <c r="H10984" s="6"/>
      <c r="I10984" s="6"/>
      <c r="J10984" s="2" t="s">
        <v>13904</v>
      </c>
      <c r="K10984" s="38" t="s">
        <v>19238</v>
      </c>
      <c r="L10984" s="38" t="s">
        <v>20122</v>
      </c>
    </row>
    <row r="10985" spans="1:15" s="1" customFormat="1" ht="144" customHeight="1" x14ac:dyDescent="0.25">
      <c r="A10985" s="2">
        <v>10944</v>
      </c>
      <c r="B10985" s="82" t="s">
        <v>17487</v>
      </c>
      <c r="C10985" s="74">
        <v>1101050430</v>
      </c>
      <c r="D10985" s="22">
        <v>50500</v>
      </c>
      <c r="E10985" s="42">
        <v>50500</v>
      </c>
      <c r="F10985" s="75">
        <v>42403</v>
      </c>
      <c r="G10985" s="66" t="s">
        <v>12548</v>
      </c>
      <c r="H10985" s="6"/>
      <c r="I10985" s="6"/>
      <c r="J10985" s="2" t="s">
        <v>13904</v>
      </c>
      <c r="K10985" s="38" t="s">
        <v>17486</v>
      </c>
      <c r="L10985" s="82"/>
    </row>
    <row r="10986" spans="1:15" ht="144" customHeight="1" x14ac:dyDescent="0.3">
      <c r="A10986" s="2">
        <v>10945</v>
      </c>
      <c r="B10986" s="82" t="s">
        <v>17488</v>
      </c>
      <c r="C10986" s="74">
        <v>1101050828</v>
      </c>
      <c r="D10986" s="22">
        <v>129620</v>
      </c>
      <c r="E10986" s="42">
        <v>38577.5</v>
      </c>
      <c r="F10986" s="75">
        <v>41663.699999999997</v>
      </c>
      <c r="G10986" s="66" t="s">
        <v>12548</v>
      </c>
      <c r="H10986" s="2"/>
      <c r="I10986" s="2"/>
      <c r="J10986" s="2" t="s">
        <v>13904</v>
      </c>
      <c r="K10986" s="38" t="s">
        <v>17486</v>
      </c>
      <c r="L10986" s="82"/>
    </row>
    <row r="10987" spans="1:15" ht="144" customHeight="1" x14ac:dyDescent="0.3">
      <c r="A10987" s="2">
        <v>10946</v>
      </c>
      <c r="B10987" s="82" t="s">
        <v>1062</v>
      </c>
      <c r="C10987" s="74">
        <v>1101050797</v>
      </c>
      <c r="D10987" s="22">
        <v>93000</v>
      </c>
      <c r="E10987" s="42">
        <v>49821.3</v>
      </c>
      <c r="F10987" s="75">
        <v>42403</v>
      </c>
      <c r="G10987" s="66" t="s">
        <v>12548</v>
      </c>
      <c r="H10987" s="2"/>
      <c r="I10987" s="2"/>
      <c r="J10987" s="2" t="s">
        <v>13904</v>
      </c>
      <c r="K10987" s="38" t="s">
        <v>17486</v>
      </c>
      <c r="L10987" s="82"/>
    </row>
    <row r="10988" spans="1:15" ht="144" customHeight="1" x14ac:dyDescent="0.3">
      <c r="A10988" s="2">
        <v>10947</v>
      </c>
      <c r="B10988" s="82" t="s">
        <v>2411</v>
      </c>
      <c r="C10988" s="74">
        <v>1101050221</v>
      </c>
      <c r="D10988" s="22">
        <v>53476</v>
      </c>
      <c r="E10988" s="42">
        <v>53476</v>
      </c>
      <c r="F10988" s="75">
        <v>42403</v>
      </c>
      <c r="G10988" s="66" t="s">
        <v>12548</v>
      </c>
      <c r="H10988" s="2"/>
      <c r="I10988" s="2"/>
      <c r="J10988" s="2" t="s">
        <v>13904</v>
      </c>
      <c r="K10988" s="38" t="s">
        <v>17486</v>
      </c>
      <c r="L10988" s="82"/>
    </row>
    <row r="10989" spans="1:15" ht="144" customHeight="1" x14ac:dyDescent="0.3">
      <c r="A10989" s="2">
        <v>10948</v>
      </c>
      <c r="B10989" s="82" t="s">
        <v>17489</v>
      </c>
      <c r="C10989" s="74">
        <v>1101050564</v>
      </c>
      <c r="D10989" s="22">
        <v>60000</v>
      </c>
      <c r="E10989" s="42">
        <v>18799.990000000002</v>
      </c>
      <c r="F10989" s="75">
        <v>42403</v>
      </c>
      <c r="G10989" s="66" t="s">
        <v>12548</v>
      </c>
      <c r="H10989" s="2"/>
      <c r="I10989" s="2"/>
      <c r="J10989" s="2" t="s">
        <v>13904</v>
      </c>
      <c r="K10989" s="38" t="s">
        <v>17486</v>
      </c>
      <c r="L10989" s="82"/>
    </row>
    <row r="10990" spans="1:15" ht="144" customHeight="1" x14ac:dyDescent="0.3">
      <c r="A10990" s="2">
        <v>10949</v>
      </c>
      <c r="B10990" s="82" t="s">
        <v>17490</v>
      </c>
      <c r="C10990" s="74">
        <v>1101050717</v>
      </c>
      <c r="D10990" s="22">
        <v>96900</v>
      </c>
      <c r="E10990" s="42">
        <v>96900</v>
      </c>
      <c r="F10990" s="75">
        <v>42403</v>
      </c>
      <c r="G10990" s="66" t="s">
        <v>12548</v>
      </c>
      <c r="H10990" s="2"/>
      <c r="I10990" s="2"/>
      <c r="J10990" s="2" t="s">
        <v>13904</v>
      </c>
      <c r="K10990" s="38" t="s">
        <v>17486</v>
      </c>
      <c r="L10990" s="82"/>
    </row>
    <row r="10991" spans="1:15" ht="144" customHeight="1" x14ac:dyDescent="0.3">
      <c r="A10991" s="2">
        <v>10950</v>
      </c>
      <c r="B10991" s="82" t="s">
        <v>15007</v>
      </c>
      <c r="C10991" s="74">
        <v>1101050565</v>
      </c>
      <c r="D10991" s="22">
        <v>67991.5</v>
      </c>
      <c r="E10991" s="42">
        <v>67991.5</v>
      </c>
      <c r="F10991" s="75">
        <v>42403</v>
      </c>
      <c r="G10991" s="66" t="s">
        <v>12548</v>
      </c>
      <c r="H10991" s="2"/>
      <c r="I10991" s="2"/>
      <c r="J10991" s="2" t="s">
        <v>13904</v>
      </c>
      <c r="K10991" s="38" t="s">
        <v>17486</v>
      </c>
      <c r="L10991" s="82"/>
    </row>
    <row r="10992" spans="1:15" s="1" customFormat="1" ht="96" customHeight="1" x14ac:dyDescent="0.25">
      <c r="A10992" s="2">
        <v>10951</v>
      </c>
      <c r="B10992" s="82" t="s">
        <v>17491</v>
      </c>
      <c r="C10992" s="6">
        <v>53</v>
      </c>
      <c r="D10992" s="51">
        <v>145762.71</v>
      </c>
      <c r="E10992" s="6"/>
      <c r="F10992" s="75">
        <v>42403</v>
      </c>
      <c r="G10992" s="66" t="s">
        <v>12548</v>
      </c>
      <c r="H10992" s="153">
        <v>42899</v>
      </c>
      <c r="I10992" s="38" t="s">
        <v>19174</v>
      </c>
      <c r="J10992" s="2" t="s">
        <v>13904</v>
      </c>
      <c r="K10992" s="38"/>
      <c r="L10992" s="59"/>
    </row>
    <row r="10993" spans="1:12" s="1" customFormat="1" ht="96" customHeight="1" x14ac:dyDescent="0.25">
      <c r="A10993" s="2">
        <v>10952</v>
      </c>
      <c r="B10993" s="6" t="s">
        <v>18879</v>
      </c>
      <c r="C10993" s="6">
        <v>1520279</v>
      </c>
      <c r="D10993" s="51">
        <v>54000</v>
      </c>
      <c r="E10993" s="6"/>
      <c r="F10993" s="75">
        <v>42403</v>
      </c>
      <c r="G10993" s="66" t="s">
        <v>12548</v>
      </c>
      <c r="H10993" s="153">
        <v>42899</v>
      </c>
      <c r="I10993" s="38" t="s">
        <v>19174</v>
      </c>
      <c r="J10993" s="2" t="s">
        <v>13904</v>
      </c>
      <c r="K10993" s="38"/>
      <c r="L10993" s="59"/>
    </row>
    <row r="10994" spans="1:12" s="1" customFormat="1" ht="84" customHeight="1" x14ac:dyDescent="0.25">
      <c r="A10994" s="2">
        <v>10953</v>
      </c>
      <c r="B10994" s="82" t="s">
        <v>17900</v>
      </c>
      <c r="C10994" s="82"/>
      <c r="D10994" s="22">
        <v>373205.16</v>
      </c>
      <c r="E10994" s="22">
        <v>97546.75</v>
      </c>
      <c r="F10994" s="3">
        <v>42403</v>
      </c>
      <c r="G10994" s="66" t="s">
        <v>12547</v>
      </c>
      <c r="H10994" s="207"/>
      <c r="I10994" s="66"/>
      <c r="J10994" s="2" t="s">
        <v>12550</v>
      </c>
      <c r="K10994" s="207"/>
      <c r="L10994" s="2"/>
    </row>
    <row r="10995" spans="1:12" s="1" customFormat="1" ht="84" customHeight="1" x14ac:dyDescent="0.25">
      <c r="A10995" s="2">
        <v>10954</v>
      </c>
      <c r="B10995" s="82" t="s">
        <v>17901</v>
      </c>
      <c r="C10995" s="82"/>
      <c r="D10995" s="22">
        <v>144226.89000000001</v>
      </c>
      <c r="E10995" s="22">
        <v>144226.89000000001</v>
      </c>
      <c r="F10995" s="3">
        <v>42403</v>
      </c>
      <c r="G10995" s="66" t="s">
        <v>12547</v>
      </c>
      <c r="H10995" s="207"/>
      <c r="I10995" s="66"/>
      <c r="J10995" s="2" t="s">
        <v>12550</v>
      </c>
      <c r="K10995" s="207"/>
      <c r="L10995" s="2"/>
    </row>
    <row r="10996" spans="1:12" s="1" customFormat="1" ht="84" customHeight="1" x14ac:dyDescent="0.25">
      <c r="A10996" s="2">
        <v>10955</v>
      </c>
      <c r="B10996" s="82" t="s">
        <v>17902</v>
      </c>
      <c r="C10996" s="82"/>
      <c r="D10996" s="22">
        <v>208327.57</v>
      </c>
      <c r="E10996" s="22">
        <v>208327.57</v>
      </c>
      <c r="F10996" s="3">
        <v>42403</v>
      </c>
      <c r="G10996" s="66" t="s">
        <v>12547</v>
      </c>
      <c r="H10996" s="207"/>
      <c r="I10996" s="66"/>
      <c r="J10996" s="2" t="s">
        <v>12550</v>
      </c>
      <c r="K10996" s="207"/>
      <c r="L10996" s="2"/>
    </row>
    <row r="10997" spans="1:12" s="1" customFormat="1" ht="84" customHeight="1" x14ac:dyDescent="0.25">
      <c r="A10997" s="2">
        <v>10956</v>
      </c>
      <c r="B10997" s="82" t="s">
        <v>17903</v>
      </c>
      <c r="C10997" s="82"/>
      <c r="D10997" s="22">
        <v>4191985.69</v>
      </c>
      <c r="E10997" s="22">
        <v>4191985.69</v>
      </c>
      <c r="F10997" s="3">
        <v>42403</v>
      </c>
      <c r="G10997" s="66" t="s">
        <v>12547</v>
      </c>
      <c r="H10997" s="207"/>
      <c r="I10997" s="66"/>
      <c r="J10997" s="2" t="s">
        <v>12550</v>
      </c>
      <c r="K10997" s="207"/>
      <c r="L10997" s="2"/>
    </row>
    <row r="10998" spans="1:12" ht="108" customHeight="1" x14ac:dyDescent="0.3">
      <c r="A10998" s="2">
        <v>10957</v>
      </c>
      <c r="B10998" s="66" t="s">
        <v>17943</v>
      </c>
      <c r="C10998" s="66" t="s">
        <v>18856</v>
      </c>
      <c r="D10998" s="11">
        <v>208950</v>
      </c>
      <c r="E10998" s="11">
        <v>45272.5</v>
      </c>
      <c r="F10998" s="3">
        <v>42677</v>
      </c>
      <c r="G10998" s="2" t="s">
        <v>14097</v>
      </c>
      <c r="H10998" s="2"/>
      <c r="I10998" s="2"/>
      <c r="J10998" s="2" t="s">
        <v>13904</v>
      </c>
      <c r="K10998" s="2" t="s">
        <v>19233</v>
      </c>
      <c r="L10998" s="82" t="s">
        <v>18861</v>
      </c>
    </row>
    <row r="10999" spans="1:12" ht="108" customHeight="1" x14ac:dyDescent="0.3">
      <c r="A10999" s="2">
        <v>10958</v>
      </c>
      <c r="B10999" s="66" t="s">
        <v>17945</v>
      </c>
      <c r="C10999" s="66"/>
      <c r="D10999" s="11">
        <v>92338</v>
      </c>
      <c r="E10999" s="2"/>
      <c r="F10999" s="3" t="s">
        <v>17946</v>
      </c>
      <c r="G10999" s="2" t="s">
        <v>17947</v>
      </c>
      <c r="H10999" s="2"/>
      <c r="I10999" s="2"/>
      <c r="J10999" s="2" t="s">
        <v>13904</v>
      </c>
      <c r="K10999" s="2" t="s">
        <v>19233</v>
      </c>
      <c r="L10999" s="82" t="s">
        <v>19227</v>
      </c>
    </row>
    <row r="11000" spans="1:12" ht="108" customHeight="1" x14ac:dyDescent="0.3">
      <c r="A11000" s="2">
        <v>10959</v>
      </c>
      <c r="B11000" s="66" t="s">
        <v>17948</v>
      </c>
      <c r="C11000" s="66" t="s">
        <v>18854</v>
      </c>
      <c r="D11000" s="11">
        <v>97662</v>
      </c>
      <c r="E11000" s="11">
        <v>21160.1</v>
      </c>
      <c r="F11000" s="3">
        <v>42320</v>
      </c>
      <c r="G11000" s="2" t="s">
        <v>17949</v>
      </c>
      <c r="H11000" s="2"/>
      <c r="I11000" s="2"/>
      <c r="J11000" s="2" t="s">
        <v>13904</v>
      </c>
      <c r="K11000" s="2" t="s">
        <v>19233</v>
      </c>
      <c r="L11000" s="82" t="s">
        <v>18861</v>
      </c>
    </row>
    <row r="11001" spans="1:12" ht="108" customHeight="1" x14ac:dyDescent="0.3">
      <c r="A11001" s="2">
        <v>10960</v>
      </c>
      <c r="B11001" s="66" t="s">
        <v>17950</v>
      </c>
      <c r="C11001" s="66" t="s">
        <v>18855</v>
      </c>
      <c r="D11001" s="11">
        <v>92000</v>
      </c>
      <c r="E11001" s="11">
        <v>19933.29</v>
      </c>
      <c r="F11001" s="3">
        <v>42320</v>
      </c>
      <c r="G11001" s="2" t="s">
        <v>17951</v>
      </c>
      <c r="H11001" s="2"/>
      <c r="I11001" s="2"/>
      <c r="J11001" s="2" t="s">
        <v>13904</v>
      </c>
      <c r="K11001" s="2" t="s">
        <v>19233</v>
      </c>
      <c r="L11001" s="82" t="s">
        <v>18861</v>
      </c>
    </row>
    <row r="11002" spans="1:12" ht="84" customHeight="1" x14ac:dyDescent="0.3">
      <c r="A11002" s="2">
        <v>10961</v>
      </c>
      <c r="B11002" s="66" t="s">
        <v>17977</v>
      </c>
      <c r="C11002" s="66">
        <v>41012400019</v>
      </c>
      <c r="D11002" s="2">
        <v>459579.8</v>
      </c>
      <c r="E11002" s="2">
        <v>15319.32</v>
      </c>
      <c r="F11002" s="3" t="s">
        <v>17997</v>
      </c>
      <c r="G11002" s="2" t="s">
        <v>17978</v>
      </c>
      <c r="H11002" s="2"/>
      <c r="I11002" s="2"/>
      <c r="J11002" s="2" t="s">
        <v>13904</v>
      </c>
      <c r="K11002" s="2" t="s">
        <v>18541</v>
      </c>
      <c r="L11002" s="82" t="s">
        <v>18696</v>
      </c>
    </row>
    <row r="11003" spans="1:12" s="4" customFormat="1" ht="84" customHeight="1" x14ac:dyDescent="0.3">
      <c r="A11003" s="2">
        <v>10962</v>
      </c>
      <c r="B11003" s="82" t="s">
        <v>17979</v>
      </c>
      <c r="C11003" s="82">
        <v>41012400003</v>
      </c>
      <c r="D11003" s="82" t="s">
        <v>1068</v>
      </c>
      <c r="E11003" s="6" t="s">
        <v>1068</v>
      </c>
      <c r="F11003" s="153">
        <v>42403</v>
      </c>
      <c r="G11003" s="38" t="s">
        <v>17980</v>
      </c>
      <c r="H11003" s="6"/>
      <c r="I11003" s="6"/>
      <c r="J11003" s="2" t="s">
        <v>13904</v>
      </c>
      <c r="K11003" s="2" t="s">
        <v>18541</v>
      </c>
      <c r="L11003" s="82" t="s">
        <v>18696</v>
      </c>
    </row>
    <row r="11004" spans="1:12" s="4" customFormat="1" ht="84" customHeight="1" x14ac:dyDescent="0.3">
      <c r="A11004" s="2">
        <v>10963</v>
      </c>
      <c r="B11004" s="82" t="s">
        <v>17979</v>
      </c>
      <c r="C11004" s="82">
        <v>41012400004</v>
      </c>
      <c r="D11004" s="82" t="s">
        <v>1068</v>
      </c>
      <c r="E11004" s="6" t="s">
        <v>1068</v>
      </c>
      <c r="F11004" s="153">
        <v>42403</v>
      </c>
      <c r="G11004" s="38" t="s">
        <v>17980</v>
      </c>
      <c r="H11004" s="6"/>
      <c r="I11004" s="6"/>
      <c r="J11004" s="2" t="s">
        <v>13904</v>
      </c>
      <c r="K11004" s="2" t="s">
        <v>18541</v>
      </c>
      <c r="L11004" s="82" t="s">
        <v>18696</v>
      </c>
    </row>
    <row r="11005" spans="1:12" ht="84" customHeight="1" x14ac:dyDescent="0.3">
      <c r="A11005" s="2">
        <v>10964</v>
      </c>
      <c r="B11005" s="66" t="s">
        <v>17981</v>
      </c>
      <c r="C11005" s="66">
        <v>41012400004</v>
      </c>
      <c r="D11005" s="11">
        <v>39400</v>
      </c>
      <c r="E11005" s="11">
        <v>39400</v>
      </c>
      <c r="F11005" s="3" t="s">
        <v>17982</v>
      </c>
      <c r="G11005" s="2" t="s">
        <v>17990</v>
      </c>
      <c r="H11005" s="2"/>
      <c r="I11005" s="2"/>
      <c r="J11005" s="2" t="s">
        <v>13904</v>
      </c>
      <c r="K11005" s="2" t="s">
        <v>18541</v>
      </c>
      <c r="L11005" s="82" t="s">
        <v>18696</v>
      </c>
    </row>
    <row r="11006" spans="1:12" ht="84" customHeight="1" x14ac:dyDescent="0.3">
      <c r="A11006" s="2">
        <v>10965</v>
      </c>
      <c r="B11006" s="66" t="s">
        <v>17981</v>
      </c>
      <c r="C11006" s="66">
        <v>41012400023</v>
      </c>
      <c r="D11006" s="11">
        <v>39400</v>
      </c>
      <c r="E11006" s="11">
        <v>39400</v>
      </c>
      <c r="F11006" s="3" t="s">
        <v>17982</v>
      </c>
      <c r="G11006" s="2" t="s">
        <v>17988</v>
      </c>
      <c r="H11006" s="2"/>
      <c r="I11006" s="2"/>
      <c r="J11006" s="2" t="s">
        <v>13904</v>
      </c>
      <c r="K11006" s="2" t="s">
        <v>18541</v>
      </c>
      <c r="L11006" s="82" t="s">
        <v>18696</v>
      </c>
    </row>
    <row r="11007" spans="1:12" ht="84" customHeight="1" x14ac:dyDescent="0.3">
      <c r="A11007" s="2">
        <v>10966</v>
      </c>
      <c r="B11007" s="66" t="s">
        <v>17981</v>
      </c>
      <c r="C11007" s="66">
        <v>41012400023</v>
      </c>
      <c r="D11007" s="11">
        <v>39400</v>
      </c>
      <c r="E11007" s="11">
        <v>39400</v>
      </c>
      <c r="F11007" s="3" t="s">
        <v>17982</v>
      </c>
      <c r="G11007" s="2" t="s">
        <v>17989</v>
      </c>
      <c r="H11007" s="2"/>
      <c r="I11007" s="2"/>
      <c r="J11007" s="2" t="s">
        <v>13904</v>
      </c>
      <c r="K11007" s="2" t="s">
        <v>18541</v>
      </c>
      <c r="L11007" s="82" t="s">
        <v>18696</v>
      </c>
    </row>
    <row r="11008" spans="1:12" s="1" customFormat="1" ht="84" customHeight="1" x14ac:dyDescent="0.25">
      <c r="A11008" s="2">
        <v>10967</v>
      </c>
      <c r="B11008" s="82" t="s">
        <v>223</v>
      </c>
      <c r="C11008" s="82">
        <v>41012400005</v>
      </c>
      <c r="D11008" s="82" t="s">
        <v>17983</v>
      </c>
      <c r="E11008" s="6" t="s">
        <v>17983</v>
      </c>
      <c r="F11008" s="153">
        <v>42403</v>
      </c>
      <c r="G11008" s="38" t="s">
        <v>17980</v>
      </c>
      <c r="H11008" s="6"/>
      <c r="I11008" s="6"/>
      <c r="J11008" s="2" t="s">
        <v>13904</v>
      </c>
      <c r="K11008" s="2" t="s">
        <v>18541</v>
      </c>
      <c r="L11008" s="82" t="s">
        <v>18696</v>
      </c>
    </row>
    <row r="11009" spans="1:12" ht="84" customHeight="1" x14ac:dyDescent="0.3">
      <c r="A11009" s="2">
        <v>10968</v>
      </c>
      <c r="B11009" s="66" t="s">
        <v>17984</v>
      </c>
      <c r="C11009" s="66">
        <v>41012400025</v>
      </c>
      <c r="D11009" s="11">
        <v>49500</v>
      </c>
      <c r="E11009" s="11">
        <v>49500</v>
      </c>
      <c r="F11009" s="3" t="s">
        <v>17985</v>
      </c>
      <c r="G11009" s="2" t="s">
        <v>17986</v>
      </c>
      <c r="H11009" s="2"/>
      <c r="I11009" s="2"/>
      <c r="J11009" s="2" t="s">
        <v>13904</v>
      </c>
      <c r="K11009" s="2" t="s">
        <v>18541</v>
      </c>
      <c r="L11009" s="82" t="s">
        <v>18696</v>
      </c>
    </row>
    <row r="11010" spans="1:12" ht="84" customHeight="1" x14ac:dyDescent="0.3">
      <c r="A11010" s="2">
        <v>10969</v>
      </c>
      <c r="B11010" s="66" t="s">
        <v>17984</v>
      </c>
      <c r="C11010" s="66">
        <v>41012400024</v>
      </c>
      <c r="D11010" s="11">
        <v>49500</v>
      </c>
      <c r="E11010" s="11">
        <v>49500</v>
      </c>
      <c r="F11010" s="3" t="s">
        <v>17985</v>
      </c>
      <c r="G11010" s="2" t="s">
        <v>17986</v>
      </c>
      <c r="H11010" s="2"/>
      <c r="I11010" s="2"/>
      <c r="J11010" s="2" t="s">
        <v>13904</v>
      </c>
      <c r="K11010" s="2" t="s">
        <v>18541</v>
      </c>
      <c r="L11010" s="82" t="s">
        <v>18696</v>
      </c>
    </row>
    <row r="11011" spans="1:12" ht="84" customHeight="1" x14ac:dyDescent="0.3">
      <c r="A11011" s="2">
        <v>10970</v>
      </c>
      <c r="B11011" s="66" t="s">
        <v>17984</v>
      </c>
      <c r="C11011" s="66">
        <v>41012400026</v>
      </c>
      <c r="D11011" s="11">
        <v>49500</v>
      </c>
      <c r="E11011" s="11">
        <v>49500</v>
      </c>
      <c r="F11011" s="3" t="s">
        <v>17985</v>
      </c>
      <c r="G11011" s="2" t="s">
        <v>17991</v>
      </c>
      <c r="H11011" s="2"/>
      <c r="I11011" s="2"/>
      <c r="J11011" s="2" t="s">
        <v>13904</v>
      </c>
      <c r="K11011" s="2" t="s">
        <v>18541</v>
      </c>
      <c r="L11011" s="82" t="s">
        <v>18696</v>
      </c>
    </row>
    <row r="11012" spans="1:12" ht="84" customHeight="1" x14ac:dyDescent="0.3">
      <c r="A11012" s="2">
        <v>10971</v>
      </c>
      <c r="B11012" s="66" t="s">
        <v>17984</v>
      </c>
      <c r="C11012" s="66">
        <v>41012400027</v>
      </c>
      <c r="D11012" s="11">
        <v>49500</v>
      </c>
      <c r="E11012" s="11">
        <v>49500</v>
      </c>
      <c r="F11012" s="3" t="s">
        <v>17985</v>
      </c>
      <c r="G11012" s="2" t="s">
        <v>17987</v>
      </c>
      <c r="H11012" s="2"/>
      <c r="I11012" s="2"/>
      <c r="J11012" s="2" t="s">
        <v>13904</v>
      </c>
      <c r="K11012" s="2" t="s">
        <v>18541</v>
      </c>
      <c r="L11012" s="82" t="s">
        <v>18696</v>
      </c>
    </row>
    <row r="11013" spans="1:12" ht="84" customHeight="1" x14ac:dyDescent="0.3">
      <c r="A11013" s="2">
        <v>10972</v>
      </c>
      <c r="B11013" s="66" t="s">
        <v>17992</v>
      </c>
      <c r="C11013" s="66" t="s">
        <v>17993</v>
      </c>
      <c r="D11013" s="11">
        <v>93450</v>
      </c>
      <c r="E11013" s="11">
        <v>93450</v>
      </c>
      <c r="F11013" s="3" t="s">
        <v>17994</v>
      </c>
      <c r="G11013" s="2" t="s">
        <v>18003</v>
      </c>
      <c r="H11013" s="2"/>
      <c r="I11013" s="2"/>
      <c r="J11013" s="2" t="s">
        <v>13904</v>
      </c>
      <c r="K11013" s="2" t="s">
        <v>18541</v>
      </c>
      <c r="L11013" s="82" t="s">
        <v>18696</v>
      </c>
    </row>
    <row r="11014" spans="1:12" ht="84" customHeight="1" x14ac:dyDescent="0.3">
      <c r="A11014" s="2">
        <v>10973</v>
      </c>
      <c r="B11014" s="66" t="s">
        <v>17998</v>
      </c>
      <c r="C11014" s="66" t="s">
        <v>17995</v>
      </c>
      <c r="D11014" s="2">
        <v>437000</v>
      </c>
      <c r="E11014" s="2">
        <v>437000</v>
      </c>
      <c r="F11014" s="3" t="s">
        <v>17994</v>
      </c>
      <c r="G11014" s="2" t="s">
        <v>18003</v>
      </c>
      <c r="H11014" s="2"/>
      <c r="I11014" s="2"/>
      <c r="J11014" s="2" t="s">
        <v>13904</v>
      </c>
      <c r="K11014" s="2" t="s">
        <v>18541</v>
      </c>
      <c r="L11014" s="82" t="s">
        <v>18696</v>
      </c>
    </row>
    <row r="11015" spans="1:12" ht="84" customHeight="1" x14ac:dyDescent="0.3">
      <c r="A11015" s="2">
        <v>10974</v>
      </c>
      <c r="B11015" s="66" t="s">
        <v>17996</v>
      </c>
      <c r="C11015" s="66">
        <v>41013400133</v>
      </c>
      <c r="D11015" s="11">
        <v>115000</v>
      </c>
      <c r="E11015" s="11">
        <v>115000</v>
      </c>
      <c r="F11015" s="3" t="s">
        <v>17997</v>
      </c>
      <c r="G11015" s="2" t="s">
        <v>17978</v>
      </c>
      <c r="H11015" s="2"/>
      <c r="I11015" s="2"/>
      <c r="J11015" s="2" t="s">
        <v>13904</v>
      </c>
      <c r="K11015" s="2" t="s">
        <v>18541</v>
      </c>
      <c r="L11015" s="82" t="s">
        <v>18696</v>
      </c>
    </row>
    <row r="11016" spans="1:12" ht="84" customHeight="1" x14ac:dyDescent="0.3">
      <c r="A11016" s="2">
        <v>10975</v>
      </c>
      <c r="B11016" s="66" t="s">
        <v>17996</v>
      </c>
      <c r="C11016" s="66">
        <v>41013400132</v>
      </c>
      <c r="D11016" s="11">
        <v>115000</v>
      </c>
      <c r="E11016" s="11">
        <v>115000</v>
      </c>
      <c r="F11016" s="3" t="s">
        <v>17997</v>
      </c>
      <c r="G11016" s="2" t="s">
        <v>17978</v>
      </c>
      <c r="H11016" s="2"/>
      <c r="I11016" s="2"/>
      <c r="J11016" s="2" t="s">
        <v>13904</v>
      </c>
      <c r="K11016" s="2" t="s">
        <v>18541</v>
      </c>
      <c r="L11016" s="82" t="s">
        <v>18696</v>
      </c>
    </row>
    <row r="11017" spans="1:12" ht="84" customHeight="1" x14ac:dyDescent="0.3">
      <c r="A11017" s="2">
        <v>10976</v>
      </c>
      <c r="B11017" s="66" t="s">
        <v>17999</v>
      </c>
      <c r="C11017" s="66" t="s">
        <v>18000</v>
      </c>
      <c r="D11017" s="11">
        <v>122800</v>
      </c>
      <c r="E11017" s="11">
        <v>122800</v>
      </c>
      <c r="F11017" s="3" t="s">
        <v>17994</v>
      </c>
      <c r="G11017" s="2" t="s">
        <v>18003</v>
      </c>
      <c r="H11017" s="2"/>
      <c r="I11017" s="2"/>
      <c r="J11017" s="2" t="s">
        <v>13904</v>
      </c>
      <c r="K11017" s="2" t="s">
        <v>18541</v>
      </c>
      <c r="L11017" s="82" t="s">
        <v>18696</v>
      </c>
    </row>
    <row r="11018" spans="1:12" ht="84" customHeight="1" x14ac:dyDescent="0.3">
      <c r="A11018" s="2">
        <v>10977</v>
      </c>
      <c r="B11018" s="66" t="s">
        <v>18697</v>
      </c>
      <c r="C11018" s="66">
        <v>41013400134</v>
      </c>
      <c r="D11018" s="11">
        <v>173845.92</v>
      </c>
      <c r="E11018" s="11">
        <v>4139.18</v>
      </c>
      <c r="F11018" s="3" t="s">
        <v>18001</v>
      </c>
      <c r="G11018" s="2" t="s">
        <v>18006</v>
      </c>
      <c r="H11018" s="2"/>
      <c r="I11018" s="2"/>
      <c r="J11018" s="2" t="s">
        <v>13904</v>
      </c>
      <c r="K11018" s="2" t="s">
        <v>18541</v>
      </c>
      <c r="L11018" s="82" t="s">
        <v>18696</v>
      </c>
    </row>
    <row r="11019" spans="1:12" ht="84" customHeight="1" x14ac:dyDescent="0.3">
      <c r="A11019" s="2">
        <v>10978</v>
      </c>
      <c r="B11019" s="66" t="s">
        <v>21027</v>
      </c>
      <c r="C11019" s="66">
        <v>41013600029</v>
      </c>
      <c r="D11019" s="11">
        <v>142000</v>
      </c>
      <c r="E11019" s="11">
        <v>5071.4399999999996</v>
      </c>
      <c r="F11019" s="3">
        <v>42572</v>
      </c>
      <c r="G11019" s="2" t="s">
        <v>20723</v>
      </c>
      <c r="H11019" s="2"/>
      <c r="I11019" s="2"/>
      <c r="J11019" s="2" t="s">
        <v>13904</v>
      </c>
      <c r="K11019" s="2" t="s">
        <v>18541</v>
      </c>
      <c r="L11019" s="82" t="s">
        <v>18696</v>
      </c>
    </row>
    <row r="11020" spans="1:12" ht="84" customHeight="1" x14ac:dyDescent="0.3">
      <c r="A11020" s="2">
        <v>10979</v>
      </c>
      <c r="B11020" s="66" t="s">
        <v>21028</v>
      </c>
      <c r="C11020" s="66">
        <v>41013600028</v>
      </c>
      <c r="D11020" s="11">
        <v>142000</v>
      </c>
      <c r="E11020" s="11">
        <v>5071.4399999999996</v>
      </c>
      <c r="F11020" s="3">
        <v>42572</v>
      </c>
      <c r="G11020" s="2" t="s">
        <v>20723</v>
      </c>
      <c r="H11020" s="2"/>
      <c r="I11020" s="2"/>
      <c r="J11020" s="2" t="s">
        <v>13904</v>
      </c>
      <c r="K11020" s="2" t="s">
        <v>18541</v>
      </c>
      <c r="L11020" s="82" t="s">
        <v>18696</v>
      </c>
    </row>
    <row r="11021" spans="1:12" ht="84" customHeight="1" x14ac:dyDescent="0.3">
      <c r="A11021" s="2">
        <v>10980</v>
      </c>
      <c r="B11021" s="66" t="s">
        <v>21040</v>
      </c>
      <c r="C11021" s="66">
        <v>41013600057</v>
      </c>
      <c r="D11021" s="11">
        <v>54000</v>
      </c>
      <c r="E11021" s="11">
        <v>1928.58</v>
      </c>
      <c r="F11021" s="3">
        <v>42576</v>
      </c>
      <c r="G11021" s="2" t="s">
        <v>20724</v>
      </c>
      <c r="H11021" s="2"/>
      <c r="I11021" s="2"/>
      <c r="J11021" s="2" t="s">
        <v>13904</v>
      </c>
      <c r="K11021" s="2" t="s">
        <v>18541</v>
      </c>
      <c r="L11021" s="82" t="s">
        <v>18696</v>
      </c>
    </row>
    <row r="11022" spans="1:12" ht="84" customHeight="1" x14ac:dyDescent="0.3">
      <c r="A11022" s="2">
        <v>10981</v>
      </c>
      <c r="B11022" s="66" t="s">
        <v>21760</v>
      </c>
      <c r="C11022" s="66">
        <v>41013600058</v>
      </c>
      <c r="D11022" s="11">
        <v>59000</v>
      </c>
      <c r="E11022" s="11">
        <v>2107.14</v>
      </c>
      <c r="F11022" s="3">
        <v>42576</v>
      </c>
      <c r="G11022" s="2" t="s">
        <v>20724</v>
      </c>
      <c r="H11022" s="2"/>
      <c r="I11022" s="2"/>
      <c r="J11022" s="2" t="s">
        <v>13904</v>
      </c>
      <c r="K11022" s="2" t="s">
        <v>18541</v>
      </c>
      <c r="L11022" s="82" t="s">
        <v>18696</v>
      </c>
    </row>
    <row r="11023" spans="1:12" ht="84" customHeight="1" x14ac:dyDescent="0.3">
      <c r="A11023" s="2">
        <v>10982</v>
      </c>
      <c r="B11023" s="66" t="s">
        <v>21041</v>
      </c>
      <c r="C11023" s="66">
        <v>41013600068</v>
      </c>
      <c r="D11023" s="11">
        <v>110000</v>
      </c>
      <c r="E11023" s="11">
        <v>3928.56</v>
      </c>
      <c r="F11023" s="3">
        <v>42576</v>
      </c>
      <c r="G11023" s="2" t="s">
        <v>20724</v>
      </c>
      <c r="H11023" s="2"/>
      <c r="I11023" s="2"/>
      <c r="J11023" s="2" t="s">
        <v>13904</v>
      </c>
      <c r="K11023" s="2" t="s">
        <v>18541</v>
      </c>
      <c r="L11023" s="82" t="s">
        <v>18696</v>
      </c>
    </row>
    <row r="11024" spans="1:12" ht="84" customHeight="1" x14ac:dyDescent="0.3">
      <c r="A11024" s="2">
        <v>10983</v>
      </c>
      <c r="B11024" s="66" t="s">
        <v>21029</v>
      </c>
      <c r="C11024" s="66">
        <v>41013600017</v>
      </c>
      <c r="D11024" s="11">
        <v>55726.9</v>
      </c>
      <c r="E11024" s="11">
        <v>1990.26</v>
      </c>
      <c r="F11024" s="3">
        <v>42572</v>
      </c>
      <c r="G11024" s="2" t="s">
        <v>20723</v>
      </c>
      <c r="H11024" s="2"/>
      <c r="I11024" s="2"/>
      <c r="J11024" s="2" t="s">
        <v>13904</v>
      </c>
      <c r="K11024" s="2" t="s">
        <v>18541</v>
      </c>
      <c r="L11024" s="82" t="s">
        <v>18696</v>
      </c>
    </row>
    <row r="11025" spans="1:12" ht="84" customHeight="1" x14ac:dyDescent="0.3">
      <c r="A11025" s="2">
        <v>10984</v>
      </c>
      <c r="B11025" s="66" t="s">
        <v>222</v>
      </c>
      <c r="C11025" s="66"/>
      <c r="D11025" s="11">
        <v>1</v>
      </c>
      <c r="E11025" s="11">
        <v>1</v>
      </c>
      <c r="F11025" s="3">
        <v>42403</v>
      </c>
      <c r="G11025" s="2" t="s">
        <v>12546</v>
      </c>
      <c r="H11025" s="2"/>
      <c r="I11025" s="2"/>
      <c r="J11025" s="2" t="s">
        <v>13904</v>
      </c>
      <c r="K11025" s="2" t="s">
        <v>18541</v>
      </c>
      <c r="L11025" s="82" t="s">
        <v>18696</v>
      </c>
    </row>
    <row r="11026" spans="1:12" ht="84" customHeight="1" x14ac:dyDescent="0.3">
      <c r="A11026" s="2">
        <v>10985</v>
      </c>
      <c r="B11026" s="66" t="s">
        <v>18004</v>
      </c>
      <c r="C11026" s="66"/>
      <c r="D11026" s="11">
        <v>10000</v>
      </c>
      <c r="E11026" s="11">
        <v>10000</v>
      </c>
      <c r="F11026" s="3">
        <v>42403</v>
      </c>
      <c r="G11026" s="2" t="s">
        <v>12546</v>
      </c>
      <c r="H11026" s="2"/>
      <c r="I11026" s="2"/>
      <c r="J11026" s="2" t="s">
        <v>13904</v>
      </c>
      <c r="K11026" s="2" t="s">
        <v>18541</v>
      </c>
      <c r="L11026" s="82" t="s">
        <v>18696</v>
      </c>
    </row>
    <row r="11027" spans="1:12" ht="84" customHeight="1" x14ac:dyDescent="0.3">
      <c r="A11027" s="2">
        <v>10986</v>
      </c>
      <c r="B11027" s="66" t="s">
        <v>18005</v>
      </c>
      <c r="C11027" s="66"/>
      <c r="D11027" s="11">
        <v>20000</v>
      </c>
      <c r="E11027" s="11">
        <v>20000</v>
      </c>
      <c r="F11027" s="3">
        <v>42403</v>
      </c>
      <c r="G11027" s="2" t="s">
        <v>12546</v>
      </c>
      <c r="H11027" s="2"/>
      <c r="I11027" s="2"/>
      <c r="J11027" s="2" t="s">
        <v>13904</v>
      </c>
      <c r="K11027" s="2" t="s">
        <v>18541</v>
      </c>
      <c r="L11027" s="82" t="s">
        <v>18696</v>
      </c>
    </row>
    <row r="11028" spans="1:12" ht="84" customHeight="1" x14ac:dyDescent="0.3">
      <c r="A11028" s="2">
        <v>10987</v>
      </c>
      <c r="B11028" s="66" t="s">
        <v>18170</v>
      </c>
      <c r="C11028" s="66"/>
      <c r="D11028" s="11">
        <v>9277.7999999999993</v>
      </c>
      <c r="E11028" s="11">
        <v>9277.7999999999993</v>
      </c>
      <c r="F11028" s="3">
        <v>42403</v>
      </c>
      <c r="G11028" s="2" t="s">
        <v>12546</v>
      </c>
      <c r="H11028" s="2"/>
      <c r="I11028" s="2"/>
      <c r="J11028" s="2" t="s">
        <v>13904</v>
      </c>
      <c r="K11028" s="2" t="s">
        <v>18541</v>
      </c>
      <c r="L11028" s="82" t="s">
        <v>18696</v>
      </c>
    </row>
    <row r="11029" spans="1:12" ht="84" customHeight="1" x14ac:dyDescent="0.3">
      <c r="A11029" s="2">
        <v>10988</v>
      </c>
      <c r="B11029" s="66" t="s">
        <v>19744</v>
      </c>
      <c r="C11029" s="66"/>
      <c r="D11029" s="11">
        <v>73318.8</v>
      </c>
      <c r="E11029" s="11">
        <v>0</v>
      </c>
      <c r="F11029" s="3" t="s">
        <v>19717</v>
      </c>
      <c r="G11029" s="2" t="s">
        <v>19748</v>
      </c>
      <c r="H11029" s="2"/>
      <c r="I11029" s="2"/>
      <c r="J11029" s="2" t="s">
        <v>13904</v>
      </c>
      <c r="K11029" s="2" t="s">
        <v>18541</v>
      </c>
      <c r="L11029" s="246" t="s">
        <v>22664</v>
      </c>
    </row>
    <row r="11030" spans="1:12" ht="84" customHeight="1" x14ac:dyDescent="0.3">
      <c r="A11030" s="2">
        <v>10989</v>
      </c>
      <c r="B11030" s="66" t="s">
        <v>19745</v>
      </c>
      <c r="C11030" s="66"/>
      <c r="D11030" s="11">
        <v>27210</v>
      </c>
      <c r="E11030" s="11">
        <v>27210</v>
      </c>
      <c r="F11030" s="3" t="s">
        <v>19717</v>
      </c>
      <c r="G11030" s="2" t="s">
        <v>19748</v>
      </c>
      <c r="H11030" s="2"/>
      <c r="I11030" s="2"/>
      <c r="J11030" s="2" t="s">
        <v>13904</v>
      </c>
      <c r="K11030" s="2" t="s">
        <v>18541</v>
      </c>
      <c r="L11030" s="246" t="s">
        <v>22664</v>
      </c>
    </row>
    <row r="11031" spans="1:12" ht="84" customHeight="1" x14ac:dyDescent="0.3">
      <c r="A11031" s="2">
        <v>10990</v>
      </c>
      <c r="B11031" s="66" t="s">
        <v>21030</v>
      </c>
      <c r="C11031" s="66">
        <v>41012600001</v>
      </c>
      <c r="D11031" s="11">
        <v>55526.63</v>
      </c>
      <c r="E11031" s="11">
        <v>0</v>
      </c>
      <c r="F11031" s="3" t="s">
        <v>19746</v>
      </c>
      <c r="G11031" s="2" t="s">
        <v>19747</v>
      </c>
      <c r="H11031" s="2"/>
      <c r="I11031" s="2"/>
      <c r="J11031" s="2" t="s">
        <v>13904</v>
      </c>
      <c r="K11031" s="2" t="s">
        <v>18541</v>
      </c>
      <c r="L11031" s="82" t="s">
        <v>20508</v>
      </c>
    </row>
    <row r="11032" spans="1:12" ht="84" customHeight="1" x14ac:dyDescent="0.3">
      <c r="A11032" s="2">
        <v>10991</v>
      </c>
      <c r="B11032" s="66" t="s">
        <v>21031</v>
      </c>
      <c r="C11032" s="66">
        <v>41012600002</v>
      </c>
      <c r="D11032" s="11">
        <v>55526.63</v>
      </c>
      <c r="E11032" s="11">
        <v>0</v>
      </c>
      <c r="F11032" s="3" t="s">
        <v>19746</v>
      </c>
      <c r="G11032" s="2" t="s">
        <v>19747</v>
      </c>
      <c r="H11032" s="2"/>
      <c r="I11032" s="2"/>
      <c r="J11032" s="2" t="s">
        <v>13904</v>
      </c>
      <c r="K11032" s="2" t="s">
        <v>18541</v>
      </c>
      <c r="L11032" s="82" t="s">
        <v>20509</v>
      </c>
    </row>
    <row r="11033" spans="1:12" ht="84" customHeight="1" x14ac:dyDescent="0.3">
      <c r="A11033" s="2">
        <v>10992</v>
      </c>
      <c r="B11033" s="66" t="s">
        <v>21032</v>
      </c>
      <c r="C11033" s="66">
        <v>41012600003</v>
      </c>
      <c r="D11033" s="11">
        <v>55526.63</v>
      </c>
      <c r="E11033" s="11">
        <v>0</v>
      </c>
      <c r="F11033" s="3" t="s">
        <v>19746</v>
      </c>
      <c r="G11033" s="2" t="s">
        <v>19747</v>
      </c>
      <c r="H11033" s="2"/>
      <c r="I11033" s="2"/>
      <c r="J11033" s="2" t="s">
        <v>13904</v>
      </c>
      <c r="K11033" s="2" t="s">
        <v>18541</v>
      </c>
      <c r="L11033" s="82" t="s">
        <v>20509</v>
      </c>
    </row>
    <row r="11034" spans="1:12" ht="84" customHeight="1" x14ac:dyDescent="0.3">
      <c r="A11034" s="2">
        <v>10993</v>
      </c>
      <c r="B11034" s="66" t="s">
        <v>21033</v>
      </c>
      <c r="C11034" s="66">
        <v>41012600004</v>
      </c>
      <c r="D11034" s="11">
        <v>134429.63</v>
      </c>
      <c r="E11034" s="11">
        <v>0</v>
      </c>
      <c r="F11034" s="3" t="s">
        <v>19746</v>
      </c>
      <c r="G11034" s="2" t="s">
        <v>19747</v>
      </c>
      <c r="H11034" s="2"/>
      <c r="I11034" s="2"/>
      <c r="J11034" s="2" t="s">
        <v>13904</v>
      </c>
      <c r="K11034" s="2" t="s">
        <v>18541</v>
      </c>
      <c r="L11034" s="82" t="s">
        <v>20508</v>
      </c>
    </row>
    <row r="11035" spans="1:12" ht="84" customHeight="1" x14ac:dyDescent="0.3">
      <c r="A11035" s="2">
        <v>10994</v>
      </c>
      <c r="B11035" s="66" t="s">
        <v>21034</v>
      </c>
      <c r="C11035" s="66">
        <v>41012600005</v>
      </c>
      <c r="D11035" s="11">
        <v>134429.63</v>
      </c>
      <c r="E11035" s="11">
        <v>0</v>
      </c>
      <c r="F11035" s="3" t="s">
        <v>19746</v>
      </c>
      <c r="G11035" s="2" t="s">
        <v>19747</v>
      </c>
      <c r="H11035" s="2"/>
      <c r="I11035" s="2"/>
      <c r="J11035" s="2" t="s">
        <v>13904</v>
      </c>
      <c r="K11035" s="2" t="s">
        <v>18541</v>
      </c>
      <c r="L11035" s="82" t="s">
        <v>20508</v>
      </c>
    </row>
    <row r="11036" spans="1:12" s="4" customFormat="1" ht="96" customHeight="1" x14ac:dyDescent="0.3">
      <c r="A11036" s="2">
        <v>10995</v>
      </c>
      <c r="B11036" s="82" t="s">
        <v>17979</v>
      </c>
      <c r="C11036" s="82"/>
      <c r="D11036" s="22">
        <v>35144.699999999997</v>
      </c>
      <c r="E11036" s="43">
        <v>35144.699999999997</v>
      </c>
      <c r="F11036" s="153">
        <v>42403</v>
      </c>
      <c r="G11036" s="38" t="s">
        <v>17980</v>
      </c>
      <c r="H11036" s="153">
        <v>43073</v>
      </c>
      <c r="I11036" s="38" t="s">
        <v>19761</v>
      </c>
      <c r="J11036" s="2" t="s">
        <v>13904</v>
      </c>
      <c r="K11036" s="2" t="s">
        <v>18541</v>
      </c>
      <c r="L11036" s="246" t="s">
        <v>22664</v>
      </c>
    </row>
    <row r="11037" spans="1:12" ht="84" customHeight="1" x14ac:dyDescent="0.3">
      <c r="A11037" s="2">
        <v>10996</v>
      </c>
      <c r="B11037" s="66" t="s">
        <v>21035</v>
      </c>
      <c r="C11037" s="66">
        <v>41012600006</v>
      </c>
      <c r="D11037" s="11">
        <v>227922.75</v>
      </c>
      <c r="E11037" s="11">
        <v>0</v>
      </c>
      <c r="F11037" s="3" t="s">
        <v>19746</v>
      </c>
      <c r="G11037" s="2" t="s">
        <v>19747</v>
      </c>
      <c r="H11037" s="2"/>
      <c r="I11037" s="2"/>
      <c r="J11037" s="2" t="s">
        <v>13904</v>
      </c>
      <c r="K11037" s="2" t="s">
        <v>18541</v>
      </c>
      <c r="L11037" s="82" t="s">
        <v>20509</v>
      </c>
    </row>
    <row r="11038" spans="1:12" ht="84" customHeight="1" x14ac:dyDescent="0.3">
      <c r="A11038" s="2">
        <v>10997</v>
      </c>
      <c r="B11038" s="66" t="s">
        <v>21036</v>
      </c>
      <c r="C11038" s="66">
        <v>41012600007</v>
      </c>
      <c r="D11038" s="11">
        <v>56430</v>
      </c>
      <c r="E11038" s="11">
        <v>0</v>
      </c>
      <c r="F11038" s="3" t="s">
        <v>19746</v>
      </c>
      <c r="G11038" s="2" t="s">
        <v>19747</v>
      </c>
      <c r="H11038" s="2"/>
      <c r="I11038" s="2"/>
      <c r="J11038" s="2" t="s">
        <v>13904</v>
      </c>
      <c r="K11038" s="2" t="s">
        <v>18541</v>
      </c>
      <c r="L11038" s="82" t="s">
        <v>20508</v>
      </c>
    </row>
    <row r="11039" spans="1:12" ht="84" customHeight="1" x14ac:dyDescent="0.3">
      <c r="A11039" s="2">
        <v>10998</v>
      </c>
      <c r="B11039" s="66" t="s">
        <v>21037</v>
      </c>
      <c r="C11039" s="66">
        <v>41012600008</v>
      </c>
      <c r="D11039" s="11">
        <v>56430</v>
      </c>
      <c r="E11039" s="11">
        <v>0</v>
      </c>
      <c r="F11039" s="3" t="s">
        <v>19746</v>
      </c>
      <c r="G11039" s="2" t="s">
        <v>19747</v>
      </c>
      <c r="H11039" s="2"/>
      <c r="I11039" s="2"/>
      <c r="J11039" s="2" t="s">
        <v>13904</v>
      </c>
      <c r="K11039" s="2" t="s">
        <v>18541</v>
      </c>
      <c r="L11039" s="82" t="s">
        <v>20508</v>
      </c>
    </row>
    <row r="11040" spans="1:12" ht="84" customHeight="1" x14ac:dyDescent="0.3">
      <c r="A11040" s="2">
        <v>10999</v>
      </c>
      <c r="B11040" s="66" t="s">
        <v>21759</v>
      </c>
      <c r="C11040" s="99" t="s">
        <v>22587</v>
      </c>
      <c r="D11040" s="11">
        <v>423905.6</v>
      </c>
      <c r="E11040" s="11">
        <v>0</v>
      </c>
      <c r="F11040" s="3" t="s">
        <v>19746</v>
      </c>
      <c r="G11040" s="2" t="s">
        <v>19747</v>
      </c>
      <c r="H11040" s="2"/>
      <c r="I11040" s="2"/>
      <c r="J11040" s="2" t="s">
        <v>13904</v>
      </c>
      <c r="K11040" s="2" t="s">
        <v>18541</v>
      </c>
      <c r="L11040" s="82" t="s">
        <v>20509</v>
      </c>
    </row>
    <row r="11041" spans="1:12" ht="84" customHeight="1" x14ac:dyDescent="0.3">
      <c r="A11041" s="2">
        <v>11000</v>
      </c>
      <c r="B11041" s="66" t="s">
        <v>21038</v>
      </c>
      <c r="C11041" s="66">
        <v>41012600010</v>
      </c>
      <c r="D11041" s="11">
        <v>80895.38</v>
      </c>
      <c r="E11041" s="11">
        <v>0</v>
      </c>
      <c r="F11041" s="3">
        <v>42919</v>
      </c>
      <c r="G11041" s="2" t="s">
        <v>19747</v>
      </c>
      <c r="H11041" s="2"/>
      <c r="I11041" s="2"/>
      <c r="J11041" s="2" t="s">
        <v>13904</v>
      </c>
      <c r="K11041" s="2" t="s">
        <v>18541</v>
      </c>
      <c r="L11041" s="82" t="s">
        <v>20509</v>
      </c>
    </row>
    <row r="11042" spans="1:12" ht="84" customHeight="1" x14ac:dyDescent="0.3">
      <c r="A11042" s="2">
        <v>11001</v>
      </c>
      <c r="B11042" s="66" t="s">
        <v>21042</v>
      </c>
      <c r="C11042" s="66">
        <v>41012600011</v>
      </c>
      <c r="D11042" s="11">
        <v>165391.88</v>
      </c>
      <c r="E11042" s="11">
        <v>0</v>
      </c>
      <c r="F11042" s="3">
        <v>42919</v>
      </c>
      <c r="G11042" s="2" t="s">
        <v>19747</v>
      </c>
      <c r="H11042" s="2"/>
      <c r="I11042" s="2"/>
      <c r="J11042" s="2" t="s">
        <v>13904</v>
      </c>
      <c r="K11042" s="2" t="s">
        <v>18541</v>
      </c>
      <c r="L11042" s="82" t="s">
        <v>20508</v>
      </c>
    </row>
    <row r="11043" spans="1:12" ht="84" customHeight="1" x14ac:dyDescent="0.3">
      <c r="A11043" s="2">
        <v>11002</v>
      </c>
      <c r="B11043" s="66" t="s">
        <v>21039</v>
      </c>
      <c r="C11043" s="66">
        <v>41012600012</v>
      </c>
      <c r="D11043" s="11">
        <v>50378.62</v>
      </c>
      <c r="E11043" s="11">
        <v>0</v>
      </c>
      <c r="F11043" s="3">
        <v>42919</v>
      </c>
      <c r="G11043" s="2" t="s">
        <v>19747</v>
      </c>
      <c r="H11043" s="2"/>
      <c r="I11043" s="2"/>
      <c r="J11043" s="2" t="s">
        <v>13904</v>
      </c>
      <c r="K11043" s="2" t="s">
        <v>18541</v>
      </c>
      <c r="L11043" s="82" t="s">
        <v>20509</v>
      </c>
    </row>
    <row r="11044" spans="1:12" ht="84" customHeight="1" x14ac:dyDescent="0.3">
      <c r="A11044" s="2">
        <v>11003</v>
      </c>
      <c r="B11044" s="2" t="s">
        <v>18566</v>
      </c>
      <c r="C11044" s="99"/>
      <c r="D11044" s="11">
        <v>184135.59</v>
      </c>
      <c r="E11044" s="11">
        <v>131126.73000000001</v>
      </c>
      <c r="F11044" s="3">
        <v>42667</v>
      </c>
      <c r="G11044" s="2" t="s">
        <v>16458</v>
      </c>
      <c r="H11044" s="2"/>
      <c r="I11044" s="2"/>
      <c r="J11044" s="2" t="s">
        <v>13904</v>
      </c>
      <c r="K11044" s="2" t="s">
        <v>18565</v>
      </c>
      <c r="L11044" s="2"/>
    </row>
    <row r="11045" spans="1:12" ht="84" customHeight="1" x14ac:dyDescent="0.3">
      <c r="A11045" s="2">
        <v>11004</v>
      </c>
      <c r="B11045" s="66" t="s">
        <v>18698</v>
      </c>
      <c r="C11045" s="66"/>
      <c r="D11045" s="11">
        <v>24635.7</v>
      </c>
      <c r="E11045" s="11">
        <v>24635.7</v>
      </c>
      <c r="F11045" s="3">
        <v>42403</v>
      </c>
      <c r="G11045" s="2" t="s">
        <v>12546</v>
      </c>
      <c r="H11045" s="2"/>
      <c r="I11045" s="2"/>
      <c r="J11045" s="2" t="s">
        <v>13904</v>
      </c>
      <c r="K11045" s="2" t="s">
        <v>18541</v>
      </c>
      <c r="L11045" s="82" t="s">
        <v>18696</v>
      </c>
    </row>
    <row r="11046" spans="1:12" ht="84" customHeight="1" x14ac:dyDescent="0.3">
      <c r="A11046" s="2">
        <v>11005</v>
      </c>
      <c r="B11046" s="66" t="s">
        <v>18699</v>
      </c>
      <c r="C11046" s="66"/>
      <c r="D11046" s="11">
        <v>17660.7</v>
      </c>
      <c r="E11046" s="11">
        <v>17660.7</v>
      </c>
      <c r="F11046" s="3">
        <v>42403</v>
      </c>
      <c r="G11046" s="2" t="s">
        <v>12546</v>
      </c>
      <c r="H11046" s="2"/>
      <c r="I11046" s="2"/>
      <c r="J11046" s="2" t="s">
        <v>13904</v>
      </c>
      <c r="K11046" s="2" t="s">
        <v>18541</v>
      </c>
      <c r="L11046" s="82" t="s">
        <v>18696</v>
      </c>
    </row>
    <row r="11047" spans="1:12" ht="84" customHeight="1" x14ac:dyDescent="0.3">
      <c r="A11047" s="2">
        <v>11006</v>
      </c>
      <c r="B11047" s="66" t="s">
        <v>18700</v>
      </c>
      <c r="C11047" s="66"/>
      <c r="D11047" s="11">
        <v>11522.7</v>
      </c>
      <c r="E11047" s="11">
        <v>11522.7</v>
      </c>
      <c r="F11047" s="3">
        <v>42403</v>
      </c>
      <c r="G11047" s="2" t="s">
        <v>12546</v>
      </c>
      <c r="H11047" s="2"/>
      <c r="I11047" s="2"/>
      <c r="J11047" s="2" t="s">
        <v>13904</v>
      </c>
      <c r="K11047" s="2" t="s">
        <v>18541</v>
      </c>
      <c r="L11047" s="82" t="s">
        <v>18696</v>
      </c>
    </row>
    <row r="11048" spans="1:12" s="4" customFormat="1" ht="84" customHeight="1" x14ac:dyDescent="0.3">
      <c r="A11048" s="2">
        <v>11007</v>
      </c>
      <c r="B11048" s="82" t="s">
        <v>18701</v>
      </c>
      <c r="C11048" s="82"/>
      <c r="D11048" s="22">
        <v>24390</v>
      </c>
      <c r="E11048" s="43">
        <v>24390</v>
      </c>
      <c r="F11048" s="153">
        <v>42403</v>
      </c>
      <c r="G11048" s="38" t="s">
        <v>17980</v>
      </c>
      <c r="H11048" s="6"/>
      <c r="I11048" s="6"/>
      <c r="J11048" s="2" t="s">
        <v>13904</v>
      </c>
      <c r="K11048" s="2" t="s">
        <v>18541</v>
      </c>
      <c r="L11048" s="82" t="s">
        <v>18696</v>
      </c>
    </row>
    <row r="11049" spans="1:12" ht="84" customHeight="1" x14ac:dyDescent="0.3">
      <c r="A11049" s="2">
        <v>11008</v>
      </c>
      <c r="B11049" s="66" t="s">
        <v>18702</v>
      </c>
      <c r="C11049" s="66"/>
      <c r="D11049" s="11">
        <v>31347.46</v>
      </c>
      <c r="E11049" s="11">
        <v>31347.46</v>
      </c>
      <c r="F11049" s="153">
        <v>42403</v>
      </c>
      <c r="G11049" s="38" t="s">
        <v>17980</v>
      </c>
      <c r="H11049" s="2"/>
      <c r="I11049" s="2"/>
      <c r="J11049" s="2" t="s">
        <v>13904</v>
      </c>
      <c r="K11049" s="2" t="s">
        <v>18541</v>
      </c>
      <c r="L11049" s="82" t="s">
        <v>18696</v>
      </c>
    </row>
    <row r="11050" spans="1:12" ht="84" customHeight="1" x14ac:dyDescent="0.3">
      <c r="A11050" s="2">
        <v>11009</v>
      </c>
      <c r="B11050" s="66" t="s">
        <v>18703</v>
      </c>
      <c r="C11050" s="66"/>
      <c r="D11050" s="11">
        <v>11500.25</v>
      </c>
      <c r="E11050" s="11">
        <v>11500.25</v>
      </c>
      <c r="F11050" s="153">
        <v>42403</v>
      </c>
      <c r="G11050" s="38" t="s">
        <v>17980</v>
      </c>
      <c r="H11050" s="2"/>
      <c r="I11050" s="2"/>
      <c r="J11050" s="2" t="s">
        <v>13904</v>
      </c>
      <c r="K11050" s="2" t="s">
        <v>18541</v>
      </c>
      <c r="L11050" s="82" t="s">
        <v>18696</v>
      </c>
    </row>
    <row r="11051" spans="1:12" ht="84" customHeight="1" x14ac:dyDescent="0.3">
      <c r="A11051" s="2">
        <v>11010</v>
      </c>
      <c r="B11051" s="66" t="s">
        <v>18704</v>
      </c>
      <c r="C11051" s="66"/>
      <c r="D11051" s="11">
        <f>21432.18*2</f>
        <v>42864.36</v>
      </c>
      <c r="E11051" s="11">
        <f>21432.18*2</f>
        <v>42864.36</v>
      </c>
      <c r="F11051" s="153">
        <v>42403</v>
      </c>
      <c r="G11051" s="38" t="s">
        <v>17980</v>
      </c>
      <c r="H11051" s="2"/>
      <c r="I11051" s="2"/>
      <c r="J11051" s="2" t="s">
        <v>13904</v>
      </c>
      <c r="K11051" s="2" t="s">
        <v>18541</v>
      </c>
      <c r="L11051" s="82" t="s">
        <v>18696</v>
      </c>
    </row>
    <row r="11052" spans="1:12" ht="84" customHeight="1" x14ac:dyDescent="0.3">
      <c r="A11052" s="2">
        <v>11011</v>
      </c>
      <c r="B11052" s="66" t="s">
        <v>18704</v>
      </c>
      <c r="C11052" s="66"/>
      <c r="D11052" s="11">
        <v>60000</v>
      </c>
      <c r="E11052" s="11">
        <v>60000</v>
      </c>
      <c r="F11052" s="153">
        <v>42403</v>
      </c>
      <c r="G11052" s="38" t="s">
        <v>17980</v>
      </c>
      <c r="H11052" s="2"/>
      <c r="I11052" s="2"/>
      <c r="J11052" s="2" t="s">
        <v>13904</v>
      </c>
      <c r="K11052" s="2" t="s">
        <v>18541</v>
      </c>
      <c r="L11052" s="82" t="s">
        <v>18696</v>
      </c>
    </row>
    <row r="11053" spans="1:12" ht="96" customHeight="1" x14ac:dyDescent="0.3">
      <c r="A11053" s="2">
        <v>11012</v>
      </c>
      <c r="B11053" s="66" t="s">
        <v>18705</v>
      </c>
      <c r="C11053" s="66"/>
      <c r="D11053" s="11">
        <v>13889.83</v>
      </c>
      <c r="E11053" s="11">
        <v>13889.83</v>
      </c>
      <c r="F11053" s="153">
        <v>42403</v>
      </c>
      <c r="G11053" s="38" t="s">
        <v>17980</v>
      </c>
      <c r="H11053" s="153">
        <v>43073</v>
      </c>
      <c r="I11053" s="38" t="s">
        <v>19761</v>
      </c>
      <c r="J11053" s="2" t="s">
        <v>13904</v>
      </c>
      <c r="K11053" s="2" t="s">
        <v>18541</v>
      </c>
      <c r="L11053" s="246"/>
    </row>
    <row r="11054" spans="1:12" ht="84" customHeight="1" x14ac:dyDescent="0.3">
      <c r="A11054" s="2">
        <v>11013</v>
      </c>
      <c r="B11054" s="66" t="s">
        <v>18706</v>
      </c>
      <c r="C11054" s="66"/>
      <c r="D11054" s="11">
        <v>88983.05</v>
      </c>
      <c r="E11054" s="11">
        <v>88983.05</v>
      </c>
      <c r="F11054" s="153">
        <v>42403</v>
      </c>
      <c r="G11054" s="38" t="s">
        <v>17980</v>
      </c>
      <c r="H11054" s="2"/>
      <c r="I11054" s="2"/>
      <c r="J11054" s="2" t="s">
        <v>13904</v>
      </c>
      <c r="K11054" s="2" t="s">
        <v>18541</v>
      </c>
      <c r="L11054" s="82" t="s">
        <v>18696</v>
      </c>
    </row>
    <row r="11055" spans="1:12" ht="84" customHeight="1" x14ac:dyDescent="0.3">
      <c r="A11055" s="2">
        <v>11014</v>
      </c>
      <c r="B11055" s="66" t="s">
        <v>18895</v>
      </c>
      <c r="C11055" s="66" t="s">
        <v>21865</v>
      </c>
      <c r="D11055" s="11">
        <v>450000</v>
      </c>
      <c r="E11055" s="11">
        <v>131250</v>
      </c>
      <c r="F11055" s="3">
        <v>42745</v>
      </c>
      <c r="G11055" s="2" t="s">
        <v>18896</v>
      </c>
      <c r="H11055" s="2"/>
      <c r="I11055" s="2"/>
      <c r="J11055" s="2" t="s">
        <v>13904</v>
      </c>
      <c r="K11055" s="2" t="s">
        <v>18899</v>
      </c>
      <c r="L11055" s="82"/>
    </row>
    <row r="11056" spans="1:12" ht="84" customHeight="1" x14ac:dyDescent="0.3">
      <c r="A11056" s="2">
        <v>11015</v>
      </c>
      <c r="B11056" s="66" t="s">
        <v>18897</v>
      </c>
      <c r="C11056" s="66" t="s">
        <v>21866</v>
      </c>
      <c r="D11056" s="11">
        <v>310000</v>
      </c>
      <c r="E11056" s="11">
        <v>12916.66</v>
      </c>
      <c r="F11056" s="3">
        <v>42745</v>
      </c>
      <c r="G11056" s="2" t="s">
        <v>18896</v>
      </c>
      <c r="H11056" s="2"/>
      <c r="I11056" s="2"/>
      <c r="J11056" s="2" t="s">
        <v>13904</v>
      </c>
      <c r="K11056" s="2" t="s">
        <v>18899</v>
      </c>
      <c r="L11056" s="82"/>
    </row>
    <row r="11057" spans="1:12" ht="84" customHeight="1" x14ac:dyDescent="0.3">
      <c r="A11057" s="2">
        <v>11016</v>
      </c>
      <c r="B11057" s="66" t="s">
        <v>18898</v>
      </c>
      <c r="C11057" s="66" t="s">
        <v>21867</v>
      </c>
      <c r="D11057" s="11">
        <v>458474.58</v>
      </c>
      <c r="E11057" s="11">
        <v>298008.36</v>
      </c>
      <c r="F11057" s="3">
        <v>42745</v>
      </c>
      <c r="G11057" s="2" t="s">
        <v>18896</v>
      </c>
      <c r="H11057" s="2"/>
      <c r="I11057" s="2"/>
      <c r="J11057" s="2" t="s">
        <v>13904</v>
      </c>
      <c r="K11057" s="2" t="s">
        <v>18899</v>
      </c>
      <c r="L11057" s="82"/>
    </row>
    <row r="11058" spans="1:12" ht="84" customHeight="1" x14ac:dyDescent="0.3">
      <c r="A11058" s="2">
        <v>11017</v>
      </c>
      <c r="B11058" s="66" t="s">
        <v>19760</v>
      </c>
      <c r="C11058" s="66"/>
      <c r="D11058" s="11">
        <f>22046.59*31</f>
        <v>683444.29</v>
      </c>
      <c r="E11058" s="11">
        <f>22046.59*31</f>
        <v>683444.29</v>
      </c>
      <c r="F11058" s="153">
        <v>42881</v>
      </c>
      <c r="G11058" s="38" t="s">
        <v>19176</v>
      </c>
      <c r="H11058" s="2"/>
      <c r="I11058" s="2"/>
      <c r="J11058" s="2" t="s">
        <v>13904</v>
      </c>
      <c r="K11058" s="2" t="s">
        <v>18541</v>
      </c>
      <c r="L11058" s="82" t="s">
        <v>19175</v>
      </c>
    </row>
    <row r="11059" spans="1:12" ht="84" customHeight="1" x14ac:dyDescent="0.3">
      <c r="A11059" s="2">
        <v>11018</v>
      </c>
      <c r="B11059" s="66" t="s">
        <v>19177</v>
      </c>
      <c r="C11059" s="66"/>
      <c r="D11059" s="11">
        <v>37483.33</v>
      </c>
      <c r="E11059" s="11">
        <v>37483.33</v>
      </c>
      <c r="F11059" s="153">
        <v>42881</v>
      </c>
      <c r="G11059" s="38" t="s">
        <v>19176</v>
      </c>
      <c r="H11059" s="2"/>
      <c r="I11059" s="2"/>
      <c r="J11059" s="2" t="s">
        <v>13904</v>
      </c>
      <c r="K11059" s="2" t="s">
        <v>18541</v>
      </c>
      <c r="L11059" s="82" t="s">
        <v>19175</v>
      </c>
    </row>
    <row r="11060" spans="1:12" ht="84" customHeight="1" x14ac:dyDescent="0.3">
      <c r="A11060" s="2">
        <v>11019</v>
      </c>
      <c r="B11060" s="66" t="s">
        <v>19178</v>
      </c>
      <c r="C11060" s="66"/>
      <c r="D11060" s="11">
        <v>66476.600000000006</v>
      </c>
      <c r="E11060" s="11">
        <v>0</v>
      </c>
      <c r="F11060" s="153">
        <v>42881</v>
      </c>
      <c r="G11060" s="38" t="s">
        <v>19176</v>
      </c>
      <c r="H11060" s="2"/>
      <c r="I11060" s="2"/>
      <c r="J11060" s="2" t="s">
        <v>13904</v>
      </c>
      <c r="K11060" s="2" t="s">
        <v>18541</v>
      </c>
      <c r="L11060" s="82" t="s">
        <v>19175</v>
      </c>
    </row>
    <row r="11061" spans="1:12" ht="84" customHeight="1" x14ac:dyDescent="0.3">
      <c r="A11061" s="2">
        <v>11020</v>
      </c>
      <c r="B11061" s="66" t="s">
        <v>19179</v>
      </c>
      <c r="C11061" s="66"/>
      <c r="D11061" s="11">
        <v>102756.68</v>
      </c>
      <c r="E11061" s="11">
        <v>0</v>
      </c>
      <c r="F11061" s="153">
        <v>42881</v>
      </c>
      <c r="G11061" s="38" t="s">
        <v>19176</v>
      </c>
      <c r="H11061" s="2"/>
      <c r="I11061" s="2"/>
      <c r="J11061" s="2" t="s">
        <v>13904</v>
      </c>
      <c r="K11061" s="2" t="s">
        <v>18541</v>
      </c>
      <c r="L11061" s="82" t="s">
        <v>19175</v>
      </c>
    </row>
    <row r="11062" spans="1:12" ht="84" customHeight="1" x14ac:dyDescent="0.3">
      <c r="A11062" s="2">
        <v>11021</v>
      </c>
      <c r="B11062" s="66" t="s">
        <v>19180</v>
      </c>
      <c r="C11062" s="66"/>
      <c r="D11062" s="11">
        <v>135000</v>
      </c>
      <c r="E11062" s="11">
        <v>0</v>
      </c>
      <c r="F11062" s="153">
        <v>42886</v>
      </c>
      <c r="G11062" s="38" t="s">
        <v>19181</v>
      </c>
      <c r="H11062" s="2"/>
      <c r="I11062" s="2"/>
      <c r="J11062" s="2" t="s">
        <v>13904</v>
      </c>
      <c r="K11062" s="2" t="s">
        <v>18541</v>
      </c>
      <c r="L11062" s="82" t="s">
        <v>19175</v>
      </c>
    </row>
    <row r="11063" spans="1:12" ht="84" customHeight="1" x14ac:dyDescent="0.3">
      <c r="A11063" s="2">
        <v>11022</v>
      </c>
      <c r="B11063" s="66" t="s">
        <v>19180</v>
      </c>
      <c r="C11063" s="66"/>
      <c r="D11063" s="11">
        <v>135000</v>
      </c>
      <c r="E11063" s="11">
        <v>0</v>
      </c>
      <c r="F11063" s="153">
        <v>42886</v>
      </c>
      <c r="G11063" s="38" t="s">
        <v>19181</v>
      </c>
      <c r="H11063" s="2"/>
      <c r="I11063" s="2"/>
      <c r="J11063" s="2" t="s">
        <v>13904</v>
      </c>
      <c r="K11063" s="2" t="s">
        <v>18541</v>
      </c>
      <c r="L11063" s="82" t="s">
        <v>19175</v>
      </c>
    </row>
    <row r="11064" spans="1:12" ht="84" customHeight="1" x14ac:dyDescent="0.3">
      <c r="A11064" s="2">
        <v>11023</v>
      </c>
      <c r="B11064" s="66" t="s">
        <v>19180</v>
      </c>
      <c r="C11064" s="66"/>
      <c r="D11064" s="11">
        <v>135000</v>
      </c>
      <c r="E11064" s="11">
        <v>0</v>
      </c>
      <c r="F11064" s="153">
        <v>42886</v>
      </c>
      <c r="G11064" s="38" t="s">
        <v>19181</v>
      </c>
      <c r="H11064" s="2"/>
      <c r="I11064" s="2"/>
      <c r="J11064" s="2" t="s">
        <v>13904</v>
      </c>
      <c r="K11064" s="2" t="s">
        <v>18541</v>
      </c>
      <c r="L11064" s="82" t="s">
        <v>19175</v>
      </c>
    </row>
    <row r="11065" spans="1:12" ht="84" customHeight="1" x14ac:dyDescent="0.3">
      <c r="A11065" s="2">
        <v>11024</v>
      </c>
      <c r="B11065" s="66" t="s">
        <v>19180</v>
      </c>
      <c r="C11065" s="66"/>
      <c r="D11065" s="11">
        <v>135000</v>
      </c>
      <c r="E11065" s="11">
        <v>0</v>
      </c>
      <c r="F11065" s="153">
        <v>42886</v>
      </c>
      <c r="G11065" s="38" t="s">
        <v>19181</v>
      </c>
      <c r="H11065" s="2"/>
      <c r="I11065" s="2"/>
      <c r="J11065" s="2" t="s">
        <v>13904</v>
      </c>
      <c r="K11065" s="2" t="s">
        <v>18541</v>
      </c>
      <c r="L11065" s="82" t="s">
        <v>19175</v>
      </c>
    </row>
    <row r="11066" spans="1:12" ht="84" customHeight="1" x14ac:dyDescent="0.3">
      <c r="A11066" s="2">
        <v>11025</v>
      </c>
      <c r="B11066" s="66" t="s">
        <v>19182</v>
      </c>
      <c r="C11066" s="66"/>
      <c r="D11066" s="11">
        <v>74863.33</v>
      </c>
      <c r="E11066" s="11">
        <v>0</v>
      </c>
      <c r="F11066" s="153">
        <v>42886</v>
      </c>
      <c r="G11066" s="38" t="s">
        <v>19181</v>
      </c>
      <c r="H11066" s="2"/>
      <c r="I11066" s="2"/>
      <c r="J11066" s="2" t="s">
        <v>13904</v>
      </c>
      <c r="K11066" s="2" t="s">
        <v>18541</v>
      </c>
      <c r="L11066" s="82" t="s">
        <v>19175</v>
      </c>
    </row>
    <row r="11067" spans="1:12" ht="96" customHeight="1" x14ac:dyDescent="0.3">
      <c r="A11067" s="2">
        <v>11026</v>
      </c>
      <c r="B11067" s="66" t="s">
        <v>19184</v>
      </c>
      <c r="C11067" s="66"/>
      <c r="D11067" s="11">
        <v>2500000</v>
      </c>
      <c r="E11067" s="11">
        <v>0</v>
      </c>
      <c r="F11067" s="3">
        <v>42877</v>
      </c>
      <c r="G11067" s="2" t="s">
        <v>19183</v>
      </c>
      <c r="H11067" s="2"/>
      <c r="I11067" s="2"/>
      <c r="J11067" s="2" t="s">
        <v>13904</v>
      </c>
      <c r="K11067" s="2" t="s">
        <v>19185</v>
      </c>
      <c r="L11067" s="82" t="s">
        <v>19710</v>
      </c>
    </row>
    <row r="11068" spans="1:12" ht="84" customHeight="1" x14ac:dyDescent="0.3">
      <c r="A11068" s="2">
        <v>11027</v>
      </c>
      <c r="B11068" s="66" t="s">
        <v>19188</v>
      </c>
      <c r="C11068" s="66"/>
      <c r="D11068" s="11">
        <v>153450.9</v>
      </c>
      <c r="E11068" s="11">
        <v>153450.9</v>
      </c>
      <c r="F11068" s="3">
        <v>42899</v>
      </c>
      <c r="G11068" s="2" t="s">
        <v>19186</v>
      </c>
      <c r="H11068" s="2"/>
      <c r="I11068" s="2"/>
      <c r="J11068" s="2" t="s">
        <v>13904</v>
      </c>
      <c r="K11068" s="2" t="s">
        <v>18541</v>
      </c>
      <c r="L11068" s="82" t="s">
        <v>19187</v>
      </c>
    </row>
    <row r="11069" spans="1:12" ht="84" customHeight="1" x14ac:dyDescent="0.3">
      <c r="A11069" s="2">
        <v>11028</v>
      </c>
      <c r="B11069" s="66" t="s">
        <v>19189</v>
      </c>
      <c r="C11069" s="66"/>
      <c r="D11069" s="11">
        <v>119838.42</v>
      </c>
      <c r="E11069" s="11">
        <v>119838.42</v>
      </c>
      <c r="F11069" s="3">
        <v>42899</v>
      </c>
      <c r="G11069" s="2" t="s">
        <v>19186</v>
      </c>
      <c r="H11069" s="2"/>
      <c r="I11069" s="2"/>
      <c r="J11069" s="2" t="s">
        <v>13904</v>
      </c>
      <c r="K11069" s="2" t="s">
        <v>18541</v>
      </c>
      <c r="L11069" s="82" t="s">
        <v>19187</v>
      </c>
    </row>
    <row r="11070" spans="1:12" ht="84" customHeight="1" x14ac:dyDescent="0.3">
      <c r="A11070" s="2">
        <v>11029</v>
      </c>
      <c r="B11070" s="66" t="s">
        <v>19190</v>
      </c>
      <c r="C11070" s="66"/>
      <c r="D11070" s="11">
        <v>28162.2</v>
      </c>
      <c r="E11070" s="11">
        <v>28162.2</v>
      </c>
      <c r="F11070" s="3">
        <v>42899</v>
      </c>
      <c r="G11070" s="2" t="s">
        <v>19186</v>
      </c>
      <c r="H11070" s="2"/>
      <c r="I11070" s="2"/>
      <c r="J11070" s="2" t="s">
        <v>13904</v>
      </c>
      <c r="K11070" s="2" t="s">
        <v>18541</v>
      </c>
      <c r="L11070" s="82" t="s">
        <v>19187</v>
      </c>
    </row>
    <row r="11071" spans="1:12" ht="84" customHeight="1" x14ac:dyDescent="0.3">
      <c r="A11071" s="2">
        <v>11030</v>
      </c>
      <c r="B11071" s="66" t="s">
        <v>19191</v>
      </c>
      <c r="C11071" s="66"/>
      <c r="D11071" s="11">
        <v>272839.28000000003</v>
      </c>
      <c r="E11071" s="11">
        <v>272839.28000000003</v>
      </c>
      <c r="F11071" s="3">
        <v>42899</v>
      </c>
      <c r="G11071" s="2" t="s">
        <v>19186</v>
      </c>
      <c r="H11071" s="2"/>
      <c r="I11071" s="2"/>
      <c r="J11071" s="2" t="s">
        <v>13904</v>
      </c>
      <c r="K11071" s="2" t="s">
        <v>18541</v>
      </c>
      <c r="L11071" s="82" t="s">
        <v>19187</v>
      </c>
    </row>
    <row r="11072" spans="1:12" ht="84" customHeight="1" x14ac:dyDescent="0.3">
      <c r="A11072" s="2">
        <v>11031</v>
      </c>
      <c r="B11072" s="66" t="s">
        <v>19192</v>
      </c>
      <c r="C11072" s="66"/>
      <c r="D11072" s="11">
        <v>95282.11</v>
      </c>
      <c r="E11072" s="11">
        <v>95282.11</v>
      </c>
      <c r="F11072" s="3">
        <v>42899</v>
      </c>
      <c r="G11072" s="2" t="s">
        <v>19186</v>
      </c>
      <c r="H11072" s="2"/>
      <c r="I11072" s="2"/>
      <c r="J11072" s="2" t="s">
        <v>13904</v>
      </c>
      <c r="K11072" s="2" t="s">
        <v>18541</v>
      </c>
      <c r="L11072" s="82" t="s">
        <v>19187</v>
      </c>
    </row>
    <row r="11073" spans="1:12" ht="84" customHeight="1" x14ac:dyDescent="0.3">
      <c r="A11073" s="2">
        <v>11032</v>
      </c>
      <c r="B11073" s="66" t="s">
        <v>19193</v>
      </c>
      <c r="C11073" s="66"/>
      <c r="D11073" s="11">
        <v>237143.32</v>
      </c>
      <c r="E11073" s="11">
        <v>0</v>
      </c>
      <c r="F11073" s="3">
        <v>42915</v>
      </c>
      <c r="G11073" s="2" t="s">
        <v>19194</v>
      </c>
      <c r="H11073" s="2"/>
      <c r="I11073" s="2"/>
      <c r="J11073" s="2" t="s">
        <v>13904</v>
      </c>
      <c r="K11073" s="2" t="s">
        <v>18541</v>
      </c>
      <c r="L11073" s="82" t="s">
        <v>19187</v>
      </c>
    </row>
    <row r="11074" spans="1:12" ht="84" customHeight="1" x14ac:dyDescent="0.3">
      <c r="A11074" s="2">
        <v>11033</v>
      </c>
      <c r="B11074" s="66" t="s">
        <v>19195</v>
      </c>
      <c r="C11074" s="66"/>
      <c r="D11074" s="11">
        <v>395512.5</v>
      </c>
      <c r="E11074" s="11">
        <v>0</v>
      </c>
      <c r="F11074" s="3">
        <v>42915</v>
      </c>
      <c r="G11074" s="2" t="s">
        <v>19194</v>
      </c>
      <c r="H11074" s="2"/>
      <c r="I11074" s="2"/>
      <c r="J11074" s="2" t="s">
        <v>13904</v>
      </c>
      <c r="K11074" s="2" t="s">
        <v>18541</v>
      </c>
      <c r="L11074" s="82" t="s">
        <v>19187</v>
      </c>
    </row>
    <row r="11075" spans="1:12" ht="84" customHeight="1" x14ac:dyDescent="0.3">
      <c r="A11075" s="2">
        <v>11034</v>
      </c>
      <c r="B11075" s="66" t="s">
        <v>19195</v>
      </c>
      <c r="C11075" s="66"/>
      <c r="D11075" s="11">
        <v>395512.5</v>
      </c>
      <c r="E11075" s="11">
        <v>0</v>
      </c>
      <c r="F11075" s="3">
        <v>42915</v>
      </c>
      <c r="G11075" s="2" t="s">
        <v>19194</v>
      </c>
      <c r="H11075" s="2"/>
      <c r="I11075" s="2"/>
      <c r="J11075" s="2" t="s">
        <v>13904</v>
      </c>
      <c r="K11075" s="2" t="s">
        <v>18541</v>
      </c>
      <c r="L11075" s="82" t="s">
        <v>19187</v>
      </c>
    </row>
    <row r="11076" spans="1:12" ht="84" customHeight="1" x14ac:dyDescent="0.3">
      <c r="A11076" s="2">
        <v>11035</v>
      </c>
      <c r="B11076" s="66" t="s">
        <v>19196</v>
      </c>
      <c r="C11076" s="66"/>
      <c r="D11076" s="11">
        <v>61026.66</v>
      </c>
      <c r="E11076" s="11">
        <v>0</v>
      </c>
      <c r="F11076" s="3">
        <v>42915</v>
      </c>
      <c r="G11076" s="2" t="s">
        <v>19194</v>
      </c>
      <c r="H11076" s="2"/>
      <c r="I11076" s="2"/>
      <c r="J11076" s="2" t="s">
        <v>13904</v>
      </c>
      <c r="K11076" s="2" t="s">
        <v>18541</v>
      </c>
      <c r="L11076" s="82" t="s">
        <v>19187</v>
      </c>
    </row>
    <row r="11077" spans="1:12" ht="84" customHeight="1" x14ac:dyDescent="0.3">
      <c r="A11077" s="205">
        <v>11036</v>
      </c>
      <c r="B11077" s="245" t="s">
        <v>19196</v>
      </c>
      <c r="C11077" s="245"/>
      <c r="D11077" s="244">
        <v>61026.66</v>
      </c>
      <c r="E11077" s="244">
        <v>0</v>
      </c>
      <c r="F11077" s="243">
        <v>42915</v>
      </c>
      <c r="G11077" s="242" t="s">
        <v>19194</v>
      </c>
      <c r="H11077" s="242"/>
      <c r="I11077" s="242"/>
      <c r="J11077" s="242" t="s">
        <v>13904</v>
      </c>
      <c r="K11077" s="242" t="s">
        <v>18541</v>
      </c>
      <c r="L11077" s="246" t="s">
        <v>19187</v>
      </c>
    </row>
    <row r="11078" spans="1:12" ht="96" customHeight="1" x14ac:dyDescent="0.3">
      <c r="A11078" s="2">
        <v>11037</v>
      </c>
      <c r="B11078" s="82" t="s">
        <v>20429</v>
      </c>
      <c r="C11078" s="82">
        <v>41013600260</v>
      </c>
      <c r="D11078" s="22">
        <v>28530</v>
      </c>
      <c r="E11078" s="2"/>
      <c r="F11078" s="3" t="s">
        <v>20392</v>
      </c>
      <c r="G11078" s="2" t="s">
        <v>20511</v>
      </c>
      <c r="H11078" s="2"/>
      <c r="I11078" s="2"/>
      <c r="J11078" s="2" t="s">
        <v>13904</v>
      </c>
      <c r="K11078" s="2" t="s">
        <v>20750</v>
      </c>
      <c r="L11078" s="82" t="s">
        <v>22664</v>
      </c>
    </row>
    <row r="11079" spans="1:12" ht="96" customHeight="1" x14ac:dyDescent="0.3">
      <c r="A11079" s="2">
        <v>11038</v>
      </c>
      <c r="B11079" s="82" t="s">
        <v>20394</v>
      </c>
      <c r="C11079" s="82">
        <v>41013600262</v>
      </c>
      <c r="D11079" s="22">
        <v>19500</v>
      </c>
      <c r="E11079" s="2"/>
      <c r="F11079" s="3" t="s">
        <v>20392</v>
      </c>
      <c r="G11079" s="2" t="s">
        <v>20511</v>
      </c>
      <c r="H11079" s="2"/>
      <c r="I11079" s="2"/>
      <c r="J11079" s="2" t="s">
        <v>13904</v>
      </c>
      <c r="K11079" s="2" t="s">
        <v>20750</v>
      </c>
      <c r="L11079" s="246" t="s">
        <v>22664</v>
      </c>
    </row>
    <row r="11080" spans="1:12" ht="96" customHeight="1" x14ac:dyDescent="0.3">
      <c r="A11080" s="2">
        <v>11039</v>
      </c>
      <c r="B11080" s="82" t="s">
        <v>20395</v>
      </c>
      <c r="C11080" s="82">
        <v>41013600264</v>
      </c>
      <c r="D11080" s="22">
        <v>19500</v>
      </c>
      <c r="E11080" s="2"/>
      <c r="F11080" s="3" t="s">
        <v>20392</v>
      </c>
      <c r="G11080" s="2" t="s">
        <v>20511</v>
      </c>
      <c r="H11080" s="2"/>
      <c r="I11080" s="2"/>
      <c r="J11080" s="2" t="s">
        <v>13904</v>
      </c>
      <c r="K11080" s="2" t="s">
        <v>20750</v>
      </c>
      <c r="L11080" s="246" t="s">
        <v>22664</v>
      </c>
    </row>
    <row r="11081" spans="1:12" ht="96" customHeight="1" x14ac:dyDescent="0.3">
      <c r="A11081" s="2">
        <v>11040</v>
      </c>
      <c r="B11081" s="82" t="s">
        <v>20396</v>
      </c>
      <c r="C11081" s="82">
        <v>41013600261</v>
      </c>
      <c r="D11081" s="22">
        <v>19500</v>
      </c>
      <c r="E11081" s="2"/>
      <c r="F11081" s="3" t="s">
        <v>20392</v>
      </c>
      <c r="G11081" s="2" t="s">
        <v>20511</v>
      </c>
      <c r="H11081" s="2"/>
      <c r="I11081" s="2"/>
      <c r="J11081" s="2" t="s">
        <v>13904</v>
      </c>
      <c r="K11081" s="2" t="s">
        <v>20750</v>
      </c>
      <c r="L11081" s="246" t="s">
        <v>22664</v>
      </c>
    </row>
    <row r="11082" spans="1:12" ht="96" customHeight="1" x14ac:dyDescent="0.3">
      <c r="A11082" s="2">
        <v>11041</v>
      </c>
      <c r="B11082" s="82" t="s">
        <v>20397</v>
      </c>
      <c r="C11082" s="82">
        <v>21013600015</v>
      </c>
      <c r="D11082" s="22">
        <v>9384.83</v>
      </c>
      <c r="E11082" s="2"/>
      <c r="F11082" s="3" t="s">
        <v>20392</v>
      </c>
      <c r="G11082" s="2" t="s">
        <v>20511</v>
      </c>
      <c r="H11082" s="2"/>
      <c r="I11082" s="2"/>
      <c r="J11082" s="2" t="s">
        <v>13904</v>
      </c>
      <c r="K11082" s="2" t="s">
        <v>20750</v>
      </c>
      <c r="L11082" s="246" t="s">
        <v>22664</v>
      </c>
    </row>
    <row r="11083" spans="1:12" ht="96" customHeight="1" x14ac:dyDescent="0.3">
      <c r="A11083" s="2">
        <v>11042</v>
      </c>
      <c r="B11083" s="82" t="s">
        <v>20398</v>
      </c>
      <c r="C11083" s="82">
        <v>41013600267</v>
      </c>
      <c r="D11083" s="22">
        <v>10950</v>
      </c>
      <c r="E11083" s="2"/>
      <c r="F11083" s="3" t="s">
        <v>20392</v>
      </c>
      <c r="G11083" s="2" t="s">
        <v>20511</v>
      </c>
      <c r="H11083" s="2"/>
      <c r="I11083" s="2"/>
      <c r="J11083" s="2" t="s">
        <v>13904</v>
      </c>
      <c r="K11083" s="2" t="s">
        <v>20750</v>
      </c>
      <c r="L11083" s="246" t="s">
        <v>22664</v>
      </c>
    </row>
    <row r="11084" spans="1:12" ht="96" customHeight="1" x14ac:dyDescent="0.3">
      <c r="A11084" s="2">
        <v>11043</v>
      </c>
      <c r="B11084" s="82" t="s">
        <v>20399</v>
      </c>
      <c r="C11084" s="82">
        <v>41013600266</v>
      </c>
      <c r="D11084" s="22">
        <v>10950</v>
      </c>
      <c r="E11084" s="2"/>
      <c r="F11084" s="3" t="s">
        <v>20392</v>
      </c>
      <c r="G11084" s="2" t="s">
        <v>20511</v>
      </c>
      <c r="H11084" s="2"/>
      <c r="I11084" s="2"/>
      <c r="J11084" s="2" t="s">
        <v>13904</v>
      </c>
      <c r="K11084" s="2" t="s">
        <v>20750</v>
      </c>
      <c r="L11084" s="246" t="s">
        <v>22664</v>
      </c>
    </row>
    <row r="11085" spans="1:12" ht="96" customHeight="1" x14ac:dyDescent="0.3">
      <c r="A11085" s="2">
        <v>11044</v>
      </c>
      <c r="B11085" s="82" t="s">
        <v>20400</v>
      </c>
      <c r="C11085" s="82">
        <v>41013600268</v>
      </c>
      <c r="D11085" s="22">
        <v>10950</v>
      </c>
      <c r="E11085" s="2"/>
      <c r="F11085" s="3" t="s">
        <v>20392</v>
      </c>
      <c r="G11085" s="2" t="s">
        <v>20511</v>
      </c>
      <c r="H11085" s="2"/>
      <c r="I11085" s="2"/>
      <c r="J11085" s="2" t="s">
        <v>13904</v>
      </c>
      <c r="K11085" s="2" t="s">
        <v>20750</v>
      </c>
      <c r="L11085" s="246" t="s">
        <v>22664</v>
      </c>
    </row>
    <row r="11086" spans="1:12" ht="96" customHeight="1" x14ac:dyDescent="0.3">
      <c r="A11086" s="2">
        <v>11045</v>
      </c>
      <c r="B11086" s="82" t="s">
        <v>20401</v>
      </c>
      <c r="C11086" s="82">
        <v>41013600269</v>
      </c>
      <c r="D11086" s="22">
        <v>10950</v>
      </c>
      <c r="E11086" s="2"/>
      <c r="F11086" s="3" t="s">
        <v>20392</v>
      </c>
      <c r="G11086" s="2" t="s">
        <v>20511</v>
      </c>
      <c r="H11086" s="2"/>
      <c r="I11086" s="2"/>
      <c r="J11086" s="2" t="s">
        <v>13904</v>
      </c>
      <c r="K11086" s="2" t="s">
        <v>20750</v>
      </c>
      <c r="L11086" s="246" t="s">
        <v>22664</v>
      </c>
    </row>
    <row r="11087" spans="1:12" ht="96" customHeight="1" x14ac:dyDescent="0.3">
      <c r="A11087" s="2">
        <v>11046</v>
      </c>
      <c r="B11087" s="82" t="s">
        <v>20401</v>
      </c>
      <c r="C11087" s="82">
        <v>41013600270</v>
      </c>
      <c r="D11087" s="22">
        <v>10950</v>
      </c>
      <c r="E11087" s="2"/>
      <c r="F11087" s="3" t="s">
        <v>20392</v>
      </c>
      <c r="G11087" s="2" t="s">
        <v>20511</v>
      </c>
      <c r="H11087" s="2"/>
      <c r="I11087" s="2"/>
      <c r="J11087" s="2" t="s">
        <v>13904</v>
      </c>
      <c r="K11087" s="2" t="s">
        <v>20750</v>
      </c>
      <c r="L11087" s="246" t="s">
        <v>22664</v>
      </c>
    </row>
    <row r="11088" spans="1:12" ht="96" customHeight="1" x14ac:dyDescent="0.3">
      <c r="A11088" s="2">
        <v>11047</v>
      </c>
      <c r="B11088" s="82" t="s">
        <v>23225</v>
      </c>
      <c r="C11088" s="82">
        <v>41013600271</v>
      </c>
      <c r="D11088" s="22">
        <v>45360</v>
      </c>
      <c r="E11088" s="244">
        <v>3240</v>
      </c>
      <c r="F11088" s="3" t="s">
        <v>20392</v>
      </c>
      <c r="G11088" s="2" t="s">
        <v>20511</v>
      </c>
      <c r="H11088" s="2"/>
      <c r="I11088" s="2"/>
      <c r="J11088" s="2" t="s">
        <v>13904</v>
      </c>
      <c r="K11088" s="2" t="s">
        <v>20750</v>
      </c>
      <c r="L11088" s="246" t="s">
        <v>23224</v>
      </c>
    </row>
    <row r="11089" spans="1:12" ht="96" customHeight="1" x14ac:dyDescent="0.3">
      <c r="A11089" s="2">
        <v>11048</v>
      </c>
      <c r="B11089" s="82" t="s">
        <v>20402</v>
      </c>
      <c r="C11089" s="82">
        <v>21013600008</v>
      </c>
      <c r="D11089" s="22">
        <v>36150</v>
      </c>
      <c r="E11089" s="2"/>
      <c r="F11089" s="3" t="s">
        <v>20392</v>
      </c>
      <c r="G11089" s="2" t="s">
        <v>20511</v>
      </c>
      <c r="H11089" s="2"/>
      <c r="I11089" s="2"/>
      <c r="J11089" s="2" t="s">
        <v>13904</v>
      </c>
      <c r="K11089" s="2" t="s">
        <v>20750</v>
      </c>
      <c r="L11089" s="246" t="s">
        <v>22664</v>
      </c>
    </row>
    <row r="11090" spans="1:12" ht="96" customHeight="1" x14ac:dyDescent="0.3">
      <c r="A11090" s="2">
        <v>11049</v>
      </c>
      <c r="B11090" s="82" t="s">
        <v>20403</v>
      </c>
      <c r="C11090" s="82">
        <v>41013600273</v>
      </c>
      <c r="D11090" s="22">
        <v>40520</v>
      </c>
      <c r="E11090" s="2"/>
      <c r="F11090" s="3" t="s">
        <v>20392</v>
      </c>
      <c r="G11090" s="2" t="s">
        <v>20511</v>
      </c>
      <c r="H11090" s="2"/>
      <c r="I11090" s="2"/>
      <c r="J11090" s="2" t="s">
        <v>13904</v>
      </c>
      <c r="K11090" s="2" t="s">
        <v>20750</v>
      </c>
      <c r="L11090" s="246" t="s">
        <v>22664</v>
      </c>
    </row>
    <row r="11091" spans="1:12" ht="96" customHeight="1" x14ac:dyDescent="0.3">
      <c r="A11091" s="2">
        <v>11050</v>
      </c>
      <c r="B11091" s="82" t="s">
        <v>20404</v>
      </c>
      <c r="C11091" s="82">
        <v>41013600277</v>
      </c>
      <c r="D11091" s="22">
        <v>14700</v>
      </c>
      <c r="E11091" s="2"/>
      <c r="F11091" s="3" t="s">
        <v>20392</v>
      </c>
      <c r="G11091" s="2" t="s">
        <v>20511</v>
      </c>
      <c r="H11091" s="2"/>
      <c r="I11091" s="2"/>
      <c r="J11091" s="2" t="s">
        <v>13904</v>
      </c>
      <c r="K11091" s="2" t="s">
        <v>20750</v>
      </c>
      <c r="L11091" s="82" t="s">
        <v>22280</v>
      </c>
    </row>
    <row r="11092" spans="1:12" ht="96" customHeight="1" x14ac:dyDescent="0.3">
      <c r="A11092" s="2">
        <v>11051</v>
      </c>
      <c r="B11092" s="82" t="s">
        <v>20405</v>
      </c>
      <c r="C11092" s="82">
        <v>41013600275</v>
      </c>
      <c r="D11092" s="22">
        <v>14700</v>
      </c>
      <c r="E11092" s="2"/>
      <c r="F11092" s="3" t="s">
        <v>20392</v>
      </c>
      <c r="G11092" s="2" t="s">
        <v>20511</v>
      </c>
      <c r="H11092" s="2"/>
      <c r="I11092" s="2"/>
      <c r="J11092" s="2" t="s">
        <v>13904</v>
      </c>
      <c r="K11092" s="2" t="s">
        <v>20750</v>
      </c>
      <c r="L11092" s="246" t="s">
        <v>22280</v>
      </c>
    </row>
    <row r="11093" spans="1:12" ht="96" customHeight="1" x14ac:dyDescent="0.3">
      <c r="A11093" s="2">
        <v>11052</v>
      </c>
      <c r="B11093" s="82" t="s">
        <v>20406</v>
      </c>
      <c r="C11093" s="82">
        <v>41013600276</v>
      </c>
      <c r="D11093" s="22">
        <v>14700</v>
      </c>
      <c r="E11093" s="2"/>
      <c r="F11093" s="3" t="s">
        <v>20392</v>
      </c>
      <c r="G11093" s="2" t="s">
        <v>20511</v>
      </c>
      <c r="H11093" s="2"/>
      <c r="I11093" s="2"/>
      <c r="J11093" s="2" t="s">
        <v>13904</v>
      </c>
      <c r="K11093" s="2" t="s">
        <v>20750</v>
      </c>
      <c r="L11093" s="246" t="s">
        <v>22280</v>
      </c>
    </row>
    <row r="11094" spans="1:12" ht="96" customHeight="1" x14ac:dyDescent="0.3">
      <c r="A11094" s="2">
        <v>11053</v>
      </c>
      <c r="B11094" s="82" t="s">
        <v>20407</v>
      </c>
      <c r="C11094" s="82">
        <v>41013600278</v>
      </c>
      <c r="D11094" s="22">
        <v>14700</v>
      </c>
      <c r="E11094" s="2"/>
      <c r="F11094" s="3" t="s">
        <v>20392</v>
      </c>
      <c r="G11094" s="2" t="s">
        <v>20511</v>
      </c>
      <c r="H11094" s="2"/>
      <c r="I11094" s="2"/>
      <c r="J11094" s="2" t="s">
        <v>13904</v>
      </c>
      <c r="K11094" s="2" t="s">
        <v>20750</v>
      </c>
      <c r="L11094" s="246" t="s">
        <v>22280</v>
      </c>
    </row>
    <row r="11095" spans="1:12" ht="96" customHeight="1" x14ac:dyDescent="0.3">
      <c r="A11095" s="2">
        <v>11054</v>
      </c>
      <c r="B11095" s="82" t="s">
        <v>20408</v>
      </c>
      <c r="C11095" s="82">
        <v>41013600279</v>
      </c>
      <c r="D11095" s="22">
        <v>14700</v>
      </c>
      <c r="E11095" s="2"/>
      <c r="F11095" s="3" t="s">
        <v>20392</v>
      </c>
      <c r="G11095" s="2" t="s">
        <v>20511</v>
      </c>
      <c r="H11095" s="2"/>
      <c r="I11095" s="2"/>
      <c r="J11095" s="2" t="s">
        <v>13904</v>
      </c>
      <c r="K11095" s="2" t="s">
        <v>20750</v>
      </c>
      <c r="L11095" s="246" t="s">
        <v>22280</v>
      </c>
    </row>
    <row r="11096" spans="1:12" ht="96" customHeight="1" x14ac:dyDescent="0.3">
      <c r="A11096" s="2">
        <v>11055</v>
      </c>
      <c r="B11096" s="82" t="s">
        <v>20409</v>
      </c>
      <c r="C11096" s="82">
        <v>41013600274</v>
      </c>
      <c r="D11096" s="22">
        <v>14700</v>
      </c>
      <c r="E11096" s="2"/>
      <c r="F11096" s="3" t="s">
        <v>20392</v>
      </c>
      <c r="G11096" s="2" t="s">
        <v>20511</v>
      </c>
      <c r="H11096" s="2"/>
      <c r="I11096" s="2"/>
      <c r="J11096" s="2" t="s">
        <v>13904</v>
      </c>
      <c r="K11096" s="2" t="s">
        <v>20750</v>
      </c>
      <c r="L11096" s="246" t="s">
        <v>22280</v>
      </c>
    </row>
    <row r="11097" spans="1:12" ht="96" customHeight="1" x14ac:dyDescent="0.3">
      <c r="A11097" s="2">
        <v>11056</v>
      </c>
      <c r="B11097" s="82" t="s">
        <v>20418</v>
      </c>
      <c r="C11097" s="82">
        <v>21012200002</v>
      </c>
      <c r="D11097" s="22">
        <v>104416.96000000001</v>
      </c>
      <c r="E11097" s="2"/>
      <c r="F11097" s="3" t="s">
        <v>20392</v>
      </c>
      <c r="G11097" s="2" t="s">
        <v>20511</v>
      </c>
      <c r="H11097" s="2"/>
      <c r="I11097" s="2"/>
      <c r="J11097" s="2" t="s">
        <v>13904</v>
      </c>
      <c r="K11097" s="2" t="s">
        <v>20750</v>
      </c>
      <c r="L11097" s="82"/>
    </row>
    <row r="11098" spans="1:12" ht="96" customHeight="1" x14ac:dyDescent="0.3">
      <c r="A11098" s="2">
        <v>11057</v>
      </c>
      <c r="B11098" s="82" t="s">
        <v>20419</v>
      </c>
      <c r="C11098" s="82">
        <v>21012200003</v>
      </c>
      <c r="D11098" s="22">
        <v>104416.96000000001</v>
      </c>
      <c r="E11098" s="2"/>
      <c r="F11098" s="3" t="s">
        <v>20392</v>
      </c>
      <c r="G11098" s="2" t="s">
        <v>20511</v>
      </c>
      <c r="H11098" s="2"/>
      <c r="I11098" s="2"/>
      <c r="J11098" s="2" t="s">
        <v>13904</v>
      </c>
      <c r="K11098" s="2" t="s">
        <v>20750</v>
      </c>
      <c r="L11098" s="82"/>
    </row>
    <row r="11099" spans="1:12" ht="96" customHeight="1" x14ac:dyDescent="0.3">
      <c r="A11099" s="2">
        <v>11058</v>
      </c>
      <c r="B11099" s="82" t="s">
        <v>20420</v>
      </c>
      <c r="C11099" s="82">
        <v>21012200004</v>
      </c>
      <c r="D11099" s="22">
        <v>104416.96000000001</v>
      </c>
      <c r="E11099" s="2"/>
      <c r="F11099" s="3" t="s">
        <v>20392</v>
      </c>
      <c r="G11099" s="2" t="s">
        <v>20511</v>
      </c>
      <c r="H11099" s="2"/>
      <c r="I11099" s="2"/>
      <c r="J11099" s="2" t="s">
        <v>13904</v>
      </c>
      <c r="K11099" s="2" t="s">
        <v>20750</v>
      </c>
      <c r="L11099" s="82"/>
    </row>
    <row r="11100" spans="1:12" ht="96" customHeight="1" x14ac:dyDescent="0.3">
      <c r="A11100" s="2">
        <v>11059</v>
      </c>
      <c r="B11100" s="82" t="s">
        <v>20410</v>
      </c>
      <c r="C11100" s="82">
        <v>21013400010</v>
      </c>
      <c r="D11100" s="22">
        <v>18227</v>
      </c>
      <c r="E11100" s="2"/>
      <c r="F11100" s="3" t="s">
        <v>20392</v>
      </c>
      <c r="G11100" s="2" t="s">
        <v>20511</v>
      </c>
      <c r="H11100" s="2"/>
      <c r="I11100" s="2"/>
      <c r="J11100" s="2" t="s">
        <v>13904</v>
      </c>
      <c r="K11100" s="2" t="s">
        <v>20750</v>
      </c>
      <c r="L11100" s="82" t="s">
        <v>22280</v>
      </c>
    </row>
    <row r="11101" spans="1:12" ht="96" customHeight="1" x14ac:dyDescent="0.3">
      <c r="A11101" s="2">
        <v>11060</v>
      </c>
      <c r="B11101" s="82" t="s">
        <v>20411</v>
      </c>
      <c r="C11101" s="82">
        <v>21013400009</v>
      </c>
      <c r="D11101" s="22">
        <v>7625</v>
      </c>
      <c r="E11101" s="2"/>
      <c r="F11101" s="3" t="s">
        <v>20392</v>
      </c>
      <c r="G11101" s="2" t="s">
        <v>20511</v>
      </c>
      <c r="H11101" s="2"/>
      <c r="I11101" s="2"/>
      <c r="J11101" s="2" t="s">
        <v>13904</v>
      </c>
      <c r="K11101" s="2" t="s">
        <v>20750</v>
      </c>
      <c r="L11101" s="82" t="s">
        <v>22280</v>
      </c>
    </row>
    <row r="11102" spans="1:12" ht="96" customHeight="1" x14ac:dyDescent="0.3">
      <c r="A11102" s="2">
        <v>11061</v>
      </c>
      <c r="B11102" s="82" t="s">
        <v>20412</v>
      </c>
      <c r="C11102" s="82">
        <v>21013400008</v>
      </c>
      <c r="D11102" s="22">
        <v>7625</v>
      </c>
      <c r="E11102" s="2"/>
      <c r="F11102" s="3" t="s">
        <v>20392</v>
      </c>
      <c r="G11102" s="2" t="s">
        <v>20511</v>
      </c>
      <c r="H11102" s="2"/>
      <c r="I11102" s="2"/>
      <c r="J11102" s="2" t="s">
        <v>13904</v>
      </c>
      <c r="K11102" s="2" t="s">
        <v>20750</v>
      </c>
      <c r="L11102" s="246" t="s">
        <v>22280</v>
      </c>
    </row>
    <row r="11103" spans="1:12" ht="96" customHeight="1" x14ac:dyDescent="0.3">
      <c r="A11103" s="2">
        <v>11062</v>
      </c>
      <c r="B11103" s="82" t="s">
        <v>20412</v>
      </c>
      <c r="C11103" s="82">
        <v>21013400007</v>
      </c>
      <c r="D11103" s="22">
        <v>7625</v>
      </c>
      <c r="E11103" s="2"/>
      <c r="F11103" s="3" t="s">
        <v>20392</v>
      </c>
      <c r="G11103" s="2" t="s">
        <v>20511</v>
      </c>
      <c r="H11103" s="2"/>
      <c r="I11103" s="2"/>
      <c r="J11103" s="2" t="s">
        <v>13904</v>
      </c>
      <c r="K11103" s="2" t="s">
        <v>20750</v>
      </c>
      <c r="L11103" s="246" t="s">
        <v>22280</v>
      </c>
    </row>
    <row r="11104" spans="1:12" ht="96" customHeight="1" x14ac:dyDescent="0.3">
      <c r="A11104" s="2">
        <v>11063</v>
      </c>
      <c r="B11104" s="82" t="s">
        <v>20413</v>
      </c>
      <c r="C11104" s="82">
        <v>21013400006</v>
      </c>
      <c r="D11104" s="22">
        <v>7625</v>
      </c>
      <c r="E11104" s="2"/>
      <c r="F11104" s="3" t="s">
        <v>20392</v>
      </c>
      <c r="G11104" s="2" t="s">
        <v>20511</v>
      </c>
      <c r="H11104" s="2"/>
      <c r="I11104" s="2"/>
      <c r="J11104" s="2" t="s">
        <v>13904</v>
      </c>
      <c r="K11104" s="2" t="s">
        <v>20750</v>
      </c>
      <c r="L11104" s="246" t="s">
        <v>22280</v>
      </c>
    </row>
    <row r="11105" spans="1:12" ht="96" customHeight="1" x14ac:dyDescent="0.3">
      <c r="A11105" s="2">
        <v>11064</v>
      </c>
      <c r="B11105" s="82" t="s">
        <v>20414</v>
      </c>
      <c r="C11105" s="82">
        <v>21013400005</v>
      </c>
      <c r="D11105" s="22">
        <v>10680</v>
      </c>
      <c r="E11105" s="2"/>
      <c r="F11105" s="3" t="s">
        <v>20392</v>
      </c>
      <c r="G11105" s="2" t="s">
        <v>20511</v>
      </c>
      <c r="H11105" s="2"/>
      <c r="I11105" s="2"/>
      <c r="J11105" s="2" t="s">
        <v>13904</v>
      </c>
      <c r="K11105" s="2" t="s">
        <v>20750</v>
      </c>
      <c r="L11105" s="246" t="s">
        <v>22280</v>
      </c>
    </row>
    <row r="11106" spans="1:12" ht="96" customHeight="1" x14ac:dyDescent="0.3">
      <c r="A11106" s="2">
        <v>11065</v>
      </c>
      <c r="B11106" s="82" t="s">
        <v>20415</v>
      </c>
      <c r="C11106" s="82">
        <v>21013400004</v>
      </c>
      <c r="D11106" s="22">
        <v>10370</v>
      </c>
      <c r="E11106" s="2"/>
      <c r="F11106" s="3" t="s">
        <v>20392</v>
      </c>
      <c r="G11106" s="2" t="s">
        <v>20511</v>
      </c>
      <c r="H11106" s="2"/>
      <c r="I11106" s="2"/>
      <c r="J11106" s="2" t="s">
        <v>13904</v>
      </c>
      <c r="K11106" s="2" t="s">
        <v>20750</v>
      </c>
      <c r="L11106" s="246" t="s">
        <v>22280</v>
      </c>
    </row>
    <row r="11107" spans="1:12" ht="96" customHeight="1" x14ac:dyDescent="0.3">
      <c r="A11107" s="2">
        <v>11066</v>
      </c>
      <c r="B11107" s="82" t="s">
        <v>20416</v>
      </c>
      <c r="C11107" s="82">
        <v>21013400003</v>
      </c>
      <c r="D11107" s="22">
        <v>10370</v>
      </c>
      <c r="E11107" s="2"/>
      <c r="F11107" s="3" t="s">
        <v>20392</v>
      </c>
      <c r="G11107" s="2" t="s">
        <v>20511</v>
      </c>
      <c r="H11107" s="2"/>
      <c r="I11107" s="2"/>
      <c r="J11107" s="2" t="s">
        <v>13904</v>
      </c>
      <c r="K11107" s="2" t="s">
        <v>20750</v>
      </c>
      <c r="L11107" s="246" t="s">
        <v>22280</v>
      </c>
    </row>
    <row r="11108" spans="1:12" ht="96" customHeight="1" x14ac:dyDescent="0.3">
      <c r="A11108" s="2">
        <v>11067</v>
      </c>
      <c r="B11108" s="82" t="s">
        <v>20417</v>
      </c>
      <c r="C11108" s="82">
        <v>21013400002</v>
      </c>
      <c r="D11108" s="22">
        <v>9745.2000000000007</v>
      </c>
      <c r="E11108" s="2"/>
      <c r="F11108" s="3" t="s">
        <v>20392</v>
      </c>
      <c r="G11108" s="2" t="s">
        <v>20511</v>
      </c>
      <c r="H11108" s="2"/>
      <c r="I11108" s="2"/>
      <c r="J11108" s="2" t="s">
        <v>13904</v>
      </c>
      <c r="K11108" s="2" t="s">
        <v>20750</v>
      </c>
      <c r="L11108" s="246" t="s">
        <v>22280</v>
      </c>
    </row>
    <row r="11109" spans="1:12" ht="96" customHeight="1" x14ac:dyDescent="0.3">
      <c r="A11109" s="2">
        <v>11068</v>
      </c>
      <c r="B11109" s="82" t="s">
        <v>20417</v>
      </c>
      <c r="C11109" s="82">
        <v>21013400001</v>
      </c>
      <c r="D11109" s="22">
        <v>9745.2000000000007</v>
      </c>
      <c r="E11109" s="2"/>
      <c r="F11109" s="3" t="s">
        <v>20392</v>
      </c>
      <c r="G11109" s="2" t="s">
        <v>20511</v>
      </c>
      <c r="H11109" s="2"/>
      <c r="I11109" s="2"/>
      <c r="J11109" s="2" t="s">
        <v>13904</v>
      </c>
      <c r="K11109" s="2" t="s">
        <v>20750</v>
      </c>
      <c r="L11109" s="246" t="s">
        <v>22280</v>
      </c>
    </row>
    <row r="11110" spans="1:12" ht="96" customHeight="1" x14ac:dyDescent="0.3">
      <c r="A11110" s="2">
        <v>11069</v>
      </c>
      <c r="B11110" s="82" t="s">
        <v>20424</v>
      </c>
      <c r="C11110" s="82">
        <v>21013400017</v>
      </c>
      <c r="D11110" s="22">
        <v>32500</v>
      </c>
      <c r="E11110" s="2"/>
      <c r="F11110" s="3" t="s">
        <v>20392</v>
      </c>
      <c r="G11110" s="2" t="s">
        <v>20511</v>
      </c>
      <c r="H11110" s="2"/>
      <c r="I11110" s="2"/>
      <c r="J11110" s="2" t="s">
        <v>13904</v>
      </c>
      <c r="K11110" s="2" t="s">
        <v>20750</v>
      </c>
      <c r="L11110" s="246" t="s">
        <v>22280</v>
      </c>
    </row>
    <row r="11111" spans="1:12" ht="96" customHeight="1" x14ac:dyDescent="0.3">
      <c r="A11111" s="2">
        <v>11070</v>
      </c>
      <c r="B11111" s="82" t="s">
        <v>20425</v>
      </c>
      <c r="C11111" s="82">
        <v>21013400016</v>
      </c>
      <c r="D11111" s="22">
        <v>8600</v>
      </c>
      <c r="E11111" s="2"/>
      <c r="F11111" s="3" t="s">
        <v>20392</v>
      </c>
      <c r="G11111" s="2" t="s">
        <v>20511</v>
      </c>
      <c r="H11111" s="2"/>
      <c r="I11111" s="2"/>
      <c r="J11111" s="2" t="s">
        <v>13904</v>
      </c>
      <c r="K11111" s="2" t="s">
        <v>20750</v>
      </c>
      <c r="L11111" s="246" t="s">
        <v>22280</v>
      </c>
    </row>
    <row r="11112" spans="1:12" ht="96" customHeight="1" x14ac:dyDescent="0.3">
      <c r="A11112" s="2">
        <v>11071</v>
      </c>
      <c r="B11112" s="82" t="s">
        <v>20426</v>
      </c>
      <c r="C11112" s="82">
        <v>21013400015</v>
      </c>
      <c r="D11112" s="22">
        <v>6950</v>
      </c>
      <c r="E11112" s="2"/>
      <c r="F11112" s="3" t="s">
        <v>20392</v>
      </c>
      <c r="G11112" s="2" t="s">
        <v>20393</v>
      </c>
      <c r="H11112" s="2"/>
      <c r="I11112" s="2"/>
      <c r="J11112" s="2" t="s">
        <v>13904</v>
      </c>
      <c r="K11112" s="2" t="s">
        <v>20750</v>
      </c>
      <c r="L11112" s="246" t="s">
        <v>22280</v>
      </c>
    </row>
    <row r="11113" spans="1:12" ht="96" customHeight="1" x14ac:dyDescent="0.3">
      <c r="A11113" s="2">
        <v>11072</v>
      </c>
      <c r="B11113" s="82" t="s">
        <v>20426</v>
      </c>
      <c r="C11113" s="82">
        <v>21013400014</v>
      </c>
      <c r="D11113" s="22">
        <v>6950</v>
      </c>
      <c r="E11113" s="2"/>
      <c r="F11113" s="3" t="s">
        <v>20392</v>
      </c>
      <c r="G11113" s="2" t="s">
        <v>20393</v>
      </c>
      <c r="H11113" s="2"/>
      <c r="I11113" s="2"/>
      <c r="J11113" s="2" t="s">
        <v>13904</v>
      </c>
      <c r="K11113" s="2" t="s">
        <v>20750</v>
      </c>
      <c r="L11113" s="246" t="s">
        <v>22280</v>
      </c>
    </row>
    <row r="11114" spans="1:12" ht="96" customHeight="1" x14ac:dyDescent="0.3">
      <c r="A11114" s="2">
        <v>11073</v>
      </c>
      <c r="B11114" s="82" t="s">
        <v>20427</v>
      </c>
      <c r="C11114" s="82">
        <v>21013400013</v>
      </c>
      <c r="D11114" s="22">
        <v>7500</v>
      </c>
      <c r="E11114" s="2"/>
      <c r="F11114" s="3" t="s">
        <v>20392</v>
      </c>
      <c r="G11114" s="2" t="s">
        <v>20511</v>
      </c>
      <c r="H11114" s="2"/>
      <c r="I11114" s="2"/>
      <c r="J11114" s="2" t="s">
        <v>13904</v>
      </c>
      <c r="K11114" s="2" t="s">
        <v>20750</v>
      </c>
      <c r="L11114" s="246" t="s">
        <v>22280</v>
      </c>
    </row>
    <row r="11115" spans="1:12" ht="96" customHeight="1" x14ac:dyDescent="0.3">
      <c r="A11115" s="2">
        <v>11074</v>
      </c>
      <c r="B11115" s="82" t="s">
        <v>20421</v>
      </c>
      <c r="C11115" s="82">
        <v>21013400012</v>
      </c>
      <c r="D11115" s="22">
        <v>7500</v>
      </c>
      <c r="E11115" s="2"/>
      <c r="F11115" s="3" t="s">
        <v>20392</v>
      </c>
      <c r="G11115" s="2" t="s">
        <v>20511</v>
      </c>
      <c r="H11115" s="2"/>
      <c r="I11115" s="2"/>
      <c r="J11115" s="2" t="s">
        <v>13904</v>
      </c>
      <c r="K11115" s="2" t="s">
        <v>20750</v>
      </c>
      <c r="L11115" s="246" t="s">
        <v>22280</v>
      </c>
    </row>
    <row r="11116" spans="1:12" ht="96" customHeight="1" x14ac:dyDescent="0.3">
      <c r="A11116" s="2">
        <v>11075</v>
      </c>
      <c r="B11116" s="82" t="s">
        <v>20422</v>
      </c>
      <c r="C11116" s="82">
        <v>21013400011</v>
      </c>
      <c r="D11116" s="22">
        <v>7500</v>
      </c>
      <c r="E11116" s="2"/>
      <c r="F11116" s="3" t="s">
        <v>20392</v>
      </c>
      <c r="G11116" s="2" t="s">
        <v>20393</v>
      </c>
      <c r="H11116" s="2"/>
      <c r="I11116" s="2"/>
      <c r="J11116" s="2" t="s">
        <v>13904</v>
      </c>
      <c r="K11116" s="2" t="s">
        <v>20750</v>
      </c>
      <c r="L11116" s="246" t="s">
        <v>22280</v>
      </c>
    </row>
    <row r="11117" spans="1:12" ht="96" customHeight="1" x14ac:dyDescent="0.3">
      <c r="A11117" s="2">
        <v>11076</v>
      </c>
      <c r="B11117" s="82" t="s">
        <v>20428</v>
      </c>
      <c r="C11117" s="82">
        <v>21013600025</v>
      </c>
      <c r="D11117" s="22">
        <v>8434.26</v>
      </c>
      <c r="E11117" s="2"/>
      <c r="F11117" s="3" t="s">
        <v>20392</v>
      </c>
      <c r="G11117" s="2" t="s">
        <v>20393</v>
      </c>
      <c r="H11117" s="2"/>
      <c r="I11117" s="2"/>
      <c r="J11117" s="2" t="s">
        <v>13904</v>
      </c>
      <c r="K11117" s="2" t="s">
        <v>20750</v>
      </c>
      <c r="L11117" s="246" t="s">
        <v>22664</v>
      </c>
    </row>
    <row r="11118" spans="1:12" ht="96" customHeight="1" x14ac:dyDescent="0.3">
      <c r="A11118" s="2">
        <v>11077</v>
      </c>
      <c r="B11118" s="82" t="s">
        <v>20428</v>
      </c>
      <c r="C11118" s="82">
        <v>21013600024</v>
      </c>
      <c r="D11118" s="22">
        <v>8434.26</v>
      </c>
      <c r="E11118" s="2"/>
      <c r="F11118" s="3" t="s">
        <v>20392</v>
      </c>
      <c r="G11118" s="2" t="s">
        <v>20393</v>
      </c>
      <c r="H11118" s="2"/>
      <c r="I11118" s="2"/>
      <c r="J11118" s="2" t="s">
        <v>13904</v>
      </c>
      <c r="K11118" s="2" t="s">
        <v>20750</v>
      </c>
      <c r="L11118" s="246" t="s">
        <v>22664</v>
      </c>
    </row>
    <row r="11119" spans="1:12" ht="96" customHeight="1" x14ac:dyDescent="0.3">
      <c r="A11119" s="2">
        <v>11078</v>
      </c>
      <c r="B11119" s="82" t="s">
        <v>20423</v>
      </c>
      <c r="C11119" s="82">
        <v>21013600023</v>
      </c>
      <c r="D11119" s="22">
        <v>8434.26</v>
      </c>
      <c r="E11119" s="2"/>
      <c r="F11119" s="3" t="s">
        <v>20392</v>
      </c>
      <c r="G11119" s="2" t="s">
        <v>20393</v>
      </c>
      <c r="H11119" s="2"/>
      <c r="I11119" s="2"/>
      <c r="J11119" s="2" t="s">
        <v>13904</v>
      </c>
      <c r="K11119" s="2" t="s">
        <v>20750</v>
      </c>
      <c r="L11119" s="246" t="s">
        <v>22664</v>
      </c>
    </row>
    <row r="11120" spans="1:12" ht="96" customHeight="1" x14ac:dyDescent="0.3">
      <c r="A11120" s="2">
        <v>11079</v>
      </c>
      <c r="B11120" s="82" t="s">
        <v>20428</v>
      </c>
      <c r="C11120" s="82">
        <v>21013600022</v>
      </c>
      <c r="D11120" s="22">
        <v>8434.26</v>
      </c>
      <c r="E11120" s="2"/>
      <c r="F11120" s="3" t="s">
        <v>20392</v>
      </c>
      <c r="G11120" s="2" t="s">
        <v>20511</v>
      </c>
      <c r="H11120" s="2"/>
      <c r="I11120" s="2"/>
      <c r="J11120" s="2" t="s">
        <v>13904</v>
      </c>
      <c r="K11120" s="2" t="s">
        <v>20750</v>
      </c>
      <c r="L11120" s="246" t="s">
        <v>22664</v>
      </c>
    </row>
    <row r="11121" spans="1:15" ht="96" customHeight="1" x14ac:dyDescent="0.3">
      <c r="A11121" s="2">
        <v>11080</v>
      </c>
      <c r="B11121" s="82" t="s">
        <v>20428</v>
      </c>
      <c r="C11121" s="82">
        <v>21013600021</v>
      </c>
      <c r="D11121" s="22">
        <v>8434.26</v>
      </c>
      <c r="E11121" s="2"/>
      <c r="F11121" s="3" t="s">
        <v>20392</v>
      </c>
      <c r="G11121" s="2" t="s">
        <v>20511</v>
      </c>
      <c r="H11121" s="2"/>
      <c r="I11121" s="2"/>
      <c r="J11121" s="2" t="s">
        <v>13904</v>
      </c>
      <c r="K11121" s="2" t="s">
        <v>20750</v>
      </c>
      <c r="L11121" s="246" t="s">
        <v>22664</v>
      </c>
    </row>
    <row r="11122" spans="1:15" ht="96" customHeight="1" x14ac:dyDescent="0.3">
      <c r="A11122" s="205">
        <v>11081</v>
      </c>
      <c r="B11122" s="82" t="s">
        <v>20428</v>
      </c>
      <c r="C11122" s="82">
        <v>21013600020</v>
      </c>
      <c r="D11122" s="22">
        <v>8434.2999999999993</v>
      </c>
      <c r="E11122" s="2"/>
      <c r="F11122" s="3" t="s">
        <v>20392</v>
      </c>
      <c r="G11122" s="2" t="s">
        <v>20511</v>
      </c>
      <c r="H11122" s="2"/>
      <c r="I11122" s="2"/>
      <c r="J11122" s="2" t="s">
        <v>13904</v>
      </c>
      <c r="K11122" s="2" t="s">
        <v>20750</v>
      </c>
      <c r="L11122" s="246" t="s">
        <v>22664</v>
      </c>
    </row>
    <row r="11123" spans="1:15" ht="84" customHeight="1" x14ac:dyDescent="0.3">
      <c r="A11123" s="66">
        <v>11082</v>
      </c>
      <c r="B11123" s="53" t="s">
        <v>20581</v>
      </c>
      <c r="C11123" s="53"/>
      <c r="D11123" s="207"/>
      <c r="E11123" s="207"/>
      <c r="F11123" s="207" t="s">
        <v>12545</v>
      </c>
      <c r="G11123" s="66" t="s">
        <v>20606</v>
      </c>
      <c r="H11123" s="207"/>
      <c r="I11123" s="66"/>
      <c r="J11123" s="2" t="s">
        <v>12550</v>
      </c>
      <c r="K11123" s="207"/>
      <c r="L11123" s="38" t="s">
        <v>20607</v>
      </c>
      <c r="M11123" s="17"/>
      <c r="N11123" s="17"/>
      <c r="O11123" s="17"/>
    </row>
    <row r="11124" spans="1:15" ht="84" customHeight="1" x14ac:dyDescent="0.3">
      <c r="A11124" s="66">
        <v>11083</v>
      </c>
      <c r="B11124" s="53" t="s">
        <v>20580</v>
      </c>
      <c r="C11124" s="53"/>
      <c r="D11124" s="207"/>
      <c r="E11124" s="207"/>
      <c r="F11124" s="207" t="s">
        <v>12545</v>
      </c>
      <c r="G11124" s="66" t="s">
        <v>20606</v>
      </c>
      <c r="H11124" s="207"/>
      <c r="I11124" s="66"/>
      <c r="J11124" s="2" t="s">
        <v>12550</v>
      </c>
      <c r="K11124" s="207"/>
      <c r="L11124" s="38" t="s">
        <v>20607</v>
      </c>
      <c r="M11124" s="17"/>
      <c r="N11124" s="17"/>
      <c r="O11124" s="17"/>
    </row>
    <row r="11125" spans="1:15" ht="84" customHeight="1" x14ac:dyDescent="0.3">
      <c r="A11125" s="66">
        <v>11084</v>
      </c>
      <c r="B11125" s="53" t="s">
        <v>20579</v>
      </c>
      <c r="C11125" s="53"/>
      <c r="D11125" s="207"/>
      <c r="E11125" s="207"/>
      <c r="F11125" s="207" t="s">
        <v>12545</v>
      </c>
      <c r="G11125" s="66" t="s">
        <v>20606</v>
      </c>
      <c r="H11125" s="207"/>
      <c r="I11125" s="66"/>
      <c r="J11125" s="2" t="s">
        <v>12550</v>
      </c>
      <c r="K11125" s="207"/>
      <c r="L11125" s="38" t="s">
        <v>20607</v>
      </c>
      <c r="M11125" s="17"/>
      <c r="N11125" s="17"/>
      <c r="O11125" s="17"/>
    </row>
    <row r="11126" spans="1:15" ht="84" customHeight="1" x14ac:dyDescent="0.3">
      <c r="A11126" s="66">
        <v>11085</v>
      </c>
      <c r="B11126" s="53" t="s">
        <v>20578</v>
      </c>
      <c r="C11126" s="53"/>
      <c r="D11126" s="207"/>
      <c r="E11126" s="207"/>
      <c r="F11126" s="207" t="s">
        <v>12545</v>
      </c>
      <c r="G11126" s="66" t="s">
        <v>20606</v>
      </c>
      <c r="H11126" s="207"/>
      <c r="I11126" s="66"/>
      <c r="J11126" s="2" t="s">
        <v>12550</v>
      </c>
      <c r="K11126" s="207"/>
      <c r="L11126" s="38" t="s">
        <v>20607</v>
      </c>
      <c r="M11126" s="17"/>
      <c r="N11126" s="17"/>
      <c r="O11126" s="17"/>
    </row>
    <row r="11127" spans="1:15" ht="84" customHeight="1" x14ac:dyDescent="0.3">
      <c r="A11127" s="66">
        <v>11086</v>
      </c>
      <c r="B11127" s="53" t="s">
        <v>20582</v>
      </c>
      <c r="C11127" s="53"/>
      <c r="D11127" s="207"/>
      <c r="E11127" s="207"/>
      <c r="F11127" s="207" t="s">
        <v>12545</v>
      </c>
      <c r="G11127" s="66" t="s">
        <v>20606</v>
      </c>
      <c r="H11127" s="207"/>
      <c r="I11127" s="66"/>
      <c r="J11127" s="2" t="s">
        <v>12550</v>
      </c>
      <c r="K11127" s="207"/>
      <c r="L11127" s="38" t="s">
        <v>20607</v>
      </c>
      <c r="M11127" s="17"/>
      <c r="N11127" s="17"/>
      <c r="O11127" s="17"/>
    </row>
    <row r="11128" spans="1:15" ht="84" customHeight="1" x14ac:dyDescent="0.3">
      <c r="A11128" s="66">
        <v>11087</v>
      </c>
      <c r="B11128" s="53" t="s">
        <v>20583</v>
      </c>
      <c r="C11128" s="53"/>
      <c r="D11128" s="207"/>
      <c r="E11128" s="207"/>
      <c r="F11128" s="207" t="s">
        <v>12545</v>
      </c>
      <c r="G11128" s="66" t="s">
        <v>20606</v>
      </c>
      <c r="H11128" s="207"/>
      <c r="I11128" s="66"/>
      <c r="J11128" s="2" t="s">
        <v>12550</v>
      </c>
      <c r="K11128" s="207"/>
      <c r="L11128" s="38" t="s">
        <v>20607</v>
      </c>
      <c r="M11128" s="17"/>
      <c r="N11128" s="17"/>
      <c r="O11128" s="17"/>
    </row>
    <row r="11129" spans="1:15" ht="84" customHeight="1" x14ac:dyDescent="0.3">
      <c r="A11129" s="66">
        <v>11088</v>
      </c>
      <c r="B11129" s="53" t="s">
        <v>20584</v>
      </c>
      <c r="C11129" s="53"/>
      <c r="D11129" s="207"/>
      <c r="E11129" s="207"/>
      <c r="F11129" s="207" t="s">
        <v>12545</v>
      </c>
      <c r="G11129" s="66" t="s">
        <v>20606</v>
      </c>
      <c r="H11129" s="207"/>
      <c r="I11129" s="66"/>
      <c r="J11129" s="2" t="s">
        <v>12550</v>
      </c>
      <c r="K11129" s="207"/>
      <c r="L11129" s="38" t="s">
        <v>20607</v>
      </c>
      <c r="M11129" s="17"/>
      <c r="N11129" s="17"/>
      <c r="O11129" s="17"/>
    </row>
    <row r="11130" spans="1:15" ht="84" customHeight="1" x14ac:dyDescent="0.3">
      <c r="A11130" s="66">
        <v>11089</v>
      </c>
      <c r="B11130" s="53" t="s">
        <v>20585</v>
      </c>
      <c r="C11130" s="53"/>
      <c r="D11130" s="207"/>
      <c r="E11130" s="207"/>
      <c r="F11130" s="207" t="s">
        <v>12545</v>
      </c>
      <c r="G11130" s="66" t="s">
        <v>20606</v>
      </c>
      <c r="H11130" s="207"/>
      <c r="I11130" s="66"/>
      <c r="J11130" s="2" t="s">
        <v>12550</v>
      </c>
      <c r="K11130" s="207"/>
      <c r="L11130" s="38" t="s">
        <v>20607</v>
      </c>
      <c r="M11130" s="17"/>
      <c r="N11130" s="17"/>
      <c r="O11130" s="17"/>
    </row>
    <row r="11131" spans="1:15" ht="84" customHeight="1" x14ac:dyDescent="0.3">
      <c r="A11131" s="66">
        <v>11090</v>
      </c>
      <c r="B11131" s="53" t="s">
        <v>20586</v>
      </c>
      <c r="C11131" s="53"/>
      <c r="D11131" s="207"/>
      <c r="E11131" s="207"/>
      <c r="F11131" s="207" t="s">
        <v>12545</v>
      </c>
      <c r="G11131" s="66" t="s">
        <v>20606</v>
      </c>
      <c r="H11131" s="207"/>
      <c r="I11131" s="66"/>
      <c r="J11131" s="2" t="s">
        <v>12550</v>
      </c>
      <c r="K11131" s="207"/>
      <c r="L11131" s="38" t="s">
        <v>20607</v>
      </c>
      <c r="M11131" s="17"/>
      <c r="N11131" s="17"/>
      <c r="O11131" s="17"/>
    </row>
    <row r="11132" spans="1:15" ht="84" customHeight="1" x14ac:dyDescent="0.3">
      <c r="A11132" s="66">
        <v>11091</v>
      </c>
      <c r="B11132" s="53" t="s">
        <v>20587</v>
      </c>
      <c r="C11132" s="53"/>
      <c r="D11132" s="207"/>
      <c r="E11132" s="207"/>
      <c r="F11132" s="207" t="s">
        <v>12545</v>
      </c>
      <c r="G11132" s="66" t="s">
        <v>20606</v>
      </c>
      <c r="H11132" s="207"/>
      <c r="I11132" s="66"/>
      <c r="J11132" s="2" t="s">
        <v>12550</v>
      </c>
      <c r="K11132" s="207"/>
      <c r="L11132" s="38" t="s">
        <v>20607</v>
      </c>
      <c r="M11132" s="17"/>
      <c r="N11132" s="17"/>
      <c r="O11132" s="17"/>
    </row>
    <row r="11133" spans="1:15" ht="84" customHeight="1" x14ac:dyDescent="0.3">
      <c r="A11133" s="66">
        <v>11092</v>
      </c>
      <c r="B11133" s="53" t="s">
        <v>20588</v>
      </c>
      <c r="C11133" s="53"/>
      <c r="D11133" s="207"/>
      <c r="E11133" s="207"/>
      <c r="F11133" s="207" t="s">
        <v>12545</v>
      </c>
      <c r="G11133" s="66" t="s">
        <v>20606</v>
      </c>
      <c r="H11133" s="207"/>
      <c r="I11133" s="66"/>
      <c r="J11133" s="2" t="s">
        <v>12550</v>
      </c>
      <c r="K11133" s="207"/>
      <c r="L11133" s="38" t="s">
        <v>20607</v>
      </c>
      <c r="M11133" s="17"/>
      <c r="N11133" s="17"/>
      <c r="O11133" s="17"/>
    </row>
    <row r="11134" spans="1:15" ht="84" customHeight="1" x14ac:dyDescent="0.3">
      <c r="A11134" s="66">
        <v>11093</v>
      </c>
      <c r="B11134" s="53" t="s">
        <v>20589</v>
      </c>
      <c r="C11134" s="53"/>
      <c r="D11134" s="207"/>
      <c r="E11134" s="207"/>
      <c r="F11134" s="207" t="s">
        <v>12545</v>
      </c>
      <c r="G11134" s="66" t="s">
        <v>20606</v>
      </c>
      <c r="H11134" s="207"/>
      <c r="I11134" s="66"/>
      <c r="J11134" s="2" t="s">
        <v>12550</v>
      </c>
      <c r="K11134" s="207"/>
      <c r="L11134" s="38" t="s">
        <v>20607</v>
      </c>
      <c r="M11134" s="17"/>
      <c r="N11134" s="17"/>
      <c r="O11134" s="17"/>
    </row>
    <row r="11135" spans="1:15" ht="84" customHeight="1" x14ac:dyDescent="0.3">
      <c r="A11135" s="66">
        <v>11094</v>
      </c>
      <c r="B11135" s="53" t="s">
        <v>20590</v>
      </c>
      <c r="C11135" s="53"/>
      <c r="D11135" s="207"/>
      <c r="E11135" s="207"/>
      <c r="F11135" s="207" t="s">
        <v>12545</v>
      </c>
      <c r="G11135" s="66" t="s">
        <v>20606</v>
      </c>
      <c r="H11135" s="207"/>
      <c r="I11135" s="66"/>
      <c r="J11135" s="2" t="s">
        <v>12550</v>
      </c>
      <c r="K11135" s="207"/>
      <c r="L11135" s="38" t="s">
        <v>20607</v>
      </c>
      <c r="M11135" s="17"/>
      <c r="N11135" s="17"/>
      <c r="O11135" s="17"/>
    </row>
    <row r="11136" spans="1:15" ht="84" customHeight="1" x14ac:dyDescent="0.3">
      <c r="A11136" s="66">
        <v>11095</v>
      </c>
      <c r="B11136" s="53" t="s">
        <v>20591</v>
      </c>
      <c r="C11136" s="53"/>
      <c r="D11136" s="207"/>
      <c r="E11136" s="207"/>
      <c r="F11136" s="207" t="s">
        <v>12545</v>
      </c>
      <c r="G11136" s="66" t="s">
        <v>20606</v>
      </c>
      <c r="H11136" s="207"/>
      <c r="I11136" s="66"/>
      <c r="J11136" s="2" t="s">
        <v>12550</v>
      </c>
      <c r="K11136" s="207"/>
      <c r="L11136" s="38" t="s">
        <v>20607</v>
      </c>
      <c r="M11136" s="17"/>
      <c r="N11136" s="17"/>
      <c r="O11136" s="17"/>
    </row>
    <row r="11137" spans="1:15" ht="84" customHeight="1" x14ac:dyDescent="0.3">
      <c r="A11137" s="66">
        <v>11096</v>
      </c>
      <c r="B11137" s="53" t="s">
        <v>20592</v>
      </c>
      <c r="C11137" s="53"/>
      <c r="D11137" s="207"/>
      <c r="E11137" s="207"/>
      <c r="F11137" s="207" t="s">
        <v>12545</v>
      </c>
      <c r="G11137" s="66" t="s">
        <v>20606</v>
      </c>
      <c r="H11137" s="207"/>
      <c r="I11137" s="66"/>
      <c r="J11137" s="2" t="s">
        <v>12550</v>
      </c>
      <c r="K11137" s="207"/>
      <c r="L11137" s="38" t="s">
        <v>20607</v>
      </c>
      <c r="M11137" s="17"/>
      <c r="N11137" s="17"/>
      <c r="O11137" s="17"/>
    </row>
    <row r="11138" spans="1:15" ht="84" customHeight="1" x14ac:dyDescent="0.3">
      <c r="A11138" s="66">
        <v>11097</v>
      </c>
      <c r="B11138" s="53" t="s">
        <v>20593</v>
      </c>
      <c r="C11138" s="53"/>
      <c r="D11138" s="207"/>
      <c r="E11138" s="207"/>
      <c r="F11138" s="207" t="s">
        <v>12545</v>
      </c>
      <c r="G11138" s="66" t="s">
        <v>20606</v>
      </c>
      <c r="H11138" s="207"/>
      <c r="I11138" s="66"/>
      <c r="J11138" s="2" t="s">
        <v>12550</v>
      </c>
      <c r="K11138" s="207"/>
      <c r="L11138" s="38" t="s">
        <v>20607</v>
      </c>
      <c r="M11138" s="17"/>
      <c r="N11138" s="17"/>
      <c r="O11138" s="17"/>
    </row>
    <row r="11139" spans="1:15" ht="84" customHeight="1" x14ac:dyDescent="0.3">
      <c r="A11139" s="66">
        <v>11098</v>
      </c>
      <c r="B11139" s="53" t="s">
        <v>20601</v>
      </c>
      <c r="C11139" s="53"/>
      <c r="D11139" s="207"/>
      <c r="E11139" s="207"/>
      <c r="F11139" s="207" t="s">
        <v>12545</v>
      </c>
      <c r="G11139" s="66" t="s">
        <v>20606</v>
      </c>
      <c r="H11139" s="207"/>
      <c r="I11139" s="66"/>
      <c r="J11139" s="2" t="s">
        <v>12550</v>
      </c>
      <c r="K11139" s="207"/>
      <c r="L11139" s="38" t="s">
        <v>20607</v>
      </c>
      <c r="M11139" s="17"/>
      <c r="N11139" s="17"/>
      <c r="O11139" s="17"/>
    </row>
    <row r="11140" spans="1:15" ht="84" customHeight="1" x14ac:dyDescent="0.3">
      <c r="A11140" s="66">
        <v>11099</v>
      </c>
      <c r="B11140" s="53" t="s">
        <v>20602</v>
      </c>
      <c r="C11140" s="53"/>
      <c r="D11140" s="207"/>
      <c r="E11140" s="207"/>
      <c r="F11140" s="207" t="s">
        <v>12545</v>
      </c>
      <c r="G11140" s="66" t="s">
        <v>20606</v>
      </c>
      <c r="H11140" s="207"/>
      <c r="I11140" s="66"/>
      <c r="J11140" s="2" t="s">
        <v>12550</v>
      </c>
      <c r="K11140" s="207"/>
      <c r="L11140" s="38" t="s">
        <v>20607</v>
      </c>
      <c r="M11140" s="17"/>
      <c r="N11140" s="17"/>
      <c r="O11140" s="17"/>
    </row>
    <row r="11141" spans="1:15" ht="84" customHeight="1" x14ac:dyDescent="0.3">
      <c r="A11141" s="66">
        <v>11100</v>
      </c>
      <c r="B11141" s="53" t="s">
        <v>20603</v>
      </c>
      <c r="C11141" s="53"/>
      <c r="D11141" s="207"/>
      <c r="E11141" s="207"/>
      <c r="F11141" s="207" t="s">
        <v>12545</v>
      </c>
      <c r="G11141" s="66" t="s">
        <v>20606</v>
      </c>
      <c r="H11141" s="207"/>
      <c r="I11141" s="66"/>
      <c r="J11141" s="2" t="s">
        <v>12550</v>
      </c>
      <c r="K11141" s="207"/>
      <c r="L11141" s="38" t="s">
        <v>20607</v>
      </c>
      <c r="M11141" s="17"/>
      <c r="N11141" s="17"/>
      <c r="O11141" s="17"/>
    </row>
    <row r="11142" spans="1:15" ht="84" customHeight="1" x14ac:dyDescent="0.3">
      <c r="A11142" s="66">
        <v>11101</v>
      </c>
      <c r="B11142" s="53" t="s">
        <v>20604</v>
      </c>
      <c r="C11142" s="53"/>
      <c r="D11142" s="207"/>
      <c r="E11142" s="207"/>
      <c r="F11142" s="207" t="s">
        <v>12545</v>
      </c>
      <c r="G11142" s="66" t="s">
        <v>20606</v>
      </c>
      <c r="H11142" s="207"/>
      <c r="I11142" s="66"/>
      <c r="J11142" s="2" t="s">
        <v>12550</v>
      </c>
      <c r="K11142" s="207"/>
      <c r="L11142" s="38" t="s">
        <v>20607</v>
      </c>
      <c r="M11142" s="17"/>
      <c r="N11142" s="17"/>
      <c r="O11142" s="17"/>
    </row>
    <row r="11143" spans="1:15" ht="84" customHeight="1" x14ac:dyDescent="0.3">
      <c r="A11143" s="66">
        <v>11102</v>
      </c>
      <c r="B11143" s="2" t="s">
        <v>20605</v>
      </c>
      <c r="C11143" s="2"/>
      <c r="D11143" s="207"/>
      <c r="E11143" s="207"/>
      <c r="F11143" s="207" t="s">
        <v>12545</v>
      </c>
      <c r="G11143" s="66" t="s">
        <v>20606</v>
      </c>
      <c r="H11143" s="207"/>
      <c r="I11143" s="66"/>
      <c r="J11143" s="2" t="s">
        <v>12550</v>
      </c>
      <c r="K11143" s="207"/>
      <c r="L11143" s="38" t="s">
        <v>20607</v>
      </c>
      <c r="M11143" s="17"/>
      <c r="N11143" s="17"/>
      <c r="O11143" s="17"/>
    </row>
    <row r="11144" spans="1:15" ht="84" customHeight="1" x14ac:dyDescent="0.3">
      <c r="A11144" s="66">
        <v>11103</v>
      </c>
      <c r="B11144" s="2" t="s">
        <v>20599</v>
      </c>
      <c r="C11144" s="2"/>
      <c r="D11144" s="207"/>
      <c r="E11144" s="207"/>
      <c r="F11144" s="207" t="s">
        <v>12545</v>
      </c>
      <c r="G11144" s="66" t="s">
        <v>20606</v>
      </c>
      <c r="H11144" s="207"/>
      <c r="I11144" s="66"/>
      <c r="J11144" s="2" t="s">
        <v>12550</v>
      </c>
      <c r="K11144" s="207"/>
      <c r="L11144" s="38" t="s">
        <v>20607</v>
      </c>
      <c r="M11144" s="17"/>
      <c r="N11144" s="17"/>
      <c r="O11144" s="17"/>
    </row>
    <row r="11145" spans="1:15" ht="84" customHeight="1" x14ac:dyDescent="0.3">
      <c r="A11145" s="66">
        <v>11104</v>
      </c>
      <c r="B11145" s="2" t="s">
        <v>20600</v>
      </c>
      <c r="C11145" s="2"/>
      <c r="D11145" s="207"/>
      <c r="E11145" s="207"/>
      <c r="F11145" s="207" t="s">
        <v>12545</v>
      </c>
      <c r="G11145" s="66" t="s">
        <v>20606</v>
      </c>
      <c r="H11145" s="207"/>
      <c r="I11145" s="66"/>
      <c r="J11145" s="2" t="s">
        <v>12550</v>
      </c>
      <c r="K11145" s="207"/>
      <c r="L11145" s="38" t="s">
        <v>20607</v>
      </c>
      <c r="M11145" s="17"/>
      <c r="N11145" s="17"/>
      <c r="O11145" s="17"/>
    </row>
    <row r="11146" spans="1:15" ht="84" customHeight="1" x14ac:dyDescent="0.3">
      <c r="A11146" s="66">
        <v>11105</v>
      </c>
      <c r="B11146" s="2" t="s">
        <v>20598</v>
      </c>
      <c r="C11146" s="2"/>
      <c r="D11146" s="207"/>
      <c r="E11146" s="207"/>
      <c r="F11146" s="207" t="s">
        <v>12545</v>
      </c>
      <c r="G11146" s="66" t="s">
        <v>20606</v>
      </c>
      <c r="H11146" s="207"/>
      <c r="I11146" s="66"/>
      <c r="J11146" s="2" t="s">
        <v>12550</v>
      </c>
      <c r="K11146" s="207"/>
      <c r="L11146" s="38" t="s">
        <v>20607</v>
      </c>
      <c r="M11146" s="17"/>
      <c r="N11146" s="17"/>
      <c r="O11146" s="17"/>
    </row>
    <row r="11147" spans="1:15" ht="84" customHeight="1" x14ac:dyDescent="0.3">
      <c r="A11147" s="66">
        <v>11106</v>
      </c>
      <c r="B11147" s="2" t="s">
        <v>20597</v>
      </c>
      <c r="C11147" s="2"/>
      <c r="D11147" s="207"/>
      <c r="E11147" s="207"/>
      <c r="F11147" s="207" t="s">
        <v>12545</v>
      </c>
      <c r="G11147" s="66" t="s">
        <v>20606</v>
      </c>
      <c r="H11147" s="207"/>
      <c r="I11147" s="66"/>
      <c r="J11147" s="2" t="s">
        <v>12550</v>
      </c>
      <c r="K11147" s="207"/>
      <c r="L11147" s="38" t="s">
        <v>20607</v>
      </c>
      <c r="M11147" s="17"/>
      <c r="N11147" s="17"/>
      <c r="O11147" s="17"/>
    </row>
    <row r="11148" spans="1:15" ht="84" customHeight="1" x14ac:dyDescent="0.3">
      <c r="A11148" s="66">
        <v>11107</v>
      </c>
      <c r="B11148" s="2" t="s">
        <v>20596</v>
      </c>
      <c r="C11148" s="2"/>
      <c r="D11148" s="207"/>
      <c r="E11148" s="207"/>
      <c r="F11148" s="207" t="s">
        <v>12545</v>
      </c>
      <c r="G11148" s="66" t="s">
        <v>20606</v>
      </c>
      <c r="H11148" s="207"/>
      <c r="I11148" s="66"/>
      <c r="J11148" s="2" t="s">
        <v>12550</v>
      </c>
      <c r="K11148" s="207"/>
      <c r="L11148" s="38" t="s">
        <v>20607</v>
      </c>
      <c r="M11148" s="17"/>
      <c r="N11148" s="17"/>
      <c r="O11148" s="17"/>
    </row>
    <row r="11149" spans="1:15" ht="84" customHeight="1" x14ac:dyDescent="0.3">
      <c r="A11149" s="66">
        <v>11108</v>
      </c>
      <c r="B11149" s="2" t="s">
        <v>20595</v>
      </c>
      <c r="C11149" s="2"/>
      <c r="D11149" s="207"/>
      <c r="E11149" s="207"/>
      <c r="F11149" s="207" t="s">
        <v>12545</v>
      </c>
      <c r="G11149" s="66" t="s">
        <v>20606</v>
      </c>
      <c r="H11149" s="207"/>
      <c r="I11149" s="66"/>
      <c r="J11149" s="2" t="s">
        <v>12550</v>
      </c>
      <c r="K11149" s="207"/>
      <c r="L11149" s="38" t="s">
        <v>20607</v>
      </c>
      <c r="M11149" s="17"/>
      <c r="N11149" s="17"/>
      <c r="O11149" s="17"/>
    </row>
    <row r="11150" spans="1:15" ht="108" customHeight="1" x14ac:dyDescent="0.3">
      <c r="A11150" s="66">
        <v>11109</v>
      </c>
      <c r="B11150" s="2" t="s">
        <v>20594</v>
      </c>
      <c r="C11150" s="2"/>
      <c r="D11150" s="207"/>
      <c r="E11150" s="207"/>
      <c r="F11150" s="207" t="s">
        <v>12545</v>
      </c>
      <c r="G11150" s="66" t="s">
        <v>20606</v>
      </c>
      <c r="H11150" s="207"/>
      <c r="I11150" s="66"/>
      <c r="J11150" s="2" t="s">
        <v>12550</v>
      </c>
      <c r="K11150" s="207"/>
      <c r="L11150" s="38" t="s">
        <v>20607</v>
      </c>
      <c r="M11150" s="17"/>
      <c r="N11150" s="17"/>
      <c r="O11150" s="17"/>
    </row>
    <row r="11151" spans="1:15" ht="84" customHeight="1" x14ac:dyDescent="0.3">
      <c r="A11151" s="66">
        <v>11110</v>
      </c>
      <c r="B11151" s="82" t="s">
        <v>20609</v>
      </c>
      <c r="C11151" s="82"/>
      <c r="D11151" s="6"/>
      <c r="E11151" s="82"/>
      <c r="F11151" s="207" t="s">
        <v>12545</v>
      </c>
      <c r="G11151" s="66" t="s">
        <v>20608</v>
      </c>
      <c r="H11151" s="207"/>
      <c r="I11151" s="66"/>
      <c r="J11151" s="2" t="s">
        <v>12550</v>
      </c>
      <c r="K11151" s="207"/>
      <c r="L11151" s="38" t="s">
        <v>20607</v>
      </c>
      <c r="M11151" s="17"/>
      <c r="N11151" s="17"/>
      <c r="O11151" s="17"/>
    </row>
    <row r="11152" spans="1:15" ht="84" customHeight="1" x14ac:dyDescent="0.3">
      <c r="A11152" s="66">
        <v>11111</v>
      </c>
      <c r="B11152" s="82" t="s">
        <v>20610</v>
      </c>
      <c r="C11152" s="82"/>
      <c r="D11152" s="6"/>
      <c r="E11152" s="82"/>
      <c r="F11152" s="207" t="s">
        <v>12545</v>
      </c>
      <c r="G11152" s="66" t="s">
        <v>20608</v>
      </c>
      <c r="H11152" s="207"/>
      <c r="I11152" s="66"/>
      <c r="J11152" s="2" t="s">
        <v>12550</v>
      </c>
      <c r="K11152" s="207"/>
      <c r="L11152" s="38" t="s">
        <v>20607</v>
      </c>
      <c r="M11152" s="17"/>
      <c r="N11152" s="17"/>
      <c r="O11152" s="17"/>
    </row>
    <row r="11153" spans="1:15" ht="84" customHeight="1" x14ac:dyDescent="0.3">
      <c r="A11153" s="66">
        <v>11112</v>
      </c>
      <c r="B11153" s="82" t="s">
        <v>20611</v>
      </c>
      <c r="C11153" s="82"/>
      <c r="D11153" s="6"/>
      <c r="E11153" s="82"/>
      <c r="F11153" s="207" t="s">
        <v>12545</v>
      </c>
      <c r="G11153" s="66" t="s">
        <v>20608</v>
      </c>
      <c r="H11153" s="207"/>
      <c r="I11153" s="66"/>
      <c r="J11153" s="2" t="s">
        <v>12550</v>
      </c>
      <c r="K11153" s="207"/>
      <c r="L11153" s="38" t="s">
        <v>20607</v>
      </c>
      <c r="M11153" s="17"/>
      <c r="N11153" s="17"/>
      <c r="O11153" s="17"/>
    </row>
    <row r="11154" spans="1:15" ht="84" customHeight="1" x14ac:dyDescent="0.3">
      <c r="A11154" s="66">
        <v>11113</v>
      </c>
      <c r="B11154" s="82" t="s">
        <v>20612</v>
      </c>
      <c r="C11154" s="82"/>
      <c r="D11154" s="6"/>
      <c r="E11154" s="82"/>
      <c r="F11154" s="207" t="s">
        <v>12545</v>
      </c>
      <c r="G11154" s="66" t="s">
        <v>20608</v>
      </c>
      <c r="H11154" s="207"/>
      <c r="I11154" s="66"/>
      <c r="J11154" s="2" t="s">
        <v>12550</v>
      </c>
      <c r="K11154" s="207"/>
      <c r="L11154" s="38" t="s">
        <v>20607</v>
      </c>
      <c r="M11154" s="17"/>
      <c r="N11154" s="17"/>
      <c r="O11154" s="17"/>
    </row>
    <row r="11155" spans="1:15" ht="84" customHeight="1" x14ac:dyDescent="0.3">
      <c r="A11155" s="66">
        <v>11114</v>
      </c>
      <c r="B11155" s="82" t="s">
        <v>20613</v>
      </c>
      <c r="C11155" s="82"/>
      <c r="D11155" s="6"/>
      <c r="E11155" s="82"/>
      <c r="F11155" s="207" t="s">
        <v>12545</v>
      </c>
      <c r="G11155" s="66" t="s">
        <v>20608</v>
      </c>
      <c r="H11155" s="207"/>
      <c r="I11155" s="66"/>
      <c r="J11155" s="2" t="s">
        <v>12550</v>
      </c>
      <c r="K11155" s="207"/>
      <c r="L11155" s="38" t="s">
        <v>20607</v>
      </c>
      <c r="M11155" s="17"/>
      <c r="N11155" s="17"/>
      <c r="O11155" s="17"/>
    </row>
    <row r="11156" spans="1:15" ht="84" customHeight="1" x14ac:dyDescent="0.3">
      <c r="A11156" s="66">
        <v>11115</v>
      </c>
      <c r="B11156" s="82" t="s">
        <v>22549</v>
      </c>
      <c r="C11156" s="82"/>
      <c r="D11156" s="6"/>
      <c r="E11156" s="82"/>
      <c r="F11156" s="207" t="s">
        <v>12545</v>
      </c>
      <c r="G11156" s="66" t="s">
        <v>20608</v>
      </c>
      <c r="H11156" s="207"/>
      <c r="I11156" s="66"/>
      <c r="J11156" s="2" t="s">
        <v>12550</v>
      </c>
      <c r="K11156" s="207"/>
      <c r="L11156" s="38" t="s">
        <v>20607</v>
      </c>
      <c r="M11156" s="17"/>
      <c r="N11156" s="17"/>
      <c r="O11156" s="17"/>
    </row>
    <row r="11157" spans="1:15" ht="84" customHeight="1" x14ac:dyDescent="0.3">
      <c r="A11157" s="66">
        <v>11116</v>
      </c>
      <c r="B11157" s="82" t="s">
        <v>22548</v>
      </c>
      <c r="C11157" s="82"/>
      <c r="D11157" s="6"/>
      <c r="E11157" s="82"/>
      <c r="F11157" s="207" t="s">
        <v>12545</v>
      </c>
      <c r="G11157" s="66" t="s">
        <v>20608</v>
      </c>
      <c r="H11157" s="207"/>
      <c r="I11157" s="66"/>
      <c r="J11157" s="2" t="s">
        <v>12550</v>
      </c>
      <c r="K11157" s="207"/>
      <c r="L11157" s="38" t="s">
        <v>20607</v>
      </c>
      <c r="M11157" s="17"/>
      <c r="N11157" s="17"/>
      <c r="O11157" s="17"/>
    </row>
    <row r="11158" spans="1:15" ht="96" customHeight="1" x14ac:dyDescent="0.3">
      <c r="A11158" s="66">
        <v>11117</v>
      </c>
      <c r="B11158" s="242" t="s">
        <v>23138</v>
      </c>
      <c r="C11158" s="82"/>
      <c r="D11158" s="6"/>
      <c r="E11158" s="82"/>
      <c r="F11158" s="207" t="s">
        <v>12545</v>
      </c>
      <c r="G11158" s="66" t="s">
        <v>20608</v>
      </c>
      <c r="H11158" s="207"/>
      <c r="I11158" s="66"/>
      <c r="J11158" s="2" t="s">
        <v>12550</v>
      </c>
      <c r="K11158" s="207"/>
      <c r="L11158" s="38" t="s">
        <v>20607</v>
      </c>
      <c r="M11158" s="17"/>
      <c r="N11158" s="17"/>
      <c r="O11158" s="17"/>
    </row>
    <row r="11159" spans="1:15" ht="84" customHeight="1" x14ac:dyDescent="0.3">
      <c r="A11159" s="66">
        <v>11118</v>
      </c>
      <c r="B11159" s="242" t="s">
        <v>23139</v>
      </c>
      <c r="C11159" s="82"/>
      <c r="D11159" s="6"/>
      <c r="E11159" s="82"/>
      <c r="F11159" s="207" t="s">
        <v>12545</v>
      </c>
      <c r="G11159" s="66" t="s">
        <v>20608</v>
      </c>
      <c r="H11159" s="207"/>
      <c r="I11159" s="66"/>
      <c r="J11159" s="2" t="s">
        <v>12550</v>
      </c>
      <c r="K11159" s="207"/>
      <c r="L11159" s="38" t="s">
        <v>20607</v>
      </c>
      <c r="M11159" s="17"/>
      <c r="N11159" s="17"/>
      <c r="O11159" s="17"/>
    </row>
    <row r="11160" spans="1:15" ht="84" customHeight="1" x14ac:dyDescent="0.3">
      <c r="A11160" s="66">
        <v>11119</v>
      </c>
      <c r="B11160" s="82" t="s">
        <v>20614</v>
      </c>
      <c r="C11160" s="82"/>
      <c r="D11160" s="6"/>
      <c r="E11160" s="82"/>
      <c r="F11160" s="207" t="s">
        <v>12545</v>
      </c>
      <c r="G11160" s="66" t="s">
        <v>20608</v>
      </c>
      <c r="H11160" s="207"/>
      <c r="I11160" s="66"/>
      <c r="J11160" s="2" t="s">
        <v>12550</v>
      </c>
      <c r="K11160" s="207"/>
      <c r="L11160" s="38" t="s">
        <v>20607</v>
      </c>
      <c r="M11160" s="17"/>
      <c r="N11160" s="17"/>
      <c r="O11160" s="17"/>
    </row>
    <row r="11161" spans="1:15" ht="96" x14ac:dyDescent="0.3">
      <c r="A11161" s="66">
        <v>11120</v>
      </c>
      <c r="B11161" s="242" t="s">
        <v>23142</v>
      </c>
      <c r="C11161" s="82"/>
      <c r="D11161" s="6"/>
      <c r="E11161" s="82"/>
      <c r="F11161" s="207" t="s">
        <v>12545</v>
      </c>
      <c r="G11161" s="66" t="s">
        <v>20608</v>
      </c>
      <c r="H11161" s="207"/>
      <c r="I11161" s="66"/>
      <c r="J11161" s="2" t="s">
        <v>12550</v>
      </c>
      <c r="K11161" s="207"/>
      <c r="L11161" s="38" t="s">
        <v>23143</v>
      </c>
      <c r="M11161" s="17"/>
      <c r="N11161" s="17"/>
      <c r="O11161" s="17"/>
    </row>
    <row r="11162" spans="1:15" ht="96" customHeight="1" x14ac:dyDescent="0.3">
      <c r="A11162" s="66">
        <v>11121</v>
      </c>
      <c r="B11162" s="242" t="s">
        <v>23140</v>
      </c>
      <c r="C11162" s="82"/>
      <c r="D11162" s="6"/>
      <c r="E11162" s="82"/>
      <c r="F11162" s="207" t="s">
        <v>12545</v>
      </c>
      <c r="G11162" s="66" t="s">
        <v>20608</v>
      </c>
      <c r="H11162" s="207"/>
      <c r="I11162" s="66"/>
      <c r="J11162" s="2" t="s">
        <v>12550</v>
      </c>
      <c r="K11162" s="207"/>
      <c r="L11162" s="38" t="s">
        <v>20607</v>
      </c>
      <c r="M11162" s="17"/>
      <c r="N11162" s="17"/>
      <c r="O11162" s="17"/>
    </row>
    <row r="11163" spans="1:15" ht="84" customHeight="1" x14ac:dyDescent="0.3">
      <c r="A11163" s="66">
        <v>11122</v>
      </c>
      <c r="B11163" s="82" t="s">
        <v>20615</v>
      </c>
      <c r="C11163" s="82"/>
      <c r="D11163" s="6"/>
      <c r="E11163" s="82"/>
      <c r="F11163" s="207" t="s">
        <v>12545</v>
      </c>
      <c r="G11163" s="66" t="s">
        <v>20608</v>
      </c>
      <c r="H11163" s="207"/>
      <c r="I11163" s="66"/>
      <c r="J11163" s="2" t="s">
        <v>12550</v>
      </c>
      <c r="K11163" s="207"/>
      <c r="L11163" s="38" t="s">
        <v>20607</v>
      </c>
      <c r="M11163" s="17"/>
      <c r="N11163" s="17"/>
      <c r="O11163" s="17"/>
    </row>
    <row r="11164" spans="1:15" ht="84" customHeight="1" x14ac:dyDescent="0.3">
      <c r="A11164" s="66">
        <v>11123</v>
      </c>
      <c r="B11164" s="82" t="s">
        <v>20616</v>
      </c>
      <c r="C11164" s="82"/>
      <c r="D11164" s="6"/>
      <c r="E11164" s="82"/>
      <c r="F11164" s="207" t="s">
        <v>12545</v>
      </c>
      <c r="G11164" s="66" t="s">
        <v>20608</v>
      </c>
      <c r="H11164" s="207"/>
      <c r="I11164" s="66"/>
      <c r="J11164" s="2" t="s">
        <v>12550</v>
      </c>
      <c r="K11164" s="207"/>
      <c r="L11164" s="38" t="s">
        <v>20607</v>
      </c>
      <c r="M11164" s="17"/>
      <c r="N11164" s="17"/>
      <c r="O11164" s="17"/>
    </row>
    <row r="11165" spans="1:15" ht="144" customHeight="1" x14ac:dyDescent="0.3">
      <c r="A11165" s="66">
        <v>11124</v>
      </c>
      <c r="B11165" s="242" t="s">
        <v>22550</v>
      </c>
      <c r="C11165" s="82"/>
      <c r="D11165" s="6"/>
      <c r="E11165" s="82"/>
      <c r="F11165" s="207" t="s">
        <v>12545</v>
      </c>
      <c r="G11165" s="66" t="s">
        <v>20608</v>
      </c>
      <c r="H11165" s="207"/>
      <c r="I11165" s="66"/>
      <c r="J11165" s="2" t="s">
        <v>12550</v>
      </c>
      <c r="K11165" s="207"/>
      <c r="L11165" s="38" t="s">
        <v>20607</v>
      </c>
      <c r="M11165" s="17"/>
      <c r="N11165" s="17"/>
      <c r="O11165" s="17"/>
    </row>
    <row r="11166" spans="1:15" ht="84" customHeight="1" x14ac:dyDescent="0.3">
      <c r="A11166" s="233">
        <v>11125</v>
      </c>
      <c r="B11166" s="242" t="s">
        <v>22551</v>
      </c>
      <c r="C11166" s="82"/>
      <c r="D11166" s="6"/>
      <c r="E11166" s="82"/>
      <c r="F11166" s="207" t="s">
        <v>12545</v>
      </c>
      <c r="G11166" s="66" t="s">
        <v>20608</v>
      </c>
      <c r="H11166" s="207"/>
      <c r="I11166" s="66"/>
      <c r="J11166" s="2" t="s">
        <v>12550</v>
      </c>
      <c r="K11166" s="207"/>
      <c r="L11166" s="38" t="s">
        <v>20607</v>
      </c>
      <c r="M11166" s="17"/>
      <c r="N11166" s="17"/>
      <c r="O11166" s="17"/>
    </row>
    <row r="11167" spans="1:15" ht="204" customHeight="1" x14ac:dyDescent="0.3">
      <c r="A11167" s="66">
        <v>11126</v>
      </c>
      <c r="B11167" s="53" t="s">
        <v>20934</v>
      </c>
      <c r="C11167" s="53"/>
      <c r="D11167" s="25">
        <v>6075846.4299999997</v>
      </c>
      <c r="E11167" s="207"/>
      <c r="F11167" s="26">
        <v>43291</v>
      </c>
      <c r="G11167" s="66" t="s">
        <v>20935</v>
      </c>
      <c r="H11167" s="207"/>
      <c r="I11167" s="66"/>
      <c r="J11167" s="2" t="s">
        <v>12550</v>
      </c>
      <c r="K11167" s="207"/>
      <c r="L11167" s="38"/>
      <c r="M11167" s="17"/>
      <c r="N11167" s="17"/>
      <c r="O11167" s="17"/>
    </row>
    <row r="11168" spans="1:15" ht="204" customHeight="1" x14ac:dyDescent="0.3">
      <c r="A11168" s="66">
        <v>11127</v>
      </c>
      <c r="B11168" s="53" t="s">
        <v>20936</v>
      </c>
      <c r="C11168" s="53"/>
      <c r="D11168" s="25">
        <v>6085622.71</v>
      </c>
      <c r="E11168" s="207"/>
      <c r="F11168" s="26">
        <v>43291</v>
      </c>
      <c r="G11168" s="66" t="s">
        <v>20937</v>
      </c>
      <c r="H11168" s="207"/>
      <c r="I11168" s="66"/>
      <c r="J11168" s="2" t="s">
        <v>12550</v>
      </c>
      <c r="K11168" s="207"/>
      <c r="L11168" s="38"/>
      <c r="M11168" s="17"/>
      <c r="N11168" s="17"/>
      <c r="O11168" s="17"/>
    </row>
    <row r="11169" spans="1:15" ht="204" customHeight="1" x14ac:dyDescent="0.3">
      <c r="A11169" s="66">
        <v>11128</v>
      </c>
      <c r="B11169" s="53" t="s">
        <v>23141</v>
      </c>
      <c r="C11169" s="53"/>
      <c r="D11169" s="25">
        <v>6082661.2300000004</v>
      </c>
      <c r="E11169" s="207"/>
      <c r="F11169" s="26">
        <v>43291</v>
      </c>
      <c r="G11169" s="66" t="s">
        <v>20937</v>
      </c>
      <c r="H11169" s="207"/>
      <c r="I11169" s="66"/>
      <c r="J11169" s="2" t="s">
        <v>12550</v>
      </c>
      <c r="K11169" s="207"/>
      <c r="L11169" s="38"/>
      <c r="M11169" s="17"/>
      <c r="N11169" s="17"/>
      <c r="O11169" s="17"/>
    </row>
    <row r="11170" spans="1:15" ht="204" customHeight="1" x14ac:dyDescent="0.3">
      <c r="A11170" s="66">
        <v>11129</v>
      </c>
      <c r="B11170" s="53" t="s">
        <v>20938</v>
      </c>
      <c r="C11170" s="53"/>
      <c r="D11170" s="25">
        <v>6079756.9800000004</v>
      </c>
      <c r="E11170" s="207"/>
      <c r="F11170" s="26">
        <v>43291</v>
      </c>
      <c r="G11170" s="66" t="s">
        <v>20939</v>
      </c>
      <c r="H11170" s="207"/>
      <c r="I11170" s="66"/>
      <c r="J11170" s="2" t="s">
        <v>12550</v>
      </c>
      <c r="K11170" s="207"/>
      <c r="L11170" s="38"/>
      <c r="M11170" s="17"/>
      <c r="N11170" s="17"/>
      <c r="O11170" s="17"/>
    </row>
    <row r="11171" spans="1:15" ht="204" customHeight="1" x14ac:dyDescent="0.3">
      <c r="A11171" s="66">
        <v>11130</v>
      </c>
      <c r="B11171" s="53" t="s">
        <v>20940</v>
      </c>
      <c r="C11171" s="53"/>
      <c r="D11171" s="25">
        <v>6164516.0599999996</v>
      </c>
      <c r="E11171" s="207"/>
      <c r="F11171" s="26">
        <v>43291</v>
      </c>
      <c r="G11171" s="66" t="s">
        <v>20941</v>
      </c>
      <c r="H11171" s="207"/>
      <c r="I11171" s="66"/>
      <c r="J11171" s="2" t="s">
        <v>12550</v>
      </c>
      <c r="K11171" s="207"/>
      <c r="L11171" s="38"/>
      <c r="M11171" s="17"/>
      <c r="N11171" s="17"/>
      <c r="O11171" s="17"/>
    </row>
    <row r="11172" spans="1:15" ht="216" customHeight="1" x14ac:dyDescent="0.3">
      <c r="A11172" s="233">
        <v>11131</v>
      </c>
      <c r="B11172" s="53" t="s">
        <v>20942</v>
      </c>
      <c r="C11172" s="53"/>
      <c r="D11172" s="25">
        <v>6156695.04</v>
      </c>
      <c r="E11172" s="207"/>
      <c r="F11172" s="26">
        <v>43291</v>
      </c>
      <c r="G11172" s="66" t="s">
        <v>20943</v>
      </c>
      <c r="H11172" s="207"/>
      <c r="I11172" s="66"/>
      <c r="J11172" s="2" t="s">
        <v>12550</v>
      </c>
      <c r="K11172" s="207"/>
      <c r="L11172" s="38"/>
      <c r="M11172" s="17"/>
      <c r="N11172" s="17"/>
      <c r="O11172" s="17"/>
    </row>
    <row r="114389" spans="1:15" s="210" customFormat="1" x14ac:dyDescent="0.3">
      <c r="A114389" s="12"/>
      <c r="B114389" s="15"/>
      <c r="C114389" s="15"/>
      <c r="D114389" s="12"/>
      <c r="E114389" s="12"/>
      <c r="F114389" s="13"/>
      <c r="G114389" s="12"/>
      <c r="H114389" s="12"/>
      <c r="I114389" s="12"/>
      <c r="J114389" s="12"/>
      <c r="K114389" s="12"/>
      <c r="L114389" s="208"/>
      <c r="M114389" s="209"/>
      <c r="N114389" s="209"/>
      <c r="O114389" s="209"/>
    </row>
    <row r="114390" spans="1:15" s="210" customFormat="1" x14ac:dyDescent="0.3">
      <c r="A114390" s="12"/>
      <c r="B114390" s="15"/>
      <c r="C114390" s="15"/>
      <c r="D114390" s="12"/>
      <c r="E114390" s="12"/>
      <c r="F114390" s="13"/>
      <c r="G114390" s="12"/>
      <c r="H114390" s="12"/>
      <c r="I114390" s="12"/>
      <c r="J114390" s="12"/>
      <c r="K114390" s="12"/>
      <c r="L114390" s="208"/>
      <c r="M114390" s="209"/>
      <c r="N114390" s="209"/>
      <c r="O114390" s="209"/>
    </row>
    <row r="114391" spans="1:15" s="210" customFormat="1" x14ac:dyDescent="0.3">
      <c r="A114391" s="12"/>
      <c r="B114391" s="15"/>
      <c r="C114391" s="15"/>
      <c r="D114391" s="12"/>
      <c r="E114391" s="12"/>
      <c r="F114391" s="13"/>
      <c r="G114391" s="12"/>
      <c r="H114391" s="12"/>
      <c r="I114391" s="12"/>
      <c r="J114391" s="12"/>
      <c r="K114391" s="12"/>
      <c r="L114391" s="208"/>
      <c r="M114391" s="209"/>
      <c r="N114391" s="209"/>
      <c r="O114391" s="209"/>
    </row>
    <row r="114392" spans="1:15" s="210" customFormat="1" x14ac:dyDescent="0.3">
      <c r="A114392" s="12"/>
      <c r="B114392" s="15"/>
      <c r="C114392" s="15"/>
      <c r="D114392" s="12"/>
      <c r="E114392" s="12"/>
      <c r="F114392" s="13"/>
      <c r="G114392" s="12"/>
      <c r="H114392" s="12"/>
      <c r="I114392" s="12"/>
      <c r="J114392" s="12"/>
      <c r="K114392" s="12"/>
      <c r="L114392" s="208"/>
      <c r="M114392" s="209"/>
      <c r="N114392" s="209"/>
      <c r="O114392" s="209"/>
    </row>
    <row r="114393" spans="1:15" s="210" customFormat="1" x14ac:dyDescent="0.3">
      <c r="A114393" s="12"/>
      <c r="B114393" s="15"/>
      <c r="C114393" s="15"/>
      <c r="D114393" s="12"/>
      <c r="E114393" s="12"/>
      <c r="F114393" s="13"/>
      <c r="G114393" s="12"/>
      <c r="H114393" s="12"/>
      <c r="I114393" s="12"/>
      <c r="J114393" s="12"/>
      <c r="K114393" s="12"/>
      <c r="L114393" s="208"/>
      <c r="M114393" s="209"/>
      <c r="N114393" s="209"/>
      <c r="O114393" s="209"/>
    </row>
    <row r="114394" spans="1:15" s="210" customFormat="1" x14ac:dyDescent="0.3">
      <c r="A114394" s="12"/>
      <c r="B114394" s="15"/>
      <c r="C114394" s="15"/>
      <c r="D114394" s="12"/>
      <c r="E114394" s="12"/>
      <c r="F114394" s="13"/>
      <c r="G114394" s="12"/>
      <c r="H114394" s="12"/>
      <c r="I114394" s="12"/>
      <c r="J114394" s="12"/>
      <c r="K114394" s="12"/>
      <c r="L114394" s="208"/>
      <c r="M114394" s="209"/>
      <c r="N114394" s="209"/>
      <c r="O114394" s="209"/>
    </row>
    <row r="114395" spans="1:15" s="210" customFormat="1" x14ac:dyDescent="0.3">
      <c r="A114395" s="12"/>
      <c r="B114395" s="15"/>
      <c r="C114395" s="15"/>
      <c r="D114395" s="12"/>
      <c r="E114395" s="12"/>
      <c r="F114395" s="13"/>
      <c r="G114395" s="12"/>
      <c r="H114395" s="12"/>
      <c r="I114395" s="12"/>
      <c r="J114395" s="12"/>
      <c r="K114395" s="12"/>
      <c r="L114395" s="208"/>
      <c r="M114395" s="209"/>
      <c r="N114395" s="209"/>
      <c r="O114395" s="209"/>
    </row>
    <row r="114396" spans="1:15" s="210" customFormat="1" x14ac:dyDescent="0.3">
      <c r="A114396" s="12"/>
      <c r="B114396" s="15"/>
      <c r="C114396" s="15"/>
      <c r="D114396" s="12"/>
      <c r="E114396" s="12"/>
      <c r="F114396" s="13"/>
      <c r="G114396" s="12"/>
      <c r="H114396" s="12"/>
      <c r="I114396" s="12"/>
      <c r="J114396" s="12"/>
      <c r="K114396" s="12"/>
      <c r="L114396" s="208"/>
      <c r="M114396" s="209"/>
      <c r="N114396" s="209"/>
      <c r="O114396" s="209"/>
    </row>
    <row r="114397" spans="1:15" s="210" customFormat="1" x14ac:dyDescent="0.3">
      <c r="A114397" s="12"/>
      <c r="B114397" s="15"/>
      <c r="C114397" s="15"/>
      <c r="D114397" s="12"/>
      <c r="E114397" s="12"/>
      <c r="F114397" s="13"/>
      <c r="G114397" s="12"/>
      <c r="H114397" s="12"/>
      <c r="I114397" s="12"/>
      <c r="J114397" s="12"/>
      <c r="K114397" s="12"/>
      <c r="L114397" s="208"/>
      <c r="M114397" s="209"/>
      <c r="N114397" s="209"/>
      <c r="O114397" s="209"/>
    </row>
    <row r="114398" spans="1:15" s="210" customFormat="1" x14ac:dyDescent="0.3">
      <c r="A114398" s="12"/>
      <c r="B114398" s="15"/>
      <c r="C114398" s="15"/>
      <c r="D114398" s="12"/>
      <c r="E114398" s="12"/>
      <c r="F114398" s="13"/>
      <c r="G114398" s="12"/>
      <c r="H114398" s="12"/>
      <c r="I114398" s="12"/>
      <c r="J114398" s="12"/>
      <c r="K114398" s="12"/>
      <c r="L114398" s="208"/>
      <c r="M114398" s="209"/>
      <c r="N114398" s="209"/>
      <c r="O114398" s="209"/>
    </row>
    <row r="114399" spans="1:15" s="210" customFormat="1" x14ac:dyDescent="0.3">
      <c r="A114399" s="12"/>
      <c r="B114399" s="15"/>
      <c r="C114399" s="15"/>
      <c r="D114399" s="12"/>
      <c r="E114399" s="12"/>
      <c r="F114399" s="13"/>
      <c r="G114399" s="12"/>
      <c r="H114399" s="12"/>
      <c r="I114399" s="12"/>
      <c r="J114399" s="12"/>
      <c r="K114399" s="12"/>
      <c r="L114399" s="208"/>
      <c r="M114399" s="209"/>
      <c r="N114399" s="209"/>
      <c r="O114399" s="209"/>
    </row>
    <row r="114400" spans="1:15" s="210" customFormat="1" x14ac:dyDescent="0.3">
      <c r="A114400" s="12"/>
      <c r="B114400" s="15"/>
      <c r="C114400" s="15"/>
      <c r="D114400" s="12"/>
      <c r="E114400" s="12"/>
      <c r="F114400" s="13"/>
      <c r="G114400" s="12"/>
      <c r="H114400" s="12"/>
      <c r="I114400" s="12"/>
      <c r="J114400" s="12"/>
      <c r="K114400" s="12"/>
      <c r="L114400" s="208"/>
      <c r="M114400" s="209"/>
      <c r="N114400" s="209"/>
      <c r="O114400" s="209"/>
    </row>
    <row r="114401" spans="1:15" s="210" customFormat="1" x14ac:dyDescent="0.3">
      <c r="A114401" s="12"/>
      <c r="B114401" s="15"/>
      <c r="C114401" s="15"/>
      <c r="D114401" s="12"/>
      <c r="E114401" s="12"/>
      <c r="F114401" s="13"/>
      <c r="G114401" s="12"/>
      <c r="H114401" s="12"/>
      <c r="I114401" s="12"/>
      <c r="J114401" s="12"/>
      <c r="K114401" s="12"/>
      <c r="L114401" s="208"/>
      <c r="M114401" s="209"/>
      <c r="N114401" s="209"/>
      <c r="O114401" s="209"/>
    </row>
    <row r="114402" spans="1:15" s="210" customFormat="1" x14ac:dyDescent="0.3">
      <c r="A114402" s="12"/>
      <c r="B114402" s="15"/>
      <c r="C114402" s="15"/>
      <c r="D114402" s="12"/>
      <c r="E114402" s="12"/>
      <c r="F114402" s="13"/>
      <c r="G114402" s="12"/>
      <c r="H114402" s="12"/>
      <c r="I114402" s="12"/>
      <c r="J114402" s="12"/>
      <c r="K114402" s="12"/>
      <c r="L114402" s="208"/>
      <c r="M114402" s="209"/>
      <c r="N114402" s="209"/>
      <c r="O114402" s="209"/>
    </row>
    <row r="114403" spans="1:15" s="210" customFormat="1" x14ac:dyDescent="0.3">
      <c r="A114403" s="12"/>
      <c r="B114403" s="15"/>
      <c r="C114403" s="15"/>
      <c r="D114403" s="12"/>
      <c r="E114403" s="12"/>
      <c r="F114403" s="13"/>
      <c r="G114403" s="12"/>
      <c r="H114403" s="12"/>
      <c r="I114403" s="12"/>
      <c r="J114403" s="12"/>
      <c r="K114403" s="12"/>
      <c r="L114403" s="208"/>
      <c r="M114403" s="209"/>
      <c r="N114403" s="209"/>
      <c r="O114403" s="209"/>
    </row>
    <row r="114404" spans="1:15" s="210" customFormat="1" x14ac:dyDescent="0.3">
      <c r="A114404" s="12"/>
      <c r="B114404" s="15"/>
      <c r="C114404" s="15"/>
      <c r="D114404" s="12"/>
      <c r="E114404" s="12"/>
      <c r="F114404" s="13"/>
      <c r="G114404" s="12"/>
      <c r="H114404" s="12"/>
      <c r="I114404" s="12"/>
      <c r="J114404" s="12"/>
      <c r="K114404" s="12"/>
      <c r="L114404" s="208"/>
      <c r="M114404" s="209"/>
      <c r="N114404" s="209"/>
      <c r="O114404" s="209"/>
    </row>
    <row r="114405" spans="1:15" s="210" customFormat="1" x14ac:dyDescent="0.3">
      <c r="A114405" s="12"/>
      <c r="B114405" s="15"/>
      <c r="C114405" s="15"/>
      <c r="D114405" s="12"/>
      <c r="E114405" s="12"/>
      <c r="F114405" s="13"/>
      <c r="G114405" s="12"/>
      <c r="H114405" s="12"/>
      <c r="I114405" s="12"/>
      <c r="J114405" s="12"/>
      <c r="K114405" s="12"/>
      <c r="L114405" s="208"/>
      <c r="M114405" s="209"/>
      <c r="N114405" s="209"/>
      <c r="O114405" s="209"/>
    </row>
    <row r="114406" spans="1:15" s="210" customFormat="1" x14ac:dyDescent="0.3">
      <c r="A114406" s="12"/>
      <c r="B114406" s="15"/>
      <c r="C114406" s="15"/>
      <c r="D114406" s="12"/>
      <c r="E114406" s="12"/>
      <c r="F114406" s="13"/>
      <c r="G114406" s="12"/>
      <c r="H114406" s="12"/>
      <c r="I114406" s="12"/>
      <c r="J114406" s="12"/>
      <c r="K114406" s="12"/>
      <c r="L114406" s="208"/>
      <c r="M114406" s="209"/>
      <c r="N114406" s="209"/>
      <c r="O114406" s="209"/>
    </row>
    <row r="114407" spans="1:15" s="210" customFormat="1" x14ac:dyDescent="0.3">
      <c r="A114407" s="12"/>
      <c r="B114407" s="15"/>
      <c r="C114407" s="15"/>
      <c r="D114407" s="12"/>
      <c r="E114407" s="12"/>
      <c r="F114407" s="13"/>
      <c r="G114407" s="12"/>
      <c r="H114407" s="12"/>
      <c r="I114407" s="12"/>
      <c r="J114407" s="12"/>
      <c r="K114407" s="12"/>
      <c r="L114407" s="208"/>
      <c r="M114407" s="209"/>
      <c r="N114407" s="209"/>
      <c r="O114407" s="209"/>
    </row>
    <row r="114408" spans="1:15" s="210" customFormat="1" x14ac:dyDescent="0.3">
      <c r="A114408" s="12"/>
      <c r="B114408" s="15"/>
      <c r="C114408" s="15"/>
      <c r="D114408" s="12"/>
      <c r="E114408" s="12"/>
      <c r="F114408" s="13"/>
      <c r="G114408" s="12"/>
      <c r="H114408" s="12"/>
      <c r="I114408" s="12"/>
      <c r="J114408" s="12"/>
      <c r="K114408" s="12"/>
      <c r="L114408" s="208"/>
      <c r="M114408" s="209"/>
      <c r="N114408" s="209"/>
      <c r="O114408" s="209"/>
    </row>
    <row r="114409" spans="1:15" s="210" customFormat="1" x14ac:dyDescent="0.3">
      <c r="A114409" s="12"/>
      <c r="B114409" s="15"/>
      <c r="C114409" s="15"/>
      <c r="D114409" s="12"/>
      <c r="E114409" s="12"/>
      <c r="F114409" s="13"/>
      <c r="G114409" s="12"/>
      <c r="H114409" s="12"/>
      <c r="I114409" s="12"/>
      <c r="J114409" s="12"/>
      <c r="K114409" s="12"/>
      <c r="L114409" s="208"/>
      <c r="M114409" s="209"/>
      <c r="N114409" s="209"/>
      <c r="O114409" s="209"/>
    </row>
    <row r="114410" spans="1:15" s="210" customFormat="1" x14ac:dyDescent="0.3">
      <c r="A114410" s="12"/>
      <c r="B114410" s="15"/>
      <c r="C114410" s="15"/>
      <c r="D114410" s="12"/>
      <c r="E114410" s="12"/>
      <c r="F114410" s="13"/>
      <c r="G114410" s="12"/>
      <c r="H114410" s="12"/>
      <c r="I114410" s="12"/>
      <c r="J114410" s="12"/>
      <c r="K114410" s="12"/>
      <c r="L114410" s="208"/>
      <c r="M114410" s="209"/>
      <c r="N114410" s="209"/>
      <c r="O114410" s="209"/>
    </row>
    <row r="114411" spans="1:15" s="210" customFormat="1" x14ac:dyDescent="0.3">
      <c r="A114411" s="12"/>
      <c r="B114411" s="15"/>
      <c r="C114411" s="15"/>
      <c r="D114411" s="12"/>
      <c r="E114411" s="12"/>
      <c r="F114411" s="13"/>
      <c r="G114411" s="12"/>
      <c r="H114411" s="12"/>
      <c r="I114411" s="12"/>
      <c r="J114411" s="12"/>
      <c r="K114411" s="12"/>
      <c r="L114411" s="208"/>
      <c r="M114411" s="209"/>
      <c r="N114411" s="209"/>
      <c r="O114411" s="209"/>
    </row>
    <row r="114412" spans="1:15" s="210" customFormat="1" x14ac:dyDescent="0.3">
      <c r="A114412" s="12"/>
      <c r="B114412" s="15"/>
      <c r="C114412" s="15"/>
      <c r="D114412" s="12"/>
      <c r="E114412" s="12"/>
      <c r="F114412" s="13"/>
      <c r="G114412" s="12"/>
      <c r="H114412" s="12"/>
      <c r="I114412" s="12"/>
      <c r="J114412" s="12"/>
      <c r="K114412" s="12"/>
      <c r="L114412" s="208"/>
      <c r="M114412" s="209"/>
      <c r="N114412" s="209"/>
      <c r="O114412" s="209"/>
    </row>
    <row r="114413" spans="1:15" s="210" customFormat="1" x14ac:dyDescent="0.3">
      <c r="A114413" s="12"/>
      <c r="B114413" s="15"/>
      <c r="C114413" s="15"/>
      <c r="D114413" s="12"/>
      <c r="E114413" s="12"/>
      <c r="F114413" s="13"/>
      <c r="G114413" s="12"/>
      <c r="H114413" s="12"/>
      <c r="I114413" s="12"/>
      <c r="J114413" s="12"/>
      <c r="K114413" s="12"/>
      <c r="L114413" s="208"/>
      <c r="M114413" s="209"/>
      <c r="N114413" s="209"/>
      <c r="O114413" s="209"/>
    </row>
    <row r="114414" spans="1:15" s="210" customFormat="1" x14ac:dyDescent="0.3">
      <c r="A114414" s="12"/>
      <c r="B114414" s="15"/>
      <c r="C114414" s="15"/>
      <c r="D114414" s="12"/>
      <c r="E114414" s="12"/>
      <c r="F114414" s="13"/>
      <c r="G114414" s="12"/>
      <c r="H114414" s="12"/>
      <c r="I114414" s="12"/>
      <c r="J114414" s="12"/>
      <c r="K114414" s="12"/>
      <c r="L114414" s="208"/>
      <c r="M114414" s="209"/>
      <c r="N114414" s="209"/>
      <c r="O114414" s="209"/>
    </row>
    <row r="114415" spans="1:15" s="210" customFormat="1" x14ac:dyDescent="0.3">
      <c r="A114415" s="12"/>
      <c r="B114415" s="15"/>
      <c r="C114415" s="15"/>
      <c r="D114415" s="12"/>
      <c r="E114415" s="12"/>
      <c r="F114415" s="13"/>
      <c r="G114415" s="12"/>
      <c r="H114415" s="12"/>
      <c r="I114415" s="12"/>
      <c r="J114415" s="12"/>
      <c r="K114415" s="12"/>
      <c r="L114415" s="208"/>
      <c r="M114415" s="209"/>
      <c r="N114415" s="209"/>
      <c r="O114415" s="209"/>
    </row>
    <row r="114416" spans="1:15" s="210" customFormat="1" x14ac:dyDescent="0.3">
      <c r="A114416" s="12"/>
      <c r="B114416" s="15"/>
      <c r="C114416" s="15"/>
      <c r="D114416" s="12"/>
      <c r="E114416" s="12"/>
      <c r="F114416" s="13"/>
      <c r="G114416" s="12"/>
      <c r="H114416" s="12"/>
      <c r="I114416" s="12"/>
      <c r="J114416" s="12"/>
      <c r="K114416" s="12"/>
      <c r="L114416" s="208"/>
      <c r="M114416" s="209"/>
      <c r="N114416" s="209"/>
      <c r="O114416" s="209"/>
    </row>
    <row r="114417" spans="1:15" s="210" customFormat="1" x14ac:dyDescent="0.3">
      <c r="A114417" s="12"/>
      <c r="B114417" s="15"/>
      <c r="C114417" s="15"/>
      <c r="D114417" s="12"/>
      <c r="E114417" s="12"/>
      <c r="F114417" s="13"/>
      <c r="G114417" s="12"/>
      <c r="H114417" s="12"/>
      <c r="I114417" s="12"/>
      <c r="J114417" s="12"/>
      <c r="K114417" s="12"/>
      <c r="L114417" s="208"/>
      <c r="M114417" s="209"/>
      <c r="N114417" s="209"/>
      <c r="O114417" s="209"/>
    </row>
    <row r="114418" spans="1:15" s="210" customFormat="1" x14ac:dyDescent="0.3">
      <c r="A114418" s="12"/>
      <c r="B114418" s="15"/>
      <c r="C114418" s="15"/>
      <c r="D114418" s="12"/>
      <c r="E114418" s="12"/>
      <c r="F114418" s="13"/>
      <c r="G114418" s="12"/>
      <c r="H114418" s="12"/>
      <c r="I114418" s="12"/>
      <c r="J114418" s="12"/>
      <c r="K114418" s="12"/>
      <c r="L114418" s="208"/>
      <c r="M114418" s="209"/>
      <c r="N114418" s="209"/>
      <c r="O114418" s="209"/>
    </row>
    <row r="114419" spans="1:15" s="210" customFormat="1" x14ac:dyDescent="0.3">
      <c r="A114419" s="12"/>
      <c r="B114419" s="15"/>
      <c r="C114419" s="15"/>
      <c r="D114419" s="12"/>
      <c r="E114419" s="12"/>
      <c r="F114419" s="13"/>
      <c r="G114419" s="12"/>
      <c r="H114419" s="12"/>
      <c r="I114419" s="12"/>
      <c r="J114419" s="12"/>
      <c r="K114419" s="12"/>
      <c r="L114419" s="208"/>
      <c r="M114419" s="209"/>
      <c r="N114419" s="209"/>
      <c r="O114419" s="209"/>
    </row>
    <row r="114420" spans="1:15" s="210" customFormat="1" x14ac:dyDescent="0.3">
      <c r="A114420" s="12"/>
      <c r="B114420" s="15"/>
      <c r="C114420" s="15"/>
      <c r="D114420" s="12"/>
      <c r="E114420" s="12"/>
      <c r="F114420" s="13"/>
      <c r="G114420" s="12"/>
      <c r="H114420" s="12"/>
      <c r="I114420" s="12"/>
      <c r="J114420" s="12"/>
      <c r="K114420" s="12"/>
      <c r="L114420" s="208"/>
      <c r="M114420" s="209"/>
      <c r="N114420" s="209"/>
      <c r="O114420" s="209"/>
    </row>
    <row r="114421" spans="1:15" s="210" customFormat="1" x14ac:dyDescent="0.3">
      <c r="A114421" s="12"/>
      <c r="B114421" s="15"/>
      <c r="C114421" s="15"/>
      <c r="D114421" s="12"/>
      <c r="E114421" s="12"/>
      <c r="F114421" s="13"/>
      <c r="G114421" s="12"/>
      <c r="H114421" s="12"/>
      <c r="I114421" s="12"/>
      <c r="J114421" s="12"/>
      <c r="K114421" s="12"/>
      <c r="L114421" s="208"/>
      <c r="M114421" s="209"/>
      <c r="N114421" s="209"/>
      <c r="O114421" s="209"/>
    </row>
    <row r="114422" spans="1:15" s="210" customFormat="1" x14ac:dyDescent="0.3">
      <c r="A114422" s="12"/>
      <c r="B114422" s="15"/>
      <c r="C114422" s="15"/>
      <c r="D114422" s="12"/>
      <c r="E114422" s="12"/>
      <c r="F114422" s="13"/>
      <c r="G114422" s="12"/>
      <c r="H114422" s="12"/>
      <c r="I114422" s="12"/>
      <c r="J114422" s="12"/>
      <c r="K114422" s="12"/>
      <c r="L114422" s="208"/>
      <c r="M114422" s="209"/>
      <c r="N114422" s="209"/>
      <c r="O114422" s="209"/>
    </row>
    <row r="114423" spans="1:15" s="210" customFormat="1" x14ac:dyDescent="0.3">
      <c r="A114423" s="12"/>
      <c r="B114423" s="15"/>
      <c r="C114423" s="15"/>
      <c r="D114423" s="12"/>
      <c r="E114423" s="12"/>
      <c r="F114423" s="13"/>
      <c r="G114423" s="12"/>
      <c r="H114423" s="12"/>
      <c r="I114423" s="12"/>
      <c r="J114423" s="12"/>
      <c r="K114423" s="12"/>
      <c r="L114423" s="208"/>
      <c r="M114423" s="209"/>
      <c r="N114423" s="209"/>
      <c r="O114423" s="209"/>
    </row>
    <row r="114424" spans="1:15" s="210" customFormat="1" x14ac:dyDescent="0.3">
      <c r="A114424" s="12"/>
      <c r="B114424" s="15"/>
      <c r="C114424" s="15"/>
      <c r="D114424" s="12"/>
      <c r="E114424" s="12"/>
      <c r="F114424" s="13"/>
      <c r="G114424" s="12"/>
      <c r="H114424" s="12"/>
      <c r="I114424" s="12"/>
      <c r="J114424" s="12"/>
      <c r="K114424" s="12"/>
      <c r="L114424" s="208"/>
      <c r="M114424" s="209"/>
      <c r="N114424" s="209"/>
      <c r="O114424" s="209"/>
    </row>
    <row r="114425" spans="1:15" s="210" customFormat="1" x14ac:dyDescent="0.3">
      <c r="A114425" s="12"/>
      <c r="B114425" s="15"/>
      <c r="C114425" s="15"/>
      <c r="D114425" s="12"/>
      <c r="E114425" s="12"/>
      <c r="F114425" s="13"/>
      <c r="G114425" s="12"/>
      <c r="H114425" s="12"/>
      <c r="I114425" s="12"/>
      <c r="J114425" s="12"/>
      <c r="K114425" s="12"/>
      <c r="L114425" s="208"/>
      <c r="M114425" s="209"/>
      <c r="N114425" s="209"/>
      <c r="O114425" s="209"/>
    </row>
    <row r="114426" spans="1:15" s="210" customFormat="1" x14ac:dyDescent="0.3">
      <c r="A114426" s="12"/>
      <c r="B114426" s="15"/>
      <c r="C114426" s="15"/>
      <c r="D114426" s="12"/>
      <c r="E114426" s="12"/>
      <c r="F114426" s="13"/>
      <c r="G114426" s="12"/>
      <c r="H114426" s="12"/>
      <c r="I114426" s="12"/>
      <c r="J114426" s="12"/>
      <c r="K114426" s="12"/>
      <c r="L114426" s="208"/>
      <c r="M114426" s="209"/>
      <c r="N114426" s="209"/>
      <c r="O114426" s="209"/>
    </row>
    <row r="114427" spans="1:15" s="210" customFormat="1" x14ac:dyDescent="0.3">
      <c r="A114427" s="12"/>
      <c r="B114427" s="15"/>
      <c r="C114427" s="15"/>
      <c r="D114427" s="12"/>
      <c r="E114427" s="12"/>
      <c r="F114427" s="13"/>
      <c r="G114427" s="12"/>
      <c r="H114427" s="12"/>
      <c r="I114427" s="12"/>
      <c r="J114427" s="12"/>
      <c r="K114427" s="12"/>
      <c r="L114427" s="208"/>
      <c r="M114427" s="209"/>
      <c r="N114427" s="209"/>
      <c r="O114427" s="209"/>
    </row>
    <row r="114428" spans="1:15" s="210" customFormat="1" x14ac:dyDescent="0.3">
      <c r="A114428" s="12"/>
      <c r="B114428" s="15"/>
      <c r="C114428" s="15"/>
      <c r="D114428" s="12"/>
      <c r="E114428" s="12"/>
      <c r="F114428" s="13"/>
      <c r="G114428" s="12"/>
      <c r="H114428" s="12"/>
      <c r="I114428" s="12"/>
      <c r="J114428" s="12"/>
      <c r="K114428" s="12"/>
      <c r="L114428" s="208"/>
      <c r="M114428" s="209"/>
      <c r="N114428" s="209"/>
      <c r="O114428" s="209"/>
    </row>
    <row r="114429" spans="1:15" s="210" customFormat="1" x14ac:dyDescent="0.3">
      <c r="A114429" s="12"/>
      <c r="B114429" s="15"/>
      <c r="C114429" s="15"/>
      <c r="D114429" s="12"/>
      <c r="E114429" s="12"/>
      <c r="F114429" s="13"/>
      <c r="G114429" s="12"/>
      <c r="H114429" s="12"/>
      <c r="I114429" s="12"/>
      <c r="J114429" s="12"/>
      <c r="K114429" s="12"/>
      <c r="L114429" s="208"/>
      <c r="M114429" s="209"/>
      <c r="N114429" s="209"/>
      <c r="O114429" s="209"/>
    </row>
    <row r="114430" spans="1:15" s="210" customFormat="1" x14ac:dyDescent="0.3">
      <c r="A114430" s="12"/>
      <c r="B114430" s="15"/>
      <c r="C114430" s="15"/>
      <c r="D114430" s="12"/>
      <c r="E114430" s="12"/>
      <c r="F114430" s="13"/>
      <c r="G114430" s="12"/>
      <c r="H114430" s="12"/>
      <c r="I114430" s="12"/>
      <c r="J114430" s="12"/>
      <c r="K114430" s="12"/>
      <c r="L114430" s="208"/>
      <c r="M114430" s="209"/>
      <c r="N114430" s="209"/>
      <c r="O114430" s="209"/>
    </row>
    <row r="114431" spans="1:15" s="210" customFormat="1" x14ac:dyDescent="0.3">
      <c r="A114431" s="12"/>
      <c r="B114431" s="15"/>
      <c r="C114431" s="15"/>
      <c r="D114431" s="12"/>
      <c r="E114431" s="12"/>
      <c r="F114431" s="13"/>
      <c r="G114431" s="12"/>
      <c r="H114431" s="12"/>
      <c r="I114431" s="12"/>
      <c r="J114431" s="12"/>
      <c r="K114431" s="12"/>
      <c r="L114431" s="208"/>
      <c r="M114431" s="209"/>
      <c r="N114431" s="209"/>
      <c r="O114431" s="209"/>
    </row>
    <row r="114432" spans="1:15" s="210" customFormat="1" x14ac:dyDescent="0.3">
      <c r="A114432" s="12"/>
      <c r="B114432" s="15"/>
      <c r="C114432" s="15"/>
      <c r="D114432" s="12"/>
      <c r="E114432" s="12"/>
      <c r="F114432" s="13"/>
      <c r="G114432" s="12"/>
      <c r="H114432" s="12"/>
      <c r="I114432" s="12"/>
      <c r="J114432" s="12"/>
      <c r="K114432" s="12"/>
      <c r="L114432" s="208"/>
      <c r="M114432" s="209"/>
      <c r="N114432" s="209"/>
      <c r="O114432" s="209"/>
    </row>
    <row r="114433" spans="1:15" s="210" customFormat="1" x14ac:dyDescent="0.3">
      <c r="A114433" s="12"/>
      <c r="B114433" s="15"/>
      <c r="C114433" s="15"/>
      <c r="D114433" s="12"/>
      <c r="E114433" s="12"/>
      <c r="F114433" s="13"/>
      <c r="G114433" s="12"/>
      <c r="H114433" s="12"/>
      <c r="I114433" s="12"/>
      <c r="J114433" s="12"/>
      <c r="K114433" s="12"/>
      <c r="L114433" s="208"/>
      <c r="M114433" s="209"/>
      <c r="N114433" s="209"/>
      <c r="O114433" s="209"/>
    </row>
    <row r="114434" spans="1:15" s="210" customFormat="1" x14ac:dyDescent="0.3">
      <c r="A114434" s="12"/>
      <c r="B114434" s="15"/>
      <c r="C114434" s="15"/>
      <c r="D114434" s="12"/>
      <c r="E114434" s="12"/>
      <c r="F114434" s="13"/>
      <c r="G114434" s="12"/>
      <c r="H114434" s="12"/>
      <c r="I114434" s="12"/>
      <c r="J114434" s="12"/>
      <c r="K114434" s="12"/>
      <c r="L114434" s="208"/>
      <c r="M114434" s="209"/>
      <c r="N114434" s="209"/>
      <c r="O114434" s="209"/>
    </row>
    <row r="114435" spans="1:15" s="210" customFormat="1" x14ac:dyDescent="0.3">
      <c r="A114435" s="12"/>
      <c r="B114435" s="15"/>
      <c r="C114435" s="15"/>
      <c r="D114435" s="12"/>
      <c r="E114435" s="12"/>
      <c r="F114435" s="13"/>
      <c r="G114435" s="12"/>
      <c r="H114435" s="12"/>
      <c r="I114435" s="12"/>
      <c r="J114435" s="12"/>
      <c r="K114435" s="12"/>
      <c r="L114435" s="208"/>
      <c r="M114435" s="209"/>
      <c r="N114435" s="209"/>
      <c r="O114435" s="209"/>
    </row>
    <row r="114436" spans="1:15" s="210" customFormat="1" x14ac:dyDescent="0.3">
      <c r="A114436" s="12"/>
      <c r="B114436" s="15"/>
      <c r="C114436" s="15"/>
      <c r="D114436" s="12"/>
      <c r="E114436" s="12"/>
      <c r="F114436" s="13"/>
      <c r="G114436" s="12"/>
      <c r="H114436" s="12"/>
      <c r="I114436" s="12"/>
      <c r="J114436" s="12"/>
      <c r="K114436" s="12"/>
      <c r="L114436" s="208"/>
      <c r="M114436" s="209"/>
      <c r="N114436" s="209"/>
      <c r="O114436" s="209"/>
    </row>
    <row r="114437" spans="1:15" s="210" customFormat="1" x14ac:dyDescent="0.3">
      <c r="A114437" s="12"/>
      <c r="B114437" s="15"/>
      <c r="C114437" s="15"/>
      <c r="D114437" s="12"/>
      <c r="E114437" s="12"/>
      <c r="F114437" s="13"/>
      <c r="G114437" s="12"/>
      <c r="H114437" s="12"/>
      <c r="I114437" s="12"/>
      <c r="J114437" s="12"/>
      <c r="K114437" s="12"/>
      <c r="L114437" s="208"/>
      <c r="M114437" s="209"/>
      <c r="N114437" s="209"/>
      <c r="O114437" s="209"/>
    </row>
    <row r="114438" spans="1:15" s="210" customFormat="1" x14ac:dyDescent="0.3">
      <c r="A114438" s="12"/>
      <c r="B114438" s="15"/>
      <c r="C114438" s="15"/>
      <c r="D114438" s="12"/>
      <c r="E114438" s="12"/>
      <c r="F114438" s="13"/>
      <c r="G114438" s="12"/>
      <c r="H114438" s="12"/>
      <c r="I114438" s="12"/>
      <c r="J114438" s="12"/>
      <c r="K114438" s="12"/>
      <c r="L114438" s="208"/>
      <c r="M114438" s="209"/>
      <c r="N114438" s="209"/>
      <c r="O114438" s="209"/>
    </row>
    <row r="114439" spans="1:15" s="210" customFormat="1" x14ac:dyDescent="0.3">
      <c r="A114439" s="12"/>
      <c r="B114439" s="15"/>
      <c r="C114439" s="15"/>
      <c r="D114439" s="12"/>
      <c r="E114439" s="12"/>
      <c r="F114439" s="13"/>
      <c r="G114439" s="12"/>
      <c r="H114439" s="12"/>
      <c r="I114439" s="12"/>
      <c r="J114439" s="12"/>
      <c r="K114439" s="12"/>
      <c r="L114439" s="208"/>
      <c r="M114439" s="209"/>
      <c r="N114439" s="209"/>
      <c r="O114439" s="209"/>
    </row>
    <row r="114440" spans="1:15" s="210" customFormat="1" x14ac:dyDescent="0.3">
      <c r="A114440" s="12"/>
      <c r="B114440" s="15"/>
      <c r="C114440" s="15"/>
      <c r="D114440" s="12"/>
      <c r="E114440" s="12"/>
      <c r="F114440" s="13"/>
      <c r="G114440" s="12"/>
      <c r="H114440" s="12"/>
      <c r="I114440" s="12"/>
      <c r="J114440" s="12"/>
      <c r="K114440" s="12"/>
      <c r="L114440" s="208"/>
      <c r="M114440" s="209"/>
      <c r="N114440" s="209"/>
      <c r="O114440" s="209"/>
    </row>
    <row r="114441" spans="1:15" s="210" customFormat="1" x14ac:dyDescent="0.3">
      <c r="A114441" s="12"/>
      <c r="B114441" s="15"/>
      <c r="C114441" s="15"/>
      <c r="D114441" s="12"/>
      <c r="E114441" s="12"/>
      <c r="F114441" s="13"/>
      <c r="G114441" s="12"/>
      <c r="H114441" s="12"/>
      <c r="I114441" s="12"/>
      <c r="J114441" s="12"/>
      <c r="K114441" s="12"/>
      <c r="L114441" s="208"/>
      <c r="M114441" s="209"/>
      <c r="N114441" s="209"/>
      <c r="O114441" s="209"/>
    </row>
    <row r="114442" spans="1:15" s="210" customFormat="1" x14ac:dyDescent="0.3">
      <c r="A114442" s="12"/>
      <c r="B114442" s="15"/>
      <c r="C114442" s="15"/>
      <c r="D114442" s="12"/>
      <c r="E114442" s="12"/>
      <c r="F114442" s="13"/>
      <c r="G114442" s="12"/>
      <c r="H114442" s="12"/>
      <c r="I114442" s="12"/>
      <c r="J114442" s="12"/>
      <c r="K114442" s="12"/>
      <c r="L114442" s="208"/>
      <c r="M114442" s="209"/>
      <c r="N114442" s="209"/>
      <c r="O114442" s="209"/>
    </row>
    <row r="114443" spans="1:15" s="210" customFormat="1" x14ac:dyDescent="0.3">
      <c r="A114443" s="12"/>
      <c r="B114443" s="15"/>
      <c r="C114443" s="15"/>
      <c r="D114443" s="12"/>
      <c r="E114443" s="12"/>
      <c r="F114443" s="13"/>
      <c r="G114443" s="12"/>
      <c r="H114443" s="12"/>
      <c r="I114443" s="12"/>
      <c r="J114443" s="12"/>
      <c r="K114443" s="12"/>
      <c r="L114443" s="208"/>
      <c r="M114443" s="209"/>
      <c r="N114443" s="209"/>
      <c r="O114443" s="209"/>
    </row>
    <row r="114444" spans="1:15" s="210" customFormat="1" x14ac:dyDescent="0.3">
      <c r="A114444" s="12"/>
      <c r="B114444" s="15"/>
      <c r="C114444" s="15"/>
      <c r="D114444" s="12"/>
      <c r="E114444" s="12"/>
      <c r="F114444" s="13"/>
      <c r="G114444" s="12"/>
      <c r="H114444" s="12"/>
      <c r="I114444" s="12"/>
      <c r="J114444" s="12"/>
      <c r="K114444" s="12"/>
      <c r="L114444" s="208"/>
      <c r="M114444" s="209"/>
      <c r="N114444" s="209"/>
      <c r="O114444" s="209"/>
    </row>
    <row r="114445" spans="1:15" s="210" customFormat="1" x14ac:dyDescent="0.3">
      <c r="A114445" s="12"/>
      <c r="B114445" s="15"/>
      <c r="C114445" s="15"/>
      <c r="D114445" s="12"/>
      <c r="E114445" s="12"/>
      <c r="F114445" s="13"/>
      <c r="G114445" s="12"/>
      <c r="H114445" s="12"/>
      <c r="I114445" s="12"/>
      <c r="J114445" s="12"/>
      <c r="K114445" s="12"/>
      <c r="L114445" s="208"/>
      <c r="M114445" s="209"/>
      <c r="N114445" s="209"/>
      <c r="O114445" s="209"/>
    </row>
    <row r="114446" spans="1:15" s="210" customFormat="1" x14ac:dyDescent="0.3">
      <c r="A114446" s="12"/>
      <c r="B114446" s="15"/>
      <c r="C114446" s="15"/>
      <c r="D114446" s="12"/>
      <c r="E114446" s="12"/>
      <c r="F114446" s="13"/>
      <c r="G114446" s="12"/>
      <c r="H114446" s="12"/>
      <c r="I114446" s="12"/>
      <c r="J114446" s="12"/>
      <c r="K114446" s="12"/>
      <c r="L114446" s="208"/>
      <c r="M114446" s="209"/>
      <c r="N114446" s="209"/>
      <c r="O114446" s="209"/>
    </row>
    <row r="114447" spans="1:15" s="210" customFormat="1" x14ac:dyDescent="0.3">
      <c r="A114447" s="12"/>
      <c r="B114447" s="15"/>
      <c r="C114447" s="15"/>
      <c r="D114447" s="12"/>
      <c r="E114447" s="12"/>
      <c r="F114447" s="13"/>
      <c r="G114447" s="12"/>
      <c r="H114447" s="12"/>
      <c r="I114447" s="12"/>
      <c r="J114447" s="12"/>
      <c r="K114447" s="12"/>
      <c r="L114447" s="208"/>
      <c r="M114447" s="209"/>
      <c r="N114447" s="209"/>
      <c r="O114447" s="209"/>
    </row>
    <row r="114448" spans="1:15" s="210" customFormat="1" x14ac:dyDescent="0.3">
      <c r="A114448" s="12"/>
      <c r="B114448" s="15"/>
      <c r="C114448" s="15"/>
      <c r="D114448" s="12"/>
      <c r="E114448" s="12"/>
      <c r="F114448" s="13"/>
      <c r="G114448" s="12"/>
      <c r="H114448" s="12"/>
      <c r="I114448" s="12"/>
      <c r="J114448" s="12"/>
      <c r="K114448" s="12"/>
      <c r="L114448" s="208"/>
      <c r="M114448" s="209"/>
      <c r="N114448" s="209"/>
      <c r="O114448" s="209"/>
    </row>
    <row r="114449" spans="1:15" s="210" customFormat="1" x14ac:dyDescent="0.3">
      <c r="A114449" s="12"/>
      <c r="B114449" s="15"/>
      <c r="C114449" s="15"/>
      <c r="D114449" s="12"/>
      <c r="E114449" s="12"/>
      <c r="F114449" s="13"/>
      <c r="G114449" s="12"/>
      <c r="H114449" s="12"/>
      <c r="I114449" s="12"/>
      <c r="J114449" s="12"/>
      <c r="K114449" s="12"/>
      <c r="L114449" s="208"/>
      <c r="M114449" s="209"/>
      <c r="N114449" s="209"/>
      <c r="O114449" s="209"/>
    </row>
    <row r="114450" spans="1:15" s="210" customFormat="1" x14ac:dyDescent="0.3">
      <c r="A114450" s="12"/>
      <c r="B114450" s="15"/>
      <c r="C114450" s="15"/>
      <c r="D114450" s="12"/>
      <c r="E114450" s="12"/>
      <c r="F114450" s="13"/>
      <c r="G114450" s="12"/>
      <c r="H114450" s="12"/>
      <c r="I114450" s="12"/>
      <c r="J114450" s="12"/>
      <c r="K114450" s="12"/>
      <c r="L114450" s="208"/>
      <c r="M114450" s="209"/>
      <c r="N114450" s="209"/>
      <c r="O114450" s="209"/>
    </row>
    <row r="114451" spans="1:15" s="210" customFormat="1" x14ac:dyDescent="0.3">
      <c r="A114451" s="12"/>
      <c r="B114451" s="15"/>
      <c r="C114451" s="15"/>
      <c r="D114451" s="12"/>
      <c r="E114451" s="12"/>
      <c r="F114451" s="13"/>
      <c r="G114451" s="12"/>
      <c r="H114451" s="12"/>
      <c r="I114451" s="12"/>
      <c r="J114451" s="12"/>
      <c r="K114451" s="12"/>
      <c r="L114451" s="208"/>
      <c r="M114451" s="209"/>
      <c r="N114451" s="209"/>
      <c r="O114451" s="209"/>
    </row>
    <row r="114452" spans="1:15" s="210" customFormat="1" x14ac:dyDescent="0.3">
      <c r="A114452" s="12"/>
      <c r="B114452" s="15"/>
      <c r="C114452" s="15"/>
      <c r="D114452" s="12"/>
      <c r="E114452" s="12"/>
      <c r="F114452" s="13"/>
      <c r="G114452" s="12"/>
      <c r="H114452" s="12"/>
      <c r="I114452" s="12"/>
      <c r="J114452" s="12"/>
      <c r="K114452" s="12"/>
      <c r="L114452" s="208"/>
      <c r="M114452" s="209"/>
      <c r="N114452" s="209"/>
      <c r="O114452" s="209"/>
    </row>
    <row r="114453" spans="1:15" s="210" customFormat="1" x14ac:dyDescent="0.3">
      <c r="A114453" s="12"/>
      <c r="B114453" s="15"/>
      <c r="C114453" s="15"/>
      <c r="D114453" s="12"/>
      <c r="E114453" s="12"/>
      <c r="F114453" s="13"/>
      <c r="G114453" s="12"/>
      <c r="H114453" s="12"/>
      <c r="I114453" s="12"/>
      <c r="J114453" s="12"/>
      <c r="K114453" s="12"/>
      <c r="L114453" s="208"/>
      <c r="M114453" s="209"/>
      <c r="N114453" s="209"/>
      <c r="O114453" s="209"/>
    </row>
    <row r="114454" spans="1:15" s="210" customFormat="1" x14ac:dyDescent="0.3">
      <c r="A114454" s="12"/>
      <c r="B114454" s="15"/>
      <c r="C114454" s="15"/>
      <c r="D114454" s="12"/>
      <c r="E114454" s="12"/>
      <c r="F114454" s="13"/>
      <c r="G114454" s="12"/>
      <c r="H114454" s="12"/>
      <c r="I114454" s="12"/>
      <c r="J114454" s="12"/>
      <c r="K114454" s="12"/>
      <c r="L114454" s="208"/>
      <c r="M114454" s="209"/>
      <c r="N114454" s="209"/>
      <c r="O114454" s="209"/>
    </row>
    <row r="114455" spans="1:15" s="210" customFormat="1" x14ac:dyDescent="0.3">
      <c r="A114455" s="12"/>
      <c r="B114455" s="15"/>
      <c r="C114455" s="15"/>
      <c r="D114455" s="12"/>
      <c r="E114455" s="12"/>
      <c r="F114455" s="13"/>
      <c r="G114455" s="12"/>
      <c r="H114455" s="12"/>
      <c r="I114455" s="12"/>
      <c r="J114455" s="12"/>
      <c r="K114455" s="12"/>
      <c r="L114455" s="208"/>
      <c r="M114455" s="209"/>
      <c r="N114455" s="209"/>
      <c r="O114455" s="209"/>
    </row>
    <row r="114456" spans="1:15" s="210" customFormat="1" x14ac:dyDescent="0.3">
      <c r="A114456" s="12"/>
      <c r="B114456" s="15"/>
      <c r="C114456" s="15"/>
      <c r="D114456" s="12"/>
      <c r="E114456" s="12"/>
      <c r="F114456" s="13"/>
      <c r="G114456" s="12"/>
      <c r="H114456" s="12"/>
      <c r="I114456" s="12"/>
      <c r="J114456" s="12"/>
      <c r="K114456" s="12"/>
      <c r="L114456" s="208"/>
      <c r="M114456" s="209"/>
      <c r="N114456" s="209"/>
      <c r="O114456" s="209"/>
    </row>
    <row r="114457" spans="1:15" s="210" customFormat="1" x14ac:dyDescent="0.3">
      <c r="A114457" s="12"/>
      <c r="B114457" s="15"/>
      <c r="C114457" s="15"/>
      <c r="D114457" s="12"/>
      <c r="E114457" s="12"/>
      <c r="F114457" s="13"/>
      <c r="G114457" s="12"/>
      <c r="H114457" s="12"/>
      <c r="I114457" s="12"/>
      <c r="J114457" s="12"/>
      <c r="K114457" s="12"/>
      <c r="L114457" s="208"/>
      <c r="M114457" s="209"/>
      <c r="N114457" s="209"/>
      <c r="O114457" s="209"/>
    </row>
    <row r="114458" spans="1:15" s="210" customFormat="1" x14ac:dyDescent="0.3">
      <c r="A114458" s="12"/>
      <c r="B114458" s="15"/>
      <c r="C114458" s="15"/>
      <c r="D114458" s="12"/>
      <c r="E114458" s="12"/>
      <c r="F114458" s="13"/>
      <c r="G114458" s="12"/>
      <c r="H114458" s="12"/>
      <c r="I114458" s="12"/>
      <c r="J114458" s="12"/>
      <c r="K114458" s="12"/>
      <c r="L114458" s="208"/>
      <c r="M114458" s="209"/>
      <c r="N114458" s="209"/>
      <c r="O114458" s="209"/>
    </row>
    <row r="114459" spans="1:15" s="210" customFormat="1" x14ac:dyDescent="0.3">
      <c r="A114459" s="12"/>
      <c r="B114459" s="15"/>
      <c r="C114459" s="15"/>
      <c r="D114459" s="12"/>
      <c r="E114459" s="12"/>
      <c r="F114459" s="13"/>
      <c r="G114459" s="12"/>
      <c r="H114459" s="12"/>
      <c r="I114459" s="12"/>
      <c r="J114459" s="12"/>
      <c r="K114459" s="12"/>
      <c r="L114459" s="208"/>
      <c r="M114459" s="209"/>
      <c r="N114459" s="209"/>
      <c r="O114459" s="209"/>
    </row>
    <row r="114460" spans="1:15" s="210" customFormat="1" x14ac:dyDescent="0.3">
      <c r="A114460" s="12"/>
      <c r="B114460" s="15"/>
      <c r="C114460" s="15"/>
      <c r="D114460" s="12"/>
      <c r="E114460" s="12"/>
      <c r="F114460" s="13"/>
      <c r="G114460" s="12"/>
      <c r="H114460" s="12"/>
      <c r="I114460" s="12"/>
      <c r="J114460" s="12"/>
      <c r="K114460" s="12"/>
      <c r="L114460" s="208"/>
      <c r="M114460" s="209"/>
      <c r="N114460" s="209"/>
      <c r="O114460" s="209"/>
    </row>
    <row r="114461" spans="1:15" s="210" customFormat="1" x14ac:dyDescent="0.3">
      <c r="A114461" s="12"/>
      <c r="B114461" s="15"/>
      <c r="C114461" s="15"/>
      <c r="D114461" s="12"/>
      <c r="E114461" s="12"/>
      <c r="F114461" s="13"/>
      <c r="G114461" s="12"/>
      <c r="H114461" s="12"/>
      <c r="I114461" s="12"/>
      <c r="J114461" s="12"/>
      <c r="K114461" s="12"/>
      <c r="L114461" s="208"/>
      <c r="M114461" s="209"/>
      <c r="N114461" s="209"/>
      <c r="O114461" s="209"/>
    </row>
    <row r="114462" spans="1:15" s="210" customFormat="1" x14ac:dyDescent="0.3">
      <c r="A114462" s="12"/>
      <c r="B114462" s="15"/>
      <c r="C114462" s="15"/>
      <c r="D114462" s="12"/>
      <c r="E114462" s="12"/>
      <c r="F114462" s="13"/>
      <c r="G114462" s="12"/>
      <c r="H114462" s="12"/>
      <c r="I114462" s="12"/>
      <c r="J114462" s="12"/>
      <c r="K114462" s="12"/>
      <c r="L114462" s="208"/>
      <c r="M114462" s="209"/>
      <c r="N114462" s="209"/>
      <c r="O114462" s="209"/>
    </row>
    <row r="114463" spans="1:15" s="210" customFormat="1" x14ac:dyDescent="0.3">
      <c r="A114463" s="12"/>
      <c r="B114463" s="15"/>
      <c r="C114463" s="15"/>
      <c r="D114463" s="12"/>
      <c r="E114463" s="12"/>
      <c r="F114463" s="13"/>
      <c r="G114463" s="12"/>
      <c r="H114463" s="12"/>
      <c r="I114463" s="12"/>
      <c r="J114463" s="12"/>
      <c r="K114463" s="12"/>
      <c r="L114463" s="208"/>
      <c r="M114463" s="209"/>
      <c r="N114463" s="209"/>
      <c r="O114463" s="209"/>
    </row>
    <row r="114464" spans="1:15" s="210" customFormat="1" x14ac:dyDescent="0.3">
      <c r="A114464" s="12"/>
      <c r="B114464" s="15"/>
      <c r="C114464" s="15"/>
      <c r="D114464" s="12"/>
      <c r="E114464" s="12"/>
      <c r="F114464" s="13"/>
      <c r="G114464" s="12"/>
      <c r="H114464" s="12"/>
      <c r="I114464" s="12"/>
      <c r="J114464" s="12"/>
      <c r="K114464" s="12"/>
      <c r="L114464" s="208"/>
      <c r="M114464" s="209"/>
      <c r="N114464" s="209"/>
      <c r="O114464" s="209"/>
    </row>
    <row r="114465" spans="1:15" s="210" customFormat="1" x14ac:dyDescent="0.3">
      <c r="A114465" s="12"/>
      <c r="B114465" s="15"/>
      <c r="C114465" s="15"/>
      <c r="D114465" s="12"/>
      <c r="E114465" s="12"/>
      <c r="F114465" s="13"/>
      <c r="G114465" s="12"/>
      <c r="H114465" s="12"/>
      <c r="I114465" s="12"/>
      <c r="J114465" s="12"/>
      <c r="K114465" s="12"/>
      <c r="L114465" s="208"/>
      <c r="M114465" s="209"/>
      <c r="N114465" s="209"/>
      <c r="O114465" s="209"/>
    </row>
    <row r="114466" spans="1:15" s="210" customFormat="1" x14ac:dyDescent="0.3">
      <c r="A114466" s="12"/>
      <c r="B114466" s="15"/>
      <c r="C114466" s="15"/>
      <c r="D114466" s="12"/>
      <c r="E114466" s="12"/>
      <c r="F114466" s="13"/>
      <c r="G114466" s="12"/>
      <c r="H114466" s="12"/>
      <c r="I114466" s="12"/>
      <c r="J114466" s="12"/>
      <c r="K114466" s="12"/>
      <c r="L114466" s="208"/>
      <c r="M114466" s="209"/>
      <c r="N114466" s="209"/>
      <c r="O114466" s="209"/>
    </row>
    <row r="114467" spans="1:15" s="210" customFormat="1" x14ac:dyDescent="0.3">
      <c r="A114467" s="12"/>
      <c r="B114467" s="15"/>
      <c r="C114467" s="15"/>
      <c r="D114467" s="12"/>
      <c r="E114467" s="12"/>
      <c r="F114467" s="13"/>
      <c r="G114467" s="12"/>
      <c r="H114467" s="12"/>
      <c r="I114467" s="12"/>
      <c r="J114467" s="12"/>
      <c r="K114467" s="12"/>
      <c r="L114467" s="208"/>
      <c r="M114467" s="209"/>
      <c r="N114467" s="209"/>
      <c r="O114467" s="209"/>
    </row>
    <row r="114468" spans="1:15" s="210" customFormat="1" x14ac:dyDescent="0.3">
      <c r="A114468" s="12"/>
      <c r="B114468" s="15"/>
      <c r="C114468" s="15"/>
      <c r="D114468" s="12"/>
      <c r="E114468" s="12"/>
      <c r="F114468" s="13"/>
      <c r="G114468" s="12"/>
      <c r="H114468" s="12"/>
      <c r="I114468" s="12"/>
      <c r="J114468" s="12"/>
      <c r="K114468" s="12"/>
      <c r="L114468" s="208"/>
      <c r="M114468" s="209"/>
      <c r="N114468" s="209"/>
      <c r="O114468" s="209"/>
    </row>
    <row r="114469" spans="1:15" s="210" customFormat="1" x14ac:dyDescent="0.3">
      <c r="A114469" s="12"/>
      <c r="B114469" s="15"/>
      <c r="C114469" s="15"/>
      <c r="D114469" s="12"/>
      <c r="E114469" s="12"/>
      <c r="F114469" s="13"/>
      <c r="G114469" s="12"/>
      <c r="H114469" s="12"/>
      <c r="I114469" s="12"/>
      <c r="J114469" s="12"/>
      <c r="K114469" s="12"/>
      <c r="L114469" s="208"/>
      <c r="M114469" s="209"/>
      <c r="N114469" s="209"/>
      <c r="O114469" s="209"/>
    </row>
    <row r="114470" spans="1:15" s="210" customFormat="1" x14ac:dyDescent="0.3">
      <c r="A114470" s="12"/>
      <c r="B114470" s="15"/>
      <c r="C114470" s="15"/>
      <c r="D114470" s="12"/>
      <c r="E114470" s="12"/>
      <c r="F114470" s="13"/>
      <c r="G114470" s="12"/>
      <c r="H114470" s="12"/>
      <c r="I114470" s="12"/>
      <c r="J114470" s="12"/>
      <c r="K114470" s="12"/>
      <c r="L114470" s="208"/>
      <c r="M114470" s="209"/>
      <c r="N114470" s="209"/>
      <c r="O114470" s="209"/>
    </row>
    <row r="114471" spans="1:15" s="210" customFormat="1" x14ac:dyDescent="0.3">
      <c r="A114471" s="12"/>
      <c r="B114471" s="15"/>
      <c r="C114471" s="15"/>
      <c r="D114471" s="12"/>
      <c r="E114471" s="12"/>
      <c r="F114471" s="13"/>
      <c r="G114471" s="12"/>
      <c r="H114471" s="12"/>
      <c r="I114471" s="12"/>
      <c r="J114471" s="12"/>
      <c r="K114471" s="12"/>
      <c r="L114471" s="208"/>
      <c r="M114471" s="209"/>
      <c r="N114471" s="209"/>
      <c r="O114471" s="209"/>
    </row>
    <row r="114472" spans="1:15" s="210" customFormat="1" x14ac:dyDescent="0.3">
      <c r="A114472" s="12"/>
      <c r="B114472" s="15"/>
      <c r="C114472" s="15"/>
      <c r="D114472" s="12"/>
      <c r="E114472" s="12"/>
      <c r="F114472" s="13"/>
      <c r="G114472" s="12"/>
      <c r="H114472" s="12"/>
      <c r="I114472" s="12"/>
      <c r="J114472" s="12"/>
      <c r="K114472" s="12"/>
      <c r="L114472" s="208"/>
      <c r="M114472" s="209"/>
      <c r="N114472" s="209"/>
      <c r="O114472" s="209"/>
    </row>
    <row r="114473" spans="1:15" s="210" customFormat="1" x14ac:dyDescent="0.3">
      <c r="A114473" s="12"/>
      <c r="B114473" s="15"/>
      <c r="C114473" s="15"/>
      <c r="D114473" s="12"/>
      <c r="E114473" s="12"/>
      <c r="F114473" s="13"/>
      <c r="G114473" s="12"/>
      <c r="H114473" s="12"/>
      <c r="I114473" s="12"/>
      <c r="J114473" s="12"/>
      <c r="K114473" s="12"/>
      <c r="L114473" s="208"/>
      <c r="M114473" s="209"/>
      <c r="N114473" s="209"/>
      <c r="O114473" s="209"/>
    </row>
    <row r="114474" spans="1:15" s="210" customFormat="1" x14ac:dyDescent="0.3">
      <c r="A114474" s="12"/>
      <c r="B114474" s="15"/>
      <c r="C114474" s="15"/>
      <c r="D114474" s="12"/>
      <c r="E114474" s="12"/>
      <c r="F114474" s="13"/>
      <c r="G114474" s="12"/>
      <c r="H114474" s="12"/>
      <c r="I114474" s="12"/>
      <c r="J114474" s="12"/>
      <c r="K114474" s="12"/>
      <c r="L114474" s="208"/>
      <c r="M114474" s="209"/>
      <c r="N114474" s="209"/>
      <c r="O114474" s="209"/>
    </row>
    <row r="114475" spans="1:15" s="210" customFormat="1" x14ac:dyDescent="0.3">
      <c r="A114475" s="12"/>
      <c r="B114475" s="15"/>
      <c r="C114475" s="15"/>
      <c r="D114475" s="12"/>
      <c r="E114475" s="12"/>
      <c r="F114475" s="13"/>
      <c r="G114475" s="12"/>
      <c r="H114475" s="12"/>
      <c r="I114475" s="12"/>
      <c r="J114475" s="12"/>
      <c r="K114475" s="12"/>
      <c r="L114475" s="208"/>
      <c r="M114475" s="209"/>
      <c r="N114475" s="209"/>
      <c r="O114475" s="209"/>
    </row>
    <row r="114476" spans="1:15" s="210" customFormat="1" x14ac:dyDescent="0.3">
      <c r="A114476" s="12"/>
      <c r="B114476" s="15"/>
      <c r="C114476" s="15"/>
      <c r="D114476" s="12"/>
      <c r="E114476" s="12"/>
      <c r="F114476" s="13"/>
      <c r="G114476" s="12"/>
      <c r="H114476" s="12"/>
      <c r="I114476" s="12"/>
      <c r="J114476" s="12"/>
      <c r="K114476" s="12"/>
      <c r="L114476" s="208"/>
      <c r="M114476" s="209"/>
      <c r="N114476" s="209"/>
      <c r="O114476" s="209"/>
    </row>
    <row r="114477" spans="1:15" s="210" customFormat="1" x14ac:dyDescent="0.3">
      <c r="A114477" s="12"/>
      <c r="B114477" s="15"/>
      <c r="C114477" s="15"/>
      <c r="D114477" s="12"/>
      <c r="E114477" s="12"/>
      <c r="F114477" s="13"/>
      <c r="G114477" s="12"/>
      <c r="H114477" s="12"/>
      <c r="I114477" s="12"/>
      <c r="J114477" s="12"/>
      <c r="K114477" s="12"/>
      <c r="L114477" s="208"/>
      <c r="M114477" s="209"/>
      <c r="N114477" s="209"/>
      <c r="O114477" s="209"/>
    </row>
    <row r="114478" spans="1:15" s="210" customFormat="1" x14ac:dyDescent="0.3">
      <c r="A114478" s="12"/>
      <c r="B114478" s="15"/>
      <c r="C114478" s="15"/>
      <c r="D114478" s="12"/>
      <c r="E114478" s="12"/>
      <c r="F114478" s="13"/>
      <c r="G114478" s="12"/>
      <c r="H114478" s="12"/>
      <c r="I114478" s="12"/>
      <c r="J114478" s="12"/>
      <c r="K114478" s="12"/>
      <c r="L114478" s="208"/>
      <c r="M114478" s="209"/>
      <c r="N114478" s="209"/>
      <c r="O114478" s="209"/>
    </row>
    <row r="114479" spans="1:15" s="210" customFormat="1" x14ac:dyDescent="0.3">
      <c r="A114479" s="12"/>
      <c r="B114479" s="15"/>
      <c r="C114479" s="15"/>
      <c r="D114479" s="12"/>
      <c r="E114479" s="12"/>
      <c r="F114479" s="13"/>
      <c r="G114479" s="12"/>
      <c r="H114479" s="12"/>
      <c r="I114479" s="12"/>
      <c r="J114479" s="12"/>
      <c r="K114479" s="12"/>
      <c r="L114479" s="208"/>
      <c r="M114479" s="209"/>
      <c r="N114479" s="209"/>
      <c r="O114479" s="209"/>
    </row>
    <row r="114480" spans="1:15" s="210" customFormat="1" x14ac:dyDescent="0.3">
      <c r="A114480" s="12"/>
      <c r="B114480" s="15"/>
      <c r="C114480" s="15"/>
      <c r="D114480" s="12"/>
      <c r="E114480" s="12"/>
      <c r="F114480" s="13"/>
      <c r="G114480" s="12"/>
      <c r="H114480" s="12"/>
      <c r="I114480" s="12"/>
      <c r="J114480" s="12"/>
      <c r="K114480" s="12"/>
      <c r="L114480" s="208"/>
      <c r="M114480" s="209"/>
      <c r="N114480" s="209"/>
      <c r="O114480" s="209"/>
    </row>
    <row r="114481" spans="1:15" s="210" customFormat="1" x14ac:dyDescent="0.3">
      <c r="A114481" s="12"/>
      <c r="B114481" s="15"/>
      <c r="C114481" s="15"/>
      <c r="D114481" s="12"/>
      <c r="E114481" s="12"/>
      <c r="F114481" s="13"/>
      <c r="G114481" s="12"/>
      <c r="H114481" s="12"/>
      <c r="I114481" s="12"/>
      <c r="J114481" s="12"/>
      <c r="K114481" s="12"/>
      <c r="L114481" s="208"/>
      <c r="M114481" s="209"/>
      <c r="N114481" s="209"/>
      <c r="O114481" s="209"/>
    </row>
    <row r="114482" spans="1:15" s="210" customFormat="1" x14ac:dyDescent="0.3">
      <c r="A114482" s="12"/>
      <c r="B114482" s="15"/>
      <c r="C114482" s="15"/>
      <c r="D114482" s="12"/>
      <c r="E114482" s="12"/>
      <c r="F114482" s="13"/>
      <c r="G114482" s="12"/>
      <c r="H114482" s="12"/>
      <c r="I114482" s="12"/>
      <c r="J114482" s="12"/>
      <c r="K114482" s="12"/>
      <c r="L114482" s="208"/>
      <c r="M114482" s="209"/>
      <c r="N114482" s="209"/>
      <c r="O114482" s="209"/>
    </row>
    <row r="114483" spans="1:15" s="210" customFormat="1" x14ac:dyDescent="0.3">
      <c r="A114483" s="12"/>
      <c r="B114483" s="15"/>
      <c r="C114483" s="15"/>
      <c r="D114483" s="12"/>
      <c r="E114483" s="12"/>
      <c r="F114483" s="13"/>
      <c r="G114483" s="12"/>
      <c r="H114483" s="12"/>
      <c r="I114483" s="12"/>
      <c r="J114483" s="12"/>
      <c r="K114483" s="12"/>
      <c r="L114483" s="208"/>
      <c r="M114483" s="209"/>
      <c r="N114483" s="209"/>
      <c r="O114483" s="209"/>
    </row>
    <row r="114484" spans="1:15" s="210" customFormat="1" x14ac:dyDescent="0.3">
      <c r="A114484" s="12"/>
      <c r="B114484" s="15"/>
      <c r="C114484" s="15"/>
      <c r="D114484" s="12"/>
      <c r="E114484" s="12"/>
      <c r="F114484" s="13"/>
      <c r="G114484" s="12"/>
      <c r="H114484" s="12"/>
      <c r="I114484" s="12"/>
      <c r="J114484" s="12"/>
      <c r="K114484" s="12"/>
      <c r="L114484" s="208"/>
      <c r="M114484" s="209"/>
      <c r="N114484" s="209"/>
      <c r="O114484" s="209"/>
    </row>
    <row r="114485" spans="1:15" s="210" customFormat="1" x14ac:dyDescent="0.3">
      <c r="A114485" s="12"/>
      <c r="B114485" s="15"/>
      <c r="C114485" s="15"/>
      <c r="D114485" s="12"/>
      <c r="E114485" s="12"/>
      <c r="F114485" s="13"/>
      <c r="G114485" s="12"/>
      <c r="H114485" s="12"/>
      <c r="I114485" s="12"/>
      <c r="J114485" s="12"/>
      <c r="K114485" s="12"/>
      <c r="L114485" s="208"/>
      <c r="M114485" s="209"/>
      <c r="N114485" s="209"/>
      <c r="O114485" s="209"/>
    </row>
    <row r="114486" spans="1:15" s="210" customFormat="1" x14ac:dyDescent="0.3">
      <c r="A114486" s="12"/>
      <c r="B114486" s="15"/>
      <c r="C114486" s="15"/>
      <c r="D114486" s="12"/>
      <c r="E114486" s="12"/>
      <c r="F114486" s="13"/>
      <c r="G114486" s="12"/>
      <c r="H114486" s="12"/>
      <c r="I114486" s="12"/>
      <c r="J114486" s="12"/>
      <c r="K114486" s="12"/>
      <c r="L114486" s="208"/>
      <c r="M114486" s="209"/>
      <c r="N114486" s="209"/>
      <c r="O114486" s="209"/>
    </row>
    <row r="114487" spans="1:15" s="210" customFormat="1" x14ac:dyDescent="0.3">
      <c r="A114487" s="12"/>
      <c r="B114487" s="15"/>
      <c r="C114487" s="15"/>
      <c r="D114487" s="12"/>
      <c r="E114487" s="12"/>
      <c r="F114487" s="13"/>
      <c r="G114487" s="12"/>
      <c r="H114487" s="12"/>
      <c r="I114487" s="12"/>
      <c r="J114487" s="12"/>
      <c r="K114487" s="12"/>
      <c r="L114487" s="208"/>
      <c r="M114487" s="209"/>
      <c r="N114487" s="209"/>
      <c r="O114487" s="209"/>
    </row>
    <row r="114488" spans="1:15" s="210" customFormat="1" x14ac:dyDescent="0.3">
      <c r="A114488" s="12"/>
      <c r="B114488" s="15"/>
      <c r="C114488" s="15"/>
      <c r="D114488" s="12"/>
      <c r="E114488" s="12"/>
      <c r="F114488" s="13"/>
      <c r="G114488" s="12"/>
      <c r="H114488" s="12"/>
      <c r="I114488" s="12"/>
      <c r="J114488" s="12"/>
      <c r="K114488" s="12"/>
      <c r="L114488" s="208"/>
      <c r="M114488" s="209"/>
      <c r="N114488" s="209"/>
      <c r="O114488" s="209"/>
    </row>
    <row r="114489" spans="1:15" s="210" customFormat="1" x14ac:dyDescent="0.3">
      <c r="A114489" s="12"/>
      <c r="B114489" s="15"/>
      <c r="C114489" s="15"/>
      <c r="D114489" s="12"/>
      <c r="E114489" s="12"/>
      <c r="F114489" s="13"/>
      <c r="G114489" s="12"/>
      <c r="H114489" s="12"/>
      <c r="I114489" s="12"/>
      <c r="J114489" s="12"/>
      <c r="K114489" s="12"/>
      <c r="L114489" s="208"/>
      <c r="M114489" s="209"/>
      <c r="N114489" s="209"/>
      <c r="O114489" s="209"/>
    </row>
    <row r="114490" spans="1:15" s="210" customFormat="1" x14ac:dyDescent="0.3">
      <c r="A114490" s="12"/>
      <c r="B114490" s="15"/>
      <c r="C114490" s="15"/>
      <c r="D114490" s="12"/>
      <c r="E114490" s="12"/>
      <c r="F114490" s="13"/>
      <c r="G114490" s="12"/>
      <c r="H114490" s="12"/>
      <c r="I114490" s="12"/>
      <c r="J114490" s="12"/>
      <c r="K114490" s="12"/>
      <c r="L114490" s="208"/>
      <c r="M114490" s="209"/>
      <c r="N114490" s="209"/>
      <c r="O114490" s="209"/>
    </row>
    <row r="114491" spans="1:15" s="210" customFormat="1" x14ac:dyDescent="0.3">
      <c r="A114491" s="12"/>
      <c r="B114491" s="15"/>
      <c r="C114491" s="15"/>
      <c r="D114491" s="12"/>
      <c r="E114491" s="12"/>
      <c r="F114491" s="13"/>
      <c r="G114491" s="12"/>
      <c r="H114491" s="12"/>
      <c r="I114491" s="12"/>
      <c r="J114491" s="12"/>
      <c r="K114491" s="12"/>
      <c r="L114491" s="208"/>
      <c r="M114491" s="209"/>
      <c r="N114491" s="209"/>
      <c r="O114491" s="209"/>
    </row>
    <row r="114492" spans="1:15" s="210" customFormat="1" x14ac:dyDescent="0.3">
      <c r="A114492" s="12"/>
      <c r="B114492" s="15"/>
      <c r="C114492" s="15"/>
      <c r="D114492" s="12"/>
      <c r="E114492" s="12"/>
      <c r="F114492" s="13"/>
      <c r="G114492" s="12"/>
      <c r="H114492" s="12"/>
      <c r="I114492" s="12"/>
      <c r="J114492" s="12"/>
      <c r="K114492" s="12"/>
      <c r="L114492" s="208"/>
      <c r="M114492" s="209"/>
      <c r="N114492" s="209"/>
      <c r="O114492" s="209"/>
    </row>
    <row r="114493" spans="1:15" s="210" customFormat="1" x14ac:dyDescent="0.3">
      <c r="A114493" s="12"/>
      <c r="B114493" s="15"/>
      <c r="C114493" s="15"/>
      <c r="D114493" s="12"/>
      <c r="E114493" s="12"/>
      <c r="F114493" s="13"/>
      <c r="G114493" s="12"/>
      <c r="H114493" s="12"/>
      <c r="I114493" s="12"/>
      <c r="J114493" s="12"/>
      <c r="K114493" s="12"/>
      <c r="L114493" s="208"/>
      <c r="M114493" s="209"/>
      <c r="N114493" s="209"/>
      <c r="O114493" s="209"/>
    </row>
    <row r="114494" spans="1:15" s="210" customFormat="1" x14ac:dyDescent="0.3">
      <c r="A114494" s="12"/>
      <c r="B114494" s="15"/>
      <c r="C114494" s="15"/>
      <c r="D114494" s="12"/>
      <c r="E114494" s="12"/>
      <c r="F114494" s="13"/>
      <c r="G114494" s="12"/>
      <c r="H114494" s="12"/>
      <c r="I114494" s="12"/>
      <c r="J114494" s="12"/>
      <c r="K114494" s="12"/>
      <c r="L114494" s="208"/>
      <c r="M114494" s="209"/>
      <c r="N114494" s="209"/>
      <c r="O114494" s="209"/>
    </row>
    <row r="114495" spans="1:15" s="210" customFormat="1" x14ac:dyDescent="0.3">
      <c r="A114495" s="12"/>
      <c r="B114495" s="15"/>
      <c r="C114495" s="15"/>
      <c r="D114495" s="12"/>
      <c r="E114495" s="12"/>
      <c r="F114495" s="13"/>
      <c r="G114495" s="12"/>
      <c r="H114495" s="12"/>
      <c r="I114495" s="12"/>
      <c r="J114495" s="12"/>
      <c r="K114495" s="12"/>
      <c r="L114495" s="208"/>
      <c r="M114495" s="209"/>
      <c r="N114495" s="209"/>
      <c r="O114495" s="209"/>
    </row>
    <row r="114496" spans="1:15" s="210" customFormat="1" x14ac:dyDescent="0.3">
      <c r="A114496" s="12"/>
      <c r="B114496" s="15"/>
      <c r="C114496" s="15"/>
      <c r="D114496" s="12"/>
      <c r="E114496" s="12"/>
      <c r="F114496" s="13"/>
      <c r="G114496" s="12"/>
      <c r="H114496" s="12"/>
      <c r="I114496" s="12"/>
      <c r="J114496" s="12"/>
      <c r="K114496" s="12"/>
      <c r="L114496" s="208"/>
      <c r="M114496" s="209"/>
      <c r="N114496" s="209"/>
      <c r="O114496" s="209"/>
    </row>
    <row r="114497" spans="1:15" s="210" customFormat="1" x14ac:dyDescent="0.3">
      <c r="A114497" s="12"/>
      <c r="B114497" s="15"/>
      <c r="C114497" s="15"/>
      <c r="D114497" s="12"/>
      <c r="E114497" s="12"/>
      <c r="F114497" s="13"/>
      <c r="G114497" s="12"/>
      <c r="H114497" s="12"/>
      <c r="I114497" s="12"/>
      <c r="J114497" s="12"/>
      <c r="K114497" s="12"/>
      <c r="L114497" s="208"/>
      <c r="M114497" s="209"/>
      <c r="N114497" s="209"/>
      <c r="O114497" s="209"/>
    </row>
    <row r="114498" spans="1:15" s="210" customFormat="1" x14ac:dyDescent="0.3">
      <c r="A114498" s="12"/>
      <c r="B114498" s="15"/>
      <c r="C114498" s="15"/>
      <c r="D114498" s="12"/>
      <c r="E114498" s="12"/>
      <c r="F114498" s="13"/>
      <c r="G114498" s="12"/>
      <c r="H114498" s="12"/>
      <c r="I114498" s="12"/>
      <c r="J114498" s="12"/>
      <c r="K114498" s="12"/>
      <c r="L114498" s="208"/>
      <c r="M114498" s="209"/>
      <c r="N114498" s="209"/>
      <c r="O114498" s="209"/>
    </row>
    <row r="114499" spans="1:15" s="210" customFormat="1" x14ac:dyDescent="0.3">
      <c r="A114499" s="12"/>
      <c r="B114499" s="15"/>
      <c r="C114499" s="15"/>
      <c r="D114499" s="12"/>
      <c r="E114499" s="12"/>
      <c r="F114499" s="13"/>
      <c r="G114499" s="12"/>
      <c r="H114499" s="12"/>
      <c r="I114499" s="12"/>
      <c r="J114499" s="12"/>
      <c r="K114499" s="12"/>
      <c r="L114499" s="208"/>
      <c r="M114499" s="209"/>
      <c r="N114499" s="209"/>
      <c r="O114499" s="209"/>
    </row>
    <row r="114500" spans="1:15" s="210" customFormat="1" x14ac:dyDescent="0.3">
      <c r="A114500" s="12"/>
      <c r="B114500" s="15"/>
      <c r="C114500" s="15"/>
      <c r="D114500" s="12"/>
      <c r="E114500" s="12"/>
      <c r="F114500" s="13"/>
      <c r="G114500" s="12"/>
      <c r="H114500" s="12"/>
      <c r="I114500" s="12"/>
      <c r="J114500" s="12"/>
      <c r="K114500" s="12"/>
      <c r="L114500" s="208"/>
      <c r="M114500" s="209"/>
      <c r="N114500" s="209"/>
      <c r="O114500" s="209"/>
    </row>
    <row r="114501" spans="1:15" s="210" customFormat="1" x14ac:dyDescent="0.3">
      <c r="A114501" s="12"/>
      <c r="B114501" s="15"/>
      <c r="C114501" s="15"/>
      <c r="D114501" s="12"/>
      <c r="E114501" s="12"/>
      <c r="F114501" s="13"/>
      <c r="G114501" s="12"/>
      <c r="H114501" s="12"/>
      <c r="I114501" s="12"/>
      <c r="J114501" s="12"/>
      <c r="K114501" s="12"/>
      <c r="L114501" s="208"/>
      <c r="M114501" s="209"/>
      <c r="N114501" s="209"/>
      <c r="O114501" s="209"/>
    </row>
    <row r="114502" spans="1:15" s="210" customFormat="1" x14ac:dyDescent="0.3">
      <c r="A114502" s="12"/>
      <c r="B114502" s="15"/>
      <c r="C114502" s="15"/>
      <c r="D114502" s="12"/>
      <c r="E114502" s="12"/>
      <c r="F114502" s="13"/>
      <c r="G114502" s="12"/>
      <c r="H114502" s="12"/>
      <c r="I114502" s="12"/>
      <c r="J114502" s="12"/>
      <c r="K114502" s="12"/>
      <c r="L114502" s="208"/>
      <c r="M114502" s="209"/>
      <c r="N114502" s="209"/>
      <c r="O114502" s="209"/>
    </row>
    <row r="114503" spans="1:15" s="210" customFormat="1" x14ac:dyDescent="0.3">
      <c r="A114503" s="12"/>
      <c r="B114503" s="15"/>
      <c r="C114503" s="15"/>
      <c r="D114503" s="12"/>
      <c r="E114503" s="12"/>
      <c r="F114503" s="13"/>
      <c r="G114503" s="12"/>
      <c r="H114503" s="12"/>
      <c r="I114503" s="12"/>
      <c r="J114503" s="12"/>
      <c r="K114503" s="12"/>
      <c r="L114503" s="208"/>
      <c r="M114503" s="209"/>
      <c r="N114503" s="209"/>
      <c r="O114503" s="209"/>
    </row>
    <row r="114504" spans="1:15" s="210" customFormat="1" x14ac:dyDescent="0.3">
      <c r="A114504" s="12"/>
      <c r="B114504" s="15"/>
      <c r="C114504" s="15"/>
      <c r="D114504" s="12"/>
      <c r="E114504" s="12"/>
      <c r="F114504" s="13"/>
      <c r="G114504" s="12"/>
      <c r="H114504" s="12"/>
      <c r="I114504" s="12"/>
      <c r="J114504" s="12"/>
      <c r="K114504" s="12"/>
      <c r="L114504" s="208"/>
      <c r="M114504" s="209"/>
      <c r="N114504" s="209"/>
      <c r="O114504" s="209"/>
    </row>
    <row r="114505" spans="1:15" s="210" customFormat="1" x14ac:dyDescent="0.3">
      <c r="A114505" s="12"/>
      <c r="B114505" s="15"/>
      <c r="C114505" s="15"/>
      <c r="D114505" s="12"/>
      <c r="E114505" s="12"/>
      <c r="F114505" s="13"/>
      <c r="G114505" s="12"/>
      <c r="H114505" s="12"/>
      <c r="I114505" s="12"/>
      <c r="J114505" s="12"/>
      <c r="K114505" s="12"/>
      <c r="L114505" s="208"/>
      <c r="M114505" s="209"/>
      <c r="N114505" s="209"/>
      <c r="O114505" s="209"/>
    </row>
    <row r="114506" spans="1:15" s="210" customFormat="1" x14ac:dyDescent="0.3">
      <c r="A114506" s="12"/>
      <c r="B114506" s="15"/>
      <c r="C114506" s="15"/>
      <c r="D114506" s="12"/>
      <c r="E114506" s="12"/>
      <c r="F114506" s="13"/>
      <c r="G114506" s="12"/>
      <c r="H114506" s="12"/>
      <c r="I114506" s="12"/>
      <c r="J114506" s="12"/>
      <c r="K114506" s="12"/>
      <c r="L114506" s="208"/>
      <c r="M114506" s="209"/>
      <c r="N114506" s="209"/>
      <c r="O114506" s="209"/>
    </row>
    <row r="114507" spans="1:15" s="210" customFormat="1" x14ac:dyDescent="0.3">
      <c r="A114507" s="12"/>
      <c r="B114507" s="15"/>
      <c r="C114507" s="15"/>
      <c r="D114507" s="12"/>
      <c r="E114507" s="12"/>
      <c r="F114507" s="13"/>
      <c r="G114507" s="12"/>
      <c r="H114507" s="12"/>
      <c r="I114507" s="12"/>
      <c r="J114507" s="12"/>
      <c r="K114507" s="12"/>
      <c r="L114507" s="208"/>
      <c r="M114507" s="209"/>
      <c r="N114507" s="209"/>
      <c r="O114507" s="209"/>
    </row>
    <row r="114508" spans="1:15" s="210" customFormat="1" x14ac:dyDescent="0.3">
      <c r="A114508" s="12"/>
      <c r="B114508" s="15"/>
      <c r="C114508" s="15"/>
      <c r="D114508" s="12"/>
      <c r="E114508" s="12"/>
      <c r="F114508" s="13"/>
      <c r="G114508" s="12"/>
      <c r="H114508" s="12"/>
      <c r="I114508" s="12"/>
      <c r="J114508" s="12"/>
      <c r="K114508" s="12"/>
      <c r="L114508" s="208"/>
      <c r="M114508" s="209"/>
      <c r="N114508" s="209"/>
      <c r="O114508" s="209"/>
    </row>
    <row r="114509" spans="1:15" s="210" customFormat="1" x14ac:dyDescent="0.3">
      <c r="A114509" s="12"/>
      <c r="B114509" s="15"/>
      <c r="C114509" s="15"/>
      <c r="D114509" s="12"/>
      <c r="E114509" s="12"/>
      <c r="F114509" s="13"/>
      <c r="G114509" s="12"/>
      <c r="H114509" s="12"/>
      <c r="I114509" s="12"/>
      <c r="J114509" s="12"/>
      <c r="K114509" s="12"/>
      <c r="L114509" s="208"/>
      <c r="M114509" s="209"/>
      <c r="N114509" s="209"/>
      <c r="O114509" s="209"/>
    </row>
    <row r="114510" spans="1:15" s="210" customFormat="1" x14ac:dyDescent="0.3">
      <c r="A114510" s="12"/>
      <c r="B114510" s="15"/>
      <c r="C114510" s="15"/>
      <c r="D114510" s="12"/>
      <c r="E114510" s="12"/>
      <c r="F114510" s="13"/>
      <c r="G114510" s="12"/>
      <c r="H114510" s="12"/>
      <c r="I114510" s="12"/>
      <c r="J114510" s="12"/>
      <c r="K114510" s="12"/>
      <c r="L114510" s="208"/>
      <c r="M114510" s="209"/>
      <c r="N114510" s="209"/>
      <c r="O114510" s="209"/>
    </row>
    <row r="114511" spans="1:15" s="210" customFormat="1" x14ac:dyDescent="0.3">
      <c r="A114511" s="12"/>
      <c r="B114511" s="15"/>
      <c r="C114511" s="15"/>
      <c r="D114511" s="12"/>
      <c r="E114511" s="12"/>
      <c r="F114511" s="13"/>
      <c r="G114511" s="12"/>
      <c r="H114511" s="12"/>
      <c r="I114511" s="12"/>
      <c r="J114511" s="12"/>
      <c r="K114511" s="12"/>
      <c r="L114511" s="208"/>
      <c r="M114511" s="209"/>
      <c r="N114511" s="209"/>
      <c r="O114511" s="209"/>
    </row>
    <row r="114512" spans="1:15" s="210" customFormat="1" x14ac:dyDescent="0.3">
      <c r="A114512" s="12"/>
      <c r="B114512" s="15"/>
      <c r="C114512" s="15"/>
      <c r="D114512" s="12"/>
      <c r="E114512" s="12"/>
      <c r="F114512" s="13"/>
      <c r="G114512" s="12"/>
      <c r="H114512" s="12"/>
      <c r="I114512" s="12"/>
      <c r="J114512" s="12"/>
      <c r="K114512" s="12"/>
      <c r="L114512" s="208"/>
      <c r="M114512" s="209"/>
      <c r="N114512" s="209"/>
      <c r="O114512" s="209"/>
    </row>
    <row r="114513" spans="1:15" s="210" customFormat="1" x14ac:dyDescent="0.3">
      <c r="A114513" s="12"/>
      <c r="B114513" s="15"/>
      <c r="C114513" s="15"/>
      <c r="D114513" s="12"/>
      <c r="E114513" s="12"/>
      <c r="F114513" s="13"/>
      <c r="G114513" s="12"/>
      <c r="H114513" s="12"/>
      <c r="I114513" s="12"/>
      <c r="J114513" s="12"/>
      <c r="K114513" s="12"/>
      <c r="L114513" s="208"/>
      <c r="M114513" s="209"/>
      <c r="N114513" s="209"/>
      <c r="O114513" s="209"/>
    </row>
    <row r="114514" spans="1:15" s="210" customFormat="1" x14ac:dyDescent="0.3">
      <c r="A114514" s="12"/>
      <c r="B114514" s="15"/>
      <c r="C114514" s="15"/>
      <c r="D114514" s="12"/>
      <c r="E114514" s="12"/>
      <c r="F114514" s="13"/>
      <c r="G114514" s="12"/>
      <c r="H114514" s="12"/>
      <c r="I114514" s="12"/>
      <c r="J114514" s="12"/>
      <c r="K114514" s="12"/>
      <c r="L114514" s="208"/>
      <c r="M114514" s="209"/>
      <c r="N114514" s="209"/>
      <c r="O114514" s="209"/>
    </row>
    <row r="114515" spans="1:15" s="210" customFormat="1" x14ac:dyDescent="0.3">
      <c r="A114515" s="12"/>
      <c r="B114515" s="15"/>
      <c r="C114515" s="15"/>
      <c r="D114515" s="12"/>
      <c r="E114515" s="12"/>
      <c r="F114515" s="13"/>
      <c r="G114515" s="12"/>
      <c r="H114515" s="12"/>
      <c r="I114515" s="12"/>
      <c r="J114515" s="12"/>
      <c r="K114515" s="12"/>
      <c r="L114515" s="208"/>
      <c r="M114515" s="209"/>
      <c r="N114515" s="209"/>
      <c r="O114515" s="209"/>
    </row>
    <row r="114516" spans="1:15" s="210" customFormat="1" x14ac:dyDescent="0.3">
      <c r="A114516" s="12"/>
      <c r="B114516" s="15"/>
      <c r="C114516" s="15"/>
      <c r="D114516" s="12"/>
      <c r="E114516" s="12"/>
      <c r="F114516" s="13"/>
      <c r="G114516" s="12"/>
      <c r="H114516" s="12"/>
      <c r="I114516" s="12"/>
      <c r="J114516" s="12"/>
      <c r="K114516" s="12"/>
      <c r="L114516" s="208"/>
      <c r="M114516" s="209"/>
      <c r="N114516" s="209"/>
      <c r="O114516" s="209"/>
    </row>
    <row r="114517" spans="1:15" s="210" customFormat="1" x14ac:dyDescent="0.3">
      <c r="A114517" s="12"/>
      <c r="B114517" s="15"/>
      <c r="C114517" s="15"/>
      <c r="D114517" s="12"/>
      <c r="E114517" s="12"/>
      <c r="F114517" s="13"/>
      <c r="G114517" s="12"/>
      <c r="H114517" s="12"/>
      <c r="I114517" s="12"/>
      <c r="J114517" s="12"/>
      <c r="K114517" s="12"/>
      <c r="L114517" s="208"/>
      <c r="M114517" s="209"/>
      <c r="N114517" s="209"/>
      <c r="O114517" s="209"/>
    </row>
    <row r="114518" spans="1:15" s="210" customFormat="1" x14ac:dyDescent="0.3">
      <c r="A114518" s="12"/>
      <c r="B114518" s="15"/>
      <c r="C114518" s="15"/>
      <c r="D114518" s="12"/>
      <c r="E114518" s="12"/>
      <c r="F114518" s="13"/>
      <c r="G114518" s="12"/>
      <c r="H114518" s="12"/>
      <c r="I114518" s="12"/>
      <c r="J114518" s="12"/>
      <c r="K114518" s="12"/>
      <c r="L114518" s="208"/>
      <c r="M114518" s="209"/>
      <c r="N114518" s="209"/>
      <c r="O114518" s="209"/>
    </row>
    <row r="114519" spans="1:15" s="210" customFormat="1" x14ac:dyDescent="0.3">
      <c r="A114519" s="12"/>
      <c r="B114519" s="15"/>
      <c r="C114519" s="15"/>
      <c r="D114519" s="12"/>
      <c r="E114519" s="12"/>
      <c r="F114519" s="13"/>
      <c r="G114519" s="12"/>
      <c r="H114519" s="12"/>
      <c r="I114519" s="12"/>
      <c r="J114519" s="12"/>
      <c r="K114519" s="12"/>
      <c r="L114519" s="208"/>
      <c r="M114519" s="209"/>
      <c r="N114519" s="209"/>
      <c r="O114519" s="209"/>
    </row>
    <row r="114520" spans="1:15" s="210" customFormat="1" x14ac:dyDescent="0.3">
      <c r="A114520" s="12"/>
      <c r="B114520" s="15"/>
      <c r="C114520" s="15"/>
      <c r="D114520" s="12"/>
      <c r="E114520" s="12"/>
      <c r="F114520" s="13"/>
      <c r="G114520" s="12"/>
      <c r="H114520" s="12"/>
      <c r="I114520" s="12"/>
      <c r="J114520" s="12"/>
      <c r="K114520" s="12"/>
      <c r="L114520" s="208"/>
      <c r="M114520" s="209"/>
      <c r="N114520" s="209"/>
      <c r="O114520" s="209"/>
    </row>
    <row r="114521" spans="1:15" s="210" customFormat="1" x14ac:dyDescent="0.3">
      <c r="A114521" s="12"/>
      <c r="B114521" s="15"/>
      <c r="C114521" s="15"/>
      <c r="D114521" s="12"/>
      <c r="E114521" s="12"/>
      <c r="F114521" s="13"/>
      <c r="G114521" s="12"/>
      <c r="H114521" s="12"/>
      <c r="I114521" s="12"/>
      <c r="J114521" s="12"/>
      <c r="K114521" s="12"/>
      <c r="L114521" s="208"/>
      <c r="M114521" s="209"/>
      <c r="N114521" s="209"/>
      <c r="O114521" s="209"/>
    </row>
    <row r="114522" spans="1:15" s="210" customFormat="1" x14ac:dyDescent="0.3">
      <c r="A114522" s="12"/>
      <c r="B114522" s="15"/>
      <c r="C114522" s="15"/>
      <c r="D114522" s="12"/>
      <c r="E114522" s="12"/>
      <c r="F114522" s="13"/>
      <c r="G114522" s="12"/>
      <c r="H114522" s="12"/>
      <c r="I114522" s="12"/>
      <c r="J114522" s="12"/>
      <c r="K114522" s="12"/>
      <c r="L114522" s="208"/>
      <c r="M114522" s="209"/>
      <c r="N114522" s="209"/>
      <c r="O114522" s="209"/>
    </row>
    <row r="114523" spans="1:15" s="210" customFormat="1" x14ac:dyDescent="0.3">
      <c r="A114523" s="12"/>
      <c r="B114523" s="15"/>
      <c r="C114523" s="15"/>
      <c r="D114523" s="12"/>
      <c r="E114523" s="12"/>
      <c r="F114523" s="13"/>
      <c r="G114523" s="12"/>
      <c r="H114523" s="12"/>
      <c r="I114523" s="12"/>
      <c r="J114523" s="12"/>
      <c r="K114523" s="12"/>
      <c r="L114523" s="208"/>
      <c r="M114523" s="209"/>
      <c r="N114523" s="209"/>
      <c r="O114523" s="209"/>
    </row>
    <row r="114524" spans="1:15" s="210" customFormat="1" x14ac:dyDescent="0.3">
      <c r="A114524" s="12"/>
      <c r="B114524" s="15"/>
      <c r="C114524" s="15"/>
      <c r="D114524" s="12"/>
      <c r="E114524" s="12"/>
      <c r="F114524" s="13"/>
      <c r="G114524" s="12"/>
      <c r="H114524" s="12"/>
      <c r="I114524" s="12"/>
      <c r="J114524" s="12"/>
      <c r="K114524" s="12"/>
      <c r="L114524" s="208"/>
      <c r="M114524" s="209"/>
      <c r="N114524" s="209"/>
      <c r="O114524" s="209"/>
    </row>
    <row r="114525" spans="1:15" s="210" customFormat="1" x14ac:dyDescent="0.3">
      <c r="A114525" s="12"/>
      <c r="B114525" s="15"/>
      <c r="C114525" s="15"/>
      <c r="D114525" s="12"/>
      <c r="E114525" s="12"/>
      <c r="F114525" s="13"/>
      <c r="G114525" s="12"/>
      <c r="H114525" s="12"/>
      <c r="I114525" s="12"/>
      <c r="J114525" s="12"/>
      <c r="K114525" s="12"/>
      <c r="L114525" s="208"/>
      <c r="M114525" s="209"/>
      <c r="N114525" s="209"/>
      <c r="O114525" s="209"/>
    </row>
    <row r="114526" spans="1:15" s="210" customFormat="1" x14ac:dyDescent="0.3">
      <c r="A114526" s="12"/>
      <c r="B114526" s="15"/>
      <c r="C114526" s="15"/>
      <c r="D114526" s="12"/>
      <c r="E114526" s="12"/>
      <c r="F114526" s="13"/>
      <c r="G114526" s="12"/>
      <c r="H114526" s="12"/>
      <c r="I114526" s="12"/>
      <c r="J114526" s="12"/>
      <c r="K114526" s="12"/>
      <c r="L114526" s="208"/>
      <c r="M114526" s="209"/>
      <c r="N114526" s="209"/>
      <c r="O114526" s="209"/>
    </row>
    <row r="114527" spans="1:15" s="210" customFormat="1" x14ac:dyDescent="0.3">
      <c r="A114527" s="12"/>
      <c r="B114527" s="15"/>
      <c r="C114527" s="15"/>
      <c r="D114527" s="12"/>
      <c r="E114527" s="12"/>
      <c r="F114527" s="13"/>
      <c r="G114527" s="12"/>
      <c r="H114527" s="12"/>
      <c r="I114527" s="12"/>
      <c r="J114527" s="12"/>
      <c r="K114527" s="12"/>
      <c r="L114527" s="208"/>
      <c r="M114527" s="209"/>
      <c r="N114527" s="209"/>
      <c r="O114527" s="209"/>
    </row>
    <row r="114528" spans="1:15" s="210" customFormat="1" x14ac:dyDescent="0.3">
      <c r="A114528" s="12"/>
      <c r="B114528" s="15"/>
      <c r="C114528" s="15"/>
      <c r="D114528" s="12"/>
      <c r="E114528" s="12"/>
      <c r="F114528" s="13"/>
      <c r="G114528" s="12"/>
      <c r="H114528" s="12"/>
      <c r="I114528" s="12"/>
      <c r="J114528" s="12"/>
      <c r="K114528" s="12"/>
      <c r="L114528" s="208"/>
      <c r="M114528" s="209"/>
      <c r="N114528" s="209"/>
      <c r="O114528" s="209"/>
    </row>
    <row r="114529" spans="1:15" s="210" customFormat="1" x14ac:dyDescent="0.3">
      <c r="A114529" s="12"/>
      <c r="B114529" s="15"/>
      <c r="C114529" s="15"/>
      <c r="D114529" s="12"/>
      <c r="E114529" s="12"/>
      <c r="F114529" s="13"/>
      <c r="G114529" s="12"/>
      <c r="H114529" s="12"/>
      <c r="I114529" s="12"/>
      <c r="J114529" s="12"/>
      <c r="K114529" s="12"/>
      <c r="L114529" s="208"/>
      <c r="M114529" s="209"/>
      <c r="N114529" s="209"/>
      <c r="O114529" s="209"/>
    </row>
    <row r="114530" spans="1:15" s="210" customFormat="1" x14ac:dyDescent="0.3">
      <c r="A114530" s="12"/>
      <c r="B114530" s="15"/>
      <c r="C114530" s="15"/>
      <c r="D114530" s="12"/>
      <c r="E114530" s="12"/>
      <c r="F114530" s="13"/>
      <c r="G114530" s="12"/>
      <c r="H114530" s="12"/>
      <c r="I114530" s="12"/>
      <c r="J114530" s="12"/>
      <c r="K114530" s="12"/>
      <c r="L114530" s="208"/>
      <c r="M114530" s="209"/>
      <c r="N114530" s="209"/>
      <c r="O114530" s="209"/>
    </row>
    <row r="114531" spans="1:15" s="210" customFormat="1" x14ac:dyDescent="0.3">
      <c r="A114531" s="12"/>
      <c r="B114531" s="15"/>
      <c r="C114531" s="15"/>
      <c r="D114531" s="12"/>
      <c r="E114531" s="12"/>
      <c r="F114531" s="13"/>
      <c r="G114531" s="12"/>
      <c r="H114531" s="12"/>
      <c r="I114531" s="12"/>
      <c r="J114531" s="12"/>
      <c r="K114531" s="12"/>
      <c r="L114531" s="208"/>
      <c r="M114531" s="209"/>
      <c r="N114531" s="209"/>
      <c r="O114531" s="209"/>
    </row>
    <row r="114532" spans="1:15" s="210" customFormat="1" x14ac:dyDescent="0.3">
      <c r="A114532" s="12"/>
      <c r="B114532" s="15"/>
      <c r="C114532" s="15"/>
      <c r="D114532" s="12"/>
      <c r="E114532" s="12"/>
      <c r="F114532" s="13"/>
      <c r="G114532" s="12"/>
      <c r="H114532" s="12"/>
      <c r="I114532" s="12"/>
      <c r="J114532" s="12"/>
      <c r="K114532" s="12"/>
      <c r="L114532" s="208"/>
      <c r="M114532" s="209"/>
      <c r="N114532" s="209"/>
      <c r="O114532" s="209"/>
    </row>
    <row r="114533" spans="1:15" s="210" customFormat="1" x14ac:dyDescent="0.3">
      <c r="A114533" s="12"/>
      <c r="B114533" s="15"/>
      <c r="C114533" s="15"/>
      <c r="D114533" s="12"/>
      <c r="E114533" s="12"/>
      <c r="F114533" s="13"/>
      <c r="G114533" s="12"/>
      <c r="H114533" s="12"/>
      <c r="I114533" s="12"/>
      <c r="J114533" s="12"/>
      <c r="K114533" s="12"/>
      <c r="L114533" s="208"/>
      <c r="M114533" s="209"/>
      <c r="N114533" s="209"/>
      <c r="O114533" s="209"/>
    </row>
    <row r="114534" spans="1:15" s="210" customFormat="1" x14ac:dyDescent="0.3">
      <c r="A114534" s="12"/>
      <c r="B114534" s="15"/>
      <c r="C114534" s="15"/>
      <c r="D114534" s="12"/>
      <c r="E114534" s="12"/>
      <c r="F114534" s="13"/>
      <c r="G114534" s="12"/>
      <c r="H114534" s="12"/>
      <c r="I114534" s="12"/>
      <c r="J114534" s="12"/>
      <c r="K114534" s="12"/>
      <c r="L114534" s="208"/>
      <c r="M114534" s="209"/>
      <c r="N114534" s="209"/>
      <c r="O114534" s="209"/>
    </row>
    <row r="114535" spans="1:15" s="210" customFormat="1" x14ac:dyDescent="0.3">
      <c r="A114535" s="12"/>
      <c r="B114535" s="15"/>
      <c r="C114535" s="15"/>
      <c r="D114535" s="12"/>
      <c r="E114535" s="12"/>
      <c r="F114535" s="13"/>
      <c r="G114535" s="12"/>
      <c r="H114535" s="12"/>
      <c r="I114535" s="12"/>
      <c r="J114535" s="12"/>
      <c r="K114535" s="12"/>
      <c r="L114535" s="208"/>
      <c r="M114535" s="209"/>
      <c r="N114535" s="209"/>
      <c r="O114535" s="209"/>
    </row>
    <row r="114536" spans="1:15" s="210" customFormat="1" x14ac:dyDescent="0.3">
      <c r="A114536" s="12"/>
      <c r="B114536" s="15"/>
      <c r="C114536" s="15"/>
      <c r="D114536" s="12"/>
      <c r="E114536" s="12"/>
      <c r="F114536" s="13"/>
      <c r="G114536" s="12"/>
      <c r="H114536" s="12"/>
      <c r="I114536" s="12"/>
      <c r="J114536" s="12"/>
      <c r="K114536" s="12"/>
      <c r="L114536" s="208"/>
      <c r="M114536" s="209"/>
      <c r="N114536" s="209"/>
      <c r="O114536" s="209"/>
    </row>
    <row r="114537" spans="1:15" s="210" customFormat="1" x14ac:dyDescent="0.3">
      <c r="A114537" s="12"/>
      <c r="B114537" s="15"/>
      <c r="C114537" s="15"/>
      <c r="D114537" s="12"/>
      <c r="E114537" s="12"/>
      <c r="F114537" s="13"/>
      <c r="G114537" s="12"/>
      <c r="H114537" s="12"/>
      <c r="I114537" s="12"/>
      <c r="J114537" s="12"/>
      <c r="K114537" s="12"/>
      <c r="L114537" s="208"/>
      <c r="M114537" s="209"/>
      <c r="N114537" s="209"/>
      <c r="O114537" s="209"/>
    </row>
    <row r="114538" spans="1:15" s="210" customFormat="1" x14ac:dyDescent="0.3">
      <c r="A114538" s="12"/>
      <c r="B114538" s="15"/>
      <c r="C114538" s="15"/>
      <c r="D114538" s="12"/>
      <c r="E114538" s="12"/>
      <c r="F114538" s="13"/>
      <c r="G114538" s="12"/>
      <c r="H114538" s="12"/>
      <c r="I114538" s="12"/>
      <c r="J114538" s="12"/>
      <c r="K114538" s="12"/>
      <c r="L114538" s="208"/>
      <c r="M114538" s="209"/>
      <c r="N114538" s="209"/>
      <c r="O114538" s="209"/>
    </row>
    <row r="114539" spans="1:15" s="210" customFormat="1" x14ac:dyDescent="0.3">
      <c r="A114539" s="12"/>
      <c r="B114539" s="15"/>
      <c r="C114539" s="15"/>
      <c r="D114539" s="12"/>
      <c r="E114539" s="12"/>
      <c r="F114539" s="13"/>
      <c r="G114539" s="12"/>
      <c r="H114539" s="12"/>
      <c r="I114539" s="12"/>
      <c r="J114539" s="12"/>
      <c r="K114539" s="12"/>
      <c r="L114539" s="208"/>
      <c r="M114539" s="209"/>
      <c r="N114539" s="209"/>
      <c r="O114539" s="209"/>
    </row>
    <row r="114540" spans="1:15" s="210" customFormat="1" x14ac:dyDescent="0.3">
      <c r="A114540" s="12"/>
      <c r="B114540" s="15"/>
      <c r="C114540" s="15"/>
      <c r="D114540" s="12"/>
      <c r="E114540" s="12"/>
      <c r="F114540" s="13"/>
      <c r="G114540" s="12"/>
      <c r="H114540" s="12"/>
      <c r="I114540" s="12"/>
      <c r="J114540" s="12"/>
      <c r="K114540" s="12"/>
      <c r="L114540" s="208"/>
      <c r="M114540" s="209"/>
      <c r="N114540" s="209"/>
      <c r="O114540" s="209"/>
    </row>
    <row r="114541" spans="1:15" s="210" customFormat="1" x14ac:dyDescent="0.3">
      <c r="A114541" s="12"/>
      <c r="B114541" s="15"/>
      <c r="C114541" s="15"/>
      <c r="D114541" s="12"/>
      <c r="E114541" s="12"/>
      <c r="F114541" s="13"/>
      <c r="G114541" s="12"/>
      <c r="H114541" s="12"/>
      <c r="I114541" s="12"/>
      <c r="J114541" s="12"/>
      <c r="K114541" s="12"/>
      <c r="L114541" s="208"/>
      <c r="M114541" s="209"/>
      <c r="N114541" s="209"/>
      <c r="O114541" s="209"/>
    </row>
    <row r="114542" spans="1:15" s="210" customFormat="1" x14ac:dyDescent="0.3">
      <c r="A114542" s="12"/>
      <c r="B114542" s="15"/>
      <c r="C114542" s="15"/>
      <c r="D114542" s="12"/>
      <c r="E114542" s="12"/>
      <c r="F114542" s="13"/>
      <c r="G114542" s="12"/>
      <c r="H114542" s="12"/>
      <c r="I114542" s="12"/>
      <c r="J114542" s="12"/>
      <c r="K114542" s="12"/>
      <c r="L114542" s="208"/>
      <c r="M114542" s="209"/>
      <c r="N114542" s="209"/>
      <c r="O114542" s="209"/>
    </row>
    <row r="114543" spans="1:15" s="210" customFormat="1" x14ac:dyDescent="0.3">
      <c r="A114543" s="12"/>
      <c r="B114543" s="15"/>
      <c r="C114543" s="15"/>
      <c r="D114543" s="12"/>
      <c r="E114543" s="12"/>
      <c r="F114543" s="13"/>
      <c r="G114543" s="12"/>
      <c r="H114543" s="12"/>
      <c r="I114543" s="12"/>
      <c r="J114543" s="12"/>
      <c r="K114543" s="12"/>
      <c r="L114543" s="208"/>
      <c r="M114543" s="209"/>
      <c r="N114543" s="209"/>
      <c r="O114543" s="209"/>
    </row>
    <row r="114544" spans="1:15" s="210" customFormat="1" x14ac:dyDescent="0.3">
      <c r="A114544" s="12"/>
      <c r="B114544" s="15"/>
      <c r="C114544" s="15"/>
      <c r="D114544" s="12"/>
      <c r="E114544" s="12"/>
      <c r="F114544" s="13"/>
      <c r="G114544" s="12"/>
      <c r="H114544" s="12"/>
      <c r="I114544" s="12"/>
      <c r="J114544" s="12"/>
      <c r="K114544" s="12"/>
      <c r="L114544" s="208"/>
      <c r="M114544" s="209"/>
      <c r="N114544" s="209"/>
      <c r="O114544" s="209"/>
    </row>
    <row r="114545" spans="1:15" s="210" customFormat="1" x14ac:dyDescent="0.3">
      <c r="A114545" s="12"/>
      <c r="B114545" s="15"/>
      <c r="C114545" s="15"/>
      <c r="D114545" s="12"/>
      <c r="E114545" s="12"/>
      <c r="F114545" s="13"/>
      <c r="G114545" s="12"/>
      <c r="H114545" s="12"/>
      <c r="I114545" s="12"/>
      <c r="J114545" s="12"/>
      <c r="K114545" s="12"/>
      <c r="L114545" s="208"/>
      <c r="M114545" s="209"/>
      <c r="N114545" s="209"/>
      <c r="O114545" s="209"/>
    </row>
    <row r="114546" spans="1:15" s="210" customFormat="1" x14ac:dyDescent="0.3">
      <c r="A114546" s="12"/>
      <c r="B114546" s="15"/>
      <c r="C114546" s="15"/>
      <c r="D114546" s="12"/>
      <c r="E114546" s="12"/>
      <c r="F114546" s="13"/>
      <c r="G114546" s="12"/>
      <c r="H114546" s="12"/>
      <c r="I114546" s="12"/>
      <c r="J114546" s="12"/>
      <c r="K114546" s="12"/>
      <c r="L114546" s="208"/>
      <c r="M114546" s="209"/>
      <c r="N114546" s="209"/>
      <c r="O114546" s="209"/>
    </row>
    <row r="114547" spans="1:15" s="210" customFormat="1" x14ac:dyDescent="0.3">
      <c r="A114547" s="12"/>
      <c r="B114547" s="15"/>
      <c r="C114547" s="15"/>
      <c r="D114547" s="12"/>
      <c r="E114547" s="12"/>
      <c r="F114547" s="13"/>
      <c r="G114547" s="12"/>
      <c r="H114547" s="12"/>
      <c r="I114547" s="12"/>
      <c r="J114547" s="12"/>
      <c r="K114547" s="12"/>
      <c r="L114547" s="208"/>
      <c r="M114547" s="209"/>
      <c r="N114547" s="209"/>
      <c r="O114547" s="209"/>
    </row>
    <row r="114548" spans="1:15" s="210" customFormat="1" x14ac:dyDescent="0.3">
      <c r="A114548" s="12"/>
      <c r="B114548" s="15"/>
      <c r="C114548" s="15"/>
      <c r="D114548" s="12"/>
      <c r="E114548" s="12"/>
      <c r="F114548" s="13"/>
      <c r="G114548" s="12"/>
      <c r="H114548" s="12"/>
      <c r="I114548" s="12"/>
      <c r="J114548" s="12"/>
      <c r="K114548" s="12"/>
      <c r="L114548" s="208"/>
      <c r="M114548" s="209"/>
      <c r="N114548" s="209"/>
      <c r="O114548" s="209"/>
    </row>
    <row r="114549" spans="1:15" s="210" customFormat="1" x14ac:dyDescent="0.3">
      <c r="A114549" s="12"/>
      <c r="B114549" s="15"/>
      <c r="C114549" s="15"/>
      <c r="D114549" s="12"/>
      <c r="E114549" s="12"/>
      <c r="F114549" s="13"/>
      <c r="G114549" s="12"/>
      <c r="H114549" s="12"/>
      <c r="I114549" s="12"/>
      <c r="J114549" s="12"/>
      <c r="K114549" s="12"/>
      <c r="L114549" s="208"/>
      <c r="M114549" s="209"/>
      <c r="N114549" s="209"/>
      <c r="O114549" s="209"/>
    </row>
    <row r="114550" spans="1:15" s="210" customFormat="1" x14ac:dyDescent="0.3">
      <c r="A114550" s="12"/>
      <c r="B114550" s="15"/>
      <c r="C114550" s="15"/>
      <c r="D114550" s="12"/>
      <c r="E114550" s="12"/>
      <c r="F114550" s="13"/>
      <c r="G114550" s="12"/>
      <c r="H114550" s="12"/>
      <c r="I114550" s="12"/>
      <c r="J114550" s="12"/>
      <c r="K114550" s="12"/>
      <c r="L114550" s="208"/>
      <c r="M114550" s="209"/>
      <c r="N114550" s="209"/>
      <c r="O114550" s="209"/>
    </row>
    <row r="114551" spans="1:15" s="210" customFormat="1" x14ac:dyDescent="0.3">
      <c r="A114551" s="12"/>
      <c r="B114551" s="15"/>
      <c r="C114551" s="15"/>
      <c r="D114551" s="12"/>
      <c r="E114551" s="12"/>
      <c r="F114551" s="13"/>
      <c r="G114551" s="12"/>
      <c r="H114551" s="12"/>
      <c r="I114551" s="12"/>
      <c r="J114551" s="12"/>
      <c r="K114551" s="12"/>
      <c r="L114551" s="208"/>
      <c r="M114551" s="209"/>
      <c r="N114551" s="209"/>
      <c r="O114551" s="209"/>
    </row>
    <row r="114552" spans="1:15" s="210" customFormat="1" x14ac:dyDescent="0.3">
      <c r="A114552" s="12"/>
      <c r="B114552" s="15"/>
      <c r="C114552" s="15"/>
      <c r="D114552" s="12"/>
      <c r="E114552" s="12"/>
      <c r="F114552" s="13"/>
      <c r="G114552" s="12"/>
      <c r="H114552" s="12"/>
      <c r="I114552" s="12"/>
      <c r="J114552" s="12"/>
      <c r="K114552" s="12"/>
      <c r="L114552" s="208"/>
      <c r="M114552" s="209"/>
      <c r="N114552" s="209"/>
      <c r="O114552" s="209"/>
    </row>
    <row r="114553" spans="1:15" s="210" customFormat="1" x14ac:dyDescent="0.3">
      <c r="A114553" s="12"/>
      <c r="B114553" s="15"/>
      <c r="C114553" s="15"/>
      <c r="D114553" s="12"/>
      <c r="E114553" s="12"/>
      <c r="F114553" s="13"/>
      <c r="G114553" s="12"/>
      <c r="H114553" s="12"/>
      <c r="I114553" s="12"/>
      <c r="J114553" s="12"/>
      <c r="K114553" s="12"/>
      <c r="L114553" s="208"/>
      <c r="M114553" s="209"/>
      <c r="N114553" s="209"/>
      <c r="O114553" s="209"/>
    </row>
    <row r="114554" spans="1:15" s="210" customFormat="1" x14ac:dyDescent="0.3">
      <c r="A114554" s="12"/>
      <c r="B114554" s="15"/>
      <c r="C114554" s="15"/>
      <c r="D114554" s="12"/>
      <c r="E114554" s="12"/>
      <c r="F114554" s="13"/>
      <c r="G114554" s="12"/>
      <c r="H114554" s="12"/>
      <c r="I114554" s="12"/>
      <c r="J114554" s="12"/>
      <c r="K114554" s="12"/>
      <c r="L114554" s="208"/>
      <c r="M114554" s="209"/>
      <c r="N114554" s="209"/>
      <c r="O114554" s="209"/>
    </row>
    <row r="114555" spans="1:15" s="210" customFormat="1" x14ac:dyDescent="0.3">
      <c r="A114555" s="12"/>
      <c r="B114555" s="15"/>
      <c r="C114555" s="15"/>
      <c r="D114555" s="12"/>
      <c r="E114555" s="12"/>
      <c r="F114555" s="13"/>
      <c r="G114555" s="12"/>
      <c r="H114555" s="12"/>
      <c r="I114555" s="12"/>
      <c r="J114555" s="12"/>
      <c r="K114555" s="12"/>
      <c r="L114555" s="208"/>
      <c r="M114555" s="209"/>
      <c r="N114555" s="209"/>
      <c r="O114555" s="209"/>
    </row>
    <row r="114556" spans="1:15" s="210" customFormat="1" x14ac:dyDescent="0.3">
      <c r="A114556" s="12"/>
      <c r="B114556" s="15"/>
      <c r="C114556" s="15"/>
      <c r="D114556" s="12"/>
      <c r="E114556" s="12"/>
      <c r="F114556" s="13"/>
      <c r="G114556" s="12"/>
      <c r="H114556" s="12"/>
      <c r="I114556" s="12"/>
      <c r="J114556" s="12"/>
      <c r="K114556" s="12"/>
      <c r="L114556" s="208"/>
      <c r="M114556" s="209"/>
      <c r="N114556" s="209"/>
      <c r="O114556" s="209"/>
    </row>
    <row r="114557" spans="1:15" s="210" customFormat="1" x14ac:dyDescent="0.3">
      <c r="A114557" s="12"/>
      <c r="B114557" s="15"/>
      <c r="C114557" s="15"/>
      <c r="D114557" s="12"/>
      <c r="E114557" s="12"/>
      <c r="F114557" s="13"/>
      <c r="G114557" s="12"/>
      <c r="H114557" s="12"/>
      <c r="I114557" s="12"/>
      <c r="J114557" s="12"/>
      <c r="K114557" s="12"/>
      <c r="L114557" s="208"/>
      <c r="M114557" s="209"/>
      <c r="N114557" s="209"/>
      <c r="O114557" s="209"/>
    </row>
    <row r="114558" spans="1:15" s="210" customFormat="1" x14ac:dyDescent="0.3">
      <c r="A114558" s="12"/>
      <c r="B114558" s="15"/>
      <c r="C114558" s="15"/>
      <c r="D114558" s="12"/>
      <c r="E114558" s="12"/>
      <c r="F114558" s="13"/>
      <c r="G114558" s="12"/>
      <c r="H114558" s="12"/>
      <c r="I114558" s="12"/>
      <c r="J114558" s="12"/>
      <c r="K114558" s="12"/>
      <c r="L114558" s="208"/>
      <c r="M114558" s="209"/>
      <c r="N114558" s="209"/>
      <c r="O114558" s="209"/>
    </row>
    <row r="114559" spans="1:15" s="210" customFormat="1" x14ac:dyDescent="0.3">
      <c r="A114559" s="12"/>
      <c r="B114559" s="15"/>
      <c r="C114559" s="15"/>
      <c r="D114559" s="12"/>
      <c r="E114559" s="12"/>
      <c r="F114559" s="13"/>
      <c r="G114559" s="12"/>
      <c r="H114559" s="12"/>
      <c r="I114559" s="12"/>
      <c r="J114559" s="12"/>
      <c r="K114559" s="12"/>
      <c r="L114559" s="208"/>
      <c r="M114559" s="209"/>
      <c r="N114559" s="209"/>
      <c r="O114559" s="209"/>
    </row>
    <row r="114560" spans="1:15" s="210" customFormat="1" x14ac:dyDescent="0.3">
      <c r="A114560" s="12"/>
      <c r="B114560" s="15"/>
      <c r="C114560" s="15"/>
      <c r="D114560" s="12"/>
      <c r="E114560" s="12"/>
      <c r="F114560" s="13"/>
      <c r="G114560" s="12"/>
      <c r="H114560" s="12"/>
      <c r="I114560" s="12"/>
      <c r="J114560" s="12"/>
      <c r="K114560" s="12"/>
      <c r="L114560" s="208"/>
      <c r="M114560" s="209"/>
      <c r="N114560" s="209"/>
      <c r="O114560" s="209"/>
    </row>
    <row r="114561" spans="1:15" s="210" customFormat="1" x14ac:dyDescent="0.3">
      <c r="A114561" s="12"/>
      <c r="B114561" s="15"/>
      <c r="C114561" s="15"/>
      <c r="D114561" s="12"/>
      <c r="E114561" s="12"/>
      <c r="F114561" s="13"/>
      <c r="G114561" s="12"/>
      <c r="H114561" s="12"/>
      <c r="I114561" s="12"/>
      <c r="J114561" s="12"/>
      <c r="K114561" s="12"/>
      <c r="L114561" s="208"/>
      <c r="M114561" s="209"/>
      <c r="N114561" s="209"/>
      <c r="O114561" s="209"/>
    </row>
    <row r="114562" spans="1:15" s="210" customFormat="1" x14ac:dyDescent="0.3">
      <c r="A114562" s="12"/>
      <c r="B114562" s="15"/>
      <c r="C114562" s="15"/>
      <c r="D114562" s="12"/>
      <c r="E114562" s="12"/>
      <c r="F114562" s="13"/>
      <c r="G114562" s="12"/>
      <c r="H114562" s="12"/>
      <c r="I114562" s="12"/>
      <c r="J114562" s="12"/>
      <c r="K114562" s="12"/>
      <c r="L114562" s="208"/>
      <c r="M114562" s="209"/>
      <c r="N114562" s="209"/>
      <c r="O114562" s="209"/>
    </row>
    <row r="114563" spans="1:15" s="210" customFormat="1" x14ac:dyDescent="0.3">
      <c r="A114563" s="12"/>
      <c r="B114563" s="15"/>
      <c r="C114563" s="15"/>
      <c r="D114563" s="12"/>
      <c r="E114563" s="12"/>
      <c r="F114563" s="13"/>
      <c r="G114563" s="12"/>
      <c r="H114563" s="12"/>
      <c r="I114563" s="12"/>
      <c r="J114563" s="12"/>
      <c r="K114563" s="12"/>
      <c r="L114563" s="208"/>
      <c r="M114563" s="209"/>
      <c r="N114563" s="209"/>
      <c r="O114563" s="209"/>
    </row>
    <row r="114564" spans="1:15" s="210" customFormat="1" x14ac:dyDescent="0.3">
      <c r="A114564" s="12"/>
      <c r="B114564" s="15"/>
      <c r="C114564" s="15"/>
      <c r="D114564" s="12"/>
      <c r="E114564" s="12"/>
      <c r="F114564" s="13"/>
      <c r="G114564" s="12"/>
      <c r="H114564" s="12"/>
      <c r="I114564" s="12"/>
      <c r="J114564" s="12"/>
      <c r="K114564" s="12"/>
      <c r="L114564" s="208"/>
      <c r="M114564" s="209"/>
      <c r="N114564" s="209"/>
      <c r="O114564" s="209"/>
    </row>
    <row r="114565" spans="1:15" s="210" customFormat="1" x14ac:dyDescent="0.3">
      <c r="A114565" s="12"/>
      <c r="B114565" s="15"/>
      <c r="C114565" s="15"/>
      <c r="D114565" s="12"/>
      <c r="E114565" s="12"/>
      <c r="F114565" s="13"/>
      <c r="G114565" s="12"/>
      <c r="H114565" s="12"/>
      <c r="I114565" s="12"/>
      <c r="J114565" s="12"/>
      <c r="K114565" s="12"/>
      <c r="L114565" s="208"/>
      <c r="M114565" s="209"/>
      <c r="N114565" s="209"/>
      <c r="O114565" s="209"/>
    </row>
    <row r="114566" spans="1:15" s="210" customFormat="1" x14ac:dyDescent="0.3">
      <c r="A114566" s="12"/>
      <c r="B114566" s="15"/>
      <c r="C114566" s="15"/>
      <c r="D114566" s="12"/>
      <c r="E114566" s="12"/>
      <c r="F114566" s="13"/>
      <c r="G114566" s="12"/>
      <c r="H114566" s="12"/>
      <c r="I114566" s="12"/>
      <c r="J114566" s="12"/>
      <c r="K114566" s="12"/>
      <c r="L114566" s="208"/>
      <c r="M114566" s="209"/>
      <c r="N114566" s="209"/>
      <c r="O114566" s="209"/>
    </row>
    <row r="114567" spans="1:15" s="210" customFormat="1" x14ac:dyDescent="0.3">
      <c r="A114567" s="12"/>
      <c r="B114567" s="15"/>
      <c r="C114567" s="15"/>
      <c r="D114567" s="12"/>
      <c r="E114567" s="12"/>
      <c r="F114567" s="13"/>
      <c r="G114567" s="12"/>
      <c r="H114567" s="12"/>
      <c r="I114567" s="12"/>
      <c r="J114567" s="12"/>
      <c r="K114567" s="12"/>
      <c r="L114567" s="208"/>
      <c r="M114567" s="209"/>
      <c r="N114567" s="209"/>
      <c r="O114567" s="209"/>
    </row>
    <row r="114568" spans="1:15" s="210" customFormat="1" x14ac:dyDescent="0.3">
      <c r="A114568" s="12"/>
      <c r="B114568" s="15"/>
      <c r="C114568" s="15"/>
      <c r="D114568" s="12"/>
      <c r="E114568" s="12"/>
      <c r="F114568" s="13"/>
      <c r="G114568" s="12"/>
      <c r="H114568" s="12"/>
      <c r="I114568" s="12"/>
      <c r="J114568" s="12"/>
      <c r="K114568" s="12"/>
      <c r="L114568" s="208"/>
      <c r="M114568" s="209"/>
      <c r="N114568" s="209"/>
      <c r="O114568" s="209"/>
    </row>
    <row r="114569" spans="1:15" s="210" customFormat="1" x14ac:dyDescent="0.3">
      <c r="A114569" s="12"/>
      <c r="B114569" s="15"/>
      <c r="C114569" s="15"/>
      <c r="D114569" s="12"/>
      <c r="E114569" s="12"/>
      <c r="F114569" s="13"/>
      <c r="G114569" s="12"/>
      <c r="H114569" s="12"/>
      <c r="I114569" s="12"/>
      <c r="J114569" s="12"/>
      <c r="K114569" s="12"/>
      <c r="L114569" s="208"/>
      <c r="M114569" s="209"/>
      <c r="N114569" s="209"/>
      <c r="O114569" s="209"/>
    </row>
    <row r="114570" spans="1:15" s="210" customFormat="1" x14ac:dyDescent="0.3">
      <c r="A114570" s="12"/>
      <c r="B114570" s="15"/>
      <c r="C114570" s="15"/>
      <c r="D114570" s="12"/>
      <c r="E114570" s="12"/>
      <c r="F114570" s="13"/>
      <c r="G114570" s="12"/>
      <c r="H114570" s="12"/>
      <c r="I114570" s="12"/>
      <c r="J114570" s="12"/>
      <c r="K114570" s="12"/>
      <c r="L114570" s="208"/>
      <c r="M114570" s="209"/>
      <c r="N114570" s="209"/>
      <c r="O114570" s="209"/>
    </row>
    <row r="114571" spans="1:15" s="210" customFormat="1" x14ac:dyDescent="0.3">
      <c r="A114571" s="12"/>
      <c r="B114571" s="15"/>
      <c r="C114571" s="15"/>
      <c r="D114571" s="12"/>
      <c r="E114571" s="12"/>
      <c r="F114571" s="13"/>
      <c r="G114571" s="12"/>
      <c r="H114571" s="12"/>
      <c r="I114571" s="12"/>
      <c r="J114571" s="12"/>
      <c r="K114571" s="12"/>
      <c r="L114571" s="208"/>
      <c r="M114571" s="209"/>
      <c r="N114571" s="209"/>
      <c r="O114571" s="209"/>
    </row>
    <row r="114572" spans="1:15" s="210" customFormat="1" x14ac:dyDescent="0.3">
      <c r="A114572" s="12"/>
      <c r="B114572" s="15"/>
      <c r="C114572" s="15"/>
      <c r="D114572" s="12"/>
      <c r="E114572" s="12"/>
      <c r="F114572" s="13"/>
      <c r="G114572" s="12"/>
      <c r="H114572" s="12"/>
      <c r="I114572" s="12"/>
      <c r="J114572" s="12"/>
      <c r="K114572" s="12"/>
      <c r="L114572" s="208"/>
      <c r="M114572" s="209"/>
      <c r="N114572" s="209"/>
      <c r="O114572" s="209"/>
    </row>
    <row r="114573" spans="1:15" s="210" customFormat="1" x14ac:dyDescent="0.3">
      <c r="A114573" s="12"/>
      <c r="B114573" s="15"/>
      <c r="C114573" s="15"/>
      <c r="D114573" s="12"/>
      <c r="E114573" s="12"/>
      <c r="F114573" s="13"/>
      <c r="G114573" s="12"/>
      <c r="H114573" s="12"/>
      <c r="I114573" s="12"/>
      <c r="J114573" s="12"/>
      <c r="K114573" s="12"/>
      <c r="L114573" s="208"/>
      <c r="M114573" s="209"/>
      <c r="N114573" s="209"/>
      <c r="O114573" s="209"/>
    </row>
    <row r="114574" spans="1:15" s="210" customFormat="1" x14ac:dyDescent="0.3">
      <c r="A114574" s="12"/>
      <c r="B114574" s="15"/>
      <c r="C114574" s="15"/>
      <c r="D114574" s="12"/>
      <c r="E114574" s="12"/>
      <c r="F114574" s="13"/>
      <c r="G114574" s="12"/>
      <c r="H114574" s="12"/>
      <c r="I114574" s="12"/>
      <c r="J114574" s="12"/>
      <c r="K114574" s="12"/>
      <c r="L114574" s="208"/>
      <c r="M114574" s="209"/>
      <c r="N114574" s="209"/>
      <c r="O114574" s="209"/>
    </row>
    <row r="114575" spans="1:15" s="210" customFormat="1" x14ac:dyDescent="0.3">
      <c r="A114575" s="12"/>
      <c r="B114575" s="15"/>
      <c r="C114575" s="15"/>
      <c r="D114575" s="12"/>
      <c r="E114575" s="12"/>
      <c r="F114575" s="13"/>
      <c r="G114575" s="12"/>
      <c r="H114575" s="12"/>
      <c r="I114575" s="12"/>
      <c r="J114575" s="12"/>
      <c r="K114575" s="12"/>
      <c r="L114575" s="208"/>
      <c r="M114575" s="209"/>
      <c r="N114575" s="209"/>
      <c r="O114575" s="209"/>
    </row>
    <row r="114576" spans="1:15" s="210" customFormat="1" x14ac:dyDescent="0.3">
      <c r="A114576" s="12"/>
      <c r="B114576" s="15"/>
      <c r="C114576" s="15"/>
      <c r="D114576" s="12"/>
      <c r="E114576" s="12"/>
      <c r="F114576" s="13"/>
      <c r="G114576" s="12"/>
      <c r="H114576" s="12"/>
      <c r="I114576" s="12"/>
      <c r="J114576" s="12"/>
      <c r="K114576" s="12"/>
      <c r="L114576" s="208"/>
      <c r="M114576" s="209"/>
      <c r="N114576" s="209"/>
      <c r="O114576" s="209"/>
    </row>
    <row r="114577" spans="1:15" s="210" customFormat="1" x14ac:dyDescent="0.3">
      <c r="A114577" s="12"/>
      <c r="B114577" s="15"/>
      <c r="C114577" s="15"/>
      <c r="D114577" s="12"/>
      <c r="E114577" s="12"/>
      <c r="F114577" s="13"/>
      <c r="G114577" s="12"/>
      <c r="H114577" s="12"/>
      <c r="I114577" s="12"/>
      <c r="J114577" s="12"/>
      <c r="K114577" s="12"/>
      <c r="L114577" s="208"/>
      <c r="M114577" s="209"/>
      <c r="N114577" s="209"/>
      <c r="O114577" s="209"/>
    </row>
    <row r="114578" spans="1:15" s="210" customFormat="1" x14ac:dyDescent="0.3">
      <c r="A114578" s="12"/>
      <c r="B114578" s="15"/>
      <c r="C114578" s="15"/>
      <c r="D114578" s="12"/>
      <c r="E114578" s="12"/>
      <c r="F114578" s="13"/>
      <c r="G114578" s="12"/>
      <c r="H114578" s="12"/>
      <c r="I114578" s="12"/>
      <c r="J114578" s="12"/>
      <c r="K114578" s="12"/>
      <c r="L114578" s="208"/>
      <c r="M114578" s="209"/>
      <c r="N114578" s="209"/>
      <c r="O114578" s="209"/>
    </row>
    <row r="114579" spans="1:15" s="210" customFormat="1" x14ac:dyDescent="0.3">
      <c r="A114579" s="12"/>
      <c r="B114579" s="15"/>
      <c r="C114579" s="15"/>
      <c r="D114579" s="12"/>
      <c r="E114579" s="12"/>
      <c r="F114579" s="13"/>
      <c r="G114579" s="12"/>
      <c r="H114579" s="12"/>
      <c r="I114579" s="12"/>
      <c r="J114579" s="12"/>
      <c r="K114579" s="12"/>
      <c r="L114579" s="208"/>
      <c r="M114579" s="209"/>
      <c r="N114579" s="209"/>
      <c r="O114579" s="209"/>
    </row>
    <row r="114580" spans="1:15" s="210" customFormat="1" x14ac:dyDescent="0.3">
      <c r="A114580" s="12"/>
      <c r="B114580" s="15"/>
      <c r="C114580" s="15"/>
      <c r="D114580" s="12"/>
      <c r="E114580" s="12"/>
      <c r="F114580" s="13"/>
      <c r="G114580" s="12"/>
      <c r="H114580" s="12"/>
      <c r="I114580" s="12"/>
      <c r="J114580" s="12"/>
      <c r="K114580" s="12"/>
      <c r="L114580" s="208"/>
      <c r="M114580" s="209"/>
      <c r="N114580" s="209"/>
      <c r="O114580" s="209"/>
    </row>
    <row r="114581" spans="1:15" s="210" customFormat="1" x14ac:dyDescent="0.3">
      <c r="A114581" s="12"/>
      <c r="B114581" s="15"/>
      <c r="C114581" s="15"/>
      <c r="D114581" s="12"/>
      <c r="E114581" s="12"/>
      <c r="F114581" s="13"/>
      <c r="G114581" s="12"/>
      <c r="H114581" s="12"/>
      <c r="I114581" s="12"/>
      <c r="J114581" s="12"/>
      <c r="K114581" s="12"/>
      <c r="L114581" s="208"/>
      <c r="M114581" s="209"/>
      <c r="N114581" s="209"/>
      <c r="O114581" s="209"/>
    </row>
    <row r="114582" spans="1:15" s="210" customFormat="1" x14ac:dyDescent="0.3">
      <c r="A114582" s="12"/>
      <c r="B114582" s="15"/>
      <c r="C114582" s="15"/>
      <c r="D114582" s="12"/>
      <c r="E114582" s="12"/>
      <c r="F114582" s="13"/>
      <c r="G114582" s="12"/>
      <c r="H114582" s="12"/>
      <c r="I114582" s="12"/>
      <c r="J114582" s="12"/>
      <c r="K114582" s="12"/>
      <c r="L114582" s="208"/>
      <c r="M114582" s="209"/>
      <c r="N114582" s="209"/>
      <c r="O114582" s="209"/>
    </row>
    <row r="114583" spans="1:15" s="210" customFormat="1" x14ac:dyDescent="0.3">
      <c r="A114583" s="12"/>
      <c r="B114583" s="15"/>
      <c r="C114583" s="15"/>
      <c r="D114583" s="12"/>
      <c r="E114583" s="12"/>
      <c r="F114583" s="13"/>
      <c r="G114583" s="12"/>
      <c r="H114583" s="12"/>
      <c r="I114583" s="12"/>
      <c r="J114583" s="12"/>
      <c r="K114583" s="12"/>
      <c r="L114583" s="208"/>
      <c r="M114583" s="209"/>
      <c r="N114583" s="209"/>
      <c r="O114583" s="209"/>
    </row>
    <row r="114584" spans="1:15" s="210" customFormat="1" x14ac:dyDescent="0.3">
      <c r="A114584" s="12"/>
      <c r="B114584" s="15"/>
      <c r="C114584" s="15"/>
      <c r="D114584" s="12"/>
      <c r="E114584" s="12"/>
      <c r="F114584" s="13"/>
      <c r="G114584" s="12"/>
      <c r="H114584" s="12"/>
      <c r="I114584" s="12"/>
      <c r="J114584" s="12"/>
      <c r="K114584" s="12"/>
      <c r="L114584" s="208"/>
      <c r="M114584" s="209"/>
      <c r="N114584" s="209"/>
      <c r="O114584" s="209"/>
    </row>
    <row r="114585" spans="1:15" s="210" customFormat="1" x14ac:dyDescent="0.3">
      <c r="A114585" s="12"/>
      <c r="B114585" s="15"/>
      <c r="C114585" s="15"/>
      <c r="D114585" s="12"/>
      <c r="E114585" s="12"/>
      <c r="F114585" s="13"/>
      <c r="G114585" s="12"/>
      <c r="H114585" s="12"/>
      <c r="I114585" s="12"/>
      <c r="J114585" s="12"/>
      <c r="K114585" s="12"/>
      <c r="L114585" s="208"/>
      <c r="M114585" s="209"/>
      <c r="N114585" s="209"/>
      <c r="O114585" s="209"/>
    </row>
    <row r="114586" spans="1:15" s="210" customFormat="1" x14ac:dyDescent="0.3">
      <c r="A114586" s="12"/>
      <c r="B114586" s="15"/>
      <c r="C114586" s="15"/>
      <c r="D114586" s="12"/>
      <c r="E114586" s="12"/>
      <c r="F114586" s="13"/>
      <c r="G114586" s="12"/>
      <c r="H114586" s="12"/>
      <c r="I114586" s="12"/>
      <c r="J114586" s="12"/>
      <c r="K114586" s="12"/>
      <c r="L114586" s="208"/>
      <c r="M114586" s="209"/>
      <c r="N114586" s="209"/>
      <c r="O114586" s="209"/>
    </row>
    <row r="114587" spans="1:15" s="210" customFormat="1" x14ac:dyDescent="0.3">
      <c r="A114587" s="12"/>
      <c r="B114587" s="15"/>
      <c r="C114587" s="15"/>
      <c r="D114587" s="12"/>
      <c r="E114587" s="12"/>
      <c r="F114587" s="13"/>
      <c r="G114587" s="12"/>
      <c r="H114587" s="12"/>
      <c r="I114587" s="12"/>
      <c r="J114587" s="12"/>
      <c r="K114587" s="12"/>
      <c r="L114587" s="208"/>
      <c r="M114587" s="209"/>
      <c r="N114587" s="209"/>
      <c r="O114587" s="209"/>
    </row>
    <row r="114588" spans="1:15" s="210" customFormat="1" x14ac:dyDescent="0.3">
      <c r="A114588" s="12"/>
      <c r="B114588" s="15"/>
      <c r="C114588" s="15"/>
      <c r="D114588" s="12"/>
      <c r="E114588" s="12"/>
      <c r="F114588" s="13"/>
      <c r="G114588" s="12"/>
      <c r="H114588" s="12"/>
      <c r="I114588" s="12"/>
      <c r="J114588" s="12"/>
      <c r="K114588" s="12"/>
      <c r="L114588" s="208"/>
      <c r="M114588" s="209"/>
      <c r="N114588" s="209"/>
      <c r="O114588" s="209"/>
    </row>
    <row r="114589" spans="1:15" s="210" customFormat="1" x14ac:dyDescent="0.3">
      <c r="A114589" s="12"/>
      <c r="B114589" s="15"/>
      <c r="C114589" s="15"/>
      <c r="D114589" s="12"/>
      <c r="E114589" s="12"/>
      <c r="F114589" s="13"/>
      <c r="G114589" s="12"/>
      <c r="H114589" s="12"/>
      <c r="I114589" s="12"/>
      <c r="J114589" s="12"/>
      <c r="K114589" s="12"/>
      <c r="L114589" s="208"/>
      <c r="M114589" s="209"/>
      <c r="N114589" s="209"/>
      <c r="O114589" s="209"/>
    </row>
    <row r="114590" spans="1:15" s="210" customFormat="1" x14ac:dyDescent="0.3">
      <c r="A114590" s="12"/>
      <c r="B114590" s="15"/>
      <c r="C114590" s="15"/>
      <c r="D114590" s="12"/>
      <c r="E114590" s="12"/>
      <c r="F114590" s="13"/>
      <c r="G114590" s="12"/>
      <c r="H114590" s="12"/>
      <c r="I114590" s="12"/>
      <c r="J114590" s="12"/>
      <c r="K114590" s="12"/>
      <c r="L114590" s="208"/>
      <c r="M114590" s="209"/>
      <c r="N114590" s="209"/>
      <c r="O114590" s="209"/>
    </row>
    <row r="114591" spans="1:15" s="210" customFormat="1" x14ac:dyDescent="0.3">
      <c r="A114591" s="12"/>
      <c r="B114591" s="15"/>
      <c r="C114591" s="15"/>
      <c r="D114591" s="12"/>
      <c r="E114591" s="12"/>
      <c r="F114591" s="13"/>
      <c r="G114591" s="12"/>
      <c r="H114591" s="12"/>
      <c r="I114591" s="12"/>
      <c r="J114591" s="12"/>
      <c r="K114591" s="12"/>
      <c r="L114591" s="208"/>
      <c r="M114591" s="209"/>
      <c r="N114591" s="209"/>
      <c r="O114591" s="209"/>
    </row>
    <row r="114592" spans="1:15" s="210" customFormat="1" x14ac:dyDescent="0.3">
      <c r="A114592" s="12"/>
      <c r="B114592" s="15"/>
      <c r="C114592" s="15"/>
      <c r="D114592" s="12"/>
      <c r="E114592" s="12"/>
      <c r="F114592" s="13"/>
      <c r="G114592" s="12"/>
      <c r="H114592" s="12"/>
      <c r="I114592" s="12"/>
      <c r="J114592" s="12"/>
      <c r="K114592" s="12"/>
      <c r="L114592" s="208"/>
      <c r="M114592" s="209"/>
      <c r="N114592" s="209"/>
      <c r="O114592" s="209"/>
    </row>
    <row r="114593" spans="1:15" s="210" customFormat="1" x14ac:dyDescent="0.3">
      <c r="A114593" s="12"/>
      <c r="B114593" s="15"/>
      <c r="C114593" s="15"/>
      <c r="D114593" s="12"/>
      <c r="E114593" s="12"/>
      <c r="F114593" s="13"/>
      <c r="G114593" s="12"/>
      <c r="H114593" s="12"/>
      <c r="I114593" s="12"/>
      <c r="J114593" s="12"/>
      <c r="K114593" s="12"/>
      <c r="L114593" s="208"/>
      <c r="M114593" s="209"/>
      <c r="N114593" s="209"/>
      <c r="O114593" s="209"/>
    </row>
    <row r="114594" spans="1:15" s="210" customFormat="1" x14ac:dyDescent="0.3">
      <c r="A114594" s="12"/>
      <c r="B114594" s="15"/>
      <c r="C114594" s="15"/>
      <c r="D114594" s="12"/>
      <c r="E114594" s="12"/>
      <c r="F114594" s="13"/>
      <c r="G114594" s="12"/>
      <c r="H114594" s="12"/>
      <c r="I114594" s="12"/>
      <c r="J114594" s="12"/>
      <c r="K114594" s="12"/>
      <c r="L114594" s="208"/>
      <c r="M114594" s="209"/>
      <c r="N114594" s="209"/>
      <c r="O114594" s="209"/>
    </row>
    <row r="114595" spans="1:15" s="210" customFormat="1" x14ac:dyDescent="0.3">
      <c r="A114595" s="12"/>
      <c r="B114595" s="15"/>
      <c r="C114595" s="15"/>
      <c r="D114595" s="12"/>
      <c r="E114595" s="12"/>
      <c r="F114595" s="13"/>
      <c r="G114595" s="12"/>
      <c r="H114595" s="12"/>
      <c r="I114595" s="12"/>
      <c r="J114595" s="12"/>
      <c r="K114595" s="12"/>
      <c r="L114595" s="208"/>
      <c r="M114595" s="209"/>
      <c r="N114595" s="209"/>
      <c r="O114595" s="209"/>
    </row>
    <row r="114596" spans="1:15" s="210" customFormat="1" x14ac:dyDescent="0.3">
      <c r="A114596" s="12"/>
      <c r="B114596" s="15"/>
      <c r="C114596" s="15"/>
      <c r="D114596" s="12"/>
      <c r="E114596" s="12"/>
      <c r="F114596" s="13"/>
      <c r="G114596" s="12"/>
      <c r="H114596" s="12"/>
      <c r="I114596" s="12"/>
      <c r="J114596" s="12"/>
      <c r="K114596" s="12"/>
      <c r="L114596" s="208"/>
      <c r="M114596" s="209"/>
      <c r="N114596" s="209"/>
      <c r="O114596" s="209"/>
    </row>
    <row r="114597" spans="1:15" s="210" customFormat="1" x14ac:dyDescent="0.3">
      <c r="A114597" s="12"/>
      <c r="B114597" s="15"/>
      <c r="C114597" s="15"/>
      <c r="D114597" s="12"/>
      <c r="E114597" s="12"/>
      <c r="F114597" s="13"/>
      <c r="G114597" s="12"/>
      <c r="H114597" s="12"/>
      <c r="I114597" s="12"/>
      <c r="J114597" s="12"/>
      <c r="K114597" s="12"/>
      <c r="L114597" s="208"/>
      <c r="M114597" s="209"/>
      <c r="N114597" s="209"/>
      <c r="O114597" s="209"/>
    </row>
    <row r="114598" spans="1:15" s="210" customFormat="1" x14ac:dyDescent="0.3">
      <c r="A114598" s="12"/>
      <c r="B114598" s="15"/>
      <c r="C114598" s="15"/>
      <c r="D114598" s="12"/>
      <c r="E114598" s="12"/>
      <c r="F114598" s="13"/>
      <c r="G114598" s="12"/>
      <c r="H114598" s="12"/>
      <c r="I114598" s="12"/>
      <c r="J114598" s="12"/>
      <c r="K114598" s="12"/>
      <c r="L114598" s="208"/>
      <c r="M114598" s="209"/>
      <c r="N114598" s="209"/>
      <c r="O114598" s="209"/>
    </row>
    <row r="114599" spans="1:15" s="210" customFormat="1" x14ac:dyDescent="0.3">
      <c r="A114599" s="12"/>
      <c r="B114599" s="15"/>
      <c r="C114599" s="15"/>
      <c r="D114599" s="12"/>
      <c r="E114599" s="12"/>
      <c r="F114599" s="13"/>
      <c r="G114599" s="12"/>
      <c r="H114599" s="12"/>
      <c r="I114599" s="12"/>
      <c r="J114599" s="12"/>
      <c r="K114599" s="12"/>
      <c r="L114599" s="208"/>
      <c r="M114599" s="209"/>
      <c r="N114599" s="209"/>
      <c r="O114599" s="209"/>
    </row>
    <row r="114600" spans="1:15" s="210" customFormat="1" x14ac:dyDescent="0.3">
      <c r="A114600" s="12"/>
      <c r="B114600" s="15"/>
      <c r="C114600" s="15"/>
      <c r="D114600" s="12"/>
      <c r="E114600" s="12"/>
      <c r="F114600" s="13"/>
      <c r="G114600" s="12"/>
      <c r="H114600" s="12"/>
      <c r="I114600" s="12"/>
      <c r="J114600" s="12"/>
      <c r="K114600" s="12"/>
      <c r="L114600" s="208"/>
      <c r="M114600" s="209"/>
      <c r="N114600" s="209"/>
      <c r="O114600" s="209"/>
    </row>
    <row r="114601" spans="1:15" s="210" customFormat="1" x14ac:dyDescent="0.3">
      <c r="A114601" s="12"/>
      <c r="B114601" s="15"/>
      <c r="C114601" s="15"/>
      <c r="D114601" s="12"/>
      <c r="E114601" s="12"/>
      <c r="F114601" s="13"/>
      <c r="G114601" s="12"/>
      <c r="H114601" s="12"/>
      <c r="I114601" s="12"/>
      <c r="J114601" s="12"/>
      <c r="K114601" s="12"/>
      <c r="L114601" s="208"/>
      <c r="M114601" s="209"/>
      <c r="N114601" s="209"/>
      <c r="O114601" s="209"/>
    </row>
    <row r="114602" spans="1:15" s="210" customFormat="1" x14ac:dyDescent="0.3">
      <c r="A114602" s="12"/>
      <c r="B114602" s="15"/>
      <c r="C114602" s="15"/>
      <c r="D114602" s="12"/>
      <c r="E114602" s="12"/>
      <c r="F114602" s="13"/>
      <c r="G114602" s="12"/>
      <c r="H114602" s="12"/>
      <c r="I114602" s="12"/>
      <c r="J114602" s="12"/>
      <c r="K114602" s="12"/>
      <c r="L114602" s="208"/>
      <c r="M114602" s="209"/>
      <c r="N114602" s="209"/>
      <c r="O114602" s="209"/>
    </row>
    <row r="114603" spans="1:15" s="210" customFormat="1" x14ac:dyDescent="0.3">
      <c r="A114603" s="12"/>
      <c r="B114603" s="15"/>
      <c r="C114603" s="15"/>
      <c r="D114603" s="12"/>
      <c r="E114603" s="12"/>
      <c r="F114603" s="13"/>
      <c r="G114603" s="12"/>
      <c r="H114603" s="12"/>
      <c r="I114603" s="12"/>
      <c r="J114603" s="12"/>
      <c r="K114603" s="12"/>
      <c r="L114603" s="208"/>
      <c r="M114603" s="209"/>
      <c r="N114603" s="209"/>
      <c r="O114603" s="209"/>
    </row>
    <row r="114604" spans="1:15" s="210" customFormat="1" x14ac:dyDescent="0.3">
      <c r="A114604" s="12"/>
      <c r="B114604" s="15"/>
      <c r="C114604" s="15"/>
      <c r="D114604" s="12"/>
      <c r="E114604" s="12"/>
      <c r="F114604" s="13"/>
      <c r="G114604" s="12"/>
      <c r="H114604" s="12"/>
      <c r="I114604" s="12"/>
      <c r="J114604" s="12"/>
      <c r="K114604" s="12"/>
      <c r="L114604" s="208"/>
      <c r="M114604" s="209"/>
      <c r="N114604" s="209"/>
      <c r="O114604" s="209"/>
    </row>
    <row r="114605" spans="1:15" s="210" customFormat="1" x14ac:dyDescent="0.3">
      <c r="A114605" s="12"/>
      <c r="B114605" s="15"/>
      <c r="C114605" s="15"/>
      <c r="D114605" s="12"/>
      <c r="E114605" s="12"/>
      <c r="F114605" s="13"/>
      <c r="G114605" s="12"/>
      <c r="H114605" s="12"/>
      <c r="I114605" s="12"/>
      <c r="J114605" s="12"/>
      <c r="K114605" s="12"/>
      <c r="L114605" s="208"/>
      <c r="M114605" s="209"/>
      <c r="N114605" s="209"/>
      <c r="O114605" s="209"/>
    </row>
    <row r="114606" spans="1:15" s="210" customFormat="1" x14ac:dyDescent="0.3">
      <c r="A114606" s="12"/>
      <c r="B114606" s="15"/>
      <c r="C114606" s="15"/>
      <c r="D114606" s="12"/>
      <c r="E114606" s="12"/>
      <c r="F114606" s="13"/>
      <c r="G114606" s="12"/>
      <c r="H114606" s="12"/>
      <c r="I114606" s="12"/>
      <c r="J114606" s="12"/>
      <c r="K114606" s="12"/>
      <c r="L114606" s="208"/>
      <c r="M114606" s="209"/>
      <c r="N114606" s="209"/>
      <c r="O114606" s="209"/>
    </row>
    <row r="114607" spans="1:15" s="210" customFormat="1" x14ac:dyDescent="0.3">
      <c r="A114607" s="12"/>
      <c r="B114607" s="15"/>
      <c r="C114607" s="15"/>
      <c r="D114607" s="12"/>
      <c r="E114607" s="12"/>
      <c r="F114607" s="13"/>
      <c r="G114607" s="12"/>
      <c r="H114607" s="12"/>
      <c r="I114607" s="12"/>
      <c r="J114607" s="12"/>
      <c r="K114607" s="12"/>
      <c r="L114607" s="208"/>
      <c r="M114607" s="209"/>
      <c r="N114607" s="209"/>
      <c r="O114607" s="209"/>
    </row>
    <row r="114608" spans="1:15" s="210" customFormat="1" x14ac:dyDescent="0.3">
      <c r="A114608" s="12"/>
      <c r="B114608" s="15"/>
      <c r="C114608" s="15"/>
      <c r="D114608" s="12"/>
      <c r="E114608" s="12"/>
      <c r="F114608" s="13"/>
      <c r="G114608" s="12"/>
      <c r="H114608" s="12"/>
      <c r="I114608" s="12"/>
      <c r="J114608" s="12"/>
      <c r="K114608" s="12"/>
      <c r="L114608" s="208"/>
      <c r="M114608" s="209"/>
      <c r="N114608" s="209"/>
      <c r="O114608" s="209"/>
    </row>
    <row r="114609" spans="1:15" s="210" customFormat="1" x14ac:dyDescent="0.3">
      <c r="A114609" s="12"/>
      <c r="B114609" s="15"/>
      <c r="C114609" s="15"/>
      <c r="D114609" s="12"/>
      <c r="E114609" s="12"/>
      <c r="F114609" s="13"/>
      <c r="G114609" s="12"/>
      <c r="H114609" s="12"/>
      <c r="I114609" s="12"/>
      <c r="J114609" s="12"/>
      <c r="K114609" s="12"/>
      <c r="L114609" s="208"/>
      <c r="M114609" s="209"/>
      <c r="N114609" s="209"/>
      <c r="O114609" s="209"/>
    </row>
    <row r="114610" spans="1:15" s="210" customFormat="1" x14ac:dyDescent="0.3">
      <c r="A114610" s="12"/>
      <c r="B114610" s="15"/>
      <c r="C114610" s="15"/>
      <c r="D114610" s="12"/>
      <c r="E114610" s="12"/>
      <c r="F114610" s="13"/>
      <c r="G114610" s="12"/>
      <c r="H114610" s="12"/>
      <c r="I114610" s="12"/>
      <c r="J114610" s="12"/>
      <c r="K114610" s="12"/>
      <c r="L114610" s="208"/>
      <c r="M114610" s="209"/>
      <c r="N114610" s="209"/>
      <c r="O114610" s="209"/>
    </row>
    <row r="114611" spans="1:15" s="210" customFormat="1" x14ac:dyDescent="0.3">
      <c r="A114611" s="12"/>
      <c r="B114611" s="15"/>
      <c r="C114611" s="15"/>
      <c r="D114611" s="12"/>
      <c r="E114611" s="12"/>
      <c r="F114611" s="13"/>
      <c r="G114611" s="12"/>
      <c r="H114611" s="12"/>
      <c r="I114611" s="12"/>
      <c r="J114611" s="12"/>
      <c r="K114611" s="12"/>
      <c r="L114611" s="208"/>
      <c r="M114611" s="209"/>
      <c r="N114611" s="209"/>
      <c r="O114611" s="209"/>
    </row>
    <row r="114612" spans="1:15" s="210" customFormat="1" x14ac:dyDescent="0.3">
      <c r="A114612" s="12"/>
      <c r="B114612" s="15"/>
      <c r="C114612" s="15"/>
      <c r="D114612" s="12"/>
      <c r="E114612" s="12"/>
      <c r="F114612" s="13"/>
      <c r="G114612" s="12"/>
      <c r="H114612" s="12"/>
      <c r="I114612" s="12"/>
      <c r="J114612" s="12"/>
      <c r="K114612" s="12"/>
      <c r="L114612" s="208"/>
      <c r="M114612" s="209"/>
      <c r="N114612" s="209"/>
      <c r="O114612" s="209"/>
    </row>
    <row r="114613" spans="1:15" s="210" customFormat="1" x14ac:dyDescent="0.3">
      <c r="A114613" s="12"/>
      <c r="B114613" s="15"/>
      <c r="C114613" s="15"/>
      <c r="D114613" s="12"/>
      <c r="E114613" s="12"/>
      <c r="F114613" s="13"/>
      <c r="G114613" s="12"/>
      <c r="H114613" s="12"/>
      <c r="I114613" s="12"/>
      <c r="J114613" s="12"/>
      <c r="K114613" s="12"/>
      <c r="L114613" s="208"/>
      <c r="M114613" s="209"/>
      <c r="N114613" s="209"/>
      <c r="O114613" s="209"/>
    </row>
    <row r="114614" spans="1:15" s="210" customFormat="1" x14ac:dyDescent="0.3">
      <c r="A114614" s="12"/>
      <c r="B114614" s="15"/>
      <c r="C114614" s="15"/>
      <c r="D114614" s="12"/>
      <c r="E114614" s="12"/>
      <c r="F114614" s="13"/>
      <c r="G114614" s="12"/>
      <c r="H114614" s="12"/>
      <c r="I114614" s="12"/>
      <c r="J114614" s="12"/>
      <c r="K114614" s="12"/>
      <c r="L114614" s="208"/>
      <c r="M114614" s="209"/>
      <c r="N114614" s="209"/>
      <c r="O114614" s="209"/>
    </row>
    <row r="114615" spans="1:15" s="210" customFormat="1" x14ac:dyDescent="0.3">
      <c r="A114615" s="12"/>
      <c r="B114615" s="15"/>
      <c r="C114615" s="15"/>
      <c r="D114615" s="12"/>
      <c r="E114615" s="12"/>
      <c r="F114615" s="13"/>
      <c r="G114615" s="12"/>
      <c r="H114615" s="12"/>
      <c r="I114615" s="12"/>
      <c r="J114615" s="12"/>
      <c r="K114615" s="12"/>
      <c r="L114615" s="208"/>
      <c r="M114615" s="209"/>
      <c r="N114615" s="209"/>
      <c r="O114615" s="209"/>
    </row>
    <row r="114616" spans="1:15" s="210" customFormat="1" x14ac:dyDescent="0.3">
      <c r="A114616" s="12"/>
      <c r="B114616" s="15"/>
      <c r="C114616" s="15"/>
      <c r="D114616" s="12"/>
      <c r="E114616" s="12"/>
      <c r="F114616" s="13"/>
      <c r="G114616" s="12"/>
      <c r="H114616" s="12"/>
      <c r="I114616" s="12"/>
      <c r="J114616" s="12"/>
      <c r="K114616" s="12"/>
      <c r="L114616" s="208"/>
      <c r="M114616" s="209"/>
      <c r="N114616" s="209"/>
      <c r="O114616" s="209"/>
    </row>
    <row r="114617" spans="1:15" s="210" customFormat="1" x14ac:dyDescent="0.3">
      <c r="A114617" s="12"/>
      <c r="B114617" s="15"/>
      <c r="C114617" s="15"/>
      <c r="D114617" s="12"/>
      <c r="E114617" s="12"/>
      <c r="F114617" s="13"/>
      <c r="G114617" s="12"/>
      <c r="H114617" s="12"/>
      <c r="I114617" s="12"/>
      <c r="J114617" s="12"/>
      <c r="K114617" s="12"/>
      <c r="L114617" s="208"/>
      <c r="M114617" s="209"/>
      <c r="N114617" s="209"/>
      <c r="O114617" s="209"/>
    </row>
    <row r="114618" spans="1:15" s="210" customFormat="1" x14ac:dyDescent="0.3">
      <c r="A114618" s="12"/>
      <c r="B114618" s="15"/>
      <c r="C114618" s="15"/>
      <c r="D114618" s="12"/>
      <c r="E114618" s="12"/>
      <c r="F114618" s="13"/>
      <c r="G114618" s="12"/>
      <c r="H114618" s="12"/>
      <c r="I114618" s="12"/>
      <c r="J114618" s="12"/>
      <c r="K114618" s="12"/>
      <c r="L114618" s="208"/>
      <c r="M114618" s="209"/>
      <c r="N114618" s="209"/>
      <c r="O114618" s="209"/>
    </row>
    <row r="114619" spans="1:15" s="210" customFormat="1" x14ac:dyDescent="0.3">
      <c r="A114619" s="12"/>
      <c r="B114619" s="15"/>
      <c r="C114619" s="15"/>
      <c r="D114619" s="12"/>
      <c r="E114619" s="12"/>
      <c r="F114619" s="13"/>
      <c r="G114619" s="12"/>
      <c r="H114619" s="12"/>
      <c r="I114619" s="12"/>
      <c r="J114619" s="12"/>
      <c r="K114619" s="12"/>
      <c r="L114619" s="208"/>
      <c r="M114619" s="209"/>
      <c r="N114619" s="209"/>
      <c r="O114619" s="209"/>
    </row>
    <row r="114620" spans="1:15" s="210" customFormat="1" x14ac:dyDescent="0.3">
      <c r="A114620" s="12"/>
      <c r="B114620" s="15"/>
      <c r="C114620" s="15"/>
      <c r="D114620" s="12"/>
      <c r="E114620" s="12"/>
      <c r="F114620" s="13"/>
      <c r="G114620" s="12"/>
      <c r="H114620" s="12"/>
      <c r="I114620" s="12"/>
      <c r="J114620" s="12"/>
      <c r="K114620" s="12"/>
      <c r="L114620" s="208"/>
      <c r="M114620" s="209"/>
      <c r="N114620" s="209"/>
      <c r="O114620" s="209"/>
    </row>
    <row r="114621" spans="1:15" s="210" customFormat="1" x14ac:dyDescent="0.3">
      <c r="A114621" s="12"/>
      <c r="B114621" s="15"/>
      <c r="C114621" s="15"/>
      <c r="D114621" s="12"/>
      <c r="E114621" s="12"/>
      <c r="F114621" s="13"/>
      <c r="G114621" s="12"/>
      <c r="H114621" s="12"/>
      <c r="I114621" s="12"/>
      <c r="J114621" s="12"/>
      <c r="K114621" s="12"/>
      <c r="L114621" s="208"/>
      <c r="M114621" s="209"/>
      <c r="N114621" s="209"/>
      <c r="O114621" s="209"/>
    </row>
    <row r="114622" spans="1:15" s="210" customFormat="1" x14ac:dyDescent="0.3">
      <c r="A114622" s="12"/>
      <c r="B114622" s="15"/>
      <c r="C114622" s="15"/>
      <c r="D114622" s="12"/>
      <c r="E114622" s="12"/>
      <c r="F114622" s="13"/>
      <c r="G114622" s="12"/>
      <c r="H114622" s="12"/>
      <c r="I114622" s="12"/>
      <c r="J114622" s="12"/>
      <c r="K114622" s="12"/>
      <c r="L114622" s="208"/>
      <c r="M114622" s="209"/>
      <c r="N114622" s="209"/>
      <c r="O114622" s="209"/>
    </row>
    <row r="114623" spans="1:15" s="210" customFormat="1" x14ac:dyDescent="0.3">
      <c r="A114623" s="12"/>
      <c r="B114623" s="15"/>
      <c r="C114623" s="15"/>
      <c r="D114623" s="12"/>
      <c r="E114623" s="12"/>
      <c r="F114623" s="13"/>
      <c r="G114623" s="12"/>
      <c r="H114623" s="12"/>
      <c r="I114623" s="12"/>
      <c r="J114623" s="12"/>
      <c r="K114623" s="12"/>
      <c r="L114623" s="208"/>
      <c r="M114623" s="209"/>
      <c r="N114623" s="209"/>
      <c r="O114623" s="209"/>
    </row>
    <row r="114624" spans="1:15" s="210" customFormat="1" x14ac:dyDescent="0.3">
      <c r="A114624" s="12"/>
      <c r="B114624" s="15"/>
      <c r="C114624" s="15"/>
      <c r="D114624" s="12"/>
      <c r="E114624" s="12"/>
      <c r="F114624" s="13"/>
      <c r="G114624" s="12"/>
      <c r="H114624" s="12"/>
      <c r="I114624" s="12"/>
      <c r="J114624" s="12"/>
      <c r="K114624" s="12"/>
      <c r="L114624" s="208"/>
      <c r="M114624" s="209"/>
      <c r="N114624" s="209"/>
      <c r="O114624" s="209"/>
    </row>
    <row r="114625" spans="1:15" s="210" customFormat="1" x14ac:dyDescent="0.3">
      <c r="A114625" s="12"/>
      <c r="B114625" s="15"/>
      <c r="C114625" s="15"/>
      <c r="D114625" s="12"/>
      <c r="E114625" s="12"/>
      <c r="F114625" s="13"/>
      <c r="G114625" s="12"/>
      <c r="H114625" s="12"/>
      <c r="I114625" s="12"/>
      <c r="J114625" s="12"/>
      <c r="K114625" s="12"/>
      <c r="L114625" s="208"/>
      <c r="M114625" s="209"/>
      <c r="N114625" s="209"/>
      <c r="O114625" s="209"/>
    </row>
    <row r="114626" spans="1:15" s="210" customFormat="1" x14ac:dyDescent="0.3">
      <c r="A114626" s="12"/>
      <c r="B114626" s="15"/>
      <c r="C114626" s="15"/>
      <c r="D114626" s="12"/>
      <c r="E114626" s="12"/>
      <c r="F114626" s="13"/>
      <c r="G114626" s="12"/>
      <c r="H114626" s="12"/>
      <c r="I114626" s="12"/>
      <c r="J114626" s="12"/>
      <c r="K114626" s="12"/>
      <c r="L114626" s="208"/>
      <c r="M114626" s="209"/>
      <c r="N114626" s="209"/>
      <c r="O114626" s="209"/>
    </row>
    <row r="114627" spans="1:15" s="210" customFormat="1" x14ac:dyDescent="0.3">
      <c r="A114627" s="12"/>
      <c r="B114627" s="15"/>
      <c r="C114627" s="15"/>
      <c r="D114627" s="12"/>
      <c r="E114627" s="12"/>
      <c r="F114627" s="13"/>
      <c r="G114627" s="12"/>
      <c r="H114627" s="12"/>
      <c r="I114627" s="12"/>
      <c r="J114627" s="12"/>
      <c r="K114627" s="12"/>
      <c r="L114627" s="208"/>
      <c r="M114627" s="209"/>
      <c r="N114627" s="209"/>
      <c r="O114627" s="209"/>
    </row>
    <row r="114628" spans="1:15" s="210" customFormat="1" x14ac:dyDescent="0.3">
      <c r="A114628" s="12"/>
      <c r="B114628" s="15"/>
      <c r="C114628" s="15"/>
      <c r="D114628" s="12"/>
      <c r="E114628" s="12"/>
      <c r="F114628" s="13"/>
      <c r="G114628" s="12"/>
      <c r="H114628" s="12"/>
      <c r="I114628" s="12"/>
      <c r="J114628" s="12"/>
      <c r="K114628" s="12"/>
      <c r="L114628" s="208"/>
      <c r="M114628" s="209"/>
      <c r="N114628" s="209"/>
      <c r="O114628" s="209"/>
    </row>
    <row r="114629" spans="1:15" s="210" customFormat="1" x14ac:dyDescent="0.3">
      <c r="A114629" s="12"/>
      <c r="B114629" s="15"/>
      <c r="C114629" s="15"/>
      <c r="D114629" s="12"/>
      <c r="E114629" s="12"/>
      <c r="F114629" s="13"/>
      <c r="G114629" s="12"/>
      <c r="H114629" s="12"/>
      <c r="I114629" s="12"/>
      <c r="J114629" s="12"/>
      <c r="K114629" s="12"/>
      <c r="L114629" s="208"/>
      <c r="M114629" s="209"/>
      <c r="N114629" s="209"/>
      <c r="O114629" s="209"/>
    </row>
    <row r="114630" spans="1:15" s="210" customFormat="1" x14ac:dyDescent="0.3">
      <c r="A114630" s="12"/>
      <c r="B114630" s="15"/>
      <c r="C114630" s="15"/>
      <c r="D114630" s="12"/>
      <c r="E114630" s="12"/>
      <c r="F114630" s="13"/>
      <c r="G114630" s="12"/>
      <c r="H114630" s="12"/>
      <c r="I114630" s="12"/>
      <c r="J114630" s="12"/>
      <c r="K114630" s="12"/>
      <c r="L114630" s="208"/>
      <c r="M114630" s="209"/>
      <c r="N114630" s="209"/>
      <c r="O114630" s="209"/>
    </row>
    <row r="114631" spans="1:15" s="210" customFormat="1" x14ac:dyDescent="0.3">
      <c r="A114631" s="12"/>
      <c r="B114631" s="15"/>
      <c r="C114631" s="15"/>
      <c r="D114631" s="12"/>
      <c r="E114631" s="12"/>
      <c r="F114631" s="13"/>
      <c r="G114631" s="12"/>
      <c r="H114631" s="12"/>
      <c r="I114631" s="12"/>
      <c r="J114631" s="12"/>
      <c r="K114631" s="12"/>
      <c r="L114631" s="208"/>
      <c r="M114631" s="209"/>
      <c r="N114631" s="209"/>
      <c r="O114631" s="209"/>
    </row>
    <row r="114632" spans="1:15" s="210" customFormat="1" x14ac:dyDescent="0.3">
      <c r="A114632" s="12"/>
      <c r="B114632" s="15"/>
      <c r="C114632" s="15"/>
      <c r="D114632" s="12"/>
      <c r="E114632" s="12"/>
      <c r="F114632" s="13"/>
      <c r="G114632" s="12"/>
      <c r="H114632" s="12"/>
      <c r="I114632" s="12"/>
      <c r="J114632" s="12"/>
      <c r="K114632" s="12"/>
      <c r="L114632" s="208"/>
      <c r="M114632" s="209"/>
      <c r="N114632" s="209"/>
      <c r="O114632" s="209"/>
    </row>
    <row r="114633" spans="1:15" s="210" customFormat="1" x14ac:dyDescent="0.3">
      <c r="A114633" s="12"/>
      <c r="B114633" s="15"/>
      <c r="C114633" s="15"/>
      <c r="D114633" s="12"/>
      <c r="E114633" s="12"/>
      <c r="F114633" s="13"/>
      <c r="G114633" s="12"/>
      <c r="H114633" s="12"/>
      <c r="I114633" s="12"/>
      <c r="J114633" s="12"/>
      <c r="K114633" s="12"/>
      <c r="L114633" s="208"/>
      <c r="M114633" s="209"/>
      <c r="N114633" s="209"/>
      <c r="O114633" s="209"/>
    </row>
    <row r="114634" spans="1:15" s="210" customFormat="1" x14ac:dyDescent="0.3">
      <c r="A114634" s="12"/>
      <c r="B114634" s="15"/>
      <c r="C114634" s="15"/>
      <c r="D114634" s="12"/>
      <c r="E114634" s="12"/>
      <c r="F114634" s="13"/>
      <c r="G114634" s="12"/>
      <c r="H114634" s="12"/>
      <c r="I114634" s="12"/>
      <c r="J114634" s="12"/>
      <c r="K114634" s="12"/>
      <c r="L114634" s="208"/>
      <c r="M114634" s="209"/>
      <c r="N114634" s="209"/>
      <c r="O114634" s="209"/>
    </row>
    <row r="114635" spans="1:15" s="210" customFormat="1" x14ac:dyDescent="0.3">
      <c r="A114635" s="12"/>
      <c r="B114635" s="15"/>
      <c r="C114635" s="15"/>
      <c r="D114635" s="12"/>
      <c r="E114635" s="12"/>
      <c r="F114635" s="13"/>
      <c r="G114635" s="12"/>
      <c r="H114635" s="12"/>
      <c r="I114635" s="12"/>
      <c r="J114635" s="12"/>
      <c r="K114635" s="12"/>
      <c r="L114635" s="208"/>
      <c r="M114635" s="209"/>
      <c r="N114635" s="209"/>
      <c r="O114635" s="209"/>
    </row>
    <row r="114636" spans="1:15" s="210" customFormat="1" x14ac:dyDescent="0.3">
      <c r="A114636" s="12"/>
      <c r="B114636" s="15"/>
      <c r="C114636" s="15"/>
      <c r="D114636" s="12"/>
      <c r="E114636" s="12"/>
      <c r="F114636" s="13"/>
      <c r="G114636" s="12"/>
      <c r="H114636" s="12"/>
      <c r="I114636" s="12"/>
      <c r="J114636" s="12"/>
      <c r="K114636" s="12"/>
      <c r="L114636" s="208"/>
      <c r="M114636" s="209"/>
      <c r="N114636" s="209"/>
      <c r="O114636" s="209"/>
    </row>
    <row r="114637" spans="1:15" s="210" customFormat="1" x14ac:dyDescent="0.3">
      <c r="A114637" s="12"/>
      <c r="B114637" s="15"/>
      <c r="C114637" s="15"/>
      <c r="D114637" s="12"/>
      <c r="E114637" s="12"/>
      <c r="F114637" s="13"/>
      <c r="G114637" s="12"/>
      <c r="H114637" s="12"/>
      <c r="I114637" s="12"/>
      <c r="J114637" s="12"/>
      <c r="K114637" s="12"/>
      <c r="L114637" s="208"/>
      <c r="M114637" s="209"/>
      <c r="N114637" s="209"/>
      <c r="O114637" s="209"/>
    </row>
    <row r="114638" spans="1:15" s="210" customFormat="1" x14ac:dyDescent="0.3">
      <c r="A114638" s="12"/>
      <c r="B114638" s="15"/>
      <c r="C114638" s="15"/>
      <c r="D114638" s="12"/>
      <c r="E114638" s="12"/>
      <c r="F114638" s="13"/>
      <c r="G114638" s="12"/>
      <c r="H114638" s="12"/>
      <c r="I114638" s="12"/>
      <c r="J114638" s="12"/>
      <c r="K114638" s="12"/>
      <c r="L114638" s="208"/>
      <c r="M114638" s="209"/>
      <c r="N114638" s="209"/>
      <c r="O114638" s="209"/>
    </row>
    <row r="114639" spans="1:15" s="210" customFormat="1" x14ac:dyDescent="0.3">
      <c r="A114639" s="12"/>
      <c r="B114639" s="15"/>
      <c r="C114639" s="15"/>
      <c r="D114639" s="12"/>
      <c r="E114639" s="12"/>
      <c r="F114639" s="13"/>
      <c r="G114639" s="12"/>
      <c r="H114639" s="12"/>
      <c r="I114639" s="12"/>
      <c r="J114639" s="12"/>
      <c r="K114639" s="12"/>
      <c r="L114639" s="208"/>
      <c r="M114639" s="209"/>
      <c r="N114639" s="209"/>
      <c r="O114639" s="209"/>
    </row>
    <row r="114640" spans="1:15" s="210" customFormat="1" x14ac:dyDescent="0.3">
      <c r="A114640" s="12"/>
      <c r="B114640" s="15"/>
      <c r="C114640" s="15"/>
      <c r="D114640" s="12"/>
      <c r="E114640" s="12"/>
      <c r="F114640" s="13"/>
      <c r="G114640" s="12"/>
      <c r="H114640" s="12"/>
      <c r="I114640" s="12"/>
      <c r="J114640" s="12"/>
      <c r="K114640" s="12"/>
      <c r="L114640" s="208"/>
      <c r="M114640" s="209"/>
      <c r="N114640" s="209"/>
      <c r="O114640" s="209"/>
    </row>
    <row r="114641" spans="1:15" s="210" customFormat="1" x14ac:dyDescent="0.3">
      <c r="A114641" s="12"/>
      <c r="B114641" s="15"/>
      <c r="C114641" s="15"/>
      <c r="D114641" s="12"/>
      <c r="E114641" s="12"/>
      <c r="F114641" s="13"/>
      <c r="G114641" s="12"/>
      <c r="H114641" s="12"/>
      <c r="I114641" s="12"/>
      <c r="J114641" s="12"/>
      <c r="K114641" s="12"/>
      <c r="L114641" s="208"/>
      <c r="M114641" s="209"/>
      <c r="N114641" s="209"/>
      <c r="O114641" s="209"/>
    </row>
    <row r="114642" spans="1:15" s="210" customFormat="1" x14ac:dyDescent="0.3">
      <c r="A114642" s="12"/>
      <c r="B114642" s="15"/>
      <c r="C114642" s="15"/>
      <c r="D114642" s="12"/>
      <c r="E114642" s="12"/>
      <c r="F114642" s="13"/>
      <c r="G114642" s="12"/>
      <c r="H114642" s="12"/>
      <c r="I114642" s="12"/>
      <c r="J114642" s="12"/>
      <c r="K114642" s="12"/>
      <c r="L114642" s="208"/>
      <c r="M114642" s="209"/>
      <c r="N114642" s="209"/>
      <c r="O114642" s="209"/>
    </row>
    <row r="114643" spans="1:15" s="210" customFormat="1" x14ac:dyDescent="0.3">
      <c r="A114643" s="12"/>
      <c r="B114643" s="15"/>
      <c r="C114643" s="15"/>
      <c r="D114643" s="12"/>
      <c r="E114643" s="12"/>
      <c r="F114643" s="13"/>
      <c r="G114643" s="12"/>
      <c r="H114643" s="12"/>
      <c r="I114643" s="12"/>
      <c r="J114643" s="12"/>
      <c r="K114643" s="12"/>
      <c r="L114643" s="208"/>
      <c r="M114643" s="209"/>
      <c r="N114643" s="209"/>
      <c r="O114643" s="209"/>
    </row>
    <row r="114644" spans="1:15" s="210" customFormat="1" x14ac:dyDescent="0.3">
      <c r="A114644" s="12"/>
      <c r="B114644" s="15"/>
      <c r="C114644" s="15"/>
      <c r="D114644" s="12"/>
      <c r="E114644" s="12"/>
      <c r="F114644" s="13"/>
      <c r="G114644" s="12"/>
      <c r="H114644" s="12"/>
      <c r="I114644" s="12"/>
      <c r="J114644" s="12"/>
      <c r="K114644" s="12"/>
      <c r="L114644" s="208"/>
      <c r="M114644" s="209"/>
      <c r="N114644" s="209"/>
      <c r="O114644" s="209"/>
    </row>
    <row r="114645" spans="1:15" s="210" customFormat="1" x14ac:dyDescent="0.3">
      <c r="A114645" s="12"/>
      <c r="B114645" s="15"/>
      <c r="C114645" s="15"/>
      <c r="D114645" s="12"/>
      <c r="E114645" s="12"/>
      <c r="F114645" s="13"/>
      <c r="G114645" s="12"/>
      <c r="H114645" s="12"/>
      <c r="I114645" s="12"/>
      <c r="J114645" s="12"/>
      <c r="K114645" s="12"/>
      <c r="L114645" s="208"/>
      <c r="M114645" s="209"/>
      <c r="N114645" s="209"/>
      <c r="O114645" s="209"/>
    </row>
    <row r="114646" spans="1:15" s="210" customFormat="1" x14ac:dyDescent="0.3">
      <c r="A114646" s="12"/>
      <c r="B114646" s="15"/>
      <c r="C114646" s="15"/>
      <c r="D114646" s="12"/>
      <c r="E114646" s="12"/>
      <c r="F114646" s="13"/>
      <c r="G114646" s="12"/>
      <c r="H114646" s="12"/>
      <c r="I114646" s="12"/>
      <c r="J114646" s="12"/>
      <c r="K114646" s="12"/>
      <c r="L114646" s="208"/>
      <c r="M114646" s="209"/>
      <c r="N114646" s="209"/>
      <c r="O114646" s="209"/>
    </row>
    <row r="114647" spans="1:15" s="210" customFormat="1" x14ac:dyDescent="0.3">
      <c r="A114647" s="12"/>
      <c r="B114647" s="15"/>
      <c r="C114647" s="15"/>
      <c r="D114647" s="12"/>
      <c r="E114647" s="12"/>
      <c r="F114647" s="13"/>
      <c r="G114647" s="12"/>
      <c r="H114647" s="12"/>
      <c r="I114647" s="12"/>
      <c r="J114647" s="12"/>
      <c r="K114647" s="12"/>
      <c r="L114647" s="208"/>
      <c r="M114647" s="209"/>
      <c r="N114647" s="209"/>
      <c r="O114647" s="209"/>
    </row>
    <row r="114648" spans="1:15" s="210" customFormat="1" x14ac:dyDescent="0.3">
      <c r="A114648" s="12"/>
      <c r="B114648" s="15"/>
      <c r="C114648" s="15"/>
      <c r="D114648" s="12"/>
      <c r="E114648" s="12"/>
      <c r="F114648" s="13"/>
      <c r="G114648" s="12"/>
      <c r="H114648" s="12"/>
      <c r="I114648" s="12"/>
      <c r="J114648" s="12"/>
      <c r="K114648" s="12"/>
      <c r="L114648" s="208"/>
      <c r="M114648" s="209"/>
      <c r="N114648" s="209"/>
      <c r="O114648" s="209"/>
    </row>
    <row r="114649" spans="1:15" s="210" customFormat="1" x14ac:dyDescent="0.3">
      <c r="A114649" s="12"/>
      <c r="B114649" s="15"/>
      <c r="C114649" s="15"/>
      <c r="D114649" s="12"/>
      <c r="E114649" s="12"/>
      <c r="F114649" s="13"/>
      <c r="G114649" s="12"/>
      <c r="H114649" s="12"/>
      <c r="I114649" s="12"/>
      <c r="J114649" s="12"/>
      <c r="K114649" s="12"/>
      <c r="L114649" s="208"/>
      <c r="M114649" s="209"/>
      <c r="N114649" s="209"/>
      <c r="O114649" s="209"/>
    </row>
    <row r="114650" spans="1:15" s="210" customFormat="1" x14ac:dyDescent="0.3">
      <c r="A114650" s="12"/>
      <c r="B114650" s="15"/>
      <c r="C114650" s="15"/>
      <c r="D114650" s="12"/>
      <c r="E114650" s="12"/>
      <c r="F114650" s="13"/>
      <c r="G114650" s="12"/>
      <c r="H114650" s="12"/>
      <c r="I114650" s="12"/>
      <c r="J114650" s="12"/>
      <c r="K114650" s="12"/>
      <c r="L114650" s="208"/>
      <c r="M114650" s="209"/>
      <c r="N114650" s="209"/>
      <c r="O114650" s="209"/>
    </row>
    <row r="114651" spans="1:15" s="210" customFormat="1" x14ac:dyDescent="0.3">
      <c r="A114651" s="12"/>
      <c r="B114651" s="15"/>
      <c r="C114651" s="15"/>
      <c r="D114651" s="12"/>
      <c r="E114651" s="12"/>
      <c r="F114651" s="13"/>
      <c r="G114651" s="12"/>
      <c r="H114651" s="12"/>
      <c r="I114651" s="12"/>
      <c r="J114651" s="12"/>
      <c r="K114651" s="12"/>
      <c r="L114651" s="208"/>
      <c r="M114651" s="209"/>
      <c r="N114651" s="209"/>
      <c r="O114651" s="209"/>
    </row>
    <row r="114652" spans="1:15" s="210" customFormat="1" x14ac:dyDescent="0.3">
      <c r="A114652" s="12"/>
      <c r="B114652" s="15"/>
      <c r="C114652" s="15"/>
      <c r="D114652" s="12"/>
      <c r="E114652" s="12"/>
      <c r="F114652" s="13"/>
      <c r="G114652" s="12"/>
      <c r="H114652" s="12"/>
      <c r="I114652" s="12"/>
      <c r="J114652" s="12"/>
      <c r="K114652" s="12"/>
      <c r="L114652" s="208"/>
      <c r="M114652" s="209"/>
      <c r="N114652" s="209"/>
      <c r="O114652" s="209"/>
    </row>
    <row r="114653" spans="1:15" s="210" customFormat="1" x14ac:dyDescent="0.3">
      <c r="A114653" s="12"/>
      <c r="B114653" s="15"/>
      <c r="C114653" s="15"/>
      <c r="D114653" s="12"/>
      <c r="E114653" s="12"/>
      <c r="F114653" s="13"/>
      <c r="G114653" s="12"/>
      <c r="H114653" s="12"/>
      <c r="I114653" s="12"/>
      <c r="J114653" s="12"/>
      <c r="K114653" s="12"/>
      <c r="L114653" s="208"/>
      <c r="M114653" s="209"/>
      <c r="N114653" s="209"/>
      <c r="O114653" s="209"/>
    </row>
    <row r="114654" spans="1:15" s="210" customFormat="1" x14ac:dyDescent="0.3">
      <c r="A114654" s="12"/>
      <c r="B114654" s="15"/>
      <c r="C114654" s="15"/>
      <c r="D114654" s="12"/>
      <c r="E114654" s="12"/>
      <c r="F114654" s="13"/>
      <c r="G114654" s="12"/>
      <c r="H114654" s="12"/>
      <c r="I114654" s="12"/>
      <c r="J114654" s="12"/>
      <c r="K114654" s="12"/>
      <c r="L114654" s="208"/>
      <c r="M114654" s="209"/>
      <c r="N114654" s="209"/>
      <c r="O114654" s="209"/>
    </row>
    <row r="114655" spans="1:15" s="210" customFormat="1" x14ac:dyDescent="0.3">
      <c r="A114655" s="12"/>
      <c r="B114655" s="15"/>
      <c r="C114655" s="15"/>
      <c r="D114655" s="12"/>
      <c r="E114655" s="12"/>
      <c r="F114655" s="13"/>
      <c r="G114655" s="12"/>
      <c r="H114655" s="12"/>
      <c r="I114655" s="12"/>
      <c r="J114655" s="12"/>
      <c r="K114655" s="12"/>
      <c r="L114655" s="208"/>
      <c r="M114655" s="209"/>
      <c r="N114655" s="209"/>
      <c r="O114655" s="209"/>
    </row>
    <row r="114656" spans="1:15" s="210" customFormat="1" x14ac:dyDescent="0.3">
      <c r="A114656" s="12"/>
      <c r="B114656" s="15"/>
      <c r="C114656" s="15"/>
      <c r="D114656" s="12"/>
      <c r="E114656" s="12"/>
      <c r="F114656" s="13"/>
      <c r="G114656" s="12"/>
      <c r="H114656" s="12"/>
      <c r="I114656" s="12"/>
      <c r="J114656" s="12"/>
      <c r="K114656" s="12"/>
      <c r="L114656" s="208"/>
      <c r="M114656" s="209"/>
      <c r="N114656" s="209"/>
      <c r="O114656" s="209"/>
    </row>
    <row r="114657" spans="1:15" s="210" customFormat="1" x14ac:dyDescent="0.3">
      <c r="A114657" s="12"/>
      <c r="B114657" s="15"/>
      <c r="C114657" s="15"/>
      <c r="D114657" s="12"/>
      <c r="E114657" s="12"/>
      <c r="F114657" s="13"/>
      <c r="G114657" s="12"/>
      <c r="H114657" s="12"/>
      <c r="I114657" s="12"/>
      <c r="J114657" s="12"/>
      <c r="K114657" s="12"/>
      <c r="L114657" s="208"/>
      <c r="M114657" s="209"/>
      <c r="N114657" s="209"/>
      <c r="O114657" s="209"/>
    </row>
    <row r="114658" spans="1:15" s="210" customFormat="1" x14ac:dyDescent="0.3">
      <c r="A114658" s="12"/>
      <c r="B114658" s="15"/>
      <c r="C114658" s="15"/>
      <c r="D114658" s="12"/>
      <c r="E114658" s="12"/>
      <c r="F114658" s="13"/>
      <c r="G114658" s="12"/>
      <c r="H114658" s="12"/>
      <c r="I114658" s="12"/>
      <c r="J114658" s="12"/>
      <c r="K114658" s="12"/>
      <c r="L114658" s="208"/>
      <c r="M114658" s="209"/>
      <c r="N114658" s="209"/>
      <c r="O114658" s="209"/>
    </row>
    <row r="114659" spans="1:15" s="210" customFormat="1" x14ac:dyDescent="0.3">
      <c r="A114659" s="12"/>
      <c r="B114659" s="15"/>
      <c r="C114659" s="15"/>
      <c r="D114659" s="12"/>
      <c r="E114659" s="12"/>
      <c r="F114659" s="13"/>
      <c r="G114659" s="12"/>
      <c r="H114659" s="12"/>
      <c r="I114659" s="12"/>
      <c r="J114659" s="12"/>
      <c r="K114659" s="12"/>
      <c r="L114659" s="208"/>
      <c r="M114659" s="209"/>
      <c r="N114659" s="209"/>
      <c r="O114659" s="209"/>
    </row>
    <row r="114660" spans="1:15" s="210" customFormat="1" x14ac:dyDescent="0.3">
      <c r="A114660" s="12"/>
      <c r="B114660" s="15"/>
      <c r="C114660" s="15"/>
      <c r="D114660" s="12"/>
      <c r="E114660" s="12"/>
      <c r="F114660" s="13"/>
      <c r="G114660" s="12"/>
      <c r="H114660" s="12"/>
      <c r="I114660" s="12"/>
      <c r="J114660" s="12"/>
      <c r="K114660" s="12"/>
      <c r="L114660" s="208"/>
      <c r="M114660" s="209"/>
      <c r="N114660" s="209"/>
      <c r="O114660" s="209"/>
    </row>
    <row r="114661" spans="1:15" s="210" customFormat="1" x14ac:dyDescent="0.3">
      <c r="A114661" s="12"/>
      <c r="B114661" s="15"/>
      <c r="C114661" s="15"/>
      <c r="D114661" s="12"/>
      <c r="E114661" s="12"/>
      <c r="F114661" s="13"/>
      <c r="G114661" s="12"/>
      <c r="H114661" s="12"/>
      <c r="I114661" s="12"/>
      <c r="J114661" s="12"/>
      <c r="K114661" s="12"/>
      <c r="L114661" s="208"/>
      <c r="M114661" s="209"/>
      <c r="N114661" s="209"/>
      <c r="O114661" s="209"/>
    </row>
    <row r="114662" spans="1:15" s="210" customFormat="1" x14ac:dyDescent="0.3">
      <c r="A114662" s="12"/>
      <c r="B114662" s="15"/>
      <c r="C114662" s="15"/>
      <c r="D114662" s="12"/>
      <c r="E114662" s="12"/>
      <c r="F114662" s="13"/>
      <c r="G114662" s="12"/>
      <c r="H114662" s="12"/>
      <c r="I114662" s="12"/>
      <c r="J114662" s="12"/>
      <c r="K114662" s="12"/>
      <c r="L114662" s="208"/>
      <c r="M114662" s="209"/>
      <c r="N114662" s="209"/>
      <c r="O114662" s="209"/>
    </row>
    <row r="114663" spans="1:15" s="210" customFormat="1" x14ac:dyDescent="0.3">
      <c r="A114663" s="12"/>
      <c r="B114663" s="15"/>
      <c r="C114663" s="15"/>
      <c r="D114663" s="12"/>
      <c r="E114663" s="12"/>
      <c r="F114663" s="13"/>
      <c r="G114663" s="12"/>
      <c r="H114663" s="12"/>
      <c r="I114663" s="12"/>
      <c r="J114663" s="12"/>
      <c r="K114663" s="12"/>
      <c r="L114663" s="208"/>
      <c r="M114663" s="209"/>
      <c r="N114663" s="209"/>
      <c r="O114663" s="209"/>
    </row>
    <row r="114664" spans="1:15" s="210" customFormat="1" x14ac:dyDescent="0.3">
      <c r="A114664" s="12"/>
      <c r="B114664" s="15"/>
      <c r="C114664" s="15"/>
      <c r="D114664" s="12"/>
      <c r="E114664" s="12"/>
      <c r="F114664" s="13"/>
      <c r="G114664" s="12"/>
      <c r="H114664" s="12"/>
      <c r="I114664" s="12"/>
      <c r="J114664" s="12"/>
      <c r="K114664" s="12"/>
      <c r="L114664" s="208"/>
      <c r="M114664" s="209"/>
      <c r="N114664" s="209"/>
      <c r="O114664" s="209"/>
    </row>
    <row r="114665" spans="1:15" s="210" customFormat="1" x14ac:dyDescent="0.3">
      <c r="A114665" s="12"/>
      <c r="B114665" s="15"/>
      <c r="C114665" s="15"/>
      <c r="D114665" s="12"/>
      <c r="E114665" s="12"/>
      <c r="F114665" s="13"/>
      <c r="G114665" s="12"/>
      <c r="H114665" s="12"/>
      <c r="I114665" s="12"/>
      <c r="J114665" s="12"/>
      <c r="K114665" s="12"/>
      <c r="L114665" s="208"/>
      <c r="M114665" s="209"/>
      <c r="N114665" s="209"/>
      <c r="O114665" s="209"/>
    </row>
    <row r="114666" spans="1:15" s="210" customFormat="1" x14ac:dyDescent="0.3">
      <c r="A114666" s="12"/>
      <c r="B114666" s="15"/>
      <c r="C114666" s="15"/>
      <c r="D114666" s="12"/>
      <c r="E114666" s="12"/>
      <c r="F114666" s="13"/>
      <c r="G114666" s="12"/>
      <c r="H114666" s="12"/>
      <c r="I114666" s="12"/>
      <c r="J114666" s="12"/>
      <c r="K114666" s="12"/>
      <c r="L114666" s="208"/>
      <c r="M114666" s="209"/>
      <c r="N114666" s="209"/>
      <c r="O114666" s="209"/>
    </row>
    <row r="114667" spans="1:15" s="210" customFormat="1" x14ac:dyDescent="0.3">
      <c r="A114667" s="12"/>
      <c r="B114667" s="15"/>
      <c r="C114667" s="15"/>
      <c r="D114667" s="12"/>
      <c r="E114667" s="12"/>
      <c r="F114667" s="13"/>
      <c r="G114667" s="12"/>
      <c r="H114667" s="12"/>
      <c r="I114667" s="12"/>
      <c r="J114667" s="12"/>
      <c r="K114667" s="12"/>
      <c r="L114667" s="208"/>
      <c r="M114667" s="209"/>
      <c r="N114667" s="209"/>
      <c r="O114667" s="209"/>
    </row>
    <row r="114668" spans="1:15" s="210" customFormat="1" x14ac:dyDescent="0.3">
      <c r="A114668" s="12"/>
      <c r="B114668" s="15"/>
      <c r="C114668" s="15"/>
      <c r="D114668" s="12"/>
      <c r="E114668" s="12"/>
      <c r="F114668" s="13"/>
      <c r="G114668" s="12"/>
      <c r="H114668" s="12"/>
      <c r="I114668" s="12"/>
      <c r="J114668" s="12"/>
      <c r="K114668" s="12"/>
      <c r="L114668" s="208"/>
      <c r="M114668" s="209"/>
      <c r="N114668" s="209"/>
      <c r="O114668" s="209"/>
    </row>
    <row r="114669" spans="1:15" s="210" customFormat="1" x14ac:dyDescent="0.3">
      <c r="A114669" s="12"/>
      <c r="B114669" s="15"/>
      <c r="C114669" s="15"/>
      <c r="D114669" s="12"/>
      <c r="E114669" s="12"/>
      <c r="F114669" s="13"/>
      <c r="G114669" s="12"/>
      <c r="H114669" s="12"/>
      <c r="I114669" s="12"/>
      <c r="J114669" s="12"/>
      <c r="K114669" s="12"/>
      <c r="L114669" s="208"/>
      <c r="M114669" s="209"/>
      <c r="N114669" s="209"/>
      <c r="O114669" s="209"/>
    </row>
    <row r="114670" spans="1:15" s="210" customFormat="1" x14ac:dyDescent="0.3">
      <c r="A114670" s="12"/>
      <c r="B114670" s="15"/>
      <c r="C114670" s="15"/>
      <c r="D114670" s="12"/>
      <c r="E114670" s="12"/>
      <c r="F114670" s="13"/>
      <c r="G114670" s="12"/>
      <c r="H114670" s="12"/>
      <c r="I114670" s="12"/>
      <c r="J114670" s="12"/>
      <c r="K114670" s="12"/>
      <c r="L114670" s="208"/>
      <c r="M114670" s="209"/>
      <c r="N114670" s="209"/>
      <c r="O114670" s="209"/>
    </row>
    <row r="114671" spans="1:15" s="210" customFormat="1" x14ac:dyDescent="0.3">
      <c r="A114671" s="12"/>
      <c r="B114671" s="15"/>
      <c r="C114671" s="15"/>
      <c r="D114671" s="12"/>
      <c r="E114671" s="12"/>
      <c r="F114671" s="13"/>
      <c r="G114671" s="12"/>
      <c r="H114671" s="12"/>
      <c r="I114671" s="12"/>
      <c r="J114671" s="12"/>
      <c r="K114671" s="12"/>
      <c r="L114671" s="208"/>
      <c r="M114671" s="209"/>
      <c r="N114671" s="209"/>
      <c r="O114671" s="209"/>
    </row>
    <row r="114672" spans="1:15" s="210" customFormat="1" x14ac:dyDescent="0.3">
      <c r="A114672" s="12"/>
      <c r="B114672" s="15"/>
      <c r="C114672" s="15"/>
      <c r="D114672" s="12"/>
      <c r="E114672" s="12"/>
      <c r="F114672" s="13"/>
      <c r="G114672" s="12"/>
      <c r="H114672" s="12"/>
      <c r="I114672" s="12"/>
      <c r="J114672" s="12"/>
      <c r="K114672" s="12"/>
      <c r="L114672" s="208"/>
      <c r="M114672" s="209"/>
      <c r="N114672" s="209"/>
      <c r="O114672" s="209"/>
    </row>
    <row r="114673" spans="1:15" s="210" customFormat="1" x14ac:dyDescent="0.3">
      <c r="A114673" s="12"/>
      <c r="B114673" s="15"/>
      <c r="C114673" s="15"/>
      <c r="D114673" s="12"/>
      <c r="E114673" s="12"/>
      <c r="F114673" s="13"/>
      <c r="G114673" s="12"/>
      <c r="H114673" s="12"/>
      <c r="I114673" s="12"/>
      <c r="J114673" s="12"/>
      <c r="K114673" s="12"/>
      <c r="L114673" s="208"/>
      <c r="M114673" s="209"/>
      <c r="N114673" s="209"/>
      <c r="O114673" s="209"/>
    </row>
    <row r="114674" spans="1:15" s="210" customFormat="1" x14ac:dyDescent="0.3">
      <c r="A114674" s="12"/>
      <c r="B114674" s="15"/>
      <c r="C114674" s="15"/>
      <c r="D114674" s="12"/>
      <c r="E114674" s="12"/>
      <c r="F114674" s="13"/>
      <c r="G114674" s="12"/>
      <c r="H114674" s="12"/>
      <c r="I114674" s="12"/>
      <c r="J114674" s="12"/>
      <c r="K114674" s="12"/>
      <c r="L114674" s="208"/>
      <c r="M114674" s="209"/>
      <c r="N114674" s="209"/>
      <c r="O114674" s="209"/>
    </row>
    <row r="114675" spans="1:15" s="210" customFormat="1" x14ac:dyDescent="0.3">
      <c r="A114675" s="12"/>
      <c r="B114675" s="15"/>
      <c r="C114675" s="15"/>
      <c r="D114675" s="12"/>
      <c r="E114675" s="12"/>
      <c r="F114675" s="13"/>
      <c r="G114675" s="12"/>
      <c r="H114675" s="12"/>
      <c r="I114675" s="12"/>
      <c r="J114675" s="12"/>
      <c r="K114675" s="12"/>
      <c r="L114675" s="208"/>
      <c r="M114675" s="209"/>
      <c r="N114675" s="209"/>
      <c r="O114675" s="209"/>
    </row>
    <row r="114676" spans="1:15" s="210" customFormat="1" x14ac:dyDescent="0.3">
      <c r="A114676" s="12"/>
      <c r="B114676" s="15"/>
      <c r="C114676" s="15"/>
      <c r="D114676" s="12"/>
      <c r="E114676" s="12"/>
      <c r="F114676" s="13"/>
      <c r="G114676" s="12"/>
      <c r="H114676" s="12"/>
      <c r="I114676" s="12"/>
      <c r="J114676" s="12"/>
      <c r="K114676" s="12"/>
      <c r="L114676" s="208"/>
      <c r="M114676" s="209"/>
      <c r="N114676" s="209"/>
      <c r="O114676" s="209"/>
    </row>
    <row r="114677" spans="1:15" s="210" customFormat="1" x14ac:dyDescent="0.3">
      <c r="A114677" s="12"/>
      <c r="B114677" s="15"/>
      <c r="C114677" s="15"/>
      <c r="D114677" s="12"/>
      <c r="E114677" s="12"/>
      <c r="F114677" s="13"/>
      <c r="G114677" s="12"/>
      <c r="H114677" s="12"/>
      <c r="I114677" s="12"/>
      <c r="J114677" s="12"/>
      <c r="K114677" s="12"/>
      <c r="L114677" s="208"/>
      <c r="M114677" s="209"/>
      <c r="N114677" s="209"/>
      <c r="O114677" s="209"/>
    </row>
    <row r="114678" spans="1:15" s="210" customFormat="1" x14ac:dyDescent="0.3">
      <c r="A114678" s="12"/>
      <c r="B114678" s="15"/>
      <c r="C114678" s="15"/>
      <c r="D114678" s="12"/>
      <c r="E114678" s="12"/>
      <c r="F114678" s="13"/>
      <c r="G114678" s="12"/>
      <c r="H114678" s="12"/>
      <c r="I114678" s="12"/>
      <c r="J114678" s="12"/>
      <c r="K114678" s="12"/>
      <c r="L114678" s="208"/>
      <c r="M114678" s="209"/>
      <c r="N114678" s="209"/>
      <c r="O114678" s="209"/>
    </row>
    <row r="114679" spans="1:15" s="210" customFormat="1" x14ac:dyDescent="0.3">
      <c r="A114679" s="12"/>
      <c r="B114679" s="15"/>
      <c r="C114679" s="15"/>
      <c r="D114679" s="12"/>
      <c r="E114679" s="12"/>
      <c r="F114679" s="13"/>
      <c r="G114679" s="12"/>
      <c r="H114679" s="12"/>
      <c r="I114679" s="12"/>
      <c r="J114679" s="12"/>
      <c r="K114679" s="12"/>
      <c r="L114679" s="208"/>
      <c r="M114679" s="209"/>
      <c r="N114679" s="209"/>
      <c r="O114679" s="209"/>
    </row>
    <row r="114680" spans="1:15" s="210" customFormat="1" x14ac:dyDescent="0.3">
      <c r="A114680" s="12"/>
      <c r="B114680" s="15"/>
      <c r="C114680" s="15"/>
      <c r="D114680" s="12"/>
      <c r="E114680" s="12"/>
      <c r="F114680" s="13"/>
      <c r="G114680" s="12"/>
      <c r="H114680" s="12"/>
      <c r="I114680" s="12"/>
      <c r="J114680" s="12"/>
      <c r="K114680" s="12"/>
      <c r="L114680" s="208"/>
      <c r="M114680" s="209"/>
      <c r="N114680" s="209"/>
      <c r="O114680" s="209"/>
    </row>
    <row r="114681" spans="1:15" s="210" customFormat="1" x14ac:dyDescent="0.3">
      <c r="A114681" s="12"/>
      <c r="B114681" s="15"/>
      <c r="C114681" s="15"/>
      <c r="D114681" s="12"/>
      <c r="E114681" s="12"/>
      <c r="F114681" s="13"/>
      <c r="G114681" s="12"/>
      <c r="H114681" s="12"/>
      <c r="I114681" s="12"/>
      <c r="J114681" s="12"/>
      <c r="K114681" s="12"/>
      <c r="L114681" s="208"/>
      <c r="M114681" s="209"/>
      <c r="N114681" s="209"/>
      <c r="O114681" s="209"/>
    </row>
    <row r="114682" spans="1:15" s="210" customFormat="1" x14ac:dyDescent="0.3">
      <c r="A114682" s="12"/>
      <c r="B114682" s="15"/>
      <c r="C114682" s="15"/>
      <c r="D114682" s="12"/>
      <c r="E114682" s="12"/>
      <c r="F114682" s="13"/>
      <c r="G114682" s="12"/>
      <c r="H114682" s="12"/>
      <c r="I114682" s="12"/>
      <c r="J114682" s="12"/>
      <c r="K114682" s="12"/>
      <c r="L114682" s="208"/>
      <c r="M114682" s="209"/>
      <c r="N114682" s="209"/>
      <c r="O114682" s="209"/>
    </row>
    <row r="114683" spans="1:15" s="210" customFormat="1" x14ac:dyDescent="0.3">
      <c r="A114683" s="12"/>
      <c r="B114683" s="15"/>
      <c r="C114683" s="15"/>
      <c r="D114683" s="12"/>
      <c r="E114683" s="12"/>
      <c r="F114683" s="13"/>
      <c r="G114683" s="12"/>
      <c r="H114683" s="12"/>
      <c r="I114683" s="12"/>
      <c r="J114683" s="12"/>
      <c r="K114683" s="12"/>
      <c r="L114683" s="208"/>
      <c r="M114683" s="209"/>
      <c r="N114683" s="209"/>
      <c r="O114683" s="209"/>
    </row>
    <row r="114684" spans="1:15" s="210" customFormat="1" x14ac:dyDescent="0.3">
      <c r="A114684" s="12"/>
      <c r="B114684" s="15"/>
      <c r="C114684" s="15"/>
      <c r="D114684" s="12"/>
      <c r="E114684" s="12"/>
      <c r="F114684" s="13"/>
      <c r="G114684" s="12"/>
      <c r="H114684" s="12"/>
      <c r="I114684" s="12"/>
      <c r="J114684" s="12"/>
      <c r="K114684" s="12"/>
      <c r="L114684" s="208"/>
      <c r="M114684" s="209"/>
      <c r="N114684" s="209"/>
      <c r="O114684" s="209"/>
    </row>
    <row r="114685" spans="1:15" s="210" customFormat="1" x14ac:dyDescent="0.3">
      <c r="A114685" s="12"/>
      <c r="B114685" s="15"/>
      <c r="C114685" s="15"/>
      <c r="D114685" s="12"/>
      <c r="E114685" s="12"/>
      <c r="F114685" s="13"/>
      <c r="G114685" s="12"/>
      <c r="H114685" s="12"/>
      <c r="I114685" s="12"/>
      <c r="J114685" s="12"/>
      <c r="K114685" s="12"/>
      <c r="L114685" s="208"/>
      <c r="M114685" s="209"/>
      <c r="N114685" s="209"/>
      <c r="O114685" s="209"/>
    </row>
    <row r="114686" spans="1:15" s="210" customFormat="1" x14ac:dyDescent="0.3">
      <c r="A114686" s="12"/>
      <c r="B114686" s="15"/>
      <c r="C114686" s="15"/>
      <c r="D114686" s="12"/>
      <c r="E114686" s="12"/>
      <c r="F114686" s="13"/>
      <c r="G114686" s="12"/>
      <c r="H114686" s="12"/>
      <c r="I114686" s="12"/>
      <c r="J114686" s="12"/>
      <c r="K114686" s="12"/>
      <c r="L114686" s="208"/>
      <c r="M114686" s="209"/>
      <c r="N114686" s="209"/>
      <c r="O114686" s="209"/>
    </row>
    <row r="114687" spans="1:15" s="210" customFormat="1" x14ac:dyDescent="0.3">
      <c r="A114687" s="12"/>
      <c r="B114687" s="15"/>
      <c r="C114687" s="15"/>
      <c r="D114687" s="12"/>
      <c r="E114687" s="12"/>
      <c r="F114687" s="13"/>
      <c r="G114687" s="12"/>
      <c r="H114687" s="12"/>
      <c r="I114687" s="12"/>
      <c r="J114687" s="12"/>
      <c r="K114687" s="12"/>
      <c r="L114687" s="208"/>
      <c r="M114687" s="209"/>
      <c r="N114687" s="209"/>
      <c r="O114687" s="209"/>
    </row>
    <row r="114688" spans="1:15" s="210" customFormat="1" x14ac:dyDescent="0.3">
      <c r="A114688" s="12"/>
      <c r="B114688" s="15"/>
      <c r="C114688" s="15"/>
      <c r="D114688" s="12"/>
      <c r="E114688" s="12"/>
      <c r="F114688" s="13"/>
      <c r="G114688" s="12"/>
      <c r="H114688" s="12"/>
      <c r="I114688" s="12"/>
      <c r="J114688" s="12"/>
      <c r="K114688" s="12"/>
      <c r="L114688" s="208"/>
      <c r="M114688" s="209"/>
      <c r="N114688" s="209"/>
      <c r="O114688" s="209"/>
    </row>
    <row r="114689" spans="1:15" s="210" customFormat="1" x14ac:dyDescent="0.3">
      <c r="A114689" s="12"/>
      <c r="B114689" s="15"/>
      <c r="C114689" s="15"/>
      <c r="D114689" s="12"/>
      <c r="E114689" s="12"/>
      <c r="F114689" s="13"/>
      <c r="G114689" s="12"/>
      <c r="H114689" s="12"/>
      <c r="I114689" s="12"/>
      <c r="J114689" s="12"/>
      <c r="K114689" s="12"/>
      <c r="L114689" s="208"/>
      <c r="M114689" s="209"/>
      <c r="N114689" s="209"/>
      <c r="O114689" s="209"/>
    </row>
    <row r="114690" spans="1:15" s="210" customFormat="1" x14ac:dyDescent="0.3">
      <c r="A114690" s="12"/>
      <c r="B114690" s="15"/>
      <c r="C114690" s="15"/>
      <c r="D114690" s="12"/>
      <c r="E114690" s="12"/>
      <c r="F114690" s="13"/>
      <c r="G114690" s="12"/>
      <c r="H114690" s="12"/>
      <c r="I114690" s="12"/>
      <c r="J114690" s="12"/>
      <c r="K114690" s="12"/>
      <c r="L114690" s="208"/>
      <c r="M114690" s="209"/>
      <c r="N114690" s="209"/>
      <c r="O114690" s="209"/>
    </row>
    <row r="114691" spans="1:15" s="210" customFormat="1" x14ac:dyDescent="0.3">
      <c r="A114691" s="12"/>
      <c r="B114691" s="15"/>
      <c r="C114691" s="15"/>
      <c r="D114691" s="12"/>
      <c r="E114691" s="12"/>
      <c r="F114691" s="13"/>
      <c r="G114691" s="12"/>
      <c r="H114691" s="12"/>
      <c r="I114691" s="12"/>
      <c r="J114691" s="12"/>
      <c r="K114691" s="12"/>
      <c r="L114691" s="208"/>
      <c r="M114691" s="209"/>
      <c r="N114691" s="209"/>
      <c r="O114691" s="209"/>
    </row>
    <row r="114692" spans="1:15" s="210" customFormat="1" x14ac:dyDescent="0.3">
      <c r="A114692" s="12"/>
      <c r="B114692" s="15"/>
      <c r="C114692" s="15"/>
      <c r="D114692" s="12"/>
      <c r="E114692" s="12"/>
      <c r="F114692" s="13"/>
      <c r="G114692" s="12"/>
      <c r="H114692" s="12"/>
      <c r="I114692" s="12"/>
      <c r="J114692" s="12"/>
      <c r="K114692" s="12"/>
      <c r="L114692" s="208"/>
      <c r="M114692" s="209"/>
      <c r="N114692" s="209"/>
      <c r="O114692" s="209"/>
    </row>
    <row r="114693" spans="1:15" s="210" customFormat="1" x14ac:dyDescent="0.3">
      <c r="A114693" s="12"/>
      <c r="B114693" s="15"/>
      <c r="C114693" s="15"/>
      <c r="D114693" s="12"/>
      <c r="E114693" s="12"/>
      <c r="F114693" s="13"/>
      <c r="G114693" s="12"/>
      <c r="H114693" s="12"/>
      <c r="I114693" s="12"/>
      <c r="J114693" s="12"/>
      <c r="K114693" s="12"/>
      <c r="L114693" s="208"/>
      <c r="M114693" s="209"/>
      <c r="N114693" s="209"/>
      <c r="O114693" s="209"/>
    </row>
    <row r="114694" spans="1:15" s="210" customFormat="1" x14ac:dyDescent="0.3">
      <c r="A114694" s="12"/>
      <c r="B114694" s="15"/>
      <c r="C114694" s="15"/>
      <c r="D114694" s="12"/>
      <c r="E114694" s="12"/>
      <c r="F114694" s="13"/>
      <c r="G114694" s="12"/>
      <c r="H114694" s="12"/>
      <c r="I114694" s="12"/>
      <c r="J114694" s="12"/>
      <c r="K114694" s="12"/>
      <c r="L114694" s="208"/>
      <c r="M114694" s="209"/>
      <c r="N114694" s="209"/>
      <c r="O114694" s="209"/>
    </row>
    <row r="114695" spans="1:15" s="210" customFormat="1" x14ac:dyDescent="0.3">
      <c r="A114695" s="12"/>
      <c r="B114695" s="15"/>
      <c r="C114695" s="15"/>
      <c r="D114695" s="12"/>
      <c r="E114695" s="12"/>
      <c r="F114695" s="13"/>
      <c r="G114695" s="12"/>
      <c r="H114695" s="12"/>
      <c r="I114695" s="12"/>
      <c r="J114695" s="12"/>
      <c r="K114695" s="12"/>
      <c r="L114695" s="208"/>
      <c r="M114695" s="209"/>
      <c r="N114695" s="209"/>
      <c r="O114695" s="209"/>
    </row>
    <row r="114696" spans="1:15" s="210" customFormat="1" x14ac:dyDescent="0.3">
      <c r="A114696" s="12"/>
      <c r="B114696" s="15"/>
      <c r="C114696" s="15"/>
      <c r="D114696" s="12"/>
      <c r="E114696" s="12"/>
      <c r="F114696" s="13"/>
      <c r="G114696" s="12"/>
      <c r="H114696" s="12"/>
      <c r="I114696" s="12"/>
      <c r="J114696" s="12"/>
      <c r="K114696" s="12"/>
      <c r="L114696" s="208"/>
      <c r="M114696" s="209"/>
      <c r="N114696" s="209"/>
      <c r="O114696" s="209"/>
    </row>
    <row r="114697" spans="1:15" s="210" customFormat="1" x14ac:dyDescent="0.3">
      <c r="A114697" s="12"/>
      <c r="B114697" s="15"/>
      <c r="C114697" s="15"/>
      <c r="D114697" s="12"/>
      <c r="E114697" s="12"/>
      <c r="F114697" s="13"/>
      <c r="G114697" s="12"/>
      <c r="H114697" s="12"/>
      <c r="I114697" s="12"/>
      <c r="J114697" s="12"/>
      <c r="K114697" s="12"/>
      <c r="L114697" s="208"/>
      <c r="M114697" s="209"/>
      <c r="N114697" s="209"/>
      <c r="O114697" s="209"/>
    </row>
    <row r="114698" spans="1:15" s="210" customFormat="1" x14ac:dyDescent="0.3">
      <c r="A114698" s="12"/>
      <c r="B114698" s="15"/>
      <c r="C114698" s="15"/>
      <c r="D114698" s="12"/>
      <c r="E114698" s="12"/>
      <c r="F114698" s="13"/>
      <c r="G114698" s="12"/>
      <c r="H114698" s="12"/>
      <c r="I114698" s="12"/>
      <c r="J114698" s="12"/>
      <c r="K114698" s="12"/>
      <c r="L114698" s="208"/>
      <c r="M114698" s="209"/>
      <c r="N114698" s="209"/>
      <c r="O114698" s="209"/>
    </row>
    <row r="114699" spans="1:15" s="210" customFormat="1" x14ac:dyDescent="0.3">
      <c r="A114699" s="12"/>
      <c r="B114699" s="15"/>
      <c r="C114699" s="15"/>
      <c r="D114699" s="12"/>
      <c r="E114699" s="12"/>
      <c r="F114699" s="13"/>
      <c r="G114699" s="12"/>
      <c r="H114699" s="12"/>
      <c r="I114699" s="12"/>
      <c r="J114699" s="12"/>
      <c r="K114699" s="12"/>
      <c r="L114699" s="208"/>
      <c r="M114699" s="209"/>
      <c r="N114699" s="209"/>
      <c r="O114699" s="209"/>
    </row>
    <row r="114700" spans="1:15" s="210" customFormat="1" x14ac:dyDescent="0.3">
      <c r="A114700" s="12"/>
      <c r="B114700" s="15"/>
      <c r="C114700" s="15"/>
      <c r="D114700" s="12"/>
      <c r="E114700" s="12"/>
      <c r="F114700" s="13"/>
      <c r="G114700" s="12"/>
      <c r="H114700" s="12"/>
      <c r="I114700" s="12"/>
      <c r="J114700" s="12"/>
      <c r="K114700" s="12"/>
      <c r="L114700" s="208"/>
      <c r="M114700" s="209"/>
      <c r="N114700" s="209"/>
      <c r="O114700" s="209"/>
    </row>
    <row r="114701" spans="1:15" s="210" customFormat="1" x14ac:dyDescent="0.3">
      <c r="A114701" s="12"/>
      <c r="B114701" s="15"/>
      <c r="C114701" s="15"/>
      <c r="D114701" s="12"/>
      <c r="E114701" s="12"/>
      <c r="F114701" s="13"/>
      <c r="G114701" s="12"/>
      <c r="H114701" s="12"/>
      <c r="I114701" s="12"/>
      <c r="J114701" s="12"/>
      <c r="K114701" s="12"/>
      <c r="L114701" s="208"/>
      <c r="M114701" s="209"/>
      <c r="N114701" s="209"/>
      <c r="O114701" s="209"/>
    </row>
    <row r="114702" spans="1:15" s="210" customFormat="1" x14ac:dyDescent="0.3">
      <c r="A114702" s="12"/>
      <c r="B114702" s="15"/>
      <c r="C114702" s="15"/>
      <c r="D114702" s="12"/>
      <c r="E114702" s="12"/>
      <c r="F114702" s="13"/>
      <c r="G114702" s="12"/>
      <c r="H114702" s="12"/>
      <c r="I114702" s="12"/>
      <c r="J114702" s="12"/>
      <c r="K114702" s="12"/>
      <c r="L114702" s="208"/>
      <c r="M114702" s="209"/>
      <c r="N114702" s="209"/>
      <c r="O114702" s="209"/>
    </row>
    <row r="114703" spans="1:15" s="210" customFormat="1" x14ac:dyDescent="0.3">
      <c r="A114703" s="12"/>
      <c r="B114703" s="15"/>
      <c r="C114703" s="15"/>
      <c r="D114703" s="12"/>
      <c r="E114703" s="12"/>
      <c r="F114703" s="13"/>
      <c r="G114703" s="12"/>
      <c r="H114703" s="12"/>
      <c r="I114703" s="12"/>
      <c r="J114703" s="12"/>
      <c r="K114703" s="12"/>
      <c r="L114703" s="208"/>
      <c r="M114703" s="209"/>
      <c r="N114703" s="209"/>
      <c r="O114703" s="209"/>
    </row>
    <row r="114704" spans="1:15" s="210" customFormat="1" x14ac:dyDescent="0.3">
      <c r="A114704" s="12"/>
      <c r="B114704" s="15"/>
      <c r="C114704" s="15"/>
      <c r="D114704" s="12"/>
      <c r="E114704" s="12"/>
      <c r="F114704" s="13"/>
      <c r="G114704" s="12"/>
      <c r="H114704" s="12"/>
      <c r="I114704" s="12"/>
      <c r="J114704" s="12"/>
      <c r="K114704" s="12"/>
      <c r="L114704" s="208"/>
      <c r="M114704" s="209"/>
      <c r="N114704" s="209"/>
      <c r="O114704" s="209"/>
    </row>
    <row r="114705" spans="1:15" s="210" customFormat="1" x14ac:dyDescent="0.3">
      <c r="A114705" s="12"/>
      <c r="B114705" s="15"/>
      <c r="C114705" s="15"/>
      <c r="D114705" s="12"/>
      <c r="E114705" s="12"/>
      <c r="F114705" s="13"/>
      <c r="G114705" s="12"/>
      <c r="H114705" s="12"/>
      <c r="I114705" s="12"/>
      <c r="J114705" s="12"/>
      <c r="K114705" s="12"/>
      <c r="L114705" s="208"/>
      <c r="M114705" s="209"/>
      <c r="N114705" s="209"/>
      <c r="O114705" s="209"/>
    </row>
    <row r="114706" spans="1:15" s="210" customFormat="1" x14ac:dyDescent="0.3">
      <c r="A114706" s="12"/>
      <c r="B114706" s="15"/>
      <c r="C114706" s="15"/>
      <c r="D114706" s="12"/>
      <c r="E114706" s="12"/>
      <c r="F114706" s="13"/>
      <c r="G114706" s="12"/>
      <c r="H114706" s="12"/>
      <c r="I114706" s="12"/>
      <c r="J114706" s="12"/>
      <c r="K114706" s="12"/>
      <c r="L114706" s="208"/>
      <c r="M114706" s="209"/>
      <c r="N114706" s="209"/>
      <c r="O114706" s="209"/>
    </row>
    <row r="114707" spans="1:15" s="210" customFormat="1" x14ac:dyDescent="0.3">
      <c r="A114707" s="12"/>
      <c r="B114707" s="15"/>
      <c r="C114707" s="15"/>
      <c r="D114707" s="12"/>
      <c r="E114707" s="12"/>
      <c r="F114707" s="13"/>
      <c r="G114707" s="12"/>
      <c r="H114707" s="12"/>
      <c r="I114707" s="12"/>
      <c r="J114707" s="12"/>
      <c r="K114707" s="12"/>
      <c r="L114707" s="208"/>
      <c r="M114707" s="209"/>
      <c r="N114707" s="209"/>
      <c r="O114707" s="209"/>
    </row>
    <row r="114708" spans="1:15" s="210" customFormat="1" x14ac:dyDescent="0.3">
      <c r="A114708" s="12"/>
      <c r="B114708" s="15"/>
      <c r="C114708" s="15"/>
      <c r="D114708" s="12"/>
      <c r="E114708" s="12"/>
      <c r="F114708" s="13"/>
      <c r="G114708" s="12"/>
      <c r="H114708" s="12"/>
      <c r="I114708" s="12"/>
      <c r="J114708" s="12"/>
      <c r="K114708" s="12"/>
      <c r="L114708" s="208"/>
      <c r="M114708" s="209"/>
      <c r="N114708" s="209"/>
      <c r="O114708" s="209"/>
    </row>
    <row r="114709" spans="1:15" s="210" customFormat="1" x14ac:dyDescent="0.3">
      <c r="A114709" s="12"/>
      <c r="B114709" s="15"/>
      <c r="C114709" s="15"/>
      <c r="D114709" s="12"/>
      <c r="E114709" s="12"/>
      <c r="F114709" s="13"/>
      <c r="G114709" s="12"/>
      <c r="H114709" s="12"/>
      <c r="I114709" s="12"/>
      <c r="J114709" s="12"/>
      <c r="K114709" s="12"/>
      <c r="L114709" s="208"/>
      <c r="M114709" s="209"/>
      <c r="N114709" s="209"/>
      <c r="O114709" s="209"/>
    </row>
    <row r="114710" spans="1:15" s="210" customFormat="1" x14ac:dyDescent="0.3">
      <c r="A114710" s="12"/>
      <c r="B114710" s="15"/>
      <c r="C114710" s="15"/>
      <c r="D114710" s="12"/>
      <c r="E114710" s="12"/>
      <c r="F114710" s="13"/>
      <c r="G114710" s="12"/>
      <c r="H114710" s="12"/>
      <c r="I114710" s="12"/>
      <c r="J114710" s="12"/>
      <c r="K114710" s="12"/>
      <c r="L114710" s="208"/>
      <c r="M114710" s="209"/>
      <c r="N114710" s="209"/>
      <c r="O114710" s="209"/>
    </row>
    <row r="114711" spans="1:15" s="210" customFormat="1" x14ac:dyDescent="0.3">
      <c r="A114711" s="12"/>
      <c r="B114711" s="15"/>
      <c r="C114711" s="15"/>
      <c r="D114711" s="12"/>
      <c r="E114711" s="12"/>
      <c r="F114711" s="13"/>
      <c r="G114711" s="12"/>
      <c r="H114711" s="12"/>
      <c r="I114711" s="12"/>
      <c r="J114711" s="12"/>
      <c r="K114711" s="12"/>
      <c r="L114711" s="208"/>
      <c r="M114711" s="209"/>
      <c r="N114711" s="209"/>
      <c r="O114711" s="209"/>
    </row>
    <row r="114712" spans="1:15" s="210" customFormat="1" x14ac:dyDescent="0.3">
      <c r="A114712" s="12"/>
      <c r="B114712" s="15"/>
      <c r="C114712" s="15"/>
      <c r="D114712" s="12"/>
      <c r="E114712" s="12"/>
      <c r="F114712" s="13"/>
      <c r="G114712" s="12"/>
      <c r="H114712" s="12"/>
      <c r="I114712" s="12"/>
      <c r="J114712" s="12"/>
      <c r="K114712" s="12"/>
      <c r="L114712" s="208"/>
      <c r="M114712" s="209"/>
      <c r="N114712" s="209"/>
      <c r="O114712" s="209"/>
    </row>
    <row r="114713" spans="1:15" s="210" customFormat="1" x14ac:dyDescent="0.3">
      <c r="A114713" s="12"/>
      <c r="B114713" s="15"/>
      <c r="C114713" s="15"/>
      <c r="D114713" s="12"/>
      <c r="E114713" s="12"/>
      <c r="F114713" s="13"/>
      <c r="G114713" s="12"/>
      <c r="H114713" s="12"/>
      <c r="I114713" s="12"/>
      <c r="J114713" s="12"/>
      <c r="K114713" s="12"/>
      <c r="L114713" s="208"/>
      <c r="M114713" s="209"/>
      <c r="N114713" s="209"/>
      <c r="O114713" s="209"/>
    </row>
    <row r="114714" spans="1:15" s="210" customFormat="1" x14ac:dyDescent="0.3">
      <c r="A114714" s="12"/>
      <c r="B114714" s="15"/>
      <c r="C114714" s="15"/>
      <c r="D114714" s="12"/>
      <c r="E114714" s="12"/>
      <c r="F114714" s="13"/>
      <c r="G114714" s="12"/>
      <c r="H114714" s="12"/>
      <c r="I114714" s="12"/>
      <c r="J114714" s="12"/>
      <c r="K114714" s="12"/>
      <c r="L114714" s="208"/>
      <c r="M114714" s="209"/>
      <c r="N114714" s="209"/>
      <c r="O114714" s="209"/>
    </row>
    <row r="114715" spans="1:15" s="210" customFormat="1" x14ac:dyDescent="0.3">
      <c r="A114715" s="12"/>
      <c r="B114715" s="15"/>
      <c r="C114715" s="15"/>
      <c r="D114715" s="12"/>
      <c r="E114715" s="12"/>
      <c r="F114715" s="13"/>
      <c r="G114715" s="12"/>
      <c r="H114715" s="12"/>
      <c r="I114715" s="12"/>
      <c r="J114715" s="12"/>
      <c r="K114715" s="12"/>
      <c r="L114715" s="208"/>
      <c r="M114715" s="209"/>
      <c r="N114715" s="209"/>
      <c r="O114715" s="209"/>
    </row>
    <row r="114716" spans="1:15" s="210" customFormat="1" x14ac:dyDescent="0.3">
      <c r="A114716" s="12"/>
      <c r="B114716" s="15"/>
      <c r="C114716" s="15"/>
      <c r="D114716" s="12"/>
      <c r="E114716" s="12"/>
      <c r="F114716" s="13"/>
      <c r="G114716" s="12"/>
      <c r="H114716" s="12"/>
      <c r="I114716" s="12"/>
      <c r="J114716" s="12"/>
      <c r="K114716" s="12"/>
      <c r="L114716" s="208"/>
      <c r="M114716" s="209"/>
      <c r="N114716" s="209"/>
      <c r="O114716" s="209"/>
    </row>
    <row r="114717" spans="1:15" s="210" customFormat="1" x14ac:dyDescent="0.3">
      <c r="A114717" s="12"/>
      <c r="B114717" s="15"/>
      <c r="C114717" s="15"/>
      <c r="D114717" s="12"/>
      <c r="E114717" s="12"/>
      <c r="F114717" s="13"/>
      <c r="G114717" s="12"/>
      <c r="H114717" s="12"/>
      <c r="I114717" s="12"/>
      <c r="J114717" s="12"/>
      <c r="K114717" s="12"/>
      <c r="L114717" s="208"/>
      <c r="M114717" s="209"/>
      <c r="N114717" s="209"/>
      <c r="O114717" s="209"/>
    </row>
    <row r="114718" spans="1:15" s="210" customFormat="1" x14ac:dyDescent="0.3">
      <c r="A114718" s="12"/>
      <c r="B114718" s="15"/>
      <c r="C114718" s="15"/>
      <c r="D114718" s="12"/>
      <c r="E114718" s="12"/>
      <c r="F114718" s="13"/>
      <c r="G114718" s="12"/>
      <c r="H114718" s="12"/>
      <c r="I114718" s="12"/>
      <c r="J114718" s="12"/>
      <c r="K114718" s="12"/>
      <c r="L114718" s="208"/>
      <c r="M114718" s="209"/>
      <c r="N114718" s="209"/>
      <c r="O114718" s="209"/>
    </row>
    <row r="114719" spans="1:15" s="210" customFormat="1" x14ac:dyDescent="0.3">
      <c r="A114719" s="12"/>
      <c r="B114719" s="15"/>
      <c r="C114719" s="15"/>
      <c r="D114719" s="12"/>
      <c r="E114719" s="12"/>
      <c r="F114719" s="13"/>
      <c r="G114719" s="12"/>
      <c r="H114719" s="12"/>
      <c r="I114719" s="12"/>
      <c r="J114719" s="12"/>
      <c r="K114719" s="12"/>
      <c r="L114719" s="208"/>
      <c r="M114719" s="209"/>
      <c r="N114719" s="209"/>
      <c r="O114719" s="209"/>
    </row>
    <row r="114720" spans="1:15" s="210" customFormat="1" x14ac:dyDescent="0.3">
      <c r="A114720" s="12"/>
      <c r="B114720" s="15"/>
      <c r="C114720" s="15"/>
      <c r="D114720" s="12"/>
      <c r="E114720" s="12"/>
      <c r="F114720" s="13"/>
      <c r="G114720" s="12"/>
      <c r="H114720" s="12"/>
      <c r="I114720" s="12"/>
      <c r="J114720" s="12"/>
      <c r="K114720" s="12"/>
      <c r="L114720" s="208"/>
      <c r="M114720" s="209"/>
      <c r="N114720" s="209"/>
      <c r="O114720" s="209"/>
    </row>
    <row r="114721" spans="1:15" s="210" customFormat="1" x14ac:dyDescent="0.3">
      <c r="A114721" s="12"/>
      <c r="B114721" s="15"/>
      <c r="C114721" s="15"/>
      <c r="D114721" s="12"/>
      <c r="E114721" s="12"/>
      <c r="F114721" s="13"/>
      <c r="G114721" s="12"/>
      <c r="H114721" s="12"/>
      <c r="I114721" s="12"/>
      <c r="J114721" s="12"/>
      <c r="K114721" s="12"/>
      <c r="L114721" s="208"/>
      <c r="M114721" s="209"/>
      <c r="N114721" s="209"/>
      <c r="O114721" s="209"/>
    </row>
    <row r="114722" spans="1:15" s="210" customFormat="1" x14ac:dyDescent="0.3">
      <c r="A114722" s="12"/>
      <c r="B114722" s="15"/>
      <c r="C114722" s="15"/>
      <c r="D114722" s="12"/>
      <c r="E114722" s="12"/>
      <c r="F114722" s="13"/>
      <c r="G114722" s="12"/>
      <c r="H114722" s="12"/>
      <c r="I114722" s="12"/>
      <c r="J114722" s="12"/>
      <c r="K114722" s="12"/>
      <c r="L114722" s="208"/>
      <c r="M114722" s="209"/>
      <c r="N114722" s="209"/>
      <c r="O114722" s="209"/>
    </row>
    <row r="114723" spans="1:15" s="210" customFormat="1" x14ac:dyDescent="0.3">
      <c r="A114723" s="12"/>
      <c r="B114723" s="15"/>
      <c r="C114723" s="15"/>
      <c r="D114723" s="12"/>
      <c r="E114723" s="12"/>
      <c r="F114723" s="13"/>
      <c r="G114723" s="12"/>
      <c r="H114723" s="12"/>
      <c r="I114723" s="12"/>
      <c r="J114723" s="12"/>
      <c r="K114723" s="12"/>
      <c r="L114723" s="208"/>
      <c r="M114723" s="209"/>
      <c r="N114723" s="209"/>
      <c r="O114723" s="209"/>
    </row>
    <row r="114724" spans="1:15" s="210" customFormat="1" x14ac:dyDescent="0.3">
      <c r="A114724" s="12"/>
      <c r="B114724" s="15"/>
      <c r="C114724" s="15"/>
      <c r="D114724" s="12"/>
      <c r="E114724" s="12"/>
      <c r="F114724" s="13"/>
      <c r="G114724" s="12"/>
      <c r="H114724" s="12"/>
      <c r="I114724" s="12"/>
      <c r="J114724" s="12"/>
      <c r="K114724" s="12"/>
      <c r="L114724" s="208"/>
      <c r="M114724" s="209"/>
      <c r="N114724" s="209"/>
      <c r="O114724" s="209"/>
    </row>
    <row r="114725" spans="1:15" s="210" customFormat="1" x14ac:dyDescent="0.3">
      <c r="A114725" s="12"/>
      <c r="B114725" s="15"/>
      <c r="C114725" s="15"/>
      <c r="D114725" s="12"/>
      <c r="E114725" s="12"/>
      <c r="F114725" s="13"/>
      <c r="G114725" s="12"/>
      <c r="H114725" s="12"/>
      <c r="I114725" s="12"/>
      <c r="J114725" s="12"/>
      <c r="K114725" s="12"/>
      <c r="L114725" s="208"/>
      <c r="M114725" s="209"/>
      <c r="N114725" s="209"/>
      <c r="O114725" s="209"/>
    </row>
    <row r="114726" spans="1:15" s="210" customFormat="1" x14ac:dyDescent="0.3">
      <c r="A114726" s="12"/>
      <c r="B114726" s="15"/>
      <c r="C114726" s="15"/>
      <c r="D114726" s="12"/>
      <c r="E114726" s="12"/>
      <c r="F114726" s="13"/>
      <c r="G114726" s="12"/>
      <c r="H114726" s="12"/>
      <c r="I114726" s="12"/>
      <c r="J114726" s="12"/>
      <c r="K114726" s="12"/>
      <c r="L114726" s="208"/>
      <c r="M114726" s="209"/>
      <c r="N114726" s="209"/>
      <c r="O114726" s="209"/>
    </row>
    <row r="114727" spans="1:15" s="210" customFormat="1" x14ac:dyDescent="0.3">
      <c r="A114727" s="12"/>
      <c r="B114727" s="15"/>
      <c r="C114727" s="15"/>
      <c r="D114727" s="12"/>
      <c r="E114727" s="12"/>
      <c r="F114727" s="13"/>
      <c r="G114727" s="12"/>
      <c r="H114727" s="12"/>
      <c r="I114727" s="12"/>
      <c r="J114727" s="12"/>
      <c r="K114727" s="12"/>
      <c r="L114727" s="208"/>
      <c r="M114727" s="209"/>
      <c r="N114727" s="209"/>
      <c r="O114727" s="209"/>
    </row>
    <row r="114728" spans="1:15" s="210" customFormat="1" x14ac:dyDescent="0.3">
      <c r="A114728" s="12"/>
      <c r="B114728" s="15"/>
      <c r="C114728" s="15"/>
      <c r="D114728" s="12"/>
      <c r="E114728" s="12"/>
      <c r="F114728" s="13"/>
      <c r="G114728" s="12"/>
      <c r="H114728" s="12"/>
      <c r="I114728" s="12"/>
      <c r="J114728" s="12"/>
      <c r="K114728" s="12"/>
      <c r="L114728" s="208"/>
      <c r="M114728" s="209"/>
      <c r="N114728" s="209"/>
      <c r="O114728" s="209"/>
    </row>
    <row r="114729" spans="1:15" s="210" customFormat="1" x14ac:dyDescent="0.3">
      <c r="A114729" s="12"/>
      <c r="B114729" s="15"/>
      <c r="C114729" s="15"/>
      <c r="D114729" s="12"/>
      <c r="E114729" s="12"/>
      <c r="F114729" s="13"/>
      <c r="G114729" s="12"/>
      <c r="H114729" s="12"/>
      <c r="I114729" s="12"/>
      <c r="J114729" s="12"/>
      <c r="K114729" s="12"/>
      <c r="L114729" s="208"/>
      <c r="M114729" s="209"/>
      <c r="N114729" s="209"/>
      <c r="O114729" s="209"/>
    </row>
    <row r="114730" spans="1:15" s="210" customFormat="1" x14ac:dyDescent="0.3">
      <c r="A114730" s="12"/>
      <c r="B114730" s="15"/>
      <c r="C114730" s="15"/>
      <c r="D114730" s="12"/>
      <c r="E114730" s="12"/>
      <c r="F114730" s="13"/>
      <c r="G114730" s="12"/>
      <c r="H114730" s="12"/>
      <c r="I114730" s="12"/>
      <c r="J114730" s="12"/>
      <c r="K114730" s="12"/>
      <c r="L114730" s="208"/>
      <c r="M114730" s="209"/>
      <c r="N114730" s="209"/>
      <c r="O114730" s="209"/>
    </row>
    <row r="114731" spans="1:15" s="210" customFormat="1" x14ac:dyDescent="0.3">
      <c r="A114731" s="12"/>
      <c r="B114731" s="15"/>
      <c r="C114731" s="15"/>
      <c r="D114731" s="12"/>
      <c r="E114731" s="12"/>
      <c r="F114731" s="13"/>
      <c r="G114731" s="12"/>
      <c r="H114731" s="12"/>
      <c r="I114731" s="12"/>
      <c r="J114731" s="12"/>
      <c r="K114731" s="12"/>
      <c r="L114731" s="208"/>
      <c r="M114731" s="209"/>
      <c r="N114731" s="209"/>
      <c r="O114731" s="209"/>
    </row>
    <row r="114732" spans="1:15" s="210" customFormat="1" x14ac:dyDescent="0.3">
      <c r="A114732" s="12"/>
      <c r="B114732" s="15"/>
      <c r="C114732" s="15"/>
      <c r="D114732" s="12"/>
      <c r="E114732" s="12"/>
      <c r="F114732" s="13"/>
      <c r="G114732" s="12"/>
      <c r="H114732" s="12"/>
      <c r="I114732" s="12"/>
      <c r="J114732" s="12"/>
      <c r="K114732" s="12"/>
      <c r="L114732" s="208"/>
      <c r="M114732" s="209"/>
      <c r="N114732" s="209"/>
      <c r="O114732" s="209"/>
    </row>
    <row r="114733" spans="1:15" s="210" customFormat="1" x14ac:dyDescent="0.3">
      <c r="A114733" s="12"/>
      <c r="B114733" s="15"/>
      <c r="C114733" s="15"/>
      <c r="D114733" s="12"/>
      <c r="E114733" s="12"/>
      <c r="F114733" s="13"/>
      <c r="G114733" s="12"/>
      <c r="H114733" s="12"/>
      <c r="I114733" s="12"/>
      <c r="J114733" s="12"/>
      <c r="K114733" s="12"/>
      <c r="L114733" s="208"/>
      <c r="M114733" s="209"/>
      <c r="N114733" s="209"/>
      <c r="O114733" s="209"/>
    </row>
    <row r="114734" spans="1:15" s="210" customFormat="1" x14ac:dyDescent="0.3">
      <c r="A114734" s="12"/>
      <c r="B114734" s="15"/>
      <c r="C114734" s="15"/>
      <c r="D114734" s="12"/>
      <c r="E114734" s="12"/>
      <c r="F114734" s="13"/>
      <c r="G114734" s="12"/>
      <c r="H114734" s="12"/>
      <c r="I114734" s="12"/>
      <c r="J114734" s="12"/>
      <c r="K114734" s="12"/>
      <c r="L114734" s="208"/>
      <c r="M114734" s="209"/>
      <c r="N114734" s="209"/>
      <c r="O114734" s="209"/>
    </row>
    <row r="114735" spans="1:15" s="210" customFormat="1" x14ac:dyDescent="0.3">
      <c r="A114735" s="12"/>
      <c r="B114735" s="15"/>
      <c r="C114735" s="15"/>
      <c r="D114735" s="12"/>
      <c r="E114735" s="12"/>
      <c r="F114735" s="13"/>
      <c r="G114735" s="12"/>
      <c r="H114735" s="12"/>
      <c r="I114735" s="12"/>
      <c r="J114735" s="12"/>
      <c r="K114735" s="12"/>
      <c r="L114735" s="208"/>
      <c r="M114735" s="209"/>
      <c r="N114735" s="209"/>
      <c r="O114735" s="209"/>
    </row>
    <row r="114736" spans="1:15" s="210" customFormat="1" x14ac:dyDescent="0.3">
      <c r="A114736" s="12"/>
      <c r="B114736" s="15"/>
      <c r="C114736" s="15"/>
      <c r="D114736" s="12"/>
      <c r="E114736" s="12"/>
      <c r="F114736" s="13"/>
      <c r="G114736" s="12"/>
      <c r="H114736" s="12"/>
      <c r="I114736" s="12"/>
      <c r="J114736" s="12"/>
      <c r="K114736" s="12"/>
      <c r="L114736" s="208"/>
      <c r="M114736" s="209"/>
      <c r="N114736" s="209"/>
      <c r="O114736" s="209"/>
    </row>
    <row r="114737" spans="1:15" s="210" customFormat="1" x14ac:dyDescent="0.3">
      <c r="A114737" s="12"/>
      <c r="B114737" s="15"/>
      <c r="C114737" s="15"/>
      <c r="D114737" s="12"/>
      <c r="E114737" s="12"/>
      <c r="F114737" s="13"/>
      <c r="G114737" s="12"/>
      <c r="H114737" s="12"/>
      <c r="I114737" s="12"/>
      <c r="J114737" s="12"/>
      <c r="K114737" s="12"/>
      <c r="L114737" s="208"/>
      <c r="M114737" s="209"/>
      <c r="N114737" s="209"/>
      <c r="O114737" s="209"/>
    </row>
    <row r="114738" spans="1:15" s="210" customFormat="1" x14ac:dyDescent="0.3">
      <c r="A114738" s="12"/>
      <c r="B114738" s="15"/>
      <c r="C114738" s="15"/>
      <c r="D114738" s="12"/>
      <c r="E114738" s="12"/>
      <c r="F114738" s="13"/>
      <c r="G114738" s="12"/>
      <c r="H114738" s="12"/>
      <c r="I114738" s="12"/>
      <c r="J114738" s="12"/>
      <c r="K114738" s="12"/>
      <c r="L114738" s="208"/>
      <c r="M114738" s="209"/>
      <c r="N114738" s="209"/>
      <c r="O114738" s="209"/>
    </row>
    <row r="114739" spans="1:15" s="210" customFormat="1" x14ac:dyDescent="0.3">
      <c r="A114739" s="12"/>
      <c r="B114739" s="15"/>
      <c r="C114739" s="15"/>
      <c r="D114739" s="12"/>
      <c r="E114739" s="12"/>
      <c r="F114739" s="13"/>
      <c r="G114739" s="12"/>
      <c r="H114739" s="12"/>
      <c r="I114739" s="12"/>
      <c r="J114739" s="12"/>
      <c r="K114739" s="12"/>
      <c r="L114739" s="208"/>
      <c r="M114739" s="209"/>
      <c r="N114739" s="209"/>
      <c r="O114739" s="209"/>
    </row>
    <row r="114740" spans="1:15" s="210" customFormat="1" x14ac:dyDescent="0.3">
      <c r="A114740" s="12"/>
      <c r="B114740" s="15"/>
      <c r="C114740" s="15"/>
      <c r="D114740" s="12"/>
      <c r="E114740" s="12"/>
      <c r="F114740" s="13"/>
      <c r="G114740" s="12"/>
      <c r="H114740" s="12"/>
      <c r="I114740" s="12"/>
      <c r="J114740" s="12"/>
      <c r="K114740" s="12"/>
      <c r="L114740" s="208"/>
      <c r="M114740" s="209"/>
      <c r="N114740" s="209"/>
      <c r="O114740" s="209"/>
    </row>
    <row r="114741" spans="1:15" s="210" customFormat="1" x14ac:dyDescent="0.3">
      <c r="A114741" s="12"/>
      <c r="B114741" s="15"/>
      <c r="C114741" s="15"/>
      <c r="D114741" s="12"/>
      <c r="E114741" s="12"/>
      <c r="F114741" s="13"/>
      <c r="G114741" s="12"/>
      <c r="H114741" s="12"/>
      <c r="I114741" s="12"/>
      <c r="J114741" s="12"/>
      <c r="K114741" s="12"/>
      <c r="L114741" s="208"/>
      <c r="M114741" s="209"/>
      <c r="N114741" s="209"/>
      <c r="O114741" s="209"/>
    </row>
    <row r="114742" spans="1:15" s="210" customFormat="1" x14ac:dyDescent="0.3">
      <c r="A114742" s="12"/>
      <c r="B114742" s="15"/>
      <c r="C114742" s="15"/>
      <c r="D114742" s="12"/>
      <c r="E114742" s="12"/>
      <c r="F114742" s="13"/>
      <c r="G114742" s="12"/>
      <c r="H114742" s="12"/>
      <c r="I114742" s="12"/>
      <c r="J114742" s="12"/>
      <c r="K114742" s="12"/>
      <c r="L114742" s="208"/>
      <c r="M114742" s="209"/>
      <c r="N114742" s="209"/>
      <c r="O114742" s="209"/>
    </row>
    <row r="114743" spans="1:15" s="210" customFormat="1" x14ac:dyDescent="0.3">
      <c r="A114743" s="12"/>
      <c r="B114743" s="15"/>
      <c r="C114743" s="15"/>
      <c r="D114743" s="12"/>
      <c r="E114743" s="12"/>
      <c r="F114743" s="13"/>
      <c r="G114743" s="12"/>
      <c r="H114743" s="12"/>
      <c r="I114743" s="12"/>
      <c r="J114743" s="12"/>
      <c r="K114743" s="12"/>
      <c r="L114743" s="208"/>
      <c r="M114743" s="209"/>
      <c r="N114743" s="209"/>
      <c r="O114743" s="209"/>
    </row>
    <row r="114744" spans="1:15" s="210" customFormat="1" x14ac:dyDescent="0.3">
      <c r="A114744" s="12"/>
      <c r="B114744" s="15"/>
      <c r="C114744" s="15"/>
      <c r="D114744" s="12"/>
      <c r="E114744" s="12"/>
      <c r="F114744" s="13"/>
      <c r="G114744" s="12"/>
      <c r="H114744" s="12"/>
      <c r="I114744" s="12"/>
      <c r="J114744" s="12"/>
      <c r="K114744" s="12"/>
      <c r="L114744" s="208"/>
      <c r="M114744" s="209"/>
      <c r="N114744" s="209"/>
      <c r="O114744" s="209"/>
    </row>
    <row r="114745" spans="1:15" s="210" customFormat="1" x14ac:dyDescent="0.3">
      <c r="A114745" s="12"/>
      <c r="B114745" s="15"/>
      <c r="C114745" s="15"/>
      <c r="D114745" s="12"/>
      <c r="E114745" s="12"/>
      <c r="F114745" s="13"/>
      <c r="G114745" s="12"/>
      <c r="H114745" s="12"/>
      <c r="I114745" s="12"/>
      <c r="J114745" s="12"/>
      <c r="K114745" s="12"/>
      <c r="L114745" s="208"/>
      <c r="M114745" s="209"/>
      <c r="N114745" s="209"/>
      <c r="O114745" s="209"/>
    </row>
    <row r="114746" spans="1:15" s="210" customFormat="1" x14ac:dyDescent="0.3">
      <c r="A114746" s="12"/>
      <c r="B114746" s="15"/>
      <c r="C114746" s="15"/>
      <c r="D114746" s="12"/>
      <c r="E114746" s="12"/>
      <c r="F114746" s="13"/>
      <c r="G114746" s="12"/>
      <c r="H114746" s="12"/>
      <c r="I114746" s="12"/>
      <c r="J114746" s="12"/>
      <c r="K114746" s="12"/>
      <c r="L114746" s="208"/>
      <c r="M114746" s="209"/>
      <c r="N114746" s="209"/>
      <c r="O114746" s="209"/>
    </row>
    <row r="114747" spans="1:15" s="210" customFormat="1" x14ac:dyDescent="0.3">
      <c r="A114747" s="12"/>
      <c r="B114747" s="15"/>
      <c r="C114747" s="15"/>
      <c r="D114747" s="12"/>
      <c r="E114747" s="12"/>
      <c r="F114747" s="13"/>
      <c r="G114747" s="12"/>
      <c r="H114747" s="12"/>
      <c r="I114747" s="12"/>
      <c r="J114747" s="12"/>
      <c r="K114747" s="12"/>
      <c r="L114747" s="208"/>
      <c r="M114747" s="209"/>
      <c r="N114747" s="209"/>
      <c r="O114747" s="209"/>
    </row>
    <row r="114748" spans="1:15" s="210" customFormat="1" x14ac:dyDescent="0.3">
      <c r="A114748" s="12"/>
      <c r="B114748" s="15"/>
      <c r="C114748" s="15"/>
      <c r="D114748" s="12"/>
      <c r="E114748" s="12"/>
      <c r="F114748" s="13"/>
      <c r="G114748" s="12"/>
      <c r="H114748" s="12"/>
      <c r="I114748" s="12"/>
      <c r="J114748" s="12"/>
      <c r="K114748" s="12"/>
      <c r="L114748" s="208"/>
      <c r="M114748" s="209"/>
      <c r="N114748" s="209"/>
      <c r="O114748" s="209"/>
    </row>
    <row r="114749" spans="1:15" s="210" customFormat="1" x14ac:dyDescent="0.3">
      <c r="A114749" s="12"/>
      <c r="B114749" s="15"/>
      <c r="C114749" s="15"/>
      <c r="D114749" s="12"/>
      <c r="E114749" s="12"/>
      <c r="F114749" s="13"/>
      <c r="G114749" s="12"/>
      <c r="H114749" s="12"/>
      <c r="I114749" s="12"/>
      <c r="J114749" s="12"/>
      <c r="K114749" s="12"/>
      <c r="L114749" s="208"/>
      <c r="M114749" s="209"/>
      <c r="N114749" s="209"/>
      <c r="O114749" s="209"/>
    </row>
    <row r="114750" spans="1:15" s="210" customFormat="1" x14ac:dyDescent="0.3">
      <c r="A114750" s="12"/>
      <c r="B114750" s="15"/>
      <c r="C114750" s="15"/>
      <c r="D114750" s="12"/>
      <c r="E114750" s="12"/>
      <c r="F114750" s="13"/>
      <c r="G114750" s="12"/>
      <c r="H114750" s="12"/>
      <c r="I114750" s="12"/>
      <c r="J114750" s="12"/>
      <c r="K114750" s="12"/>
      <c r="L114750" s="208"/>
      <c r="M114750" s="209"/>
      <c r="N114750" s="209"/>
      <c r="O114750" s="209"/>
    </row>
    <row r="114751" spans="1:15" s="210" customFormat="1" x14ac:dyDescent="0.3">
      <c r="A114751" s="12"/>
      <c r="B114751" s="15"/>
      <c r="C114751" s="15"/>
      <c r="D114751" s="12"/>
      <c r="E114751" s="12"/>
      <c r="F114751" s="13"/>
      <c r="G114751" s="12"/>
      <c r="H114751" s="12"/>
      <c r="I114751" s="12"/>
      <c r="J114751" s="12"/>
      <c r="K114751" s="12"/>
      <c r="L114751" s="208"/>
      <c r="M114751" s="209"/>
      <c r="N114751" s="209"/>
      <c r="O114751" s="209"/>
    </row>
    <row r="114752" spans="1:15" s="210" customFormat="1" x14ac:dyDescent="0.3">
      <c r="A114752" s="12"/>
      <c r="B114752" s="15"/>
      <c r="C114752" s="15"/>
      <c r="D114752" s="12"/>
      <c r="E114752" s="12"/>
      <c r="F114752" s="13"/>
      <c r="G114752" s="12"/>
      <c r="H114752" s="12"/>
      <c r="I114752" s="12"/>
      <c r="J114752" s="12"/>
      <c r="K114752" s="12"/>
      <c r="L114752" s="208"/>
      <c r="M114752" s="209"/>
      <c r="N114752" s="209"/>
      <c r="O114752" s="209"/>
    </row>
    <row r="114753" spans="1:15" s="210" customFormat="1" x14ac:dyDescent="0.3">
      <c r="A114753" s="12"/>
      <c r="B114753" s="15"/>
      <c r="C114753" s="15"/>
      <c r="D114753" s="12"/>
      <c r="E114753" s="12"/>
      <c r="F114753" s="13"/>
      <c r="G114753" s="12"/>
      <c r="H114753" s="12"/>
      <c r="I114753" s="12"/>
      <c r="J114753" s="12"/>
      <c r="K114753" s="12"/>
      <c r="L114753" s="208"/>
      <c r="M114753" s="209"/>
      <c r="N114753" s="209"/>
      <c r="O114753" s="209"/>
    </row>
    <row r="114754" spans="1:15" s="210" customFormat="1" x14ac:dyDescent="0.3">
      <c r="A114754" s="12"/>
      <c r="B114754" s="15"/>
      <c r="C114754" s="15"/>
      <c r="D114754" s="12"/>
      <c r="E114754" s="12"/>
      <c r="F114754" s="13"/>
      <c r="G114754" s="12"/>
      <c r="H114754" s="12"/>
      <c r="I114754" s="12"/>
      <c r="J114754" s="12"/>
      <c r="K114754" s="12"/>
      <c r="L114754" s="208"/>
      <c r="M114754" s="209"/>
      <c r="N114754" s="209"/>
      <c r="O114754" s="209"/>
    </row>
    <row r="114755" spans="1:15" s="210" customFormat="1" x14ac:dyDescent="0.3">
      <c r="A114755" s="12"/>
      <c r="B114755" s="15"/>
      <c r="C114755" s="15"/>
      <c r="D114755" s="12"/>
      <c r="E114755" s="12"/>
      <c r="F114755" s="13"/>
      <c r="G114755" s="12"/>
      <c r="H114755" s="12"/>
      <c r="I114755" s="12"/>
      <c r="J114755" s="12"/>
      <c r="K114755" s="12"/>
      <c r="L114755" s="208"/>
      <c r="M114755" s="209"/>
      <c r="N114755" s="209"/>
      <c r="O114755" s="209"/>
    </row>
    <row r="114756" spans="1:15" s="210" customFormat="1" x14ac:dyDescent="0.3">
      <c r="A114756" s="12"/>
      <c r="B114756" s="15"/>
      <c r="C114756" s="15"/>
      <c r="D114756" s="12"/>
      <c r="E114756" s="12"/>
      <c r="F114756" s="13"/>
      <c r="G114756" s="12"/>
      <c r="H114756" s="12"/>
      <c r="I114756" s="12"/>
      <c r="J114756" s="12"/>
      <c r="K114756" s="12"/>
      <c r="L114756" s="208"/>
      <c r="M114756" s="209"/>
      <c r="N114756" s="209"/>
      <c r="O114756" s="209"/>
    </row>
    <row r="114757" spans="1:15" s="210" customFormat="1" x14ac:dyDescent="0.3">
      <c r="A114757" s="12"/>
      <c r="B114757" s="15"/>
      <c r="C114757" s="15"/>
      <c r="D114757" s="12"/>
      <c r="E114757" s="12"/>
      <c r="F114757" s="13"/>
      <c r="G114757" s="12"/>
      <c r="H114757" s="12"/>
      <c r="I114757" s="12"/>
      <c r="J114757" s="12"/>
      <c r="K114757" s="12"/>
      <c r="L114757" s="208"/>
      <c r="M114757" s="209"/>
      <c r="N114757" s="209"/>
      <c r="O114757" s="209"/>
    </row>
    <row r="114758" spans="1:15" s="210" customFormat="1" x14ac:dyDescent="0.3">
      <c r="A114758" s="12"/>
      <c r="B114758" s="15"/>
      <c r="C114758" s="15"/>
      <c r="D114758" s="12"/>
      <c r="E114758" s="12"/>
      <c r="F114758" s="13"/>
      <c r="G114758" s="12"/>
      <c r="H114758" s="12"/>
      <c r="I114758" s="12"/>
      <c r="J114758" s="12"/>
      <c r="K114758" s="12"/>
      <c r="L114758" s="208"/>
      <c r="M114758" s="209"/>
      <c r="N114758" s="209"/>
      <c r="O114758" s="209"/>
    </row>
    <row r="114759" spans="1:15" s="210" customFormat="1" x14ac:dyDescent="0.3">
      <c r="A114759" s="12"/>
      <c r="B114759" s="15"/>
      <c r="C114759" s="15"/>
      <c r="D114759" s="12"/>
      <c r="E114759" s="12"/>
      <c r="F114759" s="13"/>
      <c r="G114759" s="12"/>
      <c r="H114759" s="12"/>
      <c r="I114759" s="12"/>
      <c r="J114759" s="12"/>
      <c r="K114759" s="12"/>
      <c r="L114759" s="208"/>
      <c r="M114759" s="209"/>
      <c r="N114759" s="209"/>
      <c r="O114759" s="209"/>
    </row>
    <row r="114760" spans="1:15" s="210" customFormat="1" x14ac:dyDescent="0.3">
      <c r="A114760" s="12"/>
      <c r="B114760" s="15"/>
      <c r="C114760" s="15"/>
      <c r="D114760" s="12"/>
      <c r="E114760" s="12"/>
      <c r="F114760" s="13"/>
      <c r="G114760" s="12"/>
      <c r="H114760" s="12"/>
      <c r="I114760" s="12"/>
      <c r="J114760" s="12"/>
      <c r="K114760" s="12"/>
      <c r="L114760" s="208"/>
      <c r="M114760" s="209"/>
      <c r="N114760" s="209"/>
      <c r="O114760" s="209"/>
    </row>
    <row r="114761" spans="1:15" s="210" customFormat="1" x14ac:dyDescent="0.3">
      <c r="A114761" s="12"/>
      <c r="B114761" s="15"/>
      <c r="C114761" s="15"/>
      <c r="D114761" s="12"/>
      <c r="E114761" s="12"/>
      <c r="F114761" s="13"/>
      <c r="G114761" s="12"/>
      <c r="H114761" s="12"/>
      <c r="I114761" s="12"/>
      <c r="J114761" s="12"/>
      <c r="K114761" s="12"/>
      <c r="L114761" s="208"/>
      <c r="M114761" s="209"/>
      <c r="N114761" s="209"/>
      <c r="O114761" s="209"/>
    </row>
    <row r="114762" spans="1:15" s="210" customFormat="1" x14ac:dyDescent="0.3">
      <c r="A114762" s="12"/>
      <c r="B114762" s="15"/>
      <c r="C114762" s="15"/>
      <c r="D114762" s="12"/>
      <c r="E114762" s="12"/>
      <c r="F114762" s="13"/>
      <c r="G114762" s="12"/>
      <c r="H114762" s="12"/>
      <c r="I114762" s="12"/>
      <c r="J114762" s="12"/>
      <c r="K114762" s="12"/>
      <c r="L114762" s="208"/>
      <c r="M114762" s="209"/>
      <c r="N114762" s="209"/>
      <c r="O114762" s="209"/>
    </row>
    <row r="114763" spans="1:15" s="210" customFormat="1" x14ac:dyDescent="0.3">
      <c r="A114763" s="12"/>
      <c r="B114763" s="15"/>
      <c r="C114763" s="15"/>
      <c r="D114763" s="12"/>
      <c r="E114763" s="12"/>
      <c r="F114763" s="13"/>
      <c r="G114763" s="12"/>
      <c r="H114763" s="12"/>
      <c r="I114763" s="12"/>
      <c r="J114763" s="12"/>
      <c r="K114763" s="12"/>
      <c r="L114763" s="208"/>
      <c r="M114763" s="209"/>
      <c r="N114763" s="209"/>
      <c r="O114763" s="209"/>
    </row>
    <row r="114764" spans="1:15" s="210" customFormat="1" x14ac:dyDescent="0.3">
      <c r="A114764" s="12"/>
      <c r="B114764" s="15"/>
      <c r="C114764" s="15"/>
      <c r="D114764" s="12"/>
      <c r="E114764" s="12"/>
      <c r="F114764" s="13"/>
      <c r="G114764" s="12"/>
      <c r="H114764" s="12"/>
      <c r="I114764" s="12"/>
      <c r="J114764" s="12"/>
      <c r="K114764" s="12"/>
      <c r="L114764" s="208"/>
      <c r="M114764" s="209"/>
      <c r="N114764" s="209"/>
      <c r="O114764" s="209"/>
    </row>
    <row r="114765" spans="1:15" s="210" customFormat="1" x14ac:dyDescent="0.3">
      <c r="A114765" s="12"/>
      <c r="B114765" s="15"/>
      <c r="C114765" s="15"/>
      <c r="D114765" s="12"/>
      <c r="E114765" s="12"/>
      <c r="F114765" s="13"/>
      <c r="G114765" s="12"/>
      <c r="H114765" s="12"/>
      <c r="I114765" s="12"/>
      <c r="J114765" s="12"/>
      <c r="K114765" s="12"/>
      <c r="L114765" s="208"/>
      <c r="M114765" s="209"/>
      <c r="N114765" s="209"/>
      <c r="O114765" s="209"/>
    </row>
    <row r="114766" spans="1:15" s="210" customFormat="1" x14ac:dyDescent="0.3">
      <c r="A114766" s="12"/>
      <c r="B114766" s="15"/>
      <c r="C114766" s="15"/>
      <c r="D114766" s="12"/>
      <c r="E114766" s="12"/>
      <c r="F114766" s="13"/>
      <c r="G114766" s="12"/>
      <c r="H114766" s="12"/>
      <c r="I114766" s="12"/>
      <c r="J114766" s="12"/>
      <c r="K114766" s="12"/>
      <c r="L114766" s="208"/>
      <c r="M114766" s="209"/>
      <c r="N114766" s="209"/>
      <c r="O114766" s="209"/>
    </row>
    <row r="114767" spans="1:15" s="210" customFormat="1" x14ac:dyDescent="0.3">
      <c r="A114767" s="12"/>
      <c r="B114767" s="15"/>
      <c r="C114767" s="15"/>
      <c r="D114767" s="12"/>
      <c r="E114767" s="12"/>
      <c r="F114767" s="13"/>
      <c r="G114767" s="12"/>
      <c r="H114767" s="12"/>
      <c r="I114767" s="12"/>
      <c r="J114767" s="12"/>
      <c r="K114767" s="12"/>
      <c r="L114767" s="208"/>
      <c r="M114767" s="209"/>
      <c r="N114767" s="209"/>
      <c r="O114767" s="209"/>
    </row>
    <row r="114768" spans="1:15" s="210" customFormat="1" x14ac:dyDescent="0.3">
      <c r="A114768" s="12"/>
      <c r="B114768" s="15"/>
      <c r="C114768" s="15"/>
      <c r="D114768" s="12"/>
      <c r="E114768" s="12"/>
      <c r="F114768" s="13"/>
      <c r="G114768" s="12"/>
      <c r="H114768" s="12"/>
      <c r="I114768" s="12"/>
      <c r="J114768" s="12"/>
      <c r="K114768" s="12"/>
      <c r="L114768" s="208"/>
      <c r="M114768" s="209"/>
      <c r="N114768" s="209"/>
      <c r="O114768" s="209"/>
    </row>
    <row r="114769" spans="1:15" s="210" customFormat="1" x14ac:dyDescent="0.3">
      <c r="A114769" s="12"/>
      <c r="B114769" s="15"/>
      <c r="C114769" s="15"/>
      <c r="D114769" s="12"/>
      <c r="E114769" s="12"/>
      <c r="F114769" s="13"/>
      <c r="G114769" s="12"/>
      <c r="H114769" s="12"/>
      <c r="I114769" s="12"/>
      <c r="J114769" s="12"/>
      <c r="K114769" s="12"/>
      <c r="L114769" s="208"/>
      <c r="M114769" s="209"/>
      <c r="N114769" s="209"/>
      <c r="O114769" s="209"/>
    </row>
    <row r="114770" spans="1:15" s="210" customFormat="1" x14ac:dyDescent="0.3">
      <c r="A114770" s="12"/>
      <c r="B114770" s="15"/>
      <c r="C114770" s="15"/>
      <c r="D114770" s="12"/>
      <c r="E114770" s="12"/>
      <c r="F114770" s="13"/>
      <c r="G114770" s="12"/>
      <c r="H114770" s="12"/>
      <c r="I114770" s="12"/>
      <c r="J114770" s="12"/>
      <c r="K114770" s="12"/>
      <c r="L114770" s="208"/>
      <c r="M114770" s="209"/>
      <c r="N114770" s="209"/>
      <c r="O114770" s="209"/>
    </row>
    <row r="114771" spans="1:15" s="210" customFormat="1" x14ac:dyDescent="0.3">
      <c r="A114771" s="12"/>
      <c r="B114771" s="15"/>
      <c r="C114771" s="15"/>
      <c r="D114771" s="12"/>
      <c r="E114771" s="12"/>
      <c r="F114771" s="13"/>
      <c r="G114771" s="12"/>
      <c r="H114771" s="12"/>
      <c r="I114771" s="12"/>
      <c r="J114771" s="12"/>
      <c r="K114771" s="12"/>
      <c r="L114771" s="208"/>
      <c r="M114771" s="209"/>
      <c r="N114771" s="209"/>
      <c r="O114771" s="209"/>
    </row>
    <row r="114772" spans="1:15" s="210" customFormat="1" x14ac:dyDescent="0.3">
      <c r="A114772" s="12"/>
      <c r="B114772" s="15"/>
      <c r="C114772" s="15"/>
      <c r="D114772" s="12"/>
      <c r="E114772" s="12"/>
      <c r="F114772" s="13"/>
      <c r="G114772" s="12"/>
      <c r="H114772" s="12"/>
      <c r="I114772" s="12"/>
      <c r="J114772" s="12"/>
      <c r="K114772" s="12"/>
      <c r="L114772" s="208"/>
      <c r="M114772" s="209"/>
      <c r="N114772" s="209"/>
      <c r="O114772" s="209"/>
    </row>
    <row r="114773" spans="1:15" s="210" customFormat="1" x14ac:dyDescent="0.3">
      <c r="A114773" s="12"/>
      <c r="B114773" s="15"/>
      <c r="C114773" s="15"/>
      <c r="D114773" s="12"/>
      <c r="E114773" s="12"/>
      <c r="F114773" s="13"/>
      <c r="G114773" s="12"/>
      <c r="H114773" s="12"/>
      <c r="I114773" s="12"/>
      <c r="J114773" s="12"/>
      <c r="K114773" s="12"/>
      <c r="L114773" s="208"/>
      <c r="M114773" s="209"/>
      <c r="N114773" s="209"/>
      <c r="O114773" s="209"/>
    </row>
    <row r="114774" spans="1:15" s="210" customFormat="1" x14ac:dyDescent="0.3">
      <c r="A114774" s="12"/>
      <c r="B114774" s="15"/>
      <c r="C114774" s="15"/>
      <c r="D114774" s="12"/>
      <c r="E114774" s="12"/>
      <c r="F114774" s="13"/>
      <c r="G114774" s="12"/>
      <c r="H114774" s="12"/>
      <c r="I114774" s="12"/>
      <c r="J114774" s="12"/>
      <c r="K114774" s="12"/>
      <c r="L114774" s="208"/>
      <c r="M114774" s="209"/>
      <c r="N114774" s="209"/>
      <c r="O114774" s="209"/>
    </row>
    <row r="114775" spans="1:15" s="210" customFormat="1" x14ac:dyDescent="0.3">
      <c r="A114775" s="12"/>
      <c r="B114775" s="15"/>
      <c r="C114775" s="15"/>
      <c r="D114775" s="12"/>
      <c r="E114775" s="12"/>
      <c r="F114775" s="13"/>
      <c r="G114775" s="12"/>
      <c r="H114775" s="12"/>
      <c r="I114775" s="12"/>
      <c r="J114775" s="12"/>
      <c r="K114775" s="12"/>
      <c r="L114775" s="208"/>
      <c r="M114775" s="209"/>
      <c r="N114775" s="209"/>
      <c r="O114775" s="209"/>
    </row>
    <row r="114776" spans="1:15" s="210" customFormat="1" x14ac:dyDescent="0.3">
      <c r="A114776" s="12"/>
      <c r="B114776" s="15"/>
      <c r="C114776" s="15"/>
      <c r="D114776" s="12"/>
      <c r="E114776" s="12"/>
      <c r="F114776" s="13"/>
      <c r="G114776" s="12"/>
      <c r="H114776" s="12"/>
      <c r="I114776" s="12"/>
      <c r="J114776" s="12"/>
      <c r="K114776" s="12"/>
      <c r="L114776" s="208"/>
      <c r="M114776" s="209"/>
      <c r="N114776" s="209"/>
      <c r="O114776" s="209"/>
    </row>
    <row r="114777" spans="1:15" s="210" customFormat="1" x14ac:dyDescent="0.3">
      <c r="A114777" s="12"/>
      <c r="B114777" s="15"/>
      <c r="C114777" s="15"/>
      <c r="D114777" s="12"/>
      <c r="E114777" s="12"/>
      <c r="F114777" s="13"/>
      <c r="G114777" s="12"/>
      <c r="H114777" s="12"/>
      <c r="I114777" s="12"/>
      <c r="J114777" s="12"/>
      <c r="K114777" s="12"/>
      <c r="L114777" s="208"/>
      <c r="M114777" s="209"/>
      <c r="N114777" s="209"/>
      <c r="O114777" s="209"/>
    </row>
    <row r="114778" spans="1:15" s="210" customFormat="1" x14ac:dyDescent="0.3">
      <c r="A114778" s="12"/>
      <c r="B114778" s="15"/>
      <c r="C114778" s="15"/>
      <c r="D114778" s="12"/>
      <c r="E114778" s="12"/>
      <c r="F114778" s="13"/>
      <c r="G114778" s="12"/>
      <c r="H114778" s="12"/>
      <c r="I114778" s="12"/>
      <c r="J114778" s="12"/>
      <c r="K114778" s="12"/>
      <c r="L114778" s="208"/>
      <c r="M114778" s="209"/>
      <c r="N114778" s="209"/>
      <c r="O114778" s="209"/>
    </row>
    <row r="114779" spans="1:15" s="210" customFormat="1" x14ac:dyDescent="0.3">
      <c r="A114779" s="12"/>
      <c r="B114779" s="15"/>
      <c r="C114779" s="15"/>
      <c r="D114779" s="12"/>
      <c r="E114779" s="12"/>
      <c r="F114779" s="13"/>
      <c r="G114779" s="12"/>
      <c r="H114779" s="12"/>
      <c r="I114779" s="12"/>
      <c r="J114779" s="12"/>
      <c r="K114779" s="12"/>
      <c r="L114779" s="208"/>
      <c r="M114779" s="209"/>
      <c r="N114779" s="209"/>
      <c r="O114779" s="209"/>
    </row>
    <row r="114780" spans="1:15" s="210" customFormat="1" x14ac:dyDescent="0.3">
      <c r="A114780" s="12"/>
      <c r="B114780" s="15"/>
      <c r="C114780" s="15"/>
      <c r="D114780" s="12"/>
      <c r="E114780" s="12"/>
      <c r="F114780" s="13"/>
      <c r="G114780" s="12"/>
      <c r="H114780" s="12"/>
      <c r="I114780" s="12"/>
      <c r="J114780" s="12"/>
      <c r="K114780" s="12"/>
      <c r="L114780" s="208"/>
      <c r="M114780" s="209"/>
      <c r="N114780" s="209"/>
      <c r="O114780" s="209"/>
    </row>
    <row r="114781" spans="1:15" s="210" customFormat="1" x14ac:dyDescent="0.3">
      <c r="A114781" s="12"/>
      <c r="B114781" s="15"/>
      <c r="C114781" s="15"/>
      <c r="D114781" s="12"/>
      <c r="E114781" s="12"/>
      <c r="F114781" s="13"/>
      <c r="G114781" s="12"/>
      <c r="H114781" s="12"/>
      <c r="I114781" s="12"/>
      <c r="J114781" s="12"/>
      <c r="K114781" s="12"/>
      <c r="L114781" s="208"/>
      <c r="M114781" s="209"/>
      <c r="N114781" s="209"/>
      <c r="O114781" s="209"/>
    </row>
    <row r="114782" spans="1:15" s="210" customFormat="1" x14ac:dyDescent="0.3">
      <c r="A114782" s="12"/>
      <c r="B114782" s="15"/>
      <c r="C114782" s="15"/>
      <c r="D114782" s="12"/>
      <c r="E114782" s="12"/>
      <c r="F114782" s="13"/>
      <c r="G114782" s="12"/>
      <c r="H114782" s="12"/>
      <c r="I114782" s="12"/>
      <c r="J114782" s="12"/>
      <c r="K114782" s="12"/>
      <c r="L114782" s="208"/>
      <c r="M114782" s="209"/>
      <c r="N114782" s="209"/>
      <c r="O114782" s="209"/>
    </row>
    <row r="114783" spans="1:15" s="210" customFormat="1" x14ac:dyDescent="0.3">
      <c r="A114783" s="12"/>
      <c r="B114783" s="15"/>
      <c r="C114783" s="15"/>
      <c r="D114783" s="12"/>
      <c r="E114783" s="12"/>
      <c r="F114783" s="13"/>
      <c r="G114783" s="12"/>
      <c r="H114783" s="12"/>
      <c r="I114783" s="12"/>
      <c r="J114783" s="12"/>
      <c r="K114783" s="12"/>
      <c r="L114783" s="208"/>
      <c r="M114783" s="209"/>
      <c r="N114783" s="209"/>
      <c r="O114783" s="209"/>
    </row>
    <row r="114784" spans="1:15" s="210" customFormat="1" x14ac:dyDescent="0.3">
      <c r="A114784" s="12"/>
      <c r="B114784" s="15"/>
      <c r="C114784" s="15"/>
      <c r="D114784" s="12"/>
      <c r="E114784" s="12"/>
      <c r="F114784" s="13"/>
      <c r="G114784" s="12"/>
      <c r="H114784" s="12"/>
      <c r="I114784" s="12"/>
      <c r="J114784" s="12"/>
      <c r="K114784" s="12"/>
      <c r="L114784" s="208"/>
      <c r="M114784" s="209"/>
      <c r="N114784" s="209"/>
      <c r="O114784" s="209"/>
    </row>
    <row r="114785" spans="1:15" s="210" customFormat="1" x14ac:dyDescent="0.3">
      <c r="A114785" s="12"/>
      <c r="B114785" s="15"/>
      <c r="C114785" s="15"/>
      <c r="D114785" s="12"/>
      <c r="E114785" s="12"/>
      <c r="F114785" s="13"/>
      <c r="G114785" s="12"/>
      <c r="H114785" s="12"/>
      <c r="I114785" s="12"/>
      <c r="J114785" s="12"/>
      <c r="K114785" s="12"/>
      <c r="L114785" s="208"/>
      <c r="M114785" s="209"/>
      <c r="N114785" s="209"/>
      <c r="O114785" s="209"/>
    </row>
    <row r="114786" spans="1:15" s="210" customFormat="1" x14ac:dyDescent="0.3">
      <c r="A114786" s="12"/>
      <c r="B114786" s="15"/>
      <c r="C114786" s="15"/>
      <c r="D114786" s="12"/>
      <c r="E114786" s="12"/>
      <c r="F114786" s="13"/>
      <c r="G114786" s="12"/>
      <c r="H114786" s="12"/>
      <c r="I114786" s="12"/>
      <c r="J114786" s="12"/>
      <c r="K114786" s="12"/>
      <c r="L114786" s="208"/>
      <c r="M114786" s="209"/>
      <c r="N114786" s="209"/>
      <c r="O114786" s="209"/>
    </row>
    <row r="114787" spans="1:15" s="210" customFormat="1" x14ac:dyDescent="0.3">
      <c r="A114787" s="12"/>
      <c r="B114787" s="15"/>
      <c r="C114787" s="15"/>
      <c r="D114787" s="12"/>
      <c r="E114787" s="12"/>
      <c r="F114787" s="13"/>
      <c r="G114787" s="12"/>
      <c r="H114787" s="12"/>
      <c r="I114787" s="12"/>
      <c r="J114787" s="12"/>
      <c r="K114787" s="12"/>
      <c r="L114787" s="208"/>
      <c r="M114787" s="209"/>
      <c r="N114787" s="209"/>
      <c r="O114787" s="209"/>
    </row>
    <row r="114788" spans="1:15" s="210" customFormat="1" x14ac:dyDescent="0.3">
      <c r="A114788" s="12"/>
      <c r="B114788" s="15"/>
      <c r="C114788" s="15"/>
      <c r="D114788" s="12"/>
      <c r="E114788" s="12"/>
      <c r="F114788" s="13"/>
      <c r="G114788" s="12"/>
      <c r="H114788" s="12"/>
      <c r="I114788" s="12"/>
      <c r="J114788" s="12"/>
      <c r="K114788" s="12"/>
      <c r="L114788" s="208"/>
      <c r="M114788" s="209"/>
      <c r="N114788" s="209"/>
      <c r="O114788" s="209"/>
    </row>
    <row r="114789" spans="1:15" s="210" customFormat="1" x14ac:dyDescent="0.3">
      <c r="A114789" s="12"/>
      <c r="B114789" s="15"/>
      <c r="C114789" s="15"/>
      <c r="D114789" s="12"/>
      <c r="E114789" s="12"/>
      <c r="F114789" s="13"/>
      <c r="G114789" s="12"/>
      <c r="H114789" s="12"/>
      <c r="I114789" s="12"/>
      <c r="J114789" s="12"/>
      <c r="K114789" s="12"/>
      <c r="L114789" s="208"/>
      <c r="M114789" s="209"/>
      <c r="N114789" s="209"/>
      <c r="O114789" s="209"/>
    </row>
    <row r="114790" spans="1:15" s="210" customFormat="1" x14ac:dyDescent="0.3">
      <c r="A114790" s="12"/>
      <c r="B114790" s="15"/>
      <c r="C114790" s="15"/>
      <c r="D114790" s="12"/>
      <c r="E114790" s="12"/>
      <c r="F114790" s="13"/>
      <c r="G114790" s="12"/>
      <c r="H114790" s="12"/>
      <c r="I114790" s="12"/>
      <c r="J114790" s="12"/>
      <c r="K114790" s="12"/>
      <c r="L114790" s="208"/>
      <c r="M114790" s="209"/>
      <c r="N114790" s="209"/>
      <c r="O114790" s="209"/>
    </row>
    <row r="114791" spans="1:15" s="210" customFormat="1" x14ac:dyDescent="0.3">
      <c r="A114791" s="12"/>
      <c r="B114791" s="15"/>
      <c r="C114791" s="15"/>
      <c r="D114791" s="12"/>
      <c r="E114791" s="12"/>
      <c r="F114791" s="13"/>
      <c r="G114791" s="12"/>
      <c r="H114791" s="12"/>
      <c r="I114791" s="12"/>
      <c r="J114791" s="12"/>
      <c r="K114791" s="12"/>
      <c r="L114791" s="208"/>
      <c r="M114791" s="209"/>
      <c r="N114791" s="209"/>
      <c r="O114791" s="209"/>
    </row>
    <row r="114792" spans="1:15" s="210" customFormat="1" x14ac:dyDescent="0.3">
      <c r="A114792" s="12"/>
      <c r="B114792" s="15"/>
      <c r="C114792" s="15"/>
      <c r="D114792" s="12"/>
      <c r="E114792" s="12"/>
      <c r="F114792" s="13"/>
      <c r="G114792" s="12"/>
      <c r="H114792" s="12"/>
      <c r="I114792" s="12"/>
      <c r="J114792" s="12"/>
      <c r="K114792" s="12"/>
      <c r="L114792" s="208"/>
      <c r="M114792" s="209"/>
      <c r="N114792" s="209"/>
      <c r="O114792" s="209"/>
    </row>
    <row r="114793" spans="1:15" s="210" customFormat="1" x14ac:dyDescent="0.3">
      <c r="A114793" s="12"/>
      <c r="B114793" s="15"/>
      <c r="C114793" s="15"/>
      <c r="D114793" s="12"/>
      <c r="E114793" s="12"/>
      <c r="F114793" s="13"/>
      <c r="G114793" s="12"/>
      <c r="H114793" s="12"/>
      <c r="I114793" s="12"/>
      <c r="J114793" s="12"/>
      <c r="K114793" s="12"/>
      <c r="L114793" s="208"/>
      <c r="M114793" s="209"/>
      <c r="N114793" s="209"/>
      <c r="O114793" s="209"/>
    </row>
    <row r="114794" spans="1:15" s="210" customFormat="1" x14ac:dyDescent="0.3">
      <c r="A114794" s="12"/>
      <c r="B114794" s="15"/>
      <c r="C114794" s="15"/>
      <c r="D114794" s="12"/>
      <c r="E114794" s="12"/>
      <c r="F114794" s="13"/>
      <c r="G114794" s="12"/>
      <c r="H114794" s="12"/>
      <c r="I114794" s="12"/>
      <c r="J114794" s="12"/>
      <c r="K114794" s="12"/>
      <c r="L114794" s="208"/>
      <c r="M114794" s="209"/>
      <c r="N114794" s="209"/>
      <c r="O114794" s="209"/>
    </row>
    <row r="114795" spans="1:15" s="210" customFormat="1" x14ac:dyDescent="0.3">
      <c r="A114795" s="12"/>
      <c r="B114795" s="15"/>
      <c r="C114795" s="15"/>
      <c r="D114795" s="12"/>
      <c r="E114795" s="12"/>
      <c r="F114795" s="13"/>
      <c r="G114795" s="12"/>
      <c r="H114795" s="12"/>
      <c r="I114795" s="12"/>
      <c r="J114795" s="12"/>
      <c r="K114795" s="12"/>
      <c r="L114795" s="208"/>
      <c r="M114795" s="209"/>
      <c r="N114795" s="209"/>
      <c r="O114795" s="209"/>
    </row>
    <row r="114796" spans="1:15" s="210" customFormat="1" x14ac:dyDescent="0.3">
      <c r="A114796" s="12"/>
      <c r="B114796" s="15"/>
      <c r="C114796" s="15"/>
      <c r="D114796" s="12"/>
      <c r="E114796" s="12"/>
      <c r="F114796" s="13"/>
      <c r="G114796" s="12"/>
      <c r="H114796" s="12"/>
      <c r="I114796" s="12"/>
      <c r="J114796" s="12"/>
      <c r="K114796" s="12"/>
      <c r="L114796" s="208"/>
      <c r="M114796" s="209"/>
      <c r="N114796" s="209"/>
      <c r="O114796" s="209"/>
    </row>
    <row r="114797" spans="1:15" s="210" customFormat="1" x14ac:dyDescent="0.3">
      <c r="A114797" s="12"/>
      <c r="B114797" s="15"/>
      <c r="C114797" s="15"/>
      <c r="D114797" s="12"/>
      <c r="E114797" s="12"/>
      <c r="F114797" s="13"/>
      <c r="G114797" s="12"/>
      <c r="H114797" s="12"/>
      <c r="I114797" s="12"/>
      <c r="J114797" s="12"/>
      <c r="K114797" s="12"/>
      <c r="L114797" s="208"/>
      <c r="M114797" s="209"/>
      <c r="N114797" s="209"/>
      <c r="O114797" s="209"/>
    </row>
    <row r="114798" spans="1:15" s="210" customFormat="1" x14ac:dyDescent="0.3">
      <c r="A114798" s="12"/>
      <c r="B114798" s="15"/>
      <c r="C114798" s="15"/>
      <c r="D114798" s="12"/>
      <c r="E114798" s="12"/>
      <c r="F114798" s="13"/>
      <c r="G114798" s="12"/>
      <c r="H114798" s="12"/>
      <c r="I114798" s="12"/>
      <c r="J114798" s="12"/>
      <c r="K114798" s="12"/>
      <c r="L114798" s="208"/>
      <c r="M114798" s="209"/>
      <c r="N114798" s="209"/>
      <c r="O114798" s="209"/>
    </row>
    <row r="114799" spans="1:15" s="210" customFormat="1" x14ac:dyDescent="0.3">
      <c r="A114799" s="12"/>
      <c r="B114799" s="15"/>
      <c r="C114799" s="15"/>
      <c r="D114799" s="12"/>
      <c r="E114799" s="12"/>
      <c r="F114799" s="13"/>
      <c r="G114799" s="12"/>
      <c r="H114799" s="12"/>
      <c r="I114799" s="12"/>
      <c r="J114799" s="12"/>
      <c r="K114799" s="12"/>
      <c r="L114799" s="208"/>
      <c r="M114799" s="209"/>
      <c r="N114799" s="209"/>
      <c r="O114799" s="209"/>
    </row>
    <row r="114800" spans="1:15" s="210" customFormat="1" x14ac:dyDescent="0.3">
      <c r="A114800" s="12"/>
      <c r="B114800" s="15"/>
      <c r="C114800" s="15"/>
      <c r="D114800" s="12"/>
      <c r="E114800" s="12"/>
      <c r="F114800" s="13"/>
      <c r="G114800" s="12"/>
      <c r="H114800" s="12"/>
      <c r="I114800" s="12"/>
      <c r="J114800" s="12"/>
      <c r="K114800" s="12"/>
      <c r="L114800" s="208"/>
      <c r="M114800" s="209"/>
      <c r="N114800" s="209"/>
      <c r="O114800" s="209"/>
    </row>
    <row r="114801" spans="1:15" s="210" customFormat="1" x14ac:dyDescent="0.3">
      <c r="A114801" s="12"/>
      <c r="B114801" s="15"/>
      <c r="C114801" s="15"/>
      <c r="D114801" s="12"/>
      <c r="E114801" s="12"/>
      <c r="F114801" s="13"/>
      <c r="G114801" s="12"/>
      <c r="H114801" s="12"/>
      <c r="I114801" s="12"/>
      <c r="J114801" s="12"/>
      <c r="K114801" s="12"/>
      <c r="L114801" s="208"/>
      <c r="M114801" s="209"/>
      <c r="N114801" s="209"/>
      <c r="O114801" s="209"/>
    </row>
    <row r="114802" spans="1:15" s="210" customFormat="1" x14ac:dyDescent="0.3">
      <c r="A114802" s="12"/>
      <c r="B114802" s="15"/>
      <c r="C114802" s="15"/>
      <c r="D114802" s="12"/>
      <c r="E114802" s="12"/>
      <c r="F114802" s="13"/>
      <c r="G114802" s="12"/>
      <c r="H114802" s="12"/>
      <c r="I114802" s="12"/>
      <c r="J114802" s="12"/>
      <c r="K114802" s="12"/>
      <c r="L114802" s="208"/>
      <c r="M114802" s="209"/>
      <c r="N114802" s="209"/>
      <c r="O114802" s="209"/>
    </row>
    <row r="114803" spans="1:15" s="210" customFormat="1" x14ac:dyDescent="0.3">
      <c r="A114803" s="12"/>
      <c r="B114803" s="15"/>
      <c r="C114803" s="15"/>
      <c r="D114803" s="12"/>
      <c r="E114803" s="12"/>
      <c r="F114803" s="13"/>
      <c r="G114803" s="12"/>
      <c r="H114803" s="12"/>
      <c r="I114803" s="12"/>
      <c r="J114803" s="12"/>
      <c r="K114803" s="12"/>
      <c r="L114803" s="208"/>
      <c r="M114803" s="209"/>
      <c r="N114803" s="209"/>
      <c r="O114803" s="209"/>
    </row>
    <row r="114804" spans="1:15" s="210" customFormat="1" x14ac:dyDescent="0.3">
      <c r="A114804" s="12"/>
      <c r="B114804" s="15"/>
      <c r="C114804" s="15"/>
      <c r="D114804" s="12"/>
      <c r="E114804" s="12"/>
      <c r="F114804" s="13"/>
      <c r="G114804" s="12"/>
      <c r="H114804" s="12"/>
      <c r="I114804" s="12"/>
      <c r="J114804" s="12"/>
      <c r="K114804" s="12"/>
      <c r="L114804" s="208"/>
      <c r="M114804" s="209"/>
      <c r="N114804" s="209"/>
      <c r="O114804" s="209"/>
    </row>
    <row r="114805" spans="1:15" s="210" customFormat="1" x14ac:dyDescent="0.3">
      <c r="A114805" s="12"/>
      <c r="B114805" s="15"/>
      <c r="C114805" s="15"/>
      <c r="D114805" s="12"/>
      <c r="E114805" s="12"/>
      <c r="F114805" s="13"/>
      <c r="G114805" s="12"/>
      <c r="H114805" s="12"/>
      <c r="I114805" s="12"/>
      <c r="J114805" s="12"/>
      <c r="K114805" s="12"/>
      <c r="L114805" s="208"/>
      <c r="M114805" s="209"/>
      <c r="N114805" s="209"/>
      <c r="O114805" s="209"/>
    </row>
    <row r="114806" spans="1:15" s="210" customFormat="1" x14ac:dyDescent="0.3">
      <c r="A114806" s="12"/>
      <c r="B114806" s="15"/>
      <c r="C114806" s="15"/>
      <c r="D114806" s="12"/>
      <c r="E114806" s="12"/>
      <c r="F114806" s="13"/>
      <c r="G114806" s="12"/>
      <c r="H114806" s="12"/>
      <c r="I114806" s="12"/>
      <c r="J114806" s="12"/>
      <c r="K114806" s="12"/>
      <c r="L114806" s="208"/>
      <c r="M114806" s="209"/>
      <c r="N114806" s="209"/>
      <c r="O114806" s="209"/>
    </row>
    <row r="114807" spans="1:15" s="210" customFormat="1" x14ac:dyDescent="0.3">
      <c r="A114807" s="12"/>
      <c r="B114807" s="15"/>
      <c r="C114807" s="15"/>
      <c r="D114807" s="12"/>
      <c r="E114807" s="12"/>
      <c r="F114807" s="13"/>
      <c r="G114807" s="12"/>
      <c r="H114807" s="12"/>
      <c r="I114807" s="12"/>
      <c r="J114807" s="12"/>
      <c r="K114807" s="12"/>
      <c r="L114807" s="208"/>
      <c r="M114807" s="209"/>
      <c r="N114807" s="209"/>
      <c r="O114807" s="209"/>
    </row>
    <row r="114808" spans="1:15" s="210" customFormat="1" x14ac:dyDescent="0.3">
      <c r="A114808" s="12"/>
      <c r="B114808" s="15"/>
      <c r="C114808" s="15"/>
      <c r="D114808" s="12"/>
      <c r="E114808" s="12"/>
      <c r="F114808" s="13"/>
      <c r="G114808" s="12"/>
      <c r="H114808" s="12"/>
      <c r="I114808" s="12"/>
      <c r="J114808" s="12"/>
      <c r="K114808" s="12"/>
      <c r="L114808" s="208"/>
      <c r="M114808" s="209"/>
      <c r="N114808" s="209"/>
      <c r="O114808" s="209"/>
    </row>
    <row r="114809" spans="1:15" s="210" customFormat="1" x14ac:dyDescent="0.3">
      <c r="A114809" s="12"/>
      <c r="B114809" s="15"/>
      <c r="C114809" s="15"/>
      <c r="D114809" s="12"/>
      <c r="E114809" s="12"/>
      <c r="F114809" s="13"/>
      <c r="G114809" s="12"/>
      <c r="H114809" s="12"/>
      <c r="I114809" s="12"/>
      <c r="J114809" s="12"/>
      <c r="K114809" s="12"/>
      <c r="L114809" s="208"/>
      <c r="M114809" s="209"/>
      <c r="N114809" s="209"/>
      <c r="O114809" s="209"/>
    </row>
    <row r="114810" spans="1:15" s="210" customFormat="1" x14ac:dyDescent="0.3">
      <c r="A114810" s="12"/>
      <c r="B114810" s="15"/>
      <c r="C114810" s="15"/>
      <c r="D114810" s="12"/>
      <c r="E114810" s="12"/>
      <c r="F114810" s="13"/>
      <c r="G114810" s="12"/>
      <c r="H114810" s="12"/>
      <c r="I114810" s="12"/>
      <c r="J114810" s="12"/>
      <c r="K114810" s="12"/>
      <c r="L114810" s="208"/>
      <c r="M114810" s="209"/>
      <c r="N114810" s="209"/>
      <c r="O114810" s="209"/>
    </row>
    <row r="114811" spans="1:15" s="210" customFormat="1" x14ac:dyDescent="0.3">
      <c r="A114811" s="12"/>
      <c r="B114811" s="15"/>
      <c r="C114811" s="15"/>
      <c r="D114811" s="12"/>
      <c r="E114811" s="12"/>
      <c r="F114811" s="13"/>
      <c r="G114811" s="12"/>
      <c r="H114811" s="12"/>
      <c r="I114811" s="12"/>
      <c r="J114811" s="12"/>
      <c r="K114811" s="12"/>
      <c r="L114811" s="208"/>
      <c r="M114811" s="209"/>
      <c r="N114811" s="209"/>
      <c r="O114811" s="209"/>
    </row>
    <row r="114812" spans="1:15" s="210" customFormat="1" x14ac:dyDescent="0.3">
      <c r="A114812" s="12"/>
      <c r="B114812" s="15"/>
      <c r="C114812" s="15"/>
      <c r="D114812" s="12"/>
      <c r="E114812" s="12"/>
      <c r="F114812" s="13"/>
      <c r="G114812" s="12"/>
      <c r="H114812" s="12"/>
      <c r="I114812" s="12"/>
      <c r="J114812" s="12"/>
      <c r="K114812" s="12"/>
      <c r="L114812" s="208"/>
      <c r="M114812" s="209"/>
      <c r="N114812" s="209"/>
      <c r="O114812" s="209"/>
    </row>
    <row r="114813" spans="1:15" s="210" customFormat="1" x14ac:dyDescent="0.3">
      <c r="A114813" s="12"/>
      <c r="B114813" s="15"/>
      <c r="C114813" s="15"/>
      <c r="D114813" s="12"/>
      <c r="E114813" s="12"/>
      <c r="F114813" s="13"/>
      <c r="G114813" s="12"/>
      <c r="H114813" s="12"/>
      <c r="I114813" s="12"/>
      <c r="J114813" s="12"/>
      <c r="K114813" s="12"/>
      <c r="L114813" s="208"/>
      <c r="M114813" s="209"/>
      <c r="N114813" s="209"/>
      <c r="O114813" s="209"/>
    </row>
    <row r="114814" spans="1:15" s="210" customFormat="1" x14ac:dyDescent="0.3">
      <c r="A114814" s="12"/>
      <c r="B114814" s="15"/>
      <c r="C114814" s="15"/>
      <c r="D114814" s="12"/>
      <c r="E114814" s="12"/>
      <c r="F114814" s="13"/>
      <c r="G114814" s="12"/>
      <c r="H114814" s="12"/>
      <c r="I114814" s="12"/>
      <c r="J114814" s="12"/>
      <c r="K114814" s="12"/>
      <c r="L114814" s="208"/>
      <c r="M114814" s="209"/>
      <c r="N114814" s="209"/>
      <c r="O114814" s="209"/>
    </row>
    <row r="114815" spans="1:15" s="210" customFormat="1" x14ac:dyDescent="0.3">
      <c r="A114815" s="12"/>
      <c r="B114815" s="15"/>
      <c r="C114815" s="15"/>
      <c r="D114815" s="12"/>
      <c r="E114815" s="12"/>
      <c r="F114815" s="13"/>
      <c r="G114815" s="12"/>
      <c r="H114815" s="12"/>
      <c r="I114815" s="12"/>
      <c r="J114815" s="12"/>
      <c r="K114815" s="12"/>
      <c r="L114815" s="208"/>
      <c r="M114815" s="209"/>
      <c r="N114815" s="209"/>
      <c r="O114815" s="209"/>
    </row>
    <row r="114816" spans="1:15" s="210" customFormat="1" x14ac:dyDescent="0.3">
      <c r="A114816" s="12"/>
      <c r="B114816" s="15"/>
      <c r="C114816" s="15"/>
      <c r="D114816" s="12"/>
      <c r="E114816" s="12"/>
      <c r="F114816" s="13"/>
      <c r="G114816" s="12"/>
      <c r="H114816" s="12"/>
      <c r="I114816" s="12"/>
      <c r="J114816" s="12"/>
      <c r="K114816" s="12"/>
      <c r="L114816" s="208"/>
      <c r="M114816" s="209"/>
      <c r="N114816" s="209"/>
      <c r="O114816" s="209"/>
    </row>
    <row r="114817" spans="1:15" s="210" customFormat="1" x14ac:dyDescent="0.3">
      <c r="A114817" s="12"/>
      <c r="B114817" s="15"/>
      <c r="C114817" s="15"/>
      <c r="D114817" s="12"/>
      <c r="E114817" s="12"/>
      <c r="F114817" s="13"/>
      <c r="G114817" s="12"/>
      <c r="H114817" s="12"/>
      <c r="I114817" s="12"/>
      <c r="J114817" s="12"/>
      <c r="K114817" s="12"/>
      <c r="L114817" s="208"/>
      <c r="M114817" s="209"/>
      <c r="N114817" s="209"/>
      <c r="O114817" s="209"/>
    </row>
    <row r="114818" spans="1:15" s="210" customFormat="1" x14ac:dyDescent="0.3">
      <c r="A114818" s="12"/>
      <c r="B114818" s="15"/>
      <c r="C114818" s="15"/>
      <c r="D114818" s="12"/>
      <c r="E114818" s="12"/>
      <c r="F114818" s="13"/>
      <c r="G114818" s="12"/>
      <c r="H114818" s="12"/>
      <c r="I114818" s="12"/>
      <c r="J114818" s="12"/>
      <c r="K114818" s="12"/>
      <c r="L114818" s="208"/>
      <c r="M114818" s="209"/>
      <c r="N114818" s="209"/>
      <c r="O114818" s="209"/>
    </row>
    <row r="114819" spans="1:15" s="210" customFormat="1" x14ac:dyDescent="0.3">
      <c r="A114819" s="12"/>
      <c r="B114819" s="15"/>
      <c r="C114819" s="15"/>
      <c r="D114819" s="12"/>
      <c r="E114819" s="12"/>
      <c r="F114819" s="13"/>
      <c r="G114819" s="12"/>
      <c r="H114819" s="12"/>
      <c r="I114819" s="12"/>
      <c r="J114819" s="12"/>
      <c r="K114819" s="12"/>
      <c r="L114819" s="208"/>
      <c r="M114819" s="209"/>
      <c r="N114819" s="209"/>
      <c r="O114819" s="209"/>
    </row>
    <row r="114820" spans="1:15" s="210" customFormat="1" x14ac:dyDescent="0.3">
      <c r="A114820" s="12"/>
      <c r="B114820" s="15"/>
      <c r="C114820" s="15"/>
      <c r="D114820" s="12"/>
      <c r="E114820" s="12"/>
      <c r="F114820" s="13"/>
      <c r="G114820" s="12"/>
      <c r="H114820" s="12"/>
      <c r="I114820" s="12"/>
      <c r="J114820" s="12"/>
      <c r="K114820" s="12"/>
      <c r="L114820" s="208"/>
      <c r="M114820" s="209"/>
      <c r="N114820" s="209"/>
      <c r="O114820" s="209"/>
    </row>
    <row r="114821" spans="1:15" s="210" customFormat="1" x14ac:dyDescent="0.3">
      <c r="A114821" s="12"/>
      <c r="B114821" s="15"/>
      <c r="C114821" s="15"/>
      <c r="D114821" s="12"/>
      <c r="E114821" s="12"/>
      <c r="F114821" s="13"/>
      <c r="G114821" s="12"/>
      <c r="H114821" s="12"/>
      <c r="I114821" s="12"/>
      <c r="J114821" s="12"/>
      <c r="K114821" s="12"/>
      <c r="L114821" s="208"/>
      <c r="M114821" s="209"/>
      <c r="N114821" s="209"/>
      <c r="O114821" s="209"/>
    </row>
    <row r="114822" spans="1:15" s="210" customFormat="1" x14ac:dyDescent="0.3">
      <c r="A114822" s="12"/>
      <c r="B114822" s="15"/>
      <c r="C114822" s="15"/>
      <c r="D114822" s="12"/>
      <c r="E114822" s="12"/>
      <c r="F114822" s="13"/>
      <c r="G114822" s="12"/>
      <c r="H114822" s="12"/>
      <c r="I114822" s="12"/>
      <c r="J114822" s="12"/>
      <c r="K114822" s="12"/>
      <c r="L114822" s="208"/>
      <c r="M114822" s="209"/>
      <c r="N114822" s="209"/>
      <c r="O114822" s="209"/>
    </row>
    <row r="114823" spans="1:15" s="210" customFormat="1" x14ac:dyDescent="0.3">
      <c r="A114823" s="12"/>
      <c r="B114823" s="15"/>
      <c r="C114823" s="15"/>
      <c r="D114823" s="12"/>
      <c r="E114823" s="12"/>
      <c r="F114823" s="13"/>
      <c r="G114823" s="12"/>
      <c r="H114823" s="12"/>
      <c r="I114823" s="12"/>
      <c r="J114823" s="12"/>
      <c r="K114823" s="12"/>
      <c r="L114823" s="208"/>
      <c r="M114823" s="209"/>
      <c r="N114823" s="209"/>
      <c r="O114823" s="209"/>
    </row>
    <row r="114824" spans="1:15" s="210" customFormat="1" x14ac:dyDescent="0.3">
      <c r="A114824" s="12"/>
      <c r="B114824" s="15"/>
      <c r="C114824" s="15"/>
      <c r="D114824" s="12"/>
      <c r="E114824" s="12"/>
      <c r="F114824" s="13"/>
      <c r="G114824" s="12"/>
      <c r="H114824" s="12"/>
      <c r="I114824" s="12"/>
      <c r="J114824" s="12"/>
      <c r="K114824" s="12"/>
      <c r="L114824" s="208"/>
      <c r="M114824" s="209"/>
      <c r="N114824" s="209"/>
      <c r="O114824" s="209"/>
    </row>
    <row r="114825" spans="1:15" s="210" customFormat="1" x14ac:dyDescent="0.3">
      <c r="A114825" s="12"/>
      <c r="B114825" s="15"/>
      <c r="C114825" s="15"/>
      <c r="D114825" s="12"/>
      <c r="E114825" s="12"/>
      <c r="F114825" s="13"/>
      <c r="G114825" s="12"/>
      <c r="H114825" s="12"/>
      <c r="I114825" s="12"/>
      <c r="J114825" s="12"/>
      <c r="K114825" s="12"/>
      <c r="L114825" s="208"/>
      <c r="M114825" s="209"/>
      <c r="N114825" s="209"/>
      <c r="O114825" s="209"/>
    </row>
    <row r="114826" spans="1:15" s="210" customFormat="1" x14ac:dyDescent="0.3">
      <c r="A114826" s="12"/>
      <c r="B114826" s="15"/>
      <c r="C114826" s="15"/>
      <c r="D114826" s="12"/>
      <c r="E114826" s="12"/>
      <c r="F114826" s="13"/>
      <c r="G114826" s="12"/>
      <c r="H114826" s="12"/>
      <c r="I114826" s="12"/>
      <c r="J114826" s="12"/>
      <c r="K114826" s="12"/>
      <c r="L114826" s="208"/>
      <c r="M114826" s="209"/>
      <c r="N114826" s="209"/>
      <c r="O114826" s="209"/>
    </row>
    <row r="114827" spans="1:15" s="210" customFormat="1" x14ac:dyDescent="0.3">
      <c r="A114827" s="12"/>
      <c r="B114827" s="15"/>
      <c r="C114827" s="15"/>
      <c r="D114827" s="12"/>
      <c r="E114827" s="12"/>
      <c r="F114827" s="13"/>
      <c r="G114827" s="12"/>
      <c r="H114827" s="12"/>
      <c r="I114827" s="12"/>
      <c r="J114827" s="12"/>
      <c r="K114827" s="12"/>
      <c r="L114827" s="208"/>
      <c r="M114827" s="209"/>
      <c r="N114827" s="209"/>
      <c r="O114827" s="209"/>
    </row>
    <row r="114828" spans="1:15" s="210" customFormat="1" x14ac:dyDescent="0.3">
      <c r="A114828" s="12"/>
      <c r="B114828" s="15"/>
      <c r="C114828" s="15"/>
      <c r="D114828" s="12"/>
      <c r="E114828" s="12"/>
      <c r="F114828" s="13"/>
      <c r="G114828" s="12"/>
      <c r="H114828" s="12"/>
      <c r="I114828" s="12"/>
      <c r="J114828" s="12"/>
      <c r="K114828" s="12"/>
      <c r="L114828" s="208"/>
      <c r="M114828" s="209"/>
      <c r="N114828" s="209"/>
      <c r="O114828" s="209"/>
    </row>
    <row r="114829" spans="1:15" s="210" customFormat="1" x14ac:dyDescent="0.3">
      <c r="A114829" s="12"/>
      <c r="B114829" s="15"/>
      <c r="C114829" s="15"/>
      <c r="D114829" s="12"/>
      <c r="E114829" s="12"/>
      <c r="F114829" s="13"/>
      <c r="G114829" s="12"/>
      <c r="H114829" s="12"/>
      <c r="I114829" s="12"/>
      <c r="J114829" s="12"/>
      <c r="K114829" s="12"/>
      <c r="L114829" s="208"/>
      <c r="M114829" s="209"/>
      <c r="N114829" s="209"/>
      <c r="O114829" s="209"/>
    </row>
    <row r="114830" spans="1:15" s="210" customFormat="1" x14ac:dyDescent="0.3">
      <c r="A114830" s="12"/>
      <c r="B114830" s="15"/>
      <c r="C114830" s="15"/>
      <c r="D114830" s="12"/>
      <c r="E114830" s="12"/>
      <c r="F114830" s="13"/>
      <c r="G114830" s="12"/>
      <c r="H114830" s="12"/>
      <c r="I114830" s="12"/>
      <c r="J114830" s="12"/>
      <c r="K114830" s="12"/>
      <c r="L114830" s="208"/>
      <c r="M114830" s="209"/>
      <c r="N114830" s="209"/>
      <c r="O114830" s="209"/>
    </row>
    <row r="114831" spans="1:15" s="210" customFormat="1" x14ac:dyDescent="0.3">
      <c r="A114831" s="12"/>
      <c r="B114831" s="15"/>
      <c r="C114831" s="15"/>
      <c r="D114831" s="12"/>
      <c r="E114831" s="12"/>
      <c r="F114831" s="13"/>
      <c r="G114831" s="12"/>
      <c r="H114831" s="12"/>
      <c r="I114831" s="12"/>
      <c r="J114831" s="12"/>
      <c r="K114831" s="12"/>
      <c r="L114831" s="208"/>
      <c r="M114831" s="209"/>
      <c r="N114831" s="209"/>
      <c r="O114831" s="209"/>
    </row>
    <row r="114832" spans="1:15" s="210" customFormat="1" x14ac:dyDescent="0.3">
      <c r="A114832" s="12"/>
      <c r="B114832" s="15"/>
      <c r="C114832" s="15"/>
      <c r="D114832" s="12"/>
      <c r="E114832" s="12"/>
      <c r="F114832" s="13"/>
      <c r="G114832" s="12"/>
      <c r="H114832" s="12"/>
      <c r="I114832" s="12"/>
      <c r="J114832" s="12"/>
      <c r="K114832" s="12"/>
      <c r="L114832" s="208"/>
      <c r="M114832" s="209"/>
      <c r="N114832" s="209"/>
      <c r="O114832" s="209"/>
    </row>
    <row r="114833" spans="1:15" s="210" customFormat="1" x14ac:dyDescent="0.3">
      <c r="A114833" s="12"/>
      <c r="B114833" s="15"/>
      <c r="C114833" s="15"/>
      <c r="D114833" s="12"/>
      <c r="E114833" s="12"/>
      <c r="F114833" s="13"/>
      <c r="G114833" s="12"/>
      <c r="H114833" s="12"/>
      <c r="I114833" s="12"/>
      <c r="J114833" s="12"/>
      <c r="K114833" s="12"/>
      <c r="L114833" s="208"/>
      <c r="M114833" s="209"/>
      <c r="N114833" s="209"/>
      <c r="O114833" s="209"/>
    </row>
    <row r="114834" spans="1:15" s="210" customFormat="1" x14ac:dyDescent="0.3">
      <c r="A114834" s="12"/>
      <c r="B114834" s="15"/>
      <c r="C114834" s="15"/>
      <c r="D114834" s="12"/>
      <c r="E114834" s="12"/>
      <c r="F114834" s="13"/>
      <c r="G114834" s="12"/>
      <c r="H114834" s="12"/>
      <c r="I114834" s="12"/>
      <c r="J114834" s="12"/>
      <c r="K114834" s="12"/>
      <c r="L114834" s="208"/>
      <c r="M114834" s="209"/>
      <c r="N114834" s="209"/>
      <c r="O114834" s="209"/>
    </row>
    <row r="114835" spans="1:15" s="210" customFormat="1" x14ac:dyDescent="0.3">
      <c r="A114835" s="12"/>
      <c r="B114835" s="15"/>
      <c r="C114835" s="15"/>
      <c r="D114835" s="12"/>
      <c r="E114835" s="12"/>
      <c r="F114835" s="13"/>
      <c r="G114835" s="12"/>
      <c r="H114835" s="12"/>
      <c r="I114835" s="12"/>
      <c r="J114835" s="12"/>
      <c r="K114835" s="12"/>
      <c r="L114835" s="208"/>
      <c r="M114835" s="209"/>
      <c r="N114835" s="209"/>
      <c r="O114835" s="209"/>
    </row>
    <row r="114836" spans="1:15" s="210" customFormat="1" x14ac:dyDescent="0.3">
      <c r="A114836" s="12"/>
      <c r="B114836" s="15"/>
      <c r="C114836" s="15"/>
      <c r="D114836" s="12"/>
      <c r="E114836" s="12"/>
      <c r="F114836" s="13"/>
      <c r="G114836" s="12"/>
      <c r="H114836" s="12"/>
      <c r="I114836" s="12"/>
      <c r="J114836" s="12"/>
      <c r="K114836" s="12"/>
      <c r="L114836" s="208"/>
      <c r="M114836" s="209"/>
      <c r="N114836" s="209"/>
      <c r="O114836" s="209"/>
    </row>
    <row r="114837" spans="1:15" s="210" customFormat="1" x14ac:dyDescent="0.3">
      <c r="A114837" s="12"/>
      <c r="B114837" s="15"/>
      <c r="C114837" s="15"/>
      <c r="D114837" s="12"/>
      <c r="E114837" s="12"/>
      <c r="F114837" s="13"/>
      <c r="G114837" s="12"/>
      <c r="H114837" s="12"/>
      <c r="I114837" s="12"/>
      <c r="J114837" s="12"/>
      <c r="K114837" s="12"/>
      <c r="L114837" s="208"/>
      <c r="M114837" s="209"/>
      <c r="N114837" s="209"/>
      <c r="O114837" s="209"/>
    </row>
    <row r="114838" spans="1:15" s="210" customFormat="1" x14ac:dyDescent="0.3">
      <c r="A114838" s="12"/>
      <c r="B114838" s="15"/>
      <c r="C114838" s="15"/>
      <c r="D114838" s="12"/>
      <c r="E114838" s="12"/>
      <c r="F114838" s="13"/>
      <c r="G114838" s="12"/>
      <c r="H114838" s="12"/>
      <c r="I114838" s="12"/>
      <c r="J114838" s="12"/>
      <c r="K114838" s="12"/>
      <c r="L114838" s="208"/>
      <c r="M114838" s="209"/>
      <c r="N114838" s="209"/>
      <c r="O114838" s="209"/>
    </row>
    <row r="114839" spans="1:15" s="210" customFormat="1" x14ac:dyDescent="0.3">
      <c r="A114839" s="12"/>
      <c r="B114839" s="15"/>
      <c r="C114839" s="15"/>
      <c r="D114839" s="12"/>
      <c r="E114839" s="12"/>
      <c r="F114839" s="13"/>
      <c r="G114839" s="12"/>
      <c r="H114839" s="12"/>
      <c r="I114839" s="12"/>
      <c r="J114839" s="12"/>
      <c r="K114839" s="12"/>
      <c r="L114839" s="208"/>
      <c r="M114839" s="209"/>
      <c r="N114839" s="209"/>
      <c r="O114839" s="209"/>
    </row>
    <row r="114840" spans="1:15" s="210" customFormat="1" x14ac:dyDescent="0.3">
      <c r="A114840" s="12"/>
      <c r="B114840" s="15"/>
      <c r="C114840" s="15"/>
      <c r="D114840" s="12"/>
      <c r="E114840" s="12"/>
      <c r="F114840" s="13"/>
      <c r="G114840" s="12"/>
      <c r="H114840" s="12"/>
      <c r="I114840" s="12"/>
      <c r="J114840" s="12"/>
      <c r="K114840" s="12"/>
      <c r="L114840" s="208"/>
      <c r="M114840" s="209"/>
      <c r="N114840" s="209"/>
      <c r="O114840" s="209"/>
    </row>
    <row r="114841" spans="1:15" s="210" customFormat="1" x14ac:dyDescent="0.3">
      <c r="A114841" s="12"/>
      <c r="B114841" s="15"/>
      <c r="C114841" s="15"/>
      <c r="D114841" s="12"/>
      <c r="E114841" s="12"/>
      <c r="F114841" s="13"/>
      <c r="G114841" s="12"/>
      <c r="H114841" s="12"/>
      <c r="I114841" s="12"/>
      <c r="J114841" s="12"/>
      <c r="K114841" s="12"/>
      <c r="L114841" s="208"/>
      <c r="M114841" s="209"/>
      <c r="N114841" s="209"/>
      <c r="O114841" s="209"/>
    </row>
    <row r="114842" spans="1:15" s="210" customFormat="1" x14ac:dyDescent="0.3">
      <c r="A114842" s="12"/>
      <c r="B114842" s="15"/>
      <c r="C114842" s="15"/>
      <c r="D114842" s="12"/>
      <c r="E114842" s="12"/>
      <c r="F114842" s="13"/>
      <c r="G114842" s="12"/>
      <c r="H114842" s="12"/>
      <c r="I114842" s="12"/>
      <c r="J114842" s="12"/>
      <c r="K114842" s="12"/>
      <c r="L114842" s="208"/>
      <c r="M114842" s="209"/>
      <c r="N114842" s="209"/>
      <c r="O114842" s="209"/>
    </row>
    <row r="114843" spans="1:15" s="210" customFormat="1" x14ac:dyDescent="0.3">
      <c r="A114843" s="12"/>
      <c r="B114843" s="15"/>
      <c r="C114843" s="15"/>
      <c r="D114843" s="12"/>
      <c r="E114843" s="12"/>
      <c r="F114843" s="13"/>
      <c r="G114843" s="12"/>
      <c r="H114843" s="12"/>
      <c r="I114843" s="12"/>
      <c r="J114843" s="12"/>
      <c r="K114843" s="12"/>
      <c r="L114843" s="208"/>
      <c r="M114843" s="209"/>
      <c r="N114843" s="209"/>
      <c r="O114843" s="209"/>
    </row>
    <row r="114844" spans="1:15" s="210" customFormat="1" x14ac:dyDescent="0.3">
      <c r="A114844" s="12"/>
      <c r="B114844" s="15"/>
      <c r="C114844" s="15"/>
      <c r="D114844" s="12"/>
      <c r="E114844" s="12"/>
      <c r="F114844" s="13"/>
      <c r="G114844" s="12"/>
      <c r="H114844" s="12"/>
      <c r="I114844" s="12"/>
      <c r="J114844" s="12"/>
      <c r="K114844" s="12"/>
      <c r="L114844" s="208"/>
      <c r="M114844" s="209"/>
      <c r="N114844" s="209"/>
      <c r="O114844" s="209"/>
    </row>
    <row r="114845" spans="1:15" s="210" customFormat="1" x14ac:dyDescent="0.3">
      <c r="A114845" s="12"/>
      <c r="B114845" s="15"/>
      <c r="C114845" s="15"/>
      <c r="D114845" s="12"/>
      <c r="E114845" s="12"/>
      <c r="F114845" s="13"/>
      <c r="G114845" s="12"/>
      <c r="H114845" s="12"/>
      <c r="I114845" s="12"/>
      <c r="J114845" s="12"/>
      <c r="K114845" s="12"/>
      <c r="L114845" s="208"/>
      <c r="M114845" s="209"/>
      <c r="N114845" s="209"/>
      <c r="O114845" s="209"/>
    </row>
    <row r="114846" spans="1:15" s="210" customFormat="1" x14ac:dyDescent="0.3">
      <c r="A114846" s="12"/>
      <c r="B114846" s="15"/>
      <c r="C114846" s="15"/>
      <c r="D114846" s="12"/>
      <c r="E114846" s="12"/>
      <c r="F114846" s="13"/>
      <c r="G114846" s="12"/>
      <c r="H114846" s="12"/>
      <c r="I114846" s="12"/>
      <c r="J114846" s="12"/>
      <c r="K114846" s="12"/>
      <c r="L114846" s="208"/>
      <c r="M114846" s="209"/>
      <c r="N114846" s="209"/>
      <c r="O114846" s="209"/>
    </row>
    <row r="114847" spans="1:15" s="210" customFormat="1" x14ac:dyDescent="0.3">
      <c r="A114847" s="12"/>
      <c r="B114847" s="15"/>
      <c r="C114847" s="15"/>
      <c r="D114847" s="12"/>
      <c r="E114847" s="12"/>
      <c r="F114847" s="13"/>
      <c r="G114847" s="12"/>
      <c r="H114847" s="12"/>
      <c r="I114847" s="12"/>
      <c r="J114847" s="12"/>
      <c r="K114847" s="12"/>
      <c r="L114847" s="208"/>
      <c r="M114847" s="209"/>
      <c r="N114847" s="209"/>
      <c r="O114847" s="209"/>
    </row>
    <row r="114848" spans="1:15" s="210" customFormat="1" x14ac:dyDescent="0.3">
      <c r="A114848" s="12"/>
      <c r="B114848" s="15"/>
      <c r="C114848" s="15"/>
      <c r="D114848" s="12"/>
      <c r="E114848" s="12"/>
      <c r="F114848" s="13"/>
      <c r="G114848" s="12"/>
      <c r="H114848" s="12"/>
      <c r="I114848" s="12"/>
      <c r="J114848" s="12"/>
      <c r="K114848" s="12"/>
      <c r="L114848" s="208"/>
      <c r="M114848" s="209"/>
      <c r="N114848" s="209"/>
      <c r="O114848" s="209"/>
    </row>
    <row r="114849" spans="1:15" s="210" customFormat="1" x14ac:dyDescent="0.3">
      <c r="A114849" s="12"/>
      <c r="B114849" s="15"/>
      <c r="C114849" s="15"/>
      <c r="D114849" s="12"/>
      <c r="E114849" s="12"/>
      <c r="F114849" s="13"/>
      <c r="G114849" s="12"/>
      <c r="H114849" s="12"/>
      <c r="I114849" s="12"/>
      <c r="J114849" s="12"/>
      <c r="K114849" s="12"/>
      <c r="L114849" s="208"/>
      <c r="M114849" s="209"/>
      <c r="N114849" s="209"/>
      <c r="O114849" s="209"/>
    </row>
    <row r="114850" spans="1:15" s="210" customFormat="1" x14ac:dyDescent="0.3">
      <c r="A114850" s="12"/>
      <c r="B114850" s="15"/>
      <c r="C114850" s="15"/>
      <c r="D114850" s="12"/>
      <c r="E114850" s="12"/>
      <c r="F114850" s="13"/>
      <c r="G114850" s="12"/>
      <c r="H114850" s="12"/>
      <c r="I114850" s="12"/>
      <c r="J114850" s="12"/>
      <c r="K114850" s="12"/>
      <c r="L114850" s="208"/>
      <c r="M114850" s="209"/>
      <c r="N114850" s="209"/>
      <c r="O114850" s="209"/>
    </row>
    <row r="114851" spans="1:15" s="210" customFormat="1" x14ac:dyDescent="0.3">
      <c r="A114851" s="12"/>
      <c r="B114851" s="15"/>
      <c r="C114851" s="15"/>
      <c r="D114851" s="12"/>
      <c r="E114851" s="12"/>
      <c r="F114851" s="13"/>
      <c r="G114851" s="12"/>
      <c r="H114851" s="12"/>
      <c r="I114851" s="12"/>
      <c r="J114851" s="12"/>
      <c r="K114851" s="12"/>
      <c r="L114851" s="208"/>
      <c r="M114851" s="209"/>
      <c r="N114851" s="209"/>
      <c r="O114851" s="209"/>
    </row>
    <row r="114852" spans="1:15" s="210" customFormat="1" x14ac:dyDescent="0.3">
      <c r="A114852" s="12"/>
      <c r="B114852" s="15"/>
      <c r="C114852" s="15"/>
      <c r="D114852" s="12"/>
      <c r="E114852" s="12"/>
      <c r="F114852" s="13"/>
      <c r="G114852" s="12"/>
      <c r="H114852" s="12"/>
      <c r="I114852" s="12"/>
      <c r="J114852" s="12"/>
      <c r="K114852" s="12"/>
      <c r="L114852" s="208"/>
      <c r="M114852" s="209"/>
      <c r="N114852" s="209"/>
      <c r="O114852" s="209"/>
    </row>
    <row r="114853" spans="1:15" s="210" customFormat="1" x14ac:dyDescent="0.3">
      <c r="A114853" s="12"/>
      <c r="B114853" s="15"/>
      <c r="C114853" s="15"/>
      <c r="D114853" s="12"/>
      <c r="E114853" s="12"/>
      <c r="F114853" s="13"/>
      <c r="G114853" s="12"/>
      <c r="H114853" s="12"/>
      <c r="I114853" s="12"/>
      <c r="J114853" s="12"/>
      <c r="K114853" s="12"/>
      <c r="L114853" s="208"/>
      <c r="M114853" s="209"/>
      <c r="N114853" s="209"/>
      <c r="O114853" s="209"/>
    </row>
    <row r="114854" spans="1:15" s="210" customFormat="1" x14ac:dyDescent="0.3">
      <c r="A114854" s="12"/>
      <c r="B114854" s="15"/>
      <c r="C114854" s="15"/>
      <c r="D114854" s="12"/>
      <c r="E114854" s="12"/>
      <c r="F114854" s="13"/>
      <c r="G114854" s="12"/>
      <c r="H114854" s="12"/>
      <c r="I114854" s="12"/>
      <c r="J114854" s="12"/>
      <c r="K114854" s="12"/>
      <c r="L114854" s="208"/>
      <c r="M114854" s="209"/>
      <c r="N114854" s="209"/>
      <c r="O114854" s="209"/>
    </row>
    <row r="114855" spans="1:15" s="210" customFormat="1" x14ac:dyDescent="0.3">
      <c r="A114855" s="12"/>
      <c r="B114855" s="15"/>
      <c r="C114855" s="15"/>
      <c r="D114855" s="12"/>
      <c r="E114855" s="12"/>
      <c r="F114855" s="13"/>
      <c r="G114855" s="12"/>
      <c r="H114855" s="12"/>
      <c r="I114855" s="12"/>
      <c r="J114855" s="12"/>
      <c r="K114855" s="12"/>
      <c r="L114855" s="208"/>
      <c r="M114855" s="209"/>
      <c r="N114855" s="209"/>
      <c r="O114855" s="209"/>
    </row>
    <row r="114856" spans="1:15" s="210" customFormat="1" x14ac:dyDescent="0.3">
      <c r="A114856" s="12"/>
      <c r="B114856" s="15"/>
      <c r="C114856" s="15"/>
      <c r="D114856" s="12"/>
      <c r="E114856" s="12"/>
      <c r="F114856" s="13"/>
      <c r="G114856" s="12"/>
      <c r="H114856" s="12"/>
      <c r="I114856" s="12"/>
      <c r="J114856" s="12"/>
      <c r="K114856" s="12"/>
      <c r="L114856" s="208"/>
      <c r="M114856" s="209"/>
      <c r="N114856" s="209"/>
      <c r="O114856" s="209"/>
    </row>
    <row r="114857" spans="1:15" s="210" customFormat="1" x14ac:dyDescent="0.3">
      <c r="A114857" s="12"/>
      <c r="B114857" s="15"/>
      <c r="C114857" s="15"/>
      <c r="D114857" s="12"/>
      <c r="E114857" s="12"/>
      <c r="F114857" s="13"/>
      <c r="G114857" s="12"/>
      <c r="H114857" s="12"/>
      <c r="I114857" s="12"/>
      <c r="J114857" s="12"/>
      <c r="K114857" s="12"/>
      <c r="L114857" s="208"/>
      <c r="M114857" s="209"/>
      <c r="N114857" s="209"/>
      <c r="O114857" s="209"/>
    </row>
    <row r="114858" spans="1:15" s="210" customFormat="1" x14ac:dyDescent="0.3">
      <c r="A114858" s="12"/>
      <c r="B114858" s="15"/>
      <c r="C114858" s="15"/>
      <c r="D114858" s="12"/>
      <c r="E114858" s="12"/>
      <c r="F114858" s="13"/>
      <c r="G114858" s="12"/>
      <c r="H114858" s="12"/>
      <c r="I114858" s="12"/>
      <c r="J114858" s="12"/>
      <c r="K114858" s="12"/>
      <c r="L114858" s="208"/>
      <c r="M114858" s="209"/>
      <c r="N114858" s="209"/>
      <c r="O114858" s="209"/>
    </row>
    <row r="114859" spans="1:15" s="210" customFormat="1" x14ac:dyDescent="0.3">
      <c r="A114859" s="12"/>
      <c r="B114859" s="15"/>
      <c r="C114859" s="15"/>
      <c r="D114859" s="12"/>
      <c r="E114859" s="12"/>
      <c r="F114859" s="13"/>
      <c r="G114859" s="12"/>
      <c r="H114859" s="12"/>
      <c r="I114859" s="12"/>
      <c r="J114859" s="12"/>
      <c r="K114859" s="12"/>
      <c r="L114859" s="208"/>
      <c r="M114859" s="209"/>
      <c r="N114859" s="209"/>
      <c r="O114859" s="209"/>
    </row>
    <row r="114860" spans="1:15" s="210" customFormat="1" x14ac:dyDescent="0.3">
      <c r="A114860" s="12"/>
      <c r="B114860" s="15"/>
      <c r="C114860" s="15"/>
      <c r="D114860" s="12"/>
      <c r="E114860" s="12"/>
      <c r="F114860" s="13"/>
      <c r="G114860" s="12"/>
      <c r="H114860" s="12"/>
      <c r="I114860" s="12"/>
      <c r="J114860" s="12"/>
      <c r="K114860" s="12"/>
      <c r="L114860" s="208"/>
      <c r="M114860" s="209"/>
      <c r="N114860" s="209"/>
      <c r="O114860" s="209"/>
    </row>
    <row r="114861" spans="1:15" s="210" customFormat="1" x14ac:dyDescent="0.3">
      <c r="A114861" s="12"/>
      <c r="B114861" s="15"/>
      <c r="C114861" s="15"/>
      <c r="D114861" s="12"/>
      <c r="E114861" s="12"/>
      <c r="F114861" s="13"/>
      <c r="G114861" s="12"/>
      <c r="H114861" s="12"/>
      <c r="I114861" s="12"/>
      <c r="J114861" s="12"/>
      <c r="K114861" s="12"/>
      <c r="L114861" s="208"/>
      <c r="M114861" s="209"/>
      <c r="N114861" s="209"/>
      <c r="O114861" s="209"/>
    </row>
    <row r="114862" spans="1:15" s="210" customFormat="1" x14ac:dyDescent="0.3">
      <c r="A114862" s="12"/>
      <c r="B114862" s="15"/>
      <c r="C114862" s="15"/>
      <c r="D114862" s="12"/>
      <c r="E114862" s="12"/>
      <c r="F114862" s="13"/>
      <c r="G114862" s="12"/>
      <c r="H114862" s="12"/>
      <c r="I114862" s="12"/>
      <c r="J114862" s="12"/>
      <c r="K114862" s="12"/>
      <c r="L114862" s="208"/>
      <c r="M114862" s="209"/>
      <c r="N114862" s="209"/>
      <c r="O114862" s="209"/>
    </row>
    <row r="114863" spans="1:15" s="210" customFormat="1" x14ac:dyDescent="0.3">
      <c r="A114863" s="12"/>
      <c r="B114863" s="15"/>
      <c r="C114863" s="15"/>
      <c r="D114863" s="12"/>
      <c r="E114863" s="12"/>
      <c r="F114863" s="13"/>
      <c r="G114863" s="12"/>
      <c r="H114863" s="12"/>
      <c r="I114863" s="12"/>
      <c r="J114863" s="12"/>
      <c r="K114863" s="12"/>
      <c r="L114863" s="208"/>
      <c r="M114863" s="209"/>
      <c r="N114863" s="209"/>
      <c r="O114863" s="209"/>
    </row>
    <row r="114864" spans="1:15" s="210" customFormat="1" x14ac:dyDescent="0.3">
      <c r="A114864" s="12"/>
      <c r="B114864" s="15"/>
      <c r="C114864" s="15"/>
      <c r="D114864" s="12"/>
      <c r="E114864" s="12"/>
      <c r="F114864" s="13"/>
      <c r="G114864" s="12"/>
      <c r="H114864" s="12"/>
      <c r="I114864" s="12"/>
      <c r="J114864" s="12"/>
      <c r="K114864" s="12"/>
      <c r="L114864" s="208"/>
      <c r="M114864" s="209"/>
      <c r="N114864" s="209"/>
      <c r="O114864" s="209"/>
    </row>
    <row r="114865" spans="1:15" s="210" customFormat="1" x14ac:dyDescent="0.3">
      <c r="A114865" s="12"/>
      <c r="B114865" s="15"/>
      <c r="C114865" s="15"/>
      <c r="D114865" s="12"/>
      <c r="E114865" s="12"/>
      <c r="F114865" s="13"/>
      <c r="G114865" s="12"/>
      <c r="H114865" s="12"/>
      <c r="I114865" s="12"/>
      <c r="J114865" s="12"/>
      <c r="K114865" s="12"/>
      <c r="L114865" s="208"/>
      <c r="M114865" s="209"/>
      <c r="N114865" s="209"/>
      <c r="O114865" s="209"/>
    </row>
    <row r="114866" spans="1:15" s="210" customFormat="1" x14ac:dyDescent="0.3">
      <c r="A114866" s="12"/>
      <c r="B114866" s="15"/>
      <c r="C114866" s="15"/>
      <c r="D114866" s="12"/>
      <c r="E114866" s="12"/>
      <c r="F114866" s="13"/>
      <c r="G114866" s="12"/>
      <c r="H114866" s="12"/>
      <c r="I114866" s="12"/>
      <c r="J114866" s="12"/>
      <c r="K114866" s="12"/>
      <c r="L114866" s="208"/>
      <c r="M114866" s="209"/>
      <c r="N114866" s="209"/>
      <c r="O114866" s="209"/>
    </row>
    <row r="114867" spans="1:15" s="210" customFormat="1" x14ac:dyDescent="0.3">
      <c r="A114867" s="12"/>
      <c r="B114867" s="15"/>
      <c r="C114867" s="15"/>
      <c r="D114867" s="12"/>
      <c r="E114867" s="12"/>
      <c r="F114867" s="13"/>
      <c r="G114867" s="12"/>
      <c r="H114867" s="12"/>
      <c r="I114867" s="12"/>
      <c r="J114867" s="12"/>
      <c r="K114867" s="12"/>
      <c r="L114867" s="208"/>
      <c r="M114867" s="209"/>
      <c r="N114867" s="209"/>
      <c r="O114867" s="209"/>
    </row>
    <row r="114868" spans="1:15" s="210" customFormat="1" x14ac:dyDescent="0.3">
      <c r="A114868" s="12"/>
      <c r="B114868" s="15"/>
      <c r="C114868" s="15"/>
      <c r="D114868" s="12"/>
      <c r="E114868" s="12"/>
      <c r="F114868" s="13"/>
      <c r="G114868" s="12"/>
      <c r="H114868" s="12"/>
      <c r="I114868" s="12"/>
      <c r="J114868" s="12"/>
      <c r="K114868" s="12"/>
      <c r="L114868" s="208"/>
      <c r="M114868" s="209"/>
      <c r="N114868" s="209"/>
      <c r="O114868" s="209"/>
    </row>
    <row r="114869" spans="1:15" s="210" customFormat="1" x14ac:dyDescent="0.3">
      <c r="A114869" s="12"/>
      <c r="B114869" s="15"/>
      <c r="C114869" s="15"/>
      <c r="D114869" s="12"/>
      <c r="E114869" s="12"/>
      <c r="F114869" s="13"/>
      <c r="G114869" s="12"/>
      <c r="H114869" s="12"/>
      <c r="I114869" s="12"/>
      <c r="J114869" s="12"/>
      <c r="K114869" s="12"/>
      <c r="L114869" s="208"/>
      <c r="M114869" s="209"/>
      <c r="N114869" s="209"/>
      <c r="O114869" s="209"/>
    </row>
    <row r="114870" spans="1:15" s="210" customFormat="1" x14ac:dyDescent="0.3">
      <c r="A114870" s="12"/>
      <c r="B114870" s="15"/>
      <c r="C114870" s="15"/>
      <c r="D114870" s="12"/>
      <c r="E114870" s="12"/>
      <c r="F114870" s="13"/>
      <c r="G114870" s="12"/>
      <c r="H114870" s="12"/>
      <c r="I114870" s="12"/>
      <c r="J114870" s="12"/>
      <c r="K114870" s="12"/>
      <c r="L114870" s="208"/>
      <c r="M114870" s="209"/>
      <c r="N114870" s="209"/>
      <c r="O114870" s="209"/>
    </row>
    <row r="114871" spans="1:15" s="210" customFormat="1" x14ac:dyDescent="0.3">
      <c r="A114871" s="12"/>
      <c r="B114871" s="15"/>
      <c r="C114871" s="15"/>
      <c r="D114871" s="12"/>
      <c r="E114871" s="12"/>
      <c r="F114871" s="13"/>
      <c r="G114871" s="12"/>
      <c r="H114871" s="12"/>
      <c r="I114871" s="12"/>
      <c r="J114871" s="12"/>
      <c r="K114871" s="12"/>
      <c r="L114871" s="208"/>
      <c r="M114871" s="209"/>
      <c r="N114871" s="209"/>
      <c r="O114871" s="209"/>
    </row>
    <row r="114872" spans="1:15" s="210" customFormat="1" x14ac:dyDescent="0.3">
      <c r="A114872" s="12"/>
      <c r="B114872" s="15"/>
      <c r="C114872" s="15"/>
      <c r="D114872" s="12"/>
      <c r="E114872" s="12"/>
      <c r="F114872" s="13"/>
      <c r="G114872" s="12"/>
      <c r="H114872" s="12"/>
      <c r="I114872" s="12"/>
      <c r="J114872" s="12"/>
      <c r="K114872" s="12"/>
      <c r="L114872" s="208"/>
      <c r="M114872" s="209"/>
      <c r="N114872" s="209"/>
      <c r="O114872" s="209"/>
    </row>
    <row r="114873" spans="1:15" s="210" customFormat="1" x14ac:dyDescent="0.3">
      <c r="A114873" s="12"/>
      <c r="B114873" s="15"/>
      <c r="C114873" s="15"/>
      <c r="D114873" s="12"/>
      <c r="E114873" s="12"/>
      <c r="F114873" s="13"/>
      <c r="G114873" s="12"/>
      <c r="H114873" s="12"/>
      <c r="I114873" s="12"/>
      <c r="J114873" s="12"/>
      <c r="K114873" s="12"/>
      <c r="L114873" s="208"/>
      <c r="M114873" s="209"/>
      <c r="N114873" s="209"/>
      <c r="O114873" s="209"/>
    </row>
    <row r="114874" spans="1:15" s="210" customFormat="1" x14ac:dyDescent="0.3">
      <c r="A114874" s="12"/>
      <c r="B114874" s="15"/>
      <c r="C114874" s="15"/>
      <c r="D114874" s="12"/>
      <c r="E114874" s="12"/>
      <c r="F114874" s="13"/>
      <c r="G114874" s="12"/>
      <c r="H114874" s="12"/>
      <c r="I114874" s="12"/>
      <c r="J114874" s="12"/>
      <c r="K114874" s="12"/>
      <c r="L114874" s="208"/>
      <c r="M114874" s="209"/>
      <c r="N114874" s="209"/>
      <c r="O114874" s="209"/>
    </row>
    <row r="114875" spans="1:15" s="210" customFormat="1" x14ac:dyDescent="0.3">
      <c r="A114875" s="12"/>
      <c r="B114875" s="15"/>
      <c r="C114875" s="15"/>
      <c r="D114875" s="12"/>
      <c r="E114875" s="12"/>
      <c r="F114875" s="13"/>
      <c r="G114875" s="12"/>
      <c r="H114875" s="12"/>
      <c r="I114875" s="12"/>
      <c r="J114875" s="12"/>
      <c r="K114875" s="12"/>
      <c r="L114875" s="208"/>
      <c r="M114875" s="209"/>
      <c r="N114875" s="209"/>
      <c r="O114875" s="209"/>
    </row>
    <row r="114876" spans="1:15" s="210" customFormat="1" x14ac:dyDescent="0.3">
      <c r="A114876" s="12"/>
      <c r="B114876" s="15"/>
      <c r="C114876" s="15"/>
      <c r="D114876" s="12"/>
      <c r="E114876" s="12"/>
      <c r="F114876" s="13"/>
      <c r="G114876" s="12"/>
      <c r="H114876" s="12"/>
      <c r="I114876" s="12"/>
      <c r="J114876" s="12"/>
      <c r="K114876" s="12"/>
      <c r="L114876" s="208"/>
      <c r="M114876" s="209"/>
      <c r="N114876" s="209"/>
      <c r="O114876" s="209"/>
    </row>
    <row r="114877" spans="1:15" s="210" customFormat="1" x14ac:dyDescent="0.3">
      <c r="A114877" s="12"/>
      <c r="B114877" s="15"/>
      <c r="C114877" s="15"/>
      <c r="D114877" s="12"/>
      <c r="E114877" s="12"/>
      <c r="F114877" s="13"/>
      <c r="G114877" s="12"/>
      <c r="H114877" s="12"/>
      <c r="I114877" s="12"/>
      <c r="J114877" s="12"/>
      <c r="K114877" s="12"/>
      <c r="L114877" s="208"/>
      <c r="M114877" s="209"/>
      <c r="N114877" s="209"/>
      <c r="O114877" s="209"/>
    </row>
    <row r="114878" spans="1:15" s="210" customFormat="1" x14ac:dyDescent="0.3">
      <c r="A114878" s="12"/>
      <c r="B114878" s="15"/>
      <c r="C114878" s="15"/>
      <c r="D114878" s="12"/>
      <c r="E114878" s="12"/>
      <c r="F114878" s="13"/>
      <c r="G114878" s="12"/>
      <c r="H114878" s="12"/>
      <c r="I114878" s="12"/>
      <c r="J114878" s="12"/>
      <c r="K114878" s="12"/>
      <c r="L114878" s="208"/>
      <c r="M114878" s="209"/>
      <c r="N114878" s="209"/>
      <c r="O114878" s="209"/>
    </row>
    <row r="114879" spans="1:15" s="210" customFormat="1" x14ac:dyDescent="0.3">
      <c r="A114879" s="12"/>
      <c r="B114879" s="15"/>
      <c r="C114879" s="15"/>
      <c r="D114879" s="12"/>
      <c r="E114879" s="12"/>
      <c r="F114879" s="13"/>
      <c r="G114879" s="12"/>
      <c r="H114879" s="12"/>
      <c r="I114879" s="12"/>
      <c r="J114879" s="12"/>
      <c r="K114879" s="12"/>
      <c r="L114879" s="208"/>
      <c r="M114879" s="209"/>
      <c r="N114879" s="209"/>
      <c r="O114879" s="209"/>
    </row>
    <row r="114880" spans="1:15" s="210" customFormat="1" x14ac:dyDescent="0.3">
      <c r="A114880" s="12"/>
      <c r="B114880" s="15"/>
      <c r="C114880" s="15"/>
      <c r="D114880" s="12"/>
      <c r="E114880" s="12"/>
      <c r="F114880" s="13"/>
      <c r="G114880" s="12"/>
      <c r="H114880" s="12"/>
      <c r="I114880" s="12"/>
      <c r="J114880" s="12"/>
      <c r="K114880" s="12"/>
      <c r="L114880" s="208"/>
      <c r="M114880" s="209"/>
      <c r="N114880" s="209"/>
      <c r="O114880" s="209"/>
    </row>
    <row r="114881" spans="1:15" s="210" customFormat="1" x14ac:dyDescent="0.3">
      <c r="A114881" s="12"/>
      <c r="B114881" s="15"/>
      <c r="C114881" s="15"/>
      <c r="D114881" s="12"/>
      <c r="E114881" s="12"/>
      <c r="F114881" s="13"/>
      <c r="G114881" s="12"/>
      <c r="H114881" s="12"/>
      <c r="I114881" s="12"/>
      <c r="J114881" s="12"/>
      <c r="K114881" s="12"/>
      <c r="L114881" s="208"/>
      <c r="M114881" s="209"/>
      <c r="N114881" s="209"/>
      <c r="O114881" s="209"/>
    </row>
    <row r="114882" spans="1:15" s="210" customFormat="1" x14ac:dyDescent="0.3">
      <c r="A114882" s="12"/>
      <c r="B114882" s="15"/>
      <c r="C114882" s="15"/>
      <c r="D114882" s="12"/>
      <c r="E114882" s="12"/>
      <c r="F114882" s="13"/>
      <c r="G114882" s="12"/>
      <c r="H114882" s="12"/>
      <c r="I114882" s="12"/>
      <c r="J114882" s="12"/>
      <c r="K114882" s="12"/>
      <c r="L114882" s="208"/>
      <c r="M114882" s="209"/>
      <c r="N114882" s="209"/>
      <c r="O114882" s="209"/>
    </row>
    <row r="114883" spans="1:15" s="210" customFormat="1" x14ac:dyDescent="0.3">
      <c r="A114883" s="12"/>
      <c r="B114883" s="15"/>
      <c r="C114883" s="15"/>
      <c r="D114883" s="12"/>
      <c r="E114883" s="12"/>
      <c r="F114883" s="13"/>
      <c r="G114883" s="12"/>
      <c r="H114883" s="12"/>
      <c r="I114883" s="12"/>
      <c r="J114883" s="12"/>
      <c r="K114883" s="12"/>
      <c r="L114883" s="208"/>
      <c r="M114883" s="209"/>
      <c r="N114883" s="209"/>
      <c r="O114883" s="209"/>
    </row>
    <row r="114884" spans="1:15" s="210" customFormat="1" x14ac:dyDescent="0.3">
      <c r="A114884" s="12"/>
      <c r="B114884" s="15"/>
      <c r="C114884" s="15"/>
      <c r="D114884" s="12"/>
      <c r="E114884" s="12"/>
      <c r="F114884" s="13"/>
      <c r="G114884" s="12"/>
      <c r="H114884" s="12"/>
      <c r="I114884" s="12"/>
      <c r="J114884" s="12"/>
      <c r="K114884" s="12"/>
      <c r="L114884" s="208"/>
      <c r="M114884" s="209"/>
      <c r="N114884" s="209"/>
      <c r="O114884" s="209"/>
    </row>
    <row r="114885" spans="1:15" s="210" customFormat="1" x14ac:dyDescent="0.3">
      <c r="A114885" s="12"/>
      <c r="B114885" s="15"/>
      <c r="C114885" s="15"/>
      <c r="D114885" s="12"/>
      <c r="E114885" s="12"/>
      <c r="F114885" s="13"/>
      <c r="G114885" s="12"/>
      <c r="H114885" s="12"/>
      <c r="I114885" s="12"/>
      <c r="J114885" s="12"/>
      <c r="K114885" s="12"/>
      <c r="L114885" s="208"/>
      <c r="M114885" s="209"/>
      <c r="N114885" s="209"/>
      <c r="O114885" s="209"/>
    </row>
    <row r="114886" spans="1:15" s="210" customFormat="1" x14ac:dyDescent="0.3">
      <c r="A114886" s="12"/>
      <c r="B114886" s="15"/>
      <c r="C114886" s="15"/>
      <c r="D114886" s="12"/>
      <c r="E114886" s="12"/>
      <c r="F114886" s="13"/>
      <c r="G114886" s="12"/>
      <c r="H114886" s="12"/>
      <c r="I114886" s="12"/>
      <c r="J114886" s="12"/>
      <c r="K114886" s="12"/>
      <c r="L114886" s="208"/>
      <c r="M114886" s="209"/>
      <c r="N114886" s="209"/>
      <c r="O114886" s="209"/>
    </row>
    <row r="114887" spans="1:15" s="210" customFormat="1" x14ac:dyDescent="0.3">
      <c r="A114887" s="12"/>
      <c r="B114887" s="15"/>
      <c r="C114887" s="15"/>
      <c r="D114887" s="12"/>
      <c r="E114887" s="12"/>
      <c r="F114887" s="13"/>
      <c r="G114887" s="12"/>
      <c r="H114887" s="12"/>
      <c r="I114887" s="12"/>
      <c r="J114887" s="12"/>
      <c r="K114887" s="12"/>
      <c r="L114887" s="208"/>
      <c r="M114887" s="209"/>
      <c r="N114887" s="209"/>
      <c r="O114887" s="209"/>
    </row>
    <row r="114888" spans="1:15" s="210" customFormat="1" x14ac:dyDescent="0.3">
      <c r="A114888" s="12"/>
      <c r="B114888" s="15"/>
      <c r="C114888" s="15"/>
      <c r="D114888" s="12"/>
      <c r="E114888" s="12"/>
      <c r="F114888" s="13"/>
      <c r="G114888" s="12"/>
      <c r="H114888" s="12"/>
      <c r="I114888" s="12"/>
      <c r="J114888" s="12"/>
      <c r="K114888" s="12"/>
      <c r="L114888" s="208"/>
      <c r="M114888" s="209"/>
      <c r="N114888" s="209"/>
      <c r="O114888" s="209"/>
    </row>
    <row r="114889" spans="1:15" s="210" customFormat="1" x14ac:dyDescent="0.3">
      <c r="A114889" s="12"/>
      <c r="B114889" s="15"/>
      <c r="C114889" s="15"/>
      <c r="D114889" s="12"/>
      <c r="E114889" s="12"/>
      <c r="F114889" s="13"/>
      <c r="G114889" s="12"/>
      <c r="H114889" s="12"/>
      <c r="I114889" s="12"/>
      <c r="J114889" s="12"/>
      <c r="K114889" s="12"/>
      <c r="L114889" s="208"/>
      <c r="M114889" s="209"/>
      <c r="N114889" s="209"/>
      <c r="O114889" s="209"/>
    </row>
    <row r="114890" spans="1:15" s="210" customFormat="1" x14ac:dyDescent="0.3">
      <c r="A114890" s="12"/>
      <c r="B114890" s="15"/>
      <c r="C114890" s="15"/>
      <c r="D114890" s="12"/>
      <c r="E114890" s="12"/>
      <c r="F114890" s="13"/>
      <c r="G114890" s="12"/>
      <c r="H114890" s="12"/>
      <c r="I114890" s="12"/>
      <c r="J114890" s="12"/>
      <c r="K114890" s="12"/>
      <c r="L114890" s="208"/>
      <c r="M114890" s="209"/>
      <c r="N114890" s="209"/>
      <c r="O114890" s="209"/>
    </row>
    <row r="114891" spans="1:15" s="210" customFormat="1" x14ac:dyDescent="0.3">
      <c r="A114891" s="12"/>
      <c r="B114891" s="15"/>
      <c r="C114891" s="15"/>
      <c r="D114891" s="12"/>
      <c r="E114891" s="12"/>
      <c r="F114891" s="13"/>
      <c r="G114891" s="12"/>
      <c r="H114891" s="12"/>
      <c r="I114891" s="12"/>
      <c r="J114891" s="12"/>
      <c r="K114891" s="12"/>
      <c r="L114891" s="208"/>
      <c r="M114891" s="209"/>
      <c r="N114891" s="209"/>
      <c r="O114891" s="209"/>
    </row>
    <row r="114892" spans="1:15" s="210" customFormat="1" x14ac:dyDescent="0.3">
      <c r="A114892" s="12"/>
      <c r="B114892" s="15"/>
      <c r="C114892" s="15"/>
      <c r="D114892" s="12"/>
      <c r="E114892" s="12"/>
      <c r="F114892" s="13"/>
      <c r="G114892" s="12"/>
      <c r="H114892" s="12"/>
      <c r="I114892" s="12"/>
      <c r="J114892" s="12"/>
      <c r="K114892" s="12"/>
      <c r="L114892" s="208"/>
      <c r="M114892" s="209"/>
      <c r="N114892" s="209"/>
      <c r="O114892" s="209"/>
    </row>
    <row r="114893" spans="1:15" s="210" customFormat="1" x14ac:dyDescent="0.3">
      <c r="A114893" s="12"/>
      <c r="B114893" s="15"/>
      <c r="C114893" s="15"/>
      <c r="D114893" s="12"/>
      <c r="E114893" s="12"/>
      <c r="F114893" s="13"/>
      <c r="G114893" s="12"/>
      <c r="H114893" s="12"/>
      <c r="I114893" s="12"/>
      <c r="J114893" s="12"/>
      <c r="K114893" s="12"/>
      <c r="L114893" s="208"/>
      <c r="M114893" s="209"/>
      <c r="N114893" s="209"/>
      <c r="O114893" s="209"/>
    </row>
    <row r="114894" spans="1:15" s="210" customFormat="1" x14ac:dyDescent="0.3">
      <c r="A114894" s="12"/>
      <c r="B114894" s="15"/>
      <c r="C114894" s="15"/>
      <c r="D114894" s="12"/>
      <c r="E114894" s="12"/>
      <c r="F114894" s="13"/>
      <c r="G114894" s="12"/>
      <c r="H114894" s="12"/>
      <c r="I114894" s="12"/>
      <c r="J114894" s="12"/>
      <c r="K114894" s="12"/>
      <c r="L114894" s="208"/>
      <c r="M114894" s="209"/>
      <c r="N114894" s="209"/>
      <c r="O114894" s="209"/>
    </row>
    <row r="114895" spans="1:15" s="210" customFormat="1" x14ac:dyDescent="0.3">
      <c r="A114895" s="12"/>
      <c r="B114895" s="15"/>
      <c r="C114895" s="15"/>
      <c r="D114895" s="12"/>
      <c r="E114895" s="12"/>
      <c r="F114895" s="13"/>
      <c r="G114895" s="12"/>
      <c r="H114895" s="12"/>
      <c r="I114895" s="12"/>
      <c r="J114895" s="12"/>
      <c r="K114895" s="12"/>
      <c r="L114895" s="208"/>
      <c r="M114895" s="209"/>
      <c r="N114895" s="209"/>
      <c r="O114895" s="209"/>
    </row>
    <row r="114896" spans="1:15" s="210" customFormat="1" x14ac:dyDescent="0.3">
      <c r="A114896" s="12"/>
      <c r="B114896" s="15"/>
      <c r="C114896" s="15"/>
      <c r="D114896" s="12"/>
      <c r="E114896" s="12"/>
      <c r="F114896" s="13"/>
      <c r="G114896" s="12"/>
      <c r="H114896" s="12"/>
      <c r="I114896" s="12"/>
      <c r="J114896" s="12"/>
      <c r="K114896" s="12"/>
      <c r="L114896" s="208"/>
      <c r="M114896" s="209"/>
      <c r="N114896" s="209"/>
      <c r="O114896" s="209"/>
    </row>
    <row r="114897" spans="1:15" s="210" customFormat="1" x14ac:dyDescent="0.3">
      <c r="A114897" s="12"/>
      <c r="B114897" s="15"/>
      <c r="C114897" s="15"/>
      <c r="D114897" s="12"/>
      <c r="E114897" s="12"/>
      <c r="F114897" s="13"/>
      <c r="G114897" s="12"/>
      <c r="H114897" s="12"/>
      <c r="I114897" s="12"/>
      <c r="J114897" s="12"/>
      <c r="K114897" s="12"/>
      <c r="L114897" s="208"/>
      <c r="M114897" s="209"/>
      <c r="N114897" s="209"/>
      <c r="O114897" s="209"/>
    </row>
    <row r="114898" spans="1:15" s="210" customFormat="1" x14ac:dyDescent="0.3">
      <c r="A114898" s="12"/>
      <c r="B114898" s="15"/>
      <c r="C114898" s="15"/>
      <c r="D114898" s="12"/>
      <c r="E114898" s="12"/>
      <c r="F114898" s="13"/>
      <c r="G114898" s="12"/>
      <c r="H114898" s="12"/>
      <c r="I114898" s="12"/>
      <c r="J114898" s="12"/>
      <c r="K114898" s="12"/>
      <c r="L114898" s="208"/>
      <c r="M114898" s="209"/>
      <c r="N114898" s="209"/>
      <c r="O114898" s="209"/>
    </row>
    <row r="114899" spans="1:15" s="210" customFormat="1" x14ac:dyDescent="0.3">
      <c r="A114899" s="12"/>
      <c r="B114899" s="15"/>
      <c r="C114899" s="15"/>
      <c r="D114899" s="12"/>
      <c r="E114899" s="12"/>
      <c r="F114899" s="13"/>
      <c r="G114899" s="12"/>
      <c r="H114899" s="12"/>
      <c r="I114899" s="12"/>
      <c r="J114899" s="12"/>
      <c r="K114899" s="12"/>
      <c r="L114899" s="208"/>
      <c r="M114899" s="209"/>
      <c r="N114899" s="209"/>
      <c r="O114899" s="209"/>
    </row>
    <row r="114900" spans="1:15" s="210" customFormat="1" x14ac:dyDescent="0.3">
      <c r="A114900" s="12"/>
      <c r="B114900" s="15"/>
      <c r="C114900" s="15"/>
      <c r="D114900" s="12"/>
      <c r="E114900" s="12"/>
      <c r="F114900" s="13"/>
      <c r="G114900" s="12"/>
      <c r="H114900" s="12"/>
      <c r="I114900" s="12"/>
      <c r="J114900" s="12"/>
      <c r="K114900" s="12"/>
      <c r="L114900" s="208"/>
      <c r="M114900" s="209"/>
      <c r="N114900" s="209"/>
      <c r="O114900" s="209"/>
    </row>
    <row r="114901" spans="1:15" s="210" customFormat="1" x14ac:dyDescent="0.3">
      <c r="A114901" s="12"/>
      <c r="B114901" s="15"/>
      <c r="C114901" s="15"/>
      <c r="D114901" s="12"/>
      <c r="E114901" s="12"/>
      <c r="F114901" s="13"/>
      <c r="G114901" s="12"/>
      <c r="H114901" s="12"/>
      <c r="I114901" s="12"/>
      <c r="J114901" s="12"/>
      <c r="K114901" s="12"/>
      <c r="L114901" s="208"/>
      <c r="M114901" s="209"/>
      <c r="N114901" s="209"/>
      <c r="O114901" s="209"/>
    </row>
    <row r="114902" spans="1:15" s="210" customFormat="1" x14ac:dyDescent="0.3">
      <c r="A114902" s="12"/>
      <c r="B114902" s="15"/>
      <c r="C114902" s="15"/>
      <c r="D114902" s="12"/>
      <c r="E114902" s="12"/>
      <c r="F114902" s="13"/>
      <c r="G114902" s="12"/>
      <c r="H114902" s="12"/>
      <c r="I114902" s="12"/>
      <c r="J114902" s="12"/>
      <c r="K114902" s="12"/>
      <c r="L114902" s="208"/>
      <c r="M114902" s="209"/>
      <c r="N114902" s="209"/>
      <c r="O114902" s="209"/>
    </row>
    <row r="114903" spans="1:15" s="210" customFormat="1" x14ac:dyDescent="0.3">
      <c r="A114903" s="12"/>
      <c r="B114903" s="15"/>
      <c r="C114903" s="15"/>
      <c r="D114903" s="12"/>
      <c r="E114903" s="12"/>
      <c r="F114903" s="13"/>
      <c r="G114903" s="12"/>
      <c r="H114903" s="12"/>
      <c r="I114903" s="12"/>
      <c r="J114903" s="12"/>
      <c r="K114903" s="12"/>
      <c r="L114903" s="208"/>
      <c r="M114903" s="209"/>
      <c r="N114903" s="209"/>
      <c r="O114903" s="209"/>
    </row>
    <row r="114904" spans="1:15" s="210" customFormat="1" x14ac:dyDescent="0.3">
      <c r="A114904" s="12"/>
      <c r="B114904" s="15"/>
      <c r="C114904" s="15"/>
      <c r="D114904" s="12"/>
      <c r="E114904" s="12"/>
      <c r="F114904" s="13"/>
      <c r="G114904" s="12"/>
      <c r="H114904" s="12"/>
      <c r="I114904" s="12"/>
      <c r="J114904" s="12"/>
      <c r="K114904" s="12"/>
      <c r="L114904" s="208"/>
      <c r="M114904" s="209"/>
      <c r="N114904" s="209"/>
      <c r="O114904" s="209"/>
    </row>
    <row r="114905" spans="1:15" s="210" customFormat="1" x14ac:dyDescent="0.3">
      <c r="A114905" s="12"/>
      <c r="B114905" s="15"/>
      <c r="C114905" s="15"/>
      <c r="D114905" s="12"/>
      <c r="E114905" s="12"/>
      <c r="F114905" s="13"/>
      <c r="G114905" s="12"/>
      <c r="H114905" s="12"/>
      <c r="I114905" s="12"/>
      <c r="J114905" s="12"/>
      <c r="K114905" s="12"/>
      <c r="L114905" s="208"/>
      <c r="M114905" s="209"/>
      <c r="N114905" s="209"/>
      <c r="O114905" s="209"/>
    </row>
    <row r="114906" spans="1:15" s="210" customFormat="1" x14ac:dyDescent="0.3">
      <c r="A114906" s="12"/>
      <c r="B114906" s="15"/>
      <c r="C114906" s="15"/>
      <c r="D114906" s="12"/>
      <c r="E114906" s="12"/>
      <c r="F114906" s="13"/>
      <c r="G114906" s="12"/>
      <c r="H114906" s="12"/>
      <c r="I114906" s="12"/>
      <c r="J114906" s="12"/>
      <c r="K114906" s="12"/>
      <c r="L114906" s="208"/>
      <c r="M114906" s="209"/>
      <c r="N114906" s="209"/>
      <c r="O114906" s="209"/>
    </row>
    <row r="114907" spans="1:15" s="210" customFormat="1" x14ac:dyDescent="0.3">
      <c r="A114907" s="12"/>
      <c r="B114907" s="15"/>
      <c r="C114907" s="15"/>
      <c r="D114907" s="12"/>
      <c r="E114907" s="12"/>
      <c r="F114907" s="13"/>
      <c r="G114907" s="12"/>
      <c r="H114907" s="12"/>
      <c r="I114907" s="12"/>
      <c r="J114907" s="12"/>
      <c r="K114907" s="12"/>
      <c r="L114907" s="208"/>
      <c r="M114907" s="209"/>
      <c r="N114907" s="209"/>
      <c r="O114907" s="209"/>
    </row>
    <row r="114908" spans="1:15" s="210" customFormat="1" x14ac:dyDescent="0.3">
      <c r="A114908" s="12"/>
      <c r="B114908" s="15"/>
      <c r="C114908" s="15"/>
      <c r="D114908" s="12"/>
      <c r="E114908" s="12"/>
      <c r="F114908" s="13"/>
      <c r="G114908" s="12"/>
      <c r="H114908" s="12"/>
      <c r="I114908" s="12"/>
      <c r="J114908" s="12"/>
      <c r="K114908" s="12"/>
      <c r="L114908" s="208"/>
      <c r="M114908" s="209"/>
      <c r="N114908" s="209"/>
      <c r="O114908" s="209"/>
    </row>
    <row r="114909" spans="1:15" s="210" customFormat="1" x14ac:dyDescent="0.3">
      <c r="A114909" s="12"/>
      <c r="B114909" s="15"/>
      <c r="C114909" s="15"/>
      <c r="D114909" s="12"/>
      <c r="E114909" s="12"/>
      <c r="F114909" s="13"/>
      <c r="G114909" s="12"/>
      <c r="H114909" s="12"/>
      <c r="I114909" s="12"/>
      <c r="J114909" s="12"/>
      <c r="K114909" s="12"/>
      <c r="L114909" s="208"/>
      <c r="M114909" s="209"/>
      <c r="N114909" s="209"/>
      <c r="O114909" s="209"/>
    </row>
    <row r="114910" spans="1:15" s="210" customFormat="1" x14ac:dyDescent="0.3">
      <c r="A114910" s="12"/>
      <c r="B114910" s="15"/>
      <c r="C114910" s="15"/>
      <c r="D114910" s="12"/>
      <c r="E114910" s="12"/>
      <c r="F114910" s="13"/>
      <c r="G114910" s="12"/>
      <c r="H114910" s="12"/>
      <c r="I114910" s="12"/>
      <c r="J114910" s="12"/>
      <c r="K114910" s="12"/>
      <c r="L114910" s="208"/>
      <c r="M114910" s="209"/>
      <c r="N114910" s="209"/>
      <c r="O114910" s="209"/>
    </row>
    <row r="114911" spans="1:15" s="210" customFormat="1" x14ac:dyDescent="0.3">
      <c r="A114911" s="12"/>
      <c r="B114911" s="15"/>
      <c r="C114911" s="15"/>
      <c r="D114911" s="12"/>
      <c r="E114911" s="12"/>
      <c r="F114911" s="13"/>
      <c r="G114911" s="12"/>
      <c r="H114911" s="12"/>
      <c r="I114911" s="12"/>
      <c r="J114911" s="12"/>
      <c r="K114911" s="12"/>
      <c r="L114911" s="208"/>
      <c r="M114911" s="209"/>
      <c r="N114911" s="209"/>
      <c r="O114911" s="209"/>
    </row>
    <row r="114912" spans="1:15" s="210" customFormat="1" x14ac:dyDescent="0.3">
      <c r="A114912" s="12"/>
      <c r="B114912" s="15"/>
      <c r="C114912" s="15"/>
      <c r="D114912" s="12"/>
      <c r="E114912" s="12"/>
      <c r="F114912" s="13"/>
      <c r="G114912" s="12"/>
      <c r="H114912" s="12"/>
      <c r="I114912" s="12"/>
      <c r="J114912" s="12"/>
      <c r="K114912" s="12"/>
      <c r="L114912" s="208"/>
      <c r="M114912" s="209"/>
      <c r="N114912" s="209"/>
      <c r="O114912" s="209"/>
    </row>
    <row r="114913" spans="1:15" s="210" customFormat="1" x14ac:dyDescent="0.3">
      <c r="A114913" s="12"/>
      <c r="B114913" s="15"/>
      <c r="C114913" s="15"/>
      <c r="D114913" s="12"/>
      <c r="E114913" s="12"/>
      <c r="F114913" s="13"/>
      <c r="G114913" s="12"/>
      <c r="H114913" s="12"/>
      <c r="I114913" s="12"/>
      <c r="J114913" s="12"/>
      <c r="K114913" s="12"/>
      <c r="L114913" s="208"/>
      <c r="M114913" s="209"/>
      <c r="N114913" s="209"/>
      <c r="O114913" s="209"/>
    </row>
    <row r="114914" spans="1:15" s="210" customFormat="1" x14ac:dyDescent="0.3">
      <c r="A114914" s="12"/>
      <c r="B114914" s="15"/>
      <c r="C114914" s="15"/>
      <c r="D114914" s="12"/>
      <c r="E114914" s="12"/>
      <c r="F114914" s="13"/>
      <c r="G114914" s="12"/>
      <c r="H114914" s="12"/>
      <c r="I114914" s="12"/>
      <c r="J114914" s="12"/>
      <c r="K114914" s="12"/>
      <c r="L114914" s="208"/>
      <c r="M114914" s="209"/>
      <c r="N114914" s="209"/>
      <c r="O114914" s="209"/>
    </row>
    <row r="114915" spans="1:15" s="210" customFormat="1" x14ac:dyDescent="0.3">
      <c r="A114915" s="12"/>
      <c r="B114915" s="15"/>
      <c r="C114915" s="15"/>
      <c r="D114915" s="12"/>
      <c r="E114915" s="12"/>
      <c r="F114915" s="13"/>
      <c r="G114915" s="12"/>
      <c r="H114915" s="12"/>
      <c r="I114915" s="12"/>
      <c r="J114915" s="12"/>
      <c r="K114915" s="12"/>
      <c r="L114915" s="208"/>
      <c r="M114915" s="209"/>
      <c r="N114915" s="209"/>
      <c r="O114915" s="209"/>
    </row>
    <row r="114916" spans="1:15" s="210" customFormat="1" x14ac:dyDescent="0.3">
      <c r="A114916" s="12"/>
      <c r="B114916" s="15"/>
      <c r="C114916" s="15"/>
      <c r="D114916" s="12"/>
      <c r="E114916" s="12"/>
      <c r="F114916" s="13"/>
      <c r="G114916" s="12"/>
      <c r="H114916" s="12"/>
      <c r="I114916" s="12"/>
      <c r="J114916" s="12"/>
      <c r="K114916" s="12"/>
      <c r="L114916" s="208"/>
      <c r="M114916" s="209"/>
      <c r="N114916" s="209"/>
      <c r="O114916" s="209"/>
    </row>
    <row r="114917" spans="1:15" s="210" customFormat="1" x14ac:dyDescent="0.3">
      <c r="A114917" s="12"/>
      <c r="B114917" s="15"/>
      <c r="C114917" s="15"/>
      <c r="D114917" s="12"/>
      <c r="E114917" s="12"/>
      <c r="F114917" s="13"/>
      <c r="G114917" s="12"/>
      <c r="H114917" s="12"/>
      <c r="I114917" s="12"/>
      <c r="J114917" s="12"/>
      <c r="K114917" s="12"/>
      <c r="L114917" s="208"/>
      <c r="M114917" s="209"/>
      <c r="N114917" s="209"/>
      <c r="O114917" s="209"/>
    </row>
    <row r="114918" spans="1:15" s="210" customFormat="1" x14ac:dyDescent="0.3">
      <c r="A114918" s="12"/>
      <c r="B114918" s="15"/>
      <c r="C114918" s="15"/>
      <c r="D114918" s="12"/>
      <c r="E114918" s="12"/>
      <c r="F114918" s="13"/>
      <c r="G114918" s="12"/>
      <c r="H114918" s="12"/>
      <c r="I114918" s="12"/>
      <c r="J114918" s="12"/>
      <c r="K114918" s="12"/>
      <c r="L114918" s="208"/>
      <c r="M114918" s="209"/>
      <c r="N114918" s="209"/>
      <c r="O114918" s="209"/>
    </row>
    <row r="114919" spans="1:15" s="210" customFormat="1" x14ac:dyDescent="0.3">
      <c r="A114919" s="12"/>
      <c r="B114919" s="15"/>
      <c r="C114919" s="15"/>
      <c r="D114919" s="12"/>
      <c r="E114919" s="12"/>
      <c r="F114919" s="13"/>
      <c r="G114919" s="12"/>
      <c r="H114919" s="12"/>
      <c r="I114919" s="12"/>
      <c r="J114919" s="12"/>
      <c r="K114919" s="12"/>
      <c r="L114919" s="208"/>
      <c r="M114919" s="209"/>
      <c r="N114919" s="209"/>
      <c r="O114919" s="209"/>
    </row>
    <row r="114920" spans="1:15" s="210" customFormat="1" x14ac:dyDescent="0.3">
      <c r="A114920" s="12"/>
      <c r="B114920" s="15"/>
      <c r="C114920" s="15"/>
      <c r="D114920" s="12"/>
      <c r="E114920" s="12"/>
      <c r="F114920" s="13"/>
      <c r="G114920" s="12"/>
      <c r="H114920" s="12"/>
      <c r="I114920" s="12"/>
      <c r="J114920" s="12"/>
      <c r="K114920" s="12"/>
      <c r="L114920" s="208"/>
      <c r="M114920" s="209"/>
      <c r="N114920" s="209"/>
      <c r="O114920" s="209"/>
    </row>
    <row r="114921" spans="1:15" s="210" customFormat="1" x14ac:dyDescent="0.3">
      <c r="A114921" s="12"/>
      <c r="B114921" s="15"/>
      <c r="C114921" s="15"/>
      <c r="D114921" s="12"/>
      <c r="E114921" s="12"/>
      <c r="F114921" s="13"/>
      <c r="G114921" s="12"/>
      <c r="H114921" s="12"/>
      <c r="I114921" s="12"/>
      <c r="J114921" s="12"/>
      <c r="K114921" s="12"/>
      <c r="L114921" s="208"/>
      <c r="M114921" s="209"/>
      <c r="N114921" s="209"/>
      <c r="O114921" s="209"/>
    </row>
    <row r="114922" spans="1:15" s="210" customFormat="1" x14ac:dyDescent="0.3">
      <c r="A114922" s="12"/>
      <c r="B114922" s="15"/>
      <c r="C114922" s="15"/>
      <c r="D114922" s="12"/>
      <c r="E114922" s="12"/>
      <c r="F114922" s="13"/>
      <c r="G114922" s="12"/>
      <c r="H114922" s="12"/>
      <c r="I114922" s="12"/>
      <c r="J114922" s="12"/>
      <c r="K114922" s="12"/>
      <c r="L114922" s="208"/>
      <c r="M114922" s="209"/>
      <c r="N114922" s="209"/>
      <c r="O114922" s="209"/>
    </row>
    <row r="114923" spans="1:15" s="210" customFormat="1" x14ac:dyDescent="0.3">
      <c r="A114923" s="12"/>
      <c r="B114923" s="15"/>
      <c r="C114923" s="15"/>
      <c r="D114923" s="12"/>
      <c r="E114923" s="12"/>
      <c r="F114923" s="13"/>
      <c r="G114923" s="12"/>
      <c r="H114923" s="12"/>
      <c r="I114923" s="12"/>
      <c r="J114923" s="12"/>
      <c r="K114923" s="12"/>
      <c r="L114923" s="208"/>
      <c r="M114923" s="209"/>
      <c r="N114923" s="209"/>
      <c r="O114923" s="209"/>
    </row>
    <row r="114924" spans="1:15" s="210" customFormat="1" x14ac:dyDescent="0.3">
      <c r="A114924" s="12"/>
      <c r="B114924" s="15"/>
      <c r="C114924" s="15"/>
      <c r="D114924" s="12"/>
      <c r="E114924" s="12"/>
      <c r="F114924" s="13"/>
      <c r="G114924" s="12"/>
      <c r="H114924" s="12"/>
      <c r="I114924" s="12"/>
      <c r="J114924" s="12"/>
      <c r="K114924" s="12"/>
      <c r="L114924" s="208"/>
      <c r="M114924" s="209"/>
      <c r="N114924" s="209"/>
      <c r="O114924" s="209"/>
    </row>
    <row r="114925" spans="1:15" s="210" customFormat="1" x14ac:dyDescent="0.3">
      <c r="A114925" s="12"/>
      <c r="B114925" s="15"/>
      <c r="C114925" s="15"/>
      <c r="D114925" s="12"/>
      <c r="E114925" s="12"/>
      <c r="F114925" s="13"/>
      <c r="G114925" s="12"/>
      <c r="H114925" s="12"/>
      <c r="I114925" s="12"/>
      <c r="J114925" s="12"/>
      <c r="K114925" s="12"/>
      <c r="L114925" s="208"/>
      <c r="M114925" s="209"/>
      <c r="N114925" s="209"/>
      <c r="O114925" s="209"/>
    </row>
    <row r="114926" spans="1:15" s="210" customFormat="1" x14ac:dyDescent="0.3">
      <c r="A114926" s="12"/>
      <c r="B114926" s="15"/>
      <c r="C114926" s="15"/>
      <c r="D114926" s="12"/>
      <c r="E114926" s="12"/>
      <c r="F114926" s="13"/>
      <c r="G114926" s="12"/>
      <c r="H114926" s="12"/>
      <c r="I114926" s="12"/>
      <c r="J114926" s="12"/>
      <c r="K114926" s="12"/>
      <c r="L114926" s="208"/>
      <c r="M114926" s="209"/>
      <c r="N114926" s="209"/>
      <c r="O114926" s="209"/>
    </row>
    <row r="114927" spans="1:15" s="210" customFormat="1" x14ac:dyDescent="0.3">
      <c r="A114927" s="12"/>
      <c r="B114927" s="15"/>
      <c r="C114927" s="15"/>
      <c r="D114927" s="12"/>
      <c r="E114927" s="12"/>
      <c r="F114927" s="13"/>
      <c r="G114927" s="12"/>
      <c r="H114927" s="12"/>
      <c r="I114927" s="12"/>
      <c r="J114927" s="12"/>
      <c r="K114927" s="12"/>
      <c r="L114927" s="208"/>
      <c r="M114927" s="209"/>
      <c r="N114927" s="209"/>
      <c r="O114927" s="209"/>
    </row>
    <row r="114928" spans="1:15" s="210" customFormat="1" x14ac:dyDescent="0.3">
      <c r="A114928" s="12"/>
      <c r="B114928" s="15"/>
      <c r="C114928" s="15"/>
      <c r="D114928" s="12"/>
      <c r="E114928" s="12"/>
      <c r="F114928" s="13"/>
      <c r="G114928" s="12"/>
      <c r="H114928" s="12"/>
      <c r="I114928" s="12"/>
      <c r="J114928" s="12"/>
      <c r="K114928" s="12"/>
      <c r="L114928" s="208"/>
      <c r="M114928" s="209"/>
      <c r="N114928" s="209"/>
      <c r="O114928" s="209"/>
    </row>
    <row r="114929" spans="1:15" s="210" customFormat="1" x14ac:dyDescent="0.3">
      <c r="A114929" s="12"/>
      <c r="B114929" s="15"/>
      <c r="C114929" s="15"/>
      <c r="D114929" s="12"/>
      <c r="E114929" s="12"/>
      <c r="F114929" s="13"/>
      <c r="G114929" s="12"/>
      <c r="H114929" s="12"/>
      <c r="I114929" s="12"/>
      <c r="J114929" s="12"/>
      <c r="K114929" s="12"/>
      <c r="L114929" s="208"/>
      <c r="M114929" s="209"/>
      <c r="N114929" s="209"/>
      <c r="O114929" s="209"/>
    </row>
    <row r="114930" spans="1:15" s="210" customFormat="1" x14ac:dyDescent="0.3">
      <c r="A114930" s="12"/>
      <c r="B114930" s="15"/>
      <c r="C114930" s="15"/>
      <c r="D114930" s="12"/>
      <c r="E114930" s="12"/>
      <c r="F114930" s="13"/>
      <c r="G114930" s="12"/>
      <c r="H114930" s="12"/>
      <c r="I114930" s="12"/>
      <c r="J114930" s="12"/>
      <c r="K114930" s="12"/>
      <c r="L114930" s="208"/>
      <c r="M114930" s="209"/>
      <c r="N114930" s="209"/>
      <c r="O114930" s="209"/>
    </row>
    <row r="114931" spans="1:15" s="210" customFormat="1" x14ac:dyDescent="0.3">
      <c r="A114931" s="12"/>
      <c r="B114931" s="15"/>
      <c r="C114931" s="15"/>
      <c r="D114931" s="12"/>
      <c r="E114931" s="12"/>
      <c r="F114931" s="13"/>
      <c r="G114931" s="12"/>
      <c r="H114931" s="12"/>
      <c r="I114931" s="12"/>
      <c r="J114931" s="12"/>
      <c r="K114931" s="12"/>
      <c r="L114931" s="208"/>
      <c r="M114931" s="209"/>
      <c r="N114931" s="209"/>
      <c r="O114931" s="209"/>
    </row>
    <row r="114932" spans="1:15" s="210" customFormat="1" x14ac:dyDescent="0.3">
      <c r="A114932" s="12"/>
      <c r="B114932" s="15"/>
      <c r="C114932" s="15"/>
      <c r="D114932" s="12"/>
      <c r="E114932" s="12"/>
      <c r="F114932" s="13"/>
      <c r="G114932" s="12"/>
      <c r="H114932" s="12"/>
      <c r="I114932" s="12"/>
      <c r="J114932" s="12"/>
      <c r="K114932" s="12"/>
      <c r="L114932" s="208"/>
      <c r="M114932" s="209"/>
      <c r="N114932" s="209"/>
      <c r="O114932" s="209"/>
    </row>
    <row r="114933" spans="1:15" s="210" customFormat="1" x14ac:dyDescent="0.3">
      <c r="A114933" s="12"/>
      <c r="B114933" s="15"/>
      <c r="C114933" s="15"/>
      <c r="D114933" s="12"/>
      <c r="E114933" s="12"/>
      <c r="F114933" s="13"/>
      <c r="G114933" s="12"/>
      <c r="H114933" s="12"/>
      <c r="I114933" s="12"/>
      <c r="J114933" s="12"/>
      <c r="K114933" s="12"/>
      <c r="L114933" s="208"/>
      <c r="M114933" s="209"/>
      <c r="N114933" s="209"/>
      <c r="O114933" s="209"/>
    </row>
    <row r="114934" spans="1:15" s="210" customFormat="1" x14ac:dyDescent="0.3">
      <c r="A114934" s="12"/>
      <c r="B114934" s="15"/>
      <c r="C114934" s="15"/>
      <c r="D114934" s="12"/>
      <c r="E114934" s="12"/>
      <c r="F114934" s="13"/>
      <c r="G114934" s="12"/>
      <c r="H114934" s="12"/>
      <c r="I114934" s="12"/>
      <c r="J114934" s="12"/>
      <c r="K114934" s="12"/>
      <c r="L114934" s="208"/>
      <c r="M114934" s="209"/>
      <c r="N114934" s="209"/>
      <c r="O114934" s="209"/>
    </row>
    <row r="114935" spans="1:15" s="210" customFormat="1" x14ac:dyDescent="0.3">
      <c r="A114935" s="12"/>
      <c r="B114935" s="15"/>
      <c r="C114935" s="15"/>
      <c r="D114935" s="12"/>
      <c r="E114935" s="12"/>
      <c r="F114935" s="13"/>
      <c r="G114935" s="12"/>
      <c r="H114935" s="12"/>
      <c r="I114935" s="12"/>
      <c r="J114935" s="12"/>
      <c r="K114935" s="12"/>
      <c r="L114935" s="208"/>
      <c r="M114935" s="209"/>
      <c r="N114935" s="209"/>
      <c r="O114935" s="209"/>
    </row>
    <row r="114936" spans="1:15" s="210" customFormat="1" x14ac:dyDescent="0.3">
      <c r="A114936" s="12"/>
      <c r="B114936" s="15"/>
      <c r="C114936" s="15"/>
      <c r="D114936" s="12"/>
      <c r="E114936" s="12"/>
      <c r="F114936" s="13"/>
      <c r="G114936" s="12"/>
      <c r="H114936" s="12"/>
      <c r="I114936" s="12"/>
      <c r="J114936" s="12"/>
      <c r="K114936" s="12"/>
      <c r="L114936" s="208"/>
      <c r="M114936" s="209"/>
      <c r="N114936" s="209"/>
      <c r="O114936" s="209"/>
    </row>
    <row r="114937" spans="1:15" s="210" customFormat="1" x14ac:dyDescent="0.3">
      <c r="A114937" s="12"/>
      <c r="B114937" s="15"/>
      <c r="C114937" s="15"/>
      <c r="D114937" s="12"/>
      <c r="E114937" s="12"/>
      <c r="F114937" s="13"/>
      <c r="G114937" s="12"/>
      <c r="H114937" s="12"/>
      <c r="I114937" s="12"/>
      <c r="J114937" s="12"/>
      <c r="K114937" s="12"/>
      <c r="L114937" s="208"/>
      <c r="M114937" s="209"/>
      <c r="N114937" s="209"/>
      <c r="O114937" s="209"/>
    </row>
    <row r="114938" spans="1:15" s="210" customFormat="1" x14ac:dyDescent="0.3">
      <c r="A114938" s="12"/>
      <c r="B114938" s="15"/>
      <c r="C114938" s="15"/>
      <c r="D114938" s="12"/>
      <c r="E114938" s="12"/>
      <c r="F114938" s="13"/>
      <c r="G114938" s="12"/>
      <c r="H114938" s="12"/>
      <c r="I114938" s="12"/>
      <c r="J114938" s="12"/>
      <c r="K114938" s="12"/>
      <c r="L114938" s="208"/>
      <c r="M114938" s="209"/>
      <c r="N114938" s="209"/>
      <c r="O114938" s="209"/>
    </row>
    <row r="114939" spans="1:15" s="210" customFormat="1" x14ac:dyDescent="0.3">
      <c r="A114939" s="12"/>
      <c r="B114939" s="15"/>
      <c r="C114939" s="15"/>
      <c r="D114939" s="12"/>
      <c r="E114939" s="12"/>
      <c r="F114939" s="13"/>
      <c r="G114939" s="12"/>
      <c r="H114939" s="12"/>
      <c r="I114939" s="12"/>
      <c r="J114939" s="12"/>
      <c r="K114939" s="12"/>
      <c r="L114939" s="208"/>
      <c r="M114939" s="209"/>
      <c r="N114939" s="209"/>
      <c r="O114939" s="209"/>
    </row>
    <row r="114940" spans="1:15" s="210" customFormat="1" x14ac:dyDescent="0.3">
      <c r="A114940" s="12"/>
      <c r="B114940" s="15"/>
      <c r="C114940" s="15"/>
      <c r="D114940" s="12"/>
      <c r="E114940" s="12"/>
      <c r="F114940" s="13"/>
      <c r="G114940" s="12"/>
      <c r="H114940" s="12"/>
      <c r="I114940" s="12"/>
      <c r="J114940" s="12"/>
      <c r="K114940" s="12"/>
      <c r="L114940" s="208"/>
      <c r="M114940" s="209"/>
      <c r="N114940" s="209"/>
      <c r="O114940" s="209"/>
    </row>
    <row r="114941" spans="1:15" s="210" customFormat="1" x14ac:dyDescent="0.3">
      <c r="A114941" s="12"/>
      <c r="B114941" s="15"/>
      <c r="C114941" s="15"/>
      <c r="D114941" s="12"/>
      <c r="E114941" s="12"/>
      <c r="F114941" s="13"/>
      <c r="G114941" s="12"/>
      <c r="H114941" s="12"/>
      <c r="I114941" s="12"/>
      <c r="J114941" s="12"/>
      <c r="K114941" s="12"/>
      <c r="L114941" s="208"/>
      <c r="M114941" s="209"/>
      <c r="N114941" s="209"/>
      <c r="O114941" s="209"/>
    </row>
    <row r="114942" spans="1:15" s="210" customFormat="1" x14ac:dyDescent="0.3">
      <c r="A114942" s="12"/>
      <c r="B114942" s="15"/>
      <c r="C114942" s="15"/>
      <c r="D114942" s="12"/>
      <c r="E114942" s="12"/>
      <c r="F114942" s="13"/>
      <c r="G114942" s="12"/>
      <c r="H114942" s="12"/>
      <c r="I114942" s="12"/>
      <c r="J114942" s="12"/>
      <c r="K114942" s="12"/>
      <c r="L114942" s="208"/>
      <c r="M114942" s="209"/>
      <c r="N114942" s="209"/>
      <c r="O114942" s="209"/>
    </row>
    <row r="114943" spans="1:15" s="210" customFormat="1" x14ac:dyDescent="0.3">
      <c r="A114943" s="12"/>
      <c r="B114943" s="15"/>
      <c r="C114943" s="15"/>
      <c r="D114943" s="12"/>
      <c r="E114943" s="12"/>
      <c r="F114943" s="13"/>
      <c r="G114943" s="12"/>
      <c r="H114943" s="12"/>
      <c r="I114943" s="12"/>
      <c r="J114943" s="12"/>
      <c r="K114943" s="12"/>
      <c r="L114943" s="208"/>
      <c r="M114943" s="209"/>
      <c r="N114943" s="209"/>
      <c r="O114943" s="209"/>
    </row>
    <row r="114944" spans="1:15" s="210" customFormat="1" x14ac:dyDescent="0.3">
      <c r="A114944" s="12"/>
      <c r="B114944" s="15"/>
      <c r="C114944" s="15"/>
      <c r="D114944" s="12"/>
      <c r="E114944" s="12"/>
      <c r="F114944" s="13"/>
      <c r="G114944" s="12"/>
      <c r="H114944" s="12"/>
      <c r="I114944" s="12"/>
      <c r="J114944" s="12"/>
      <c r="K114944" s="12"/>
      <c r="L114944" s="208"/>
      <c r="M114944" s="209"/>
      <c r="N114944" s="209"/>
      <c r="O114944" s="209"/>
    </row>
    <row r="114945" spans="1:15" s="210" customFormat="1" x14ac:dyDescent="0.3">
      <c r="A114945" s="12"/>
      <c r="B114945" s="15"/>
      <c r="C114945" s="15"/>
      <c r="D114945" s="12"/>
      <c r="E114945" s="12"/>
      <c r="F114945" s="13"/>
      <c r="G114945" s="12"/>
      <c r="H114945" s="12"/>
      <c r="I114945" s="12"/>
      <c r="J114945" s="12"/>
      <c r="K114945" s="12"/>
      <c r="L114945" s="208"/>
      <c r="M114945" s="209"/>
      <c r="N114945" s="209"/>
      <c r="O114945" s="209"/>
    </row>
    <row r="114946" spans="1:15" s="210" customFormat="1" x14ac:dyDescent="0.3">
      <c r="A114946" s="12"/>
      <c r="B114946" s="15"/>
      <c r="C114946" s="15"/>
      <c r="D114946" s="12"/>
      <c r="E114946" s="12"/>
      <c r="F114946" s="13"/>
      <c r="G114946" s="12"/>
      <c r="H114946" s="12"/>
      <c r="I114946" s="12"/>
      <c r="J114946" s="12"/>
      <c r="K114946" s="12"/>
      <c r="L114946" s="208"/>
      <c r="M114946" s="209"/>
      <c r="N114946" s="209"/>
      <c r="O114946" s="209"/>
    </row>
    <row r="114947" spans="1:15" s="210" customFormat="1" x14ac:dyDescent="0.3">
      <c r="A114947" s="12"/>
      <c r="B114947" s="15"/>
      <c r="C114947" s="15"/>
      <c r="D114947" s="12"/>
      <c r="E114947" s="12"/>
      <c r="F114947" s="13"/>
      <c r="G114947" s="12"/>
      <c r="H114947" s="12"/>
      <c r="I114947" s="12"/>
      <c r="J114947" s="12"/>
      <c r="K114947" s="12"/>
      <c r="L114947" s="208"/>
      <c r="M114947" s="209"/>
      <c r="N114947" s="209"/>
      <c r="O114947" s="209"/>
    </row>
    <row r="114948" spans="1:15" s="210" customFormat="1" x14ac:dyDescent="0.3">
      <c r="A114948" s="12"/>
      <c r="B114948" s="15"/>
      <c r="C114948" s="15"/>
      <c r="D114948" s="12"/>
      <c r="E114948" s="12"/>
      <c r="F114948" s="13"/>
      <c r="G114948" s="12"/>
      <c r="H114948" s="12"/>
      <c r="I114948" s="12"/>
      <c r="J114948" s="12"/>
      <c r="K114948" s="12"/>
      <c r="L114948" s="208"/>
      <c r="M114948" s="209"/>
      <c r="N114948" s="209"/>
      <c r="O114948" s="209"/>
    </row>
    <row r="114949" spans="1:15" s="210" customFormat="1" x14ac:dyDescent="0.3">
      <c r="A114949" s="12"/>
      <c r="B114949" s="15"/>
      <c r="C114949" s="15"/>
      <c r="D114949" s="12"/>
      <c r="E114949" s="12"/>
      <c r="F114949" s="13"/>
      <c r="G114949" s="12"/>
      <c r="H114949" s="12"/>
      <c r="I114949" s="12"/>
      <c r="J114949" s="12"/>
      <c r="K114949" s="12"/>
      <c r="L114949" s="208"/>
      <c r="M114949" s="209"/>
      <c r="N114949" s="209"/>
      <c r="O114949" s="209"/>
    </row>
    <row r="114950" spans="1:15" s="210" customFormat="1" x14ac:dyDescent="0.3">
      <c r="A114950" s="12"/>
      <c r="B114950" s="15"/>
      <c r="C114950" s="15"/>
      <c r="D114950" s="12"/>
      <c r="E114950" s="12"/>
      <c r="F114950" s="13"/>
      <c r="G114950" s="12"/>
      <c r="H114950" s="12"/>
      <c r="I114950" s="12"/>
      <c r="J114950" s="12"/>
      <c r="K114950" s="12"/>
      <c r="L114950" s="208"/>
      <c r="M114950" s="209"/>
      <c r="N114950" s="209"/>
      <c r="O114950" s="209"/>
    </row>
    <row r="114951" spans="1:15" s="210" customFormat="1" x14ac:dyDescent="0.3">
      <c r="A114951" s="12"/>
      <c r="B114951" s="15"/>
      <c r="C114951" s="15"/>
      <c r="D114951" s="12"/>
      <c r="E114951" s="12"/>
      <c r="F114951" s="13"/>
      <c r="G114951" s="12"/>
      <c r="H114951" s="12"/>
      <c r="I114951" s="12"/>
      <c r="J114951" s="12"/>
      <c r="K114951" s="12"/>
      <c r="L114951" s="208"/>
      <c r="M114951" s="209"/>
      <c r="N114951" s="209"/>
      <c r="O114951" s="209"/>
    </row>
    <row r="114952" spans="1:15" s="210" customFormat="1" x14ac:dyDescent="0.3">
      <c r="A114952" s="12"/>
      <c r="B114952" s="15"/>
      <c r="C114952" s="15"/>
      <c r="D114952" s="12"/>
      <c r="E114952" s="12"/>
      <c r="F114952" s="13"/>
      <c r="G114952" s="12"/>
      <c r="H114952" s="12"/>
      <c r="I114952" s="12"/>
      <c r="J114952" s="12"/>
      <c r="K114952" s="12"/>
      <c r="L114952" s="208"/>
      <c r="M114952" s="209"/>
      <c r="N114952" s="209"/>
      <c r="O114952" s="209"/>
    </row>
    <row r="114953" spans="1:15" s="210" customFormat="1" x14ac:dyDescent="0.3">
      <c r="A114953" s="12"/>
      <c r="B114953" s="15"/>
      <c r="C114953" s="15"/>
      <c r="D114953" s="12"/>
      <c r="E114953" s="12"/>
      <c r="F114953" s="13"/>
      <c r="G114953" s="12"/>
      <c r="H114953" s="12"/>
      <c r="I114953" s="12"/>
      <c r="J114953" s="12"/>
      <c r="K114953" s="12"/>
      <c r="L114953" s="208"/>
      <c r="M114953" s="209"/>
      <c r="N114953" s="209"/>
      <c r="O114953" s="209"/>
    </row>
    <row r="114954" spans="1:15" s="210" customFormat="1" x14ac:dyDescent="0.3">
      <c r="A114954" s="12"/>
      <c r="B114954" s="15"/>
      <c r="C114954" s="15"/>
      <c r="D114954" s="12"/>
      <c r="E114954" s="12"/>
      <c r="F114954" s="13"/>
      <c r="G114954" s="12"/>
      <c r="H114954" s="12"/>
      <c r="I114954" s="12"/>
      <c r="J114954" s="12"/>
      <c r="K114954" s="12"/>
      <c r="L114954" s="208"/>
      <c r="M114954" s="209"/>
      <c r="N114954" s="209"/>
      <c r="O114954" s="209"/>
    </row>
    <row r="114955" spans="1:15" s="210" customFormat="1" x14ac:dyDescent="0.3">
      <c r="A114955" s="12"/>
      <c r="B114955" s="15"/>
      <c r="C114955" s="15"/>
      <c r="D114955" s="12"/>
      <c r="E114955" s="12"/>
      <c r="F114955" s="13"/>
      <c r="G114955" s="12"/>
      <c r="H114955" s="12"/>
      <c r="I114955" s="12"/>
      <c r="J114955" s="12"/>
      <c r="K114955" s="12"/>
      <c r="L114955" s="208"/>
      <c r="M114955" s="209"/>
      <c r="N114955" s="209"/>
      <c r="O114955" s="209"/>
    </row>
    <row r="114956" spans="1:15" s="210" customFormat="1" x14ac:dyDescent="0.3">
      <c r="A114956" s="12"/>
      <c r="B114956" s="15"/>
      <c r="C114956" s="15"/>
      <c r="D114956" s="12"/>
      <c r="E114956" s="12"/>
      <c r="F114956" s="13"/>
      <c r="G114956" s="12"/>
      <c r="H114956" s="12"/>
      <c r="I114956" s="12"/>
      <c r="J114956" s="12"/>
      <c r="K114956" s="12"/>
      <c r="L114956" s="208"/>
      <c r="M114956" s="209"/>
      <c r="N114956" s="209"/>
      <c r="O114956" s="209"/>
    </row>
    <row r="114957" spans="1:15" s="210" customFormat="1" x14ac:dyDescent="0.3">
      <c r="A114957" s="12"/>
      <c r="B114957" s="15"/>
      <c r="C114957" s="15"/>
      <c r="D114957" s="12"/>
      <c r="E114957" s="12"/>
      <c r="F114957" s="13"/>
      <c r="G114957" s="12"/>
      <c r="H114957" s="12"/>
      <c r="I114957" s="12"/>
      <c r="J114957" s="12"/>
      <c r="K114957" s="12"/>
      <c r="L114957" s="208"/>
      <c r="M114957" s="209"/>
      <c r="N114957" s="209"/>
      <c r="O114957" s="209"/>
    </row>
    <row r="114958" spans="1:15" s="210" customFormat="1" x14ac:dyDescent="0.3">
      <c r="A114958" s="12"/>
      <c r="B114958" s="15"/>
      <c r="C114958" s="15"/>
      <c r="D114958" s="12"/>
      <c r="E114958" s="12"/>
      <c r="F114958" s="13"/>
      <c r="G114958" s="12"/>
      <c r="H114958" s="12"/>
      <c r="I114958" s="12"/>
      <c r="J114958" s="12"/>
      <c r="K114958" s="12"/>
      <c r="L114958" s="208"/>
      <c r="M114958" s="209"/>
      <c r="N114958" s="209"/>
      <c r="O114958" s="209"/>
    </row>
    <row r="114959" spans="1:15" s="210" customFormat="1" x14ac:dyDescent="0.3">
      <c r="A114959" s="12"/>
      <c r="B114959" s="15"/>
      <c r="C114959" s="15"/>
      <c r="D114959" s="12"/>
      <c r="E114959" s="12"/>
      <c r="F114959" s="13"/>
      <c r="G114959" s="12"/>
      <c r="H114959" s="12"/>
      <c r="I114959" s="12"/>
      <c r="J114959" s="12"/>
      <c r="K114959" s="12"/>
      <c r="L114959" s="208"/>
      <c r="M114959" s="209"/>
      <c r="N114959" s="209"/>
      <c r="O114959" s="209"/>
    </row>
    <row r="114960" spans="1:15" s="210" customFormat="1" x14ac:dyDescent="0.3">
      <c r="A114960" s="12"/>
      <c r="B114960" s="15"/>
      <c r="C114960" s="15"/>
      <c r="D114960" s="12"/>
      <c r="E114960" s="12"/>
      <c r="F114960" s="13"/>
      <c r="G114960" s="12"/>
      <c r="H114960" s="12"/>
      <c r="I114960" s="12"/>
      <c r="J114960" s="12"/>
      <c r="K114960" s="12"/>
      <c r="L114960" s="208"/>
      <c r="M114960" s="209"/>
      <c r="N114960" s="209"/>
      <c r="O114960" s="209"/>
    </row>
    <row r="114961" spans="1:15" s="210" customFormat="1" x14ac:dyDescent="0.3">
      <c r="A114961" s="12"/>
      <c r="B114961" s="15"/>
      <c r="C114961" s="15"/>
      <c r="D114961" s="12"/>
      <c r="E114961" s="12"/>
      <c r="F114961" s="13"/>
      <c r="G114961" s="12"/>
      <c r="H114961" s="12"/>
      <c r="I114961" s="12"/>
      <c r="J114961" s="12"/>
      <c r="K114961" s="12"/>
      <c r="L114961" s="208"/>
      <c r="M114961" s="209"/>
      <c r="N114961" s="209"/>
      <c r="O114961" s="209"/>
    </row>
    <row r="114962" spans="1:15" s="210" customFormat="1" x14ac:dyDescent="0.3">
      <c r="A114962" s="12"/>
      <c r="B114962" s="15"/>
      <c r="C114962" s="15"/>
      <c r="D114962" s="12"/>
      <c r="E114962" s="12"/>
      <c r="F114962" s="13"/>
      <c r="G114962" s="12"/>
      <c r="H114962" s="12"/>
      <c r="I114962" s="12"/>
      <c r="J114962" s="12"/>
      <c r="K114962" s="12"/>
      <c r="L114962" s="208"/>
      <c r="M114962" s="209"/>
      <c r="N114962" s="209"/>
      <c r="O114962" s="209"/>
    </row>
    <row r="114963" spans="1:15" s="210" customFormat="1" x14ac:dyDescent="0.3">
      <c r="A114963" s="12"/>
      <c r="B114963" s="15"/>
      <c r="C114963" s="15"/>
      <c r="D114963" s="12"/>
      <c r="E114963" s="12"/>
      <c r="F114963" s="13"/>
      <c r="G114963" s="12"/>
      <c r="H114963" s="12"/>
      <c r="I114963" s="12"/>
      <c r="J114963" s="12"/>
      <c r="K114963" s="12"/>
      <c r="L114963" s="208"/>
      <c r="M114963" s="209"/>
      <c r="N114963" s="209"/>
      <c r="O114963" s="209"/>
    </row>
    <row r="114964" spans="1:15" s="210" customFormat="1" x14ac:dyDescent="0.3">
      <c r="A114964" s="12"/>
      <c r="B114964" s="15"/>
      <c r="C114964" s="15"/>
      <c r="D114964" s="12"/>
      <c r="E114964" s="12"/>
      <c r="F114964" s="13"/>
      <c r="G114964" s="12"/>
      <c r="H114964" s="12"/>
      <c r="I114964" s="12"/>
      <c r="J114964" s="12"/>
      <c r="K114964" s="12"/>
      <c r="L114964" s="208"/>
      <c r="M114964" s="209"/>
      <c r="N114964" s="209"/>
      <c r="O114964" s="209"/>
    </row>
    <row r="114965" spans="1:15" s="210" customFormat="1" x14ac:dyDescent="0.3">
      <c r="A114965" s="12"/>
      <c r="B114965" s="15"/>
      <c r="C114965" s="15"/>
      <c r="D114965" s="12"/>
      <c r="E114965" s="12"/>
      <c r="F114965" s="13"/>
      <c r="G114965" s="12"/>
      <c r="H114965" s="12"/>
      <c r="I114965" s="12"/>
      <c r="J114965" s="12"/>
      <c r="K114965" s="12"/>
      <c r="L114965" s="208"/>
      <c r="M114965" s="209"/>
      <c r="N114965" s="209"/>
      <c r="O114965" s="209"/>
    </row>
    <row r="114966" spans="1:15" s="210" customFormat="1" x14ac:dyDescent="0.3">
      <c r="A114966" s="12"/>
      <c r="B114966" s="15"/>
      <c r="C114966" s="15"/>
      <c r="D114966" s="12"/>
      <c r="E114966" s="12"/>
      <c r="F114966" s="13"/>
      <c r="G114966" s="12"/>
      <c r="H114966" s="12"/>
      <c r="I114966" s="12"/>
      <c r="J114966" s="12"/>
      <c r="K114966" s="12"/>
      <c r="L114966" s="208"/>
      <c r="M114966" s="209"/>
      <c r="N114966" s="209"/>
      <c r="O114966" s="209"/>
    </row>
    <row r="114967" spans="1:15" s="210" customFormat="1" x14ac:dyDescent="0.3">
      <c r="A114967" s="12"/>
      <c r="B114967" s="15"/>
      <c r="C114967" s="15"/>
      <c r="D114967" s="12"/>
      <c r="E114967" s="12"/>
      <c r="F114967" s="13"/>
      <c r="G114967" s="12"/>
      <c r="H114967" s="12"/>
      <c r="I114967" s="12"/>
      <c r="J114967" s="12"/>
      <c r="K114967" s="12"/>
      <c r="L114967" s="208"/>
      <c r="M114967" s="209"/>
      <c r="N114967" s="209"/>
      <c r="O114967" s="209"/>
    </row>
    <row r="114968" spans="1:15" s="210" customFormat="1" x14ac:dyDescent="0.3">
      <c r="A114968" s="12"/>
      <c r="B114968" s="15"/>
      <c r="C114968" s="15"/>
      <c r="D114968" s="12"/>
      <c r="E114968" s="12"/>
      <c r="F114968" s="13"/>
      <c r="G114968" s="12"/>
      <c r="H114968" s="12"/>
      <c r="I114968" s="12"/>
      <c r="J114968" s="12"/>
      <c r="K114968" s="12"/>
      <c r="L114968" s="208"/>
      <c r="M114968" s="209"/>
      <c r="N114968" s="209"/>
      <c r="O114968" s="209"/>
    </row>
    <row r="114969" spans="1:15" s="210" customFormat="1" x14ac:dyDescent="0.3">
      <c r="A114969" s="12"/>
      <c r="B114969" s="15"/>
      <c r="C114969" s="15"/>
      <c r="D114969" s="12"/>
      <c r="E114969" s="12"/>
      <c r="F114969" s="13"/>
      <c r="G114969" s="12"/>
      <c r="H114969" s="12"/>
      <c r="I114969" s="12"/>
      <c r="J114969" s="12"/>
      <c r="K114969" s="12"/>
      <c r="L114969" s="208"/>
      <c r="M114969" s="209"/>
      <c r="N114969" s="209"/>
      <c r="O114969" s="209"/>
    </row>
    <row r="114970" spans="1:15" s="210" customFormat="1" x14ac:dyDescent="0.3">
      <c r="A114970" s="12"/>
      <c r="B114970" s="15"/>
      <c r="C114970" s="15"/>
      <c r="D114970" s="12"/>
      <c r="E114970" s="12"/>
      <c r="F114970" s="13"/>
      <c r="G114970" s="12"/>
      <c r="H114970" s="12"/>
      <c r="I114970" s="12"/>
      <c r="J114970" s="12"/>
      <c r="K114970" s="12"/>
      <c r="L114970" s="208"/>
      <c r="M114970" s="209"/>
      <c r="N114970" s="209"/>
      <c r="O114970" s="209"/>
    </row>
    <row r="114971" spans="1:15" s="210" customFormat="1" x14ac:dyDescent="0.3">
      <c r="A114971" s="12"/>
      <c r="B114971" s="15"/>
      <c r="C114971" s="15"/>
      <c r="D114971" s="12"/>
      <c r="E114971" s="12"/>
      <c r="F114971" s="13"/>
      <c r="G114971" s="12"/>
      <c r="H114971" s="12"/>
      <c r="I114971" s="12"/>
      <c r="J114971" s="12"/>
      <c r="K114971" s="12"/>
      <c r="L114971" s="208"/>
      <c r="M114971" s="209"/>
      <c r="N114971" s="209"/>
      <c r="O114971" s="209"/>
    </row>
    <row r="114972" spans="1:15" s="210" customFormat="1" x14ac:dyDescent="0.3">
      <c r="A114972" s="12"/>
      <c r="B114972" s="15"/>
      <c r="C114972" s="15"/>
      <c r="D114972" s="12"/>
      <c r="E114972" s="12"/>
      <c r="F114972" s="13"/>
      <c r="G114972" s="12"/>
      <c r="H114972" s="12"/>
      <c r="I114972" s="12"/>
      <c r="J114972" s="12"/>
      <c r="K114972" s="12"/>
      <c r="L114972" s="208"/>
      <c r="M114972" s="209"/>
      <c r="N114972" s="209"/>
      <c r="O114972" s="209"/>
    </row>
    <row r="114973" spans="1:15" s="210" customFormat="1" x14ac:dyDescent="0.3">
      <c r="A114973" s="12"/>
      <c r="B114973" s="15"/>
      <c r="C114973" s="15"/>
      <c r="D114973" s="12"/>
      <c r="E114973" s="12"/>
      <c r="F114973" s="13"/>
      <c r="G114973" s="12"/>
      <c r="H114973" s="12"/>
      <c r="I114973" s="12"/>
      <c r="J114973" s="12"/>
      <c r="K114973" s="12"/>
      <c r="L114973" s="208"/>
      <c r="M114973" s="209"/>
      <c r="N114973" s="209"/>
      <c r="O114973" s="209"/>
    </row>
    <row r="114974" spans="1:15" s="210" customFormat="1" x14ac:dyDescent="0.3">
      <c r="A114974" s="12"/>
      <c r="B114974" s="15"/>
      <c r="C114974" s="15"/>
      <c r="D114974" s="12"/>
      <c r="E114974" s="12"/>
      <c r="F114974" s="13"/>
      <c r="G114974" s="12"/>
      <c r="H114974" s="12"/>
      <c r="I114974" s="12"/>
      <c r="J114974" s="12"/>
      <c r="K114974" s="12"/>
      <c r="L114974" s="208"/>
      <c r="M114974" s="209"/>
      <c r="N114974" s="209"/>
      <c r="O114974" s="209"/>
    </row>
    <row r="114975" spans="1:15" s="210" customFormat="1" x14ac:dyDescent="0.3">
      <c r="A114975" s="12"/>
      <c r="B114975" s="15"/>
      <c r="C114975" s="15"/>
      <c r="D114975" s="12"/>
      <c r="E114975" s="12"/>
      <c r="F114975" s="13"/>
      <c r="G114975" s="12"/>
      <c r="H114975" s="12"/>
      <c r="I114975" s="12"/>
      <c r="J114975" s="12"/>
      <c r="K114975" s="12"/>
      <c r="L114975" s="208"/>
      <c r="M114975" s="209"/>
      <c r="N114975" s="209"/>
      <c r="O114975" s="209"/>
    </row>
    <row r="114976" spans="1:15" s="210" customFormat="1" x14ac:dyDescent="0.3">
      <c r="A114976" s="12"/>
      <c r="B114976" s="15"/>
      <c r="C114976" s="15"/>
      <c r="D114976" s="12"/>
      <c r="E114976" s="12"/>
      <c r="F114976" s="13"/>
      <c r="G114976" s="12"/>
      <c r="H114976" s="12"/>
      <c r="I114976" s="12"/>
      <c r="J114976" s="12"/>
      <c r="K114976" s="12"/>
      <c r="L114976" s="208"/>
      <c r="M114976" s="209"/>
      <c r="N114976" s="209"/>
      <c r="O114976" s="209"/>
    </row>
    <row r="114977" spans="1:15" s="210" customFormat="1" x14ac:dyDescent="0.3">
      <c r="A114977" s="12"/>
      <c r="B114977" s="15"/>
      <c r="C114977" s="15"/>
      <c r="D114977" s="12"/>
      <c r="E114977" s="12"/>
      <c r="F114977" s="13"/>
      <c r="G114977" s="12"/>
      <c r="H114977" s="12"/>
      <c r="I114977" s="12"/>
      <c r="J114977" s="12"/>
      <c r="K114977" s="12"/>
      <c r="L114977" s="208"/>
      <c r="M114977" s="209"/>
      <c r="N114977" s="209"/>
      <c r="O114977" s="209"/>
    </row>
    <row r="114978" spans="1:15" s="210" customFormat="1" x14ac:dyDescent="0.3">
      <c r="A114978" s="12"/>
      <c r="B114978" s="15"/>
      <c r="C114978" s="15"/>
      <c r="D114978" s="12"/>
      <c r="E114978" s="12"/>
      <c r="F114978" s="13"/>
      <c r="G114978" s="12"/>
      <c r="H114978" s="12"/>
      <c r="I114978" s="12"/>
      <c r="J114978" s="12"/>
      <c r="K114978" s="12"/>
      <c r="L114978" s="208"/>
      <c r="M114978" s="209"/>
      <c r="N114978" s="209"/>
      <c r="O114978" s="209"/>
    </row>
    <row r="114979" spans="1:15" s="210" customFormat="1" x14ac:dyDescent="0.3">
      <c r="A114979" s="12"/>
      <c r="B114979" s="15"/>
      <c r="C114979" s="15"/>
      <c r="D114979" s="12"/>
      <c r="E114979" s="12"/>
      <c r="F114979" s="13"/>
      <c r="G114979" s="12"/>
      <c r="H114979" s="12"/>
      <c r="I114979" s="12"/>
      <c r="J114979" s="12"/>
      <c r="K114979" s="12"/>
      <c r="L114979" s="208"/>
      <c r="M114979" s="209"/>
      <c r="N114979" s="209"/>
      <c r="O114979" s="209"/>
    </row>
    <row r="114980" spans="1:15" s="210" customFormat="1" x14ac:dyDescent="0.3">
      <c r="A114980" s="12"/>
      <c r="B114980" s="15"/>
      <c r="C114980" s="15"/>
      <c r="D114980" s="12"/>
      <c r="E114980" s="12"/>
      <c r="F114980" s="13"/>
      <c r="G114980" s="12"/>
      <c r="H114980" s="12"/>
      <c r="I114980" s="12"/>
      <c r="J114980" s="12"/>
      <c r="K114980" s="12"/>
      <c r="L114980" s="208"/>
      <c r="M114980" s="209"/>
      <c r="N114980" s="209"/>
      <c r="O114980" s="209"/>
    </row>
    <row r="114981" spans="1:15" s="210" customFormat="1" x14ac:dyDescent="0.3">
      <c r="A114981" s="12"/>
      <c r="B114981" s="15"/>
      <c r="C114981" s="15"/>
      <c r="D114981" s="12"/>
      <c r="E114981" s="12"/>
      <c r="F114981" s="13"/>
      <c r="G114981" s="12"/>
      <c r="H114981" s="12"/>
      <c r="I114981" s="12"/>
      <c r="J114981" s="12"/>
      <c r="K114981" s="12"/>
      <c r="L114981" s="208"/>
      <c r="M114981" s="209"/>
      <c r="N114981" s="209"/>
      <c r="O114981" s="209"/>
    </row>
    <row r="114982" spans="1:15" s="210" customFormat="1" x14ac:dyDescent="0.3">
      <c r="A114982" s="12"/>
      <c r="B114982" s="15"/>
      <c r="C114982" s="15"/>
      <c r="D114982" s="12"/>
      <c r="E114982" s="12"/>
      <c r="F114982" s="13"/>
      <c r="G114982" s="12"/>
      <c r="H114982" s="12"/>
      <c r="I114982" s="12"/>
      <c r="J114982" s="12"/>
      <c r="K114982" s="12"/>
      <c r="L114982" s="208"/>
      <c r="M114982" s="209"/>
      <c r="N114982" s="209"/>
      <c r="O114982" s="209"/>
    </row>
    <row r="114983" spans="1:15" s="210" customFormat="1" x14ac:dyDescent="0.3">
      <c r="A114983" s="12"/>
      <c r="B114983" s="15"/>
      <c r="C114983" s="15"/>
      <c r="D114983" s="12"/>
      <c r="E114983" s="12"/>
      <c r="F114983" s="13"/>
      <c r="G114983" s="12"/>
      <c r="H114983" s="12"/>
      <c r="I114983" s="12"/>
      <c r="J114983" s="12"/>
      <c r="K114983" s="12"/>
      <c r="L114983" s="208"/>
      <c r="M114983" s="209"/>
      <c r="N114983" s="209"/>
      <c r="O114983" s="209"/>
    </row>
    <row r="114984" spans="1:15" s="210" customFormat="1" x14ac:dyDescent="0.3">
      <c r="A114984" s="12"/>
      <c r="B114984" s="15"/>
      <c r="C114984" s="15"/>
      <c r="D114984" s="12"/>
      <c r="E114984" s="12"/>
      <c r="F114984" s="13"/>
      <c r="G114984" s="12"/>
      <c r="H114984" s="12"/>
      <c r="I114984" s="12"/>
      <c r="J114984" s="12"/>
      <c r="K114984" s="12"/>
      <c r="L114984" s="208"/>
      <c r="M114984" s="209"/>
      <c r="N114984" s="209"/>
      <c r="O114984" s="209"/>
    </row>
    <row r="114985" spans="1:15" s="210" customFormat="1" x14ac:dyDescent="0.3">
      <c r="A114985" s="12"/>
      <c r="B114985" s="15"/>
      <c r="C114985" s="15"/>
      <c r="D114985" s="12"/>
      <c r="E114985" s="12"/>
      <c r="F114985" s="13"/>
      <c r="G114985" s="12"/>
      <c r="H114985" s="12"/>
      <c r="I114985" s="12"/>
      <c r="J114985" s="12"/>
      <c r="K114985" s="12"/>
      <c r="L114985" s="208"/>
      <c r="M114985" s="209"/>
      <c r="N114985" s="209"/>
      <c r="O114985" s="209"/>
    </row>
    <row r="114986" spans="1:15" s="210" customFormat="1" x14ac:dyDescent="0.3">
      <c r="A114986" s="12"/>
      <c r="B114986" s="15"/>
      <c r="C114986" s="15"/>
      <c r="D114986" s="12"/>
      <c r="E114986" s="12"/>
      <c r="F114986" s="13"/>
      <c r="G114986" s="12"/>
      <c r="H114986" s="12"/>
      <c r="I114986" s="12"/>
      <c r="J114986" s="12"/>
      <c r="K114986" s="12"/>
      <c r="L114986" s="208"/>
      <c r="M114986" s="209"/>
      <c r="N114986" s="209"/>
      <c r="O114986" s="209"/>
    </row>
    <row r="114987" spans="1:15" s="210" customFormat="1" x14ac:dyDescent="0.3">
      <c r="A114987" s="12"/>
      <c r="B114987" s="15"/>
      <c r="C114987" s="15"/>
      <c r="D114987" s="12"/>
      <c r="E114987" s="12"/>
      <c r="F114987" s="13"/>
      <c r="G114987" s="12"/>
      <c r="H114987" s="12"/>
      <c r="I114987" s="12"/>
      <c r="J114987" s="12"/>
      <c r="K114987" s="12"/>
      <c r="L114987" s="208"/>
      <c r="M114987" s="209"/>
      <c r="N114987" s="209"/>
      <c r="O114987" s="209"/>
    </row>
    <row r="114988" spans="1:15" s="210" customFormat="1" x14ac:dyDescent="0.3">
      <c r="A114988" s="12"/>
      <c r="B114988" s="15"/>
      <c r="C114988" s="15"/>
      <c r="D114988" s="12"/>
      <c r="E114988" s="12"/>
      <c r="F114988" s="13"/>
      <c r="G114988" s="12"/>
      <c r="H114988" s="12"/>
      <c r="I114988" s="12"/>
      <c r="J114988" s="12"/>
      <c r="K114988" s="12"/>
      <c r="L114988" s="208"/>
      <c r="M114988" s="209"/>
      <c r="N114988" s="209"/>
      <c r="O114988" s="209"/>
    </row>
    <row r="114989" spans="1:15" s="210" customFormat="1" x14ac:dyDescent="0.3">
      <c r="A114989" s="12"/>
      <c r="B114989" s="15"/>
      <c r="C114989" s="15"/>
      <c r="D114989" s="12"/>
      <c r="E114989" s="12"/>
      <c r="F114989" s="13"/>
      <c r="G114989" s="12"/>
      <c r="H114989" s="12"/>
      <c r="I114989" s="12"/>
      <c r="J114989" s="12"/>
      <c r="K114989" s="12"/>
      <c r="L114989" s="208"/>
      <c r="M114989" s="209"/>
      <c r="N114989" s="209"/>
      <c r="O114989" s="209"/>
    </row>
    <row r="114990" spans="1:15" s="210" customFormat="1" x14ac:dyDescent="0.3">
      <c r="A114990" s="12"/>
      <c r="B114990" s="15"/>
      <c r="C114990" s="15"/>
      <c r="D114990" s="12"/>
      <c r="E114990" s="12"/>
      <c r="F114990" s="13"/>
      <c r="G114990" s="12"/>
      <c r="H114990" s="12"/>
      <c r="I114990" s="12"/>
      <c r="J114990" s="12"/>
      <c r="K114990" s="12"/>
      <c r="L114990" s="208"/>
      <c r="M114990" s="209"/>
      <c r="N114990" s="209"/>
      <c r="O114990" s="209"/>
    </row>
    <row r="114991" spans="1:15" s="210" customFormat="1" x14ac:dyDescent="0.3">
      <c r="A114991" s="12"/>
      <c r="B114991" s="15"/>
      <c r="C114991" s="15"/>
      <c r="D114991" s="12"/>
      <c r="E114991" s="12"/>
      <c r="F114991" s="13"/>
      <c r="G114991" s="12"/>
      <c r="H114991" s="12"/>
      <c r="I114991" s="12"/>
      <c r="J114991" s="12"/>
      <c r="K114991" s="12"/>
      <c r="L114991" s="208"/>
      <c r="M114991" s="209"/>
      <c r="N114991" s="209"/>
      <c r="O114991" s="209"/>
    </row>
    <row r="114992" spans="1:15" s="210" customFormat="1" x14ac:dyDescent="0.3">
      <c r="A114992" s="12"/>
      <c r="B114992" s="15"/>
      <c r="C114992" s="15"/>
      <c r="D114992" s="12"/>
      <c r="E114992" s="12"/>
      <c r="F114992" s="13"/>
      <c r="G114992" s="12"/>
      <c r="H114992" s="12"/>
      <c r="I114992" s="12"/>
      <c r="J114992" s="12"/>
      <c r="K114992" s="12"/>
      <c r="L114992" s="208"/>
      <c r="M114992" s="209"/>
      <c r="N114992" s="209"/>
      <c r="O114992" s="209"/>
    </row>
    <row r="114993" spans="1:15" s="210" customFormat="1" x14ac:dyDescent="0.3">
      <c r="A114993" s="12"/>
      <c r="B114993" s="15"/>
      <c r="C114993" s="15"/>
      <c r="D114993" s="12"/>
      <c r="E114993" s="12"/>
      <c r="F114993" s="13"/>
      <c r="G114993" s="12"/>
      <c r="H114993" s="12"/>
      <c r="I114993" s="12"/>
      <c r="J114993" s="12"/>
      <c r="K114993" s="12"/>
      <c r="L114993" s="208"/>
      <c r="M114993" s="209"/>
      <c r="N114993" s="209"/>
      <c r="O114993" s="209"/>
    </row>
    <row r="114994" spans="1:15" s="210" customFormat="1" x14ac:dyDescent="0.3">
      <c r="A114994" s="12"/>
      <c r="B114994" s="15"/>
      <c r="C114994" s="15"/>
      <c r="D114994" s="12"/>
      <c r="E114994" s="12"/>
      <c r="F114994" s="13"/>
      <c r="G114994" s="12"/>
      <c r="H114994" s="12"/>
      <c r="I114994" s="12"/>
      <c r="J114994" s="12"/>
      <c r="K114994" s="12"/>
      <c r="L114994" s="208"/>
      <c r="M114994" s="209"/>
      <c r="N114994" s="209"/>
      <c r="O114994" s="209"/>
    </row>
    <row r="114995" spans="1:15" s="210" customFormat="1" x14ac:dyDescent="0.3">
      <c r="A114995" s="12"/>
      <c r="B114995" s="15"/>
      <c r="C114995" s="15"/>
      <c r="D114995" s="12"/>
      <c r="E114995" s="12"/>
      <c r="F114995" s="13"/>
      <c r="G114995" s="12"/>
      <c r="H114995" s="12"/>
      <c r="I114995" s="12"/>
      <c r="J114995" s="12"/>
      <c r="K114995" s="12"/>
      <c r="L114995" s="208"/>
      <c r="M114995" s="209"/>
      <c r="N114995" s="209"/>
      <c r="O114995" s="209"/>
    </row>
    <row r="114996" spans="1:15" s="210" customFormat="1" x14ac:dyDescent="0.3">
      <c r="A114996" s="12"/>
      <c r="B114996" s="15"/>
      <c r="C114996" s="15"/>
      <c r="D114996" s="12"/>
      <c r="E114996" s="12"/>
      <c r="F114996" s="13"/>
      <c r="G114996" s="12"/>
      <c r="H114996" s="12"/>
      <c r="I114996" s="12"/>
      <c r="J114996" s="12"/>
      <c r="K114996" s="12"/>
      <c r="L114996" s="208"/>
      <c r="M114996" s="209"/>
      <c r="N114996" s="209"/>
      <c r="O114996" s="209"/>
    </row>
    <row r="114997" spans="1:15" s="210" customFormat="1" x14ac:dyDescent="0.3">
      <c r="A114997" s="12"/>
      <c r="B114997" s="15"/>
      <c r="C114997" s="15"/>
      <c r="D114997" s="12"/>
      <c r="E114997" s="12"/>
      <c r="F114997" s="13"/>
      <c r="G114997" s="12"/>
      <c r="H114997" s="12"/>
      <c r="I114997" s="12"/>
      <c r="J114997" s="12"/>
      <c r="K114997" s="12"/>
      <c r="L114997" s="208"/>
      <c r="M114997" s="209"/>
      <c r="N114997" s="209"/>
      <c r="O114997" s="209"/>
    </row>
    <row r="114998" spans="1:15" s="210" customFormat="1" x14ac:dyDescent="0.3">
      <c r="A114998" s="12"/>
      <c r="B114998" s="15"/>
      <c r="C114998" s="15"/>
      <c r="D114998" s="12"/>
      <c r="E114998" s="12"/>
      <c r="F114998" s="13"/>
      <c r="G114998" s="12"/>
      <c r="H114998" s="12"/>
      <c r="I114998" s="12"/>
      <c r="J114998" s="12"/>
      <c r="K114998" s="12"/>
      <c r="L114998" s="208"/>
      <c r="M114998" s="209"/>
      <c r="N114998" s="209"/>
      <c r="O114998" s="209"/>
    </row>
    <row r="114999" spans="1:15" s="210" customFormat="1" x14ac:dyDescent="0.3">
      <c r="A114999" s="12"/>
      <c r="B114999" s="15"/>
      <c r="C114999" s="15"/>
      <c r="D114999" s="12"/>
      <c r="E114999" s="12"/>
      <c r="F114999" s="13"/>
      <c r="G114999" s="12"/>
      <c r="H114999" s="12"/>
      <c r="I114999" s="12"/>
      <c r="J114999" s="12"/>
      <c r="K114999" s="12"/>
      <c r="L114999" s="208"/>
      <c r="M114999" s="209"/>
      <c r="N114999" s="209"/>
      <c r="O114999" s="209"/>
    </row>
    <row r="115000" spans="1:15" s="210" customFormat="1" x14ac:dyDescent="0.3">
      <c r="A115000" s="12"/>
      <c r="B115000" s="15"/>
      <c r="C115000" s="15"/>
      <c r="D115000" s="12"/>
      <c r="E115000" s="12"/>
      <c r="F115000" s="13"/>
      <c r="G115000" s="12"/>
      <c r="H115000" s="12"/>
      <c r="I115000" s="12"/>
      <c r="J115000" s="12"/>
      <c r="K115000" s="12"/>
      <c r="L115000" s="208"/>
      <c r="M115000" s="209"/>
      <c r="N115000" s="209"/>
      <c r="O115000" s="209"/>
    </row>
    <row r="115001" spans="1:15" s="210" customFormat="1" x14ac:dyDescent="0.3">
      <c r="A115001" s="12"/>
      <c r="B115001" s="15"/>
      <c r="C115001" s="15"/>
      <c r="D115001" s="12"/>
      <c r="E115001" s="12"/>
      <c r="F115001" s="13"/>
      <c r="G115001" s="12"/>
      <c r="H115001" s="12"/>
      <c r="I115001" s="12"/>
      <c r="J115001" s="12"/>
      <c r="K115001" s="12"/>
      <c r="L115001" s="208"/>
      <c r="M115001" s="209"/>
      <c r="N115001" s="209"/>
      <c r="O115001" s="209"/>
    </row>
    <row r="115002" spans="1:15" s="210" customFormat="1" x14ac:dyDescent="0.3">
      <c r="A115002" s="12"/>
      <c r="B115002" s="15"/>
      <c r="C115002" s="15"/>
      <c r="D115002" s="12"/>
      <c r="E115002" s="12"/>
      <c r="F115002" s="13"/>
      <c r="G115002" s="12"/>
      <c r="H115002" s="12"/>
      <c r="I115002" s="12"/>
      <c r="J115002" s="12"/>
      <c r="K115002" s="12"/>
      <c r="L115002" s="208"/>
      <c r="M115002" s="209"/>
      <c r="N115002" s="209"/>
      <c r="O115002" s="209"/>
    </row>
    <row r="115003" spans="1:15" s="210" customFormat="1" x14ac:dyDescent="0.3">
      <c r="A115003" s="12"/>
      <c r="B115003" s="15"/>
      <c r="C115003" s="15"/>
      <c r="D115003" s="12"/>
      <c r="E115003" s="12"/>
      <c r="F115003" s="13"/>
      <c r="G115003" s="12"/>
      <c r="H115003" s="12"/>
      <c r="I115003" s="12"/>
      <c r="J115003" s="12"/>
      <c r="K115003" s="12"/>
      <c r="L115003" s="208"/>
      <c r="M115003" s="209"/>
      <c r="N115003" s="209"/>
      <c r="O115003" s="209"/>
    </row>
    <row r="115004" spans="1:15" s="210" customFormat="1" x14ac:dyDescent="0.3">
      <c r="A115004" s="12"/>
      <c r="B115004" s="15"/>
      <c r="C115004" s="15"/>
      <c r="D115004" s="12"/>
      <c r="E115004" s="12"/>
      <c r="F115004" s="13"/>
      <c r="G115004" s="12"/>
      <c r="H115004" s="12"/>
      <c r="I115004" s="12"/>
      <c r="J115004" s="12"/>
      <c r="K115004" s="12"/>
      <c r="L115004" s="208"/>
      <c r="M115004" s="209"/>
      <c r="N115004" s="209"/>
      <c r="O115004" s="209"/>
    </row>
    <row r="115005" spans="1:15" s="210" customFormat="1" x14ac:dyDescent="0.3">
      <c r="A115005" s="12"/>
      <c r="B115005" s="15"/>
      <c r="C115005" s="15"/>
      <c r="D115005" s="12"/>
      <c r="E115005" s="12"/>
      <c r="F115005" s="13"/>
      <c r="G115005" s="12"/>
      <c r="H115005" s="12"/>
      <c r="I115005" s="12"/>
      <c r="J115005" s="12"/>
      <c r="K115005" s="12"/>
      <c r="L115005" s="208"/>
      <c r="M115005" s="209"/>
      <c r="N115005" s="209"/>
      <c r="O115005" s="209"/>
    </row>
    <row r="115006" spans="1:15" s="210" customFormat="1" x14ac:dyDescent="0.3">
      <c r="A115006" s="12"/>
      <c r="B115006" s="15"/>
      <c r="C115006" s="15"/>
      <c r="D115006" s="12"/>
      <c r="E115006" s="12"/>
      <c r="F115006" s="13"/>
      <c r="G115006" s="12"/>
      <c r="H115006" s="12"/>
      <c r="I115006" s="12"/>
      <c r="J115006" s="12"/>
      <c r="K115006" s="12"/>
      <c r="L115006" s="208"/>
      <c r="M115006" s="209"/>
      <c r="N115006" s="209"/>
      <c r="O115006" s="209"/>
    </row>
    <row r="115007" spans="1:15" s="210" customFormat="1" x14ac:dyDescent="0.3">
      <c r="A115007" s="12"/>
      <c r="B115007" s="15"/>
      <c r="C115007" s="15"/>
      <c r="D115007" s="12"/>
      <c r="E115007" s="12"/>
      <c r="F115007" s="13"/>
      <c r="G115007" s="12"/>
      <c r="H115007" s="12"/>
      <c r="I115007" s="12"/>
      <c r="J115007" s="12"/>
      <c r="K115007" s="12"/>
      <c r="L115007" s="208"/>
      <c r="M115007" s="209"/>
      <c r="N115007" s="209"/>
      <c r="O115007" s="209"/>
    </row>
    <row r="115008" spans="1:15" s="210" customFormat="1" x14ac:dyDescent="0.3">
      <c r="A115008" s="12"/>
      <c r="B115008" s="15"/>
      <c r="C115008" s="15"/>
      <c r="D115008" s="12"/>
      <c r="E115008" s="12"/>
      <c r="F115008" s="13"/>
      <c r="G115008" s="12"/>
      <c r="H115008" s="12"/>
      <c r="I115008" s="12"/>
      <c r="J115008" s="12"/>
      <c r="K115008" s="12"/>
      <c r="L115008" s="208"/>
      <c r="M115008" s="209"/>
      <c r="N115008" s="209"/>
      <c r="O115008" s="209"/>
    </row>
    <row r="115009" spans="1:15" s="210" customFormat="1" x14ac:dyDescent="0.3">
      <c r="A115009" s="12"/>
      <c r="B115009" s="15"/>
      <c r="C115009" s="15"/>
      <c r="D115009" s="12"/>
      <c r="E115009" s="12"/>
      <c r="F115009" s="13"/>
      <c r="G115009" s="12"/>
      <c r="H115009" s="12"/>
      <c r="I115009" s="12"/>
      <c r="J115009" s="12"/>
      <c r="K115009" s="12"/>
      <c r="L115009" s="208"/>
      <c r="M115009" s="209"/>
      <c r="N115009" s="209"/>
      <c r="O115009" s="209"/>
    </row>
    <row r="115010" spans="1:15" s="210" customFormat="1" x14ac:dyDescent="0.3">
      <c r="A115010" s="12"/>
      <c r="B115010" s="15"/>
      <c r="C115010" s="15"/>
      <c r="D115010" s="12"/>
      <c r="E115010" s="12"/>
      <c r="F115010" s="13"/>
      <c r="G115010" s="12"/>
      <c r="H115010" s="12"/>
      <c r="I115010" s="12"/>
      <c r="J115010" s="12"/>
      <c r="K115010" s="12"/>
      <c r="L115010" s="208"/>
      <c r="M115010" s="209"/>
      <c r="N115010" s="209"/>
      <c r="O115010" s="209"/>
    </row>
    <row r="115011" spans="1:15" s="210" customFormat="1" x14ac:dyDescent="0.3">
      <c r="A115011" s="12"/>
      <c r="B115011" s="15"/>
      <c r="C115011" s="15"/>
      <c r="D115011" s="12"/>
      <c r="E115011" s="12"/>
      <c r="F115011" s="13"/>
      <c r="G115011" s="12"/>
      <c r="H115011" s="12"/>
      <c r="I115011" s="12"/>
      <c r="J115011" s="12"/>
      <c r="K115011" s="12"/>
      <c r="L115011" s="208"/>
      <c r="M115011" s="209"/>
      <c r="N115011" s="209"/>
      <c r="O115011" s="209"/>
    </row>
    <row r="115012" spans="1:15" s="210" customFormat="1" x14ac:dyDescent="0.3">
      <c r="A115012" s="12"/>
      <c r="B115012" s="15"/>
      <c r="C115012" s="15"/>
      <c r="D115012" s="12"/>
      <c r="E115012" s="12"/>
      <c r="F115012" s="13"/>
      <c r="G115012" s="12"/>
      <c r="H115012" s="12"/>
      <c r="I115012" s="12"/>
      <c r="J115012" s="12"/>
      <c r="K115012" s="12"/>
      <c r="L115012" s="208"/>
      <c r="M115012" s="209"/>
      <c r="N115012" s="209"/>
      <c r="O115012" s="209"/>
    </row>
    <row r="115013" spans="1:15" s="210" customFormat="1" x14ac:dyDescent="0.3">
      <c r="A115013" s="12"/>
      <c r="B115013" s="15"/>
      <c r="C115013" s="15"/>
      <c r="D115013" s="12"/>
      <c r="E115013" s="12"/>
      <c r="F115013" s="13"/>
      <c r="G115013" s="12"/>
      <c r="H115013" s="12"/>
      <c r="I115013" s="12"/>
      <c r="J115013" s="12"/>
      <c r="K115013" s="12"/>
      <c r="L115013" s="208"/>
      <c r="M115013" s="209"/>
      <c r="N115013" s="209"/>
      <c r="O115013" s="209"/>
    </row>
    <row r="115014" spans="1:15" s="210" customFormat="1" x14ac:dyDescent="0.3">
      <c r="A115014" s="12"/>
      <c r="B115014" s="15"/>
      <c r="C115014" s="15"/>
      <c r="D115014" s="12"/>
      <c r="E115014" s="12"/>
      <c r="F115014" s="13"/>
      <c r="G115014" s="12"/>
      <c r="H115014" s="12"/>
      <c r="I115014" s="12"/>
      <c r="J115014" s="12"/>
      <c r="K115014" s="12"/>
      <c r="L115014" s="208"/>
      <c r="M115014" s="209"/>
      <c r="N115014" s="209"/>
      <c r="O115014" s="209"/>
    </row>
    <row r="115015" spans="1:15" s="210" customFormat="1" x14ac:dyDescent="0.3">
      <c r="A115015" s="12"/>
      <c r="B115015" s="15"/>
      <c r="C115015" s="15"/>
      <c r="D115015" s="12"/>
      <c r="E115015" s="12"/>
      <c r="F115015" s="13"/>
      <c r="G115015" s="12"/>
      <c r="H115015" s="12"/>
      <c r="I115015" s="12"/>
      <c r="J115015" s="12"/>
      <c r="K115015" s="12"/>
      <c r="L115015" s="208"/>
      <c r="M115015" s="209"/>
      <c r="N115015" s="209"/>
      <c r="O115015" s="209"/>
    </row>
    <row r="115016" spans="1:15" s="210" customFormat="1" x14ac:dyDescent="0.3">
      <c r="A115016" s="12"/>
      <c r="B115016" s="15"/>
      <c r="C115016" s="15"/>
      <c r="D115016" s="12"/>
      <c r="E115016" s="12"/>
      <c r="F115016" s="13"/>
      <c r="G115016" s="12"/>
      <c r="H115016" s="12"/>
      <c r="I115016" s="12"/>
      <c r="J115016" s="12"/>
      <c r="K115016" s="12"/>
      <c r="L115016" s="208"/>
      <c r="M115016" s="209"/>
      <c r="N115016" s="209"/>
      <c r="O115016" s="209"/>
    </row>
    <row r="115017" spans="1:15" s="210" customFormat="1" x14ac:dyDescent="0.3">
      <c r="A115017" s="12"/>
      <c r="B115017" s="15"/>
      <c r="C115017" s="15"/>
      <c r="D115017" s="12"/>
      <c r="E115017" s="12"/>
      <c r="F115017" s="13"/>
      <c r="G115017" s="12"/>
      <c r="H115017" s="12"/>
      <c r="I115017" s="12"/>
      <c r="J115017" s="12"/>
      <c r="K115017" s="12"/>
      <c r="L115017" s="208"/>
      <c r="M115017" s="209"/>
      <c r="N115017" s="209"/>
      <c r="O115017" s="209"/>
    </row>
    <row r="115018" spans="1:15" s="210" customFormat="1" x14ac:dyDescent="0.3">
      <c r="A115018" s="12"/>
      <c r="B115018" s="15"/>
      <c r="C115018" s="15"/>
      <c r="D115018" s="12"/>
      <c r="E115018" s="12"/>
      <c r="F115018" s="13"/>
      <c r="G115018" s="12"/>
      <c r="H115018" s="12"/>
      <c r="I115018" s="12"/>
      <c r="J115018" s="12"/>
      <c r="K115018" s="12"/>
      <c r="L115018" s="208"/>
      <c r="M115018" s="209"/>
      <c r="N115018" s="209"/>
      <c r="O115018" s="209"/>
    </row>
    <row r="115019" spans="1:15" s="210" customFormat="1" x14ac:dyDescent="0.3">
      <c r="A115019" s="12"/>
      <c r="B115019" s="15"/>
      <c r="C115019" s="15"/>
      <c r="D115019" s="12"/>
      <c r="E115019" s="12"/>
      <c r="F115019" s="13"/>
      <c r="G115019" s="12"/>
      <c r="H115019" s="12"/>
      <c r="I115019" s="12"/>
      <c r="J115019" s="12"/>
      <c r="K115019" s="12"/>
      <c r="L115019" s="208"/>
      <c r="M115019" s="209"/>
      <c r="N115019" s="209"/>
      <c r="O115019" s="209"/>
    </row>
    <row r="115020" spans="1:15" s="210" customFormat="1" x14ac:dyDescent="0.3">
      <c r="A115020" s="12"/>
      <c r="B115020" s="15"/>
      <c r="C115020" s="15"/>
      <c r="D115020" s="12"/>
      <c r="E115020" s="12"/>
      <c r="F115020" s="13"/>
      <c r="G115020" s="12"/>
      <c r="H115020" s="12"/>
      <c r="I115020" s="12"/>
      <c r="J115020" s="12"/>
      <c r="K115020" s="12"/>
      <c r="L115020" s="208"/>
      <c r="M115020" s="209"/>
      <c r="N115020" s="209"/>
      <c r="O115020" s="209"/>
    </row>
    <row r="115021" spans="1:15" s="210" customFormat="1" x14ac:dyDescent="0.3">
      <c r="A115021" s="12"/>
      <c r="B115021" s="15"/>
      <c r="C115021" s="15"/>
      <c r="D115021" s="12"/>
      <c r="E115021" s="12"/>
      <c r="F115021" s="13"/>
      <c r="G115021" s="12"/>
      <c r="H115021" s="12"/>
      <c r="I115021" s="12"/>
      <c r="J115021" s="12"/>
      <c r="K115021" s="12"/>
      <c r="L115021" s="208"/>
      <c r="M115021" s="209"/>
      <c r="N115021" s="209"/>
      <c r="O115021" s="209"/>
    </row>
    <row r="115022" spans="1:15" s="210" customFormat="1" x14ac:dyDescent="0.3">
      <c r="A115022" s="12"/>
      <c r="B115022" s="15"/>
      <c r="C115022" s="15"/>
      <c r="D115022" s="12"/>
      <c r="E115022" s="12"/>
      <c r="F115022" s="13"/>
      <c r="G115022" s="12"/>
      <c r="H115022" s="12"/>
      <c r="I115022" s="12"/>
      <c r="J115022" s="12"/>
      <c r="K115022" s="12"/>
      <c r="L115022" s="208"/>
      <c r="M115022" s="209"/>
      <c r="N115022" s="209"/>
      <c r="O115022" s="209"/>
    </row>
    <row r="115023" spans="1:15" s="210" customFormat="1" x14ac:dyDescent="0.3">
      <c r="A115023" s="12"/>
      <c r="B115023" s="15"/>
      <c r="C115023" s="15"/>
      <c r="D115023" s="12"/>
      <c r="E115023" s="12"/>
      <c r="F115023" s="13"/>
      <c r="G115023" s="12"/>
      <c r="H115023" s="12"/>
      <c r="I115023" s="12"/>
      <c r="J115023" s="12"/>
      <c r="K115023" s="12"/>
      <c r="L115023" s="208"/>
      <c r="M115023" s="209"/>
      <c r="N115023" s="209"/>
      <c r="O115023" s="209"/>
    </row>
    <row r="115024" spans="1:15" s="210" customFormat="1" x14ac:dyDescent="0.3">
      <c r="A115024" s="12"/>
      <c r="B115024" s="15"/>
      <c r="C115024" s="15"/>
      <c r="D115024" s="12"/>
      <c r="E115024" s="12"/>
      <c r="F115024" s="13"/>
      <c r="G115024" s="12"/>
      <c r="H115024" s="12"/>
      <c r="I115024" s="12"/>
      <c r="J115024" s="12"/>
      <c r="K115024" s="12"/>
      <c r="L115024" s="208"/>
      <c r="M115024" s="209"/>
      <c r="N115024" s="209"/>
      <c r="O115024" s="209"/>
    </row>
    <row r="115025" spans="1:15" s="210" customFormat="1" x14ac:dyDescent="0.3">
      <c r="A115025" s="12"/>
      <c r="B115025" s="15"/>
      <c r="C115025" s="15"/>
      <c r="D115025" s="12"/>
      <c r="E115025" s="12"/>
      <c r="F115025" s="13"/>
      <c r="G115025" s="12"/>
      <c r="H115025" s="12"/>
      <c r="I115025" s="12"/>
      <c r="J115025" s="12"/>
      <c r="K115025" s="12"/>
      <c r="L115025" s="208"/>
      <c r="M115025" s="209"/>
      <c r="N115025" s="209"/>
      <c r="O115025" s="209"/>
    </row>
    <row r="115026" spans="1:15" s="210" customFormat="1" x14ac:dyDescent="0.3">
      <c r="A115026" s="12"/>
      <c r="B115026" s="15"/>
      <c r="C115026" s="15"/>
      <c r="D115026" s="12"/>
      <c r="E115026" s="12"/>
      <c r="F115026" s="13"/>
      <c r="G115026" s="12"/>
      <c r="H115026" s="12"/>
      <c r="I115026" s="12"/>
      <c r="J115026" s="12"/>
      <c r="K115026" s="12"/>
      <c r="L115026" s="208"/>
      <c r="M115026" s="209"/>
      <c r="N115026" s="209"/>
      <c r="O115026" s="209"/>
    </row>
    <row r="115027" spans="1:15" s="210" customFormat="1" x14ac:dyDescent="0.3">
      <c r="A115027" s="12"/>
      <c r="B115027" s="15"/>
      <c r="C115027" s="15"/>
      <c r="D115027" s="12"/>
      <c r="E115027" s="12"/>
      <c r="F115027" s="13"/>
      <c r="G115027" s="12"/>
      <c r="H115027" s="12"/>
      <c r="I115027" s="12"/>
      <c r="J115027" s="12"/>
      <c r="K115027" s="12"/>
      <c r="L115027" s="208"/>
      <c r="M115027" s="209"/>
      <c r="N115027" s="209"/>
      <c r="O115027" s="209"/>
    </row>
    <row r="115028" spans="1:15" s="210" customFormat="1" x14ac:dyDescent="0.3">
      <c r="A115028" s="12"/>
      <c r="B115028" s="15"/>
      <c r="C115028" s="15"/>
      <c r="D115028" s="12"/>
      <c r="E115028" s="12"/>
      <c r="F115028" s="13"/>
      <c r="G115028" s="12"/>
      <c r="H115028" s="12"/>
      <c r="I115028" s="12"/>
      <c r="J115028" s="12"/>
      <c r="K115028" s="12"/>
      <c r="L115028" s="208"/>
      <c r="M115028" s="209"/>
      <c r="N115028" s="209"/>
      <c r="O115028" s="209"/>
    </row>
    <row r="115029" spans="1:15" s="210" customFormat="1" x14ac:dyDescent="0.3">
      <c r="A115029" s="12"/>
      <c r="B115029" s="15"/>
      <c r="C115029" s="15"/>
      <c r="D115029" s="12"/>
      <c r="E115029" s="12"/>
      <c r="F115029" s="13"/>
      <c r="G115029" s="12"/>
      <c r="H115029" s="12"/>
      <c r="I115029" s="12"/>
      <c r="J115029" s="12"/>
      <c r="K115029" s="12"/>
      <c r="L115029" s="208"/>
      <c r="M115029" s="209"/>
      <c r="N115029" s="209"/>
      <c r="O115029" s="209"/>
    </row>
    <row r="115030" spans="1:15" s="210" customFormat="1" x14ac:dyDescent="0.3">
      <c r="A115030" s="12"/>
      <c r="B115030" s="15"/>
      <c r="C115030" s="15"/>
      <c r="D115030" s="12"/>
      <c r="E115030" s="12"/>
      <c r="F115030" s="13"/>
      <c r="G115030" s="12"/>
      <c r="H115030" s="12"/>
      <c r="I115030" s="12"/>
      <c r="J115030" s="12"/>
      <c r="K115030" s="12"/>
      <c r="L115030" s="208"/>
      <c r="M115030" s="209"/>
      <c r="N115030" s="209"/>
      <c r="O115030" s="209"/>
    </row>
    <row r="115031" spans="1:15" s="210" customFormat="1" x14ac:dyDescent="0.3">
      <c r="A115031" s="12"/>
      <c r="B115031" s="15"/>
      <c r="C115031" s="15"/>
      <c r="D115031" s="12"/>
      <c r="E115031" s="12"/>
      <c r="F115031" s="13"/>
      <c r="G115031" s="12"/>
      <c r="H115031" s="12"/>
      <c r="I115031" s="12"/>
      <c r="J115031" s="12"/>
      <c r="K115031" s="12"/>
      <c r="L115031" s="208"/>
      <c r="M115031" s="209"/>
      <c r="N115031" s="209"/>
      <c r="O115031" s="209"/>
    </row>
    <row r="115032" spans="1:15" s="210" customFormat="1" x14ac:dyDescent="0.3">
      <c r="A115032" s="12"/>
      <c r="B115032" s="15"/>
      <c r="C115032" s="15"/>
      <c r="D115032" s="12"/>
      <c r="E115032" s="12"/>
      <c r="F115032" s="13"/>
      <c r="G115032" s="12"/>
      <c r="H115032" s="12"/>
      <c r="I115032" s="12"/>
      <c r="J115032" s="12"/>
      <c r="K115032" s="12"/>
      <c r="L115032" s="208"/>
      <c r="M115032" s="209"/>
      <c r="N115032" s="209"/>
      <c r="O115032" s="209"/>
    </row>
    <row r="115033" spans="1:15" s="210" customFormat="1" x14ac:dyDescent="0.3">
      <c r="A115033" s="12"/>
      <c r="B115033" s="15"/>
      <c r="C115033" s="15"/>
      <c r="D115033" s="12"/>
      <c r="E115033" s="12"/>
      <c r="F115033" s="13"/>
      <c r="G115033" s="12"/>
      <c r="H115033" s="12"/>
      <c r="I115033" s="12"/>
      <c r="J115033" s="12"/>
      <c r="K115033" s="12"/>
      <c r="L115033" s="208"/>
      <c r="M115033" s="209"/>
      <c r="N115033" s="209"/>
      <c r="O115033" s="209"/>
    </row>
    <row r="115034" spans="1:15" s="210" customFormat="1" x14ac:dyDescent="0.3">
      <c r="A115034" s="12"/>
      <c r="B115034" s="15"/>
      <c r="C115034" s="15"/>
      <c r="D115034" s="12"/>
      <c r="E115034" s="12"/>
      <c r="F115034" s="13"/>
      <c r="G115034" s="12"/>
      <c r="H115034" s="12"/>
      <c r="I115034" s="12"/>
      <c r="J115034" s="12"/>
      <c r="K115034" s="12"/>
      <c r="L115034" s="208"/>
      <c r="M115034" s="209"/>
      <c r="N115034" s="209"/>
      <c r="O115034" s="209"/>
    </row>
    <row r="115035" spans="1:15" s="210" customFormat="1" x14ac:dyDescent="0.3">
      <c r="A115035" s="12"/>
      <c r="B115035" s="15"/>
      <c r="C115035" s="15"/>
      <c r="D115035" s="12"/>
      <c r="E115035" s="12"/>
      <c r="F115035" s="13"/>
      <c r="G115035" s="12"/>
      <c r="H115035" s="12"/>
      <c r="I115035" s="12"/>
      <c r="J115035" s="12"/>
      <c r="K115035" s="12"/>
      <c r="L115035" s="208"/>
      <c r="M115035" s="209"/>
      <c r="N115035" s="209"/>
      <c r="O115035" s="209"/>
    </row>
    <row r="115036" spans="1:15" s="210" customFormat="1" x14ac:dyDescent="0.3">
      <c r="A115036" s="12"/>
      <c r="B115036" s="15"/>
      <c r="C115036" s="15"/>
      <c r="D115036" s="12"/>
      <c r="E115036" s="12"/>
      <c r="F115036" s="13"/>
      <c r="G115036" s="12"/>
      <c r="H115036" s="12"/>
      <c r="I115036" s="12"/>
      <c r="J115036" s="12"/>
      <c r="K115036" s="12"/>
      <c r="L115036" s="208"/>
      <c r="M115036" s="209"/>
      <c r="N115036" s="209"/>
      <c r="O115036" s="209"/>
    </row>
    <row r="115037" spans="1:15" s="210" customFormat="1" x14ac:dyDescent="0.3">
      <c r="A115037" s="12"/>
      <c r="B115037" s="15"/>
      <c r="C115037" s="15"/>
      <c r="D115037" s="12"/>
      <c r="E115037" s="12"/>
      <c r="F115037" s="13"/>
      <c r="G115037" s="12"/>
      <c r="H115037" s="12"/>
      <c r="I115037" s="12"/>
      <c r="J115037" s="12"/>
      <c r="K115037" s="12"/>
      <c r="L115037" s="208"/>
      <c r="M115037" s="209"/>
      <c r="N115037" s="209"/>
      <c r="O115037" s="209"/>
    </row>
    <row r="115038" spans="1:15" s="210" customFormat="1" x14ac:dyDescent="0.3">
      <c r="A115038" s="12"/>
      <c r="B115038" s="15"/>
      <c r="C115038" s="15"/>
      <c r="D115038" s="12"/>
      <c r="E115038" s="12"/>
      <c r="F115038" s="13"/>
      <c r="G115038" s="12"/>
      <c r="H115038" s="12"/>
      <c r="I115038" s="12"/>
      <c r="J115038" s="12"/>
      <c r="K115038" s="12"/>
      <c r="L115038" s="208"/>
      <c r="M115038" s="209"/>
      <c r="N115038" s="209"/>
      <c r="O115038" s="209"/>
    </row>
    <row r="115039" spans="1:15" s="210" customFormat="1" x14ac:dyDescent="0.3">
      <c r="A115039" s="12"/>
      <c r="B115039" s="15"/>
      <c r="C115039" s="15"/>
      <c r="D115039" s="12"/>
      <c r="E115039" s="12"/>
      <c r="F115039" s="13"/>
      <c r="G115039" s="12"/>
      <c r="H115039" s="12"/>
      <c r="I115039" s="12"/>
      <c r="J115039" s="12"/>
      <c r="K115039" s="12"/>
      <c r="L115039" s="208"/>
      <c r="M115039" s="209"/>
      <c r="N115039" s="209"/>
      <c r="O115039" s="209"/>
    </row>
    <row r="115040" spans="1:15" s="210" customFormat="1" x14ac:dyDescent="0.3">
      <c r="A115040" s="12"/>
      <c r="B115040" s="15"/>
      <c r="C115040" s="15"/>
      <c r="D115040" s="12"/>
      <c r="E115040" s="12"/>
      <c r="F115040" s="13"/>
      <c r="G115040" s="12"/>
      <c r="H115040" s="12"/>
      <c r="I115040" s="12"/>
      <c r="J115040" s="12"/>
      <c r="K115040" s="12"/>
      <c r="L115040" s="208"/>
      <c r="M115040" s="209"/>
      <c r="N115040" s="209"/>
      <c r="O115040" s="209"/>
    </row>
    <row r="115041" spans="1:15" s="210" customFormat="1" x14ac:dyDescent="0.3">
      <c r="A115041" s="12"/>
      <c r="B115041" s="15"/>
      <c r="C115041" s="15"/>
      <c r="D115041" s="12"/>
      <c r="E115041" s="12"/>
      <c r="F115041" s="13"/>
      <c r="G115041" s="12"/>
      <c r="H115041" s="12"/>
      <c r="I115041" s="12"/>
      <c r="J115041" s="12"/>
      <c r="K115041" s="12"/>
      <c r="L115041" s="208"/>
      <c r="M115041" s="209"/>
      <c r="N115041" s="209"/>
      <c r="O115041" s="209"/>
    </row>
    <row r="115042" spans="1:15" s="210" customFormat="1" x14ac:dyDescent="0.3">
      <c r="A115042" s="12"/>
      <c r="B115042" s="15"/>
      <c r="C115042" s="15"/>
      <c r="D115042" s="12"/>
      <c r="E115042" s="12"/>
      <c r="F115042" s="13"/>
      <c r="G115042" s="12"/>
      <c r="H115042" s="12"/>
      <c r="I115042" s="12"/>
      <c r="J115042" s="12"/>
      <c r="K115042" s="12"/>
      <c r="L115042" s="208"/>
      <c r="M115042" s="209"/>
      <c r="N115042" s="209"/>
      <c r="O115042" s="209"/>
    </row>
    <row r="115043" spans="1:15" s="210" customFormat="1" x14ac:dyDescent="0.3">
      <c r="A115043" s="12"/>
      <c r="B115043" s="15"/>
      <c r="C115043" s="15"/>
      <c r="D115043" s="12"/>
      <c r="E115043" s="12"/>
      <c r="F115043" s="13"/>
      <c r="G115043" s="12"/>
      <c r="H115043" s="12"/>
      <c r="I115043" s="12"/>
      <c r="J115043" s="12"/>
      <c r="K115043" s="12"/>
      <c r="L115043" s="208"/>
      <c r="M115043" s="209"/>
      <c r="N115043" s="209"/>
      <c r="O115043" s="209"/>
    </row>
    <row r="115044" spans="1:15" s="210" customFormat="1" x14ac:dyDescent="0.3">
      <c r="A115044" s="12"/>
      <c r="B115044" s="15"/>
      <c r="C115044" s="15"/>
      <c r="D115044" s="12"/>
      <c r="E115044" s="12"/>
      <c r="F115044" s="13"/>
      <c r="G115044" s="12"/>
      <c r="H115044" s="12"/>
      <c r="I115044" s="12"/>
      <c r="J115044" s="12"/>
      <c r="K115044" s="12"/>
      <c r="L115044" s="208"/>
      <c r="M115044" s="209"/>
      <c r="N115044" s="209"/>
      <c r="O115044" s="209"/>
    </row>
    <row r="115045" spans="1:15" s="210" customFormat="1" x14ac:dyDescent="0.3">
      <c r="A115045" s="12"/>
      <c r="B115045" s="15"/>
      <c r="C115045" s="15"/>
      <c r="D115045" s="12"/>
      <c r="E115045" s="12"/>
      <c r="F115045" s="13"/>
      <c r="G115045" s="12"/>
      <c r="H115045" s="12"/>
      <c r="I115045" s="12"/>
      <c r="J115045" s="12"/>
      <c r="K115045" s="12"/>
      <c r="L115045" s="208"/>
      <c r="M115045" s="209"/>
      <c r="N115045" s="209"/>
      <c r="O115045" s="209"/>
    </row>
    <row r="115046" spans="1:15" s="210" customFormat="1" x14ac:dyDescent="0.3">
      <c r="A115046" s="12"/>
      <c r="B115046" s="15"/>
      <c r="C115046" s="15"/>
      <c r="D115046" s="12"/>
      <c r="E115046" s="12"/>
      <c r="F115046" s="13"/>
      <c r="G115046" s="12"/>
      <c r="H115046" s="12"/>
      <c r="I115046" s="12"/>
      <c r="J115046" s="12"/>
      <c r="K115046" s="12"/>
      <c r="L115046" s="208"/>
      <c r="M115046" s="209"/>
      <c r="N115046" s="209"/>
      <c r="O115046" s="209"/>
    </row>
    <row r="115047" spans="1:15" s="210" customFormat="1" x14ac:dyDescent="0.3">
      <c r="A115047" s="12"/>
      <c r="B115047" s="15"/>
      <c r="C115047" s="15"/>
      <c r="D115047" s="12"/>
      <c r="E115047" s="12"/>
      <c r="F115047" s="13"/>
      <c r="G115047" s="12"/>
      <c r="H115047" s="12"/>
      <c r="I115047" s="12"/>
      <c r="J115047" s="12"/>
      <c r="K115047" s="12"/>
      <c r="L115047" s="208"/>
      <c r="M115047" s="209"/>
      <c r="N115047" s="209"/>
      <c r="O115047" s="209"/>
    </row>
    <row r="115048" spans="1:15" s="210" customFormat="1" x14ac:dyDescent="0.3">
      <c r="A115048" s="12"/>
      <c r="B115048" s="15"/>
      <c r="C115048" s="15"/>
      <c r="D115048" s="12"/>
      <c r="E115048" s="12"/>
      <c r="F115048" s="13"/>
      <c r="G115048" s="12"/>
      <c r="H115048" s="12"/>
      <c r="I115048" s="12"/>
      <c r="J115048" s="12"/>
      <c r="K115048" s="12"/>
      <c r="L115048" s="208"/>
      <c r="M115048" s="209"/>
      <c r="N115048" s="209"/>
      <c r="O115048" s="209"/>
    </row>
    <row r="115049" spans="1:15" s="210" customFormat="1" x14ac:dyDescent="0.3">
      <c r="A115049" s="12"/>
      <c r="B115049" s="15"/>
      <c r="C115049" s="15"/>
      <c r="D115049" s="12"/>
      <c r="E115049" s="12"/>
      <c r="F115049" s="13"/>
      <c r="G115049" s="12"/>
      <c r="H115049" s="12"/>
      <c r="I115049" s="12"/>
      <c r="J115049" s="12"/>
      <c r="K115049" s="12"/>
      <c r="L115049" s="208"/>
      <c r="M115049" s="209"/>
      <c r="N115049" s="209"/>
      <c r="O115049" s="209"/>
    </row>
    <row r="115050" spans="1:15" s="210" customFormat="1" x14ac:dyDescent="0.3">
      <c r="A115050" s="12"/>
      <c r="B115050" s="15"/>
      <c r="C115050" s="15"/>
      <c r="D115050" s="12"/>
      <c r="E115050" s="12"/>
      <c r="F115050" s="13"/>
      <c r="G115050" s="12"/>
      <c r="H115050" s="12"/>
      <c r="I115050" s="12"/>
      <c r="J115050" s="12"/>
      <c r="K115050" s="12"/>
      <c r="L115050" s="208"/>
      <c r="M115050" s="209"/>
      <c r="N115050" s="209"/>
      <c r="O115050" s="209"/>
    </row>
    <row r="115051" spans="1:15" s="210" customFormat="1" x14ac:dyDescent="0.3">
      <c r="A115051" s="12"/>
      <c r="B115051" s="15"/>
      <c r="C115051" s="15"/>
      <c r="D115051" s="12"/>
      <c r="E115051" s="12"/>
      <c r="F115051" s="13"/>
      <c r="G115051" s="12"/>
      <c r="H115051" s="12"/>
      <c r="I115051" s="12"/>
      <c r="J115051" s="12"/>
      <c r="K115051" s="12"/>
      <c r="L115051" s="208"/>
      <c r="M115051" s="209"/>
      <c r="N115051" s="209"/>
      <c r="O115051" s="209"/>
    </row>
    <row r="115052" spans="1:15" s="210" customFormat="1" x14ac:dyDescent="0.3">
      <c r="A115052" s="12"/>
      <c r="B115052" s="15"/>
      <c r="C115052" s="15"/>
      <c r="D115052" s="12"/>
      <c r="E115052" s="12"/>
      <c r="F115052" s="13"/>
      <c r="G115052" s="12"/>
      <c r="H115052" s="12"/>
      <c r="I115052" s="12"/>
      <c r="J115052" s="12"/>
      <c r="K115052" s="12"/>
      <c r="L115052" s="208"/>
      <c r="M115052" s="209"/>
      <c r="N115052" s="209"/>
      <c r="O115052" s="209"/>
    </row>
    <row r="115053" spans="1:15" s="210" customFormat="1" x14ac:dyDescent="0.3">
      <c r="A115053" s="12"/>
      <c r="B115053" s="15"/>
      <c r="C115053" s="15"/>
      <c r="D115053" s="12"/>
      <c r="E115053" s="12"/>
      <c r="F115053" s="13"/>
      <c r="G115053" s="12"/>
      <c r="H115053" s="12"/>
      <c r="I115053" s="12"/>
      <c r="J115053" s="12"/>
      <c r="K115053" s="12"/>
      <c r="L115053" s="208"/>
      <c r="M115053" s="209"/>
      <c r="N115053" s="209"/>
      <c r="O115053" s="209"/>
    </row>
    <row r="115054" spans="1:15" s="210" customFormat="1" x14ac:dyDescent="0.3">
      <c r="A115054" s="12"/>
      <c r="B115054" s="15"/>
      <c r="C115054" s="15"/>
      <c r="D115054" s="12"/>
      <c r="E115054" s="12"/>
      <c r="F115054" s="13"/>
      <c r="G115054" s="12"/>
      <c r="H115054" s="12"/>
      <c r="I115054" s="12"/>
      <c r="J115054" s="12"/>
      <c r="K115054" s="12"/>
      <c r="L115054" s="208"/>
      <c r="M115054" s="209"/>
      <c r="N115054" s="209"/>
      <c r="O115054" s="209"/>
    </row>
    <row r="115055" spans="1:15" s="210" customFormat="1" x14ac:dyDescent="0.3">
      <c r="A115055" s="12"/>
      <c r="B115055" s="15"/>
      <c r="C115055" s="15"/>
      <c r="D115055" s="12"/>
      <c r="E115055" s="12"/>
      <c r="F115055" s="13"/>
      <c r="G115055" s="12"/>
      <c r="H115055" s="12"/>
      <c r="I115055" s="12"/>
      <c r="J115055" s="12"/>
      <c r="K115055" s="12"/>
      <c r="L115055" s="208"/>
      <c r="M115055" s="209"/>
      <c r="N115055" s="209"/>
      <c r="O115055" s="209"/>
    </row>
    <row r="115056" spans="1:15" s="210" customFormat="1" x14ac:dyDescent="0.3">
      <c r="A115056" s="12"/>
      <c r="B115056" s="15"/>
      <c r="C115056" s="15"/>
      <c r="D115056" s="12"/>
      <c r="E115056" s="12"/>
      <c r="F115056" s="13"/>
      <c r="G115056" s="12"/>
      <c r="H115056" s="12"/>
      <c r="I115056" s="12"/>
      <c r="J115056" s="12"/>
      <c r="K115056" s="12"/>
      <c r="L115056" s="208"/>
      <c r="M115056" s="209"/>
      <c r="N115056" s="209"/>
      <c r="O115056" s="209"/>
    </row>
    <row r="115057" spans="1:15" s="210" customFormat="1" x14ac:dyDescent="0.3">
      <c r="A115057" s="12"/>
      <c r="B115057" s="15"/>
      <c r="C115057" s="15"/>
      <c r="D115057" s="12"/>
      <c r="E115057" s="12"/>
      <c r="F115057" s="13"/>
      <c r="G115057" s="12"/>
      <c r="H115057" s="12"/>
      <c r="I115057" s="12"/>
      <c r="J115057" s="12"/>
      <c r="K115057" s="12"/>
      <c r="L115057" s="208"/>
      <c r="M115057" s="209"/>
      <c r="N115057" s="209"/>
      <c r="O115057" s="209"/>
    </row>
    <row r="115058" spans="1:15" s="210" customFormat="1" x14ac:dyDescent="0.3">
      <c r="A115058" s="12"/>
      <c r="B115058" s="15"/>
      <c r="C115058" s="15"/>
      <c r="D115058" s="12"/>
      <c r="E115058" s="12"/>
      <c r="F115058" s="13"/>
      <c r="G115058" s="12"/>
      <c r="H115058" s="12"/>
      <c r="I115058" s="12"/>
      <c r="J115058" s="12"/>
      <c r="K115058" s="12"/>
      <c r="L115058" s="208"/>
      <c r="M115058" s="209"/>
      <c r="N115058" s="209"/>
      <c r="O115058" s="209"/>
    </row>
    <row r="115059" spans="1:15" s="210" customFormat="1" x14ac:dyDescent="0.3">
      <c r="A115059" s="12"/>
      <c r="B115059" s="15"/>
      <c r="C115059" s="15"/>
      <c r="D115059" s="12"/>
      <c r="E115059" s="12"/>
      <c r="F115059" s="13"/>
      <c r="G115059" s="12"/>
      <c r="H115059" s="12"/>
      <c r="I115059" s="12"/>
      <c r="J115059" s="12"/>
      <c r="K115059" s="12"/>
      <c r="L115059" s="208"/>
      <c r="M115059" s="209"/>
      <c r="N115059" s="209"/>
      <c r="O115059" s="209"/>
    </row>
    <row r="115060" spans="1:15" s="210" customFormat="1" x14ac:dyDescent="0.3">
      <c r="A115060" s="12"/>
      <c r="B115060" s="15"/>
      <c r="C115060" s="15"/>
      <c r="D115060" s="12"/>
      <c r="E115060" s="12"/>
      <c r="F115060" s="13"/>
      <c r="G115060" s="12"/>
      <c r="H115060" s="12"/>
      <c r="I115060" s="12"/>
      <c r="J115060" s="12"/>
      <c r="K115060" s="12"/>
      <c r="L115060" s="208"/>
      <c r="M115060" s="209"/>
      <c r="N115060" s="209"/>
      <c r="O115060" s="209"/>
    </row>
    <row r="115061" spans="1:15" s="210" customFormat="1" x14ac:dyDescent="0.3">
      <c r="A115061" s="12"/>
      <c r="B115061" s="15"/>
      <c r="C115061" s="15"/>
      <c r="D115061" s="12"/>
      <c r="E115061" s="12"/>
      <c r="F115061" s="13"/>
      <c r="G115061" s="12"/>
      <c r="H115061" s="12"/>
      <c r="I115061" s="12"/>
      <c r="J115061" s="12"/>
      <c r="K115061" s="12"/>
      <c r="L115061" s="208"/>
      <c r="M115061" s="209"/>
      <c r="N115061" s="209"/>
      <c r="O115061" s="209"/>
    </row>
    <row r="115062" spans="1:15" s="210" customFormat="1" x14ac:dyDescent="0.3">
      <c r="A115062" s="12"/>
      <c r="B115062" s="15"/>
      <c r="C115062" s="15"/>
      <c r="D115062" s="12"/>
      <c r="E115062" s="12"/>
      <c r="F115062" s="13"/>
      <c r="G115062" s="12"/>
      <c r="H115062" s="12"/>
      <c r="I115062" s="12"/>
      <c r="J115062" s="12"/>
      <c r="K115062" s="12"/>
      <c r="L115062" s="208"/>
      <c r="M115062" s="209"/>
      <c r="N115062" s="209"/>
      <c r="O115062" s="209"/>
    </row>
    <row r="115063" spans="1:15" s="210" customFormat="1" x14ac:dyDescent="0.3">
      <c r="A115063" s="12"/>
      <c r="B115063" s="15"/>
      <c r="C115063" s="15"/>
      <c r="D115063" s="12"/>
      <c r="E115063" s="12"/>
      <c r="F115063" s="13"/>
      <c r="G115063" s="12"/>
      <c r="H115063" s="12"/>
      <c r="I115063" s="12"/>
      <c r="J115063" s="12"/>
      <c r="K115063" s="12"/>
      <c r="L115063" s="208"/>
      <c r="M115063" s="209"/>
      <c r="N115063" s="209"/>
      <c r="O115063" s="209"/>
    </row>
    <row r="115064" spans="1:15" s="210" customFormat="1" x14ac:dyDescent="0.3">
      <c r="A115064" s="12"/>
      <c r="B115064" s="15"/>
      <c r="C115064" s="15"/>
      <c r="D115064" s="12"/>
      <c r="E115064" s="12"/>
      <c r="F115064" s="13"/>
      <c r="G115064" s="12"/>
      <c r="H115064" s="12"/>
      <c r="I115064" s="12"/>
      <c r="J115064" s="12"/>
      <c r="K115064" s="12"/>
      <c r="L115064" s="208"/>
      <c r="M115064" s="209"/>
      <c r="N115064" s="209"/>
      <c r="O115064" s="209"/>
    </row>
    <row r="115065" spans="1:15" s="210" customFormat="1" x14ac:dyDescent="0.3">
      <c r="A115065" s="12"/>
      <c r="B115065" s="15"/>
      <c r="C115065" s="15"/>
      <c r="D115065" s="12"/>
      <c r="E115065" s="12"/>
      <c r="F115065" s="13"/>
      <c r="G115065" s="12"/>
      <c r="H115065" s="12"/>
      <c r="I115065" s="12"/>
      <c r="J115065" s="12"/>
      <c r="K115065" s="12"/>
      <c r="L115065" s="208"/>
      <c r="M115065" s="209"/>
      <c r="N115065" s="209"/>
      <c r="O115065" s="209"/>
    </row>
    <row r="115066" spans="1:15" s="210" customFormat="1" x14ac:dyDescent="0.3">
      <c r="A115066" s="12"/>
      <c r="B115066" s="15"/>
      <c r="C115066" s="15"/>
      <c r="D115066" s="12"/>
      <c r="E115066" s="12"/>
      <c r="F115066" s="13"/>
      <c r="G115066" s="12"/>
      <c r="H115066" s="12"/>
      <c r="I115066" s="12"/>
      <c r="J115066" s="12"/>
      <c r="K115066" s="12"/>
      <c r="L115066" s="208"/>
      <c r="M115066" s="209"/>
      <c r="N115066" s="209"/>
      <c r="O115066" s="209"/>
    </row>
    <row r="115067" spans="1:15" s="210" customFormat="1" x14ac:dyDescent="0.3">
      <c r="A115067" s="12"/>
      <c r="B115067" s="15"/>
      <c r="C115067" s="15"/>
      <c r="D115067" s="12"/>
      <c r="E115067" s="12"/>
      <c r="F115067" s="13"/>
      <c r="G115067" s="12"/>
      <c r="H115067" s="12"/>
      <c r="I115067" s="12"/>
      <c r="J115067" s="12"/>
      <c r="K115067" s="12"/>
      <c r="L115067" s="208"/>
      <c r="M115067" s="209"/>
      <c r="N115067" s="209"/>
      <c r="O115067" s="209"/>
    </row>
    <row r="115068" spans="1:15" s="210" customFormat="1" x14ac:dyDescent="0.3">
      <c r="A115068" s="12"/>
      <c r="B115068" s="15"/>
      <c r="C115068" s="15"/>
      <c r="D115068" s="12"/>
      <c r="E115068" s="12"/>
      <c r="F115068" s="13"/>
      <c r="G115068" s="12"/>
      <c r="H115068" s="12"/>
      <c r="I115068" s="12"/>
      <c r="J115068" s="12"/>
      <c r="K115068" s="12"/>
      <c r="L115068" s="208"/>
      <c r="M115068" s="209"/>
      <c r="N115068" s="209"/>
      <c r="O115068" s="209"/>
    </row>
    <row r="115069" spans="1:15" s="210" customFormat="1" x14ac:dyDescent="0.3">
      <c r="A115069" s="12"/>
      <c r="B115069" s="15"/>
      <c r="C115069" s="15"/>
      <c r="D115069" s="12"/>
      <c r="E115069" s="12"/>
      <c r="F115069" s="13"/>
      <c r="G115069" s="12"/>
      <c r="H115069" s="12"/>
      <c r="I115069" s="12"/>
      <c r="J115069" s="12"/>
      <c r="K115069" s="12"/>
      <c r="L115069" s="208"/>
      <c r="M115069" s="209"/>
      <c r="N115069" s="209"/>
      <c r="O115069" s="209"/>
    </row>
    <row r="115070" spans="1:15" s="210" customFormat="1" x14ac:dyDescent="0.3">
      <c r="A115070" s="12"/>
      <c r="B115070" s="15"/>
      <c r="C115070" s="15"/>
      <c r="D115070" s="12"/>
      <c r="E115070" s="12"/>
      <c r="F115070" s="13"/>
      <c r="G115070" s="12"/>
      <c r="H115070" s="12"/>
      <c r="I115070" s="12"/>
      <c r="J115070" s="12"/>
      <c r="K115070" s="12"/>
      <c r="L115070" s="208"/>
      <c r="M115070" s="209"/>
      <c r="N115070" s="209"/>
      <c r="O115070" s="209"/>
    </row>
    <row r="115071" spans="1:15" s="210" customFormat="1" x14ac:dyDescent="0.3">
      <c r="A115071" s="12"/>
      <c r="B115071" s="15"/>
      <c r="C115071" s="15"/>
      <c r="D115071" s="12"/>
      <c r="E115071" s="12"/>
      <c r="F115071" s="13"/>
      <c r="G115071" s="12"/>
      <c r="H115071" s="12"/>
      <c r="I115071" s="12"/>
      <c r="J115071" s="12"/>
      <c r="K115071" s="12"/>
      <c r="L115071" s="208"/>
      <c r="M115071" s="209"/>
      <c r="N115071" s="209"/>
      <c r="O115071" s="209"/>
    </row>
    <row r="115072" spans="1:15" s="210" customFormat="1" x14ac:dyDescent="0.3">
      <c r="A115072" s="12"/>
      <c r="B115072" s="15"/>
      <c r="C115072" s="15"/>
      <c r="D115072" s="12"/>
      <c r="E115072" s="12"/>
      <c r="F115072" s="13"/>
      <c r="G115072" s="12"/>
      <c r="H115072" s="12"/>
      <c r="I115072" s="12"/>
      <c r="J115072" s="12"/>
      <c r="K115072" s="12"/>
      <c r="L115072" s="208"/>
      <c r="M115072" s="209"/>
      <c r="N115072" s="209"/>
      <c r="O115072" s="209"/>
    </row>
    <row r="115073" spans="1:15" s="210" customFormat="1" x14ac:dyDescent="0.3">
      <c r="A115073" s="12"/>
      <c r="B115073" s="15"/>
      <c r="C115073" s="15"/>
      <c r="D115073" s="12"/>
      <c r="E115073" s="12"/>
      <c r="F115073" s="13"/>
      <c r="G115073" s="12"/>
      <c r="H115073" s="12"/>
      <c r="I115073" s="12"/>
      <c r="J115073" s="12"/>
      <c r="K115073" s="12"/>
      <c r="L115073" s="208"/>
      <c r="M115073" s="209"/>
      <c r="N115073" s="209"/>
      <c r="O115073" s="209"/>
    </row>
    <row r="115074" spans="1:15" s="210" customFormat="1" x14ac:dyDescent="0.3">
      <c r="A115074" s="12"/>
      <c r="B115074" s="15"/>
      <c r="C115074" s="15"/>
      <c r="D115074" s="12"/>
      <c r="E115074" s="12"/>
      <c r="F115074" s="13"/>
      <c r="G115074" s="12"/>
      <c r="H115074" s="12"/>
      <c r="I115074" s="12"/>
      <c r="J115074" s="12"/>
      <c r="K115074" s="12"/>
      <c r="L115074" s="208"/>
      <c r="M115074" s="209"/>
      <c r="N115074" s="209"/>
      <c r="O115074" s="209"/>
    </row>
    <row r="115075" spans="1:15" s="210" customFormat="1" x14ac:dyDescent="0.3">
      <c r="A115075" s="12"/>
      <c r="B115075" s="15"/>
      <c r="C115075" s="15"/>
      <c r="D115075" s="12"/>
      <c r="E115075" s="12"/>
      <c r="F115075" s="13"/>
      <c r="G115075" s="12"/>
      <c r="H115075" s="12"/>
      <c r="I115075" s="12"/>
      <c r="J115075" s="12"/>
      <c r="K115075" s="12"/>
      <c r="L115075" s="208"/>
      <c r="M115075" s="209"/>
      <c r="N115075" s="209"/>
      <c r="O115075" s="209"/>
    </row>
    <row r="115076" spans="1:15" s="210" customFormat="1" x14ac:dyDescent="0.3">
      <c r="A115076" s="12"/>
      <c r="B115076" s="15"/>
      <c r="C115076" s="15"/>
      <c r="D115076" s="12"/>
      <c r="E115076" s="12"/>
      <c r="F115076" s="13"/>
      <c r="G115076" s="12"/>
      <c r="H115076" s="12"/>
      <c r="I115076" s="12"/>
      <c r="J115076" s="12"/>
      <c r="K115076" s="12"/>
      <c r="L115076" s="208"/>
      <c r="M115076" s="209"/>
      <c r="N115076" s="209"/>
      <c r="O115076" s="209"/>
    </row>
    <row r="115077" spans="1:15" s="210" customFormat="1" x14ac:dyDescent="0.3">
      <c r="A115077" s="12"/>
      <c r="B115077" s="15"/>
      <c r="C115077" s="15"/>
      <c r="D115077" s="12"/>
      <c r="E115077" s="12"/>
      <c r="F115077" s="13"/>
      <c r="G115077" s="12"/>
      <c r="H115077" s="12"/>
      <c r="I115077" s="12"/>
      <c r="J115077" s="12"/>
      <c r="K115077" s="12"/>
      <c r="L115077" s="208"/>
      <c r="M115077" s="209"/>
      <c r="N115077" s="209"/>
      <c r="O115077" s="209"/>
    </row>
    <row r="115078" spans="1:15" s="210" customFormat="1" x14ac:dyDescent="0.3">
      <c r="A115078" s="12"/>
      <c r="B115078" s="15"/>
      <c r="C115078" s="15"/>
      <c r="D115078" s="12"/>
      <c r="E115078" s="12"/>
      <c r="F115078" s="13"/>
      <c r="G115078" s="12"/>
      <c r="H115078" s="12"/>
      <c r="I115078" s="12"/>
      <c r="J115078" s="12"/>
      <c r="K115078" s="12"/>
      <c r="L115078" s="208"/>
      <c r="M115078" s="209"/>
      <c r="N115078" s="209"/>
      <c r="O115078" s="209"/>
    </row>
    <row r="115079" spans="1:15" s="210" customFormat="1" x14ac:dyDescent="0.3">
      <c r="A115079" s="12"/>
      <c r="B115079" s="15"/>
      <c r="C115079" s="15"/>
      <c r="D115079" s="12"/>
      <c r="E115079" s="12"/>
      <c r="F115079" s="13"/>
      <c r="G115079" s="12"/>
      <c r="H115079" s="12"/>
      <c r="I115079" s="12"/>
      <c r="J115079" s="12"/>
      <c r="K115079" s="12"/>
      <c r="L115079" s="208"/>
      <c r="M115079" s="209"/>
      <c r="N115079" s="209"/>
      <c r="O115079" s="209"/>
    </row>
    <row r="115080" spans="1:15" s="210" customFormat="1" x14ac:dyDescent="0.3">
      <c r="A115080" s="12"/>
      <c r="B115080" s="15"/>
      <c r="C115080" s="15"/>
      <c r="D115080" s="12"/>
      <c r="E115080" s="12"/>
      <c r="F115080" s="13"/>
      <c r="G115080" s="12"/>
      <c r="H115080" s="12"/>
      <c r="I115080" s="12"/>
      <c r="J115080" s="12"/>
      <c r="K115080" s="12"/>
      <c r="L115080" s="208"/>
      <c r="M115080" s="209"/>
      <c r="N115080" s="209"/>
      <c r="O115080" s="209"/>
    </row>
    <row r="115081" spans="1:15" s="210" customFormat="1" x14ac:dyDescent="0.3">
      <c r="A115081" s="12"/>
      <c r="B115081" s="15"/>
      <c r="C115081" s="15"/>
      <c r="D115081" s="12"/>
      <c r="E115081" s="12"/>
      <c r="F115081" s="13"/>
      <c r="G115081" s="12"/>
      <c r="H115081" s="12"/>
      <c r="I115081" s="12"/>
      <c r="J115081" s="12"/>
      <c r="K115081" s="12"/>
      <c r="L115081" s="208"/>
      <c r="M115081" s="209"/>
      <c r="N115081" s="209"/>
      <c r="O115081" s="209"/>
    </row>
    <row r="115082" spans="1:15" s="210" customFormat="1" x14ac:dyDescent="0.3">
      <c r="A115082" s="12"/>
      <c r="B115082" s="15"/>
      <c r="C115082" s="15"/>
      <c r="D115082" s="12"/>
      <c r="E115082" s="12"/>
      <c r="F115082" s="13"/>
      <c r="G115082" s="12"/>
      <c r="H115082" s="12"/>
      <c r="I115082" s="12"/>
      <c r="J115082" s="12"/>
      <c r="K115082" s="12"/>
      <c r="L115082" s="208"/>
      <c r="M115082" s="209"/>
      <c r="N115082" s="209"/>
      <c r="O115082" s="209"/>
    </row>
    <row r="115083" spans="1:15" s="210" customFormat="1" x14ac:dyDescent="0.3">
      <c r="A115083" s="12"/>
      <c r="B115083" s="15"/>
      <c r="C115083" s="15"/>
      <c r="D115083" s="12"/>
      <c r="E115083" s="12"/>
      <c r="F115083" s="13"/>
      <c r="G115083" s="12"/>
      <c r="H115083" s="12"/>
      <c r="I115083" s="12"/>
      <c r="J115083" s="12"/>
      <c r="K115083" s="12"/>
      <c r="L115083" s="208"/>
      <c r="M115083" s="209"/>
      <c r="N115083" s="209"/>
      <c r="O115083" s="209"/>
    </row>
    <row r="115084" spans="1:15" s="210" customFormat="1" x14ac:dyDescent="0.3">
      <c r="A115084" s="12"/>
      <c r="B115084" s="15"/>
      <c r="C115084" s="15"/>
      <c r="D115084" s="12"/>
      <c r="E115084" s="12"/>
      <c r="F115084" s="13"/>
      <c r="G115084" s="12"/>
      <c r="H115084" s="12"/>
      <c r="I115084" s="12"/>
      <c r="J115084" s="12"/>
      <c r="K115084" s="12"/>
      <c r="L115084" s="208"/>
      <c r="M115084" s="209"/>
      <c r="N115084" s="209"/>
      <c r="O115084" s="209"/>
    </row>
    <row r="115085" spans="1:15" s="210" customFormat="1" x14ac:dyDescent="0.3">
      <c r="A115085" s="12"/>
      <c r="B115085" s="15"/>
      <c r="C115085" s="15"/>
      <c r="D115085" s="12"/>
      <c r="E115085" s="12"/>
      <c r="F115085" s="13"/>
      <c r="G115085" s="12"/>
      <c r="H115085" s="12"/>
      <c r="I115085" s="12"/>
      <c r="J115085" s="12"/>
      <c r="K115085" s="12"/>
      <c r="L115085" s="208"/>
      <c r="M115085" s="209"/>
      <c r="N115085" s="209"/>
      <c r="O115085" s="209"/>
    </row>
    <row r="115086" spans="1:15" s="210" customFormat="1" x14ac:dyDescent="0.3">
      <c r="A115086" s="12"/>
      <c r="B115086" s="15"/>
      <c r="C115086" s="15"/>
      <c r="D115086" s="12"/>
      <c r="E115086" s="12"/>
      <c r="F115086" s="13"/>
      <c r="G115086" s="12"/>
      <c r="H115086" s="12"/>
      <c r="I115086" s="12"/>
      <c r="J115086" s="12"/>
      <c r="K115086" s="12"/>
      <c r="L115086" s="208"/>
      <c r="M115086" s="209"/>
      <c r="N115086" s="209"/>
      <c r="O115086" s="209"/>
    </row>
    <row r="115087" spans="1:15" s="210" customFormat="1" x14ac:dyDescent="0.3">
      <c r="A115087" s="12"/>
      <c r="B115087" s="15"/>
      <c r="C115087" s="15"/>
      <c r="D115087" s="12"/>
      <c r="E115087" s="12"/>
      <c r="F115087" s="13"/>
      <c r="G115087" s="12"/>
      <c r="H115087" s="12"/>
      <c r="I115087" s="12"/>
      <c r="J115087" s="12"/>
      <c r="K115087" s="12"/>
      <c r="L115087" s="208"/>
      <c r="M115087" s="209"/>
      <c r="N115087" s="209"/>
      <c r="O115087" s="209"/>
    </row>
    <row r="115088" spans="1:15" s="210" customFormat="1" x14ac:dyDescent="0.3">
      <c r="A115088" s="12"/>
      <c r="B115088" s="15"/>
      <c r="C115088" s="15"/>
      <c r="D115088" s="12"/>
      <c r="E115088" s="12"/>
      <c r="F115088" s="13"/>
      <c r="G115088" s="12"/>
      <c r="H115088" s="12"/>
      <c r="I115088" s="12"/>
      <c r="J115088" s="12"/>
      <c r="K115088" s="12"/>
      <c r="L115088" s="208"/>
      <c r="M115088" s="209"/>
      <c r="N115088" s="209"/>
      <c r="O115088" s="209"/>
    </row>
    <row r="115089" spans="1:15" s="210" customFormat="1" x14ac:dyDescent="0.3">
      <c r="A115089" s="12"/>
      <c r="B115089" s="15"/>
      <c r="C115089" s="15"/>
      <c r="D115089" s="12"/>
      <c r="E115089" s="12"/>
      <c r="F115089" s="13"/>
      <c r="G115089" s="12"/>
      <c r="H115089" s="12"/>
      <c r="I115089" s="12"/>
      <c r="J115089" s="12"/>
      <c r="K115089" s="12"/>
      <c r="L115089" s="208"/>
      <c r="M115089" s="209"/>
      <c r="N115089" s="209"/>
      <c r="O115089" s="209"/>
    </row>
    <row r="115090" spans="1:15" s="210" customFormat="1" x14ac:dyDescent="0.3">
      <c r="A115090" s="12"/>
      <c r="B115090" s="15"/>
      <c r="C115090" s="15"/>
      <c r="D115090" s="12"/>
      <c r="E115090" s="12"/>
      <c r="F115090" s="13"/>
      <c r="G115090" s="12"/>
      <c r="H115090" s="12"/>
      <c r="I115090" s="12"/>
      <c r="J115090" s="12"/>
      <c r="K115090" s="12"/>
      <c r="L115090" s="208"/>
      <c r="M115090" s="209"/>
      <c r="N115090" s="209"/>
      <c r="O115090" s="209"/>
    </row>
    <row r="115091" spans="1:15" s="210" customFormat="1" x14ac:dyDescent="0.3">
      <c r="A115091" s="12"/>
      <c r="B115091" s="15"/>
      <c r="C115091" s="15"/>
      <c r="D115091" s="12"/>
      <c r="E115091" s="12"/>
      <c r="F115091" s="13"/>
      <c r="G115091" s="12"/>
      <c r="H115091" s="12"/>
      <c r="I115091" s="12"/>
      <c r="J115091" s="12"/>
      <c r="K115091" s="12"/>
      <c r="L115091" s="208"/>
      <c r="M115091" s="209"/>
      <c r="N115091" s="209"/>
      <c r="O115091" s="209"/>
    </row>
    <row r="115092" spans="1:15" s="210" customFormat="1" x14ac:dyDescent="0.3">
      <c r="A115092" s="12"/>
      <c r="B115092" s="15"/>
      <c r="C115092" s="15"/>
      <c r="D115092" s="12"/>
      <c r="E115092" s="12"/>
      <c r="F115092" s="13"/>
      <c r="G115092" s="12"/>
      <c r="H115092" s="12"/>
      <c r="I115092" s="12"/>
      <c r="J115092" s="12"/>
      <c r="K115092" s="12"/>
      <c r="L115092" s="208"/>
      <c r="M115092" s="209"/>
      <c r="N115092" s="209"/>
      <c r="O115092" s="209"/>
    </row>
    <row r="115093" spans="1:15" s="210" customFormat="1" x14ac:dyDescent="0.3">
      <c r="A115093" s="12"/>
      <c r="B115093" s="15"/>
      <c r="C115093" s="15"/>
      <c r="D115093" s="12"/>
      <c r="E115093" s="12"/>
      <c r="F115093" s="13"/>
      <c r="G115093" s="12"/>
      <c r="H115093" s="12"/>
      <c r="I115093" s="12"/>
      <c r="J115093" s="12"/>
      <c r="K115093" s="12"/>
      <c r="L115093" s="208"/>
      <c r="M115093" s="209"/>
      <c r="N115093" s="209"/>
      <c r="O115093" s="209"/>
    </row>
    <row r="115094" spans="1:15" s="210" customFormat="1" x14ac:dyDescent="0.3">
      <c r="A115094" s="12"/>
      <c r="B115094" s="15"/>
      <c r="C115094" s="15"/>
      <c r="D115094" s="12"/>
      <c r="E115094" s="12"/>
      <c r="F115094" s="13"/>
      <c r="G115094" s="12"/>
      <c r="H115094" s="12"/>
      <c r="I115094" s="12"/>
      <c r="J115094" s="12"/>
      <c r="K115094" s="12"/>
      <c r="L115094" s="208"/>
      <c r="M115094" s="209"/>
      <c r="N115094" s="209"/>
      <c r="O115094" s="209"/>
    </row>
    <row r="115095" spans="1:15" s="210" customFormat="1" x14ac:dyDescent="0.3">
      <c r="A115095" s="12"/>
      <c r="B115095" s="15"/>
      <c r="C115095" s="15"/>
      <c r="D115095" s="12"/>
      <c r="E115095" s="12"/>
      <c r="F115095" s="13"/>
      <c r="G115095" s="12"/>
      <c r="H115095" s="12"/>
      <c r="I115095" s="12"/>
      <c r="J115095" s="12"/>
      <c r="K115095" s="12"/>
      <c r="L115095" s="208"/>
      <c r="M115095" s="209"/>
      <c r="N115095" s="209"/>
      <c r="O115095" s="209"/>
    </row>
    <row r="115096" spans="1:15" s="210" customFormat="1" x14ac:dyDescent="0.3">
      <c r="A115096" s="12"/>
      <c r="B115096" s="15"/>
      <c r="C115096" s="15"/>
      <c r="D115096" s="12"/>
      <c r="E115096" s="12"/>
      <c r="F115096" s="13"/>
      <c r="G115096" s="12"/>
      <c r="H115096" s="12"/>
      <c r="I115096" s="12"/>
      <c r="J115096" s="12"/>
      <c r="K115096" s="12"/>
      <c r="L115096" s="208"/>
      <c r="M115096" s="209"/>
      <c r="N115096" s="209"/>
      <c r="O115096" s="209"/>
    </row>
    <row r="115097" spans="1:15" s="210" customFormat="1" x14ac:dyDescent="0.3">
      <c r="A115097" s="12"/>
      <c r="B115097" s="15"/>
      <c r="C115097" s="15"/>
      <c r="D115097" s="12"/>
      <c r="E115097" s="12"/>
      <c r="F115097" s="13"/>
      <c r="G115097" s="12"/>
      <c r="H115097" s="12"/>
      <c r="I115097" s="12"/>
      <c r="J115097" s="12"/>
      <c r="K115097" s="12"/>
      <c r="L115097" s="208"/>
      <c r="M115097" s="209"/>
      <c r="N115097" s="209"/>
      <c r="O115097" s="209"/>
    </row>
    <row r="115098" spans="1:15" s="210" customFormat="1" x14ac:dyDescent="0.3">
      <c r="A115098" s="12"/>
      <c r="B115098" s="15"/>
      <c r="C115098" s="15"/>
      <c r="D115098" s="12"/>
      <c r="E115098" s="12"/>
      <c r="F115098" s="13"/>
      <c r="G115098" s="12"/>
      <c r="H115098" s="12"/>
      <c r="I115098" s="12"/>
      <c r="J115098" s="12"/>
      <c r="K115098" s="12"/>
      <c r="L115098" s="208"/>
      <c r="M115098" s="209"/>
      <c r="N115098" s="209"/>
      <c r="O115098" s="209"/>
    </row>
    <row r="115099" spans="1:15" s="210" customFormat="1" x14ac:dyDescent="0.3">
      <c r="A115099" s="12"/>
      <c r="B115099" s="15"/>
      <c r="C115099" s="15"/>
      <c r="D115099" s="12"/>
      <c r="E115099" s="12"/>
      <c r="F115099" s="13"/>
      <c r="G115099" s="12"/>
      <c r="H115099" s="12"/>
      <c r="I115099" s="12"/>
      <c r="J115099" s="12"/>
      <c r="K115099" s="12"/>
      <c r="L115099" s="208"/>
      <c r="M115099" s="209"/>
      <c r="N115099" s="209"/>
      <c r="O115099" s="209"/>
    </row>
    <row r="115100" spans="1:15" s="210" customFormat="1" x14ac:dyDescent="0.3">
      <c r="A115100" s="12"/>
      <c r="B115100" s="15"/>
      <c r="C115100" s="15"/>
      <c r="D115100" s="12"/>
      <c r="E115100" s="12"/>
      <c r="F115100" s="13"/>
      <c r="G115100" s="12"/>
      <c r="H115100" s="12"/>
      <c r="I115100" s="12"/>
      <c r="J115100" s="12"/>
      <c r="K115100" s="12"/>
      <c r="L115100" s="208"/>
      <c r="M115100" s="209"/>
      <c r="N115100" s="209"/>
      <c r="O115100" s="209"/>
    </row>
    <row r="115101" spans="1:15" s="210" customFormat="1" x14ac:dyDescent="0.3">
      <c r="A115101" s="12"/>
      <c r="B115101" s="15"/>
      <c r="C115101" s="15"/>
      <c r="D115101" s="12"/>
      <c r="E115101" s="12"/>
      <c r="F115101" s="13"/>
      <c r="G115101" s="12"/>
      <c r="H115101" s="12"/>
      <c r="I115101" s="12"/>
      <c r="J115101" s="12"/>
      <c r="K115101" s="12"/>
      <c r="L115101" s="208"/>
      <c r="M115101" s="209"/>
      <c r="N115101" s="209"/>
      <c r="O115101" s="209"/>
    </row>
    <row r="115102" spans="1:15" s="210" customFormat="1" x14ac:dyDescent="0.3">
      <c r="A115102" s="12"/>
      <c r="B115102" s="15"/>
      <c r="C115102" s="15"/>
      <c r="D115102" s="12"/>
      <c r="E115102" s="12"/>
      <c r="F115102" s="13"/>
      <c r="G115102" s="12"/>
      <c r="H115102" s="12"/>
      <c r="I115102" s="12"/>
      <c r="J115102" s="12"/>
      <c r="K115102" s="12"/>
      <c r="L115102" s="208"/>
      <c r="M115102" s="209"/>
      <c r="N115102" s="209"/>
      <c r="O115102" s="209"/>
    </row>
    <row r="115103" spans="1:15" s="210" customFormat="1" x14ac:dyDescent="0.3">
      <c r="A115103" s="12"/>
      <c r="B115103" s="15"/>
      <c r="C115103" s="15"/>
      <c r="D115103" s="12"/>
      <c r="E115103" s="12"/>
      <c r="F115103" s="13"/>
      <c r="G115103" s="12"/>
      <c r="H115103" s="12"/>
      <c r="I115103" s="12"/>
      <c r="J115103" s="12"/>
      <c r="K115103" s="12"/>
      <c r="L115103" s="208"/>
      <c r="M115103" s="209"/>
      <c r="N115103" s="209"/>
      <c r="O115103" s="209"/>
    </row>
    <row r="115104" spans="1:15" s="210" customFormat="1" x14ac:dyDescent="0.3">
      <c r="A115104" s="12"/>
      <c r="B115104" s="15"/>
      <c r="C115104" s="15"/>
      <c r="D115104" s="12"/>
      <c r="E115104" s="12"/>
      <c r="F115104" s="13"/>
      <c r="G115104" s="12"/>
      <c r="H115104" s="12"/>
      <c r="I115104" s="12"/>
      <c r="J115104" s="12"/>
      <c r="K115104" s="12"/>
      <c r="L115104" s="208"/>
      <c r="M115104" s="209"/>
      <c r="N115104" s="209"/>
      <c r="O115104" s="209"/>
    </row>
    <row r="115105" spans="1:15" s="210" customFormat="1" x14ac:dyDescent="0.3">
      <c r="A115105" s="12"/>
      <c r="B115105" s="15"/>
      <c r="C115105" s="15"/>
      <c r="D115105" s="12"/>
      <c r="E115105" s="12"/>
      <c r="F115105" s="13"/>
      <c r="G115105" s="12"/>
      <c r="H115105" s="12"/>
      <c r="I115105" s="12"/>
      <c r="J115105" s="12"/>
      <c r="K115105" s="12"/>
      <c r="L115105" s="208"/>
      <c r="M115105" s="209"/>
      <c r="N115105" s="209"/>
      <c r="O115105" s="209"/>
    </row>
    <row r="115106" spans="1:15" s="210" customFormat="1" x14ac:dyDescent="0.3">
      <c r="A115106" s="12"/>
      <c r="B115106" s="15"/>
      <c r="C115106" s="15"/>
      <c r="D115106" s="12"/>
      <c r="E115106" s="12"/>
      <c r="F115106" s="13"/>
      <c r="G115106" s="12"/>
      <c r="H115106" s="12"/>
      <c r="I115106" s="12"/>
      <c r="J115106" s="12"/>
      <c r="K115106" s="12"/>
      <c r="L115106" s="208"/>
      <c r="M115106" s="209"/>
      <c r="N115106" s="209"/>
      <c r="O115106" s="209"/>
    </row>
    <row r="115107" spans="1:15" s="210" customFormat="1" x14ac:dyDescent="0.3">
      <c r="A115107" s="12"/>
      <c r="B115107" s="15"/>
      <c r="C115107" s="15"/>
      <c r="D115107" s="12"/>
      <c r="E115107" s="12"/>
      <c r="F115107" s="13"/>
      <c r="G115107" s="12"/>
      <c r="H115107" s="12"/>
      <c r="I115107" s="12"/>
      <c r="J115107" s="12"/>
      <c r="K115107" s="12"/>
      <c r="L115107" s="208"/>
      <c r="M115107" s="209"/>
      <c r="N115107" s="209"/>
      <c r="O115107" s="209"/>
    </row>
    <row r="115108" spans="1:15" s="210" customFormat="1" x14ac:dyDescent="0.3">
      <c r="A115108" s="12"/>
      <c r="B115108" s="15"/>
      <c r="C115108" s="15"/>
      <c r="D115108" s="12"/>
      <c r="E115108" s="12"/>
      <c r="F115108" s="13"/>
      <c r="G115108" s="12"/>
      <c r="H115108" s="12"/>
      <c r="I115108" s="12"/>
      <c r="J115108" s="12"/>
      <c r="K115108" s="12"/>
      <c r="L115108" s="208"/>
      <c r="M115108" s="209"/>
      <c r="N115108" s="209"/>
      <c r="O115108" s="209"/>
    </row>
    <row r="115109" spans="1:15" s="210" customFormat="1" x14ac:dyDescent="0.3">
      <c r="A115109" s="12"/>
      <c r="B115109" s="15"/>
      <c r="C115109" s="15"/>
      <c r="D115109" s="12"/>
      <c r="E115109" s="12"/>
      <c r="F115109" s="13"/>
      <c r="G115109" s="12"/>
      <c r="H115109" s="12"/>
      <c r="I115109" s="12"/>
      <c r="J115109" s="12"/>
      <c r="K115109" s="12"/>
      <c r="L115109" s="208"/>
      <c r="M115109" s="209"/>
      <c r="N115109" s="209"/>
      <c r="O115109" s="209"/>
    </row>
    <row r="115110" spans="1:15" s="210" customFormat="1" x14ac:dyDescent="0.3">
      <c r="A115110" s="12"/>
      <c r="B115110" s="15"/>
      <c r="C115110" s="15"/>
      <c r="D115110" s="12"/>
      <c r="E115110" s="12"/>
      <c r="F115110" s="13"/>
      <c r="G115110" s="12"/>
      <c r="H115110" s="12"/>
      <c r="I115110" s="12"/>
      <c r="J115110" s="12"/>
      <c r="K115110" s="12"/>
      <c r="L115110" s="208"/>
      <c r="M115110" s="209"/>
      <c r="N115110" s="209"/>
      <c r="O115110" s="209"/>
    </row>
    <row r="115111" spans="1:15" s="210" customFormat="1" x14ac:dyDescent="0.3">
      <c r="A115111" s="12"/>
      <c r="B115111" s="15"/>
      <c r="C115111" s="15"/>
      <c r="D115111" s="12"/>
      <c r="E115111" s="12"/>
      <c r="F115111" s="13"/>
      <c r="G115111" s="12"/>
      <c r="H115111" s="12"/>
      <c r="I115111" s="12"/>
      <c r="J115111" s="12"/>
      <c r="K115111" s="12"/>
      <c r="L115111" s="208"/>
      <c r="M115111" s="209"/>
      <c r="N115111" s="209"/>
      <c r="O115111" s="209"/>
    </row>
    <row r="115112" spans="1:15" s="210" customFormat="1" x14ac:dyDescent="0.3">
      <c r="A115112" s="12"/>
      <c r="B115112" s="15"/>
      <c r="C115112" s="15"/>
      <c r="D115112" s="12"/>
      <c r="E115112" s="12"/>
      <c r="F115112" s="13"/>
      <c r="G115112" s="12"/>
      <c r="H115112" s="12"/>
      <c r="I115112" s="12"/>
      <c r="J115112" s="12"/>
      <c r="K115112" s="12"/>
      <c r="L115112" s="208"/>
      <c r="M115112" s="209"/>
      <c r="N115112" s="209"/>
      <c r="O115112" s="209"/>
    </row>
    <row r="115113" spans="1:15" s="210" customFormat="1" x14ac:dyDescent="0.3">
      <c r="A115113" s="12"/>
      <c r="B115113" s="15"/>
      <c r="C115113" s="15"/>
      <c r="D115113" s="12"/>
      <c r="E115113" s="12"/>
      <c r="F115113" s="13"/>
      <c r="G115113" s="12"/>
      <c r="H115113" s="12"/>
      <c r="I115113" s="12"/>
      <c r="J115113" s="12"/>
      <c r="K115113" s="12"/>
      <c r="L115113" s="208"/>
      <c r="M115113" s="209"/>
      <c r="N115113" s="209"/>
      <c r="O115113" s="209"/>
    </row>
    <row r="115114" spans="1:15" s="210" customFormat="1" x14ac:dyDescent="0.3">
      <c r="A115114" s="12"/>
      <c r="B115114" s="15"/>
      <c r="C115114" s="15"/>
      <c r="D115114" s="12"/>
      <c r="E115114" s="12"/>
      <c r="F115114" s="13"/>
      <c r="G115114" s="12"/>
      <c r="H115114" s="12"/>
      <c r="I115114" s="12"/>
      <c r="J115114" s="12"/>
      <c r="K115114" s="12"/>
      <c r="L115114" s="208"/>
      <c r="M115114" s="209"/>
      <c r="N115114" s="209"/>
      <c r="O115114" s="209"/>
    </row>
    <row r="115115" spans="1:15" s="210" customFormat="1" x14ac:dyDescent="0.3">
      <c r="A115115" s="12"/>
      <c r="B115115" s="15"/>
      <c r="C115115" s="15"/>
      <c r="D115115" s="12"/>
      <c r="E115115" s="12"/>
      <c r="F115115" s="13"/>
      <c r="G115115" s="12"/>
      <c r="H115115" s="12"/>
      <c r="I115115" s="12"/>
      <c r="J115115" s="12"/>
      <c r="K115115" s="12"/>
      <c r="L115115" s="208"/>
      <c r="M115115" s="209"/>
      <c r="N115115" s="209"/>
      <c r="O115115" s="209"/>
    </row>
    <row r="115116" spans="1:15" s="210" customFormat="1" x14ac:dyDescent="0.3">
      <c r="A115116" s="12"/>
      <c r="B115116" s="15"/>
      <c r="C115116" s="15"/>
      <c r="D115116" s="12"/>
      <c r="E115116" s="12"/>
      <c r="F115116" s="13"/>
      <c r="G115116" s="12"/>
      <c r="H115116" s="12"/>
      <c r="I115116" s="12"/>
      <c r="J115116" s="12"/>
      <c r="K115116" s="12"/>
      <c r="L115116" s="208"/>
      <c r="M115116" s="209"/>
      <c r="N115116" s="209"/>
      <c r="O115116" s="209"/>
    </row>
    <row r="115117" spans="1:15" s="210" customFormat="1" x14ac:dyDescent="0.3">
      <c r="A115117" s="12"/>
      <c r="B115117" s="15"/>
      <c r="C115117" s="15"/>
      <c r="D115117" s="12"/>
      <c r="E115117" s="12"/>
      <c r="F115117" s="13"/>
      <c r="G115117" s="12"/>
      <c r="H115117" s="12"/>
      <c r="I115117" s="12"/>
      <c r="J115117" s="12"/>
      <c r="K115117" s="12"/>
      <c r="L115117" s="208"/>
      <c r="M115117" s="209"/>
      <c r="N115117" s="209"/>
      <c r="O115117" s="209"/>
    </row>
    <row r="115118" spans="1:15" s="210" customFormat="1" x14ac:dyDescent="0.3">
      <c r="A115118" s="12"/>
      <c r="B115118" s="15"/>
      <c r="C115118" s="15"/>
      <c r="D115118" s="12"/>
      <c r="E115118" s="12"/>
      <c r="F115118" s="13"/>
      <c r="G115118" s="12"/>
      <c r="H115118" s="12"/>
      <c r="I115118" s="12"/>
      <c r="J115118" s="12"/>
      <c r="K115118" s="12"/>
      <c r="L115118" s="208"/>
      <c r="M115118" s="209"/>
      <c r="N115118" s="209"/>
      <c r="O115118" s="209"/>
    </row>
    <row r="115119" spans="1:15" s="210" customFormat="1" x14ac:dyDescent="0.3">
      <c r="A115119" s="12"/>
      <c r="B115119" s="15"/>
      <c r="C115119" s="15"/>
      <c r="D115119" s="12"/>
      <c r="E115119" s="12"/>
      <c r="F115119" s="13"/>
      <c r="G115119" s="12"/>
      <c r="H115119" s="12"/>
      <c r="I115119" s="12"/>
      <c r="J115119" s="12"/>
      <c r="K115119" s="12"/>
      <c r="L115119" s="208"/>
      <c r="M115119" s="209"/>
      <c r="N115119" s="209"/>
      <c r="O115119" s="209"/>
    </row>
    <row r="115120" spans="1:15" s="210" customFormat="1" x14ac:dyDescent="0.3">
      <c r="A115120" s="12"/>
      <c r="B115120" s="15"/>
      <c r="C115120" s="15"/>
      <c r="D115120" s="12"/>
      <c r="E115120" s="12"/>
      <c r="F115120" s="13"/>
      <c r="G115120" s="12"/>
      <c r="H115120" s="12"/>
      <c r="I115120" s="12"/>
      <c r="J115120" s="12"/>
      <c r="K115120" s="12"/>
      <c r="L115120" s="208"/>
      <c r="M115120" s="209"/>
      <c r="N115120" s="209"/>
      <c r="O115120" s="209"/>
    </row>
    <row r="115121" spans="1:15" s="210" customFormat="1" x14ac:dyDescent="0.3">
      <c r="A115121" s="12"/>
      <c r="B115121" s="15"/>
      <c r="C115121" s="15"/>
      <c r="D115121" s="12"/>
      <c r="E115121" s="12"/>
      <c r="F115121" s="13"/>
      <c r="G115121" s="12"/>
      <c r="H115121" s="12"/>
      <c r="I115121" s="12"/>
      <c r="J115121" s="12"/>
      <c r="K115121" s="12"/>
      <c r="L115121" s="208"/>
      <c r="M115121" s="209"/>
      <c r="N115121" s="209"/>
      <c r="O115121" s="209"/>
    </row>
    <row r="115122" spans="1:15" s="210" customFormat="1" x14ac:dyDescent="0.3">
      <c r="A115122" s="12"/>
      <c r="B115122" s="15"/>
      <c r="C115122" s="15"/>
      <c r="D115122" s="12"/>
      <c r="E115122" s="12"/>
      <c r="F115122" s="13"/>
      <c r="G115122" s="12"/>
      <c r="H115122" s="12"/>
      <c r="I115122" s="12"/>
      <c r="J115122" s="12"/>
      <c r="K115122" s="12"/>
      <c r="L115122" s="208"/>
      <c r="M115122" s="209"/>
      <c r="N115122" s="209"/>
      <c r="O115122" s="209"/>
    </row>
    <row r="115123" spans="1:15" s="210" customFormat="1" x14ac:dyDescent="0.3">
      <c r="A115123" s="12"/>
      <c r="B115123" s="15"/>
      <c r="C115123" s="15"/>
      <c r="D115123" s="12"/>
      <c r="E115123" s="12"/>
      <c r="F115123" s="13"/>
      <c r="G115123" s="12"/>
      <c r="H115123" s="12"/>
      <c r="I115123" s="12"/>
      <c r="J115123" s="12"/>
      <c r="K115123" s="12"/>
      <c r="L115123" s="208"/>
      <c r="M115123" s="209"/>
      <c r="N115123" s="209"/>
      <c r="O115123" s="209"/>
    </row>
    <row r="115124" spans="1:15" s="210" customFormat="1" x14ac:dyDescent="0.3">
      <c r="A115124" s="12"/>
      <c r="B115124" s="15"/>
      <c r="C115124" s="15"/>
      <c r="D115124" s="12"/>
      <c r="E115124" s="12"/>
      <c r="F115124" s="13"/>
      <c r="G115124" s="12"/>
      <c r="H115124" s="12"/>
      <c r="I115124" s="12"/>
      <c r="J115124" s="12"/>
      <c r="K115124" s="12"/>
      <c r="L115124" s="208"/>
      <c r="M115124" s="209"/>
      <c r="N115124" s="209"/>
      <c r="O115124" s="209"/>
    </row>
    <row r="115125" spans="1:15" s="210" customFormat="1" x14ac:dyDescent="0.3">
      <c r="A115125" s="12"/>
      <c r="B115125" s="15"/>
      <c r="C115125" s="15"/>
      <c r="D115125" s="12"/>
      <c r="E115125" s="12"/>
      <c r="F115125" s="13"/>
      <c r="G115125" s="12"/>
      <c r="H115125" s="12"/>
      <c r="I115125" s="12"/>
      <c r="J115125" s="12"/>
      <c r="K115125" s="12"/>
      <c r="L115125" s="208"/>
      <c r="M115125" s="209"/>
      <c r="N115125" s="209"/>
      <c r="O115125" s="209"/>
    </row>
    <row r="115126" spans="1:15" s="210" customFormat="1" x14ac:dyDescent="0.3">
      <c r="A115126" s="12"/>
      <c r="B115126" s="15"/>
      <c r="C115126" s="15"/>
      <c r="D115126" s="12"/>
      <c r="E115126" s="12"/>
      <c r="F115126" s="13"/>
      <c r="G115126" s="12"/>
      <c r="H115126" s="12"/>
      <c r="I115126" s="12"/>
      <c r="J115126" s="12"/>
      <c r="K115126" s="12"/>
      <c r="L115126" s="208"/>
      <c r="M115126" s="209"/>
      <c r="N115126" s="209"/>
      <c r="O115126" s="209"/>
    </row>
    <row r="115127" spans="1:15" s="210" customFormat="1" x14ac:dyDescent="0.3">
      <c r="A115127" s="12"/>
      <c r="B115127" s="15"/>
      <c r="C115127" s="15"/>
      <c r="D115127" s="12"/>
      <c r="E115127" s="12"/>
      <c r="F115127" s="13"/>
      <c r="G115127" s="12"/>
      <c r="H115127" s="12"/>
      <c r="I115127" s="12"/>
      <c r="J115127" s="12"/>
      <c r="K115127" s="12"/>
      <c r="L115127" s="208"/>
      <c r="M115127" s="209"/>
      <c r="N115127" s="209"/>
      <c r="O115127" s="209"/>
    </row>
    <row r="115128" spans="1:15" s="210" customFormat="1" x14ac:dyDescent="0.3">
      <c r="A115128" s="12"/>
      <c r="B115128" s="15"/>
      <c r="C115128" s="15"/>
      <c r="D115128" s="12"/>
      <c r="E115128" s="12"/>
      <c r="F115128" s="13"/>
      <c r="G115128" s="12"/>
      <c r="H115128" s="12"/>
      <c r="I115128" s="12"/>
      <c r="J115128" s="12"/>
      <c r="K115128" s="12"/>
      <c r="L115128" s="208"/>
      <c r="M115128" s="209"/>
      <c r="N115128" s="209"/>
      <c r="O115128" s="209"/>
    </row>
    <row r="115129" spans="1:15" s="210" customFormat="1" x14ac:dyDescent="0.3">
      <c r="A115129" s="12"/>
      <c r="B115129" s="15"/>
      <c r="C115129" s="15"/>
      <c r="D115129" s="12"/>
      <c r="E115129" s="12"/>
      <c r="F115129" s="13"/>
      <c r="G115129" s="12"/>
      <c r="H115129" s="12"/>
      <c r="I115129" s="12"/>
      <c r="J115129" s="12"/>
      <c r="K115129" s="12"/>
      <c r="L115129" s="208"/>
      <c r="M115129" s="209"/>
      <c r="N115129" s="209"/>
      <c r="O115129" s="209"/>
    </row>
    <row r="115130" spans="1:15" s="210" customFormat="1" x14ac:dyDescent="0.3">
      <c r="A115130" s="12"/>
      <c r="B115130" s="15"/>
      <c r="C115130" s="15"/>
      <c r="D115130" s="12"/>
      <c r="E115130" s="12"/>
      <c r="F115130" s="13"/>
      <c r="G115130" s="12"/>
      <c r="H115130" s="12"/>
      <c r="I115130" s="12"/>
      <c r="J115130" s="12"/>
      <c r="K115130" s="12"/>
      <c r="L115130" s="208"/>
      <c r="M115130" s="209"/>
      <c r="N115130" s="209"/>
      <c r="O115130" s="209"/>
    </row>
    <row r="115131" spans="1:15" s="210" customFormat="1" x14ac:dyDescent="0.3">
      <c r="A115131" s="12"/>
      <c r="B115131" s="15"/>
      <c r="C115131" s="15"/>
      <c r="D115131" s="12"/>
      <c r="E115131" s="12"/>
      <c r="F115131" s="13"/>
      <c r="G115131" s="12"/>
      <c r="H115131" s="12"/>
      <c r="I115131" s="12"/>
      <c r="J115131" s="12"/>
      <c r="K115131" s="12"/>
      <c r="L115131" s="208"/>
      <c r="M115131" s="209"/>
      <c r="N115131" s="209"/>
      <c r="O115131" s="209"/>
    </row>
    <row r="115132" spans="1:15" s="210" customFormat="1" x14ac:dyDescent="0.3">
      <c r="A115132" s="12"/>
      <c r="B115132" s="15"/>
      <c r="C115132" s="15"/>
      <c r="D115132" s="12"/>
      <c r="E115132" s="12"/>
      <c r="F115132" s="13"/>
      <c r="G115132" s="12"/>
      <c r="H115132" s="12"/>
      <c r="I115132" s="12"/>
      <c r="J115132" s="12"/>
      <c r="K115132" s="12"/>
      <c r="L115132" s="208"/>
      <c r="M115132" s="209"/>
      <c r="N115132" s="209"/>
      <c r="O115132" s="209"/>
    </row>
    <row r="115133" spans="1:15" s="210" customFormat="1" x14ac:dyDescent="0.3">
      <c r="A115133" s="12"/>
      <c r="B115133" s="15"/>
      <c r="C115133" s="15"/>
      <c r="D115133" s="12"/>
      <c r="E115133" s="12"/>
      <c r="F115133" s="13"/>
      <c r="G115133" s="12"/>
      <c r="H115133" s="12"/>
      <c r="I115133" s="12"/>
      <c r="J115133" s="12"/>
      <c r="K115133" s="12"/>
      <c r="L115133" s="208"/>
      <c r="M115133" s="209"/>
      <c r="N115133" s="209"/>
      <c r="O115133" s="209"/>
    </row>
    <row r="115134" spans="1:15" s="210" customFormat="1" x14ac:dyDescent="0.3">
      <c r="A115134" s="12"/>
      <c r="B115134" s="15"/>
      <c r="C115134" s="15"/>
      <c r="D115134" s="12"/>
      <c r="E115134" s="12"/>
      <c r="F115134" s="13"/>
      <c r="G115134" s="12"/>
      <c r="H115134" s="12"/>
      <c r="I115134" s="12"/>
      <c r="J115134" s="12"/>
      <c r="K115134" s="12"/>
      <c r="L115134" s="208"/>
      <c r="M115134" s="209"/>
      <c r="N115134" s="209"/>
      <c r="O115134" s="209"/>
    </row>
    <row r="115135" spans="1:15" s="210" customFormat="1" x14ac:dyDescent="0.3">
      <c r="A115135" s="12"/>
      <c r="B115135" s="15"/>
      <c r="C115135" s="15"/>
      <c r="D115135" s="12"/>
      <c r="E115135" s="12"/>
      <c r="F115135" s="13"/>
      <c r="G115135" s="12"/>
      <c r="H115135" s="12"/>
      <c r="I115135" s="12"/>
      <c r="J115135" s="12"/>
      <c r="K115135" s="12"/>
      <c r="L115135" s="208"/>
      <c r="M115135" s="209"/>
      <c r="N115135" s="209"/>
      <c r="O115135" s="209"/>
    </row>
    <row r="115136" spans="1:15" s="210" customFormat="1" x14ac:dyDescent="0.3">
      <c r="A115136" s="12"/>
      <c r="B115136" s="15"/>
      <c r="C115136" s="15"/>
      <c r="D115136" s="12"/>
      <c r="E115136" s="12"/>
      <c r="F115136" s="13"/>
      <c r="G115136" s="12"/>
      <c r="H115136" s="12"/>
      <c r="I115136" s="12"/>
      <c r="J115136" s="12"/>
      <c r="K115136" s="12"/>
      <c r="L115136" s="208"/>
      <c r="M115136" s="209"/>
      <c r="N115136" s="209"/>
      <c r="O115136" s="209"/>
    </row>
    <row r="115137" spans="1:15" s="210" customFormat="1" x14ac:dyDescent="0.3">
      <c r="A115137" s="12"/>
      <c r="B115137" s="15"/>
      <c r="C115137" s="15"/>
      <c r="D115137" s="12"/>
      <c r="E115137" s="12"/>
      <c r="F115137" s="13"/>
      <c r="G115137" s="12"/>
      <c r="H115137" s="12"/>
      <c r="I115137" s="12"/>
      <c r="J115137" s="12"/>
      <c r="K115137" s="12"/>
      <c r="L115137" s="208"/>
      <c r="M115137" s="209"/>
      <c r="N115137" s="209"/>
      <c r="O115137" s="209"/>
    </row>
    <row r="115138" spans="1:15" s="210" customFormat="1" x14ac:dyDescent="0.3">
      <c r="A115138" s="12"/>
      <c r="B115138" s="15"/>
      <c r="C115138" s="15"/>
      <c r="D115138" s="12"/>
      <c r="E115138" s="12"/>
      <c r="F115138" s="13"/>
      <c r="G115138" s="12"/>
      <c r="H115138" s="12"/>
      <c r="I115138" s="12"/>
      <c r="J115138" s="12"/>
      <c r="K115138" s="12"/>
      <c r="L115138" s="208"/>
      <c r="M115138" s="209"/>
      <c r="N115138" s="209"/>
      <c r="O115138" s="209"/>
    </row>
    <row r="115139" spans="1:15" s="210" customFormat="1" x14ac:dyDescent="0.3">
      <c r="A115139" s="12"/>
      <c r="B115139" s="15"/>
      <c r="C115139" s="15"/>
      <c r="D115139" s="12"/>
      <c r="E115139" s="12"/>
      <c r="F115139" s="13"/>
      <c r="G115139" s="12"/>
      <c r="H115139" s="12"/>
      <c r="I115139" s="12"/>
      <c r="J115139" s="12"/>
      <c r="K115139" s="12"/>
      <c r="L115139" s="208"/>
      <c r="M115139" s="209"/>
      <c r="N115139" s="209"/>
      <c r="O115139" s="209"/>
    </row>
    <row r="115140" spans="1:15" s="210" customFormat="1" x14ac:dyDescent="0.3">
      <c r="A115140" s="12"/>
      <c r="B115140" s="15"/>
      <c r="C115140" s="15"/>
      <c r="D115140" s="12"/>
      <c r="E115140" s="12"/>
      <c r="F115140" s="13"/>
      <c r="G115140" s="12"/>
      <c r="H115140" s="12"/>
      <c r="I115140" s="12"/>
      <c r="J115140" s="12"/>
      <c r="K115140" s="12"/>
      <c r="L115140" s="208"/>
      <c r="M115140" s="209"/>
      <c r="N115140" s="209"/>
      <c r="O115140" s="209"/>
    </row>
    <row r="115141" spans="1:15" s="210" customFormat="1" x14ac:dyDescent="0.3">
      <c r="A115141" s="12"/>
      <c r="B115141" s="15"/>
      <c r="C115141" s="15"/>
      <c r="D115141" s="12"/>
      <c r="E115141" s="12"/>
      <c r="F115141" s="13"/>
      <c r="G115141" s="12"/>
      <c r="H115141" s="12"/>
      <c r="I115141" s="12"/>
      <c r="J115141" s="12"/>
      <c r="K115141" s="12"/>
      <c r="L115141" s="208"/>
      <c r="M115141" s="209"/>
      <c r="N115141" s="209"/>
      <c r="O115141" s="209"/>
    </row>
    <row r="115142" spans="1:15" s="210" customFormat="1" x14ac:dyDescent="0.3">
      <c r="A115142" s="12"/>
      <c r="B115142" s="15"/>
      <c r="C115142" s="15"/>
      <c r="D115142" s="12"/>
      <c r="E115142" s="12"/>
      <c r="F115142" s="13"/>
      <c r="G115142" s="12"/>
      <c r="H115142" s="12"/>
      <c r="I115142" s="12"/>
      <c r="J115142" s="12"/>
      <c r="K115142" s="12"/>
      <c r="L115142" s="208"/>
      <c r="M115142" s="209"/>
      <c r="N115142" s="209"/>
      <c r="O115142" s="209"/>
    </row>
    <row r="115143" spans="1:15" s="210" customFormat="1" x14ac:dyDescent="0.3">
      <c r="A115143" s="12"/>
      <c r="B115143" s="15"/>
      <c r="C115143" s="15"/>
      <c r="D115143" s="12"/>
      <c r="E115143" s="12"/>
      <c r="F115143" s="13"/>
      <c r="G115143" s="12"/>
      <c r="H115143" s="12"/>
      <c r="I115143" s="12"/>
      <c r="J115143" s="12"/>
      <c r="K115143" s="12"/>
      <c r="L115143" s="208"/>
      <c r="M115143" s="209"/>
      <c r="N115143" s="209"/>
      <c r="O115143" s="209"/>
    </row>
    <row r="115144" spans="1:15" s="210" customFormat="1" x14ac:dyDescent="0.3">
      <c r="A115144" s="12"/>
      <c r="B115144" s="15"/>
      <c r="C115144" s="15"/>
      <c r="D115144" s="12"/>
      <c r="E115144" s="12"/>
      <c r="F115144" s="13"/>
      <c r="G115144" s="12"/>
      <c r="H115144" s="12"/>
      <c r="I115144" s="12"/>
      <c r="J115144" s="12"/>
      <c r="K115144" s="12"/>
      <c r="L115144" s="208"/>
      <c r="M115144" s="209"/>
      <c r="N115144" s="209"/>
      <c r="O115144" s="209"/>
    </row>
    <row r="115145" spans="1:15" s="210" customFormat="1" x14ac:dyDescent="0.3">
      <c r="A115145" s="12"/>
      <c r="B115145" s="15"/>
      <c r="C115145" s="15"/>
      <c r="D115145" s="12"/>
      <c r="E115145" s="12"/>
      <c r="F115145" s="13"/>
      <c r="G115145" s="12"/>
      <c r="H115145" s="12"/>
      <c r="I115145" s="12"/>
      <c r="J115145" s="12"/>
      <c r="K115145" s="12"/>
      <c r="L115145" s="208"/>
      <c r="M115145" s="209"/>
      <c r="N115145" s="209"/>
      <c r="O115145" s="209"/>
    </row>
    <row r="115146" spans="1:15" s="210" customFormat="1" x14ac:dyDescent="0.3">
      <c r="A115146" s="12"/>
      <c r="B115146" s="15"/>
      <c r="C115146" s="15"/>
      <c r="D115146" s="12"/>
      <c r="E115146" s="12"/>
      <c r="F115146" s="13"/>
      <c r="G115146" s="12"/>
      <c r="H115146" s="12"/>
      <c r="I115146" s="12"/>
      <c r="J115146" s="12"/>
      <c r="K115146" s="12"/>
      <c r="L115146" s="208"/>
      <c r="M115146" s="209"/>
      <c r="N115146" s="209"/>
      <c r="O115146" s="209"/>
    </row>
    <row r="115147" spans="1:15" s="210" customFormat="1" x14ac:dyDescent="0.3">
      <c r="A115147" s="12"/>
      <c r="B115147" s="15"/>
      <c r="C115147" s="15"/>
      <c r="D115147" s="12"/>
      <c r="E115147" s="12"/>
      <c r="F115147" s="13"/>
      <c r="G115147" s="12"/>
      <c r="H115147" s="12"/>
      <c r="I115147" s="12"/>
      <c r="J115147" s="12"/>
      <c r="K115147" s="12"/>
      <c r="L115147" s="208"/>
      <c r="M115147" s="209"/>
      <c r="N115147" s="209"/>
      <c r="O115147" s="209"/>
    </row>
    <row r="115148" spans="1:15" s="210" customFormat="1" x14ac:dyDescent="0.3">
      <c r="A115148" s="12"/>
      <c r="B115148" s="15"/>
      <c r="C115148" s="15"/>
      <c r="D115148" s="12"/>
      <c r="E115148" s="12"/>
      <c r="F115148" s="13"/>
      <c r="G115148" s="12"/>
      <c r="H115148" s="12"/>
      <c r="I115148" s="12"/>
      <c r="J115148" s="12"/>
      <c r="K115148" s="12"/>
      <c r="L115148" s="208"/>
      <c r="M115148" s="209"/>
      <c r="N115148" s="209"/>
      <c r="O115148" s="209"/>
    </row>
    <row r="115149" spans="1:15" s="210" customFormat="1" x14ac:dyDescent="0.3">
      <c r="A115149" s="12"/>
      <c r="B115149" s="15"/>
      <c r="C115149" s="15"/>
      <c r="D115149" s="12"/>
      <c r="E115149" s="12"/>
      <c r="F115149" s="13"/>
      <c r="G115149" s="12"/>
      <c r="H115149" s="12"/>
      <c r="I115149" s="12"/>
      <c r="J115149" s="12"/>
      <c r="K115149" s="12"/>
      <c r="L115149" s="208"/>
      <c r="M115149" s="209"/>
      <c r="N115149" s="209"/>
      <c r="O115149" s="209"/>
    </row>
    <row r="115150" spans="1:15" s="210" customFormat="1" x14ac:dyDescent="0.3">
      <c r="A115150" s="12"/>
      <c r="B115150" s="15"/>
      <c r="C115150" s="15"/>
      <c r="D115150" s="12"/>
      <c r="E115150" s="12"/>
      <c r="F115150" s="13"/>
      <c r="G115150" s="12"/>
      <c r="H115150" s="12"/>
      <c r="I115150" s="12"/>
      <c r="J115150" s="12"/>
      <c r="K115150" s="12"/>
      <c r="L115150" s="208"/>
      <c r="M115150" s="209"/>
      <c r="N115150" s="209"/>
      <c r="O115150" s="209"/>
    </row>
    <row r="115151" spans="1:15" s="210" customFormat="1" x14ac:dyDescent="0.3">
      <c r="A115151" s="12"/>
      <c r="B115151" s="15"/>
      <c r="C115151" s="15"/>
      <c r="D115151" s="12"/>
      <c r="E115151" s="12"/>
      <c r="F115151" s="13"/>
      <c r="G115151" s="12"/>
      <c r="H115151" s="12"/>
      <c r="I115151" s="12"/>
      <c r="J115151" s="12"/>
      <c r="K115151" s="12"/>
      <c r="L115151" s="208"/>
      <c r="M115151" s="209"/>
      <c r="N115151" s="209"/>
      <c r="O115151" s="209"/>
    </row>
    <row r="115152" spans="1:15" s="210" customFormat="1" x14ac:dyDescent="0.3">
      <c r="A115152" s="12"/>
      <c r="B115152" s="15"/>
      <c r="C115152" s="15"/>
      <c r="D115152" s="12"/>
      <c r="E115152" s="12"/>
      <c r="F115152" s="13"/>
      <c r="G115152" s="12"/>
      <c r="H115152" s="12"/>
      <c r="I115152" s="12"/>
      <c r="J115152" s="12"/>
      <c r="K115152" s="12"/>
      <c r="L115152" s="208"/>
      <c r="M115152" s="209"/>
      <c r="N115152" s="209"/>
      <c r="O115152" s="209"/>
    </row>
    <row r="115153" spans="1:15" s="210" customFormat="1" x14ac:dyDescent="0.3">
      <c r="A115153" s="12"/>
      <c r="B115153" s="15"/>
      <c r="C115153" s="15"/>
      <c r="D115153" s="12"/>
      <c r="E115153" s="12"/>
      <c r="F115153" s="13"/>
      <c r="G115153" s="12"/>
      <c r="H115153" s="12"/>
      <c r="I115153" s="12"/>
      <c r="J115153" s="12"/>
      <c r="K115153" s="12"/>
      <c r="L115153" s="208"/>
      <c r="M115153" s="209"/>
      <c r="N115153" s="209"/>
      <c r="O115153" s="209"/>
    </row>
    <row r="115154" spans="1:15" s="210" customFormat="1" x14ac:dyDescent="0.3">
      <c r="A115154" s="12"/>
      <c r="B115154" s="15"/>
      <c r="C115154" s="15"/>
      <c r="D115154" s="12"/>
      <c r="E115154" s="12"/>
      <c r="F115154" s="13"/>
      <c r="G115154" s="12"/>
      <c r="H115154" s="12"/>
      <c r="I115154" s="12"/>
      <c r="J115154" s="12"/>
      <c r="K115154" s="12"/>
      <c r="L115154" s="208"/>
      <c r="M115154" s="209"/>
      <c r="N115154" s="209"/>
      <c r="O115154" s="209"/>
    </row>
    <row r="115155" spans="1:15" s="210" customFormat="1" x14ac:dyDescent="0.3">
      <c r="A115155" s="12"/>
      <c r="B115155" s="15"/>
      <c r="C115155" s="15"/>
      <c r="D115155" s="12"/>
      <c r="E115155" s="12"/>
      <c r="F115155" s="13"/>
      <c r="G115155" s="12"/>
      <c r="H115155" s="12"/>
      <c r="I115155" s="12"/>
      <c r="J115155" s="12"/>
      <c r="K115155" s="12"/>
      <c r="L115155" s="208"/>
      <c r="M115155" s="209"/>
      <c r="N115155" s="209"/>
      <c r="O115155" s="209"/>
    </row>
    <row r="115156" spans="1:15" s="210" customFormat="1" x14ac:dyDescent="0.3">
      <c r="A115156" s="12"/>
      <c r="B115156" s="15"/>
      <c r="C115156" s="15"/>
      <c r="D115156" s="12"/>
      <c r="E115156" s="12"/>
      <c r="F115156" s="13"/>
      <c r="G115156" s="12"/>
      <c r="H115156" s="12"/>
      <c r="I115156" s="12"/>
      <c r="J115156" s="12"/>
      <c r="K115156" s="12"/>
      <c r="L115156" s="208"/>
      <c r="M115156" s="209"/>
      <c r="N115156" s="209"/>
      <c r="O115156" s="209"/>
    </row>
    <row r="115157" spans="1:15" s="210" customFormat="1" x14ac:dyDescent="0.3">
      <c r="A115157" s="12"/>
      <c r="B115157" s="15"/>
      <c r="C115157" s="15"/>
      <c r="D115157" s="12"/>
      <c r="E115157" s="12"/>
      <c r="F115157" s="13"/>
      <c r="G115157" s="12"/>
      <c r="H115157" s="12"/>
      <c r="I115157" s="12"/>
      <c r="J115157" s="12"/>
      <c r="K115157" s="12"/>
      <c r="L115157" s="208"/>
      <c r="M115157" s="209"/>
      <c r="N115157" s="209"/>
      <c r="O115157" s="209"/>
    </row>
    <row r="115158" spans="1:15" s="210" customFormat="1" x14ac:dyDescent="0.3">
      <c r="A115158" s="12"/>
      <c r="B115158" s="15"/>
      <c r="C115158" s="15"/>
      <c r="D115158" s="12"/>
      <c r="E115158" s="12"/>
      <c r="F115158" s="13"/>
      <c r="G115158" s="12"/>
      <c r="H115158" s="12"/>
      <c r="I115158" s="12"/>
      <c r="J115158" s="12"/>
      <c r="K115158" s="12"/>
      <c r="L115158" s="208"/>
      <c r="M115158" s="209"/>
      <c r="N115158" s="209"/>
      <c r="O115158" s="209"/>
    </row>
    <row r="115159" spans="1:15" s="210" customFormat="1" x14ac:dyDescent="0.3">
      <c r="A115159" s="12"/>
      <c r="B115159" s="15"/>
      <c r="C115159" s="15"/>
      <c r="D115159" s="12"/>
      <c r="E115159" s="12"/>
      <c r="F115159" s="13"/>
      <c r="G115159" s="12"/>
      <c r="H115159" s="12"/>
      <c r="I115159" s="12"/>
      <c r="J115159" s="12"/>
      <c r="K115159" s="12"/>
      <c r="L115159" s="208"/>
      <c r="M115159" s="209"/>
      <c r="N115159" s="209"/>
      <c r="O115159" s="209"/>
    </row>
    <row r="115160" spans="1:15" s="210" customFormat="1" x14ac:dyDescent="0.3">
      <c r="A115160" s="12"/>
      <c r="B115160" s="15"/>
      <c r="C115160" s="15"/>
      <c r="D115160" s="12"/>
      <c r="E115160" s="12"/>
      <c r="F115160" s="13"/>
      <c r="G115160" s="12"/>
      <c r="H115160" s="12"/>
      <c r="I115160" s="12"/>
      <c r="J115160" s="12"/>
      <c r="K115160" s="12"/>
      <c r="L115160" s="208"/>
      <c r="M115160" s="209"/>
      <c r="N115160" s="209"/>
      <c r="O115160" s="209"/>
    </row>
    <row r="115161" spans="1:15" s="210" customFormat="1" x14ac:dyDescent="0.3">
      <c r="A115161" s="12"/>
      <c r="B115161" s="15"/>
      <c r="C115161" s="15"/>
      <c r="D115161" s="12"/>
      <c r="E115161" s="12"/>
      <c r="F115161" s="13"/>
      <c r="G115161" s="12"/>
      <c r="H115161" s="12"/>
      <c r="I115161" s="12"/>
      <c r="J115161" s="12"/>
      <c r="K115161" s="12"/>
      <c r="L115161" s="208"/>
      <c r="M115161" s="209"/>
      <c r="N115161" s="209"/>
      <c r="O115161" s="209"/>
    </row>
    <row r="115162" spans="1:15" s="210" customFormat="1" x14ac:dyDescent="0.3">
      <c r="A115162" s="12"/>
      <c r="B115162" s="15"/>
      <c r="C115162" s="15"/>
      <c r="D115162" s="12"/>
      <c r="E115162" s="12"/>
      <c r="F115162" s="13"/>
      <c r="G115162" s="12"/>
      <c r="H115162" s="12"/>
      <c r="I115162" s="12"/>
      <c r="J115162" s="12"/>
      <c r="K115162" s="12"/>
      <c r="L115162" s="208"/>
      <c r="M115162" s="209"/>
      <c r="N115162" s="209"/>
      <c r="O115162" s="209"/>
    </row>
    <row r="115163" spans="1:15" s="210" customFormat="1" x14ac:dyDescent="0.3">
      <c r="A115163" s="12"/>
      <c r="B115163" s="15"/>
      <c r="C115163" s="15"/>
      <c r="D115163" s="12"/>
      <c r="E115163" s="12"/>
      <c r="F115163" s="13"/>
      <c r="G115163" s="12"/>
      <c r="H115163" s="12"/>
      <c r="I115163" s="12"/>
      <c r="J115163" s="12"/>
      <c r="K115163" s="12"/>
      <c r="L115163" s="208"/>
      <c r="M115163" s="209"/>
      <c r="N115163" s="209"/>
      <c r="O115163" s="209"/>
    </row>
    <row r="115164" spans="1:15" s="210" customFormat="1" x14ac:dyDescent="0.3">
      <c r="A115164" s="12"/>
      <c r="B115164" s="15"/>
      <c r="C115164" s="15"/>
      <c r="D115164" s="12"/>
      <c r="E115164" s="12"/>
      <c r="F115164" s="13"/>
      <c r="G115164" s="12"/>
      <c r="H115164" s="12"/>
      <c r="I115164" s="12"/>
      <c r="J115164" s="12"/>
      <c r="K115164" s="12"/>
      <c r="L115164" s="208"/>
      <c r="M115164" s="209"/>
      <c r="N115164" s="209"/>
      <c r="O115164" s="209"/>
    </row>
    <row r="115165" spans="1:15" s="210" customFormat="1" x14ac:dyDescent="0.3">
      <c r="A115165" s="12"/>
      <c r="B115165" s="15"/>
      <c r="C115165" s="15"/>
      <c r="D115165" s="12"/>
      <c r="E115165" s="12"/>
      <c r="F115165" s="13"/>
      <c r="G115165" s="12"/>
      <c r="H115165" s="12"/>
      <c r="I115165" s="12"/>
      <c r="J115165" s="12"/>
      <c r="K115165" s="12"/>
      <c r="L115165" s="208"/>
      <c r="M115165" s="209"/>
      <c r="N115165" s="209"/>
      <c r="O115165" s="209"/>
    </row>
    <row r="115166" spans="1:15" s="210" customFormat="1" x14ac:dyDescent="0.3">
      <c r="A115166" s="12"/>
      <c r="B115166" s="15"/>
      <c r="C115166" s="15"/>
      <c r="D115166" s="12"/>
      <c r="E115166" s="12"/>
      <c r="F115166" s="13"/>
      <c r="G115166" s="12"/>
      <c r="H115166" s="12"/>
      <c r="I115166" s="12"/>
      <c r="J115166" s="12"/>
      <c r="K115166" s="12"/>
      <c r="L115166" s="208"/>
      <c r="M115166" s="209"/>
      <c r="N115166" s="209"/>
      <c r="O115166" s="209"/>
    </row>
    <row r="115167" spans="1:15" s="210" customFormat="1" x14ac:dyDescent="0.3">
      <c r="A115167" s="12"/>
      <c r="B115167" s="15"/>
      <c r="C115167" s="15"/>
      <c r="D115167" s="12"/>
      <c r="E115167" s="12"/>
      <c r="F115167" s="13"/>
      <c r="G115167" s="12"/>
      <c r="H115167" s="12"/>
      <c r="I115167" s="12"/>
      <c r="J115167" s="12"/>
      <c r="K115167" s="12"/>
      <c r="L115167" s="208"/>
      <c r="M115167" s="209"/>
      <c r="N115167" s="209"/>
      <c r="O115167" s="209"/>
    </row>
    <row r="115168" spans="1:15" s="210" customFormat="1" x14ac:dyDescent="0.3">
      <c r="A115168" s="12"/>
      <c r="B115168" s="15"/>
      <c r="C115168" s="15"/>
      <c r="D115168" s="12"/>
      <c r="E115168" s="12"/>
      <c r="F115168" s="13"/>
      <c r="G115168" s="12"/>
      <c r="H115168" s="12"/>
      <c r="I115168" s="12"/>
      <c r="J115168" s="12"/>
      <c r="K115168" s="12"/>
      <c r="L115168" s="208"/>
      <c r="M115168" s="209"/>
      <c r="N115168" s="209"/>
      <c r="O115168" s="209"/>
    </row>
    <row r="115169" spans="1:15" s="210" customFormat="1" x14ac:dyDescent="0.3">
      <c r="A115169" s="12"/>
      <c r="B115169" s="15"/>
      <c r="C115169" s="15"/>
      <c r="D115169" s="12"/>
      <c r="E115169" s="12"/>
      <c r="F115169" s="13"/>
      <c r="G115169" s="12"/>
      <c r="H115169" s="12"/>
      <c r="I115169" s="12"/>
      <c r="J115169" s="12"/>
      <c r="K115169" s="12"/>
      <c r="L115169" s="208"/>
      <c r="M115169" s="209"/>
      <c r="N115169" s="209"/>
      <c r="O115169" s="209"/>
    </row>
    <row r="115170" spans="1:15" s="210" customFormat="1" x14ac:dyDescent="0.3">
      <c r="A115170" s="12"/>
      <c r="B115170" s="15"/>
      <c r="C115170" s="15"/>
      <c r="D115170" s="12"/>
      <c r="E115170" s="12"/>
      <c r="F115170" s="13"/>
      <c r="G115170" s="12"/>
      <c r="H115170" s="12"/>
      <c r="I115170" s="12"/>
      <c r="J115170" s="12"/>
      <c r="K115170" s="12"/>
      <c r="L115170" s="208"/>
      <c r="M115170" s="209"/>
      <c r="N115170" s="209"/>
      <c r="O115170" s="209"/>
    </row>
    <row r="115171" spans="1:15" s="210" customFormat="1" x14ac:dyDescent="0.3">
      <c r="A115171" s="12"/>
      <c r="B115171" s="15"/>
      <c r="C115171" s="15"/>
      <c r="D115171" s="12"/>
      <c r="E115171" s="12"/>
      <c r="F115171" s="13"/>
      <c r="G115171" s="12"/>
      <c r="H115171" s="12"/>
      <c r="I115171" s="12"/>
      <c r="J115171" s="12"/>
      <c r="K115171" s="12"/>
      <c r="L115171" s="208"/>
      <c r="M115171" s="209"/>
      <c r="N115171" s="209"/>
      <c r="O115171" s="209"/>
    </row>
    <row r="115172" spans="1:15" s="210" customFormat="1" x14ac:dyDescent="0.3">
      <c r="A115172" s="12"/>
      <c r="B115172" s="15"/>
      <c r="C115172" s="15"/>
      <c r="D115172" s="12"/>
      <c r="E115172" s="12"/>
      <c r="F115172" s="13"/>
      <c r="G115172" s="12"/>
      <c r="H115172" s="12"/>
      <c r="I115172" s="12"/>
      <c r="J115172" s="12"/>
      <c r="K115172" s="12"/>
      <c r="L115172" s="208"/>
      <c r="M115172" s="209"/>
      <c r="N115172" s="209"/>
      <c r="O115172" s="209"/>
    </row>
    <row r="115173" spans="1:15" s="210" customFormat="1" x14ac:dyDescent="0.3">
      <c r="A115173" s="12"/>
      <c r="B115173" s="15"/>
      <c r="C115173" s="15"/>
      <c r="D115173" s="12"/>
      <c r="E115173" s="12"/>
      <c r="F115173" s="13"/>
      <c r="G115173" s="12"/>
      <c r="H115173" s="12"/>
      <c r="I115173" s="12"/>
      <c r="J115173" s="12"/>
      <c r="K115173" s="12"/>
      <c r="L115173" s="208"/>
      <c r="M115173" s="209"/>
      <c r="N115173" s="209"/>
      <c r="O115173" s="209"/>
    </row>
    <row r="115174" spans="1:15" s="210" customFormat="1" x14ac:dyDescent="0.3">
      <c r="A115174" s="12"/>
      <c r="B115174" s="15"/>
      <c r="C115174" s="15"/>
      <c r="D115174" s="12"/>
      <c r="E115174" s="12"/>
      <c r="F115174" s="13"/>
      <c r="G115174" s="12"/>
      <c r="H115174" s="12"/>
      <c r="I115174" s="12"/>
      <c r="J115174" s="12"/>
      <c r="K115174" s="12"/>
      <c r="L115174" s="208"/>
      <c r="M115174" s="209"/>
      <c r="N115174" s="209"/>
      <c r="O115174" s="209"/>
    </row>
    <row r="115175" spans="1:15" s="210" customFormat="1" x14ac:dyDescent="0.3">
      <c r="A115175" s="12"/>
      <c r="B115175" s="15"/>
      <c r="C115175" s="15"/>
      <c r="D115175" s="12"/>
      <c r="E115175" s="12"/>
      <c r="F115175" s="13"/>
      <c r="G115175" s="12"/>
      <c r="H115175" s="12"/>
      <c r="I115175" s="12"/>
      <c r="J115175" s="12"/>
      <c r="K115175" s="12"/>
      <c r="L115175" s="208"/>
      <c r="M115175" s="209"/>
      <c r="N115175" s="209"/>
      <c r="O115175" s="209"/>
    </row>
    <row r="115176" spans="1:15" s="210" customFormat="1" x14ac:dyDescent="0.3">
      <c r="A115176" s="12"/>
      <c r="B115176" s="15"/>
      <c r="C115176" s="15"/>
      <c r="D115176" s="12"/>
      <c r="E115176" s="12"/>
      <c r="F115176" s="13"/>
      <c r="G115176" s="12"/>
      <c r="H115176" s="12"/>
      <c r="I115176" s="12"/>
      <c r="J115176" s="12"/>
      <c r="K115176" s="12"/>
      <c r="L115176" s="208"/>
      <c r="M115176" s="209"/>
      <c r="N115176" s="209"/>
      <c r="O115176" s="209"/>
    </row>
    <row r="115177" spans="1:15" s="210" customFormat="1" x14ac:dyDescent="0.3">
      <c r="A115177" s="12"/>
      <c r="B115177" s="15"/>
      <c r="C115177" s="15"/>
      <c r="D115177" s="12"/>
      <c r="E115177" s="12"/>
      <c r="F115177" s="13"/>
      <c r="G115177" s="12"/>
      <c r="H115177" s="12"/>
      <c r="I115177" s="12"/>
      <c r="J115177" s="12"/>
      <c r="K115177" s="12"/>
      <c r="L115177" s="208"/>
      <c r="M115177" s="209"/>
      <c r="N115177" s="209"/>
      <c r="O115177" s="209"/>
    </row>
    <row r="115178" spans="1:15" s="210" customFormat="1" x14ac:dyDescent="0.3">
      <c r="A115178" s="12"/>
      <c r="B115178" s="15"/>
      <c r="C115178" s="15"/>
      <c r="D115178" s="12"/>
      <c r="E115178" s="12"/>
      <c r="F115178" s="13"/>
      <c r="G115178" s="12"/>
      <c r="H115178" s="12"/>
      <c r="I115178" s="12"/>
      <c r="J115178" s="12"/>
      <c r="K115178" s="12"/>
      <c r="L115178" s="208"/>
      <c r="M115178" s="209"/>
      <c r="N115178" s="209"/>
      <c r="O115178" s="209"/>
    </row>
    <row r="115179" spans="1:15" s="210" customFormat="1" x14ac:dyDescent="0.3">
      <c r="A115179" s="12"/>
      <c r="B115179" s="15"/>
      <c r="C115179" s="15"/>
      <c r="D115179" s="12"/>
      <c r="E115179" s="12"/>
      <c r="F115179" s="13"/>
      <c r="G115179" s="12"/>
      <c r="H115179" s="12"/>
      <c r="I115179" s="12"/>
      <c r="J115179" s="12"/>
      <c r="K115179" s="12"/>
      <c r="L115179" s="208"/>
      <c r="M115179" s="209"/>
      <c r="N115179" s="209"/>
      <c r="O115179" s="209"/>
    </row>
    <row r="115180" spans="1:15" s="210" customFormat="1" x14ac:dyDescent="0.3">
      <c r="A115180" s="12"/>
      <c r="B115180" s="15"/>
      <c r="C115180" s="15"/>
      <c r="D115180" s="12"/>
      <c r="E115180" s="12"/>
      <c r="F115180" s="13"/>
      <c r="G115180" s="12"/>
      <c r="H115180" s="12"/>
      <c r="I115180" s="12"/>
      <c r="J115180" s="12"/>
      <c r="K115180" s="12"/>
      <c r="L115180" s="208"/>
      <c r="M115180" s="209"/>
      <c r="N115180" s="209"/>
      <c r="O115180" s="209"/>
    </row>
    <row r="115181" spans="1:15" s="210" customFormat="1" x14ac:dyDescent="0.3">
      <c r="A115181" s="12"/>
      <c r="B115181" s="15"/>
      <c r="C115181" s="15"/>
      <c r="D115181" s="12"/>
      <c r="E115181" s="12"/>
      <c r="F115181" s="13"/>
      <c r="G115181" s="12"/>
      <c r="H115181" s="12"/>
      <c r="I115181" s="12"/>
      <c r="J115181" s="12"/>
      <c r="K115181" s="12"/>
      <c r="L115181" s="208"/>
      <c r="M115181" s="209"/>
      <c r="N115181" s="209"/>
      <c r="O115181" s="209"/>
    </row>
    <row r="115182" spans="1:15" s="210" customFormat="1" x14ac:dyDescent="0.3">
      <c r="A115182" s="12"/>
      <c r="B115182" s="15"/>
      <c r="C115182" s="15"/>
      <c r="D115182" s="12"/>
      <c r="E115182" s="12"/>
      <c r="F115182" s="13"/>
      <c r="G115182" s="12"/>
      <c r="H115182" s="12"/>
      <c r="I115182" s="12"/>
      <c r="J115182" s="12"/>
      <c r="K115182" s="12"/>
      <c r="L115182" s="208"/>
      <c r="M115182" s="209"/>
      <c r="N115182" s="209"/>
      <c r="O115182" s="209"/>
    </row>
    <row r="115183" spans="1:15" s="210" customFormat="1" x14ac:dyDescent="0.3">
      <c r="A115183" s="12"/>
      <c r="B115183" s="15"/>
      <c r="C115183" s="15"/>
      <c r="D115183" s="12"/>
      <c r="E115183" s="12"/>
      <c r="F115183" s="13"/>
      <c r="G115183" s="12"/>
      <c r="H115183" s="12"/>
      <c r="I115183" s="12"/>
      <c r="J115183" s="12"/>
      <c r="K115183" s="12"/>
      <c r="L115183" s="208"/>
      <c r="M115183" s="209"/>
      <c r="N115183" s="209"/>
      <c r="O115183" s="209"/>
    </row>
    <row r="115184" spans="1:15" s="210" customFormat="1" x14ac:dyDescent="0.3">
      <c r="A115184" s="12"/>
      <c r="B115184" s="15"/>
      <c r="C115184" s="15"/>
      <c r="D115184" s="12"/>
      <c r="E115184" s="12"/>
      <c r="F115184" s="13"/>
      <c r="G115184" s="12"/>
      <c r="H115184" s="12"/>
      <c r="I115184" s="12"/>
      <c r="J115184" s="12"/>
      <c r="K115184" s="12"/>
      <c r="L115184" s="208"/>
      <c r="M115184" s="209"/>
      <c r="N115184" s="209"/>
      <c r="O115184" s="209"/>
    </row>
    <row r="115185" spans="1:15" s="210" customFormat="1" x14ac:dyDescent="0.3">
      <c r="A115185" s="12"/>
      <c r="B115185" s="15"/>
      <c r="C115185" s="15"/>
      <c r="D115185" s="12"/>
      <c r="E115185" s="12"/>
      <c r="F115185" s="13"/>
      <c r="G115185" s="12"/>
      <c r="H115185" s="12"/>
      <c r="I115185" s="12"/>
      <c r="J115185" s="12"/>
      <c r="K115185" s="12"/>
      <c r="L115185" s="208"/>
      <c r="M115185" s="209"/>
      <c r="N115185" s="209"/>
      <c r="O115185" s="209"/>
    </row>
    <row r="115186" spans="1:15" s="210" customFormat="1" x14ac:dyDescent="0.3">
      <c r="A115186" s="12"/>
      <c r="B115186" s="15"/>
      <c r="C115186" s="15"/>
      <c r="D115186" s="12"/>
      <c r="E115186" s="12"/>
      <c r="F115186" s="13"/>
      <c r="G115186" s="12"/>
      <c r="H115186" s="12"/>
      <c r="I115186" s="12"/>
      <c r="J115186" s="12"/>
      <c r="K115186" s="12"/>
      <c r="L115186" s="208"/>
      <c r="M115186" s="209"/>
      <c r="N115186" s="209"/>
      <c r="O115186" s="209"/>
    </row>
    <row r="115187" spans="1:15" s="210" customFormat="1" x14ac:dyDescent="0.3">
      <c r="A115187" s="12"/>
      <c r="B115187" s="15"/>
      <c r="C115187" s="15"/>
      <c r="D115187" s="12"/>
      <c r="E115187" s="12"/>
      <c r="F115187" s="13"/>
      <c r="G115187" s="12"/>
      <c r="H115187" s="12"/>
      <c r="I115187" s="12"/>
      <c r="J115187" s="12"/>
      <c r="K115187" s="12"/>
      <c r="L115187" s="208"/>
      <c r="M115187" s="209"/>
      <c r="N115187" s="209"/>
      <c r="O115187" s="209"/>
    </row>
    <row r="115188" spans="1:15" s="210" customFormat="1" x14ac:dyDescent="0.3">
      <c r="A115188" s="12"/>
      <c r="B115188" s="15"/>
      <c r="C115188" s="15"/>
      <c r="D115188" s="12"/>
      <c r="E115188" s="12"/>
      <c r="F115188" s="13"/>
      <c r="G115188" s="12"/>
      <c r="H115188" s="12"/>
      <c r="I115188" s="12"/>
      <c r="J115188" s="12"/>
      <c r="K115188" s="12"/>
      <c r="L115188" s="208"/>
      <c r="M115188" s="209"/>
      <c r="N115188" s="209"/>
      <c r="O115188" s="209"/>
    </row>
    <row r="115189" spans="1:15" s="210" customFormat="1" x14ac:dyDescent="0.3">
      <c r="A115189" s="12"/>
      <c r="B115189" s="15"/>
      <c r="C115189" s="15"/>
      <c r="D115189" s="12"/>
      <c r="E115189" s="12"/>
      <c r="F115189" s="13"/>
      <c r="G115189" s="12"/>
      <c r="H115189" s="12"/>
      <c r="I115189" s="12"/>
      <c r="J115189" s="12"/>
      <c r="K115189" s="12"/>
      <c r="L115189" s="208"/>
      <c r="M115189" s="209"/>
      <c r="N115189" s="209"/>
      <c r="O115189" s="209"/>
    </row>
    <row r="115190" spans="1:15" s="210" customFormat="1" x14ac:dyDescent="0.3">
      <c r="A115190" s="12"/>
      <c r="B115190" s="15"/>
      <c r="C115190" s="15"/>
      <c r="D115190" s="12"/>
      <c r="E115190" s="12"/>
      <c r="F115190" s="13"/>
      <c r="G115190" s="12"/>
      <c r="H115190" s="12"/>
      <c r="I115190" s="12"/>
      <c r="J115190" s="12"/>
      <c r="K115190" s="12"/>
      <c r="L115190" s="208"/>
      <c r="M115190" s="209"/>
      <c r="N115190" s="209"/>
      <c r="O115190" s="209"/>
    </row>
    <row r="115191" spans="1:15" s="210" customFormat="1" x14ac:dyDescent="0.3">
      <c r="A115191" s="12"/>
      <c r="B115191" s="15"/>
      <c r="C115191" s="15"/>
      <c r="D115191" s="12"/>
      <c r="E115191" s="12"/>
      <c r="F115191" s="13"/>
      <c r="G115191" s="12"/>
      <c r="H115191" s="12"/>
      <c r="I115191" s="12"/>
      <c r="J115191" s="12"/>
      <c r="K115191" s="12"/>
      <c r="L115191" s="208"/>
      <c r="M115191" s="209"/>
      <c r="N115191" s="209"/>
      <c r="O115191" s="209"/>
    </row>
    <row r="115192" spans="1:15" s="210" customFormat="1" x14ac:dyDescent="0.3">
      <c r="A115192" s="12"/>
      <c r="B115192" s="15"/>
      <c r="C115192" s="15"/>
      <c r="D115192" s="12"/>
      <c r="E115192" s="12"/>
      <c r="F115192" s="13"/>
      <c r="G115192" s="12"/>
      <c r="H115192" s="12"/>
      <c r="I115192" s="12"/>
      <c r="J115192" s="12"/>
      <c r="K115192" s="12"/>
      <c r="L115192" s="208"/>
      <c r="M115192" s="209"/>
      <c r="N115192" s="209"/>
      <c r="O115192" s="209"/>
    </row>
    <row r="115193" spans="1:15" s="210" customFormat="1" x14ac:dyDescent="0.3">
      <c r="A115193" s="12"/>
      <c r="B115193" s="15"/>
      <c r="C115193" s="15"/>
      <c r="D115193" s="12"/>
      <c r="E115193" s="12"/>
      <c r="F115193" s="13"/>
      <c r="G115193" s="12"/>
      <c r="H115193" s="12"/>
      <c r="I115193" s="12"/>
      <c r="J115193" s="12"/>
      <c r="K115193" s="12"/>
      <c r="L115193" s="208"/>
      <c r="M115193" s="209"/>
      <c r="N115193" s="209"/>
      <c r="O115193" s="209"/>
    </row>
    <row r="115194" spans="1:15" s="210" customFormat="1" x14ac:dyDescent="0.3">
      <c r="A115194" s="12"/>
      <c r="B115194" s="15"/>
      <c r="C115194" s="15"/>
      <c r="D115194" s="12"/>
      <c r="E115194" s="12"/>
      <c r="F115194" s="13"/>
      <c r="G115194" s="12"/>
      <c r="H115194" s="12"/>
      <c r="I115194" s="12"/>
      <c r="J115194" s="12"/>
      <c r="K115194" s="12"/>
      <c r="L115194" s="208"/>
      <c r="M115194" s="209"/>
      <c r="N115194" s="209"/>
      <c r="O115194" s="209"/>
    </row>
    <row r="115195" spans="1:15" s="210" customFormat="1" x14ac:dyDescent="0.3">
      <c r="A115195" s="12"/>
      <c r="B115195" s="15"/>
      <c r="C115195" s="15"/>
      <c r="D115195" s="12"/>
      <c r="E115195" s="12"/>
      <c r="F115195" s="13"/>
      <c r="G115195" s="12"/>
      <c r="H115195" s="12"/>
      <c r="I115195" s="12"/>
      <c r="J115195" s="12"/>
      <c r="K115195" s="12"/>
      <c r="L115195" s="208"/>
      <c r="M115195" s="209"/>
      <c r="N115195" s="209"/>
      <c r="O115195" s="209"/>
    </row>
    <row r="115196" spans="1:15" s="210" customFormat="1" x14ac:dyDescent="0.3">
      <c r="A115196" s="12"/>
      <c r="B115196" s="15"/>
      <c r="C115196" s="15"/>
      <c r="D115196" s="12"/>
      <c r="E115196" s="12"/>
      <c r="F115196" s="13"/>
      <c r="G115196" s="12"/>
      <c r="H115196" s="12"/>
      <c r="I115196" s="12"/>
      <c r="J115196" s="12"/>
      <c r="K115196" s="12"/>
      <c r="L115196" s="208"/>
      <c r="M115196" s="209"/>
      <c r="N115196" s="209"/>
      <c r="O115196" s="209"/>
    </row>
    <row r="115197" spans="1:15" s="210" customFormat="1" x14ac:dyDescent="0.3">
      <c r="A115197" s="12"/>
      <c r="B115197" s="15"/>
      <c r="C115197" s="15"/>
      <c r="D115197" s="12"/>
      <c r="E115197" s="12"/>
      <c r="F115197" s="13"/>
      <c r="G115197" s="12"/>
      <c r="H115197" s="12"/>
      <c r="I115197" s="12"/>
      <c r="J115197" s="12"/>
      <c r="K115197" s="12"/>
      <c r="L115197" s="208"/>
      <c r="M115197" s="209"/>
      <c r="N115197" s="209"/>
      <c r="O115197" s="209"/>
    </row>
    <row r="115198" spans="1:15" s="210" customFormat="1" x14ac:dyDescent="0.3">
      <c r="A115198" s="12"/>
      <c r="B115198" s="15"/>
      <c r="C115198" s="15"/>
      <c r="D115198" s="12"/>
      <c r="E115198" s="12"/>
      <c r="F115198" s="13"/>
      <c r="G115198" s="12"/>
      <c r="H115198" s="12"/>
      <c r="I115198" s="12"/>
      <c r="J115198" s="12"/>
      <c r="K115198" s="12"/>
      <c r="L115198" s="208"/>
      <c r="M115198" s="209"/>
      <c r="N115198" s="209"/>
      <c r="O115198" s="209"/>
    </row>
    <row r="115199" spans="1:15" s="210" customFormat="1" x14ac:dyDescent="0.3">
      <c r="A115199" s="12"/>
      <c r="B115199" s="15"/>
      <c r="C115199" s="15"/>
      <c r="D115199" s="12"/>
      <c r="E115199" s="12"/>
      <c r="F115199" s="13"/>
      <c r="G115199" s="12"/>
      <c r="H115199" s="12"/>
      <c r="I115199" s="12"/>
      <c r="J115199" s="12"/>
      <c r="K115199" s="12"/>
      <c r="L115199" s="208"/>
      <c r="M115199" s="209"/>
      <c r="N115199" s="209"/>
      <c r="O115199" s="209"/>
    </row>
    <row r="115200" spans="1:15" s="210" customFormat="1" x14ac:dyDescent="0.3">
      <c r="A115200" s="12"/>
      <c r="B115200" s="15"/>
      <c r="C115200" s="15"/>
      <c r="D115200" s="12"/>
      <c r="E115200" s="12"/>
      <c r="F115200" s="13"/>
      <c r="G115200" s="12"/>
      <c r="H115200" s="12"/>
      <c r="I115200" s="12"/>
      <c r="J115200" s="12"/>
      <c r="K115200" s="12"/>
      <c r="L115200" s="208"/>
      <c r="M115200" s="209"/>
      <c r="N115200" s="209"/>
      <c r="O115200" s="209"/>
    </row>
    <row r="115201" spans="1:15" s="210" customFormat="1" x14ac:dyDescent="0.3">
      <c r="A115201" s="12"/>
      <c r="B115201" s="15"/>
      <c r="C115201" s="15"/>
      <c r="D115201" s="12"/>
      <c r="E115201" s="12"/>
      <c r="F115201" s="13"/>
      <c r="G115201" s="12"/>
      <c r="H115201" s="12"/>
      <c r="I115201" s="12"/>
      <c r="J115201" s="12"/>
      <c r="K115201" s="12"/>
      <c r="L115201" s="208"/>
      <c r="M115201" s="209"/>
      <c r="N115201" s="209"/>
      <c r="O115201" s="209"/>
    </row>
    <row r="115202" spans="1:15" s="210" customFormat="1" x14ac:dyDescent="0.3">
      <c r="A115202" s="12"/>
      <c r="B115202" s="15"/>
      <c r="C115202" s="15"/>
      <c r="D115202" s="12"/>
      <c r="E115202" s="12"/>
      <c r="F115202" s="13"/>
      <c r="G115202" s="12"/>
      <c r="H115202" s="12"/>
      <c r="I115202" s="12"/>
      <c r="J115202" s="12"/>
      <c r="K115202" s="12"/>
      <c r="L115202" s="208"/>
      <c r="M115202" s="209"/>
      <c r="N115202" s="209"/>
      <c r="O115202" s="209"/>
    </row>
    <row r="115203" spans="1:15" s="210" customFormat="1" x14ac:dyDescent="0.3">
      <c r="A115203" s="12"/>
      <c r="B115203" s="15"/>
      <c r="C115203" s="15"/>
      <c r="D115203" s="12"/>
      <c r="E115203" s="12"/>
      <c r="F115203" s="13"/>
      <c r="G115203" s="12"/>
      <c r="H115203" s="12"/>
      <c r="I115203" s="12"/>
      <c r="J115203" s="12"/>
      <c r="K115203" s="12"/>
      <c r="L115203" s="208"/>
      <c r="M115203" s="209"/>
      <c r="N115203" s="209"/>
      <c r="O115203" s="209"/>
    </row>
    <row r="115204" spans="1:15" s="210" customFormat="1" x14ac:dyDescent="0.3">
      <c r="A115204" s="12"/>
      <c r="B115204" s="15"/>
      <c r="C115204" s="15"/>
      <c r="D115204" s="12"/>
      <c r="E115204" s="12"/>
      <c r="F115204" s="13"/>
      <c r="G115204" s="12"/>
      <c r="H115204" s="12"/>
      <c r="I115204" s="12"/>
      <c r="J115204" s="12"/>
      <c r="K115204" s="12"/>
      <c r="L115204" s="208"/>
      <c r="M115204" s="209"/>
      <c r="N115204" s="209"/>
      <c r="O115204" s="209"/>
    </row>
    <row r="115205" spans="1:15" s="210" customFormat="1" x14ac:dyDescent="0.3">
      <c r="A115205" s="12"/>
      <c r="B115205" s="15"/>
      <c r="C115205" s="15"/>
      <c r="D115205" s="12"/>
      <c r="E115205" s="12"/>
      <c r="F115205" s="13"/>
      <c r="G115205" s="12"/>
      <c r="H115205" s="12"/>
      <c r="I115205" s="12"/>
      <c r="J115205" s="12"/>
      <c r="K115205" s="12"/>
      <c r="L115205" s="208"/>
      <c r="M115205" s="209"/>
      <c r="N115205" s="209"/>
      <c r="O115205" s="209"/>
    </row>
    <row r="115206" spans="1:15" s="210" customFormat="1" x14ac:dyDescent="0.3">
      <c r="A115206" s="12"/>
      <c r="B115206" s="15"/>
      <c r="C115206" s="15"/>
      <c r="D115206" s="12"/>
      <c r="E115206" s="12"/>
      <c r="F115206" s="13"/>
      <c r="G115206" s="12"/>
      <c r="H115206" s="12"/>
      <c r="I115206" s="12"/>
      <c r="J115206" s="12"/>
      <c r="K115206" s="12"/>
      <c r="L115206" s="208"/>
      <c r="M115206" s="209"/>
      <c r="N115206" s="209"/>
      <c r="O115206" s="209"/>
    </row>
    <row r="115207" spans="1:15" s="210" customFormat="1" x14ac:dyDescent="0.3">
      <c r="A115207" s="12"/>
      <c r="B115207" s="15"/>
      <c r="C115207" s="15"/>
      <c r="D115207" s="12"/>
      <c r="E115207" s="12"/>
      <c r="F115207" s="13"/>
      <c r="G115207" s="12"/>
      <c r="H115207" s="12"/>
      <c r="I115207" s="12"/>
      <c r="J115207" s="12"/>
      <c r="K115207" s="12"/>
      <c r="L115207" s="208"/>
      <c r="M115207" s="209"/>
      <c r="N115207" s="209"/>
      <c r="O115207" s="209"/>
    </row>
    <row r="115208" spans="1:15" s="210" customFormat="1" x14ac:dyDescent="0.3">
      <c r="A115208" s="12"/>
      <c r="B115208" s="15"/>
      <c r="C115208" s="15"/>
      <c r="D115208" s="12"/>
      <c r="E115208" s="12"/>
      <c r="F115208" s="13"/>
      <c r="G115208" s="12"/>
      <c r="H115208" s="12"/>
      <c r="I115208" s="12"/>
      <c r="J115208" s="12"/>
      <c r="K115208" s="12"/>
      <c r="L115208" s="208"/>
      <c r="M115208" s="209"/>
      <c r="N115208" s="209"/>
      <c r="O115208" s="209"/>
    </row>
    <row r="115209" spans="1:15" s="210" customFormat="1" x14ac:dyDescent="0.3">
      <c r="A115209" s="12"/>
      <c r="B115209" s="15"/>
      <c r="C115209" s="15"/>
      <c r="D115209" s="12"/>
      <c r="E115209" s="12"/>
      <c r="F115209" s="13"/>
      <c r="G115209" s="12"/>
      <c r="H115209" s="12"/>
      <c r="I115209" s="12"/>
      <c r="J115209" s="12"/>
      <c r="K115209" s="12"/>
      <c r="L115209" s="208"/>
      <c r="M115209" s="209"/>
      <c r="N115209" s="209"/>
      <c r="O115209" s="209"/>
    </row>
    <row r="115210" spans="1:15" s="210" customFormat="1" x14ac:dyDescent="0.3">
      <c r="A115210" s="12"/>
      <c r="B115210" s="15"/>
      <c r="C115210" s="15"/>
      <c r="D115210" s="12"/>
      <c r="E115210" s="12"/>
      <c r="F115210" s="13"/>
      <c r="G115210" s="12"/>
      <c r="H115210" s="12"/>
      <c r="I115210" s="12"/>
      <c r="J115210" s="12"/>
      <c r="K115210" s="12"/>
      <c r="L115210" s="208"/>
      <c r="M115210" s="209"/>
      <c r="N115210" s="209"/>
      <c r="O115210" s="209"/>
    </row>
    <row r="115211" spans="1:15" s="210" customFormat="1" x14ac:dyDescent="0.3">
      <c r="A115211" s="12"/>
      <c r="B115211" s="15"/>
      <c r="C115211" s="15"/>
      <c r="D115211" s="12"/>
      <c r="E115211" s="12"/>
      <c r="F115211" s="13"/>
      <c r="G115211" s="12"/>
      <c r="H115211" s="12"/>
      <c r="I115211" s="12"/>
      <c r="J115211" s="12"/>
      <c r="K115211" s="12"/>
      <c r="L115211" s="208"/>
      <c r="M115211" s="209"/>
      <c r="N115211" s="209"/>
      <c r="O115211" s="209"/>
    </row>
    <row r="115212" spans="1:15" s="210" customFormat="1" x14ac:dyDescent="0.3">
      <c r="A115212" s="12"/>
      <c r="B115212" s="15"/>
      <c r="C115212" s="15"/>
      <c r="D115212" s="12"/>
      <c r="E115212" s="12"/>
      <c r="F115212" s="13"/>
      <c r="G115212" s="12"/>
      <c r="H115212" s="12"/>
      <c r="I115212" s="12"/>
      <c r="J115212" s="12"/>
      <c r="K115212" s="12"/>
      <c r="L115212" s="208"/>
      <c r="M115212" s="209"/>
      <c r="N115212" s="209"/>
      <c r="O115212" s="209"/>
    </row>
    <row r="115213" spans="1:15" s="210" customFormat="1" x14ac:dyDescent="0.3">
      <c r="A115213" s="12"/>
      <c r="B115213" s="15"/>
      <c r="C115213" s="15"/>
      <c r="D115213" s="12"/>
      <c r="E115213" s="12"/>
      <c r="F115213" s="13"/>
      <c r="G115213" s="12"/>
      <c r="H115213" s="12"/>
      <c r="I115213" s="12"/>
      <c r="J115213" s="12"/>
      <c r="K115213" s="12"/>
      <c r="L115213" s="208"/>
      <c r="M115213" s="209"/>
      <c r="N115213" s="209"/>
      <c r="O115213" s="209"/>
    </row>
    <row r="115214" spans="1:15" s="210" customFormat="1" x14ac:dyDescent="0.3">
      <c r="A115214" s="12"/>
      <c r="B115214" s="15"/>
      <c r="C115214" s="15"/>
      <c r="D115214" s="12"/>
      <c r="E115214" s="12"/>
      <c r="F115214" s="13"/>
      <c r="G115214" s="12"/>
      <c r="H115214" s="12"/>
      <c r="I115214" s="12"/>
      <c r="J115214" s="12"/>
      <c r="K115214" s="12"/>
      <c r="L115214" s="208"/>
      <c r="M115214" s="209"/>
      <c r="N115214" s="209"/>
      <c r="O115214" s="209"/>
    </row>
    <row r="115215" spans="1:15" s="210" customFormat="1" x14ac:dyDescent="0.3">
      <c r="A115215" s="12"/>
      <c r="B115215" s="15"/>
      <c r="C115215" s="15"/>
      <c r="D115215" s="12"/>
      <c r="E115215" s="12"/>
      <c r="F115215" s="13"/>
      <c r="G115215" s="12"/>
      <c r="H115215" s="12"/>
      <c r="I115215" s="12"/>
      <c r="J115215" s="12"/>
      <c r="K115215" s="12"/>
      <c r="L115215" s="208"/>
      <c r="M115215" s="209"/>
      <c r="N115215" s="209"/>
      <c r="O115215" s="209"/>
    </row>
    <row r="115216" spans="1:15" s="210" customFormat="1" x14ac:dyDescent="0.3">
      <c r="A115216" s="12"/>
      <c r="B115216" s="15"/>
      <c r="C115216" s="15"/>
      <c r="D115216" s="12"/>
      <c r="E115216" s="12"/>
      <c r="F115216" s="13"/>
      <c r="G115216" s="12"/>
      <c r="H115216" s="12"/>
      <c r="I115216" s="12"/>
      <c r="J115216" s="12"/>
      <c r="K115216" s="12"/>
      <c r="L115216" s="208"/>
      <c r="M115216" s="209"/>
      <c r="N115216" s="209"/>
      <c r="O115216" s="209"/>
    </row>
    <row r="115217" spans="1:15" s="210" customFormat="1" x14ac:dyDescent="0.3">
      <c r="A115217" s="12"/>
      <c r="B115217" s="15"/>
      <c r="C115217" s="15"/>
      <c r="D115217" s="12"/>
      <c r="E115217" s="12"/>
      <c r="F115217" s="13"/>
      <c r="G115217" s="12"/>
      <c r="H115217" s="12"/>
      <c r="I115217" s="12"/>
      <c r="J115217" s="12"/>
      <c r="K115217" s="12"/>
      <c r="L115217" s="208"/>
      <c r="M115217" s="209"/>
      <c r="N115217" s="209"/>
      <c r="O115217" s="209"/>
    </row>
    <row r="115218" spans="1:15" s="210" customFormat="1" x14ac:dyDescent="0.3">
      <c r="A115218" s="12"/>
      <c r="B115218" s="15"/>
      <c r="C115218" s="15"/>
      <c r="D115218" s="12"/>
      <c r="E115218" s="12"/>
      <c r="F115218" s="13"/>
      <c r="G115218" s="12"/>
      <c r="H115218" s="12"/>
      <c r="I115218" s="12"/>
      <c r="J115218" s="12"/>
      <c r="K115218" s="12"/>
      <c r="L115218" s="208"/>
      <c r="M115218" s="209"/>
      <c r="N115218" s="209"/>
      <c r="O115218" s="209"/>
    </row>
    <row r="115219" spans="1:15" s="210" customFormat="1" x14ac:dyDescent="0.3">
      <c r="A115219" s="12"/>
      <c r="B115219" s="15"/>
      <c r="C115219" s="15"/>
      <c r="D115219" s="12"/>
      <c r="E115219" s="12"/>
      <c r="F115219" s="13"/>
      <c r="G115219" s="12"/>
      <c r="H115219" s="12"/>
      <c r="I115219" s="12"/>
      <c r="J115219" s="12"/>
      <c r="K115219" s="12"/>
      <c r="L115219" s="208"/>
      <c r="M115219" s="209"/>
      <c r="N115219" s="209"/>
      <c r="O115219" s="209"/>
    </row>
    <row r="115220" spans="1:15" s="210" customFormat="1" x14ac:dyDescent="0.3">
      <c r="A115220" s="12"/>
      <c r="B115220" s="15"/>
      <c r="C115220" s="15"/>
      <c r="D115220" s="12"/>
      <c r="E115220" s="12"/>
      <c r="F115220" s="13"/>
      <c r="G115220" s="12"/>
      <c r="H115220" s="12"/>
      <c r="I115220" s="12"/>
      <c r="J115220" s="12"/>
      <c r="K115220" s="12"/>
      <c r="L115220" s="208"/>
      <c r="M115220" s="209"/>
      <c r="N115220" s="209"/>
      <c r="O115220" s="209"/>
    </row>
    <row r="115221" spans="1:15" s="210" customFormat="1" x14ac:dyDescent="0.3">
      <c r="A115221" s="12"/>
      <c r="B115221" s="15"/>
      <c r="C115221" s="15"/>
      <c r="D115221" s="12"/>
      <c r="E115221" s="12"/>
      <c r="F115221" s="13"/>
      <c r="G115221" s="12"/>
      <c r="H115221" s="12"/>
      <c r="I115221" s="12"/>
      <c r="J115221" s="12"/>
      <c r="K115221" s="12"/>
      <c r="L115221" s="208"/>
      <c r="M115221" s="209"/>
      <c r="N115221" s="209"/>
      <c r="O115221" s="209"/>
    </row>
    <row r="115222" spans="1:15" s="210" customFormat="1" x14ac:dyDescent="0.3">
      <c r="A115222" s="12"/>
      <c r="B115222" s="15"/>
      <c r="C115222" s="15"/>
      <c r="D115222" s="12"/>
      <c r="E115222" s="12"/>
      <c r="F115222" s="13"/>
      <c r="G115222" s="12"/>
      <c r="H115222" s="12"/>
      <c r="I115222" s="12"/>
      <c r="J115222" s="12"/>
      <c r="K115222" s="12"/>
      <c r="L115222" s="208"/>
      <c r="M115222" s="209"/>
      <c r="N115222" s="209"/>
      <c r="O115222" s="209"/>
    </row>
    <row r="115223" spans="1:15" s="210" customFormat="1" x14ac:dyDescent="0.3">
      <c r="A115223" s="12"/>
      <c r="B115223" s="15"/>
      <c r="C115223" s="15"/>
      <c r="D115223" s="12"/>
      <c r="E115223" s="12"/>
      <c r="F115223" s="13"/>
      <c r="G115223" s="12"/>
      <c r="H115223" s="12"/>
      <c r="I115223" s="12"/>
      <c r="J115223" s="12"/>
      <c r="K115223" s="12"/>
      <c r="L115223" s="208"/>
      <c r="M115223" s="209"/>
      <c r="N115223" s="209"/>
      <c r="O115223" s="209"/>
    </row>
    <row r="115224" spans="1:15" s="210" customFormat="1" x14ac:dyDescent="0.3">
      <c r="A115224" s="12"/>
      <c r="B115224" s="15"/>
      <c r="C115224" s="15"/>
      <c r="D115224" s="12"/>
      <c r="E115224" s="12"/>
      <c r="F115224" s="13"/>
      <c r="G115224" s="12"/>
      <c r="H115224" s="12"/>
      <c r="I115224" s="12"/>
      <c r="J115224" s="12"/>
      <c r="K115224" s="12"/>
      <c r="L115224" s="208"/>
      <c r="M115224" s="209"/>
      <c r="N115224" s="209"/>
      <c r="O115224" s="209"/>
    </row>
    <row r="115225" spans="1:15" s="210" customFormat="1" x14ac:dyDescent="0.3">
      <c r="A115225" s="12"/>
      <c r="B115225" s="15"/>
      <c r="C115225" s="15"/>
      <c r="D115225" s="12"/>
      <c r="E115225" s="12"/>
      <c r="F115225" s="13"/>
      <c r="G115225" s="12"/>
      <c r="H115225" s="12"/>
      <c r="I115225" s="12"/>
      <c r="J115225" s="12"/>
      <c r="K115225" s="12"/>
      <c r="L115225" s="208"/>
      <c r="M115225" s="209"/>
      <c r="N115225" s="209"/>
      <c r="O115225" s="209"/>
    </row>
    <row r="115226" spans="1:15" s="210" customFormat="1" x14ac:dyDescent="0.3">
      <c r="A115226" s="12"/>
      <c r="B115226" s="15"/>
      <c r="C115226" s="15"/>
      <c r="D115226" s="12"/>
      <c r="E115226" s="12"/>
      <c r="F115226" s="13"/>
      <c r="G115226" s="12"/>
      <c r="H115226" s="12"/>
      <c r="I115226" s="12"/>
      <c r="J115226" s="12"/>
      <c r="K115226" s="12"/>
      <c r="L115226" s="208"/>
      <c r="M115226" s="209"/>
      <c r="N115226" s="209"/>
      <c r="O115226" s="209"/>
    </row>
    <row r="115227" spans="1:15" s="210" customFormat="1" x14ac:dyDescent="0.3">
      <c r="A115227" s="12"/>
      <c r="B115227" s="15"/>
      <c r="C115227" s="15"/>
      <c r="D115227" s="12"/>
      <c r="E115227" s="12"/>
      <c r="F115227" s="13"/>
      <c r="G115227" s="12"/>
      <c r="H115227" s="12"/>
      <c r="I115227" s="12"/>
      <c r="J115227" s="12"/>
      <c r="K115227" s="12"/>
      <c r="L115227" s="208"/>
      <c r="M115227" s="209"/>
      <c r="N115227" s="209"/>
      <c r="O115227" s="209"/>
    </row>
    <row r="115228" spans="1:15" s="210" customFormat="1" x14ac:dyDescent="0.3">
      <c r="A115228" s="12"/>
      <c r="B115228" s="15"/>
      <c r="C115228" s="15"/>
      <c r="D115228" s="12"/>
      <c r="E115228" s="12"/>
      <c r="F115228" s="13"/>
      <c r="G115228" s="12"/>
      <c r="H115228" s="12"/>
      <c r="I115228" s="12"/>
      <c r="J115228" s="12"/>
      <c r="K115228" s="12"/>
      <c r="L115228" s="208"/>
      <c r="M115228" s="209"/>
      <c r="N115228" s="209"/>
      <c r="O115228" s="209"/>
    </row>
    <row r="115229" spans="1:15" s="210" customFormat="1" x14ac:dyDescent="0.3">
      <c r="A115229" s="12"/>
      <c r="B115229" s="15"/>
      <c r="C115229" s="15"/>
      <c r="D115229" s="12"/>
      <c r="E115229" s="12"/>
      <c r="F115229" s="13"/>
      <c r="G115229" s="12"/>
      <c r="H115229" s="12"/>
      <c r="I115229" s="12"/>
      <c r="J115229" s="12"/>
      <c r="K115229" s="12"/>
      <c r="L115229" s="208"/>
      <c r="M115229" s="209"/>
      <c r="N115229" s="209"/>
      <c r="O115229" s="209"/>
    </row>
    <row r="115230" spans="1:15" s="210" customFormat="1" x14ac:dyDescent="0.3">
      <c r="A115230" s="12"/>
      <c r="B115230" s="15"/>
      <c r="C115230" s="15"/>
      <c r="D115230" s="12"/>
      <c r="E115230" s="12"/>
      <c r="F115230" s="13"/>
      <c r="G115230" s="12"/>
      <c r="H115230" s="12"/>
      <c r="I115230" s="12"/>
      <c r="J115230" s="12"/>
      <c r="K115230" s="12"/>
      <c r="L115230" s="208"/>
      <c r="M115230" s="209"/>
      <c r="N115230" s="209"/>
      <c r="O115230" s="209"/>
    </row>
    <row r="115231" spans="1:15" s="210" customFormat="1" x14ac:dyDescent="0.3">
      <c r="A115231" s="12"/>
      <c r="B115231" s="15"/>
      <c r="C115231" s="15"/>
      <c r="D115231" s="12"/>
      <c r="E115231" s="12"/>
      <c r="F115231" s="13"/>
      <c r="G115231" s="12"/>
      <c r="H115231" s="12"/>
      <c r="I115231" s="12"/>
      <c r="J115231" s="12"/>
      <c r="K115231" s="12"/>
      <c r="L115231" s="208"/>
      <c r="M115231" s="209"/>
      <c r="N115231" s="209"/>
      <c r="O115231" s="209"/>
    </row>
    <row r="115232" spans="1:15" s="210" customFormat="1" x14ac:dyDescent="0.3">
      <c r="A115232" s="12"/>
      <c r="B115232" s="15"/>
      <c r="C115232" s="15"/>
      <c r="D115232" s="12"/>
      <c r="E115232" s="12"/>
      <c r="F115232" s="13"/>
      <c r="G115232" s="12"/>
      <c r="H115232" s="12"/>
      <c r="I115232" s="12"/>
      <c r="J115232" s="12"/>
      <c r="K115232" s="12"/>
      <c r="L115232" s="208"/>
      <c r="M115232" s="209"/>
      <c r="N115232" s="209"/>
      <c r="O115232" s="209"/>
    </row>
    <row r="115233" spans="1:15" s="210" customFormat="1" x14ac:dyDescent="0.3">
      <c r="A115233" s="12"/>
      <c r="B115233" s="15"/>
      <c r="C115233" s="15"/>
      <c r="D115233" s="12"/>
      <c r="E115233" s="12"/>
      <c r="F115233" s="13"/>
      <c r="G115233" s="12"/>
      <c r="H115233" s="12"/>
      <c r="I115233" s="12"/>
      <c r="J115233" s="12"/>
      <c r="K115233" s="12"/>
      <c r="L115233" s="208"/>
      <c r="M115233" s="209"/>
      <c r="N115233" s="209"/>
      <c r="O115233" s="209"/>
    </row>
    <row r="115234" spans="1:15" s="210" customFormat="1" x14ac:dyDescent="0.3">
      <c r="A115234" s="12"/>
      <c r="B115234" s="15"/>
      <c r="C115234" s="15"/>
      <c r="D115234" s="12"/>
      <c r="E115234" s="12"/>
      <c r="F115234" s="13"/>
      <c r="G115234" s="12"/>
      <c r="H115234" s="12"/>
      <c r="I115234" s="12"/>
      <c r="J115234" s="12"/>
      <c r="K115234" s="12"/>
      <c r="L115234" s="208"/>
      <c r="M115234" s="209"/>
      <c r="N115234" s="209"/>
      <c r="O115234" s="209"/>
    </row>
    <row r="115235" spans="1:15" s="210" customFormat="1" x14ac:dyDescent="0.3">
      <c r="A115235" s="12"/>
      <c r="B115235" s="15"/>
      <c r="C115235" s="15"/>
      <c r="D115235" s="12"/>
      <c r="E115235" s="12"/>
      <c r="F115235" s="13"/>
      <c r="G115235" s="12"/>
      <c r="H115235" s="12"/>
      <c r="I115235" s="12"/>
      <c r="J115235" s="12"/>
      <c r="K115235" s="12"/>
      <c r="L115235" s="208"/>
      <c r="M115235" s="209"/>
      <c r="N115235" s="209"/>
      <c r="O115235" s="209"/>
    </row>
    <row r="115236" spans="1:15" s="210" customFormat="1" x14ac:dyDescent="0.3">
      <c r="A115236" s="12"/>
      <c r="B115236" s="15"/>
      <c r="C115236" s="15"/>
      <c r="D115236" s="12"/>
      <c r="E115236" s="12"/>
      <c r="F115236" s="13"/>
      <c r="G115236" s="12"/>
      <c r="H115236" s="12"/>
      <c r="I115236" s="12"/>
      <c r="J115236" s="12"/>
      <c r="K115236" s="12"/>
      <c r="L115236" s="208"/>
      <c r="M115236" s="209"/>
      <c r="N115236" s="209"/>
      <c r="O115236" s="209"/>
    </row>
    <row r="115237" spans="1:15" s="210" customFormat="1" x14ac:dyDescent="0.3">
      <c r="A115237" s="12"/>
      <c r="B115237" s="15"/>
      <c r="C115237" s="15"/>
      <c r="D115237" s="12"/>
      <c r="E115237" s="12"/>
      <c r="F115237" s="13"/>
      <c r="G115237" s="12"/>
      <c r="H115237" s="12"/>
      <c r="I115237" s="12"/>
      <c r="J115237" s="12"/>
      <c r="K115237" s="12"/>
      <c r="L115237" s="208"/>
      <c r="M115237" s="209"/>
      <c r="N115237" s="209"/>
      <c r="O115237" s="209"/>
    </row>
    <row r="115238" spans="1:15" s="210" customFormat="1" x14ac:dyDescent="0.3">
      <c r="A115238" s="12"/>
      <c r="B115238" s="15"/>
      <c r="C115238" s="15"/>
      <c r="D115238" s="12"/>
      <c r="E115238" s="12"/>
      <c r="F115238" s="13"/>
      <c r="G115238" s="12"/>
      <c r="H115238" s="12"/>
      <c r="I115238" s="12"/>
      <c r="J115238" s="12"/>
      <c r="K115238" s="12"/>
      <c r="L115238" s="208"/>
      <c r="M115238" s="209"/>
      <c r="N115238" s="209"/>
      <c r="O115238" s="209"/>
    </row>
    <row r="115239" spans="1:15" s="210" customFormat="1" x14ac:dyDescent="0.3">
      <c r="A115239" s="12"/>
      <c r="B115239" s="15"/>
      <c r="C115239" s="15"/>
      <c r="D115239" s="12"/>
      <c r="E115239" s="12"/>
      <c r="F115239" s="13"/>
      <c r="G115239" s="12"/>
      <c r="H115239" s="12"/>
      <c r="I115239" s="12"/>
      <c r="J115239" s="12"/>
      <c r="K115239" s="12"/>
      <c r="L115239" s="208"/>
      <c r="M115239" s="209"/>
      <c r="N115239" s="209"/>
      <c r="O115239" s="209"/>
    </row>
    <row r="115240" spans="1:15" s="210" customFormat="1" x14ac:dyDescent="0.3">
      <c r="A115240" s="12"/>
      <c r="B115240" s="15"/>
      <c r="C115240" s="15"/>
      <c r="D115240" s="12"/>
      <c r="E115240" s="12"/>
      <c r="F115240" s="13"/>
      <c r="G115240" s="12"/>
      <c r="H115240" s="12"/>
      <c r="I115240" s="12"/>
      <c r="J115240" s="12"/>
      <c r="K115240" s="12"/>
      <c r="L115240" s="208"/>
      <c r="M115240" s="209"/>
      <c r="N115240" s="209"/>
      <c r="O115240" s="209"/>
    </row>
    <row r="115241" spans="1:15" s="210" customFormat="1" x14ac:dyDescent="0.3">
      <c r="A115241" s="12"/>
      <c r="B115241" s="15"/>
      <c r="C115241" s="15"/>
      <c r="D115241" s="12"/>
      <c r="E115241" s="12"/>
      <c r="F115241" s="13"/>
      <c r="G115241" s="12"/>
      <c r="H115241" s="12"/>
      <c r="I115241" s="12"/>
      <c r="J115241" s="12"/>
      <c r="K115241" s="12"/>
      <c r="L115241" s="208"/>
      <c r="M115241" s="209"/>
      <c r="N115241" s="209"/>
      <c r="O115241" s="209"/>
    </row>
    <row r="115242" spans="1:15" s="210" customFormat="1" x14ac:dyDescent="0.3">
      <c r="A115242" s="12"/>
      <c r="B115242" s="15"/>
      <c r="C115242" s="15"/>
      <c r="D115242" s="12"/>
      <c r="E115242" s="12"/>
      <c r="F115242" s="13"/>
      <c r="G115242" s="12"/>
      <c r="H115242" s="12"/>
      <c r="I115242" s="12"/>
      <c r="J115242" s="12"/>
      <c r="K115242" s="12"/>
      <c r="L115242" s="208"/>
      <c r="M115242" s="209"/>
      <c r="N115242" s="209"/>
      <c r="O115242" s="209"/>
    </row>
    <row r="115243" spans="1:15" s="210" customFormat="1" x14ac:dyDescent="0.3">
      <c r="A115243" s="12"/>
      <c r="B115243" s="15"/>
      <c r="C115243" s="15"/>
      <c r="D115243" s="12"/>
      <c r="E115243" s="12"/>
      <c r="F115243" s="13"/>
      <c r="G115243" s="12"/>
      <c r="H115243" s="12"/>
      <c r="I115243" s="12"/>
      <c r="J115243" s="12"/>
      <c r="K115243" s="12"/>
      <c r="L115243" s="208"/>
      <c r="M115243" s="209"/>
      <c r="N115243" s="209"/>
      <c r="O115243" s="209"/>
    </row>
    <row r="115244" spans="1:15" s="210" customFormat="1" x14ac:dyDescent="0.3">
      <c r="A115244" s="12"/>
      <c r="B115244" s="15"/>
      <c r="C115244" s="15"/>
      <c r="D115244" s="12"/>
      <c r="E115244" s="12"/>
      <c r="F115244" s="13"/>
      <c r="G115244" s="12"/>
      <c r="H115244" s="12"/>
      <c r="I115244" s="12"/>
      <c r="J115244" s="12"/>
      <c r="K115244" s="12"/>
      <c r="L115244" s="208"/>
      <c r="M115244" s="209"/>
      <c r="N115244" s="209"/>
      <c r="O115244" s="209"/>
    </row>
    <row r="115245" spans="1:15" s="210" customFormat="1" x14ac:dyDescent="0.3">
      <c r="A115245" s="12"/>
      <c r="B115245" s="15"/>
      <c r="C115245" s="15"/>
      <c r="D115245" s="12"/>
      <c r="E115245" s="12"/>
      <c r="F115245" s="13"/>
      <c r="G115245" s="12"/>
      <c r="H115245" s="12"/>
      <c r="I115245" s="12"/>
      <c r="J115245" s="12"/>
      <c r="K115245" s="12"/>
      <c r="L115245" s="208"/>
      <c r="M115245" s="209"/>
      <c r="N115245" s="209"/>
      <c r="O115245" s="209"/>
    </row>
    <row r="115246" spans="1:15" s="210" customFormat="1" x14ac:dyDescent="0.3">
      <c r="A115246" s="12"/>
      <c r="B115246" s="15"/>
      <c r="C115246" s="15"/>
      <c r="D115246" s="12"/>
      <c r="E115246" s="12"/>
      <c r="F115246" s="13"/>
      <c r="G115246" s="12"/>
      <c r="H115246" s="12"/>
      <c r="I115246" s="12"/>
      <c r="J115246" s="12"/>
      <c r="K115246" s="12"/>
      <c r="L115246" s="208"/>
      <c r="M115246" s="209"/>
      <c r="N115246" s="209"/>
      <c r="O115246" s="209"/>
    </row>
    <row r="115247" spans="1:15" s="210" customFormat="1" x14ac:dyDescent="0.3">
      <c r="A115247" s="12"/>
      <c r="B115247" s="15"/>
      <c r="C115247" s="15"/>
      <c r="D115247" s="12"/>
      <c r="E115247" s="12"/>
      <c r="F115247" s="13"/>
      <c r="G115247" s="12"/>
      <c r="H115247" s="12"/>
      <c r="I115247" s="12"/>
      <c r="J115247" s="12"/>
      <c r="K115247" s="12"/>
      <c r="L115247" s="208"/>
      <c r="M115247" s="209"/>
      <c r="N115247" s="209"/>
      <c r="O115247" s="209"/>
    </row>
    <row r="115248" spans="1:15" s="210" customFormat="1" x14ac:dyDescent="0.3">
      <c r="A115248" s="12"/>
      <c r="B115248" s="15"/>
      <c r="C115248" s="15"/>
      <c r="D115248" s="12"/>
      <c r="E115248" s="12"/>
      <c r="F115248" s="13"/>
      <c r="G115248" s="12"/>
      <c r="H115248" s="12"/>
      <c r="I115248" s="12"/>
      <c r="J115248" s="12"/>
      <c r="K115248" s="12"/>
      <c r="L115248" s="208"/>
      <c r="M115248" s="209"/>
      <c r="N115248" s="209"/>
      <c r="O115248" s="209"/>
    </row>
    <row r="115249" spans="1:15" s="210" customFormat="1" x14ac:dyDescent="0.3">
      <c r="A115249" s="12"/>
      <c r="B115249" s="15"/>
      <c r="C115249" s="15"/>
      <c r="D115249" s="12"/>
      <c r="E115249" s="12"/>
      <c r="F115249" s="13"/>
      <c r="G115249" s="12"/>
      <c r="H115249" s="12"/>
      <c r="I115249" s="12"/>
      <c r="J115249" s="12"/>
      <c r="K115249" s="12"/>
      <c r="L115249" s="208"/>
      <c r="M115249" s="209"/>
      <c r="N115249" s="209"/>
      <c r="O115249" s="209"/>
    </row>
    <row r="115250" spans="1:15" s="210" customFormat="1" x14ac:dyDescent="0.3">
      <c r="A115250" s="12"/>
      <c r="B115250" s="15"/>
      <c r="C115250" s="15"/>
      <c r="D115250" s="12"/>
      <c r="E115250" s="12"/>
      <c r="F115250" s="13"/>
      <c r="G115250" s="12"/>
      <c r="H115250" s="12"/>
      <c r="I115250" s="12"/>
      <c r="J115250" s="12"/>
      <c r="K115250" s="12"/>
      <c r="L115250" s="208"/>
      <c r="M115250" s="209"/>
      <c r="N115250" s="209"/>
      <c r="O115250" s="209"/>
    </row>
    <row r="115251" spans="1:15" s="210" customFormat="1" x14ac:dyDescent="0.3">
      <c r="A115251" s="12"/>
      <c r="B115251" s="15"/>
      <c r="C115251" s="15"/>
      <c r="D115251" s="12"/>
      <c r="E115251" s="12"/>
      <c r="F115251" s="13"/>
      <c r="G115251" s="12"/>
      <c r="H115251" s="12"/>
      <c r="I115251" s="12"/>
      <c r="J115251" s="12"/>
      <c r="K115251" s="12"/>
      <c r="L115251" s="208"/>
      <c r="M115251" s="209"/>
      <c r="N115251" s="209"/>
      <c r="O115251" s="209"/>
    </row>
    <row r="115252" spans="1:15" s="210" customFormat="1" x14ac:dyDescent="0.3">
      <c r="A115252" s="12"/>
      <c r="B115252" s="15"/>
      <c r="C115252" s="15"/>
      <c r="D115252" s="12"/>
      <c r="E115252" s="12"/>
      <c r="F115252" s="13"/>
      <c r="G115252" s="12"/>
      <c r="H115252" s="12"/>
      <c r="I115252" s="12"/>
      <c r="J115252" s="12"/>
      <c r="K115252" s="12"/>
      <c r="L115252" s="208"/>
      <c r="M115252" s="209"/>
      <c r="N115252" s="209"/>
      <c r="O115252" s="209"/>
    </row>
    <row r="115253" spans="1:15" s="210" customFormat="1" x14ac:dyDescent="0.3">
      <c r="A115253" s="12"/>
      <c r="B115253" s="15"/>
      <c r="C115253" s="15"/>
      <c r="D115253" s="12"/>
      <c r="E115253" s="12"/>
      <c r="F115253" s="13"/>
      <c r="G115253" s="12"/>
      <c r="H115253" s="12"/>
      <c r="I115253" s="12"/>
      <c r="J115253" s="12"/>
      <c r="K115253" s="12"/>
      <c r="L115253" s="208"/>
      <c r="M115253" s="209"/>
      <c r="N115253" s="209"/>
      <c r="O115253" s="209"/>
    </row>
    <row r="115254" spans="1:15" s="210" customFormat="1" x14ac:dyDescent="0.3">
      <c r="A115254" s="12"/>
      <c r="B115254" s="15"/>
      <c r="C115254" s="15"/>
      <c r="D115254" s="12"/>
      <c r="E115254" s="12"/>
      <c r="F115254" s="13"/>
      <c r="G115254" s="12"/>
      <c r="H115254" s="12"/>
      <c r="I115254" s="12"/>
      <c r="J115254" s="12"/>
      <c r="K115254" s="12"/>
      <c r="L115254" s="208"/>
      <c r="M115254" s="209"/>
      <c r="N115254" s="209"/>
      <c r="O115254" s="209"/>
    </row>
    <row r="115255" spans="1:15" s="210" customFormat="1" x14ac:dyDescent="0.3">
      <c r="A115255" s="12"/>
      <c r="B115255" s="15"/>
      <c r="C115255" s="15"/>
      <c r="D115255" s="12"/>
      <c r="E115255" s="12"/>
      <c r="F115255" s="13"/>
      <c r="G115255" s="12"/>
      <c r="H115255" s="12"/>
      <c r="I115255" s="12"/>
      <c r="J115255" s="12"/>
      <c r="K115255" s="12"/>
      <c r="L115255" s="208"/>
      <c r="M115255" s="209"/>
      <c r="N115255" s="209"/>
      <c r="O115255" s="209"/>
    </row>
    <row r="115256" spans="1:15" s="210" customFormat="1" x14ac:dyDescent="0.3">
      <c r="A115256" s="12"/>
      <c r="B115256" s="15"/>
      <c r="C115256" s="15"/>
      <c r="D115256" s="12"/>
      <c r="E115256" s="12"/>
      <c r="F115256" s="13"/>
      <c r="G115256" s="12"/>
      <c r="H115256" s="12"/>
      <c r="I115256" s="12"/>
      <c r="J115256" s="12"/>
      <c r="K115256" s="12"/>
      <c r="L115256" s="208"/>
      <c r="M115256" s="209"/>
      <c r="N115256" s="209"/>
      <c r="O115256" s="209"/>
    </row>
    <row r="115257" spans="1:15" s="210" customFormat="1" x14ac:dyDescent="0.3">
      <c r="A115257" s="12"/>
      <c r="B115257" s="15"/>
      <c r="C115257" s="15"/>
      <c r="D115257" s="12"/>
      <c r="E115257" s="12"/>
      <c r="F115257" s="13"/>
      <c r="G115257" s="12"/>
      <c r="H115257" s="12"/>
      <c r="I115257" s="12"/>
      <c r="J115257" s="12"/>
      <c r="K115257" s="12"/>
      <c r="L115257" s="208"/>
      <c r="M115257" s="209"/>
      <c r="N115257" s="209"/>
      <c r="O115257" s="209"/>
    </row>
    <row r="115258" spans="1:15" s="210" customFormat="1" x14ac:dyDescent="0.3">
      <c r="A115258" s="12"/>
      <c r="B115258" s="15"/>
      <c r="C115258" s="15"/>
      <c r="D115258" s="12"/>
      <c r="E115258" s="12"/>
      <c r="F115258" s="13"/>
      <c r="G115258" s="12"/>
      <c r="H115258" s="12"/>
      <c r="I115258" s="12"/>
      <c r="J115258" s="12"/>
      <c r="K115258" s="12"/>
      <c r="L115258" s="208"/>
      <c r="M115258" s="209"/>
      <c r="N115258" s="209"/>
      <c r="O115258" s="209"/>
    </row>
    <row r="115259" spans="1:15" s="210" customFormat="1" x14ac:dyDescent="0.3">
      <c r="A115259" s="12"/>
      <c r="B115259" s="15"/>
      <c r="C115259" s="15"/>
      <c r="D115259" s="12"/>
      <c r="E115259" s="12"/>
      <c r="F115259" s="13"/>
      <c r="G115259" s="12"/>
      <c r="H115259" s="12"/>
      <c r="I115259" s="12"/>
      <c r="J115259" s="12"/>
      <c r="K115259" s="12"/>
      <c r="L115259" s="208"/>
      <c r="M115259" s="209"/>
      <c r="N115259" s="209"/>
      <c r="O115259" s="209"/>
    </row>
    <row r="115260" spans="1:15" s="210" customFormat="1" x14ac:dyDescent="0.3">
      <c r="A115260" s="12"/>
      <c r="B115260" s="15"/>
      <c r="C115260" s="15"/>
      <c r="D115260" s="12"/>
      <c r="E115260" s="12"/>
      <c r="F115260" s="13"/>
      <c r="G115260" s="12"/>
      <c r="H115260" s="12"/>
      <c r="I115260" s="12"/>
      <c r="J115260" s="12"/>
      <c r="K115260" s="12"/>
      <c r="L115260" s="208"/>
      <c r="M115260" s="209"/>
      <c r="N115260" s="209"/>
      <c r="O115260" s="209"/>
    </row>
    <row r="115261" spans="1:15" s="210" customFormat="1" x14ac:dyDescent="0.3">
      <c r="A115261" s="12"/>
      <c r="B115261" s="15"/>
      <c r="C115261" s="15"/>
      <c r="D115261" s="12"/>
      <c r="E115261" s="12"/>
      <c r="F115261" s="13"/>
      <c r="G115261" s="12"/>
      <c r="H115261" s="12"/>
      <c r="I115261" s="12"/>
      <c r="J115261" s="12"/>
      <c r="K115261" s="12"/>
      <c r="L115261" s="208"/>
      <c r="M115261" s="209"/>
      <c r="N115261" s="209"/>
      <c r="O115261" s="209"/>
    </row>
    <row r="115262" spans="1:15" s="210" customFormat="1" x14ac:dyDescent="0.3">
      <c r="A115262" s="12"/>
      <c r="B115262" s="15"/>
      <c r="C115262" s="15"/>
      <c r="D115262" s="12"/>
      <c r="E115262" s="12"/>
      <c r="F115262" s="13"/>
      <c r="G115262" s="12"/>
      <c r="H115262" s="12"/>
      <c r="I115262" s="12"/>
      <c r="J115262" s="12"/>
      <c r="K115262" s="12"/>
      <c r="L115262" s="208"/>
      <c r="M115262" s="209"/>
      <c r="N115262" s="209"/>
      <c r="O115262" s="209"/>
    </row>
    <row r="115263" spans="1:15" s="210" customFormat="1" x14ac:dyDescent="0.3">
      <c r="A115263" s="12"/>
      <c r="B115263" s="15"/>
      <c r="C115263" s="15"/>
      <c r="D115263" s="12"/>
      <c r="E115263" s="12"/>
      <c r="F115263" s="13"/>
      <c r="G115263" s="12"/>
      <c r="H115263" s="12"/>
      <c r="I115263" s="12"/>
      <c r="J115263" s="12"/>
      <c r="K115263" s="12"/>
      <c r="L115263" s="208"/>
      <c r="M115263" s="209"/>
      <c r="N115263" s="209"/>
      <c r="O115263" s="209"/>
    </row>
    <row r="115264" spans="1:15" s="210" customFormat="1" x14ac:dyDescent="0.3">
      <c r="A115264" s="12"/>
      <c r="B115264" s="15"/>
      <c r="C115264" s="15"/>
      <c r="D115264" s="12"/>
      <c r="E115264" s="12"/>
      <c r="F115264" s="13"/>
      <c r="G115264" s="12"/>
      <c r="H115264" s="12"/>
      <c r="I115264" s="12"/>
      <c r="J115264" s="12"/>
      <c r="K115264" s="12"/>
      <c r="L115264" s="208"/>
      <c r="M115264" s="209"/>
      <c r="N115264" s="209"/>
      <c r="O115264" s="209"/>
    </row>
    <row r="115265" spans="1:15" s="210" customFormat="1" x14ac:dyDescent="0.3">
      <c r="A115265" s="12"/>
      <c r="B115265" s="15"/>
      <c r="C115265" s="15"/>
      <c r="D115265" s="12"/>
      <c r="E115265" s="12"/>
      <c r="F115265" s="13"/>
      <c r="G115265" s="12"/>
      <c r="H115265" s="12"/>
      <c r="I115265" s="12"/>
      <c r="J115265" s="12"/>
      <c r="K115265" s="12"/>
      <c r="L115265" s="208"/>
      <c r="M115265" s="209"/>
      <c r="N115265" s="209"/>
      <c r="O115265" s="209"/>
    </row>
    <row r="115266" spans="1:15" s="210" customFormat="1" x14ac:dyDescent="0.3">
      <c r="A115266" s="12"/>
      <c r="B115266" s="15"/>
      <c r="C115266" s="15"/>
      <c r="D115266" s="12"/>
      <c r="E115266" s="12"/>
      <c r="F115266" s="13"/>
      <c r="G115266" s="12"/>
      <c r="H115266" s="12"/>
      <c r="I115266" s="12"/>
      <c r="J115266" s="12"/>
      <c r="K115266" s="12"/>
      <c r="L115266" s="208"/>
      <c r="M115266" s="209"/>
      <c r="N115266" s="209"/>
      <c r="O115266" s="209"/>
    </row>
    <row r="115267" spans="1:15" s="210" customFormat="1" x14ac:dyDescent="0.3">
      <c r="A115267" s="12"/>
      <c r="B115267" s="15"/>
      <c r="C115267" s="15"/>
      <c r="D115267" s="12"/>
      <c r="E115267" s="12"/>
      <c r="F115267" s="13"/>
      <c r="G115267" s="12"/>
      <c r="H115267" s="12"/>
      <c r="I115267" s="12"/>
      <c r="J115267" s="12"/>
      <c r="K115267" s="12"/>
      <c r="L115267" s="208"/>
      <c r="M115267" s="209"/>
      <c r="N115267" s="209"/>
      <c r="O115267" s="209"/>
    </row>
    <row r="115268" spans="1:15" s="210" customFormat="1" x14ac:dyDescent="0.3">
      <c r="A115268" s="12"/>
      <c r="B115268" s="15"/>
      <c r="C115268" s="15"/>
      <c r="D115268" s="12"/>
      <c r="E115268" s="12"/>
      <c r="F115268" s="13"/>
      <c r="G115268" s="12"/>
      <c r="H115268" s="12"/>
      <c r="I115268" s="12"/>
      <c r="J115268" s="12"/>
      <c r="K115268" s="12"/>
      <c r="L115268" s="208"/>
      <c r="M115268" s="209"/>
      <c r="N115268" s="209"/>
      <c r="O115268" s="209"/>
    </row>
    <row r="115269" spans="1:15" s="210" customFormat="1" x14ac:dyDescent="0.3">
      <c r="A115269" s="12"/>
      <c r="B115269" s="15"/>
      <c r="C115269" s="15"/>
      <c r="D115269" s="12"/>
      <c r="E115269" s="12"/>
      <c r="F115269" s="13"/>
      <c r="G115269" s="12"/>
      <c r="H115269" s="12"/>
      <c r="I115269" s="12"/>
      <c r="J115269" s="12"/>
      <c r="K115269" s="12"/>
      <c r="L115269" s="208"/>
      <c r="M115269" s="209"/>
      <c r="N115269" s="209"/>
      <c r="O115269" s="209"/>
    </row>
    <row r="115270" spans="1:15" s="210" customFormat="1" x14ac:dyDescent="0.3">
      <c r="A115270" s="12"/>
      <c r="B115270" s="15"/>
      <c r="C115270" s="15"/>
      <c r="D115270" s="12"/>
      <c r="E115270" s="12"/>
      <c r="F115270" s="13"/>
      <c r="G115270" s="12"/>
      <c r="H115270" s="12"/>
      <c r="I115270" s="12"/>
      <c r="J115270" s="12"/>
      <c r="K115270" s="12"/>
      <c r="L115270" s="208"/>
      <c r="M115270" s="209"/>
      <c r="N115270" s="209"/>
      <c r="O115270" s="209"/>
    </row>
    <row r="115271" spans="1:15" s="210" customFormat="1" x14ac:dyDescent="0.3">
      <c r="A115271" s="12"/>
      <c r="B115271" s="15"/>
      <c r="C115271" s="15"/>
      <c r="D115271" s="12"/>
      <c r="E115271" s="12"/>
      <c r="F115271" s="13"/>
      <c r="G115271" s="12"/>
      <c r="H115271" s="12"/>
      <c r="I115271" s="12"/>
      <c r="J115271" s="12"/>
      <c r="K115271" s="12"/>
      <c r="L115271" s="208"/>
      <c r="M115271" s="209"/>
      <c r="N115271" s="209"/>
      <c r="O115271" s="209"/>
    </row>
    <row r="115272" spans="1:15" s="210" customFormat="1" x14ac:dyDescent="0.3">
      <c r="A115272" s="12"/>
      <c r="B115272" s="15"/>
      <c r="C115272" s="15"/>
      <c r="D115272" s="12"/>
      <c r="E115272" s="12"/>
      <c r="F115272" s="13"/>
      <c r="G115272" s="12"/>
      <c r="H115272" s="12"/>
      <c r="I115272" s="12"/>
      <c r="J115272" s="12"/>
      <c r="K115272" s="12"/>
      <c r="L115272" s="208"/>
      <c r="M115272" s="209"/>
      <c r="N115272" s="209"/>
      <c r="O115272" s="209"/>
    </row>
    <row r="115273" spans="1:15" s="210" customFormat="1" x14ac:dyDescent="0.3">
      <c r="A115273" s="12"/>
      <c r="B115273" s="15"/>
      <c r="C115273" s="15"/>
      <c r="D115273" s="12"/>
      <c r="E115273" s="12"/>
      <c r="F115273" s="13"/>
      <c r="G115273" s="12"/>
      <c r="H115273" s="12"/>
      <c r="I115273" s="12"/>
      <c r="J115273" s="12"/>
      <c r="K115273" s="12"/>
      <c r="L115273" s="208"/>
      <c r="M115273" s="209"/>
      <c r="N115273" s="209"/>
      <c r="O115273" s="209"/>
    </row>
    <row r="115274" spans="1:15" s="210" customFormat="1" x14ac:dyDescent="0.3">
      <c r="A115274" s="12"/>
      <c r="B115274" s="15"/>
      <c r="C115274" s="15"/>
      <c r="D115274" s="12"/>
      <c r="E115274" s="12"/>
      <c r="F115274" s="13"/>
      <c r="G115274" s="12"/>
      <c r="H115274" s="12"/>
      <c r="I115274" s="12"/>
      <c r="J115274" s="12"/>
      <c r="K115274" s="12"/>
      <c r="L115274" s="208"/>
      <c r="M115274" s="209"/>
      <c r="N115274" s="209"/>
      <c r="O115274" s="209"/>
    </row>
    <row r="115275" spans="1:15" s="210" customFormat="1" x14ac:dyDescent="0.3">
      <c r="A115275" s="12"/>
      <c r="B115275" s="15"/>
      <c r="C115275" s="15"/>
      <c r="D115275" s="12"/>
      <c r="E115275" s="12"/>
      <c r="F115275" s="13"/>
      <c r="G115275" s="12"/>
      <c r="H115275" s="12"/>
      <c r="I115275" s="12"/>
      <c r="J115275" s="12"/>
      <c r="K115275" s="12"/>
      <c r="L115275" s="208"/>
      <c r="M115275" s="209"/>
      <c r="N115275" s="209"/>
      <c r="O115275" s="209"/>
    </row>
    <row r="115276" spans="1:15" s="210" customFormat="1" x14ac:dyDescent="0.3">
      <c r="A115276" s="12"/>
      <c r="B115276" s="15"/>
      <c r="C115276" s="15"/>
      <c r="D115276" s="12"/>
      <c r="E115276" s="12"/>
      <c r="F115276" s="13"/>
      <c r="G115276" s="12"/>
      <c r="H115276" s="12"/>
      <c r="I115276" s="12"/>
      <c r="J115276" s="12"/>
      <c r="K115276" s="12"/>
      <c r="L115276" s="208"/>
      <c r="M115276" s="209"/>
      <c r="N115276" s="209"/>
      <c r="O115276" s="209"/>
    </row>
    <row r="115277" spans="1:15" s="210" customFormat="1" x14ac:dyDescent="0.3">
      <c r="A115277" s="12"/>
      <c r="B115277" s="15"/>
      <c r="C115277" s="15"/>
      <c r="D115277" s="12"/>
      <c r="E115277" s="12"/>
      <c r="F115277" s="13"/>
      <c r="G115277" s="12"/>
      <c r="H115277" s="12"/>
      <c r="I115277" s="12"/>
      <c r="J115277" s="12"/>
      <c r="K115277" s="12"/>
      <c r="L115277" s="208"/>
      <c r="M115277" s="209"/>
      <c r="N115277" s="209"/>
      <c r="O115277" s="209"/>
    </row>
    <row r="115278" spans="1:15" s="210" customFormat="1" x14ac:dyDescent="0.3">
      <c r="A115278" s="12"/>
      <c r="B115278" s="15"/>
      <c r="C115278" s="15"/>
      <c r="D115278" s="12"/>
      <c r="E115278" s="12"/>
      <c r="F115278" s="13"/>
      <c r="G115278" s="12"/>
      <c r="H115278" s="12"/>
      <c r="I115278" s="12"/>
      <c r="J115278" s="12"/>
      <c r="K115278" s="12"/>
      <c r="L115278" s="208"/>
      <c r="M115278" s="209"/>
      <c r="N115278" s="209"/>
      <c r="O115278" s="209"/>
    </row>
    <row r="115279" spans="1:15" s="210" customFormat="1" x14ac:dyDescent="0.3">
      <c r="A115279" s="12"/>
      <c r="B115279" s="15"/>
      <c r="C115279" s="15"/>
      <c r="D115279" s="12"/>
      <c r="E115279" s="12"/>
      <c r="F115279" s="13"/>
      <c r="G115279" s="12"/>
      <c r="H115279" s="12"/>
      <c r="I115279" s="12"/>
      <c r="J115279" s="12"/>
      <c r="K115279" s="12"/>
      <c r="L115279" s="208"/>
      <c r="M115279" s="209"/>
      <c r="N115279" s="209"/>
      <c r="O115279" s="209"/>
    </row>
    <row r="115280" spans="1:15" s="210" customFormat="1" x14ac:dyDescent="0.3">
      <c r="A115280" s="12"/>
      <c r="B115280" s="15"/>
      <c r="C115280" s="15"/>
      <c r="D115280" s="12"/>
      <c r="E115280" s="12"/>
      <c r="F115280" s="13"/>
      <c r="G115280" s="12"/>
      <c r="H115280" s="12"/>
      <c r="I115280" s="12"/>
      <c r="J115280" s="12"/>
      <c r="K115280" s="12"/>
      <c r="L115280" s="208"/>
      <c r="M115280" s="209"/>
      <c r="N115280" s="209"/>
      <c r="O115280" s="209"/>
    </row>
    <row r="115281" spans="1:15" s="210" customFormat="1" x14ac:dyDescent="0.3">
      <c r="A115281" s="12"/>
      <c r="B115281" s="15"/>
      <c r="C115281" s="15"/>
      <c r="D115281" s="12"/>
      <c r="E115281" s="12"/>
      <c r="F115281" s="13"/>
      <c r="G115281" s="12"/>
      <c r="H115281" s="12"/>
      <c r="I115281" s="12"/>
      <c r="J115281" s="12"/>
      <c r="K115281" s="12"/>
      <c r="L115281" s="208"/>
      <c r="M115281" s="209"/>
      <c r="N115281" s="209"/>
      <c r="O115281" s="209"/>
    </row>
    <row r="115282" spans="1:15" s="210" customFormat="1" x14ac:dyDescent="0.3">
      <c r="A115282" s="12"/>
      <c r="B115282" s="15"/>
      <c r="C115282" s="15"/>
      <c r="D115282" s="12"/>
      <c r="E115282" s="12"/>
      <c r="F115282" s="13"/>
      <c r="G115282" s="12"/>
      <c r="H115282" s="12"/>
      <c r="I115282" s="12"/>
      <c r="J115282" s="12"/>
      <c r="K115282" s="12"/>
      <c r="L115282" s="208"/>
      <c r="M115282" s="209"/>
      <c r="N115282" s="209"/>
      <c r="O115282" s="209"/>
    </row>
    <row r="115283" spans="1:15" s="210" customFormat="1" x14ac:dyDescent="0.3">
      <c r="A115283" s="12"/>
      <c r="B115283" s="15"/>
      <c r="C115283" s="15"/>
      <c r="D115283" s="12"/>
      <c r="E115283" s="12"/>
      <c r="F115283" s="13"/>
      <c r="G115283" s="12"/>
      <c r="H115283" s="12"/>
      <c r="I115283" s="12"/>
      <c r="J115283" s="12"/>
      <c r="K115283" s="12"/>
      <c r="L115283" s="208"/>
      <c r="M115283" s="209"/>
      <c r="N115283" s="209"/>
      <c r="O115283" s="209"/>
    </row>
    <row r="115284" spans="1:15" s="210" customFormat="1" x14ac:dyDescent="0.3">
      <c r="A115284" s="12"/>
      <c r="B115284" s="15"/>
      <c r="C115284" s="15"/>
      <c r="D115284" s="12"/>
      <c r="E115284" s="12"/>
      <c r="F115284" s="13"/>
      <c r="G115284" s="12"/>
      <c r="H115284" s="12"/>
      <c r="I115284" s="12"/>
      <c r="J115284" s="12"/>
      <c r="K115284" s="12"/>
      <c r="L115284" s="208"/>
      <c r="M115284" s="209"/>
      <c r="N115284" s="209"/>
      <c r="O115284" s="209"/>
    </row>
    <row r="115285" spans="1:15" s="210" customFormat="1" x14ac:dyDescent="0.3">
      <c r="A115285" s="12"/>
      <c r="B115285" s="15"/>
      <c r="C115285" s="15"/>
      <c r="D115285" s="12"/>
      <c r="E115285" s="12"/>
      <c r="F115285" s="13"/>
      <c r="G115285" s="12"/>
      <c r="H115285" s="12"/>
      <c r="I115285" s="12"/>
      <c r="J115285" s="12"/>
      <c r="K115285" s="12"/>
      <c r="L115285" s="208"/>
      <c r="M115285" s="209"/>
      <c r="N115285" s="209"/>
      <c r="O115285" s="209"/>
    </row>
    <row r="115286" spans="1:15" s="210" customFormat="1" x14ac:dyDescent="0.3">
      <c r="A115286" s="12"/>
      <c r="B115286" s="15"/>
      <c r="C115286" s="15"/>
      <c r="D115286" s="12"/>
      <c r="E115286" s="12"/>
      <c r="F115286" s="13"/>
      <c r="G115286" s="12"/>
      <c r="H115286" s="12"/>
      <c r="I115286" s="12"/>
      <c r="J115286" s="12"/>
      <c r="K115286" s="12"/>
      <c r="L115286" s="208"/>
      <c r="M115286" s="209"/>
      <c r="N115286" s="209"/>
      <c r="O115286" s="209"/>
    </row>
    <row r="115287" spans="1:15" s="210" customFormat="1" x14ac:dyDescent="0.3">
      <c r="A115287" s="12"/>
      <c r="B115287" s="15"/>
      <c r="C115287" s="15"/>
      <c r="D115287" s="12"/>
      <c r="E115287" s="12"/>
      <c r="F115287" s="13"/>
      <c r="G115287" s="12"/>
      <c r="H115287" s="12"/>
      <c r="I115287" s="12"/>
      <c r="J115287" s="12"/>
      <c r="K115287" s="12"/>
      <c r="L115287" s="208"/>
      <c r="M115287" s="209"/>
      <c r="N115287" s="209"/>
      <c r="O115287" s="209"/>
    </row>
    <row r="115288" spans="1:15" s="210" customFormat="1" x14ac:dyDescent="0.3">
      <c r="A115288" s="12"/>
      <c r="B115288" s="15"/>
      <c r="C115288" s="15"/>
      <c r="D115288" s="12"/>
      <c r="E115288" s="12"/>
      <c r="F115288" s="13"/>
      <c r="G115288" s="12"/>
      <c r="H115288" s="12"/>
      <c r="I115288" s="12"/>
      <c r="J115288" s="12"/>
      <c r="K115288" s="12"/>
      <c r="L115288" s="208"/>
      <c r="M115288" s="209"/>
      <c r="N115288" s="209"/>
      <c r="O115288" s="209"/>
    </row>
    <row r="115289" spans="1:15" s="210" customFormat="1" x14ac:dyDescent="0.3">
      <c r="A115289" s="12"/>
      <c r="B115289" s="15"/>
      <c r="C115289" s="15"/>
      <c r="D115289" s="12"/>
      <c r="E115289" s="12"/>
      <c r="F115289" s="13"/>
      <c r="G115289" s="12"/>
      <c r="H115289" s="12"/>
      <c r="I115289" s="12"/>
      <c r="J115289" s="12"/>
      <c r="K115289" s="12"/>
      <c r="L115289" s="208"/>
      <c r="M115289" s="209"/>
      <c r="N115289" s="209"/>
      <c r="O115289" s="209"/>
    </row>
    <row r="115290" spans="1:15" s="210" customFormat="1" x14ac:dyDescent="0.3">
      <c r="A115290" s="12"/>
      <c r="B115290" s="15"/>
      <c r="C115290" s="15"/>
      <c r="D115290" s="12"/>
      <c r="E115290" s="12"/>
      <c r="F115290" s="13"/>
      <c r="G115290" s="12"/>
      <c r="H115290" s="12"/>
      <c r="I115290" s="12"/>
      <c r="J115290" s="12"/>
      <c r="K115290" s="12"/>
      <c r="L115290" s="208"/>
      <c r="M115290" s="209"/>
      <c r="N115290" s="209"/>
      <c r="O115290" s="209"/>
    </row>
    <row r="115291" spans="1:15" s="210" customFormat="1" x14ac:dyDescent="0.3">
      <c r="A115291" s="12"/>
      <c r="B115291" s="15"/>
      <c r="C115291" s="15"/>
      <c r="D115291" s="12"/>
      <c r="E115291" s="12"/>
      <c r="F115291" s="13"/>
      <c r="G115291" s="12"/>
      <c r="H115291" s="12"/>
      <c r="I115291" s="12"/>
      <c r="J115291" s="12"/>
      <c r="K115291" s="12"/>
      <c r="L115291" s="208"/>
      <c r="M115291" s="209"/>
      <c r="N115291" s="209"/>
      <c r="O115291" s="209"/>
    </row>
    <row r="115292" spans="1:15" s="210" customFormat="1" x14ac:dyDescent="0.3">
      <c r="A115292" s="12"/>
      <c r="B115292" s="15"/>
      <c r="C115292" s="15"/>
      <c r="D115292" s="12"/>
      <c r="E115292" s="12"/>
      <c r="F115292" s="13"/>
      <c r="G115292" s="12"/>
      <c r="H115292" s="12"/>
      <c r="I115292" s="12"/>
      <c r="J115292" s="12"/>
      <c r="K115292" s="12"/>
      <c r="L115292" s="208"/>
      <c r="M115292" s="209"/>
      <c r="N115292" s="209"/>
      <c r="O115292" s="209"/>
    </row>
    <row r="115293" spans="1:15" s="210" customFormat="1" x14ac:dyDescent="0.3">
      <c r="A115293" s="12"/>
      <c r="B115293" s="15"/>
      <c r="C115293" s="15"/>
      <c r="D115293" s="12"/>
      <c r="E115293" s="12"/>
      <c r="F115293" s="13"/>
      <c r="G115293" s="12"/>
      <c r="H115293" s="12"/>
      <c r="I115293" s="12"/>
      <c r="J115293" s="12"/>
      <c r="K115293" s="12"/>
      <c r="L115293" s="208"/>
      <c r="M115293" s="209"/>
      <c r="N115293" s="209"/>
      <c r="O115293" s="209"/>
    </row>
    <row r="115294" spans="1:15" s="210" customFormat="1" x14ac:dyDescent="0.3">
      <c r="A115294" s="12"/>
      <c r="B115294" s="15"/>
      <c r="C115294" s="15"/>
      <c r="D115294" s="12"/>
      <c r="E115294" s="12"/>
      <c r="F115294" s="13"/>
      <c r="G115294" s="12"/>
      <c r="H115294" s="12"/>
      <c r="I115294" s="12"/>
      <c r="J115294" s="12"/>
      <c r="K115294" s="12"/>
      <c r="L115294" s="208"/>
      <c r="M115294" s="209"/>
      <c r="N115294" s="209"/>
      <c r="O115294" s="209"/>
    </row>
    <row r="115295" spans="1:15" s="210" customFormat="1" x14ac:dyDescent="0.3">
      <c r="A115295" s="12"/>
      <c r="B115295" s="15"/>
      <c r="C115295" s="15"/>
      <c r="D115295" s="12"/>
      <c r="E115295" s="12"/>
      <c r="F115295" s="13"/>
      <c r="G115295" s="12"/>
      <c r="H115295" s="12"/>
      <c r="I115295" s="12"/>
      <c r="J115295" s="12"/>
      <c r="K115295" s="12"/>
      <c r="L115295" s="208"/>
      <c r="M115295" s="209"/>
      <c r="N115295" s="209"/>
      <c r="O115295" s="209"/>
    </row>
    <row r="115296" spans="1:15" s="210" customFormat="1" x14ac:dyDescent="0.3">
      <c r="A115296" s="12"/>
      <c r="B115296" s="15"/>
      <c r="C115296" s="15"/>
      <c r="D115296" s="12"/>
      <c r="E115296" s="12"/>
      <c r="F115296" s="13"/>
      <c r="G115296" s="12"/>
      <c r="H115296" s="12"/>
      <c r="I115296" s="12"/>
      <c r="J115296" s="12"/>
      <c r="K115296" s="12"/>
      <c r="L115296" s="208"/>
      <c r="M115296" s="209"/>
      <c r="N115296" s="209"/>
      <c r="O115296" s="209"/>
    </row>
    <row r="115297" spans="1:15" s="210" customFormat="1" x14ac:dyDescent="0.3">
      <c r="A115297" s="12"/>
      <c r="B115297" s="15"/>
      <c r="C115297" s="15"/>
      <c r="D115297" s="12"/>
      <c r="E115297" s="12"/>
      <c r="F115297" s="13"/>
      <c r="G115297" s="12"/>
      <c r="H115297" s="12"/>
      <c r="I115297" s="12"/>
      <c r="J115297" s="12"/>
      <c r="K115297" s="12"/>
      <c r="L115297" s="208"/>
      <c r="M115297" s="209"/>
      <c r="N115297" s="209"/>
      <c r="O115297" s="209"/>
    </row>
    <row r="115298" spans="1:15" s="210" customFormat="1" x14ac:dyDescent="0.3">
      <c r="A115298" s="12"/>
      <c r="B115298" s="15"/>
      <c r="C115298" s="15"/>
      <c r="D115298" s="12"/>
      <c r="E115298" s="12"/>
      <c r="F115298" s="13"/>
      <c r="G115298" s="12"/>
      <c r="H115298" s="12"/>
      <c r="I115298" s="12"/>
      <c r="J115298" s="12"/>
      <c r="K115298" s="12"/>
      <c r="L115298" s="208"/>
      <c r="M115298" s="209"/>
      <c r="N115298" s="209"/>
      <c r="O115298" s="209"/>
    </row>
    <row r="115299" spans="1:15" s="210" customFormat="1" x14ac:dyDescent="0.3">
      <c r="A115299" s="12"/>
      <c r="B115299" s="15"/>
      <c r="C115299" s="15"/>
      <c r="D115299" s="12"/>
      <c r="E115299" s="12"/>
      <c r="F115299" s="13"/>
      <c r="G115299" s="12"/>
      <c r="H115299" s="12"/>
      <c r="I115299" s="12"/>
      <c r="J115299" s="12"/>
      <c r="K115299" s="12"/>
      <c r="L115299" s="208"/>
      <c r="M115299" s="209"/>
      <c r="N115299" s="209"/>
      <c r="O115299" s="209"/>
    </row>
    <row r="115300" spans="1:15" s="210" customFormat="1" x14ac:dyDescent="0.3">
      <c r="A115300" s="12"/>
      <c r="B115300" s="15"/>
      <c r="C115300" s="15"/>
      <c r="D115300" s="12"/>
      <c r="E115300" s="12"/>
      <c r="F115300" s="13"/>
      <c r="G115300" s="12"/>
      <c r="H115300" s="12"/>
      <c r="I115300" s="12"/>
      <c r="J115300" s="12"/>
      <c r="K115300" s="12"/>
      <c r="L115300" s="208"/>
      <c r="M115300" s="209"/>
      <c r="N115300" s="209"/>
      <c r="O115300" s="209"/>
    </row>
    <row r="115301" spans="1:15" s="210" customFormat="1" x14ac:dyDescent="0.3">
      <c r="A115301" s="12"/>
      <c r="B115301" s="15"/>
      <c r="C115301" s="15"/>
      <c r="D115301" s="12"/>
      <c r="E115301" s="12"/>
      <c r="F115301" s="13"/>
      <c r="G115301" s="12"/>
      <c r="H115301" s="12"/>
      <c r="I115301" s="12"/>
      <c r="J115301" s="12"/>
      <c r="K115301" s="12"/>
      <c r="L115301" s="208"/>
      <c r="M115301" s="209"/>
      <c r="N115301" s="209"/>
      <c r="O115301" s="209"/>
    </row>
    <row r="115302" spans="1:15" s="210" customFormat="1" x14ac:dyDescent="0.3">
      <c r="A115302" s="12"/>
      <c r="B115302" s="15"/>
      <c r="C115302" s="15"/>
      <c r="D115302" s="12"/>
      <c r="E115302" s="12"/>
      <c r="F115302" s="13"/>
      <c r="G115302" s="12"/>
      <c r="H115302" s="12"/>
      <c r="I115302" s="12"/>
      <c r="J115302" s="12"/>
      <c r="K115302" s="12"/>
      <c r="L115302" s="208"/>
      <c r="M115302" s="209"/>
      <c r="N115302" s="209"/>
      <c r="O115302" s="209"/>
    </row>
    <row r="115303" spans="1:15" s="210" customFormat="1" x14ac:dyDescent="0.3">
      <c r="A115303" s="12"/>
      <c r="B115303" s="15"/>
      <c r="C115303" s="15"/>
      <c r="D115303" s="12"/>
      <c r="E115303" s="12"/>
      <c r="F115303" s="13"/>
      <c r="G115303" s="12"/>
      <c r="H115303" s="12"/>
      <c r="I115303" s="12"/>
      <c r="J115303" s="12"/>
      <c r="K115303" s="12"/>
      <c r="L115303" s="208"/>
      <c r="M115303" s="209"/>
      <c r="N115303" s="209"/>
      <c r="O115303" s="209"/>
    </row>
    <row r="115304" spans="1:15" s="210" customFormat="1" x14ac:dyDescent="0.3">
      <c r="A115304" s="12"/>
      <c r="B115304" s="15"/>
      <c r="C115304" s="15"/>
      <c r="D115304" s="12"/>
      <c r="E115304" s="12"/>
      <c r="F115304" s="13"/>
      <c r="G115304" s="12"/>
      <c r="H115304" s="12"/>
      <c r="I115304" s="12"/>
      <c r="J115304" s="12"/>
      <c r="K115304" s="12"/>
      <c r="L115304" s="208"/>
      <c r="M115304" s="209"/>
      <c r="N115304" s="209"/>
      <c r="O115304" s="209"/>
    </row>
    <row r="115305" spans="1:15" s="210" customFormat="1" x14ac:dyDescent="0.3">
      <c r="A115305" s="12"/>
      <c r="B115305" s="15"/>
      <c r="C115305" s="15"/>
      <c r="D115305" s="12"/>
      <c r="E115305" s="12"/>
      <c r="F115305" s="13"/>
      <c r="G115305" s="12"/>
      <c r="H115305" s="12"/>
      <c r="I115305" s="12"/>
      <c r="J115305" s="12"/>
      <c r="K115305" s="12"/>
      <c r="L115305" s="208"/>
      <c r="M115305" s="209"/>
      <c r="N115305" s="209"/>
      <c r="O115305" s="209"/>
    </row>
    <row r="115306" spans="1:15" s="210" customFormat="1" x14ac:dyDescent="0.3">
      <c r="A115306" s="12"/>
      <c r="B115306" s="15"/>
      <c r="C115306" s="15"/>
      <c r="D115306" s="12"/>
      <c r="E115306" s="12"/>
      <c r="F115306" s="13"/>
      <c r="G115306" s="12"/>
      <c r="H115306" s="12"/>
      <c r="I115306" s="12"/>
      <c r="J115306" s="12"/>
      <c r="K115306" s="12"/>
      <c r="L115306" s="208"/>
      <c r="M115306" s="209"/>
      <c r="N115306" s="209"/>
      <c r="O115306" s="209"/>
    </row>
    <row r="115307" spans="1:15" s="210" customFormat="1" x14ac:dyDescent="0.3">
      <c r="A115307" s="12"/>
      <c r="B115307" s="15"/>
      <c r="C115307" s="15"/>
      <c r="D115307" s="12"/>
      <c r="E115307" s="12"/>
      <c r="F115307" s="13"/>
      <c r="G115307" s="12"/>
      <c r="H115307" s="12"/>
      <c r="I115307" s="12"/>
      <c r="J115307" s="12"/>
      <c r="K115307" s="12"/>
      <c r="L115307" s="208"/>
      <c r="M115307" s="209"/>
      <c r="N115307" s="209"/>
      <c r="O115307" s="209"/>
    </row>
    <row r="115308" spans="1:15" s="210" customFormat="1" x14ac:dyDescent="0.3">
      <c r="A115308" s="12"/>
      <c r="B115308" s="15"/>
      <c r="C115308" s="15"/>
      <c r="D115308" s="12"/>
      <c r="E115308" s="12"/>
      <c r="F115308" s="13"/>
      <c r="G115308" s="12"/>
      <c r="H115308" s="12"/>
      <c r="I115308" s="12"/>
      <c r="J115308" s="12"/>
      <c r="K115308" s="12"/>
      <c r="L115308" s="208"/>
      <c r="M115308" s="209"/>
      <c r="N115308" s="209"/>
      <c r="O115308" s="209"/>
    </row>
    <row r="115309" spans="1:15" s="210" customFormat="1" x14ac:dyDescent="0.3">
      <c r="A115309" s="12"/>
      <c r="B115309" s="15"/>
      <c r="C115309" s="15"/>
      <c r="D115309" s="12"/>
      <c r="E115309" s="12"/>
      <c r="F115309" s="13"/>
      <c r="G115309" s="12"/>
      <c r="H115309" s="12"/>
      <c r="I115309" s="12"/>
      <c r="J115309" s="12"/>
      <c r="K115309" s="12"/>
      <c r="L115309" s="208"/>
      <c r="M115309" s="209"/>
      <c r="N115309" s="209"/>
      <c r="O115309" s="209"/>
    </row>
    <row r="115310" spans="1:15" s="210" customFormat="1" x14ac:dyDescent="0.3">
      <c r="A115310" s="12"/>
      <c r="B115310" s="15"/>
      <c r="C115310" s="15"/>
      <c r="D115310" s="12"/>
      <c r="E115310" s="12"/>
      <c r="F115310" s="13"/>
      <c r="G115310" s="12"/>
      <c r="H115310" s="12"/>
      <c r="I115310" s="12"/>
      <c r="J115310" s="12"/>
      <c r="K115310" s="12"/>
      <c r="L115310" s="208"/>
      <c r="M115310" s="209"/>
      <c r="N115310" s="209"/>
      <c r="O115310" s="209"/>
    </row>
    <row r="115311" spans="1:15" s="210" customFormat="1" x14ac:dyDescent="0.3">
      <c r="A115311" s="12"/>
      <c r="B115311" s="15"/>
      <c r="C115311" s="15"/>
      <c r="D115311" s="12"/>
      <c r="E115311" s="12"/>
      <c r="F115311" s="13"/>
      <c r="G115311" s="12"/>
      <c r="H115311" s="12"/>
      <c r="I115311" s="12"/>
      <c r="J115311" s="12"/>
      <c r="K115311" s="12"/>
      <c r="L115311" s="208"/>
      <c r="M115311" s="209"/>
      <c r="N115311" s="209"/>
      <c r="O115311" s="209"/>
    </row>
    <row r="115312" spans="1:15" s="210" customFormat="1" x14ac:dyDescent="0.3">
      <c r="A115312" s="12"/>
      <c r="B115312" s="15"/>
      <c r="C115312" s="15"/>
      <c r="D115312" s="12"/>
      <c r="E115312" s="12"/>
      <c r="F115312" s="13"/>
      <c r="G115312" s="12"/>
      <c r="H115312" s="12"/>
      <c r="I115312" s="12"/>
      <c r="J115312" s="12"/>
      <c r="K115312" s="12"/>
      <c r="L115312" s="208"/>
      <c r="M115312" s="209"/>
      <c r="N115312" s="209"/>
      <c r="O115312" s="209"/>
    </row>
    <row r="115313" spans="1:15" s="210" customFormat="1" x14ac:dyDescent="0.3">
      <c r="A115313" s="12"/>
      <c r="B115313" s="15"/>
      <c r="C115313" s="15"/>
      <c r="D115313" s="12"/>
      <c r="E115313" s="12"/>
      <c r="F115313" s="13"/>
      <c r="G115313" s="12"/>
      <c r="H115313" s="12"/>
      <c r="I115313" s="12"/>
      <c r="J115313" s="12"/>
      <c r="K115313" s="12"/>
      <c r="L115313" s="208"/>
      <c r="M115313" s="209"/>
      <c r="N115313" s="209"/>
      <c r="O115313" s="209"/>
    </row>
    <row r="115314" spans="1:15" s="210" customFormat="1" x14ac:dyDescent="0.3">
      <c r="A115314" s="12"/>
      <c r="B115314" s="15"/>
      <c r="C115314" s="15"/>
      <c r="D115314" s="12"/>
      <c r="E115314" s="12"/>
      <c r="F115314" s="13"/>
      <c r="G115314" s="12"/>
      <c r="H115314" s="12"/>
      <c r="I115314" s="12"/>
      <c r="J115314" s="12"/>
      <c r="K115314" s="12"/>
      <c r="L115314" s="208"/>
      <c r="M115314" s="209"/>
      <c r="N115314" s="209"/>
      <c r="O115314" s="209"/>
    </row>
    <row r="115315" spans="1:15" s="210" customFormat="1" x14ac:dyDescent="0.3">
      <c r="A115315" s="12"/>
      <c r="B115315" s="15"/>
      <c r="C115315" s="15"/>
      <c r="D115315" s="12"/>
      <c r="E115315" s="12"/>
      <c r="F115315" s="13"/>
      <c r="G115315" s="12"/>
      <c r="H115315" s="12"/>
      <c r="I115315" s="12"/>
      <c r="J115315" s="12"/>
      <c r="K115315" s="12"/>
      <c r="L115315" s="208"/>
      <c r="M115315" s="209"/>
      <c r="N115315" s="209"/>
      <c r="O115315" s="209"/>
    </row>
    <row r="115316" spans="1:15" s="210" customFormat="1" x14ac:dyDescent="0.3">
      <c r="A115316" s="12"/>
      <c r="B115316" s="15"/>
      <c r="C115316" s="15"/>
      <c r="D115316" s="12"/>
      <c r="E115316" s="12"/>
      <c r="F115316" s="13"/>
      <c r="G115316" s="12"/>
      <c r="H115316" s="12"/>
      <c r="I115316" s="12"/>
      <c r="J115316" s="12"/>
      <c r="K115316" s="12"/>
      <c r="L115316" s="208"/>
      <c r="M115316" s="209"/>
      <c r="N115316" s="209"/>
      <c r="O115316" s="209"/>
    </row>
    <row r="115317" spans="1:15" s="210" customFormat="1" x14ac:dyDescent="0.3">
      <c r="A115317" s="12"/>
      <c r="B115317" s="15"/>
      <c r="C115317" s="15"/>
      <c r="D115317" s="12"/>
      <c r="E115317" s="12"/>
      <c r="F115317" s="13"/>
      <c r="G115317" s="12"/>
      <c r="H115317" s="12"/>
      <c r="I115317" s="12"/>
      <c r="J115317" s="12"/>
      <c r="K115317" s="12"/>
      <c r="L115317" s="208"/>
      <c r="M115317" s="209"/>
      <c r="N115317" s="209"/>
      <c r="O115317" s="209"/>
    </row>
    <row r="115318" spans="1:15" s="210" customFormat="1" x14ac:dyDescent="0.3">
      <c r="A115318" s="12"/>
      <c r="B115318" s="15"/>
      <c r="C115318" s="15"/>
      <c r="D115318" s="12"/>
      <c r="E115318" s="12"/>
      <c r="F115318" s="13"/>
      <c r="G115318" s="12"/>
      <c r="H115318" s="12"/>
      <c r="I115318" s="12"/>
      <c r="J115318" s="12"/>
      <c r="K115318" s="12"/>
      <c r="L115318" s="208"/>
      <c r="M115318" s="209"/>
      <c r="N115318" s="209"/>
      <c r="O115318" s="209"/>
    </row>
    <row r="115319" spans="1:15" s="210" customFormat="1" x14ac:dyDescent="0.3">
      <c r="A115319" s="12"/>
      <c r="B115319" s="15"/>
      <c r="C115319" s="15"/>
      <c r="D115319" s="12"/>
      <c r="E115319" s="12"/>
      <c r="F115319" s="13"/>
      <c r="G115319" s="12"/>
      <c r="H115319" s="12"/>
      <c r="I115319" s="12"/>
      <c r="J115319" s="12"/>
      <c r="K115319" s="12"/>
      <c r="L115319" s="208"/>
      <c r="M115319" s="209"/>
      <c r="N115319" s="209"/>
      <c r="O115319" s="209"/>
    </row>
    <row r="115320" spans="1:15" s="210" customFormat="1" x14ac:dyDescent="0.3">
      <c r="A115320" s="12"/>
      <c r="B115320" s="15"/>
      <c r="C115320" s="15"/>
      <c r="D115320" s="12"/>
      <c r="E115320" s="12"/>
      <c r="F115320" s="13"/>
      <c r="G115320" s="12"/>
      <c r="H115320" s="12"/>
      <c r="I115320" s="12"/>
      <c r="J115320" s="12"/>
      <c r="K115320" s="12"/>
      <c r="L115320" s="208"/>
      <c r="M115320" s="209"/>
      <c r="N115320" s="209"/>
      <c r="O115320" s="209"/>
    </row>
    <row r="115321" spans="1:15" s="210" customFormat="1" x14ac:dyDescent="0.3">
      <c r="A115321" s="12"/>
      <c r="B115321" s="15"/>
      <c r="C115321" s="15"/>
      <c r="D115321" s="12"/>
      <c r="E115321" s="12"/>
      <c r="F115321" s="13"/>
      <c r="G115321" s="12"/>
      <c r="H115321" s="12"/>
      <c r="I115321" s="12"/>
      <c r="J115321" s="12"/>
      <c r="K115321" s="12"/>
      <c r="L115321" s="208"/>
      <c r="M115321" s="209"/>
      <c r="N115321" s="209"/>
      <c r="O115321" s="209"/>
    </row>
    <row r="115322" spans="1:15" s="210" customFormat="1" x14ac:dyDescent="0.3">
      <c r="A115322" s="12"/>
      <c r="B115322" s="15"/>
      <c r="C115322" s="15"/>
      <c r="D115322" s="12"/>
      <c r="E115322" s="12"/>
      <c r="F115322" s="13"/>
      <c r="G115322" s="12"/>
      <c r="H115322" s="12"/>
      <c r="I115322" s="12"/>
      <c r="J115322" s="12"/>
      <c r="K115322" s="12"/>
      <c r="L115322" s="208"/>
      <c r="M115322" s="209"/>
      <c r="N115322" s="209"/>
      <c r="O115322" s="209"/>
    </row>
    <row r="115323" spans="1:15" s="210" customFormat="1" x14ac:dyDescent="0.3">
      <c r="A115323" s="12"/>
      <c r="B115323" s="15"/>
      <c r="C115323" s="15"/>
      <c r="D115323" s="12"/>
      <c r="E115323" s="12"/>
      <c r="F115323" s="13"/>
      <c r="G115323" s="12"/>
      <c r="H115323" s="12"/>
      <c r="I115323" s="12"/>
      <c r="J115323" s="12"/>
      <c r="K115323" s="12"/>
      <c r="L115323" s="208"/>
      <c r="M115323" s="209"/>
      <c r="N115323" s="209"/>
      <c r="O115323" s="209"/>
    </row>
    <row r="115324" spans="1:15" s="210" customFormat="1" x14ac:dyDescent="0.3">
      <c r="A115324" s="12"/>
      <c r="B115324" s="15"/>
      <c r="C115324" s="15"/>
      <c r="D115324" s="12"/>
      <c r="E115324" s="12"/>
      <c r="F115324" s="13"/>
      <c r="G115324" s="12"/>
      <c r="H115324" s="12"/>
      <c r="I115324" s="12"/>
      <c r="J115324" s="12"/>
      <c r="K115324" s="12"/>
      <c r="L115324" s="208"/>
      <c r="M115324" s="209"/>
      <c r="N115324" s="209"/>
      <c r="O115324" s="209"/>
    </row>
    <row r="115325" spans="1:15" s="210" customFormat="1" x14ac:dyDescent="0.3">
      <c r="A115325" s="12"/>
      <c r="B115325" s="15"/>
      <c r="C115325" s="15"/>
      <c r="D115325" s="12"/>
      <c r="E115325" s="12"/>
      <c r="F115325" s="13"/>
      <c r="G115325" s="12"/>
      <c r="H115325" s="12"/>
      <c r="I115325" s="12"/>
      <c r="J115325" s="12"/>
      <c r="K115325" s="12"/>
      <c r="L115325" s="208"/>
      <c r="M115325" s="209"/>
      <c r="N115325" s="209"/>
      <c r="O115325" s="209"/>
    </row>
    <row r="115326" spans="1:15" s="210" customFormat="1" x14ac:dyDescent="0.3">
      <c r="A115326" s="12"/>
      <c r="B115326" s="15"/>
      <c r="C115326" s="15"/>
      <c r="D115326" s="12"/>
      <c r="E115326" s="12"/>
      <c r="F115326" s="13"/>
      <c r="G115326" s="12"/>
      <c r="H115326" s="12"/>
      <c r="I115326" s="12"/>
      <c r="J115326" s="12"/>
      <c r="K115326" s="12"/>
      <c r="L115326" s="208"/>
      <c r="M115326" s="209"/>
      <c r="N115326" s="209"/>
      <c r="O115326" s="209"/>
    </row>
    <row r="115327" spans="1:15" s="210" customFormat="1" x14ac:dyDescent="0.3">
      <c r="A115327" s="12"/>
      <c r="B115327" s="15"/>
      <c r="C115327" s="15"/>
      <c r="D115327" s="12"/>
      <c r="E115327" s="12"/>
      <c r="F115327" s="13"/>
      <c r="G115327" s="12"/>
      <c r="H115327" s="12"/>
      <c r="I115327" s="12"/>
      <c r="J115327" s="12"/>
      <c r="K115327" s="12"/>
      <c r="L115327" s="208"/>
      <c r="M115327" s="209"/>
      <c r="N115327" s="209"/>
      <c r="O115327" s="209"/>
    </row>
    <row r="115328" spans="1:15" s="210" customFormat="1" x14ac:dyDescent="0.3">
      <c r="A115328" s="12"/>
      <c r="B115328" s="15"/>
      <c r="C115328" s="15"/>
      <c r="D115328" s="12"/>
      <c r="E115328" s="12"/>
      <c r="F115328" s="13"/>
      <c r="G115328" s="12"/>
      <c r="H115328" s="12"/>
      <c r="I115328" s="12"/>
      <c r="J115328" s="12"/>
      <c r="K115328" s="12"/>
      <c r="L115328" s="208"/>
      <c r="M115328" s="209"/>
      <c r="N115328" s="209"/>
      <c r="O115328" s="209"/>
    </row>
    <row r="115329" spans="1:15" s="210" customFormat="1" x14ac:dyDescent="0.3">
      <c r="A115329" s="12"/>
      <c r="B115329" s="15"/>
      <c r="C115329" s="15"/>
      <c r="D115329" s="12"/>
      <c r="E115329" s="12"/>
      <c r="F115329" s="13"/>
      <c r="G115329" s="12"/>
      <c r="H115329" s="12"/>
      <c r="I115329" s="12"/>
      <c r="J115329" s="12"/>
      <c r="K115329" s="12"/>
      <c r="L115329" s="208"/>
      <c r="M115329" s="209"/>
      <c r="N115329" s="209"/>
      <c r="O115329" s="209"/>
    </row>
    <row r="115330" spans="1:15" s="210" customFormat="1" x14ac:dyDescent="0.3">
      <c r="A115330" s="12"/>
      <c r="B115330" s="15"/>
      <c r="C115330" s="15"/>
      <c r="D115330" s="12"/>
      <c r="E115330" s="12"/>
      <c r="F115330" s="13"/>
      <c r="G115330" s="12"/>
      <c r="H115330" s="12"/>
      <c r="I115330" s="12"/>
      <c r="J115330" s="12"/>
      <c r="K115330" s="12"/>
      <c r="L115330" s="208"/>
      <c r="M115330" s="209"/>
      <c r="N115330" s="209"/>
      <c r="O115330" s="209"/>
    </row>
    <row r="115331" spans="1:15" s="210" customFormat="1" x14ac:dyDescent="0.3">
      <c r="A115331" s="12"/>
      <c r="B115331" s="15"/>
      <c r="C115331" s="15"/>
      <c r="D115331" s="12"/>
      <c r="E115331" s="12"/>
      <c r="F115331" s="13"/>
      <c r="G115331" s="12"/>
      <c r="H115331" s="12"/>
      <c r="I115331" s="12"/>
      <c r="J115331" s="12"/>
      <c r="K115331" s="12"/>
      <c r="L115331" s="208"/>
      <c r="M115331" s="209"/>
      <c r="N115331" s="209"/>
      <c r="O115331" s="209"/>
    </row>
    <row r="115332" spans="1:15" s="210" customFormat="1" x14ac:dyDescent="0.3">
      <c r="A115332" s="12"/>
      <c r="B115332" s="15"/>
      <c r="C115332" s="15"/>
      <c r="D115332" s="12"/>
      <c r="E115332" s="12"/>
      <c r="F115332" s="13"/>
      <c r="G115332" s="12"/>
      <c r="H115332" s="12"/>
      <c r="I115332" s="12"/>
      <c r="J115332" s="12"/>
      <c r="K115332" s="12"/>
      <c r="L115332" s="208"/>
      <c r="M115332" s="209"/>
      <c r="N115332" s="209"/>
      <c r="O115332" s="209"/>
    </row>
    <row r="115333" spans="1:15" s="210" customFormat="1" x14ac:dyDescent="0.3">
      <c r="A115333" s="12"/>
      <c r="B115333" s="15"/>
      <c r="C115333" s="15"/>
      <c r="D115333" s="12"/>
      <c r="E115333" s="12"/>
      <c r="F115333" s="13"/>
      <c r="G115333" s="12"/>
      <c r="H115333" s="12"/>
      <c r="I115333" s="12"/>
      <c r="J115333" s="12"/>
      <c r="K115333" s="12"/>
      <c r="L115333" s="208"/>
      <c r="M115333" s="209"/>
      <c r="N115333" s="209"/>
      <c r="O115333" s="209"/>
    </row>
    <row r="115334" spans="1:15" s="210" customFormat="1" x14ac:dyDescent="0.3">
      <c r="A115334" s="12"/>
      <c r="B115334" s="15"/>
      <c r="C115334" s="15"/>
      <c r="D115334" s="12"/>
      <c r="E115334" s="12"/>
      <c r="F115334" s="13"/>
      <c r="G115334" s="12"/>
      <c r="H115334" s="12"/>
      <c r="I115334" s="12"/>
      <c r="J115334" s="12"/>
      <c r="K115334" s="12"/>
      <c r="L115334" s="208"/>
      <c r="M115334" s="209"/>
      <c r="N115334" s="209"/>
      <c r="O115334" s="209"/>
    </row>
    <row r="115335" spans="1:15" s="210" customFormat="1" x14ac:dyDescent="0.3">
      <c r="A115335" s="12"/>
      <c r="B115335" s="15"/>
      <c r="C115335" s="15"/>
      <c r="D115335" s="12"/>
      <c r="E115335" s="12"/>
      <c r="F115335" s="13"/>
      <c r="G115335" s="12"/>
      <c r="H115335" s="12"/>
      <c r="I115335" s="12"/>
      <c r="J115335" s="12"/>
      <c r="K115335" s="12"/>
      <c r="L115335" s="208"/>
      <c r="M115335" s="209"/>
      <c r="N115335" s="209"/>
      <c r="O115335" s="209"/>
    </row>
    <row r="115336" spans="1:15" s="210" customFormat="1" x14ac:dyDescent="0.3">
      <c r="A115336" s="12"/>
      <c r="B115336" s="15"/>
      <c r="C115336" s="15"/>
      <c r="D115336" s="12"/>
      <c r="E115336" s="12"/>
      <c r="F115336" s="13"/>
      <c r="G115336" s="12"/>
      <c r="H115336" s="12"/>
      <c r="I115336" s="12"/>
      <c r="J115336" s="12"/>
      <c r="K115336" s="12"/>
      <c r="L115336" s="208"/>
      <c r="M115336" s="209"/>
      <c r="N115336" s="209"/>
      <c r="O115336" s="209"/>
    </row>
    <row r="115337" spans="1:15" s="210" customFormat="1" x14ac:dyDescent="0.3">
      <c r="A115337" s="12"/>
      <c r="B115337" s="15"/>
      <c r="C115337" s="15"/>
      <c r="D115337" s="12"/>
      <c r="E115337" s="12"/>
      <c r="F115337" s="13"/>
      <c r="G115337" s="12"/>
      <c r="H115337" s="12"/>
      <c r="I115337" s="12"/>
      <c r="J115337" s="12"/>
      <c r="K115337" s="12"/>
      <c r="L115337" s="208"/>
      <c r="M115337" s="209"/>
      <c r="N115337" s="209"/>
      <c r="O115337" s="209"/>
    </row>
    <row r="115338" spans="1:15" s="210" customFormat="1" x14ac:dyDescent="0.3">
      <c r="A115338" s="12"/>
      <c r="B115338" s="15"/>
      <c r="C115338" s="15"/>
      <c r="D115338" s="12"/>
      <c r="E115338" s="12"/>
      <c r="F115338" s="13"/>
      <c r="G115338" s="12"/>
      <c r="H115338" s="12"/>
      <c r="I115338" s="12"/>
      <c r="J115338" s="12"/>
      <c r="K115338" s="12"/>
      <c r="L115338" s="208"/>
      <c r="M115338" s="209"/>
      <c r="N115338" s="209"/>
      <c r="O115338" s="209"/>
    </row>
    <row r="115339" spans="1:15" s="210" customFormat="1" x14ac:dyDescent="0.3">
      <c r="A115339" s="12"/>
      <c r="B115339" s="15"/>
      <c r="C115339" s="15"/>
      <c r="D115339" s="12"/>
      <c r="E115339" s="12"/>
      <c r="F115339" s="13"/>
      <c r="G115339" s="12"/>
      <c r="H115339" s="12"/>
      <c r="I115339" s="12"/>
      <c r="J115339" s="12"/>
      <c r="K115339" s="12"/>
      <c r="L115339" s="208"/>
      <c r="M115339" s="209"/>
      <c r="N115339" s="209"/>
      <c r="O115339" s="209"/>
    </row>
    <row r="115340" spans="1:15" s="210" customFormat="1" x14ac:dyDescent="0.3">
      <c r="A115340" s="12"/>
      <c r="B115340" s="15"/>
      <c r="C115340" s="15"/>
      <c r="D115340" s="12"/>
      <c r="E115340" s="12"/>
      <c r="F115340" s="13"/>
      <c r="G115340" s="12"/>
      <c r="H115340" s="12"/>
      <c r="I115340" s="12"/>
      <c r="J115340" s="12"/>
      <c r="K115340" s="12"/>
      <c r="L115340" s="208"/>
      <c r="M115340" s="209"/>
      <c r="N115340" s="209"/>
      <c r="O115340" s="209"/>
    </row>
    <row r="115341" spans="1:15" s="210" customFormat="1" x14ac:dyDescent="0.3">
      <c r="A115341" s="12"/>
      <c r="B115341" s="15"/>
      <c r="C115341" s="15"/>
      <c r="D115341" s="12"/>
      <c r="E115341" s="12"/>
      <c r="F115341" s="13"/>
      <c r="G115341" s="12"/>
      <c r="H115341" s="12"/>
      <c r="I115341" s="12"/>
      <c r="J115341" s="12"/>
      <c r="K115341" s="12"/>
      <c r="L115341" s="208"/>
      <c r="M115341" s="209"/>
      <c r="N115341" s="209"/>
      <c r="O115341" s="209"/>
    </row>
    <row r="115342" spans="1:15" s="210" customFormat="1" x14ac:dyDescent="0.3">
      <c r="A115342" s="12"/>
      <c r="B115342" s="15"/>
      <c r="C115342" s="15"/>
      <c r="D115342" s="12"/>
      <c r="E115342" s="12"/>
      <c r="F115342" s="13"/>
      <c r="G115342" s="12"/>
      <c r="H115342" s="12"/>
      <c r="I115342" s="12"/>
      <c r="J115342" s="12"/>
      <c r="K115342" s="12"/>
      <c r="L115342" s="208"/>
      <c r="M115342" s="209"/>
      <c r="N115342" s="209"/>
      <c r="O115342" s="209"/>
    </row>
    <row r="115343" spans="1:15" s="210" customFormat="1" x14ac:dyDescent="0.3">
      <c r="A115343" s="12"/>
      <c r="B115343" s="15"/>
      <c r="C115343" s="15"/>
      <c r="D115343" s="12"/>
      <c r="E115343" s="12"/>
      <c r="F115343" s="13"/>
      <c r="G115343" s="12"/>
      <c r="H115343" s="12"/>
      <c r="I115343" s="12"/>
      <c r="J115343" s="12"/>
      <c r="K115343" s="12"/>
      <c r="L115343" s="208"/>
      <c r="M115343" s="209"/>
      <c r="N115343" s="209"/>
      <c r="O115343" s="209"/>
    </row>
    <row r="115344" spans="1:15" s="210" customFormat="1" x14ac:dyDescent="0.3">
      <c r="A115344" s="12"/>
      <c r="B115344" s="15"/>
      <c r="C115344" s="15"/>
      <c r="D115344" s="12"/>
      <c r="E115344" s="12"/>
      <c r="F115344" s="13"/>
      <c r="G115344" s="12"/>
      <c r="H115344" s="12"/>
      <c r="I115344" s="12"/>
      <c r="J115344" s="12"/>
      <c r="K115344" s="12"/>
      <c r="L115344" s="208"/>
      <c r="M115344" s="209"/>
      <c r="N115344" s="209"/>
      <c r="O115344" s="209"/>
    </row>
    <row r="115345" spans="1:15" s="210" customFormat="1" x14ac:dyDescent="0.3">
      <c r="A115345" s="12"/>
      <c r="B115345" s="15"/>
      <c r="C115345" s="15"/>
      <c r="D115345" s="12"/>
      <c r="E115345" s="12"/>
      <c r="F115345" s="13"/>
      <c r="G115345" s="12"/>
      <c r="H115345" s="12"/>
      <c r="I115345" s="12"/>
      <c r="J115345" s="12"/>
      <c r="K115345" s="12"/>
      <c r="L115345" s="208"/>
      <c r="M115345" s="209"/>
      <c r="N115345" s="209"/>
      <c r="O115345" s="209"/>
    </row>
    <row r="115346" spans="1:15" s="210" customFormat="1" x14ac:dyDescent="0.3">
      <c r="A115346" s="12"/>
      <c r="B115346" s="15"/>
      <c r="C115346" s="15"/>
      <c r="D115346" s="12"/>
      <c r="E115346" s="12"/>
      <c r="F115346" s="13"/>
      <c r="G115346" s="12"/>
      <c r="H115346" s="12"/>
      <c r="I115346" s="12"/>
      <c r="J115346" s="12"/>
      <c r="K115346" s="12"/>
      <c r="L115346" s="208"/>
      <c r="M115346" s="209"/>
      <c r="N115346" s="209"/>
      <c r="O115346" s="209"/>
    </row>
    <row r="115347" spans="1:15" s="210" customFormat="1" x14ac:dyDescent="0.3">
      <c r="A115347" s="12"/>
      <c r="B115347" s="15"/>
      <c r="C115347" s="15"/>
      <c r="D115347" s="12"/>
      <c r="E115347" s="12"/>
      <c r="F115347" s="13"/>
      <c r="G115347" s="12"/>
      <c r="H115347" s="12"/>
      <c r="I115347" s="12"/>
      <c r="J115347" s="12"/>
      <c r="K115347" s="12"/>
      <c r="L115347" s="208"/>
      <c r="M115347" s="209"/>
      <c r="N115347" s="209"/>
      <c r="O115347" s="209"/>
    </row>
    <row r="115348" spans="1:15" s="210" customFormat="1" x14ac:dyDescent="0.3">
      <c r="A115348" s="12"/>
      <c r="B115348" s="15"/>
      <c r="C115348" s="15"/>
      <c r="D115348" s="12"/>
      <c r="E115348" s="12"/>
      <c r="F115348" s="13"/>
      <c r="G115348" s="12"/>
      <c r="H115348" s="12"/>
      <c r="I115348" s="12"/>
      <c r="J115348" s="12"/>
      <c r="K115348" s="12"/>
      <c r="L115348" s="208"/>
      <c r="M115348" s="209"/>
      <c r="N115348" s="209"/>
      <c r="O115348" s="209"/>
    </row>
    <row r="115349" spans="1:15" s="210" customFormat="1" x14ac:dyDescent="0.3">
      <c r="A115349" s="12"/>
      <c r="B115349" s="15"/>
      <c r="C115349" s="15"/>
      <c r="D115349" s="12"/>
      <c r="E115349" s="12"/>
      <c r="F115349" s="13"/>
      <c r="G115349" s="12"/>
      <c r="H115349" s="12"/>
      <c r="I115349" s="12"/>
      <c r="J115349" s="12"/>
      <c r="K115349" s="12"/>
      <c r="L115349" s="208"/>
      <c r="M115349" s="209"/>
      <c r="N115349" s="209"/>
      <c r="O115349" s="209"/>
    </row>
    <row r="115350" spans="1:15" s="210" customFormat="1" x14ac:dyDescent="0.3">
      <c r="A115350" s="12"/>
      <c r="B115350" s="15"/>
      <c r="C115350" s="15"/>
      <c r="D115350" s="12"/>
      <c r="E115350" s="12"/>
      <c r="F115350" s="13"/>
      <c r="G115350" s="12"/>
      <c r="H115350" s="12"/>
      <c r="I115350" s="12"/>
      <c r="J115350" s="12"/>
      <c r="K115350" s="12"/>
      <c r="L115350" s="208"/>
      <c r="M115350" s="209"/>
      <c r="N115350" s="209"/>
      <c r="O115350" s="209"/>
    </row>
    <row r="115351" spans="1:15" s="210" customFormat="1" x14ac:dyDescent="0.3">
      <c r="A115351" s="12"/>
      <c r="B115351" s="15"/>
      <c r="C115351" s="15"/>
      <c r="D115351" s="12"/>
      <c r="E115351" s="12"/>
      <c r="F115351" s="13"/>
      <c r="G115351" s="12"/>
      <c r="H115351" s="12"/>
      <c r="I115351" s="12"/>
      <c r="J115351" s="12"/>
      <c r="K115351" s="12"/>
      <c r="L115351" s="208"/>
      <c r="M115351" s="209"/>
      <c r="N115351" s="209"/>
      <c r="O115351" s="209"/>
    </row>
    <row r="115352" spans="1:15" s="210" customFormat="1" x14ac:dyDescent="0.3">
      <c r="A115352" s="12"/>
      <c r="B115352" s="15"/>
      <c r="C115352" s="15"/>
      <c r="D115352" s="12"/>
      <c r="E115352" s="12"/>
      <c r="F115352" s="13"/>
      <c r="G115352" s="12"/>
      <c r="H115352" s="12"/>
      <c r="I115352" s="12"/>
      <c r="J115352" s="12"/>
      <c r="K115352" s="12"/>
      <c r="L115352" s="208"/>
      <c r="M115352" s="209"/>
      <c r="N115352" s="209"/>
      <c r="O115352" s="209"/>
    </row>
    <row r="115353" spans="1:15" s="210" customFormat="1" x14ac:dyDescent="0.3">
      <c r="A115353" s="12"/>
      <c r="B115353" s="15"/>
      <c r="C115353" s="15"/>
      <c r="D115353" s="12"/>
      <c r="E115353" s="12"/>
      <c r="F115353" s="13"/>
      <c r="G115353" s="12"/>
      <c r="H115353" s="12"/>
      <c r="I115353" s="12"/>
      <c r="J115353" s="12"/>
      <c r="K115353" s="12"/>
      <c r="L115353" s="208"/>
      <c r="M115353" s="209"/>
      <c r="N115353" s="209"/>
      <c r="O115353" s="209"/>
    </row>
    <row r="115354" spans="1:15" s="210" customFormat="1" x14ac:dyDescent="0.3">
      <c r="A115354" s="12"/>
      <c r="B115354" s="15"/>
      <c r="C115354" s="15"/>
      <c r="D115354" s="12"/>
      <c r="E115354" s="12"/>
      <c r="F115354" s="13"/>
      <c r="G115354" s="12"/>
      <c r="H115354" s="12"/>
      <c r="I115354" s="12"/>
      <c r="J115354" s="12"/>
      <c r="K115354" s="12"/>
      <c r="L115354" s="208"/>
      <c r="M115354" s="209"/>
      <c r="N115354" s="209"/>
      <c r="O115354" s="209"/>
    </row>
    <row r="115355" spans="1:15" s="210" customFormat="1" x14ac:dyDescent="0.3">
      <c r="A115355" s="12"/>
      <c r="B115355" s="15"/>
      <c r="C115355" s="15"/>
      <c r="D115355" s="12"/>
      <c r="E115355" s="12"/>
      <c r="F115355" s="13"/>
      <c r="G115355" s="12"/>
      <c r="H115355" s="12"/>
      <c r="I115355" s="12"/>
      <c r="J115355" s="12"/>
      <c r="K115355" s="12"/>
      <c r="L115355" s="208"/>
      <c r="M115355" s="209"/>
      <c r="N115355" s="209"/>
      <c r="O115355" s="209"/>
    </row>
    <row r="115356" spans="1:15" s="210" customFormat="1" x14ac:dyDescent="0.3">
      <c r="A115356" s="12"/>
      <c r="B115356" s="15"/>
      <c r="C115356" s="15"/>
      <c r="D115356" s="12"/>
      <c r="E115356" s="12"/>
      <c r="F115356" s="13"/>
      <c r="G115356" s="12"/>
      <c r="H115356" s="12"/>
      <c r="I115356" s="12"/>
      <c r="J115356" s="12"/>
      <c r="K115356" s="12"/>
      <c r="L115356" s="208"/>
      <c r="M115356" s="209"/>
      <c r="N115356" s="209"/>
      <c r="O115356" s="209"/>
    </row>
    <row r="115357" spans="1:15" s="210" customFormat="1" x14ac:dyDescent="0.3">
      <c r="A115357" s="12"/>
      <c r="B115357" s="15"/>
      <c r="C115357" s="15"/>
      <c r="D115357" s="12"/>
      <c r="E115357" s="12"/>
      <c r="F115357" s="13"/>
      <c r="G115357" s="12"/>
      <c r="H115357" s="12"/>
      <c r="I115357" s="12"/>
      <c r="J115357" s="12"/>
      <c r="K115357" s="12"/>
      <c r="L115357" s="208"/>
      <c r="M115357" s="209"/>
      <c r="N115357" s="209"/>
      <c r="O115357" s="209"/>
    </row>
    <row r="115358" spans="1:15" s="210" customFormat="1" x14ac:dyDescent="0.3">
      <c r="A115358" s="12"/>
      <c r="B115358" s="15"/>
      <c r="C115358" s="15"/>
      <c r="D115358" s="12"/>
      <c r="E115358" s="12"/>
      <c r="F115358" s="13"/>
      <c r="G115358" s="12"/>
      <c r="H115358" s="12"/>
      <c r="I115358" s="12"/>
      <c r="J115358" s="12"/>
      <c r="K115358" s="12"/>
      <c r="L115358" s="208"/>
      <c r="M115358" s="209"/>
      <c r="N115358" s="209"/>
      <c r="O115358" s="209"/>
    </row>
    <row r="115359" spans="1:15" s="210" customFormat="1" x14ac:dyDescent="0.3">
      <c r="A115359" s="12"/>
      <c r="B115359" s="15"/>
      <c r="C115359" s="15"/>
      <c r="D115359" s="12"/>
      <c r="E115359" s="12"/>
      <c r="F115359" s="13"/>
      <c r="G115359" s="12"/>
      <c r="H115359" s="12"/>
      <c r="I115359" s="12"/>
      <c r="J115359" s="12"/>
      <c r="K115359" s="12"/>
      <c r="L115359" s="208"/>
      <c r="M115359" s="209"/>
      <c r="N115359" s="209"/>
      <c r="O115359" s="209"/>
    </row>
    <row r="115360" spans="1:15" s="210" customFormat="1" x14ac:dyDescent="0.3">
      <c r="A115360" s="12"/>
      <c r="B115360" s="15"/>
      <c r="C115360" s="15"/>
      <c r="D115360" s="12"/>
      <c r="E115360" s="12"/>
      <c r="F115360" s="13"/>
      <c r="G115360" s="12"/>
      <c r="H115360" s="12"/>
      <c r="I115360" s="12"/>
      <c r="J115360" s="12"/>
      <c r="K115360" s="12"/>
      <c r="L115360" s="208"/>
      <c r="M115360" s="209"/>
      <c r="N115360" s="209"/>
      <c r="O115360" s="209"/>
    </row>
    <row r="115361" spans="1:15" s="210" customFormat="1" x14ac:dyDescent="0.3">
      <c r="A115361" s="12"/>
      <c r="B115361" s="15"/>
      <c r="C115361" s="15"/>
      <c r="D115361" s="12"/>
      <c r="E115361" s="12"/>
      <c r="F115361" s="13"/>
      <c r="G115361" s="12"/>
      <c r="H115361" s="12"/>
      <c r="I115361" s="12"/>
      <c r="J115361" s="12"/>
      <c r="K115361" s="12"/>
      <c r="L115361" s="208"/>
      <c r="M115361" s="209"/>
      <c r="N115361" s="209"/>
      <c r="O115361" s="209"/>
    </row>
    <row r="115362" spans="1:15" s="210" customFormat="1" x14ac:dyDescent="0.3">
      <c r="A115362" s="12"/>
      <c r="B115362" s="15"/>
      <c r="C115362" s="15"/>
      <c r="D115362" s="12"/>
      <c r="E115362" s="12"/>
      <c r="F115362" s="13"/>
      <c r="G115362" s="12"/>
      <c r="H115362" s="12"/>
      <c r="I115362" s="12"/>
      <c r="J115362" s="12"/>
      <c r="K115362" s="12"/>
      <c r="L115362" s="208"/>
      <c r="M115362" s="209"/>
      <c r="N115362" s="209"/>
      <c r="O115362" s="209"/>
    </row>
    <row r="115363" spans="1:15" s="210" customFormat="1" x14ac:dyDescent="0.3">
      <c r="A115363" s="12"/>
      <c r="B115363" s="15"/>
      <c r="C115363" s="15"/>
      <c r="D115363" s="12"/>
      <c r="E115363" s="12"/>
      <c r="F115363" s="13"/>
      <c r="G115363" s="12"/>
      <c r="H115363" s="12"/>
      <c r="I115363" s="12"/>
      <c r="J115363" s="12"/>
      <c r="K115363" s="12"/>
      <c r="L115363" s="208"/>
      <c r="M115363" s="209"/>
      <c r="N115363" s="209"/>
      <c r="O115363" s="209"/>
    </row>
    <row r="115364" spans="1:15" s="210" customFormat="1" x14ac:dyDescent="0.3">
      <c r="A115364" s="12"/>
      <c r="B115364" s="15"/>
      <c r="C115364" s="15"/>
      <c r="D115364" s="12"/>
      <c r="E115364" s="12"/>
      <c r="F115364" s="13"/>
      <c r="G115364" s="12"/>
      <c r="H115364" s="12"/>
      <c r="I115364" s="12"/>
      <c r="J115364" s="12"/>
      <c r="K115364" s="12"/>
      <c r="L115364" s="208"/>
      <c r="M115364" s="209"/>
      <c r="N115364" s="209"/>
      <c r="O115364" s="209"/>
    </row>
    <row r="115365" spans="1:15" s="210" customFormat="1" x14ac:dyDescent="0.3">
      <c r="A115365" s="12"/>
      <c r="B115365" s="15"/>
      <c r="C115365" s="15"/>
      <c r="D115365" s="12"/>
      <c r="E115365" s="12"/>
      <c r="F115365" s="13"/>
      <c r="G115365" s="12"/>
      <c r="H115365" s="12"/>
      <c r="I115365" s="12"/>
      <c r="J115365" s="12"/>
      <c r="K115365" s="12"/>
      <c r="L115365" s="208"/>
      <c r="M115365" s="209"/>
      <c r="N115365" s="209"/>
      <c r="O115365" s="209"/>
    </row>
    <row r="115366" spans="1:15" s="210" customFormat="1" x14ac:dyDescent="0.3">
      <c r="A115366" s="12"/>
      <c r="B115366" s="15"/>
      <c r="C115366" s="15"/>
      <c r="D115366" s="12"/>
      <c r="E115366" s="12"/>
      <c r="F115366" s="13"/>
      <c r="G115366" s="12"/>
      <c r="H115366" s="12"/>
      <c r="I115366" s="12"/>
      <c r="J115366" s="12"/>
      <c r="K115366" s="12"/>
      <c r="L115366" s="208"/>
      <c r="M115366" s="209"/>
      <c r="N115366" s="209"/>
      <c r="O115366" s="209"/>
    </row>
    <row r="115367" spans="1:15" s="210" customFormat="1" x14ac:dyDescent="0.3">
      <c r="A115367" s="12"/>
      <c r="B115367" s="15"/>
      <c r="C115367" s="15"/>
      <c r="D115367" s="12"/>
      <c r="E115367" s="12"/>
      <c r="F115367" s="13"/>
      <c r="G115367" s="12"/>
      <c r="H115367" s="12"/>
      <c r="I115367" s="12"/>
      <c r="J115367" s="12"/>
      <c r="K115367" s="12"/>
      <c r="L115367" s="208"/>
      <c r="M115367" s="209"/>
      <c r="N115367" s="209"/>
      <c r="O115367" s="209"/>
    </row>
    <row r="115368" spans="1:15" s="210" customFormat="1" x14ac:dyDescent="0.3">
      <c r="A115368" s="12"/>
      <c r="B115368" s="15"/>
      <c r="C115368" s="15"/>
      <c r="D115368" s="12"/>
      <c r="E115368" s="12"/>
      <c r="F115368" s="13"/>
      <c r="G115368" s="12"/>
      <c r="H115368" s="12"/>
      <c r="I115368" s="12"/>
      <c r="J115368" s="12"/>
      <c r="K115368" s="12"/>
      <c r="L115368" s="208"/>
      <c r="M115368" s="209"/>
      <c r="N115368" s="209"/>
      <c r="O115368" s="209"/>
    </row>
    <row r="115369" spans="1:15" s="210" customFormat="1" x14ac:dyDescent="0.3">
      <c r="A115369" s="12"/>
      <c r="B115369" s="15"/>
      <c r="C115369" s="15"/>
      <c r="D115369" s="12"/>
      <c r="E115369" s="12"/>
      <c r="F115369" s="13"/>
      <c r="G115369" s="12"/>
      <c r="H115369" s="12"/>
      <c r="I115369" s="12"/>
      <c r="J115369" s="12"/>
      <c r="K115369" s="12"/>
      <c r="L115369" s="208"/>
      <c r="M115369" s="209"/>
      <c r="N115369" s="209"/>
      <c r="O115369" s="209"/>
    </row>
    <row r="115370" spans="1:15" s="210" customFormat="1" x14ac:dyDescent="0.3">
      <c r="A115370" s="12"/>
      <c r="B115370" s="15"/>
      <c r="C115370" s="15"/>
      <c r="D115370" s="12"/>
      <c r="E115370" s="12"/>
      <c r="F115370" s="13"/>
      <c r="G115370" s="12"/>
      <c r="H115370" s="12"/>
      <c r="I115370" s="12"/>
      <c r="J115370" s="12"/>
      <c r="K115370" s="12"/>
      <c r="L115370" s="208"/>
      <c r="M115370" s="209"/>
      <c r="N115370" s="209"/>
      <c r="O115370" s="209"/>
    </row>
    <row r="115371" spans="1:15" s="210" customFormat="1" x14ac:dyDescent="0.3">
      <c r="A115371" s="12"/>
      <c r="B115371" s="15"/>
      <c r="C115371" s="15"/>
      <c r="D115371" s="12"/>
      <c r="E115371" s="12"/>
      <c r="F115371" s="13"/>
      <c r="G115371" s="12"/>
      <c r="H115371" s="12"/>
      <c r="I115371" s="12"/>
      <c r="J115371" s="12"/>
      <c r="K115371" s="12"/>
      <c r="L115371" s="208"/>
      <c r="M115371" s="209"/>
      <c r="N115371" s="209"/>
      <c r="O115371" s="209"/>
    </row>
    <row r="115372" spans="1:15" s="210" customFormat="1" x14ac:dyDescent="0.3">
      <c r="A115372" s="12"/>
      <c r="B115372" s="15"/>
      <c r="C115372" s="15"/>
      <c r="D115372" s="12"/>
      <c r="E115372" s="12"/>
      <c r="F115372" s="13"/>
      <c r="G115372" s="12"/>
      <c r="H115372" s="12"/>
      <c r="I115372" s="12"/>
      <c r="J115372" s="12"/>
      <c r="K115372" s="12"/>
      <c r="L115372" s="208"/>
      <c r="M115372" s="209"/>
      <c r="N115372" s="209"/>
      <c r="O115372" s="209"/>
    </row>
    <row r="115373" spans="1:15" s="210" customFormat="1" x14ac:dyDescent="0.3">
      <c r="A115373" s="12"/>
      <c r="B115373" s="15"/>
      <c r="C115373" s="15"/>
      <c r="D115373" s="12"/>
      <c r="E115373" s="12"/>
      <c r="F115373" s="13"/>
      <c r="G115373" s="12"/>
      <c r="H115373" s="12"/>
      <c r="I115373" s="12"/>
      <c r="J115373" s="12"/>
      <c r="K115373" s="12"/>
      <c r="L115373" s="208"/>
      <c r="M115373" s="209"/>
      <c r="N115373" s="209"/>
      <c r="O115373" s="209"/>
    </row>
    <row r="115374" spans="1:15" s="210" customFormat="1" x14ac:dyDescent="0.3">
      <c r="A115374" s="12"/>
      <c r="B115374" s="15"/>
      <c r="C115374" s="15"/>
      <c r="D115374" s="12"/>
      <c r="E115374" s="12"/>
      <c r="F115374" s="13"/>
      <c r="G115374" s="12"/>
      <c r="H115374" s="12"/>
      <c r="I115374" s="12"/>
      <c r="J115374" s="12"/>
      <c r="K115374" s="12"/>
      <c r="L115374" s="208"/>
      <c r="M115374" s="209"/>
      <c r="N115374" s="209"/>
      <c r="O115374" s="209"/>
    </row>
    <row r="115375" spans="1:15" s="210" customFormat="1" x14ac:dyDescent="0.3">
      <c r="A115375" s="12"/>
      <c r="B115375" s="15"/>
      <c r="C115375" s="15"/>
      <c r="D115375" s="12"/>
      <c r="E115375" s="12"/>
      <c r="F115375" s="13"/>
      <c r="G115375" s="12"/>
      <c r="H115375" s="12"/>
      <c r="I115375" s="12"/>
      <c r="J115375" s="12"/>
      <c r="K115375" s="12"/>
      <c r="L115375" s="208"/>
      <c r="M115375" s="209"/>
      <c r="N115375" s="209"/>
      <c r="O115375" s="209"/>
    </row>
    <row r="115376" spans="1:15" s="210" customFormat="1" x14ac:dyDescent="0.3">
      <c r="A115376" s="12"/>
      <c r="B115376" s="15"/>
      <c r="C115376" s="15"/>
      <c r="D115376" s="12"/>
      <c r="E115376" s="12"/>
      <c r="F115376" s="13"/>
      <c r="G115376" s="12"/>
      <c r="H115376" s="12"/>
      <c r="I115376" s="12"/>
      <c r="J115376" s="12"/>
      <c r="K115376" s="12"/>
      <c r="L115376" s="208"/>
      <c r="M115376" s="209"/>
      <c r="N115376" s="209"/>
      <c r="O115376" s="209"/>
    </row>
    <row r="115377" spans="1:15" s="210" customFormat="1" x14ac:dyDescent="0.3">
      <c r="A115377" s="12"/>
      <c r="B115377" s="15"/>
      <c r="C115377" s="15"/>
      <c r="D115377" s="12"/>
      <c r="E115377" s="12"/>
      <c r="F115377" s="13"/>
      <c r="G115377" s="12"/>
      <c r="H115377" s="12"/>
      <c r="I115377" s="12"/>
      <c r="J115377" s="12"/>
      <c r="K115377" s="12"/>
      <c r="L115377" s="208"/>
      <c r="M115377" s="209"/>
      <c r="N115377" s="209"/>
      <c r="O115377" s="209"/>
    </row>
    <row r="115378" spans="1:15" s="210" customFormat="1" x14ac:dyDescent="0.3">
      <c r="A115378" s="12"/>
      <c r="B115378" s="15"/>
      <c r="C115378" s="15"/>
      <c r="D115378" s="12"/>
      <c r="E115378" s="12"/>
      <c r="F115378" s="13"/>
      <c r="G115378" s="12"/>
      <c r="H115378" s="12"/>
      <c r="I115378" s="12"/>
      <c r="J115378" s="12"/>
      <c r="K115378" s="12"/>
      <c r="L115378" s="208"/>
      <c r="M115378" s="209"/>
      <c r="N115378" s="209"/>
      <c r="O115378" s="209"/>
    </row>
    <row r="115379" spans="1:15" s="210" customFormat="1" x14ac:dyDescent="0.3">
      <c r="A115379" s="12"/>
      <c r="B115379" s="15"/>
      <c r="C115379" s="15"/>
      <c r="D115379" s="12"/>
      <c r="E115379" s="12"/>
      <c r="F115379" s="13"/>
      <c r="G115379" s="12"/>
      <c r="H115379" s="12"/>
      <c r="I115379" s="12"/>
      <c r="J115379" s="12"/>
      <c r="K115379" s="12"/>
      <c r="L115379" s="208"/>
      <c r="M115379" s="209"/>
      <c r="N115379" s="209"/>
      <c r="O115379" s="209"/>
    </row>
    <row r="115380" spans="1:15" s="210" customFormat="1" x14ac:dyDescent="0.3">
      <c r="A115380" s="12"/>
      <c r="B115380" s="15"/>
      <c r="C115380" s="15"/>
      <c r="D115380" s="12"/>
      <c r="E115380" s="12"/>
      <c r="F115380" s="13"/>
      <c r="G115380" s="12"/>
      <c r="H115380" s="12"/>
      <c r="I115380" s="12"/>
      <c r="J115380" s="12"/>
      <c r="K115380" s="12"/>
      <c r="L115380" s="208"/>
      <c r="M115380" s="209"/>
      <c r="N115380" s="209"/>
      <c r="O115380" s="209"/>
    </row>
    <row r="115381" spans="1:15" s="210" customFormat="1" x14ac:dyDescent="0.3">
      <c r="A115381" s="12"/>
      <c r="B115381" s="15"/>
      <c r="C115381" s="15"/>
      <c r="D115381" s="12"/>
      <c r="E115381" s="12"/>
      <c r="F115381" s="13"/>
      <c r="G115381" s="12"/>
      <c r="H115381" s="12"/>
      <c r="I115381" s="12"/>
      <c r="J115381" s="12"/>
      <c r="K115381" s="12"/>
      <c r="L115381" s="208"/>
      <c r="M115381" s="209"/>
      <c r="N115381" s="209"/>
      <c r="O115381" s="209"/>
    </row>
    <row r="115382" spans="1:15" s="210" customFormat="1" x14ac:dyDescent="0.3">
      <c r="A115382" s="12"/>
      <c r="B115382" s="15"/>
      <c r="C115382" s="15"/>
      <c r="D115382" s="12"/>
      <c r="E115382" s="12"/>
      <c r="F115382" s="13"/>
      <c r="G115382" s="12"/>
      <c r="H115382" s="12"/>
      <c r="I115382" s="12"/>
      <c r="J115382" s="12"/>
      <c r="K115382" s="12"/>
      <c r="L115382" s="208"/>
      <c r="M115382" s="209"/>
      <c r="N115382" s="209"/>
      <c r="O115382" s="209"/>
    </row>
    <row r="115383" spans="1:15" s="210" customFormat="1" x14ac:dyDescent="0.3">
      <c r="A115383" s="12"/>
      <c r="B115383" s="15"/>
      <c r="C115383" s="15"/>
      <c r="D115383" s="12"/>
      <c r="E115383" s="12"/>
      <c r="F115383" s="13"/>
      <c r="G115383" s="12"/>
      <c r="H115383" s="12"/>
      <c r="I115383" s="12"/>
      <c r="J115383" s="12"/>
      <c r="K115383" s="12"/>
      <c r="L115383" s="208"/>
      <c r="M115383" s="209"/>
      <c r="N115383" s="209"/>
      <c r="O115383" s="209"/>
    </row>
    <row r="115384" spans="1:15" s="210" customFormat="1" x14ac:dyDescent="0.3">
      <c r="A115384" s="12"/>
      <c r="B115384" s="15"/>
      <c r="C115384" s="15"/>
      <c r="D115384" s="12"/>
      <c r="E115384" s="12"/>
      <c r="F115384" s="13"/>
      <c r="G115384" s="12"/>
      <c r="H115384" s="12"/>
      <c r="I115384" s="12"/>
      <c r="J115384" s="12"/>
      <c r="K115384" s="12"/>
      <c r="L115384" s="208"/>
      <c r="M115384" s="209"/>
      <c r="N115384" s="209"/>
      <c r="O115384" s="209"/>
    </row>
    <row r="115385" spans="1:15" s="210" customFormat="1" x14ac:dyDescent="0.3">
      <c r="A115385" s="12"/>
      <c r="B115385" s="15"/>
      <c r="C115385" s="15"/>
      <c r="D115385" s="12"/>
      <c r="E115385" s="12"/>
      <c r="F115385" s="13"/>
      <c r="G115385" s="12"/>
      <c r="H115385" s="12"/>
      <c r="I115385" s="12"/>
      <c r="J115385" s="12"/>
      <c r="K115385" s="12"/>
      <c r="L115385" s="208"/>
      <c r="M115385" s="209"/>
      <c r="N115385" s="209"/>
      <c r="O115385" s="209"/>
    </row>
    <row r="115386" spans="1:15" s="210" customFormat="1" x14ac:dyDescent="0.3">
      <c r="A115386" s="12"/>
      <c r="B115386" s="15"/>
      <c r="C115386" s="15"/>
      <c r="D115386" s="12"/>
      <c r="E115386" s="12"/>
      <c r="F115386" s="13"/>
      <c r="G115386" s="12"/>
      <c r="H115386" s="12"/>
      <c r="I115386" s="12"/>
      <c r="J115386" s="12"/>
      <c r="K115386" s="12"/>
      <c r="L115386" s="208"/>
      <c r="M115386" s="209"/>
      <c r="N115386" s="209"/>
      <c r="O115386" s="209"/>
    </row>
    <row r="115387" spans="1:15" s="210" customFormat="1" x14ac:dyDescent="0.3">
      <c r="A115387" s="12"/>
      <c r="B115387" s="15"/>
      <c r="C115387" s="15"/>
      <c r="D115387" s="12"/>
      <c r="E115387" s="12"/>
      <c r="F115387" s="13"/>
      <c r="G115387" s="12"/>
      <c r="H115387" s="12"/>
      <c r="I115387" s="12"/>
      <c r="J115387" s="12"/>
      <c r="K115387" s="12"/>
      <c r="L115387" s="208"/>
      <c r="M115387" s="209"/>
      <c r="N115387" s="209"/>
      <c r="O115387" s="209"/>
    </row>
    <row r="115388" spans="1:15" s="210" customFormat="1" x14ac:dyDescent="0.3">
      <c r="A115388" s="12"/>
      <c r="B115388" s="15"/>
      <c r="C115388" s="15"/>
      <c r="D115388" s="12"/>
      <c r="E115388" s="12"/>
      <c r="F115388" s="13"/>
      <c r="G115388" s="12"/>
      <c r="H115388" s="12"/>
      <c r="I115388" s="12"/>
      <c r="J115388" s="12"/>
      <c r="K115388" s="12"/>
      <c r="L115388" s="208"/>
      <c r="M115388" s="209"/>
      <c r="N115388" s="209"/>
      <c r="O115388" s="209"/>
    </row>
    <row r="115389" spans="1:15" s="210" customFormat="1" x14ac:dyDescent="0.3">
      <c r="A115389" s="12"/>
      <c r="B115389" s="15"/>
      <c r="C115389" s="15"/>
      <c r="D115389" s="12"/>
      <c r="E115389" s="12"/>
      <c r="F115389" s="13"/>
      <c r="G115389" s="12"/>
      <c r="H115389" s="12"/>
      <c r="I115389" s="12"/>
      <c r="J115389" s="12"/>
      <c r="K115389" s="12"/>
      <c r="L115389" s="208"/>
      <c r="M115389" s="209"/>
      <c r="N115389" s="209"/>
      <c r="O115389" s="209"/>
    </row>
    <row r="115390" spans="1:15" s="210" customFormat="1" x14ac:dyDescent="0.3">
      <c r="A115390" s="12"/>
      <c r="B115390" s="15"/>
      <c r="C115390" s="15"/>
      <c r="D115390" s="12"/>
      <c r="E115390" s="12"/>
      <c r="F115390" s="13"/>
      <c r="G115390" s="12"/>
      <c r="H115390" s="12"/>
      <c r="I115390" s="12"/>
      <c r="J115390" s="12"/>
      <c r="K115390" s="12"/>
      <c r="L115390" s="208"/>
      <c r="M115390" s="209"/>
      <c r="N115390" s="209"/>
      <c r="O115390" s="209"/>
    </row>
    <row r="115391" spans="1:15" s="210" customFormat="1" x14ac:dyDescent="0.3">
      <c r="A115391" s="12"/>
      <c r="B115391" s="15"/>
      <c r="C115391" s="15"/>
      <c r="D115391" s="12"/>
      <c r="E115391" s="12"/>
      <c r="F115391" s="13"/>
      <c r="G115391" s="12"/>
      <c r="H115391" s="12"/>
      <c r="I115391" s="12"/>
      <c r="J115391" s="12"/>
      <c r="K115391" s="12"/>
      <c r="L115391" s="208"/>
      <c r="M115391" s="209"/>
      <c r="N115391" s="209"/>
      <c r="O115391" s="209"/>
    </row>
    <row r="115392" spans="1:15" s="210" customFormat="1" x14ac:dyDescent="0.3">
      <c r="A115392" s="12"/>
      <c r="B115392" s="15"/>
      <c r="C115392" s="15"/>
      <c r="D115392" s="12"/>
      <c r="E115392" s="12"/>
      <c r="F115392" s="13"/>
      <c r="G115392" s="12"/>
      <c r="H115392" s="12"/>
      <c r="I115392" s="12"/>
      <c r="J115392" s="12"/>
      <c r="K115392" s="12"/>
      <c r="L115392" s="208"/>
      <c r="M115392" s="209"/>
      <c r="N115392" s="209"/>
      <c r="O115392" s="209"/>
    </row>
    <row r="115393" spans="1:15" s="210" customFormat="1" x14ac:dyDescent="0.3">
      <c r="A115393" s="12"/>
      <c r="B115393" s="15"/>
      <c r="C115393" s="15"/>
      <c r="D115393" s="12"/>
      <c r="E115393" s="12"/>
      <c r="F115393" s="13"/>
      <c r="G115393" s="12"/>
      <c r="H115393" s="12"/>
      <c r="I115393" s="12"/>
      <c r="J115393" s="12"/>
      <c r="K115393" s="12"/>
      <c r="L115393" s="208"/>
      <c r="M115393" s="209"/>
      <c r="N115393" s="209"/>
      <c r="O115393" s="209"/>
    </row>
    <row r="115394" spans="1:15" s="210" customFormat="1" x14ac:dyDescent="0.3">
      <c r="A115394" s="12"/>
      <c r="B115394" s="15"/>
      <c r="C115394" s="15"/>
      <c r="D115394" s="12"/>
      <c r="E115394" s="12"/>
      <c r="F115394" s="13"/>
      <c r="G115394" s="12"/>
      <c r="H115394" s="12"/>
      <c r="I115394" s="12"/>
      <c r="J115394" s="12"/>
      <c r="K115394" s="12"/>
      <c r="L115394" s="208"/>
      <c r="M115394" s="209"/>
      <c r="N115394" s="209"/>
      <c r="O115394" s="209"/>
    </row>
    <row r="115395" spans="1:15" s="210" customFormat="1" x14ac:dyDescent="0.3">
      <c r="A115395" s="12"/>
      <c r="B115395" s="15"/>
      <c r="C115395" s="15"/>
      <c r="D115395" s="12"/>
      <c r="E115395" s="12"/>
      <c r="F115395" s="13"/>
      <c r="G115395" s="12"/>
      <c r="H115395" s="12"/>
      <c r="I115395" s="12"/>
      <c r="J115395" s="12"/>
      <c r="K115395" s="12"/>
      <c r="L115395" s="208"/>
      <c r="M115395" s="209"/>
      <c r="N115395" s="209"/>
      <c r="O115395" s="209"/>
    </row>
    <row r="115396" spans="1:15" s="210" customFormat="1" x14ac:dyDescent="0.3">
      <c r="A115396" s="12"/>
      <c r="B115396" s="15"/>
      <c r="C115396" s="15"/>
      <c r="D115396" s="12"/>
      <c r="E115396" s="12"/>
      <c r="F115396" s="13"/>
      <c r="G115396" s="12"/>
      <c r="H115396" s="12"/>
      <c r="I115396" s="12"/>
      <c r="J115396" s="12"/>
      <c r="K115396" s="12"/>
      <c r="L115396" s="208"/>
      <c r="M115396" s="209"/>
      <c r="N115396" s="209"/>
      <c r="O115396" s="209"/>
    </row>
    <row r="115397" spans="1:15" s="210" customFormat="1" x14ac:dyDescent="0.3">
      <c r="A115397" s="12"/>
      <c r="B115397" s="15"/>
      <c r="C115397" s="15"/>
      <c r="D115397" s="12"/>
      <c r="E115397" s="12"/>
      <c r="F115397" s="13"/>
      <c r="G115397" s="12"/>
      <c r="H115397" s="12"/>
      <c r="I115397" s="12"/>
      <c r="J115397" s="12"/>
      <c r="K115397" s="12"/>
      <c r="L115397" s="208"/>
      <c r="M115397" s="209"/>
      <c r="N115397" s="209"/>
      <c r="O115397" s="209"/>
    </row>
    <row r="115398" spans="1:15" s="210" customFormat="1" x14ac:dyDescent="0.3">
      <c r="A115398" s="12"/>
      <c r="B115398" s="15"/>
      <c r="C115398" s="15"/>
      <c r="D115398" s="12"/>
      <c r="E115398" s="12"/>
      <c r="F115398" s="13"/>
      <c r="G115398" s="12"/>
      <c r="H115398" s="12"/>
      <c r="I115398" s="12"/>
      <c r="J115398" s="12"/>
      <c r="K115398" s="12"/>
      <c r="L115398" s="208"/>
      <c r="M115398" s="209"/>
      <c r="N115398" s="209"/>
      <c r="O115398" s="209"/>
    </row>
    <row r="115399" spans="1:15" s="210" customFormat="1" x14ac:dyDescent="0.3">
      <c r="A115399" s="12"/>
      <c r="B115399" s="15"/>
      <c r="C115399" s="15"/>
      <c r="D115399" s="12"/>
      <c r="E115399" s="12"/>
      <c r="F115399" s="13"/>
      <c r="G115399" s="12"/>
      <c r="H115399" s="12"/>
      <c r="I115399" s="12"/>
      <c r="J115399" s="12"/>
      <c r="K115399" s="12"/>
      <c r="L115399" s="208"/>
      <c r="M115399" s="209"/>
      <c r="N115399" s="209"/>
      <c r="O115399" s="209"/>
    </row>
    <row r="115400" spans="1:15" s="210" customFormat="1" x14ac:dyDescent="0.3">
      <c r="A115400" s="12"/>
      <c r="B115400" s="15"/>
      <c r="C115400" s="15"/>
      <c r="D115400" s="12"/>
      <c r="E115400" s="12"/>
      <c r="F115400" s="13"/>
      <c r="G115400" s="12"/>
      <c r="H115400" s="12"/>
      <c r="I115400" s="12"/>
      <c r="J115400" s="12"/>
      <c r="K115400" s="12"/>
      <c r="L115400" s="208"/>
      <c r="M115400" s="209"/>
      <c r="N115400" s="209"/>
      <c r="O115400" s="209"/>
    </row>
    <row r="115401" spans="1:15" s="210" customFormat="1" x14ac:dyDescent="0.3">
      <c r="A115401" s="12"/>
      <c r="B115401" s="15"/>
      <c r="C115401" s="15"/>
      <c r="D115401" s="12"/>
      <c r="E115401" s="12"/>
      <c r="F115401" s="13"/>
      <c r="G115401" s="12"/>
      <c r="H115401" s="12"/>
      <c r="I115401" s="12"/>
      <c r="J115401" s="12"/>
      <c r="K115401" s="12"/>
      <c r="L115401" s="208"/>
      <c r="M115401" s="209"/>
      <c r="N115401" s="209"/>
      <c r="O115401" s="209"/>
    </row>
    <row r="115402" spans="1:15" s="210" customFormat="1" x14ac:dyDescent="0.3">
      <c r="A115402" s="12"/>
      <c r="B115402" s="15"/>
      <c r="C115402" s="15"/>
      <c r="D115402" s="12"/>
      <c r="E115402" s="12"/>
      <c r="F115402" s="13"/>
      <c r="G115402" s="12"/>
      <c r="H115402" s="12"/>
      <c r="I115402" s="12"/>
      <c r="J115402" s="12"/>
      <c r="K115402" s="12"/>
      <c r="L115402" s="208"/>
      <c r="M115402" s="209"/>
      <c r="N115402" s="209"/>
      <c r="O115402" s="209"/>
    </row>
    <row r="115403" spans="1:15" s="210" customFormat="1" x14ac:dyDescent="0.3">
      <c r="A115403" s="12"/>
      <c r="B115403" s="15"/>
      <c r="C115403" s="15"/>
      <c r="D115403" s="12"/>
      <c r="E115403" s="12"/>
      <c r="F115403" s="13"/>
      <c r="G115403" s="12"/>
      <c r="H115403" s="12"/>
      <c r="I115403" s="12"/>
      <c r="J115403" s="12"/>
      <c r="K115403" s="12"/>
      <c r="L115403" s="208"/>
      <c r="M115403" s="209"/>
      <c r="N115403" s="209"/>
      <c r="O115403" s="209"/>
    </row>
    <row r="115404" spans="1:15" s="210" customFormat="1" x14ac:dyDescent="0.3">
      <c r="A115404" s="12"/>
      <c r="B115404" s="15"/>
      <c r="C115404" s="15"/>
      <c r="D115404" s="12"/>
      <c r="E115404" s="12"/>
      <c r="F115404" s="13"/>
      <c r="G115404" s="12"/>
      <c r="H115404" s="12"/>
      <c r="I115404" s="12"/>
      <c r="J115404" s="12"/>
      <c r="K115404" s="12"/>
      <c r="L115404" s="208"/>
      <c r="M115404" s="209"/>
      <c r="N115404" s="209"/>
      <c r="O115404" s="209"/>
    </row>
    <row r="115405" spans="1:15" s="210" customFormat="1" x14ac:dyDescent="0.3">
      <c r="A115405" s="12"/>
      <c r="B115405" s="15"/>
      <c r="C115405" s="15"/>
      <c r="D115405" s="12"/>
      <c r="E115405" s="12"/>
      <c r="F115405" s="13"/>
      <c r="G115405" s="12"/>
      <c r="H115405" s="12"/>
      <c r="I115405" s="12"/>
      <c r="J115405" s="12"/>
      <c r="K115405" s="12"/>
      <c r="L115405" s="208"/>
      <c r="M115405" s="209"/>
      <c r="N115405" s="209"/>
      <c r="O115405" s="209"/>
    </row>
    <row r="115406" spans="1:15" s="210" customFormat="1" x14ac:dyDescent="0.3">
      <c r="A115406" s="12"/>
      <c r="B115406" s="15"/>
      <c r="C115406" s="15"/>
      <c r="D115406" s="12"/>
      <c r="E115406" s="12"/>
      <c r="F115406" s="13"/>
      <c r="G115406" s="12"/>
      <c r="H115406" s="12"/>
      <c r="I115406" s="12"/>
      <c r="J115406" s="12"/>
      <c r="K115406" s="12"/>
      <c r="L115406" s="208"/>
      <c r="M115406" s="209"/>
      <c r="N115406" s="209"/>
      <c r="O115406" s="209"/>
    </row>
    <row r="115407" spans="1:15" s="210" customFormat="1" x14ac:dyDescent="0.3">
      <c r="A115407" s="12"/>
      <c r="B115407" s="15"/>
      <c r="C115407" s="15"/>
      <c r="D115407" s="12"/>
      <c r="E115407" s="12"/>
      <c r="F115407" s="13"/>
      <c r="G115407" s="12"/>
      <c r="H115407" s="12"/>
      <c r="I115407" s="12"/>
      <c r="J115407" s="12"/>
      <c r="K115407" s="12"/>
      <c r="L115407" s="208"/>
      <c r="M115407" s="209"/>
      <c r="N115407" s="209"/>
      <c r="O115407" s="209"/>
    </row>
    <row r="115408" spans="1:15" s="210" customFormat="1" x14ac:dyDescent="0.3">
      <c r="A115408" s="12"/>
      <c r="B115408" s="15"/>
      <c r="C115408" s="15"/>
      <c r="D115408" s="12"/>
      <c r="E115408" s="12"/>
      <c r="F115408" s="13"/>
      <c r="G115408" s="12"/>
      <c r="H115408" s="12"/>
      <c r="I115408" s="12"/>
      <c r="J115408" s="12"/>
      <c r="K115408" s="12"/>
      <c r="L115408" s="208"/>
      <c r="M115408" s="209"/>
      <c r="N115408" s="209"/>
      <c r="O115408" s="209"/>
    </row>
    <row r="115409" spans="1:15" s="210" customFormat="1" x14ac:dyDescent="0.3">
      <c r="A115409" s="12"/>
      <c r="B115409" s="15"/>
      <c r="C115409" s="15"/>
      <c r="D115409" s="12"/>
      <c r="E115409" s="12"/>
      <c r="F115409" s="13"/>
      <c r="G115409" s="12"/>
      <c r="H115409" s="12"/>
      <c r="I115409" s="12"/>
      <c r="J115409" s="12"/>
      <c r="K115409" s="12"/>
      <c r="L115409" s="208"/>
      <c r="M115409" s="209"/>
      <c r="N115409" s="209"/>
      <c r="O115409" s="209"/>
    </row>
    <row r="115410" spans="1:15" s="210" customFormat="1" x14ac:dyDescent="0.3">
      <c r="A115410" s="12"/>
      <c r="B115410" s="15"/>
      <c r="C115410" s="15"/>
      <c r="D115410" s="12"/>
      <c r="E115410" s="12"/>
      <c r="F115410" s="13"/>
      <c r="G115410" s="12"/>
      <c r="H115410" s="12"/>
      <c r="I115410" s="12"/>
      <c r="J115410" s="12"/>
      <c r="K115410" s="12"/>
      <c r="L115410" s="208"/>
      <c r="M115410" s="209"/>
      <c r="N115410" s="209"/>
      <c r="O115410" s="209"/>
    </row>
    <row r="115411" spans="1:15" s="210" customFormat="1" x14ac:dyDescent="0.3">
      <c r="A115411" s="12"/>
      <c r="B115411" s="15"/>
      <c r="C115411" s="15"/>
      <c r="D115411" s="12"/>
      <c r="E115411" s="12"/>
      <c r="F115411" s="13"/>
      <c r="G115411" s="12"/>
      <c r="H115411" s="12"/>
      <c r="I115411" s="12"/>
      <c r="J115411" s="12"/>
      <c r="K115411" s="12"/>
      <c r="L115411" s="208"/>
      <c r="M115411" s="209"/>
      <c r="N115411" s="209"/>
      <c r="O115411" s="209"/>
    </row>
    <row r="115412" spans="1:15" s="210" customFormat="1" x14ac:dyDescent="0.3">
      <c r="A115412" s="12"/>
      <c r="B115412" s="15"/>
      <c r="C115412" s="15"/>
      <c r="D115412" s="12"/>
      <c r="E115412" s="12"/>
      <c r="F115412" s="13"/>
      <c r="G115412" s="12"/>
      <c r="H115412" s="12"/>
      <c r="I115412" s="12"/>
      <c r="J115412" s="12"/>
      <c r="K115412" s="12"/>
      <c r="L115412" s="208"/>
      <c r="M115412" s="209"/>
      <c r="N115412" s="209"/>
      <c r="O115412" s="209"/>
    </row>
    <row r="115413" spans="1:15" s="210" customFormat="1" x14ac:dyDescent="0.3">
      <c r="A115413" s="12"/>
      <c r="B115413" s="15"/>
      <c r="C115413" s="15"/>
      <c r="D115413" s="12"/>
      <c r="E115413" s="12"/>
      <c r="F115413" s="13"/>
      <c r="G115413" s="12"/>
      <c r="H115413" s="12"/>
      <c r="I115413" s="12"/>
      <c r="J115413" s="12"/>
      <c r="K115413" s="12"/>
      <c r="L115413" s="208"/>
      <c r="M115413" s="209"/>
      <c r="N115413" s="209"/>
      <c r="O115413" s="209"/>
    </row>
    <row r="115414" spans="1:15" s="210" customFormat="1" x14ac:dyDescent="0.3">
      <c r="A115414" s="12"/>
      <c r="B115414" s="15"/>
      <c r="C115414" s="15"/>
      <c r="D115414" s="12"/>
      <c r="E115414" s="12"/>
      <c r="F115414" s="13"/>
      <c r="G115414" s="12"/>
      <c r="H115414" s="12"/>
      <c r="I115414" s="12"/>
      <c r="J115414" s="12"/>
      <c r="K115414" s="12"/>
      <c r="L115414" s="208"/>
      <c r="M115414" s="209"/>
      <c r="N115414" s="209"/>
      <c r="O115414" s="209"/>
    </row>
    <row r="115415" spans="1:15" s="210" customFormat="1" x14ac:dyDescent="0.3">
      <c r="A115415" s="12"/>
      <c r="B115415" s="15"/>
      <c r="C115415" s="15"/>
      <c r="D115415" s="12"/>
      <c r="E115415" s="12"/>
      <c r="F115415" s="13"/>
      <c r="G115415" s="12"/>
      <c r="H115415" s="12"/>
      <c r="I115415" s="12"/>
      <c r="J115415" s="12"/>
      <c r="K115415" s="12"/>
      <c r="L115415" s="208"/>
      <c r="M115415" s="209"/>
      <c r="N115415" s="209"/>
      <c r="O115415" s="209"/>
    </row>
    <row r="115416" spans="1:15" s="210" customFormat="1" x14ac:dyDescent="0.3">
      <c r="A115416" s="12"/>
      <c r="B115416" s="15"/>
      <c r="C115416" s="15"/>
      <c r="D115416" s="12"/>
      <c r="E115416" s="12"/>
      <c r="F115416" s="13"/>
      <c r="G115416" s="12"/>
      <c r="H115416" s="12"/>
      <c r="I115416" s="12"/>
      <c r="J115416" s="12"/>
      <c r="K115416" s="12"/>
      <c r="L115416" s="208"/>
      <c r="M115416" s="209"/>
      <c r="N115416" s="209"/>
      <c r="O115416" s="209"/>
    </row>
    <row r="115417" spans="1:15" s="210" customFormat="1" x14ac:dyDescent="0.3">
      <c r="A115417" s="12"/>
      <c r="B115417" s="15"/>
      <c r="C115417" s="15"/>
      <c r="D115417" s="12"/>
      <c r="E115417" s="12"/>
      <c r="F115417" s="13"/>
      <c r="G115417" s="12"/>
      <c r="H115417" s="12"/>
      <c r="I115417" s="12"/>
      <c r="J115417" s="12"/>
      <c r="K115417" s="12"/>
      <c r="L115417" s="208"/>
      <c r="M115417" s="209"/>
      <c r="N115417" s="209"/>
      <c r="O115417" s="209"/>
    </row>
    <row r="115418" spans="1:15" s="210" customFormat="1" x14ac:dyDescent="0.3">
      <c r="A115418" s="12"/>
      <c r="B115418" s="15"/>
      <c r="C115418" s="15"/>
      <c r="D115418" s="12"/>
      <c r="E115418" s="12"/>
      <c r="F115418" s="13"/>
      <c r="G115418" s="12"/>
      <c r="H115418" s="12"/>
      <c r="I115418" s="12"/>
      <c r="J115418" s="12"/>
      <c r="K115418" s="12"/>
      <c r="L115418" s="208"/>
      <c r="M115418" s="209"/>
      <c r="N115418" s="209"/>
      <c r="O115418" s="209"/>
    </row>
    <row r="115419" spans="1:15" s="210" customFormat="1" x14ac:dyDescent="0.3">
      <c r="A115419" s="12"/>
      <c r="B115419" s="15"/>
      <c r="C115419" s="15"/>
      <c r="D115419" s="12"/>
      <c r="E115419" s="12"/>
      <c r="F115419" s="13"/>
      <c r="G115419" s="12"/>
      <c r="H115419" s="12"/>
      <c r="I115419" s="12"/>
      <c r="J115419" s="12"/>
      <c r="K115419" s="12"/>
      <c r="L115419" s="208"/>
      <c r="M115419" s="209"/>
      <c r="N115419" s="209"/>
      <c r="O115419" s="209"/>
    </row>
    <row r="115420" spans="1:15" s="210" customFormat="1" x14ac:dyDescent="0.3">
      <c r="A115420" s="12"/>
      <c r="B115420" s="15"/>
      <c r="C115420" s="15"/>
      <c r="D115420" s="12"/>
      <c r="E115420" s="12"/>
      <c r="F115420" s="13"/>
      <c r="G115420" s="12"/>
      <c r="H115420" s="12"/>
      <c r="I115420" s="12"/>
      <c r="J115420" s="12"/>
      <c r="K115420" s="12"/>
      <c r="L115420" s="208"/>
      <c r="M115420" s="209"/>
      <c r="N115420" s="209"/>
      <c r="O115420" s="209"/>
    </row>
    <row r="115421" spans="1:15" s="210" customFormat="1" x14ac:dyDescent="0.3">
      <c r="A115421" s="12"/>
      <c r="B115421" s="15"/>
      <c r="C115421" s="15"/>
      <c r="D115421" s="12"/>
      <c r="E115421" s="12"/>
      <c r="F115421" s="13"/>
      <c r="G115421" s="12"/>
      <c r="H115421" s="12"/>
      <c r="I115421" s="12"/>
      <c r="J115421" s="12"/>
      <c r="K115421" s="12"/>
      <c r="L115421" s="208"/>
      <c r="M115421" s="209"/>
      <c r="N115421" s="209"/>
      <c r="O115421" s="209"/>
    </row>
    <row r="115422" spans="1:15" s="210" customFormat="1" x14ac:dyDescent="0.3">
      <c r="A115422" s="12"/>
      <c r="B115422" s="15"/>
      <c r="C115422" s="15"/>
      <c r="D115422" s="12"/>
      <c r="E115422" s="12"/>
      <c r="F115422" s="13"/>
      <c r="G115422" s="12"/>
      <c r="H115422" s="12"/>
      <c r="I115422" s="12"/>
      <c r="J115422" s="12"/>
      <c r="K115422" s="12"/>
      <c r="L115422" s="208"/>
      <c r="M115422" s="209"/>
      <c r="N115422" s="209"/>
      <c r="O115422" s="209"/>
    </row>
    <row r="115423" spans="1:15" s="210" customFormat="1" x14ac:dyDescent="0.3">
      <c r="A115423" s="12"/>
      <c r="B115423" s="15"/>
      <c r="C115423" s="15"/>
      <c r="D115423" s="12"/>
      <c r="E115423" s="12"/>
      <c r="F115423" s="13"/>
      <c r="G115423" s="12"/>
      <c r="H115423" s="12"/>
      <c r="I115423" s="12"/>
      <c r="J115423" s="12"/>
      <c r="K115423" s="12"/>
      <c r="L115423" s="208"/>
      <c r="M115423" s="209"/>
      <c r="N115423" s="209"/>
      <c r="O115423" s="209"/>
    </row>
    <row r="115424" spans="1:15" s="210" customFormat="1" x14ac:dyDescent="0.3">
      <c r="A115424" s="12"/>
      <c r="B115424" s="15"/>
      <c r="C115424" s="15"/>
      <c r="D115424" s="12"/>
      <c r="E115424" s="12"/>
      <c r="F115424" s="13"/>
      <c r="G115424" s="12"/>
      <c r="H115424" s="12"/>
      <c r="I115424" s="12"/>
      <c r="J115424" s="12"/>
      <c r="K115424" s="12"/>
      <c r="L115424" s="208"/>
      <c r="M115424" s="209"/>
      <c r="N115424" s="209"/>
      <c r="O115424" s="209"/>
    </row>
    <row r="115425" spans="1:15" s="210" customFormat="1" x14ac:dyDescent="0.3">
      <c r="A115425" s="12"/>
      <c r="B115425" s="15"/>
      <c r="C115425" s="15"/>
      <c r="D115425" s="12"/>
      <c r="E115425" s="12"/>
      <c r="F115425" s="13"/>
      <c r="G115425" s="12"/>
      <c r="H115425" s="12"/>
      <c r="I115425" s="12"/>
      <c r="J115425" s="12"/>
      <c r="K115425" s="12"/>
      <c r="L115425" s="208"/>
      <c r="M115425" s="209"/>
      <c r="N115425" s="209"/>
      <c r="O115425" s="209"/>
    </row>
    <row r="115426" spans="1:15" s="210" customFormat="1" x14ac:dyDescent="0.3">
      <c r="A115426" s="12"/>
      <c r="B115426" s="15"/>
      <c r="C115426" s="15"/>
      <c r="D115426" s="12"/>
      <c r="E115426" s="12"/>
      <c r="F115426" s="13"/>
      <c r="G115426" s="12"/>
      <c r="H115426" s="12"/>
      <c r="I115426" s="12"/>
      <c r="J115426" s="12"/>
      <c r="K115426" s="12"/>
      <c r="L115426" s="208"/>
      <c r="M115426" s="209"/>
      <c r="N115426" s="209"/>
      <c r="O115426" s="209"/>
    </row>
    <row r="115427" spans="1:15" s="210" customFormat="1" x14ac:dyDescent="0.3">
      <c r="A115427" s="12"/>
      <c r="B115427" s="15"/>
      <c r="C115427" s="15"/>
      <c r="D115427" s="12"/>
      <c r="E115427" s="12"/>
      <c r="F115427" s="13"/>
      <c r="G115427" s="12"/>
      <c r="H115427" s="12"/>
      <c r="I115427" s="12"/>
      <c r="J115427" s="12"/>
      <c r="K115427" s="12"/>
      <c r="L115427" s="208"/>
      <c r="M115427" s="209"/>
      <c r="N115427" s="209"/>
      <c r="O115427" s="209"/>
    </row>
    <row r="115428" spans="1:15" s="210" customFormat="1" x14ac:dyDescent="0.3">
      <c r="A115428" s="12"/>
      <c r="B115428" s="15"/>
      <c r="C115428" s="15"/>
      <c r="D115428" s="12"/>
      <c r="E115428" s="12"/>
      <c r="F115428" s="13"/>
      <c r="G115428" s="12"/>
      <c r="H115428" s="12"/>
      <c r="I115428" s="12"/>
      <c r="J115428" s="12"/>
      <c r="K115428" s="12"/>
      <c r="L115428" s="208"/>
      <c r="M115428" s="209"/>
      <c r="N115428" s="209"/>
      <c r="O115428" s="209"/>
    </row>
    <row r="115429" spans="1:15" s="210" customFormat="1" x14ac:dyDescent="0.3">
      <c r="A115429" s="12"/>
      <c r="B115429" s="15"/>
      <c r="C115429" s="15"/>
      <c r="D115429" s="12"/>
      <c r="E115429" s="12"/>
      <c r="F115429" s="13"/>
      <c r="G115429" s="12"/>
      <c r="H115429" s="12"/>
      <c r="I115429" s="12"/>
      <c r="J115429" s="12"/>
      <c r="K115429" s="12"/>
      <c r="L115429" s="208"/>
      <c r="M115429" s="209"/>
      <c r="N115429" s="209"/>
      <c r="O115429" s="209"/>
    </row>
    <row r="115430" spans="1:15" s="210" customFormat="1" x14ac:dyDescent="0.3">
      <c r="A115430" s="12"/>
      <c r="B115430" s="15"/>
      <c r="C115430" s="15"/>
      <c r="D115430" s="12"/>
      <c r="E115430" s="12"/>
      <c r="F115430" s="13"/>
      <c r="G115430" s="12"/>
      <c r="H115430" s="12"/>
      <c r="I115430" s="12"/>
      <c r="J115430" s="12"/>
      <c r="K115430" s="12"/>
      <c r="L115430" s="208"/>
      <c r="M115430" s="209"/>
      <c r="N115430" s="209"/>
      <c r="O115430" s="209"/>
    </row>
    <row r="115431" spans="1:15" s="210" customFormat="1" x14ac:dyDescent="0.3">
      <c r="A115431" s="12"/>
      <c r="B115431" s="15"/>
      <c r="C115431" s="15"/>
      <c r="D115431" s="12"/>
      <c r="E115431" s="12"/>
      <c r="F115431" s="13"/>
      <c r="G115431" s="12"/>
      <c r="H115431" s="12"/>
      <c r="I115431" s="12"/>
      <c r="J115431" s="12"/>
      <c r="K115431" s="12"/>
      <c r="L115431" s="208"/>
      <c r="M115431" s="209"/>
      <c r="N115431" s="209"/>
      <c r="O115431" s="209"/>
    </row>
    <row r="115432" spans="1:15" s="210" customFormat="1" x14ac:dyDescent="0.3">
      <c r="A115432" s="12"/>
      <c r="B115432" s="15"/>
      <c r="C115432" s="15"/>
      <c r="D115432" s="12"/>
      <c r="E115432" s="12"/>
      <c r="F115432" s="13"/>
      <c r="G115432" s="12"/>
      <c r="H115432" s="12"/>
      <c r="I115432" s="12"/>
      <c r="J115432" s="12"/>
      <c r="K115432" s="12"/>
      <c r="L115432" s="208"/>
      <c r="M115432" s="209"/>
      <c r="N115432" s="209"/>
      <c r="O115432" s="209"/>
    </row>
    <row r="115433" spans="1:15" s="210" customFormat="1" x14ac:dyDescent="0.3">
      <c r="A115433" s="12"/>
      <c r="B115433" s="15"/>
      <c r="C115433" s="15"/>
      <c r="D115433" s="12"/>
      <c r="E115433" s="12"/>
      <c r="F115433" s="13"/>
      <c r="G115433" s="12"/>
      <c r="H115433" s="12"/>
      <c r="I115433" s="12"/>
      <c r="J115433" s="12"/>
      <c r="K115433" s="12"/>
      <c r="L115433" s="208"/>
      <c r="M115433" s="209"/>
      <c r="N115433" s="209"/>
      <c r="O115433" s="209"/>
    </row>
    <row r="115434" spans="1:15" s="210" customFormat="1" x14ac:dyDescent="0.3">
      <c r="A115434" s="12"/>
      <c r="B115434" s="15"/>
      <c r="C115434" s="15"/>
      <c r="D115434" s="12"/>
      <c r="E115434" s="12"/>
      <c r="F115434" s="13"/>
      <c r="G115434" s="12"/>
      <c r="H115434" s="12"/>
      <c r="I115434" s="12"/>
      <c r="J115434" s="12"/>
      <c r="K115434" s="12"/>
      <c r="L115434" s="208"/>
      <c r="M115434" s="209"/>
      <c r="N115434" s="209"/>
      <c r="O115434" s="209"/>
    </row>
    <row r="115435" spans="1:15" s="210" customFormat="1" x14ac:dyDescent="0.3">
      <c r="A115435" s="12"/>
      <c r="B115435" s="15"/>
      <c r="C115435" s="15"/>
      <c r="D115435" s="12"/>
      <c r="E115435" s="12"/>
      <c r="F115435" s="13"/>
      <c r="G115435" s="12"/>
      <c r="H115435" s="12"/>
      <c r="I115435" s="12"/>
      <c r="J115435" s="12"/>
      <c r="K115435" s="12"/>
      <c r="L115435" s="208"/>
      <c r="M115435" s="209"/>
      <c r="N115435" s="209"/>
      <c r="O115435" s="209"/>
    </row>
    <row r="115436" spans="1:15" s="210" customFormat="1" x14ac:dyDescent="0.3">
      <c r="A115436" s="12"/>
      <c r="B115436" s="15"/>
      <c r="C115436" s="15"/>
      <c r="D115436" s="12"/>
      <c r="E115436" s="12"/>
      <c r="F115436" s="13"/>
      <c r="G115436" s="12"/>
      <c r="H115436" s="12"/>
      <c r="I115436" s="12"/>
      <c r="J115436" s="12"/>
      <c r="K115436" s="12"/>
      <c r="L115436" s="208"/>
      <c r="M115436" s="209"/>
      <c r="N115436" s="209"/>
      <c r="O115436" s="209"/>
    </row>
    <row r="115437" spans="1:15" s="210" customFormat="1" x14ac:dyDescent="0.3">
      <c r="A115437" s="12"/>
      <c r="B115437" s="15"/>
      <c r="C115437" s="15"/>
      <c r="D115437" s="12"/>
      <c r="E115437" s="12"/>
      <c r="F115437" s="13"/>
      <c r="G115437" s="12"/>
      <c r="H115437" s="12"/>
      <c r="I115437" s="12"/>
      <c r="J115437" s="12"/>
      <c r="K115437" s="12"/>
      <c r="L115437" s="208"/>
      <c r="M115437" s="209"/>
      <c r="N115437" s="209"/>
      <c r="O115437" s="209"/>
    </row>
    <row r="115438" spans="1:15" s="210" customFormat="1" x14ac:dyDescent="0.3">
      <c r="A115438" s="12"/>
      <c r="B115438" s="15"/>
      <c r="C115438" s="15"/>
      <c r="D115438" s="12"/>
      <c r="E115438" s="12"/>
      <c r="F115438" s="13"/>
      <c r="G115438" s="12"/>
      <c r="H115438" s="12"/>
      <c r="I115438" s="12"/>
      <c r="J115438" s="12"/>
      <c r="K115438" s="12"/>
      <c r="L115438" s="208"/>
      <c r="M115438" s="209"/>
      <c r="N115438" s="209"/>
      <c r="O115438" s="209"/>
    </row>
    <row r="115439" spans="1:15" s="210" customFormat="1" x14ac:dyDescent="0.3">
      <c r="A115439" s="12"/>
      <c r="B115439" s="15"/>
      <c r="C115439" s="15"/>
      <c r="D115439" s="12"/>
      <c r="E115439" s="12"/>
      <c r="F115439" s="13"/>
      <c r="G115439" s="12"/>
      <c r="H115439" s="12"/>
      <c r="I115439" s="12"/>
      <c r="J115439" s="12"/>
      <c r="K115439" s="12"/>
      <c r="L115439" s="208"/>
      <c r="M115439" s="209"/>
      <c r="N115439" s="209"/>
      <c r="O115439" s="209"/>
    </row>
    <row r="115440" spans="1:15" s="210" customFormat="1" x14ac:dyDescent="0.3">
      <c r="A115440" s="12"/>
      <c r="B115440" s="15"/>
      <c r="C115440" s="15"/>
      <c r="D115440" s="12"/>
      <c r="E115440" s="12"/>
      <c r="F115440" s="13"/>
      <c r="G115440" s="12"/>
      <c r="H115440" s="12"/>
      <c r="I115440" s="12"/>
      <c r="J115440" s="12"/>
      <c r="K115440" s="12"/>
      <c r="L115440" s="208"/>
      <c r="M115440" s="209"/>
      <c r="N115440" s="209"/>
      <c r="O115440" s="209"/>
    </row>
    <row r="115441" spans="1:15" s="210" customFormat="1" x14ac:dyDescent="0.3">
      <c r="A115441" s="12"/>
      <c r="B115441" s="15"/>
      <c r="C115441" s="15"/>
      <c r="D115441" s="12"/>
      <c r="E115441" s="12"/>
      <c r="F115441" s="13"/>
      <c r="G115441" s="12"/>
      <c r="H115441" s="12"/>
      <c r="I115441" s="12"/>
      <c r="J115441" s="12"/>
      <c r="K115441" s="12"/>
      <c r="L115441" s="208"/>
      <c r="M115441" s="209"/>
      <c r="N115441" s="209"/>
      <c r="O115441" s="209"/>
    </row>
    <row r="115442" spans="1:15" s="210" customFormat="1" x14ac:dyDescent="0.3">
      <c r="A115442" s="12"/>
      <c r="B115442" s="15"/>
      <c r="C115442" s="15"/>
      <c r="D115442" s="12"/>
      <c r="E115442" s="12"/>
      <c r="F115442" s="13"/>
      <c r="G115442" s="12"/>
      <c r="H115442" s="12"/>
      <c r="I115442" s="12"/>
      <c r="J115442" s="12"/>
      <c r="K115442" s="12"/>
      <c r="L115442" s="208"/>
      <c r="M115442" s="209"/>
      <c r="N115442" s="209"/>
      <c r="O115442" s="209"/>
    </row>
    <row r="115443" spans="1:15" s="210" customFormat="1" x14ac:dyDescent="0.3">
      <c r="A115443" s="12"/>
      <c r="B115443" s="15"/>
      <c r="C115443" s="15"/>
      <c r="D115443" s="12"/>
      <c r="E115443" s="12"/>
      <c r="F115443" s="13"/>
      <c r="G115443" s="12"/>
      <c r="H115443" s="12"/>
      <c r="I115443" s="12"/>
      <c r="J115443" s="12"/>
      <c r="K115443" s="12"/>
      <c r="L115443" s="208"/>
      <c r="M115443" s="209"/>
      <c r="N115443" s="209"/>
      <c r="O115443" s="209"/>
    </row>
    <row r="115444" spans="1:15" s="210" customFormat="1" x14ac:dyDescent="0.3">
      <c r="A115444" s="12"/>
      <c r="B115444" s="15"/>
      <c r="C115444" s="15"/>
      <c r="D115444" s="12"/>
      <c r="E115444" s="12"/>
      <c r="F115444" s="13"/>
      <c r="G115444" s="12"/>
      <c r="H115444" s="12"/>
      <c r="I115444" s="12"/>
      <c r="J115444" s="12"/>
      <c r="K115444" s="12"/>
      <c r="L115444" s="208"/>
      <c r="M115444" s="209"/>
      <c r="N115444" s="209"/>
      <c r="O115444" s="209"/>
    </row>
    <row r="115445" spans="1:15" s="210" customFormat="1" x14ac:dyDescent="0.3">
      <c r="A115445" s="12"/>
      <c r="B115445" s="15"/>
      <c r="C115445" s="15"/>
      <c r="D115445" s="12"/>
      <c r="E115445" s="12"/>
      <c r="F115445" s="13"/>
      <c r="G115445" s="12"/>
      <c r="H115445" s="12"/>
      <c r="I115445" s="12"/>
      <c r="J115445" s="12"/>
      <c r="K115445" s="12"/>
      <c r="L115445" s="208"/>
      <c r="M115445" s="209"/>
      <c r="N115445" s="209"/>
      <c r="O115445" s="209"/>
    </row>
    <row r="115446" spans="1:15" s="210" customFormat="1" x14ac:dyDescent="0.3">
      <c r="A115446" s="12"/>
      <c r="B115446" s="15"/>
      <c r="C115446" s="15"/>
      <c r="D115446" s="12"/>
      <c r="E115446" s="12"/>
      <c r="F115446" s="13"/>
      <c r="G115446" s="12"/>
      <c r="H115446" s="12"/>
      <c r="I115446" s="12"/>
      <c r="J115446" s="12"/>
      <c r="K115446" s="12"/>
      <c r="L115446" s="208"/>
      <c r="M115446" s="209"/>
      <c r="N115446" s="209"/>
      <c r="O115446" s="209"/>
    </row>
    <row r="115447" spans="1:15" s="210" customFormat="1" x14ac:dyDescent="0.3">
      <c r="A115447" s="12"/>
      <c r="B115447" s="15"/>
      <c r="C115447" s="15"/>
      <c r="D115447" s="12"/>
      <c r="E115447" s="12"/>
      <c r="F115447" s="13"/>
      <c r="G115447" s="12"/>
      <c r="H115447" s="12"/>
      <c r="I115447" s="12"/>
      <c r="J115447" s="12"/>
      <c r="K115447" s="12"/>
      <c r="L115447" s="208"/>
      <c r="M115447" s="209"/>
      <c r="N115447" s="209"/>
      <c r="O115447" s="209"/>
    </row>
    <row r="115448" spans="1:15" s="210" customFormat="1" x14ac:dyDescent="0.3">
      <c r="A115448" s="12"/>
      <c r="B115448" s="15"/>
      <c r="C115448" s="15"/>
      <c r="D115448" s="12"/>
      <c r="E115448" s="12"/>
      <c r="F115448" s="13"/>
      <c r="G115448" s="12"/>
      <c r="H115448" s="12"/>
      <c r="I115448" s="12"/>
      <c r="J115448" s="12"/>
      <c r="K115448" s="12"/>
      <c r="L115448" s="208"/>
      <c r="M115448" s="209"/>
      <c r="N115448" s="209"/>
      <c r="O115448" s="209"/>
    </row>
    <row r="115449" spans="1:15" s="210" customFormat="1" x14ac:dyDescent="0.3">
      <c r="A115449" s="12"/>
      <c r="B115449" s="15"/>
      <c r="C115449" s="15"/>
      <c r="D115449" s="12"/>
      <c r="E115449" s="12"/>
      <c r="F115449" s="13"/>
      <c r="G115449" s="12"/>
      <c r="H115449" s="12"/>
      <c r="I115449" s="12"/>
      <c r="J115449" s="12"/>
      <c r="K115449" s="12"/>
      <c r="L115449" s="208"/>
      <c r="M115449" s="209"/>
      <c r="N115449" s="209"/>
      <c r="O115449" s="209"/>
    </row>
    <row r="115450" spans="1:15" s="210" customFormat="1" x14ac:dyDescent="0.3">
      <c r="A115450" s="12"/>
      <c r="B115450" s="15"/>
      <c r="C115450" s="15"/>
      <c r="D115450" s="12"/>
      <c r="E115450" s="12"/>
      <c r="F115450" s="13"/>
      <c r="G115450" s="12"/>
      <c r="H115450" s="12"/>
      <c r="I115450" s="12"/>
      <c r="J115450" s="12"/>
      <c r="K115450" s="12"/>
      <c r="L115450" s="208"/>
      <c r="M115450" s="209"/>
      <c r="N115450" s="209"/>
      <c r="O115450" s="209"/>
    </row>
    <row r="115451" spans="1:15" s="210" customFormat="1" x14ac:dyDescent="0.3">
      <c r="A115451" s="12"/>
      <c r="B115451" s="15"/>
      <c r="C115451" s="15"/>
      <c r="D115451" s="12"/>
      <c r="E115451" s="12"/>
      <c r="F115451" s="13"/>
      <c r="G115451" s="12"/>
      <c r="H115451" s="12"/>
      <c r="I115451" s="12"/>
      <c r="J115451" s="12"/>
      <c r="K115451" s="12"/>
      <c r="L115451" s="208"/>
      <c r="M115451" s="209"/>
      <c r="N115451" s="209"/>
      <c r="O115451" s="209"/>
    </row>
    <row r="115452" spans="1:15" s="210" customFormat="1" x14ac:dyDescent="0.3">
      <c r="A115452" s="12"/>
      <c r="B115452" s="15"/>
      <c r="C115452" s="15"/>
      <c r="D115452" s="12"/>
      <c r="E115452" s="12"/>
      <c r="F115452" s="13"/>
      <c r="G115452" s="12"/>
      <c r="H115452" s="12"/>
      <c r="I115452" s="12"/>
      <c r="J115452" s="12"/>
      <c r="K115452" s="12"/>
      <c r="L115452" s="208"/>
      <c r="M115452" s="209"/>
      <c r="N115452" s="209"/>
      <c r="O115452" s="209"/>
    </row>
    <row r="115453" spans="1:15" s="210" customFormat="1" x14ac:dyDescent="0.3">
      <c r="A115453" s="12"/>
      <c r="B115453" s="15"/>
      <c r="C115453" s="15"/>
      <c r="D115453" s="12"/>
      <c r="E115453" s="12"/>
      <c r="F115453" s="13"/>
      <c r="G115453" s="12"/>
      <c r="H115453" s="12"/>
      <c r="I115453" s="12"/>
      <c r="J115453" s="12"/>
      <c r="K115453" s="12"/>
      <c r="L115453" s="208"/>
      <c r="M115453" s="209"/>
      <c r="N115453" s="209"/>
      <c r="O115453" s="209"/>
    </row>
    <row r="115454" spans="1:15" s="210" customFormat="1" x14ac:dyDescent="0.3">
      <c r="A115454" s="12"/>
      <c r="B115454" s="15"/>
      <c r="C115454" s="15"/>
      <c r="D115454" s="12"/>
      <c r="E115454" s="12"/>
      <c r="F115454" s="13"/>
      <c r="G115454" s="12"/>
      <c r="H115454" s="12"/>
      <c r="I115454" s="12"/>
      <c r="J115454" s="12"/>
      <c r="K115454" s="12"/>
      <c r="L115454" s="208"/>
      <c r="M115454" s="209"/>
      <c r="N115454" s="209"/>
      <c r="O115454" s="209"/>
    </row>
    <row r="115455" spans="1:15" s="210" customFormat="1" x14ac:dyDescent="0.3">
      <c r="A115455" s="12"/>
      <c r="B115455" s="15"/>
      <c r="C115455" s="15"/>
      <c r="D115455" s="12"/>
      <c r="E115455" s="12"/>
      <c r="F115455" s="13"/>
      <c r="G115455" s="12"/>
      <c r="H115455" s="12"/>
      <c r="I115455" s="12"/>
      <c r="J115455" s="12"/>
      <c r="K115455" s="12"/>
      <c r="L115455" s="208"/>
      <c r="M115455" s="209"/>
      <c r="N115455" s="209"/>
      <c r="O115455" s="209"/>
    </row>
    <row r="115456" spans="1:15" s="210" customFormat="1" x14ac:dyDescent="0.3">
      <c r="A115456" s="12"/>
      <c r="B115456" s="15"/>
      <c r="C115456" s="15"/>
      <c r="D115456" s="12"/>
      <c r="E115456" s="12"/>
      <c r="F115456" s="13"/>
      <c r="G115456" s="12"/>
      <c r="H115456" s="12"/>
      <c r="I115456" s="12"/>
      <c r="J115456" s="12"/>
      <c r="K115456" s="12"/>
      <c r="L115456" s="208"/>
      <c r="M115456" s="209"/>
      <c r="N115456" s="209"/>
      <c r="O115456" s="209"/>
    </row>
    <row r="115457" spans="1:15" s="210" customFormat="1" x14ac:dyDescent="0.3">
      <c r="A115457" s="12"/>
      <c r="B115457" s="15"/>
      <c r="C115457" s="15"/>
      <c r="D115457" s="12"/>
      <c r="E115457" s="12"/>
      <c r="F115457" s="13"/>
      <c r="G115457" s="12"/>
      <c r="H115457" s="12"/>
      <c r="I115457" s="12"/>
      <c r="J115457" s="12"/>
      <c r="K115457" s="12"/>
      <c r="L115457" s="208"/>
      <c r="M115457" s="209"/>
      <c r="N115457" s="209"/>
      <c r="O115457" s="209"/>
    </row>
    <row r="115458" spans="1:15" s="210" customFormat="1" x14ac:dyDescent="0.3">
      <c r="A115458" s="12"/>
      <c r="B115458" s="15"/>
      <c r="C115458" s="15"/>
      <c r="D115458" s="12"/>
      <c r="E115458" s="12"/>
      <c r="F115458" s="13"/>
      <c r="G115458" s="12"/>
      <c r="H115458" s="12"/>
      <c r="I115458" s="12"/>
      <c r="J115458" s="12"/>
      <c r="K115458" s="12"/>
      <c r="L115458" s="208"/>
      <c r="M115458" s="209"/>
      <c r="N115458" s="209"/>
      <c r="O115458" s="209"/>
    </row>
    <row r="115459" spans="1:15" s="210" customFormat="1" x14ac:dyDescent="0.3">
      <c r="A115459" s="12"/>
      <c r="B115459" s="15"/>
      <c r="C115459" s="15"/>
      <c r="D115459" s="12"/>
      <c r="E115459" s="12"/>
      <c r="F115459" s="13"/>
      <c r="G115459" s="12"/>
      <c r="H115459" s="12"/>
      <c r="I115459" s="12"/>
      <c r="J115459" s="12"/>
      <c r="K115459" s="12"/>
      <c r="L115459" s="208"/>
      <c r="M115459" s="209"/>
      <c r="N115459" s="209"/>
      <c r="O115459" s="209"/>
    </row>
    <row r="115460" spans="1:15" s="210" customFormat="1" x14ac:dyDescent="0.3">
      <c r="A115460" s="12"/>
      <c r="B115460" s="15"/>
      <c r="C115460" s="15"/>
      <c r="D115460" s="12"/>
      <c r="E115460" s="12"/>
      <c r="F115460" s="13"/>
      <c r="G115460" s="12"/>
      <c r="H115460" s="12"/>
      <c r="I115460" s="12"/>
      <c r="J115460" s="12"/>
      <c r="K115460" s="12"/>
      <c r="L115460" s="208"/>
      <c r="M115460" s="209"/>
      <c r="N115460" s="209"/>
      <c r="O115460" s="209"/>
    </row>
    <row r="115461" spans="1:15" s="210" customFormat="1" x14ac:dyDescent="0.3">
      <c r="A115461" s="12"/>
      <c r="B115461" s="15"/>
      <c r="C115461" s="15"/>
      <c r="D115461" s="12"/>
      <c r="E115461" s="12"/>
      <c r="F115461" s="13"/>
      <c r="G115461" s="12"/>
      <c r="H115461" s="12"/>
      <c r="I115461" s="12"/>
      <c r="J115461" s="12"/>
      <c r="K115461" s="12"/>
      <c r="L115461" s="208"/>
      <c r="M115461" s="209"/>
      <c r="N115461" s="209"/>
      <c r="O115461" s="209"/>
    </row>
    <row r="115462" spans="1:15" s="210" customFormat="1" x14ac:dyDescent="0.3">
      <c r="A115462" s="12"/>
      <c r="B115462" s="15"/>
      <c r="C115462" s="15"/>
      <c r="D115462" s="12"/>
      <c r="E115462" s="12"/>
      <c r="F115462" s="13"/>
      <c r="G115462" s="12"/>
      <c r="H115462" s="12"/>
      <c r="I115462" s="12"/>
      <c r="J115462" s="12"/>
      <c r="K115462" s="12"/>
      <c r="L115462" s="208"/>
      <c r="M115462" s="209"/>
      <c r="N115462" s="209"/>
      <c r="O115462" s="209"/>
    </row>
    <row r="115463" spans="1:15" s="210" customFormat="1" x14ac:dyDescent="0.3">
      <c r="A115463" s="12"/>
      <c r="B115463" s="15"/>
      <c r="C115463" s="15"/>
      <c r="D115463" s="12"/>
      <c r="E115463" s="12"/>
      <c r="F115463" s="13"/>
      <c r="G115463" s="12"/>
      <c r="H115463" s="12"/>
      <c r="I115463" s="12"/>
      <c r="J115463" s="12"/>
      <c r="K115463" s="12"/>
      <c r="L115463" s="208"/>
      <c r="M115463" s="209"/>
      <c r="N115463" s="209"/>
      <c r="O115463" s="209"/>
    </row>
    <row r="115464" spans="1:15" s="210" customFormat="1" x14ac:dyDescent="0.3">
      <c r="A115464" s="12"/>
      <c r="B115464" s="15"/>
      <c r="C115464" s="15"/>
      <c r="D115464" s="12"/>
      <c r="E115464" s="12"/>
      <c r="F115464" s="13"/>
      <c r="G115464" s="12"/>
      <c r="H115464" s="12"/>
      <c r="I115464" s="12"/>
      <c r="J115464" s="12"/>
      <c r="K115464" s="12"/>
      <c r="L115464" s="208"/>
      <c r="M115464" s="209"/>
      <c r="N115464" s="209"/>
      <c r="O115464" s="209"/>
    </row>
    <row r="115465" spans="1:15" s="210" customFormat="1" x14ac:dyDescent="0.3">
      <c r="A115465" s="12"/>
      <c r="B115465" s="15"/>
      <c r="C115465" s="15"/>
      <c r="D115465" s="12"/>
      <c r="E115465" s="12"/>
      <c r="F115465" s="13"/>
      <c r="G115465" s="12"/>
      <c r="H115465" s="12"/>
      <c r="I115465" s="12"/>
      <c r="J115465" s="12"/>
      <c r="K115465" s="12"/>
      <c r="L115465" s="208"/>
      <c r="M115465" s="209"/>
      <c r="N115465" s="209"/>
      <c r="O115465" s="209"/>
    </row>
    <row r="115466" spans="1:15" s="210" customFormat="1" x14ac:dyDescent="0.3">
      <c r="A115466" s="12"/>
      <c r="B115466" s="15"/>
      <c r="C115466" s="15"/>
      <c r="D115466" s="12"/>
      <c r="E115466" s="12"/>
      <c r="F115466" s="13"/>
      <c r="G115466" s="12"/>
      <c r="H115466" s="12"/>
      <c r="I115466" s="12"/>
      <c r="J115466" s="12"/>
      <c r="K115466" s="12"/>
      <c r="L115466" s="208"/>
      <c r="M115466" s="209"/>
      <c r="N115466" s="209"/>
      <c r="O115466" s="209"/>
    </row>
    <row r="115467" spans="1:15" s="210" customFormat="1" x14ac:dyDescent="0.3">
      <c r="A115467" s="12"/>
      <c r="B115467" s="15"/>
      <c r="C115467" s="15"/>
      <c r="D115467" s="12"/>
      <c r="E115467" s="12"/>
      <c r="F115467" s="13"/>
      <c r="G115467" s="12"/>
      <c r="H115467" s="12"/>
      <c r="I115467" s="12"/>
      <c r="J115467" s="12"/>
      <c r="K115467" s="12"/>
      <c r="L115467" s="208"/>
      <c r="M115467" s="209"/>
      <c r="N115467" s="209"/>
      <c r="O115467" s="209"/>
    </row>
    <row r="115468" spans="1:15" s="210" customFormat="1" x14ac:dyDescent="0.3">
      <c r="A115468" s="12"/>
      <c r="B115468" s="15"/>
      <c r="C115468" s="15"/>
      <c r="D115468" s="12"/>
      <c r="E115468" s="12"/>
      <c r="F115468" s="13"/>
      <c r="G115468" s="12"/>
      <c r="H115468" s="12"/>
      <c r="I115468" s="12"/>
      <c r="J115468" s="12"/>
      <c r="K115468" s="12"/>
      <c r="L115468" s="208"/>
      <c r="M115468" s="209"/>
      <c r="N115468" s="209"/>
      <c r="O115468" s="209"/>
    </row>
    <row r="115469" spans="1:15" s="210" customFormat="1" x14ac:dyDescent="0.3">
      <c r="A115469" s="12"/>
      <c r="B115469" s="15"/>
      <c r="C115469" s="15"/>
      <c r="D115469" s="12"/>
      <c r="E115469" s="12"/>
      <c r="F115469" s="13"/>
      <c r="G115469" s="12"/>
      <c r="H115469" s="12"/>
      <c r="I115469" s="12"/>
      <c r="J115469" s="12"/>
      <c r="K115469" s="12"/>
      <c r="L115469" s="208"/>
      <c r="M115469" s="209"/>
      <c r="N115469" s="209"/>
      <c r="O115469" s="209"/>
    </row>
    <row r="115470" spans="1:15" s="210" customFormat="1" x14ac:dyDescent="0.3">
      <c r="A115470" s="12"/>
      <c r="B115470" s="15"/>
      <c r="C115470" s="15"/>
      <c r="D115470" s="12"/>
      <c r="E115470" s="12"/>
      <c r="F115470" s="13"/>
      <c r="G115470" s="12"/>
      <c r="H115470" s="12"/>
      <c r="I115470" s="12"/>
      <c r="J115470" s="12"/>
      <c r="K115470" s="12"/>
      <c r="L115470" s="208"/>
      <c r="M115470" s="209"/>
      <c r="N115470" s="209"/>
      <c r="O115470" s="209"/>
    </row>
    <row r="115471" spans="1:15" s="210" customFormat="1" x14ac:dyDescent="0.3">
      <c r="A115471" s="12"/>
      <c r="B115471" s="15"/>
      <c r="C115471" s="15"/>
      <c r="D115471" s="12"/>
      <c r="E115471" s="12"/>
      <c r="F115471" s="13"/>
      <c r="G115471" s="12"/>
      <c r="H115471" s="12"/>
      <c r="I115471" s="12"/>
      <c r="J115471" s="12"/>
      <c r="K115471" s="12"/>
      <c r="L115471" s="208"/>
      <c r="M115471" s="209"/>
      <c r="N115471" s="209"/>
      <c r="O115471" s="209"/>
    </row>
    <row r="115472" spans="1:15" s="210" customFormat="1" x14ac:dyDescent="0.3">
      <c r="A115472" s="12"/>
      <c r="B115472" s="15"/>
      <c r="C115472" s="15"/>
      <c r="D115472" s="12"/>
      <c r="E115472" s="12"/>
      <c r="F115472" s="13"/>
      <c r="G115472" s="12"/>
      <c r="H115472" s="12"/>
      <c r="I115472" s="12"/>
      <c r="J115472" s="12"/>
      <c r="K115472" s="12"/>
      <c r="L115472" s="208"/>
      <c r="M115472" s="209"/>
      <c r="N115472" s="209"/>
      <c r="O115472" s="209"/>
    </row>
    <row r="115473" spans="1:15" s="210" customFormat="1" x14ac:dyDescent="0.3">
      <c r="A115473" s="12"/>
      <c r="B115473" s="15"/>
      <c r="C115473" s="15"/>
      <c r="D115473" s="12"/>
      <c r="E115473" s="12"/>
      <c r="F115473" s="13"/>
      <c r="G115473" s="12"/>
      <c r="H115473" s="12"/>
      <c r="I115473" s="12"/>
      <c r="J115473" s="12"/>
      <c r="K115473" s="12"/>
      <c r="L115473" s="208"/>
      <c r="M115473" s="209"/>
      <c r="N115473" s="209"/>
      <c r="O115473" s="209"/>
    </row>
    <row r="115474" spans="1:15" s="210" customFormat="1" x14ac:dyDescent="0.3">
      <c r="A115474" s="12"/>
      <c r="B115474" s="15"/>
      <c r="C115474" s="15"/>
      <c r="D115474" s="12"/>
      <c r="E115474" s="12"/>
      <c r="F115474" s="13"/>
      <c r="G115474" s="12"/>
      <c r="H115474" s="12"/>
      <c r="I115474" s="12"/>
      <c r="J115474" s="12"/>
      <c r="K115474" s="12"/>
      <c r="L115474" s="208"/>
      <c r="M115474" s="209"/>
      <c r="N115474" s="209"/>
      <c r="O115474" s="209"/>
    </row>
    <row r="115475" spans="1:15" s="210" customFormat="1" x14ac:dyDescent="0.3">
      <c r="A115475" s="12"/>
      <c r="B115475" s="15"/>
      <c r="C115475" s="15"/>
      <c r="D115475" s="12"/>
      <c r="E115475" s="12"/>
      <c r="F115475" s="13"/>
      <c r="G115475" s="12"/>
      <c r="H115475" s="12"/>
      <c r="I115475" s="12"/>
      <c r="J115475" s="12"/>
      <c r="K115475" s="12"/>
      <c r="L115475" s="208"/>
      <c r="M115475" s="209"/>
      <c r="N115475" s="209"/>
      <c r="O115475" s="209"/>
    </row>
    <row r="115476" spans="1:15" s="210" customFormat="1" x14ac:dyDescent="0.3">
      <c r="A115476" s="12"/>
      <c r="B115476" s="15"/>
      <c r="C115476" s="15"/>
      <c r="D115476" s="12"/>
      <c r="E115476" s="12"/>
      <c r="F115476" s="13"/>
      <c r="G115476" s="12"/>
      <c r="H115476" s="12"/>
      <c r="I115476" s="12"/>
      <c r="J115476" s="12"/>
      <c r="K115476" s="12"/>
      <c r="L115476" s="208"/>
      <c r="M115476" s="209"/>
      <c r="N115476" s="209"/>
      <c r="O115476" s="209"/>
    </row>
    <row r="115477" spans="1:15" s="210" customFormat="1" x14ac:dyDescent="0.3">
      <c r="A115477" s="12"/>
      <c r="B115477" s="15"/>
      <c r="C115477" s="15"/>
      <c r="D115477" s="12"/>
      <c r="E115477" s="12"/>
      <c r="F115477" s="13"/>
      <c r="G115477" s="12"/>
      <c r="H115477" s="12"/>
      <c r="I115477" s="12"/>
      <c r="J115477" s="12"/>
      <c r="K115477" s="12"/>
      <c r="L115477" s="208"/>
      <c r="M115477" s="209"/>
      <c r="N115477" s="209"/>
      <c r="O115477" s="209"/>
    </row>
    <row r="115478" spans="1:15" s="210" customFormat="1" x14ac:dyDescent="0.3">
      <c r="A115478" s="12"/>
      <c r="B115478" s="15"/>
      <c r="C115478" s="15"/>
      <c r="D115478" s="12"/>
      <c r="E115478" s="12"/>
      <c r="F115478" s="13"/>
      <c r="G115478" s="12"/>
      <c r="H115478" s="12"/>
      <c r="I115478" s="12"/>
      <c r="J115478" s="12"/>
      <c r="K115478" s="12"/>
      <c r="L115478" s="208"/>
      <c r="M115478" s="209"/>
      <c r="N115478" s="209"/>
      <c r="O115478" s="209"/>
    </row>
    <row r="115479" spans="1:15" s="210" customFormat="1" x14ac:dyDescent="0.3">
      <c r="A115479" s="12"/>
      <c r="B115479" s="15"/>
      <c r="C115479" s="15"/>
      <c r="D115479" s="12"/>
      <c r="E115479" s="12"/>
      <c r="F115479" s="13"/>
      <c r="G115479" s="12"/>
      <c r="H115479" s="12"/>
      <c r="I115479" s="12"/>
      <c r="J115479" s="12"/>
      <c r="K115479" s="12"/>
      <c r="L115479" s="208"/>
      <c r="M115479" s="209"/>
      <c r="N115479" s="209"/>
      <c r="O115479" s="209"/>
    </row>
    <row r="115480" spans="1:15" s="210" customFormat="1" x14ac:dyDescent="0.3">
      <c r="A115480" s="12"/>
      <c r="B115480" s="15"/>
      <c r="C115480" s="15"/>
      <c r="D115480" s="12"/>
      <c r="E115480" s="12"/>
      <c r="F115480" s="13"/>
      <c r="G115480" s="12"/>
      <c r="H115480" s="12"/>
      <c r="I115480" s="12"/>
      <c r="J115480" s="12"/>
      <c r="K115480" s="12"/>
      <c r="L115480" s="208"/>
      <c r="M115480" s="209"/>
      <c r="N115480" s="209"/>
      <c r="O115480" s="209"/>
    </row>
    <row r="115481" spans="1:15" s="210" customFormat="1" x14ac:dyDescent="0.3">
      <c r="A115481" s="12"/>
      <c r="B115481" s="15"/>
      <c r="C115481" s="15"/>
      <c r="D115481" s="12"/>
      <c r="E115481" s="12"/>
      <c r="F115481" s="13"/>
      <c r="G115481" s="12"/>
      <c r="H115481" s="12"/>
      <c r="I115481" s="12"/>
      <c r="J115481" s="12"/>
      <c r="K115481" s="12"/>
      <c r="L115481" s="208"/>
      <c r="M115481" s="209"/>
      <c r="N115481" s="209"/>
      <c r="O115481" s="209"/>
    </row>
    <row r="115482" spans="1:15" s="210" customFormat="1" x14ac:dyDescent="0.3">
      <c r="A115482" s="12"/>
      <c r="B115482" s="15"/>
      <c r="C115482" s="15"/>
      <c r="D115482" s="12"/>
      <c r="E115482" s="12"/>
      <c r="F115482" s="13"/>
      <c r="G115482" s="12"/>
      <c r="H115482" s="12"/>
      <c r="I115482" s="12"/>
      <c r="J115482" s="12"/>
      <c r="K115482" s="12"/>
      <c r="L115482" s="208"/>
      <c r="M115482" s="209"/>
      <c r="N115482" s="209"/>
      <c r="O115482" s="209"/>
    </row>
    <row r="115483" spans="1:15" s="210" customFormat="1" x14ac:dyDescent="0.3">
      <c r="A115483" s="12"/>
      <c r="B115483" s="15"/>
      <c r="C115483" s="15"/>
      <c r="D115483" s="12"/>
      <c r="E115483" s="12"/>
      <c r="F115483" s="13"/>
      <c r="G115483" s="12"/>
      <c r="H115483" s="12"/>
      <c r="I115483" s="12"/>
      <c r="J115483" s="12"/>
      <c r="K115483" s="12"/>
      <c r="L115483" s="208"/>
      <c r="M115483" s="209"/>
      <c r="N115483" s="209"/>
      <c r="O115483" s="209"/>
    </row>
    <row r="115484" spans="1:15" s="210" customFormat="1" x14ac:dyDescent="0.3">
      <c r="A115484" s="12"/>
      <c r="B115484" s="15"/>
      <c r="C115484" s="15"/>
      <c r="D115484" s="12"/>
      <c r="E115484" s="12"/>
      <c r="F115484" s="13"/>
      <c r="G115484" s="12"/>
      <c r="H115484" s="12"/>
      <c r="I115484" s="12"/>
      <c r="J115484" s="12"/>
      <c r="K115484" s="12"/>
      <c r="L115484" s="208"/>
      <c r="M115484" s="209"/>
      <c r="N115484" s="209"/>
      <c r="O115484" s="209"/>
    </row>
    <row r="115485" spans="1:15" s="210" customFormat="1" x14ac:dyDescent="0.3">
      <c r="A115485" s="12"/>
      <c r="B115485" s="15"/>
      <c r="C115485" s="15"/>
      <c r="D115485" s="12"/>
      <c r="E115485" s="12"/>
      <c r="F115485" s="13"/>
      <c r="G115485" s="12"/>
      <c r="H115485" s="12"/>
      <c r="I115485" s="12"/>
      <c r="J115485" s="12"/>
      <c r="K115485" s="12"/>
      <c r="L115485" s="208"/>
      <c r="M115485" s="209"/>
      <c r="N115485" s="209"/>
      <c r="O115485" s="209"/>
    </row>
    <row r="115486" spans="1:15" s="210" customFormat="1" x14ac:dyDescent="0.3">
      <c r="A115486" s="12"/>
      <c r="B115486" s="15"/>
      <c r="C115486" s="15"/>
      <c r="D115486" s="12"/>
      <c r="E115486" s="12"/>
      <c r="F115486" s="13"/>
      <c r="G115486" s="12"/>
      <c r="H115486" s="12"/>
      <c r="I115486" s="12"/>
      <c r="J115486" s="12"/>
      <c r="K115486" s="12"/>
      <c r="L115486" s="208"/>
      <c r="M115486" s="209"/>
      <c r="N115486" s="209"/>
      <c r="O115486" s="209"/>
    </row>
    <row r="115487" spans="1:15" s="210" customFormat="1" x14ac:dyDescent="0.3">
      <c r="A115487" s="12"/>
      <c r="B115487" s="15"/>
      <c r="C115487" s="15"/>
      <c r="D115487" s="12"/>
      <c r="E115487" s="12"/>
      <c r="F115487" s="13"/>
      <c r="G115487" s="12"/>
      <c r="H115487" s="12"/>
      <c r="I115487" s="12"/>
      <c r="J115487" s="12"/>
      <c r="K115487" s="12"/>
      <c r="L115487" s="208"/>
      <c r="M115487" s="209"/>
      <c r="N115487" s="209"/>
      <c r="O115487" s="209"/>
    </row>
    <row r="115488" spans="1:15" s="210" customFormat="1" x14ac:dyDescent="0.3">
      <c r="A115488" s="12"/>
      <c r="B115488" s="15"/>
      <c r="C115488" s="15"/>
      <c r="D115488" s="12"/>
      <c r="E115488" s="12"/>
      <c r="F115488" s="13"/>
      <c r="G115488" s="12"/>
      <c r="H115488" s="12"/>
      <c r="I115488" s="12"/>
      <c r="J115488" s="12"/>
      <c r="K115488" s="12"/>
      <c r="L115488" s="208"/>
      <c r="M115488" s="209"/>
      <c r="N115488" s="209"/>
      <c r="O115488" s="209"/>
    </row>
    <row r="115489" spans="1:15" s="210" customFormat="1" x14ac:dyDescent="0.3">
      <c r="A115489" s="12"/>
      <c r="B115489" s="15"/>
      <c r="C115489" s="15"/>
      <c r="D115489" s="12"/>
      <c r="E115489" s="12"/>
      <c r="F115489" s="13"/>
      <c r="G115489" s="12"/>
      <c r="H115489" s="12"/>
      <c r="I115489" s="12"/>
      <c r="J115489" s="12"/>
      <c r="K115489" s="12"/>
      <c r="L115489" s="208"/>
      <c r="M115489" s="209"/>
      <c r="N115489" s="209"/>
      <c r="O115489" s="209"/>
    </row>
    <row r="115490" spans="1:15" s="210" customFormat="1" x14ac:dyDescent="0.3">
      <c r="A115490" s="12"/>
      <c r="B115490" s="15"/>
      <c r="C115490" s="15"/>
      <c r="D115490" s="12"/>
      <c r="E115490" s="12"/>
      <c r="F115490" s="13"/>
      <c r="G115490" s="12"/>
      <c r="H115490" s="12"/>
      <c r="I115490" s="12"/>
      <c r="J115490" s="12"/>
      <c r="K115490" s="12"/>
      <c r="L115490" s="208"/>
      <c r="M115490" s="209"/>
      <c r="N115490" s="209"/>
      <c r="O115490" s="209"/>
    </row>
    <row r="115491" spans="1:15" s="210" customFormat="1" x14ac:dyDescent="0.3">
      <c r="A115491" s="12"/>
      <c r="B115491" s="15"/>
      <c r="C115491" s="15"/>
      <c r="D115491" s="12"/>
      <c r="E115491" s="12"/>
      <c r="F115491" s="13"/>
      <c r="G115491" s="12"/>
      <c r="H115491" s="12"/>
      <c r="I115491" s="12"/>
      <c r="J115491" s="12"/>
      <c r="K115491" s="12"/>
      <c r="L115491" s="208"/>
      <c r="M115491" s="209"/>
      <c r="N115491" s="209"/>
      <c r="O115491" s="209"/>
    </row>
    <row r="115492" spans="1:15" s="210" customFormat="1" x14ac:dyDescent="0.3">
      <c r="A115492" s="12"/>
      <c r="B115492" s="15"/>
      <c r="C115492" s="15"/>
      <c r="D115492" s="12"/>
      <c r="E115492" s="12"/>
      <c r="F115492" s="13"/>
      <c r="G115492" s="12"/>
      <c r="H115492" s="12"/>
      <c r="I115492" s="12"/>
      <c r="J115492" s="12"/>
      <c r="K115492" s="12"/>
      <c r="L115492" s="208"/>
      <c r="M115492" s="209"/>
      <c r="N115492" s="209"/>
      <c r="O115492" s="209"/>
    </row>
    <row r="115493" spans="1:15" s="210" customFormat="1" x14ac:dyDescent="0.3">
      <c r="A115493" s="12"/>
      <c r="B115493" s="15"/>
      <c r="C115493" s="15"/>
      <c r="D115493" s="12"/>
      <c r="E115493" s="12"/>
      <c r="F115493" s="13"/>
      <c r="G115493" s="12"/>
      <c r="H115493" s="12"/>
      <c r="I115493" s="12"/>
      <c r="J115493" s="12"/>
      <c r="K115493" s="12"/>
      <c r="L115493" s="208"/>
      <c r="M115493" s="209"/>
      <c r="N115493" s="209"/>
      <c r="O115493" s="209"/>
    </row>
    <row r="115494" spans="1:15" s="210" customFormat="1" x14ac:dyDescent="0.3">
      <c r="A115494" s="12"/>
      <c r="B115494" s="15"/>
      <c r="C115494" s="15"/>
      <c r="D115494" s="12"/>
      <c r="E115494" s="12"/>
      <c r="F115494" s="13"/>
      <c r="G115494" s="12"/>
      <c r="H115494" s="12"/>
      <c r="I115494" s="12"/>
      <c r="J115494" s="12"/>
      <c r="K115494" s="12"/>
      <c r="L115494" s="208"/>
      <c r="M115494" s="209"/>
      <c r="N115494" s="209"/>
      <c r="O115494" s="209"/>
    </row>
    <row r="115495" spans="1:15" s="210" customFormat="1" x14ac:dyDescent="0.3">
      <c r="A115495" s="12"/>
      <c r="B115495" s="15"/>
      <c r="C115495" s="15"/>
      <c r="D115495" s="12"/>
      <c r="E115495" s="12"/>
      <c r="F115495" s="13"/>
      <c r="G115495" s="12"/>
      <c r="H115495" s="12"/>
      <c r="I115495" s="12"/>
      <c r="J115495" s="12"/>
      <c r="K115495" s="12"/>
      <c r="L115495" s="208"/>
      <c r="M115495" s="209"/>
      <c r="N115495" s="209"/>
      <c r="O115495" s="209"/>
    </row>
    <row r="115496" spans="1:15" s="210" customFormat="1" x14ac:dyDescent="0.3">
      <c r="A115496" s="12"/>
      <c r="B115496" s="15"/>
      <c r="C115496" s="15"/>
      <c r="D115496" s="12"/>
      <c r="E115496" s="12"/>
      <c r="F115496" s="13"/>
      <c r="G115496" s="12"/>
      <c r="H115496" s="12"/>
      <c r="I115496" s="12"/>
      <c r="J115496" s="12"/>
      <c r="K115496" s="12"/>
      <c r="L115496" s="208"/>
      <c r="M115496" s="209"/>
      <c r="N115496" s="209"/>
      <c r="O115496" s="209"/>
    </row>
    <row r="115497" spans="1:15" s="210" customFormat="1" x14ac:dyDescent="0.3">
      <c r="A115497" s="12"/>
      <c r="B115497" s="15"/>
      <c r="C115497" s="15"/>
      <c r="D115497" s="12"/>
      <c r="E115497" s="12"/>
      <c r="F115497" s="13"/>
      <c r="G115497" s="12"/>
      <c r="H115497" s="12"/>
      <c r="I115497" s="12"/>
      <c r="J115497" s="12"/>
      <c r="K115497" s="12"/>
      <c r="L115497" s="208"/>
      <c r="M115497" s="209"/>
      <c r="N115497" s="209"/>
      <c r="O115497" s="209"/>
    </row>
    <row r="115498" spans="1:15" s="210" customFormat="1" x14ac:dyDescent="0.3">
      <c r="A115498" s="12"/>
      <c r="B115498" s="15"/>
      <c r="C115498" s="15"/>
      <c r="D115498" s="12"/>
      <c r="E115498" s="12"/>
      <c r="F115498" s="13"/>
      <c r="G115498" s="12"/>
      <c r="H115498" s="12"/>
      <c r="I115498" s="12"/>
      <c r="J115498" s="12"/>
      <c r="K115498" s="12"/>
      <c r="L115498" s="208"/>
      <c r="M115498" s="209"/>
      <c r="N115498" s="209"/>
      <c r="O115498" s="209"/>
    </row>
    <row r="115499" spans="1:15" s="210" customFormat="1" x14ac:dyDescent="0.3">
      <c r="A115499" s="12"/>
      <c r="B115499" s="15"/>
      <c r="C115499" s="15"/>
      <c r="D115499" s="12"/>
      <c r="E115499" s="12"/>
      <c r="F115499" s="13"/>
      <c r="G115499" s="12"/>
      <c r="H115499" s="12"/>
      <c r="I115499" s="12"/>
      <c r="J115499" s="12"/>
      <c r="K115499" s="12"/>
      <c r="L115499" s="208"/>
      <c r="M115499" s="209"/>
      <c r="N115499" s="209"/>
      <c r="O115499" s="209"/>
    </row>
    <row r="115500" spans="1:15" s="210" customFormat="1" x14ac:dyDescent="0.3">
      <c r="A115500" s="12"/>
      <c r="B115500" s="15"/>
      <c r="C115500" s="15"/>
      <c r="D115500" s="12"/>
      <c r="E115500" s="12"/>
      <c r="F115500" s="13"/>
      <c r="G115500" s="12"/>
      <c r="H115500" s="12"/>
      <c r="I115500" s="12"/>
      <c r="J115500" s="12"/>
      <c r="K115500" s="12"/>
      <c r="L115500" s="208"/>
      <c r="M115500" s="209"/>
      <c r="N115500" s="209"/>
      <c r="O115500" s="209"/>
    </row>
    <row r="115501" spans="1:15" s="210" customFormat="1" x14ac:dyDescent="0.3">
      <c r="A115501" s="12"/>
      <c r="B115501" s="15"/>
      <c r="C115501" s="15"/>
      <c r="D115501" s="12"/>
      <c r="E115501" s="12"/>
      <c r="F115501" s="13"/>
      <c r="G115501" s="12"/>
      <c r="H115501" s="12"/>
      <c r="I115501" s="12"/>
      <c r="J115501" s="12"/>
      <c r="K115501" s="12"/>
      <c r="L115501" s="208"/>
      <c r="M115501" s="209"/>
      <c r="N115501" s="209"/>
      <c r="O115501" s="209"/>
    </row>
    <row r="115502" spans="1:15" s="210" customFormat="1" x14ac:dyDescent="0.3">
      <c r="A115502" s="12"/>
      <c r="B115502" s="15"/>
      <c r="C115502" s="15"/>
      <c r="D115502" s="12"/>
      <c r="E115502" s="12"/>
      <c r="F115502" s="13"/>
      <c r="G115502" s="12"/>
      <c r="H115502" s="12"/>
      <c r="I115502" s="12"/>
      <c r="J115502" s="12"/>
      <c r="K115502" s="12"/>
      <c r="L115502" s="208"/>
      <c r="M115502" s="209"/>
      <c r="N115502" s="209"/>
      <c r="O115502" s="209"/>
    </row>
    <row r="115503" spans="1:15" s="210" customFormat="1" x14ac:dyDescent="0.3">
      <c r="A115503" s="12"/>
      <c r="B115503" s="15"/>
      <c r="C115503" s="15"/>
      <c r="D115503" s="12"/>
      <c r="E115503" s="12"/>
      <c r="F115503" s="13"/>
      <c r="G115503" s="12"/>
      <c r="H115503" s="12"/>
      <c r="I115503" s="12"/>
      <c r="J115503" s="12"/>
      <c r="K115503" s="12"/>
      <c r="L115503" s="208"/>
      <c r="M115503" s="209"/>
      <c r="N115503" s="209"/>
      <c r="O115503" s="209"/>
    </row>
    <row r="115504" spans="1:15" s="210" customFormat="1" x14ac:dyDescent="0.3">
      <c r="A115504" s="12"/>
      <c r="B115504" s="15"/>
      <c r="C115504" s="15"/>
      <c r="D115504" s="12"/>
      <c r="E115504" s="12"/>
      <c r="F115504" s="13"/>
      <c r="G115504" s="12"/>
      <c r="H115504" s="12"/>
      <c r="I115504" s="12"/>
      <c r="J115504" s="12"/>
      <c r="K115504" s="12"/>
      <c r="L115504" s="208"/>
      <c r="M115504" s="209"/>
      <c r="N115504" s="209"/>
      <c r="O115504" s="209"/>
    </row>
    <row r="115505" spans="1:15" s="210" customFormat="1" x14ac:dyDescent="0.3">
      <c r="A115505" s="12"/>
      <c r="B115505" s="15"/>
      <c r="C115505" s="15"/>
      <c r="D115505" s="12"/>
      <c r="E115505" s="12"/>
      <c r="F115505" s="13"/>
      <c r="G115505" s="12"/>
      <c r="H115505" s="12"/>
      <c r="I115505" s="12"/>
      <c r="J115505" s="12"/>
      <c r="K115505" s="12"/>
      <c r="L115505" s="208"/>
      <c r="M115505" s="209"/>
      <c r="N115505" s="209"/>
      <c r="O115505" s="209"/>
    </row>
    <row r="115506" spans="1:15" s="210" customFormat="1" x14ac:dyDescent="0.3">
      <c r="A115506" s="12"/>
      <c r="B115506" s="15"/>
      <c r="C115506" s="15"/>
      <c r="D115506" s="12"/>
      <c r="E115506" s="12"/>
      <c r="F115506" s="13"/>
      <c r="G115506" s="12"/>
      <c r="H115506" s="12"/>
      <c r="I115506" s="12"/>
      <c r="J115506" s="12"/>
      <c r="K115506" s="12"/>
      <c r="L115506" s="208"/>
      <c r="M115506" s="209"/>
      <c r="N115506" s="209"/>
      <c r="O115506" s="209"/>
    </row>
    <row r="115507" spans="1:15" s="210" customFormat="1" x14ac:dyDescent="0.3">
      <c r="A115507" s="12"/>
      <c r="B115507" s="15"/>
      <c r="C115507" s="15"/>
      <c r="D115507" s="12"/>
      <c r="E115507" s="12"/>
      <c r="F115507" s="13"/>
      <c r="G115507" s="12"/>
      <c r="H115507" s="12"/>
      <c r="I115507" s="12"/>
      <c r="J115507" s="12"/>
      <c r="K115507" s="12"/>
      <c r="L115507" s="208"/>
      <c r="M115507" s="209"/>
      <c r="N115507" s="209"/>
      <c r="O115507" s="209"/>
    </row>
    <row r="115508" spans="1:15" s="210" customFormat="1" x14ac:dyDescent="0.3">
      <c r="A115508" s="12"/>
      <c r="B115508" s="15"/>
      <c r="C115508" s="15"/>
      <c r="D115508" s="12"/>
      <c r="E115508" s="12"/>
      <c r="F115508" s="13"/>
      <c r="G115508" s="12"/>
      <c r="H115508" s="12"/>
      <c r="I115508" s="12"/>
      <c r="J115508" s="12"/>
      <c r="K115508" s="12"/>
      <c r="L115508" s="208"/>
      <c r="M115508" s="209"/>
      <c r="N115508" s="209"/>
      <c r="O115508" s="209"/>
    </row>
    <row r="115509" spans="1:15" s="210" customFormat="1" x14ac:dyDescent="0.3">
      <c r="A115509" s="12"/>
      <c r="B115509" s="15"/>
      <c r="C115509" s="15"/>
      <c r="D115509" s="12"/>
      <c r="E115509" s="12"/>
      <c r="F115509" s="13"/>
      <c r="G115509" s="12"/>
      <c r="H115509" s="12"/>
      <c r="I115509" s="12"/>
      <c r="J115509" s="12"/>
      <c r="K115509" s="12"/>
      <c r="L115509" s="208"/>
      <c r="M115509" s="209"/>
      <c r="N115509" s="209"/>
      <c r="O115509" s="209"/>
    </row>
    <row r="115510" spans="1:15" s="210" customFormat="1" x14ac:dyDescent="0.3">
      <c r="A115510" s="12"/>
      <c r="B115510" s="15"/>
      <c r="C115510" s="15"/>
      <c r="D115510" s="12"/>
      <c r="E115510" s="12"/>
      <c r="F115510" s="13"/>
      <c r="G115510" s="12"/>
      <c r="H115510" s="12"/>
      <c r="I115510" s="12"/>
      <c r="J115510" s="12"/>
      <c r="K115510" s="12"/>
      <c r="L115510" s="208"/>
      <c r="M115510" s="209"/>
      <c r="N115510" s="209"/>
      <c r="O115510" s="209"/>
    </row>
    <row r="115511" spans="1:15" s="210" customFormat="1" x14ac:dyDescent="0.3">
      <c r="A115511" s="12"/>
      <c r="B115511" s="15"/>
      <c r="C115511" s="15"/>
      <c r="D115511" s="12"/>
      <c r="E115511" s="12"/>
      <c r="F115511" s="13"/>
      <c r="G115511" s="12"/>
      <c r="H115511" s="12"/>
      <c r="I115511" s="12"/>
      <c r="J115511" s="12"/>
      <c r="K115511" s="12"/>
      <c r="L115511" s="208"/>
      <c r="M115511" s="209"/>
      <c r="N115511" s="209"/>
      <c r="O115511" s="209"/>
    </row>
    <row r="115512" spans="1:15" s="210" customFormat="1" x14ac:dyDescent="0.3">
      <c r="A115512" s="12"/>
      <c r="B115512" s="15"/>
      <c r="C115512" s="15"/>
      <c r="D115512" s="12"/>
      <c r="E115512" s="12"/>
      <c r="F115512" s="13"/>
      <c r="G115512" s="12"/>
      <c r="H115512" s="12"/>
      <c r="I115512" s="12"/>
      <c r="J115512" s="12"/>
      <c r="K115512" s="12"/>
      <c r="L115512" s="208"/>
      <c r="M115512" s="209"/>
      <c r="N115512" s="209"/>
      <c r="O115512" s="209"/>
    </row>
    <row r="115513" spans="1:15" s="210" customFormat="1" x14ac:dyDescent="0.3">
      <c r="A115513" s="12"/>
      <c r="B115513" s="15"/>
      <c r="C115513" s="15"/>
      <c r="D115513" s="12"/>
      <c r="E115513" s="12"/>
      <c r="F115513" s="13"/>
      <c r="G115513" s="12"/>
      <c r="H115513" s="12"/>
      <c r="I115513" s="12"/>
      <c r="J115513" s="12"/>
      <c r="K115513" s="12"/>
      <c r="L115513" s="208"/>
      <c r="M115513" s="209"/>
      <c r="N115513" s="209"/>
      <c r="O115513" s="209"/>
    </row>
    <row r="115514" spans="1:15" s="210" customFormat="1" x14ac:dyDescent="0.3">
      <c r="A115514" s="12"/>
      <c r="B115514" s="15"/>
      <c r="C115514" s="15"/>
      <c r="D115514" s="12"/>
      <c r="E115514" s="12"/>
      <c r="F115514" s="13"/>
      <c r="G115514" s="12"/>
      <c r="H115514" s="12"/>
      <c r="I115514" s="12"/>
      <c r="J115514" s="12"/>
      <c r="K115514" s="12"/>
      <c r="L115514" s="208"/>
      <c r="M115514" s="209"/>
      <c r="N115514" s="209"/>
      <c r="O115514" s="209"/>
    </row>
    <row r="115515" spans="1:15" s="210" customFormat="1" x14ac:dyDescent="0.3">
      <c r="A115515" s="12"/>
      <c r="B115515" s="15"/>
      <c r="C115515" s="15"/>
      <c r="D115515" s="12"/>
      <c r="E115515" s="12"/>
      <c r="F115515" s="13"/>
      <c r="G115515" s="12"/>
      <c r="H115515" s="12"/>
      <c r="I115515" s="12"/>
      <c r="J115515" s="12"/>
      <c r="K115515" s="12"/>
      <c r="L115515" s="208"/>
      <c r="M115515" s="209"/>
      <c r="N115515" s="209"/>
      <c r="O115515" s="209"/>
    </row>
    <row r="115516" spans="1:15" s="210" customFormat="1" x14ac:dyDescent="0.3">
      <c r="A115516" s="12"/>
      <c r="B115516" s="15"/>
      <c r="C115516" s="15"/>
      <c r="D115516" s="12"/>
      <c r="E115516" s="12"/>
      <c r="F115516" s="13"/>
      <c r="G115516" s="12"/>
      <c r="H115516" s="12"/>
      <c r="I115516" s="12"/>
      <c r="J115516" s="12"/>
      <c r="K115516" s="12"/>
      <c r="L115516" s="208"/>
      <c r="M115516" s="209"/>
      <c r="N115516" s="209"/>
      <c r="O115516" s="209"/>
    </row>
    <row r="115517" spans="1:15" s="210" customFormat="1" x14ac:dyDescent="0.3">
      <c r="A115517" s="12"/>
      <c r="B115517" s="15"/>
      <c r="C115517" s="15"/>
      <c r="D115517" s="12"/>
      <c r="E115517" s="12"/>
      <c r="F115517" s="13"/>
      <c r="G115517" s="12"/>
      <c r="H115517" s="12"/>
      <c r="I115517" s="12"/>
      <c r="J115517" s="12"/>
      <c r="K115517" s="12"/>
      <c r="L115517" s="208"/>
      <c r="M115517" s="209"/>
      <c r="N115517" s="209"/>
      <c r="O115517" s="209"/>
    </row>
    <row r="115518" spans="1:15" s="210" customFormat="1" x14ac:dyDescent="0.3">
      <c r="A115518" s="12"/>
      <c r="B115518" s="15"/>
      <c r="C115518" s="15"/>
      <c r="D115518" s="12"/>
      <c r="E115518" s="12"/>
      <c r="F115518" s="13"/>
      <c r="G115518" s="12"/>
      <c r="H115518" s="12"/>
      <c r="I115518" s="12"/>
      <c r="J115518" s="12"/>
      <c r="K115518" s="12"/>
      <c r="L115518" s="208"/>
      <c r="M115518" s="209"/>
      <c r="N115518" s="209"/>
      <c r="O115518" s="209"/>
    </row>
    <row r="115519" spans="1:15" s="210" customFormat="1" x14ac:dyDescent="0.3">
      <c r="A115519" s="12"/>
      <c r="B115519" s="15"/>
      <c r="C115519" s="15"/>
      <c r="D115519" s="12"/>
      <c r="E115519" s="12"/>
      <c r="F115519" s="13"/>
      <c r="G115519" s="12"/>
      <c r="H115519" s="12"/>
      <c r="I115519" s="12"/>
      <c r="J115519" s="12"/>
      <c r="K115519" s="12"/>
      <c r="L115519" s="208"/>
      <c r="M115519" s="209"/>
      <c r="N115519" s="209"/>
      <c r="O115519" s="209"/>
    </row>
    <row r="115520" spans="1:15" s="210" customFormat="1" x14ac:dyDescent="0.3">
      <c r="A115520" s="12"/>
      <c r="B115520" s="15"/>
      <c r="C115520" s="15"/>
      <c r="D115520" s="12"/>
      <c r="E115520" s="12"/>
      <c r="F115520" s="13"/>
      <c r="G115520" s="12"/>
      <c r="H115520" s="12"/>
      <c r="I115520" s="12"/>
      <c r="J115520" s="12"/>
      <c r="K115520" s="12"/>
      <c r="L115520" s="208"/>
      <c r="M115520" s="209"/>
      <c r="N115520" s="209"/>
      <c r="O115520" s="209"/>
    </row>
    <row r="115521" spans="1:15" s="210" customFormat="1" x14ac:dyDescent="0.3">
      <c r="A115521" s="12"/>
      <c r="B115521" s="15"/>
      <c r="C115521" s="15"/>
      <c r="D115521" s="12"/>
      <c r="E115521" s="12"/>
      <c r="F115521" s="13"/>
      <c r="G115521" s="12"/>
      <c r="H115521" s="12"/>
      <c r="I115521" s="12"/>
      <c r="J115521" s="12"/>
      <c r="K115521" s="12"/>
      <c r="L115521" s="208"/>
      <c r="M115521" s="209"/>
      <c r="N115521" s="209"/>
      <c r="O115521" s="209"/>
    </row>
    <row r="115522" spans="1:15" s="210" customFormat="1" x14ac:dyDescent="0.3">
      <c r="A115522" s="12"/>
      <c r="B115522" s="15"/>
      <c r="C115522" s="15"/>
      <c r="D115522" s="12"/>
      <c r="E115522" s="12"/>
      <c r="F115522" s="13"/>
      <c r="G115522" s="12"/>
      <c r="H115522" s="12"/>
      <c r="I115522" s="12"/>
      <c r="J115522" s="12"/>
      <c r="K115522" s="12"/>
      <c r="L115522" s="208"/>
      <c r="M115522" s="209"/>
      <c r="N115522" s="209"/>
      <c r="O115522" s="209"/>
    </row>
    <row r="115523" spans="1:15" s="210" customFormat="1" x14ac:dyDescent="0.3">
      <c r="A115523" s="12"/>
      <c r="B115523" s="15"/>
      <c r="C115523" s="15"/>
      <c r="D115523" s="12"/>
      <c r="E115523" s="12"/>
      <c r="F115523" s="13"/>
      <c r="G115523" s="12"/>
      <c r="H115523" s="12"/>
      <c r="I115523" s="12"/>
      <c r="J115523" s="12"/>
      <c r="K115523" s="12"/>
      <c r="L115523" s="208"/>
      <c r="M115523" s="209"/>
      <c r="N115523" s="209"/>
      <c r="O115523" s="209"/>
    </row>
    <row r="115524" spans="1:15" s="210" customFormat="1" x14ac:dyDescent="0.3">
      <c r="A115524" s="12"/>
      <c r="B115524" s="15"/>
      <c r="C115524" s="15"/>
      <c r="D115524" s="12"/>
      <c r="E115524" s="12"/>
      <c r="F115524" s="13"/>
      <c r="G115524" s="12"/>
      <c r="H115524" s="12"/>
      <c r="I115524" s="12"/>
      <c r="J115524" s="12"/>
      <c r="K115524" s="12"/>
      <c r="L115524" s="208"/>
      <c r="M115524" s="209"/>
      <c r="N115524" s="209"/>
      <c r="O115524" s="209"/>
    </row>
    <row r="115525" spans="1:15" s="210" customFormat="1" x14ac:dyDescent="0.3">
      <c r="A115525" s="12"/>
      <c r="B115525" s="15"/>
      <c r="C115525" s="15"/>
      <c r="D115525" s="12"/>
      <c r="E115525" s="12"/>
      <c r="F115525" s="13"/>
      <c r="G115525" s="12"/>
      <c r="H115525" s="12"/>
      <c r="I115525" s="12"/>
      <c r="J115525" s="12"/>
      <c r="K115525" s="12"/>
      <c r="L115525" s="208"/>
      <c r="M115525" s="209"/>
      <c r="N115525" s="209"/>
      <c r="O115525" s="209"/>
    </row>
    <row r="115526" spans="1:15" s="210" customFormat="1" x14ac:dyDescent="0.3">
      <c r="A115526" s="12"/>
      <c r="B115526" s="15"/>
      <c r="C115526" s="15"/>
      <c r="D115526" s="12"/>
      <c r="E115526" s="12"/>
      <c r="F115526" s="13"/>
      <c r="G115526" s="12"/>
      <c r="H115526" s="12"/>
      <c r="I115526" s="12"/>
      <c r="J115526" s="12"/>
      <c r="K115526" s="12"/>
      <c r="L115526" s="208"/>
      <c r="M115526" s="209"/>
      <c r="N115526" s="209"/>
      <c r="O115526" s="209"/>
    </row>
    <row r="115527" spans="1:15" s="210" customFormat="1" x14ac:dyDescent="0.3">
      <c r="A115527" s="12"/>
      <c r="B115527" s="15"/>
      <c r="C115527" s="15"/>
      <c r="D115527" s="12"/>
      <c r="E115527" s="12"/>
      <c r="F115527" s="13"/>
      <c r="G115527" s="12"/>
      <c r="H115527" s="12"/>
      <c r="I115527" s="12"/>
      <c r="J115527" s="12"/>
      <c r="K115527" s="12"/>
      <c r="L115527" s="208"/>
      <c r="M115527" s="209"/>
      <c r="N115527" s="209"/>
      <c r="O115527" s="209"/>
    </row>
    <row r="115528" spans="1:15" s="210" customFormat="1" x14ac:dyDescent="0.3">
      <c r="A115528" s="12"/>
      <c r="B115528" s="15"/>
      <c r="C115528" s="15"/>
      <c r="D115528" s="12"/>
      <c r="E115528" s="12"/>
      <c r="F115528" s="13"/>
      <c r="G115528" s="12"/>
      <c r="H115528" s="12"/>
      <c r="I115528" s="12"/>
      <c r="J115528" s="12"/>
      <c r="K115528" s="12"/>
      <c r="L115528" s="208"/>
      <c r="M115528" s="209"/>
      <c r="N115528" s="209"/>
      <c r="O115528" s="209"/>
    </row>
    <row r="115529" spans="1:15" s="210" customFormat="1" x14ac:dyDescent="0.3">
      <c r="A115529" s="12"/>
      <c r="B115529" s="15"/>
      <c r="C115529" s="15"/>
      <c r="D115529" s="12"/>
      <c r="E115529" s="12"/>
      <c r="F115529" s="13"/>
      <c r="G115529" s="12"/>
      <c r="H115529" s="12"/>
      <c r="I115529" s="12"/>
      <c r="J115529" s="12"/>
      <c r="K115529" s="12"/>
      <c r="L115529" s="208"/>
      <c r="M115529" s="209"/>
      <c r="N115529" s="209"/>
      <c r="O115529" s="209"/>
    </row>
    <row r="115530" spans="1:15" s="210" customFormat="1" x14ac:dyDescent="0.3">
      <c r="A115530" s="12"/>
      <c r="B115530" s="15"/>
      <c r="C115530" s="15"/>
      <c r="D115530" s="12"/>
      <c r="E115530" s="12"/>
      <c r="F115530" s="13"/>
      <c r="G115530" s="12"/>
      <c r="H115530" s="12"/>
      <c r="I115530" s="12"/>
      <c r="J115530" s="12"/>
      <c r="K115530" s="12"/>
      <c r="L115530" s="208"/>
      <c r="M115530" s="209"/>
      <c r="N115530" s="209"/>
      <c r="O115530" s="209"/>
    </row>
    <row r="115531" spans="1:15" s="210" customFormat="1" x14ac:dyDescent="0.3">
      <c r="A115531" s="12"/>
      <c r="B115531" s="15"/>
      <c r="C115531" s="15"/>
      <c r="D115531" s="12"/>
      <c r="E115531" s="12"/>
      <c r="F115531" s="13"/>
      <c r="G115531" s="12"/>
      <c r="H115531" s="12"/>
      <c r="I115531" s="12"/>
      <c r="J115531" s="12"/>
      <c r="K115531" s="12"/>
      <c r="L115531" s="208"/>
      <c r="M115531" s="209"/>
      <c r="N115531" s="209"/>
      <c r="O115531" s="209"/>
    </row>
    <row r="115532" spans="1:15" s="210" customFormat="1" x14ac:dyDescent="0.3">
      <c r="A115532" s="12"/>
      <c r="B115532" s="15"/>
      <c r="C115532" s="15"/>
      <c r="D115532" s="12"/>
      <c r="E115532" s="12"/>
      <c r="F115532" s="13"/>
      <c r="G115532" s="12"/>
      <c r="H115532" s="12"/>
      <c r="I115532" s="12"/>
      <c r="J115532" s="12"/>
      <c r="K115532" s="12"/>
      <c r="L115532" s="208"/>
      <c r="M115532" s="209"/>
      <c r="N115532" s="209"/>
      <c r="O115532" s="209"/>
    </row>
    <row r="115533" spans="1:15" s="210" customFormat="1" x14ac:dyDescent="0.3">
      <c r="A115533" s="12"/>
      <c r="B115533" s="15"/>
      <c r="C115533" s="15"/>
      <c r="D115533" s="12"/>
      <c r="E115533" s="12"/>
      <c r="F115533" s="13"/>
      <c r="G115533" s="12"/>
      <c r="H115533" s="12"/>
      <c r="I115533" s="12"/>
      <c r="J115533" s="12"/>
      <c r="K115533" s="12"/>
      <c r="L115533" s="208"/>
      <c r="M115533" s="209"/>
      <c r="N115533" s="209"/>
      <c r="O115533" s="209"/>
    </row>
    <row r="115534" spans="1:15" s="210" customFormat="1" x14ac:dyDescent="0.3">
      <c r="A115534" s="12"/>
      <c r="B115534" s="15"/>
      <c r="C115534" s="15"/>
      <c r="D115534" s="12"/>
      <c r="E115534" s="12"/>
      <c r="F115534" s="13"/>
      <c r="G115534" s="12"/>
      <c r="H115534" s="12"/>
      <c r="I115534" s="12"/>
      <c r="J115534" s="12"/>
      <c r="K115534" s="12"/>
      <c r="L115534" s="208"/>
      <c r="M115534" s="209"/>
      <c r="N115534" s="209"/>
      <c r="O115534" s="209"/>
    </row>
    <row r="115535" spans="1:15" s="210" customFormat="1" x14ac:dyDescent="0.3">
      <c r="A115535" s="12"/>
      <c r="B115535" s="15"/>
      <c r="C115535" s="15"/>
      <c r="D115535" s="12"/>
      <c r="E115535" s="12"/>
      <c r="F115535" s="13"/>
      <c r="G115535" s="12"/>
      <c r="H115535" s="12"/>
      <c r="I115535" s="12"/>
      <c r="J115535" s="12"/>
      <c r="K115535" s="12"/>
      <c r="L115535" s="208"/>
      <c r="M115535" s="209"/>
      <c r="N115535" s="209"/>
      <c r="O115535" s="209"/>
    </row>
    <row r="115536" spans="1:15" s="210" customFormat="1" x14ac:dyDescent="0.3">
      <c r="A115536" s="12"/>
      <c r="B115536" s="15"/>
      <c r="C115536" s="15"/>
      <c r="D115536" s="12"/>
      <c r="E115536" s="12"/>
      <c r="F115536" s="13"/>
      <c r="G115536" s="12"/>
      <c r="H115536" s="12"/>
      <c r="I115536" s="12"/>
      <c r="J115536" s="12"/>
      <c r="K115536" s="12"/>
      <c r="L115536" s="208"/>
      <c r="M115536" s="209"/>
      <c r="N115536" s="209"/>
      <c r="O115536" s="209"/>
    </row>
    <row r="115537" spans="1:15" s="210" customFormat="1" x14ac:dyDescent="0.3">
      <c r="A115537" s="12"/>
      <c r="B115537" s="15"/>
      <c r="C115537" s="15"/>
      <c r="D115537" s="12"/>
      <c r="E115537" s="12"/>
      <c r="F115537" s="13"/>
      <c r="G115537" s="12"/>
      <c r="H115537" s="12"/>
      <c r="I115537" s="12"/>
      <c r="J115537" s="12"/>
      <c r="K115537" s="12"/>
      <c r="L115537" s="208"/>
      <c r="M115537" s="209"/>
      <c r="N115537" s="209"/>
      <c r="O115537" s="209"/>
    </row>
    <row r="115538" spans="1:15" s="210" customFormat="1" x14ac:dyDescent="0.3">
      <c r="A115538" s="12"/>
      <c r="B115538" s="15"/>
      <c r="C115538" s="15"/>
      <c r="D115538" s="12"/>
      <c r="E115538" s="12"/>
      <c r="F115538" s="13"/>
      <c r="G115538" s="12"/>
      <c r="H115538" s="12"/>
      <c r="I115538" s="12"/>
      <c r="J115538" s="12"/>
      <c r="K115538" s="12"/>
      <c r="L115538" s="208"/>
      <c r="M115538" s="209"/>
      <c r="N115538" s="209"/>
      <c r="O115538" s="209"/>
    </row>
    <row r="115539" spans="1:15" s="210" customFormat="1" x14ac:dyDescent="0.3">
      <c r="A115539" s="12"/>
      <c r="B115539" s="15"/>
      <c r="C115539" s="15"/>
      <c r="D115539" s="12"/>
      <c r="E115539" s="12"/>
      <c r="F115539" s="13"/>
      <c r="G115539" s="12"/>
      <c r="H115539" s="12"/>
      <c r="I115539" s="12"/>
      <c r="J115539" s="12"/>
      <c r="K115539" s="12"/>
      <c r="L115539" s="208"/>
      <c r="M115539" s="209"/>
      <c r="N115539" s="209"/>
      <c r="O115539" s="209"/>
    </row>
    <row r="115540" spans="1:15" s="210" customFormat="1" x14ac:dyDescent="0.3">
      <c r="A115540" s="12"/>
      <c r="B115540" s="15"/>
      <c r="C115540" s="15"/>
      <c r="D115540" s="12"/>
      <c r="E115540" s="12"/>
      <c r="F115540" s="13"/>
      <c r="G115540" s="12"/>
      <c r="H115540" s="12"/>
      <c r="I115540" s="12"/>
      <c r="J115540" s="12"/>
      <c r="K115540" s="12"/>
      <c r="L115540" s="208"/>
      <c r="M115540" s="209"/>
      <c r="N115540" s="209"/>
      <c r="O115540" s="209"/>
    </row>
    <row r="115541" spans="1:15" s="210" customFormat="1" x14ac:dyDescent="0.3">
      <c r="A115541" s="12"/>
      <c r="B115541" s="15"/>
      <c r="C115541" s="15"/>
      <c r="D115541" s="12"/>
      <c r="E115541" s="12"/>
      <c r="F115541" s="13"/>
      <c r="G115541" s="12"/>
      <c r="H115541" s="12"/>
      <c r="I115541" s="12"/>
      <c r="J115541" s="12"/>
      <c r="K115541" s="12"/>
      <c r="L115541" s="208"/>
      <c r="M115541" s="209"/>
      <c r="N115541" s="209"/>
      <c r="O115541" s="209"/>
    </row>
    <row r="115542" spans="1:15" s="210" customFormat="1" x14ac:dyDescent="0.3">
      <c r="A115542" s="12"/>
      <c r="B115542" s="15"/>
      <c r="C115542" s="15"/>
      <c r="D115542" s="12"/>
      <c r="E115542" s="12"/>
      <c r="F115542" s="13"/>
      <c r="G115542" s="12"/>
      <c r="H115542" s="12"/>
      <c r="I115542" s="12"/>
      <c r="J115542" s="12"/>
      <c r="K115542" s="12"/>
      <c r="L115542" s="208"/>
      <c r="M115542" s="209"/>
      <c r="N115542" s="209"/>
      <c r="O115542" s="209"/>
    </row>
    <row r="115543" spans="1:15" s="210" customFormat="1" x14ac:dyDescent="0.3">
      <c r="A115543" s="12"/>
      <c r="B115543" s="15"/>
      <c r="C115543" s="15"/>
      <c r="D115543" s="12"/>
      <c r="E115543" s="12"/>
      <c r="F115543" s="13"/>
      <c r="G115543" s="12"/>
      <c r="H115543" s="12"/>
      <c r="I115543" s="12"/>
      <c r="J115543" s="12"/>
      <c r="K115543" s="12"/>
      <c r="L115543" s="208"/>
      <c r="M115543" s="209"/>
      <c r="N115543" s="209"/>
      <c r="O115543" s="209"/>
    </row>
    <row r="115544" spans="1:15" s="210" customFormat="1" x14ac:dyDescent="0.3">
      <c r="A115544" s="12"/>
      <c r="B115544" s="15"/>
      <c r="C115544" s="15"/>
      <c r="D115544" s="12"/>
      <c r="E115544" s="12"/>
      <c r="F115544" s="13"/>
      <c r="G115544" s="12"/>
      <c r="H115544" s="12"/>
      <c r="I115544" s="12"/>
      <c r="J115544" s="12"/>
      <c r="K115544" s="12"/>
      <c r="L115544" s="208"/>
      <c r="M115544" s="209"/>
      <c r="N115544" s="209"/>
      <c r="O115544" s="209"/>
    </row>
    <row r="115545" spans="1:15" s="210" customFormat="1" x14ac:dyDescent="0.3">
      <c r="A115545" s="12"/>
      <c r="B115545" s="15"/>
      <c r="C115545" s="15"/>
      <c r="D115545" s="12"/>
      <c r="E115545" s="12"/>
      <c r="F115545" s="13"/>
      <c r="G115545" s="12"/>
      <c r="H115545" s="12"/>
      <c r="I115545" s="12"/>
      <c r="J115545" s="12"/>
      <c r="K115545" s="12"/>
      <c r="L115545" s="208"/>
      <c r="M115545" s="209"/>
      <c r="N115545" s="209"/>
      <c r="O115545" s="209"/>
    </row>
    <row r="115546" spans="1:15" s="210" customFormat="1" x14ac:dyDescent="0.3">
      <c r="A115546" s="12"/>
      <c r="B115546" s="15"/>
      <c r="C115546" s="15"/>
      <c r="D115546" s="12"/>
      <c r="E115546" s="12"/>
      <c r="F115546" s="13"/>
      <c r="G115546" s="12"/>
      <c r="H115546" s="12"/>
      <c r="I115546" s="12"/>
      <c r="J115546" s="12"/>
      <c r="K115546" s="12"/>
      <c r="L115546" s="208"/>
      <c r="M115546" s="209"/>
      <c r="N115546" s="209"/>
      <c r="O115546" s="209"/>
    </row>
    <row r="115547" spans="1:15" s="210" customFormat="1" x14ac:dyDescent="0.3">
      <c r="A115547" s="12"/>
      <c r="B115547" s="15"/>
      <c r="C115547" s="15"/>
      <c r="D115547" s="12"/>
      <c r="E115547" s="12"/>
      <c r="F115547" s="13"/>
      <c r="G115547" s="12"/>
      <c r="H115547" s="12"/>
      <c r="I115547" s="12"/>
      <c r="J115547" s="12"/>
      <c r="K115547" s="12"/>
      <c r="L115547" s="208"/>
      <c r="M115547" s="209"/>
      <c r="N115547" s="209"/>
      <c r="O115547" s="209"/>
    </row>
    <row r="115548" spans="1:15" s="210" customFormat="1" x14ac:dyDescent="0.3">
      <c r="A115548" s="12"/>
      <c r="B115548" s="15"/>
      <c r="C115548" s="15"/>
      <c r="D115548" s="12"/>
      <c r="E115548" s="12"/>
      <c r="F115548" s="13"/>
      <c r="G115548" s="12"/>
      <c r="H115548" s="12"/>
      <c r="I115548" s="12"/>
      <c r="J115548" s="12"/>
      <c r="K115548" s="12"/>
      <c r="L115548" s="208"/>
      <c r="M115548" s="209"/>
      <c r="N115548" s="209"/>
      <c r="O115548" s="209"/>
    </row>
    <row r="115549" spans="1:15" s="210" customFormat="1" x14ac:dyDescent="0.3">
      <c r="A115549" s="12"/>
      <c r="B115549" s="15"/>
      <c r="C115549" s="15"/>
      <c r="D115549" s="12"/>
      <c r="E115549" s="12"/>
      <c r="F115549" s="13"/>
      <c r="G115549" s="12"/>
      <c r="H115549" s="12"/>
      <c r="I115549" s="12"/>
      <c r="J115549" s="12"/>
      <c r="K115549" s="12"/>
      <c r="L115549" s="208"/>
      <c r="M115549" s="209"/>
      <c r="N115549" s="209"/>
      <c r="O115549" s="209"/>
    </row>
    <row r="115550" spans="1:15" s="210" customFormat="1" x14ac:dyDescent="0.3">
      <c r="A115550" s="12"/>
      <c r="B115550" s="15"/>
      <c r="C115550" s="15"/>
      <c r="D115550" s="12"/>
      <c r="E115550" s="12"/>
      <c r="F115550" s="13"/>
      <c r="G115550" s="12"/>
      <c r="H115550" s="12"/>
      <c r="I115550" s="12"/>
      <c r="J115550" s="12"/>
      <c r="K115550" s="12"/>
      <c r="L115550" s="208"/>
      <c r="M115550" s="209"/>
      <c r="N115550" s="209"/>
      <c r="O115550" s="209"/>
    </row>
    <row r="115551" spans="1:15" s="210" customFormat="1" x14ac:dyDescent="0.3">
      <c r="A115551" s="12"/>
      <c r="B115551" s="15"/>
      <c r="C115551" s="15"/>
      <c r="D115551" s="12"/>
      <c r="E115551" s="12"/>
      <c r="F115551" s="13"/>
      <c r="G115551" s="12"/>
      <c r="H115551" s="12"/>
      <c r="I115551" s="12"/>
      <c r="J115551" s="12"/>
      <c r="K115551" s="12"/>
      <c r="L115551" s="208"/>
      <c r="M115551" s="209"/>
      <c r="N115551" s="209"/>
      <c r="O115551" s="209"/>
    </row>
    <row r="115552" spans="1:15" s="210" customFormat="1" x14ac:dyDescent="0.3">
      <c r="A115552" s="12"/>
      <c r="B115552" s="15"/>
      <c r="C115552" s="15"/>
      <c r="D115552" s="12"/>
      <c r="E115552" s="12"/>
      <c r="F115552" s="13"/>
      <c r="G115552" s="12"/>
      <c r="H115552" s="12"/>
      <c r="I115552" s="12"/>
      <c r="J115552" s="12"/>
      <c r="K115552" s="12"/>
      <c r="L115552" s="208"/>
      <c r="M115552" s="209"/>
      <c r="N115552" s="209"/>
      <c r="O115552" s="209"/>
    </row>
    <row r="115553" spans="1:15" s="210" customFormat="1" x14ac:dyDescent="0.3">
      <c r="A115553" s="12"/>
      <c r="B115553" s="15"/>
      <c r="C115553" s="15"/>
      <c r="D115553" s="12"/>
      <c r="E115553" s="12"/>
      <c r="F115553" s="13"/>
      <c r="G115553" s="12"/>
      <c r="H115553" s="12"/>
      <c r="I115553" s="12"/>
      <c r="J115553" s="12"/>
      <c r="K115553" s="12"/>
      <c r="L115553" s="208"/>
      <c r="M115553" s="209"/>
      <c r="N115553" s="209"/>
      <c r="O115553" s="209"/>
    </row>
    <row r="115554" spans="1:15" s="210" customFormat="1" x14ac:dyDescent="0.3">
      <c r="A115554" s="12"/>
      <c r="B115554" s="15"/>
      <c r="C115554" s="15"/>
      <c r="D115554" s="12"/>
      <c r="E115554" s="12"/>
      <c r="F115554" s="13"/>
      <c r="G115554" s="12"/>
      <c r="H115554" s="12"/>
      <c r="I115554" s="12"/>
      <c r="J115554" s="12"/>
      <c r="K115554" s="12"/>
      <c r="L115554" s="208"/>
      <c r="M115554" s="209"/>
      <c r="N115554" s="209"/>
      <c r="O115554" s="209"/>
    </row>
    <row r="115555" spans="1:15" s="210" customFormat="1" x14ac:dyDescent="0.3">
      <c r="A115555" s="12"/>
      <c r="B115555" s="15"/>
      <c r="C115555" s="15"/>
      <c r="D115555" s="12"/>
      <c r="E115555" s="12"/>
      <c r="F115555" s="13"/>
      <c r="G115555" s="12"/>
      <c r="H115555" s="12"/>
      <c r="I115555" s="12"/>
      <c r="J115555" s="12"/>
      <c r="K115555" s="12"/>
      <c r="L115555" s="208"/>
      <c r="M115555" s="209"/>
      <c r="N115555" s="209"/>
      <c r="O115555" s="209"/>
    </row>
    <row r="115556" spans="1:15" s="210" customFormat="1" x14ac:dyDescent="0.3">
      <c r="A115556" s="12"/>
      <c r="B115556" s="15"/>
      <c r="C115556" s="15"/>
      <c r="D115556" s="12"/>
      <c r="E115556" s="12"/>
      <c r="F115556" s="13"/>
      <c r="G115556" s="12"/>
      <c r="H115556" s="12"/>
      <c r="I115556" s="12"/>
      <c r="J115556" s="12"/>
      <c r="K115556" s="12"/>
      <c r="L115556" s="208"/>
      <c r="M115556" s="209"/>
      <c r="N115556" s="209"/>
      <c r="O115556" s="209"/>
    </row>
    <row r="115557" spans="1:15" s="210" customFormat="1" x14ac:dyDescent="0.3">
      <c r="A115557" s="12"/>
      <c r="B115557" s="15"/>
      <c r="C115557" s="15"/>
      <c r="D115557" s="12"/>
      <c r="E115557" s="12"/>
      <c r="F115557" s="13"/>
      <c r="G115557" s="12"/>
      <c r="H115557" s="12"/>
      <c r="I115557" s="12"/>
      <c r="J115557" s="12"/>
      <c r="K115557" s="12"/>
      <c r="L115557" s="208"/>
      <c r="M115557" s="209"/>
      <c r="N115557" s="209"/>
      <c r="O115557" s="209"/>
    </row>
    <row r="115558" spans="1:15" s="210" customFormat="1" x14ac:dyDescent="0.3">
      <c r="A115558" s="12"/>
      <c r="B115558" s="15"/>
      <c r="C115558" s="15"/>
      <c r="D115558" s="12"/>
      <c r="E115558" s="12"/>
      <c r="F115558" s="13"/>
      <c r="G115558" s="12"/>
      <c r="H115558" s="12"/>
      <c r="I115558" s="12"/>
      <c r="J115558" s="12"/>
      <c r="K115558" s="12"/>
      <c r="L115558" s="208"/>
      <c r="M115558" s="209"/>
      <c r="N115558" s="209"/>
      <c r="O115558" s="209"/>
    </row>
    <row r="115559" spans="1:15" s="210" customFormat="1" x14ac:dyDescent="0.3">
      <c r="A115559" s="12"/>
      <c r="B115559" s="15"/>
      <c r="C115559" s="15"/>
      <c r="D115559" s="12"/>
      <c r="E115559" s="12"/>
      <c r="F115559" s="13"/>
      <c r="G115559" s="12"/>
      <c r="H115559" s="12"/>
      <c r="I115559" s="12"/>
      <c r="J115559" s="12"/>
      <c r="K115559" s="12"/>
      <c r="L115559" s="208"/>
      <c r="M115559" s="209"/>
      <c r="N115559" s="209"/>
      <c r="O115559" s="209"/>
    </row>
    <row r="115560" spans="1:15" s="210" customFormat="1" x14ac:dyDescent="0.3">
      <c r="A115560" s="12"/>
      <c r="B115560" s="15"/>
      <c r="C115560" s="15"/>
      <c r="D115560" s="12"/>
      <c r="E115560" s="12"/>
      <c r="F115560" s="13"/>
      <c r="G115560" s="12"/>
      <c r="H115560" s="12"/>
      <c r="I115560" s="12"/>
      <c r="J115560" s="12"/>
      <c r="K115560" s="12"/>
      <c r="L115560" s="208"/>
      <c r="M115560" s="209"/>
      <c r="N115560" s="209"/>
      <c r="O115560" s="209"/>
    </row>
    <row r="115561" spans="1:15" s="210" customFormat="1" x14ac:dyDescent="0.3">
      <c r="A115561" s="12"/>
      <c r="B115561" s="15"/>
      <c r="C115561" s="15"/>
      <c r="D115561" s="12"/>
      <c r="E115561" s="12"/>
      <c r="F115561" s="13"/>
      <c r="G115561" s="12"/>
      <c r="H115561" s="12"/>
      <c r="I115561" s="12"/>
      <c r="J115561" s="12"/>
      <c r="K115561" s="12"/>
      <c r="L115561" s="208"/>
      <c r="M115561" s="209"/>
      <c r="N115561" s="209"/>
      <c r="O115561" s="209"/>
    </row>
    <row r="115562" spans="1:15" s="210" customFormat="1" x14ac:dyDescent="0.3">
      <c r="A115562" s="12"/>
      <c r="B115562" s="15"/>
      <c r="C115562" s="15"/>
      <c r="D115562" s="12"/>
      <c r="E115562" s="12"/>
      <c r="F115562" s="13"/>
      <c r="G115562" s="12"/>
      <c r="H115562" s="12"/>
      <c r="I115562" s="12"/>
      <c r="J115562" s="12"/>
      <c r="K115562" s="12"/>
      <c r="L115562" s="208"/>
      <c r="M115562" s="209"/>
      <c r="N115562" s="209"/>
      <c r="O115562" s="209"/>
    </row>
    <row r="115563" spans="1:15" s="210" customFormat="1" x14ac:dyDescent="0.3">
      <c r="A115563" s="12"/>
      <c r="B115563" s="15"/>
      <c r="C115563" s="15"/>
      <c r="D115563" s="12"/>
      <c r="E115563" s="12"/>
      <c r="F115563" s="13"/>
      <c r="G115563" s="12"/>
      <c r="H115563" s="12"/>
      <c r="I115563" s="12"/>
      <c r="J115563" s="12"/>
      <c r="K115563" s="12"/>
      <c r="L115563" s="208"/>
      <c r="M115563" s="209"/>
      <c r="N115563" s="209"/>
      <c r="O115563" s="209"/>
    </row>
    <row r="115564" spans="1:15" s="210" customFormat="1" x14ac:dyDescent="0.3">
      <c r="A115564" s="12"/>
      <c r="B115564" s="15"/>
      <c r="C115564" s="15"/>
      <c r="D115564" s="12"/>
      <c r="E115564" s="12"/>
      <c r="F115564" s="13"/>
      <c r="G115564" s="12"/>
      <c r="H115564" s="12"/>
      <c r="I115564" s="12"/>
      <c r="J115564" s="12"/>
      <c r="K115564" s="12"/>
      <c r="L115564" s="208"/>
      <c r="M115564" s="209"/>
      <c r="N115564" s="209"/>
      <c r="O115564" s="209"/>
    </row>
    <row r="115565" spans="1:15" s="210" customFormat="1" x14ac:dyDescent="0.3">
      <c r="A115565" s="12"/>
      <c r="B115565" s="15"/>
      <c r="C115565" s="15"/>
      <c r="D115565" s="12"/>
      <c r="E115565" s="12"/>
      <c r="F115565" s="13"/>
      <c r="G115565" s="12"/>
      <c r="H115565" s="12"/>
      <c r="I115565" s="12"/>
      <c r="J115565" s="12"/>
      <c r="K115565" s="12"/>
      <c r="L115565" s="208"/>
      <c r="M115565" s="209"/>
      <c r="N115565" s="209"/>
      <c r="O115565" s="209"/>
    </row>
    <row r="115566" spans="1:15" s="210" customFormat="1" x14ac:dyDescent="0.3">
      <c r="A115566" s="12"/>
      <c r="B115566" s="15"/>
      <c r="C115566" s="15"/>
      <c r="D115566" s="12"/>
      <c r="E115566" s="12"/>
      <c r="F115566" s="13"/>
      <c r="G115566" s="12"/>
      <c r="H115566" s="12"/>
      <c r="I115566" s="12"/>
      <c r="J115566" s="12"/>
      <c r="K115566" s="12"/>
      <c r="L115566" s="208"/>
      <c r="M115566" s="209"/>
      <c r="N115566" s="209"/>
      <c r="O115566" s="209"/>
    </row>
    <row r="115567" spans="1:15" s="210" customFormat="1" x14ac:dyDescent="0.3">
      <c r="A115567" s="12"/>
      <c r="B115567" s="15"/>
      <c r="C115567" s="15"/>
      <c r="D115567" s="12"/>
      <c r="E115567" s="12"/>
      <c r="F115567" s="13"/>
      <c r="G115567" s="12"/>
      <c r="H115567" s="12"/>
      <c r="I115567" s="12"/>
      <c r="J115567" s="12"/>
      <c r="K115567" s="12"/>
      <c r="L115567" s="208"/>
      <c r="M115567" s="209"/>
      <c r="N115567" s="209"/>
      <c r="O115567" s="209"/>
    </row>
    <row r="115568" spans="1:15" s="210" customFormat="1" x14ac:dyDescent="0.3">
      <c r="A115568" s="12"/>
      <c r="B115568" s="15"/>
      <c r="C115568" s="15"/>
      <c r="D115568" s="12"/>
      <c r="E115568" s="12"/>
      <c r="F115568" s="13"/>
      <c r="G115568" s="12"/>
      <c r="H115568" s="12"/>
      <c r="I115568" s="12"/>
      <c r="J115568" s="12"/>
      <c r="K115568" s="12"/>
      <c r="L115568" s="208"/>
      <c r="M115568" s="209"/>
      <c r="N115568" s="209"/>
      <c r="O115568" s="209"/>
    </row>
    <row r="115569" spans="1:15" s="210" customFormat="1" x14ac:dyDescent="0.3">
      <c r="A115569" s="12"/>
      <c r="B115569" s="15"/>
      <c r="C115569" s="15"/>
      <c r="D115569" s="12"/>
      <c r="E115569" s="12"/>
      <c r="F115569" s="13"/>
      <c r="G115569" s="12"/>
      <c r="H115569" s="12"/>
      <c r="I115569" s="12"/>
      <c r="J115569" s="12"/>
      <c r="K115569" s="12"/>
      <c r="L115569" s="208"/>
      <c r="M115569" s="209"/>
      <c r="N115569" s="209"/>
      <c r="O115569" s="209"/>
    </row>
    <row r="115570" spans="1:15" s="210" customFormat="1" x14ac:dyDescent="0.3">
      <c r="A115570" s="12"/>
      <c r="B115570" s="15"/>
      <c r="C115570" s="15"/>
      <c r="D115570" s="12"/>
      <c r="E115570" s="12"/>
      <c r="F115570" s="13"/>
      <c r="G115570" s="12"/>
      <c r="H115570" s="12"/>
      <c r="I115570" s="12"/>
      <c r="J115570" s="12"/>
      <c r="K115570" s="12"/>
      <c r="L115570" s="208"/>
      <c r="M115570" s="209"/>
      <c r="N115570" s="209"/>
      <c r="O115570" s="209"/>
    </row>
    <row r="115571" spans="1:15" s="210" customFormat="1" x14ac:dyDescent="0.3">
      <c r="A115571" s="12"/>
      <c r="B115571" s="15"/>
      <c r="C115571" s="15"/>
      <c r="D115571" s="12"/>
      <c r="E115571" s="12"/>
      <c r="F115571" s="13"/>
      <c r="G115571" s="12"/>
      <c r="H115571" s="12"/>
      <c r="I115571" s="12"/>
      <c r="J115571" s="12"/>
      <c r="K115571" s="12"/>
      <c r="L115571" s="208"/>
      <c r="M115571" s="209"/>
      <c r="N115571" s="209"/>
      <c r="O115571" s="209"/>
    </row>
    <row r="115572" spans="1:15" s="210" customFormat="1" x14ac:dyDescent="0.3">
      <c r="A115572" s="12"/>
      <c r="B115572" s="15"/>
      <c r="C115572" s="15"/>
      <c r="D115572" s="12"/>
      <c r="E115572" s="12"/>
      <c r="F115572" s="13"/>
      <c r="G115572" s="12"/>
      <c r="H115572" s="12"/>
      <c r="I115572" s="12"/>
      <c r="J115572" s="12"/>
      <c r="K115572" s="12"/>
      <c r="L115572" s="208"/>
      <c r="M115572" s="209"/>
      <c r="N115572" s="209"/>
      <c r="O115572" s="209"/>
    </row>
    <row r="115573" spans="1:15" s="210" customFormat="1" x14ac:dyDescent="0.3">
      <c r="A115573" s="12"/>
      <c r="B115573" s="15"/>
      <c r="C115573" s="15"/>
      <c r="D115573" s="12"/>
      <c r="E115573" s="12"/>
      <c r="F115573" s="13"/>
      <c r="G115573" s="12"/>
      <c r="H115573" s="12"/>
      <c r="I115573" s="12"/>
      <c r="J115573" s="12"/>
      <c r="K115573" s="12"/>
      <c r="L115573" s="208"/>
      <c r="M115573" s="209"/>
      <c r="N115573" s="209"/>
      <c r="O115573" s="209"/>
    </row>
    <row r="115574" spans="1:15" s="210" customFormat="1" x14ac:dyDescent="0.3">
      <c r="A115574" s="12"/>
      <c r="B115574" s="15"/>
      <c r="C115574" s="15"/>
      <c r="D115574" s="12"/>
      <c r="E115574" s="12"/>
      <c r="F115574" s="13"/>
      <c r="G115574" s="12"/>
      <c r="H115574" s="12"/>
      <c r="I115574" s="12"/>
      <c r="J115574" s="12"/>
      <c r="K115574" s="12"/>
      <c r="L115574" s="208"/>
      <c r="M115574" s="209"/>
      <c r="N115574" s="209"/>
      <c r="O115574" s="209"/>
    </row>
    <row r="115575" spans="1:15" s="210" customFormat="1" x14ac:dyDescent="0.3">
      <c r="A115575" s="12"/>
      <c r="B115575" s="15"/>
      <c r="C115575" s="15"/>
      <c r="D115575" s="12"/>
      <c r="E115575" s="12"/>
      <c r="F115575" s="13"/>
      <c r="G115575" s="12"/>
      <c r="H115575" s="12"/>
      <c r="I115575" s="12"/>
      <c r="J115575" s="12"/>
      <c r="K115575" s="12"/>
      <c r="L115575" s="208"/>
      <c r="M115575" s="209"/>
      <c r="N115575" s="209"/>
      <c r="O115575" s="209"/>
    </row>
    <row r="115576" spans="1:15" s="210" customFormat="1" x14ac:dyDescent="0.3">
      <c r="A115576" s="12"/>
      <c r="B115576" s="15"/>
      <c r="C115576" s="15"/>
      <c r="D115576" s="12"/>
      <c r="E115576" s="12"/>
      <c r="F115576" s="13"/>
      <c r="G115576" s="12"/>
      <c r="H115576" s="12"/>
      <c r="I115576" s="12"/>
      <c r="J115576" s="12"/>
      <c r="K115576" s="12"/>
      <c r="L115576" s="208"/>
      <c r="M115576" s="209"/>
      <c r="N115576" s="209"/>
      <c r="O115576" s="209"/>
    </row>
    <row r="115577" spans="1:15" s="210" customFormat="1" x14ac:dyDescent="0.3">
      <c r="A115577" s="12"/>
      <c r="B115577" s="15"/>
      <c r="C115577" s="15"/>
      <c r="D115577" s="12"/>
      <c r="E115577" s="12"/>
      <c r="F115577" s="13"/>
      <c r="G115577" s="12"/>
      <c r="H115577" s="12"/>
      <c r="I115577" s="12"/>
      <c r="J115577" s="12"/>
      <c r="K115577" s="12"/>
      <c r="L115577" s="208"/>
      <c r="M115577" s="209"/>
      <c r="N115577" s="209"/>
      <c r="O115577" s="209"/>
    </row>
    <row r="115578" spans="1:15" s="210" customFormat="1" x14ac:dyDescent="0.3">
      <c r="A115578" s="12"/>
      <c r="B115578" s="15"/>
      <c r="C115578" s="15"/>
      <c r="D115578" s="12"/>
      <c r="E115578" s="12"/>
      <c r="F115578" s="13"/>
      <c r="G115578" s="12"/>
      <c r="H115578" s="12"/>
      <c r="I115578" s="12"/>
      <c r="J115578" s="12"/>
      <c r="K115578" s="12"/>
      <c r="L115578" s="208"/>
      <c r="M115578" s="209"/>
      <c r="N115578" s="209"/>
      <c r="O115578" s="209"/>
    </row>
    <row r="115579" spans="1:15" s="210" customFormat="1" x14ac:dyDescent="0.3">
      <c r="A115579" s="12"/>
      <c r="B115579" s="15"/>
      <c r="C115579" s="15"/>
      <c r="D115579" s="12"/>
      <c r="E115579" s="12"/>
      <c r="F115579" s="13"/>
      <c r="G115579" s="12"/>
      <c r="H115579" s="12"/>
      <c r="I115579" s="12"/>
      <c r="J115579" s="12"/>
      <c r="K115579" s="12"/>
      <c r="L115579" s="208"/>
      <c r="M115579" s="209"/>
      <c r="N115579" s="209"/>
      <c r="O115579" s="209"/>
    </row>
    <row r="115580" spans="1:15" s="210" customFormat="1" x14ac:dyDescent="0.3">
      <c r="A115580" s="12"/>
      <c r="B115580" s="15"/>
      <c r="C115580" s="15"/>
      <c r="D115580" s="12"/>
      <c r="E115580" s="12"/>
      <c r="F115580" s="13"/>
      <c r="G115580" s="12"/>
      <c r="H115580" s="12"/>
      <c r="I115580" s="12"/>
      <c r="J115580" s="12"/>
      <c r="K115580" s="12"/>
      <c r="L115580" s="208"/>
      <c r="M115580" s="209"/>
      <c r="N115580" s="209"/>
      <c r="O115580" s="209"/>
    </row>
    <row r="115581" spans="1:15" s="210" customFormat="1" x14ac:dyDescent="0.3">
      <c r="A115581" s="12"/>
      <c r="B115581" s="15"/>
      <c r="C115581" s="15"/>
      <c r="D115581" s="12"/>
      <c r="E115581" s="12"/>
      <c r="F115581" s="13"/>
      <c r="G115581" s="12"/>
      <c r="H115581" s="12"/>
      <c r="I115581" s="12"/>
      <c r="J115581" s="12"/>
      <c r="K115581" s="12"/>
      <c r="L115581" s="208"/>
      <c r="M115581" s="209"/>
      <c r="N115581" s="209"/>
      <c r="O115581" s="209"/>
    </row>
    <row r="115582" spans="1:15" s="210" customFormat="1" x14ac:dyDescent="0.3">
      <c r="A115582" s="12"/>
      <c r="B115582" s="15"/>
      <c r="C115582" s="15"/>
      <c r="D115582" s="12"/>
      <c r="E115582" s="12"/>
      <c r="F115582" s="13"/>
      <c r="G115582" s="12"/>
      <c r="H115582" s="12"/>
      <c r="I115582" s="12"/>
      <c r="J115582" s="12"/>
      <c r="K115582" s="12"/>
      <c r="L115582" s="208"/>
      <c r="M115582" s="209"/>
      <c r="N115582" s="209"/>
      <c r="O115582" s="209"/>
    </row>
    <row r="115583" spans="1:15" s="210" customFormat="1" x14ac:dyDescent="0.3">
      <c r="A115583" s="12"/>
      <c r="B115583" s="15"/>
      <c r="C115583" s="15"/>
      <c r="D115583" s="12"/>
      <c r="E115583" s="12"/>
      <c r="F115583" s="13"/>
      <c r="G115583" s="12"/>
      <c r="H115583" s="12"/>
      <c r="I115583" s="12"/>
      <c r="J115583" s="12"/>
      <c r="K115583" s="12"/>
      <c r="L115583" s="208"/>
      <c r="M115583" s="209"/>
      <c r="N115583" s="209"/>
      <c r="O115583" s="209"/>
    </row>
    <row r="115584" spans="1:15" s="210" customFormat="1" x14ac:dyDescent="0.3">
      <c r="A115584" s="12"/>
      <c r="B115584" s="15"/>
      <c r="C115584" s="15"/>
      <c r="D115584" s="12"/>
      <c r="E115584" s="12"/>
      <c r="F115584" s="13"/>
      <c r="G115584" s="12"/>
      <c r="H115584" s="12"/>
      <c r="I115584" s="12"/>
      <c r="J115584" s="12"/>
      <c r="K115584" s="12"/>
      <c r="L115584" s="208"/>
      <c r="M115584" s="209"/>
      <c r="N115584" s="209"/>
      <c r="O115584" s="209"/>
    </row>
    <row r="115585" spans="1:15" s="210" customFormat="1" x14ac:dyDescent="0.3">
      <c r="A115585" s="12"/>
      <c r="B115585" s="15"/>
      <c r="C115585" s="15"/>
      <c r="D115585" s="12"/>
      <c r="E115585" s="12"/>
      <c r="F115585" s="13"/>
      <c r="G115585" s="12"/>
      <c r="H115585" s="12"/>
      <c r="I115585" s="12"/>
      <c r="J115585" s="12"/>
      <c r="K115585" s="12"/>
      <c r="L115585" s="208"/>
      <c r="M115585" s="209"/>
      <c r="N115585" s="209"/>
      <c r="O115585" s="209"/>
    </row>
    <row r="115586" spans="1:15" s="210" customFormat="1" x14ac:dyDescent="0.3">
      <c r="A115586" s="12"/>
      <c r="B115586" s="15"/>
      <c r="C115586" s="15"/>
      <c r="D115586" s="12"/>
      <c r="E115586" s="12"/>
      <c r="F115586" s="13"/>
      <c r="G115586" s="12"/>
      <c r="H115586" s="12"/>
      <c r="I115586" s="12"/>
      <c r="J115586" s="12"/>
      <c r="K115586" s="12"/>
      <c r="L115586" s="208"/>
      <c r="M115586" s="209"/>
      <c r="N115586" s="209"/>
      <c r="O115586" s="209"/>
    </row>
    <row r="115587" spans="1:15" s="210" customFormat="1" x14ac:dyDescent="0.3">
      <c r="A115587" s="12"/>
      <c r="B115587" s="15"/>
      <c r="C115587" s="15"/>
      <c r="D115587" s="12"/>
      <c r="E115587" s="12"/>
      <c r="F115587" s="13"/>
      <c r="G115587" s="12"/>
      <c r="H115587" s="12"/>
      <c r="I115587" s="12"/>
      <c r="J115587" s="12"/>
      <c r="K115587" s="12"/>
      <c r="L115587" s="208"/>
      <c r="M115587" s="209"/>
      <c r="N115587" s="209"/>
      <c r="O115587" s="209"/>
    </row>
    <row r="115588" spans="1:15" s="210" customFormat="1" x14ac:dyDescent="0.3">
      <c r="A115588" s="12"/>
      <c r="B115588" s="15"/>
      <c r="C115588" s="15"/>
      <c r="D115588" s="12"/>
      <c r="E115588" s="12"/>
      <c r="F115588" s="13"/>
      <c r="G115588" s="12"/>
      <c r="H115588" s="12"/>
      <c r="I115588" s="12"/>
      <c r="J115588" s="12"/>
      <c r="K115588" s="12"/>
      <c r="L115588" s="208"/>
      <c r="M115588" s="209"/>
      <c r="N115588" s="209"/>
      <c r="O115588" s="209"/>
    </row>
    <row r="115589" spans="1:15" s="210" customFormat="1" x14ac:dyDescent="0.3">
      <c r="A115589" s="12"/>
      <c r="B115589" s="15"/>
      <c r="C115589" s="15"/>
      <c r="D115589" s="12"/>
      <c r="E115589" s="12"/>
      <c r="F115589" s="13"/>
      <c r="G115589" s="12"/>
      <c r="H115589" s="12"/>
      <c r="I115589" s="12"/>
      <c r="J115589" s="12"/>
      <c r="K115589" s="12"/>
      <c r="L115589" s="208"/>
      <c r="M115589" s="209"/>
      <c r="N115589" s="209"/>
      <c r="O115589" s="209"/>
    </row>
    <row r="115590" spans="1:15" s="210" customFormat="1" x14ac:dyDescent="0.3">
      <c r="A115590" s="12"/>
      <c r="B115590" s="15"/>
      <c r="C115590" s="15"/>
      <c r="D115590" s="12"/>
      <c r="E115590" s="12"/>
      <c r="F115590" s="13"/>
      <c r="G115590" s="12"/>
      <c r="H115590" s="12"/>
      <c r="I115590" s="12"/>
      <c r="J115590" s="12"/>
      <c r="K115590" s="12"/>
      <c r="L115590" s="208"/>
      <c r="M115590" s="209"/>
      <c r="N115590" s="209"/>
      <c r="O115590" s="209"/>
    </row>
    <row r="115591" spans="1:15" s="210" customFormat="1" x14ac:dyDescent="0.3">
      <c r="A115591" s="12"/>
      <c r="B115591" s="15"/>
      <c r="C115591" s="15"/>
      <c r="D115591" s="12"/>
      <c r="E115591" s="12"/>
      <c r="F115591" s="13"/>
      <c r="G115591" s="12"/>
      <c r="H115591" s="12"/>
      <c r="I115591" s="12"/>
      <c r="J115591" s="12"/>
      <c r="K115591" s="12"/>
      <c r="L115591" s="208"/>
      <c r="M115591" s="209"/>
      <c r="N115591" s="209"/>
      <c r="O115591" s="209"/>
    </row>
    <row r="115592" spans="1:15" s="210" customFormat="1" x14ac:dyDescent="0.3">
      <c r="A115592" s="12"/>
      <c r="B115592" s="15"/>
      <c r="C115592" s="15"/>
      <c r="D115592" s="12"/>
      <c r="E115592" s="12"/>
      <c r="F115592" s="13"/>
      <c r="G115592" s="12"/>
      <c r="H115592" s="12"/>
      <c r="I115592" s="12"/>
      <c r="J115592" s="12"/>
      <c r="K115592" s="12"/>
      <c r="L115592" s="208"/>
      <c r="M115592" s="209"/>
      <c r="N115592" s="209"/>
      <c r="O115592" s="209"/>
    </row>
    <row r="115593" spans="1:15" s="210" customFormat="1" x14ac:dyDescent="0.3">
      <c r="A115593" s="12"/>
      <c r="B115593" s="15"/>
      <c r="C115593" s="15"/>
      <c r="D115593" s="12"/>
      <c r="E115593" s="12"/>
      <c r="F115593" s="13"/>
      <c r="G115593" s="12"/>
      <c r="H115593" s="12"/>
      <c r="I115593" s="12"/>
      <c r="J115593" s="12"/>
      <c r="K115593" s="12"/>
      <c r="L115593" s="208"/>
      <c r="M115593" s="209"/>
      <c r="N115593" s="209"/>
      <c r="O115593" s="209"/>
    </row>
    <row r="115594" spans="1:15" s="210" customFormat="1" x14ac:dyDescent="0.3">
      <c r="A115594" s="12"/>
      <c r="B115594" s="15"/>
      <c r="C115594" s="15"/>
      <c r="D115594" s="12"/>
      <c r="E115594" s="12"/>
      <c r="F115594" s="13"/>
      <c r="G115594" s="12"/>
      <c r="H115594" s="12"/>
      <c r="I115594" s="12"/>
      <c r="J115594" s="12"/>
      <c r="K115594" s="12"/>
      <c r="L115594" s="208"/>
      <c r="M115594" s="209"/>
      <c r="N115594" s="209"/>
      <c r="O115594" s="209"/>
    </row>
    <row r="115595" spans="1:15" s="210" customFormat="1" x14ac:dyDescent="0.3">
      <c r="A115595" s="12"/>
      <c r="B115595" s="15"/>
      <c r="C115595" s="15"/>
      <c r="D115595" s="12"/>
      <c r="E115595" s="12"/>
      <c r="F115595" s="13"/>
      <c r="G115595" s="12"/>
      <c r="H115595" s="12"/>
      <c r="I115595" s="12"/>
      <c r="J115595" s="12"/>
      <c r="K115595" s="12"/>
      <c r="L115595" s="208"/>
      <c r="M115595" s="209"/>
      <c r="N115595" s="209"/>
      <c r="O115595" s="209"/>
    </row>
    <row r="115596" spans="1:15" s="210" customFormat="1" x14ac:dyDescent="0.3">
      <c r="A115596" s="12"/>
      <c r="B115596" s="15"/>
      <c r="C115596" s="15"/>
      <c r="D115596" s="12"/>
      <c r="E115596" s="12"/>
      <c r="F115596" s="13"/>
      <c r="G115596" s="12"/>
      <c r="H115596" s="12"/>
      <c r="I115596" s="12"/>
      <c r="J115596" s="12"/>
      <c r="K115596" s="12"/>
      <c r="L115596" s="208"/>
      <c r="M115596" s="209"/>
      <c r="N115596" s="209"/>
      <c r="O115596" s="209"/>
    </row>
    <row r="115597" spans="1:15" s="210" customFormat="1" x14ac:dyDescent="0.3">
      <c r="A115597" s="12"/>
      <c r="B115597" s="15"/>
      <c r="C115597" s="15"/>
      <c r="D115597" s="12"/>
      <c r="E115597" s="12"/>
      <c r="F115597" s="13"/>
      <c r="G115597" s="12"/>
      <c r="H115597" s="12"/>
      <c r="I115597" s="12"/>
      <c r="J115597" s="12"/>
      <c r="K115597" s="12"/>
      <c r="L115597" s="208"/>
      <c r="M115597" s="209"/>
      <c r="N115597" s="209"/>
      <c r="O115597" s="209"/>
    </row>
    <row r="115598" spans="1:15" s="210" customFormat="1" x14ac:dyDescent="0.3">
      <c r="A115598" s="12"/>
      <c r="B115598" s="15"/>
      <c r="C115598" s="15"/>
      <c r="D115598" s="12"/>
      <c r="E115598" s="12"/>
      <c r="F115598" s="13"/>
      <c r="G115598" s="12"/>
      <c r="H115598" s="12"/>
      <c r="I115598" s="12"/>
      <c r="J115598" s="12"/>
      <c r="K115598" s="12"/>
      <c r="L115598" s="208"/>
      <c r="M115598" s="209"/>
      <c r="N115598" s="209"/>
      <c r="O115598" s="209"/>
    </row>
    <row r="115599" spans="1:15" s="210" customFormat="1" x14ac:dyDescent="0.3">
      <c r="A115599" s="12"/>
      <c r="B115599" s="15"/>
      <c r="C115599" s="15"/>
      <c r="D115599" s="12"/>
      <c r="E115599" s="12"/>
      <c r="F115599" s="13"/>
      <c r="G115599" s="12"/>
      <c r="H115599" s="12"/>
      <c r="I115599" s="12"/>
      <c r="J115599" s="12"/>
      <c r="K115599" s="12"/>
      <c r="L115599" s="208"/>
      <c r="M115599" s="209"/>
      <c r="N115599" s="209"/>
      <c r="O115599" s="209"/>
    </row>
    <row r="115600" spans="1:15" s="210" customFormat="1" x14ac:dyDescent="0.3">
      <c r="A115600" s="12"/>
      <c r="B115600" s="15"/>
      <c r="C115600" s="15"/>
      <c r="D115600" s="12"/>
      <c r="E115600" s="12"/>
      <c r="F115600" s="13"/>
      <c r="G115600" s="12"/>
      <c r="H115600" s="12"/>
      <c r="I115600" s="12"/>
      <c r="J115600" s="12"/>
      <c r="K115600" s="12"/>
      <c r="L115600" s="208"/>
      <c r="M115600" s="209"/>
      <c r="N115600" s="209"/>
      <c r="O115600" s="209"/>
    </row>
    <row r="115601" spans="1:15" s="210" customFormat="1" x14ac:dyDescent="0.3">
      <c r="A115601" s="12"/>
      <c r="B115601" s="15"/>
      <c r="C115601" s="15"/>
      <c r="D115601" s="12"/>
      <c r="E115601" s="12"/>
      <c r="F115601" s="13"/>
      <c r="G115601" s="12"/>
      <c r="H115601" s="12"/>
      <c r="I115601" s="12"/>
      <c r="J115601" s="12"/>
      <c r="K115601" s="12"/>
      <c r="L115601" s="208"/>
      <c r="M115601" s="209"/>
      <c r="N115601" s="209"/>
      <c r="O115601" s="209"/>
    </row>
    <row r="115602" spans="1:15" s="210" customFormat="1" x14ac:dyDescent="0.3">
      <c r="A115602" s="12"/>
      <c r="B115602" s="15"/>
      <c r="C115602" s="15"/>
      <c r="D115602" s="12"/>
      <c r="E115602" s="12"/>
      <c r="F115602" s="13"/>
      <c r="G115602" s="12"/>
      <c r="H115602" s="12"/>
      <c r="I115602" s="12"/>
      <c r="J115602" s="12"/>
      <c r="K115602" s="12"/>
      <c r="L115602" s="208"/>
      <c r="M115602" s="209"/>
      <c r="N115602" s="209"/>
      <c r="O115602" s="209"/>
    </row>
    <row r="115603" spans="1:15" s="210" customFormat="1" x14ac:dyDescent="0.3">
      <c r="A115603" s="12"/>
      <c r="B115603" s="15"/>
      <c r="C115603" s="15"/>
      <c r="D115603" s="12"/>
      <c r="E115603" s="12"/>
      <c r="F115603" s="13"/>
      <c r="G115603" s="12"/>
      <c r="H115603" s="12"/>
      <c r="I115603" s="12"/>
      <c r="J115603" s="12"/>
      <c r="K115603" s="12"/>
      <c r="L115603" s="208"/>
      <c r="M115603" s="209"/>
      <c r="N115603" s="209"/>
      <c r="O115603" s="209"/>
    </row>
    <row r="115604" spans="1:15" s="210" customFormat="1" x14ac:dyDescent="0.3">
      <c r="A115604" s="12"/>
      <c r="B115604" s="15"/>
      <c r="C115604" s="15"/>
      <c r="D115604" s="12"/>
      <c r="E115604" s="12"/>
      <c r="F115604" s="13"/>
      <c r="G115604" s="12"/>
      <c r="H115604" s="12"/>
      <c r="I115604" s="12"/>
      <c r="J115604" s="12"/>
      <c r="K115604" s="12"/>
      <c r="L115604" s="208"/>
      <c r="M115604" s="209"/>
      <c r="N115604" s="209"/>
      <c r="O115604" s="209"/>
    </row>
    <row r="115605" spans="1:15" s="210" customFormat="1" x14ac:dyDescent="0.3">
      <c r="A115605" s="12"/>
      <c r="B115605" s="15"/>
      <c r="C115605" s="15"/>
      <c r="D115605" s="12"/>
      <c r="E115605" s="12"/>
      <c r="F115605" s="13"/>
      <c r="G115605" s="12"/>
      <c r="H115605" s="12"/>
      <c r="I115605" s="12"/>
      <c r="J115605" s="12"/>
      <c r="K115605" s="12"/>
      <c r="L115605" s="208"/>
      <c r="M115605" s="209"/>
      <c r="N115605" s="209"/>
      <c r="O115605" s="209"/>
    </row>
    <row r="115606" spans="1:15" s="210" customFormat="1" x14ac:dyDescent="0.3">
      <c r="A115606" s="12"/>
      <c r="B115606" s="15"/>
      <c r="C115606" s="15"/>
      <c r="D115606" s="12"/>
      <c r="E115606" s="12"/>
      <c r="F115606" s="13"/>
      <c r="G115606" s="12"/>
      <c r="H115606" s="12"/>
      <c r="I115606" s="12"/>
      <c r="J115606" s="12"/>
      <c r="K115606" s="12"/>
      <c r="L115606" s="208"/>
      <c r="M115606" s="209"/>
      <c r="N115606" s="209"/>
      <c r="O115606" s="209"/>
    </row>
    <row r="115607" spans="1:15" s="210" customFormat="1" x14ac:dyDescent="0.3">
      <c r="A115607" s="12"/>
      <c r="B115607" s="15"/>
      <c r="C115607" s="15"/>
      <c r="D115607" s="12"/>
      <c r="E115607" s="12"/>
      <c r="F115607" s="13"/>
      <c r="G115607" s="12"/>
      <c r="H115607" s="12"/>
      <c r="I115607" s="12"/>
      <c r="J115607" s="12"/>
      <c r="K115607" s="12"/>
      <c r="L115607" s="208"/>
      <c r="M115607" s="209"/>
      <c r="N115607" s="209"/>
      <c r="O115607" s="209"/>
    </row>
    <row r="115608" spans="1:15" s="210" customFormat="1" x14ac:dyDescent="0.3">
      <c r="A115608" s="12"/>
      <c r="B115608" s="15"/>
      <c r="C115608" s="15"/>
      <c r="D115608" s="12"/>
      <c r="E115608" s="12"/>
      <c r="F115608" s="13"/>
      <c r="G115608" s="12"/>
      <c r="H115608" s="12"/>
      <c r="I115608" s="12"/>
      <c r="J115608" s="12"/>
      <c r="K115608" s="12"/>
      <c r="L115608" s="208"/>
      <c r="M115608" s="209"/>
      <c r="N115608" s="209"/>
      <c r="O115608" s="209"/>
    </row>
    <row r="115609" spans="1:15" s="210" customFormat="1" x14ac:dyDescent="0.3">
      <c r="A115609" s="12"/>
      <c r="B115609" s="15"/>
      <c r="C115609" s="15"/>
      <c r="D115609" s="12"/>
      <c r="E115609" s="12"/>
      <c r="F115609" s="13"/>
      <c r="G115609" s="12"/>
      <c r="H115609" s="12"/>
      <c r="I115609" s="12"/>
      <c r="J115609" s="12"/>
      <c r="K115609" s="12"/>
      <c r="L115609" s="208"/>
      <c r="M115609" s="209"/>
      <c r="N115609" s="209"/>
      <c r="O115609" s="209"/>
    </row>
    <row r="115610" spans="1:15" s="210" customFormat="1" x14ac:dyDescent="0.3">
      <c r="A115610" s="12"/>
      <c r="B115610" s="15"/>
      <c r="C115610" s="15"/>
      <c r="D115610" s="12"/>
      <c r="E115610" s="12"/>
      <c r="F115610" s="13"/>
      <c r="G115610" s="12"/>
      <c r="H115610" s="12"/>
      <c r="I115610" s="12"/>
      <c r="J115610" s="12"/>
      <c r="K115610" s="12"/>
      <c r="L115610" s="208"/>
      <c r="M115610" s="209"/>
      <c r="N115610" s="209"/>
      <c r="O115610" s="209"/>
    </row>
    <row r="115611" spans="1:15" s="210" customFormat="1" x14ac:dyDescent="0.3">
      <c r="A115611" s="12"/>
      <c r="B115611" s="15"/>
      <c r="C115611" s="15"/>
      <c r="D115611" s="12"/>
      <c r="E115611" s="12"/>
      <c r="F115611" s="13"/>
      <c r="G115611" s="12"/>
      <c r="H115611" s="12"/>
      <c r="I115611" s="12"/>
      <c r="J115611" s="12"/>
      <c r="K115611" s="12"/>
      <c r="L115611" s="208"/>
      <c r="M115611" s="209"/>
      <c r="N115611" s="209"/>
      <c r="O115611" s="209"/>
    </row>
    <row r="115612" spans="1:15" s="210" customFormat="1" x14ac:dyDescent="0.3">
      <c r="A115612" s="12"/>
      <c r="B115612" s="15"/>
      <c r="C115612" s="15"/>
      <c r="D115612" s="12"/>
      <c r="E115612" s="12"/>
      <c r="F115612" s="13"/>
      <c r="G115612" s="12"/>
      <c r="H115612" s="12"/>
      <c r="I115612" s="12"/>
      <c r="J115612" s="12"/>
      <c r="K115612" s="12"/>
      <c r="L115612" s="208"/>
      <c r="M115612" s="209"/>
      <c r="N115612" s="209"/>
      <c r="O115612" s="209"/>
    </row>
    <row r="115613" spans="1:15" s="210" customFormat="1" x14ac:dyDescent="0.3">
      <c r="A115613" s="12"/>
      <c r="B115613" s="15"/>
      <c r="C115613" s="15"/>
      <c r="D115613" s="12"/>
      <c r="E115613" s="12"/>
      <c r="F115613" s="13"/>
      <c r="G115613" s="12"/>
      <c r="H115613" s="12"/>
      <c r="I115613" s="12"/>
      <c r="J115613" s="12"/>
      <c r="K115613" s="12"/>
      <c r="L115613" s="208"/>
      <c r="M115613" s="209"/>
      <c r="N115613" s="209"/>
      <c r="O115613" s="209"/>
    </row>
    <row r="115614" spans="1:15" s="210" customFormat="1" x14ac:dyDescent="0.3">
      <c r="A115614" s="12"/>
      <c r="B115614" s="15"/>
      <c r="C115614" s="15"/>
      <c r="D115614" s="12"/>
      <c r="E115614" s="12"/>
      <c r="F115614" s="13"/>
      <c r="G115614" s="12"/>
      <c r="H115614" s="12"/>
      <c r="I115614" s="12"/>
      <c r="J115614" s="12"/>
      <c r="K115614" s="12"/>
      <c r="L115614" s="208"/>
      <c r="M115614" s="209"/>
      <c r="N115614" s="209"/>
      <c r="O115614" s="209"/>
    </row>
    <row r="115615" spans="1:15" s="210" customFormat="1" x14ac:dyDescent="0.3">
      <c r="A115615" s="12"/>
      <c r="B115615" s="15"/>
      <c r="C115615" s="15"/>
      <c r="D115615" s="12"/>
      <c r="E115615" s="12"/>
      <c r="F115615" s="13"/>
      <c r="G115615" s="12"/>
      <c r="H115615" s="12"/>
      <c r="I115615" s="12"/>
      <c r="J115615" s="12"/>
      <c r="K115615" s="12"/>
      <c r="L115615" s="208"/>
      <c r="M115615" s="209"/>
      <c r="N115615" s="209"/>
      <c r="O115615" s="209"/>
    </row>
    <row r="115616" spans="1:15" s="210" customFormat="1" x14ac:dyDescent="0.3">
      <c r="A115616" s="12"/>
      <c r="B115616" s="15"/>
      <c r="C115616" s="15"/>
      <c r="D115616" s="12"/>
      <c r="E115616" s="12"/>
      <c r="F115616" s="13"/>
      <c r="G115616" s="12"/>
      <c r="H115616" s="12"/>
      <c r="I115616" s="12"/>
      <c r="J115616" s="12"/>
      <c r="K115616" s="12"/>
      <c r="L115616" s="208"/>
      <c r="M115616" s="209"/>
      <c r="N115616" s="209"/>
      <c r="O115616" s="209"/>
    </row>
    <row r="115617" spans="1:15" s="210" customFormat="1" x14ac:dyDescent="0.3">
      <c r="A115617" s="12"/>
      <c r="B115617" s="15"/>
      <c r="C115617" s="15"/>
      <c r="D115617" s="12"/>
      <c r="E115617" s="12"/>
      <c r="F115617" s="13"/>
      <c r="G115617" s="12"/>
      <c r="H115617" s="12"/>
      <c r="I115617" s="12"/>
      <c r="J115617" s="12"/>
      <c r="K115617" s="12"/>
      <c r="L115617" s="208"/>
      <c r="M115617" s="209"/>
      <c r="N115617" s="209"/>
      <c r="O115617" s="209"/>
    </row>
    <row r="115618" spans="1:15" s="210" customFormat="1" x14ac:dyDescent="0.3">
      <c r="A115618" s="12"/>
      <c r="B115618" s="15"/>
      <c r="C115618" s="15"/>
      <c r="D115618" s="12"/>
      <c r="E115618" s="12"/>
      <c r="F115618" s="13"/>
      <c r="G115618" s="12"/>
      <c r="H115618" s="12"/>
      <c r="I115618" s="12"/>
      <c r="J115618" s="12"/>
      <c r="K115618" s="12"/>
      <c r="L115618" s="208"/>
      <c r="M115618" s="209"/>
      <c r="N115618" s="209"/>
      <c r="O115618" s="209"/>
    </row>
    <row r="115619" spans="1:15" s="210" customFormat="1" x14ac:dyDescent="0.3">
      <c r="A115619" s="12"/>
      <c r="B115619" s="15"/>
      <c r="C115619" s="15"/>
      <c r="D115619" s="12"/>
      <c r="E115619" s="12"/>
      <c r="F115619" s="13"/>
      <c r="G115619" s="12"/>
      <c r="H115619" s="12"/>
      <c r="I115619" s="12"/>
      <c r="J115619" s="12"/>
      <c r="K115619" s="12"/>
      <c r="L115619" s="208"/>
      <c r="M115619" s="209"/>
      <c r="N115619" s="209"/>
      <c r="O115619" s="209"/>
    </row>
    <row r="115620" spans="1:15" s="210" customFormat="1" x14ac:dyDescent="0.3">
      <c r="A115620" s="12"/>
      <c r="B115620" s="15"/>
      <c r="C115620" s="15"/>
      <c r="D115620" s="12"/>
      <c r="E115620" s="12"/>
      <c r="F115620" s="13"/>
      <c r="G115620" s="12"/>
      <c r="H115620" s="12"/>
      <c r="I115620" s="12"/>
      <c r="J115620" s="12"/>
      <c r="K115620" s="12"/>
      <c r="L115620" s="208"/>
      <c r="M115620" s="209"/>
      <c r="N115620" s="209"/>
      <c r="O115620" s="209"/>
    </row>
    <row r="115621" spans="1:15" s="210" customFormat="1" x14ac:dyDescent="0.3">
      <c r="A115621" s="12"/>
      <c r="B115621" s="15"/>
      <c r="C115621" s="15"/>
      <c r="D115621" s="12"/>
      <c r="E115621" s="12"/>
      <c r="F115621" s="13"/>
      <c r="G115621" s="12"/>
      <c r="H115621" s="12"/>
      <c r="I115621" s="12"/>
      <c r="J115621" s="12"/>
      <c r="K115621" s="12"/>
      <c r="L115621" s="208"/>
      <c r="M115621" s="209"/>
      <c r="N115621" s="209"/>
      <c r="O115621" s="209"/>
    </row>
    <row r="115622" spans="1:15" s="210" customFormat="1" x14ac:dyDescent="0.3">
      <c r="A115622" s="12"/>
      <c r="B115622" s="15"/>
      <c r="C115622" s="15"/>
      <c r="D115622" s="12"/>
      <c r="E115622" s="12"/>
      <c r="F115622" s="13"/>
      <c r="G115622" s="12"/>
      <c r="H115622" s="12"/>
      <c r="I115622" s="12"/>
      <c r="J115622" s="12"/>
      <c r="K115622" s="12"/>
      <c r="L115622" s="208"/>
      <c r="M115622" s="209"/>
      <c r="N115622" s="209"/>
      <c r="O115622" s="209"/>
    </row>
    <row r="115623" spans="1:15" s="210" customFormat="1" x14ac:dyDescent="0.3">
      <c r="A115623" s="12"/>
      <c r="B115623" s="15"/>
      <c r="C115623" s="15"/>
      <c r="D115623" s="12"/>
      <c r="E115623" s="12"/>
      <c r="F115623" s="13"/>
      <c r="G115623" s="12"/>
      <c r="H115623" s="12"/>
      <c r="I115623" s="12"/>
      <c r="J115623" s="12"/>
      <c r="K115623" s="12"/>
      <c r="L115623" s="208"/>
      <c r="M115623" s="209"/>
      <c r="N115623" s="209"/>
      <c r="O115623" s="209"/>
    </row>
    <row r="115624" spans="1:15" s="210" customFormat="1" x14ac:dyDescent="0.3">
      <c r="A115624" s="12"/>
      <c r="B115624" s="15"/>
      <c r="C115624" s="15"/>
      <c r="D115624" s="12"/>
      <c r="E115624" s="12"/>
      <c r="F115624" s="13"/>
      <c r="G115624" s="12"/>
      <c r="H115624" s="12"/>
      <c r="I115624" s="12"/>
      <c r="J115624" s="12"/>
      <c r="K115624" s="12"/>
      <c r="L115624" s="208"/>
      <c r="M115624" s="209"/>
      <c r="N115624" s="209"/>
      <c r="O115624" s="209"/>
    </row>
    <row r="115625" spans="1:15" s="210" customFormat="1" x14ac:dyDescent="0.3">
      <c r="A115625" s="12"/>
      <c r="B115625" s="15"/>
      <c r="C115625" s="15"/>
      <c r="D115625" s="12"/>
      <c r="E115625" s="12"/>
      <c r="F115625" s="13"/>
      <c r="G115625" s="12"/>
      <c r="H115625" s="12"/>
      <c r="I115625" s="12"/>
      <c r="J115625" s="12"/>
      <c r="K115625" s="12"/>
      <c r="L115625" s="208"/>
      <c r="M115625" s="209"/>
      <c r="N115625" s="209"/>
      <c r="O115625" s="209"/>
    </row>
    <row r="115626" spans="1:15" s="210" customFormat="1" x14ac:dyDescent="0.3">
      <c r="A115626" s="12"/>
      <c r="B115626" s="15"/>
      <c r="C115626" s="15"/>
      <c r="D115626" s="12"/>
      <c r="E115626" s="12"/>
      <c r="F115626" s="13"/>
      <c r="G115626" s="12"/>
      <c r="H115626" s="12"/>
      <c r="I115626" s="12"/>
      <c r="J115626" s="12"/>
      <c r="K115626" s="12"/>
      <c r="L115626" s="208"/>
      <c r="M115626" s="209"/>
      <c r="N115626" s="209"/>
      <c r="O115626" s="209"/>
    </row>
    <row r="115627" spans="1:15" s="210" customFormat="1" x14ac:dyDescent="0.3">
      <c r="A115627" s="12"/>
      <c r="B115627" s="15"/>
      <c r="C115627" s="15"/>
      <c r="D115627" s="12"/>
      <c r="E115627" s="12"/>
      <c r="F115627" s="13"/>
      <c r="G115627" s="12"/>
      <c r="H115627" s="12"/>
      <c r="I115627" s="12"/>
      <c r="J115627" s="12"/>
      <c r="K115627" s="12"/>
      <c r="L115627" s="208"/>
      <c r="M115627" s="209"/>
      <c r="N115627" s="209"/>
      <c r="O115627" s="209"/>
    </row>
    <row r="115628" spans="1:15" s="210" customFormat="1" x14ac:dyDescent="0.3">
      <c r="A115628" s="12"/>
      <c r="B115628" s="15"/>
      <c r="C115628" s="15"/>
      <c r="D115628" s="12"/>
      <c r="E115628" s="12"/>
      <c r="F115628" s="13"/>
      <c r="G115628" s="12"/>
      <c r="H115628" s="12"/>
      <c r="I115628" s="12"/>
      <c r="J115628" s="12"/>
      <c r="K115628" s="12"/>
      <c r="L115628" s="208"/>
      <c r="M115628" s="209"/>
      <c r="N115628" s="209"/>
      <c r="O115628" s="209"/>
    </row>
    <row r="115629" spans="1:15" s="210" customFormat="1" x14ac:dyDescent="0.3">
      <c r="A115629" s="12"/>
      <c r="B115629" s="15"/>
      <c r="C115629" s="15"/>
      <c r="D115629" s="12"/>
      <c r="E115629" s="12"/>
      <c r="F115629" s="13"/>
      <c r="G115629" s="12"/>
      <c r="H115629" s="12"/>
      <c r="I115629" s="12"/>
      <c r="J115629" s="12"/>
      <c r="K115629" s="12"/>
      <c r="L115629" s="208"/>
      <c r="M115629" s="209"/>
      <c r="N115629" s="209"/>
      <c r="O115629" s="209"/>
    </row>
    <row r="115630" spans="1:15" s="210" customFormat="1" x14ac:dyDescent="0.3">
      <c r="A115630" s="12"/>
      <c r="B115630" s="15"/>
      <c r="C115630" s="15"/>
      <c r="D115630" s="12"/>
      <c r="E115630" s="12"/>
      <c r="F115630" s="13"/>
      <c r="G115630" s="12"/>
      <c r="H115630" s="12"/>
      <c r="I115630" s="12"/>
      <c r="J115630" s="12"/>
      <c r="K115630" s="12"/>
      <c r="L115630" s="208"/>
      <c r="M115630" s="209"/>
      <c r="N115630" s="209"/>
      <c r="O115630" s="209"/>
    </row>
    <row r="115631" spans="1:15" s="210" customFormat="1" x14ac:dyDescent="0.3">
      <c r="A115631" s="12"/>
      <c r="B115631" s="15"/>
      <c r="C115631" s="15"/>
      <c r="D115631" s="12"/>
      <c r="E115631" s="12"/>
      <c r="F115631" s="13"/>
      <c r="G115631" s="12"/>
      <c r="H115631" s="12"/>
      <c r="I115631" s="12"/>
      <c r="J115631" s="12"/>
      <c r="K115631" s="12"/>
      <c r="L115631" s="208"/>
      <c r="M115631" s="209"/>
      <c r="N115631" s="209"/>
      <c r="O115631" s="209"/>
    </row>
    <row r="115632" spans="1:15" s="210" customFormat="1" x14ac:dyDescent="0.3">
      <c r="A115632" s="12"/>
      <c r="B115632" s="15"/>
      <c r="C115632" s="15"/>
      <c r="D115632" s="12"/>
      <c r="E115632" s="12"/>
      <c r="F115632" s="13"/>
      <c r="G115632" s="12"/>
      <c r="H115632" s="12"/>
      <c r="I115632" s="12"/>
      <c r="J115632" s="12"/>
      <c r="K115632" s="12"/>
      <c r="L115632" s="208"/>
      <c r="M115632" s="209"/>
      <c r="N115632" s="209"/>
      <c r="O115632" s="209"/>
    </row>
    <row r="115633" spans="1:15" s="210" customFormat="1" x14ac:dyDescent="0.3">
      <c r="A115633" s="12"/>
      <c r="B115633" s="15"/>
      <c r="C115633" s="15"/>
      <c r="D115633" s="12"/>
      <c r="E115633" s="12"/>
      <c r="F115633" s="13"/>
      <c r="G115633" s="12"/>
      <c r="H115633" s="12"/>
      <c r="I115633" s="12"/>
      <c r="J115633" s="12"/>
      <c r="K115633" s="12"/>
      <c r="L115633" s="208"/>
      <c r="M115633" s="209"/>
      <c r="N115633" s="209"/>
      <c r="O115633" s="209"/>
    </row>
    <row r="115634" spans="1:15" s="210" customFormat="1" x14ac:dyDescent="0.3">
      <c r="A115634" s="12"/>
      <c r="B115634" s="15"/>
      <c r="C115634" s="15"/>
      <c r="D115634" s="12"/>
      <c r="E115634" s="12"/>
      <c r="F115634" s="13"/>
      <c r="G115634" s="12"/>
      <c r="H115634" s="12"/>
      <c r="I115634" s="12"/>
      <c r="J115634" s="12"/>
      <c r="K115634" s="12"/>
      <c r="L115634" s="208"/>
      <c r="M115634" s="209"/>
      <c r="N115634" s="209"/>
      <c r="O115634" s="209"/>
    </row>
    <row r="115635" spans="1:15" s="210" customFormat="1" x14ac:dyDescent="0.3">
      <c r="A115635" s="12"/>
      <c r="B115635" s="15"/>
      <c r="C115635" s="15"/>
      <c r="D115635" s="12"/>
      <c r="E115635" s="12"/>
      <c r="F115635" s="13"/>
      <c r="G115635" s="12"/>
      <c r="H115635" s="12"/>
      <c r="I115635" s="12"/>
      <c r="J115635" s="12"/>
      <c r="K115635" s="12"/>
      <c r="L115635" s="208"/>
      <c r="M115635" s="209"/>
      <c r="N115635" s="209"/>
      <c r="O115635" s="209"/>
    </row>
    <row r="115636" spans="1:15" s="210" customFormat="1" x14ac:dyDescent="0.3">
      <c r="A115636" s="12"/>
      <c r="B115636" s="15"/>
      <c r="C115636" s="15"/>
      <c r="D115636" s="12"/>
      <c r="E115636" s="12"/>
      <c r="F115636" s="13"/>
      <c r="G115636" s="12"/>
      <c r="H115636" s="12"/>
      <c r="I115636" s="12"/>
      <c r="J115636" s="12"/>
      <c r="K115636" s="12"/>
      <c r="L115636" s="208"/>
      <c r="M115636" s="209"/>
      <c r="N115636" s="209"/>
      <c r="O115636" s="209"/>
    </row>
    <row r="115637" spans="1:15" s="210" customFormat="1" x14ac:dyDescent="0.3">
      <c r="A115637" s="12"/>
      <c r="B115637" s="15"/>
      <c r="C115637" s="15"/>
      <c r="D115637" s="12"/>
      <c r="E115637" s="12"/>
      <c r="F115637" s="13"/>
      <c r="G115637" s="12"/>
      <c r="H115637" s="12"/>
      <c r="I115637" s="12"/>
      <c r="J115637" s="12"/>
      <c r="K115637" s="12"/>
      <c r="L115637" s="208"/>
      <c r="M115637" s="209"/>
      <c r="N115637" s="209"/>
      <c r="O115637" s="209"/>
    </row>
    <row r="115638" spans="1:15" s="210" customFormat="1" x14ac:dyDescent="0.3">
      <c r="A115638" s="12"/>
      <c r="B115638" s="15"/>
      <c r="C115638" s="15"/>
      <c r="D115638" s="12"/>
      <c r="E115638" s="12"/>
      <c r="F115638" s="13"/>
      <c r="G115638" s="12"/>
      <c r="H115638" s="12"/>
      <c r="I115638" s="12"/>
      <c r="J115638" s="12"/>
      <c r="K115638" s="12"/>
      <c r="L115638" s="208"/>
      <c r="M115638" s="209"/>
      <c r="N115638" s="209"/>
      <c r="O115638" s="209"/>
    </row>
    <row r="115639" spans="1:15" s="210" customFormat="1" x14ac:dyDescent="0.3">
      <c r="A115639" s="12"/>
      <c r="B115639" s="15"/>
      <c r="C115639" s="15"/>
      <c r="D115639" s="12"/>
      <c r="E115639" s="12"/>
      <c r="F115639" s="13"/>
      <c r="G115639" s="12"/>
      <c r="H115639" s="12"/>
      <c r="I115639" s="12"/>
      <c r="J115639" s="12"/>
      <c r="K115639" s="12"/>
      <c r="L115639" s="208"/>
      <c r="M115639" s="209"/>
      <c r="N115639" s="209"/>
      <c r="O115639" s="209"/>
    </row>
    <row r="115640" spans="1:15" s="210" customFormat="1" x14ac:dyDescent="0.3">
      <c r="A115640" s="12"/>
      <c r="B115640" s="15"/>
      <c r="C115640" s="15"/>
      <c r="D115640" s="12"/>
      <c r="E115640" s="12"/>
      <c r="F115640" s="13"/>
      <c r="G115640" s="12"/>
      <c r="H115640" s="12"/>
      <c r="I115640" s="12"/>
      <c r="J115640" s="12"/>
      <c r="K115640" s="12"/>
      <c r="L115640" s="208"/>
      <c r="M115640" s="209"/>
      <c r="N115640" s="209"/>
      <c r="O115640" s="209"/>
    </row>
    <row r="115641" spans="1:15" s="210" customFormat="1" x14ac:dyDescent="0.3">
      <c r="A115641" s="12"/>
      <c r="B115641" s="15"/>
      <c r="C115641" s="15"/>
      <c r="D115641" s="12"/>
      <c r="E115641" s="12"/>
      <c r="F115641" s="13"/>
      <c r="G115641" s="12"/>
      <c r="H115641" s="12"/>
      <c r="I115641" s="12"/>
      <c r="J115641" s="12"/>
      <c r="K115641" s="12"/>
      <c r="L115641" s="208"/>
      <c r="M115641" s="209"/>
      <c r="N115641" s="209"/>
      <c r="O115641" s="209"/>
    </row>
    <row r="115642" spans="1:15" s="210" customFormat="1" x14ac:dyDescent="0.3">
      <c r="A115642" s="12"/>
      <c r="B115642" s="15"/>
      <c r="C115642" s="15"/>
      <c r="D115642" s="12"/>
      <c r="E115642" s="12"/>
      <c r="F115642" s="13"/>
      <c r="G115642" s="12"/>
      <c r="H115642" s="12"/>
      <c r="I115642" s="12"/>
      <c r="J115642" s="12"/>
      <c r="K115642" s="12"/>
      <c r="L115642" s="208"/>
      <c r="M115642" s="209"/>
      <c r="N115642" s="209"/>
      <c r="O115642" s="209"/>
    </row>
    <row r="115643" spans="1:15" s="210" customFormat="1" x14ac:dyDescent="0.3">
      <c r="A115643" s="12"/>
      <c r="B115643" s="15"/>
      <c r="C115643" s="15"/>
      <c r="D115643" s="12"/>
      <c r="E115643" s="12"/>
      <c r="F115643" s="13"/>
      <c r="G115643" s="12"/>
      <c r="H115643" s="12"/>
      <c r="I115643" s="12"/>
      <c r="J115643" s="12"/>
      <c r="K115643" s="12"/>
      <c r="L115643" s="208"/>
      <c r="M115643" s="209"/>
      <c r="N115643" s="209"/>
      <c r="O115643" s="209"/>
    </row>
    <row r="115644" spans="1:15" s="210" customFormat="1" x14ac:dyDescent="0.3">
      <c r="A115644" s="12"/>
      <c r="B115644" s="15"/>
      <c r="C115644" s="15"/>
      <c r="D115644" s="12"/>
      <c r="E115644" s="12"/>
      <c r="F115644" s="13"/>
      <c r="G115644" s="12"/>
      <c r="H115644" s="12"/>
      <c r="I115644" s="12"/>
      <c r="J115644" s="12"/>
      <c r="K115644" s="12"/>
      <c r="L115644" s="208"/>
      <c r="M115644" s="209"/>
      <c r="N115644" s="209"/>
      <c r="O115644" s="209"/>
    </row>
    <row r="115645" spans="1:15" s="210" customFormat="1" x14ac:dyDescent="0.3">
      <c r="A115645" s="12"/>
      <c r="B115645" s="15"/>
      <c r="C115645" s="15"/>
      <c r="D115645" s="12"/>
      <c r="E115645" s="12"/>
      <c r="F115645" s="13"/>
      <c r="G115645" s="12"/>
      <c r="H115645" s="12"/>
      <c r="I115645" s="12"/>
      <c r="J115645" s="12"/>
      <c r="K115645" s="12"/>
      <c r="L115645" s="208"/>
      <c r="M115645" s="209"/>
      <c r="N115645" s="209"/>
      <c r="O115645" s="209"/>
    </row>
    <row r="115646" spans="1:15" s="210" customFormat="1" x14ac:dyDescent="0.3">
      <c r="A115646" s="12"/>
      <c r="B115646" s="15"/>
      <c r="C115646" s="15"/>
      <c r="D115646" s="12"/>
      <c r="E115646" s="12"/>
      <c r="F115646" s="13"/>
      <c r="G115646" s="12"/>
      <c r="H115646" s="12"/>
      <c r="I115646" s="12"/>
      <c r="J115646" s="12"/>
      <c r="K115646" s="12"/>
      <c r="L115646" s="208"/>
      <c r="M115646" s="209"/>
      <c r="N115646" s="209"/>
      <c r="O115646" s="209"/>
    </row>
    <row r="115647" spans="1:15" s="210" customFormat="1" x14ac:dyDescent="0.3">
      <c r="A115647" s="12"/>
      <c r="B115647" s="15"/>
      <c r="C115647" s="15"/>
      <c r="D115647" s="12"/>
      <c r="E115647" s="12"/>
      <c r="F115647" s="13"/>
      <c r="G115647" s="12"/>
      <c r="H115647" s="12"/>
      <c r="I115647" s="12"/>
      <c r="J115647" s="12"/>
      <c r="K115647" s="12"/>
      <c r="L115647" s="208"/>
      <c r="M115647" s="209"/>
      <c r="N115647" s="209"/>
      <c r="O115647" s="209"/>
    </row>
    <row r="115648" spans="1:15" s="210" customFormat="1" x14ac:dyDescent="0.3">
      <c r="A115648" s="12"/>
      <c r="B115648" s="15"/>
      <c r="C115648" s="15"/>
      <c r="D115648" s="12"/>
      <c r="E115648" s="12"/>
      <c r="F115648" s="13"/>
      <c r="G115648" s="12"/>
      <c r="H115648" s="12"/>
      <c r="I115648" s="12"/>
      <c r="J115648" s="12"/>
      <c r="K115648" s="12"/>
      <c r="L115648" s="208"/>
      <c r="M115648" s="209"/>
      <c r="N115648" s="209"/>
      <c r="O115648" s="209"/>
    </row>
    <row r="115649" spans="1:15" s="210" customFormat="1" x14ac:dyDescent="0.3">
      <c r="A115649" s="12"/>
      <c r="B115649" s="15"/>
      <c r="C115649" s="15"/>
      <c r="D115649" s="12"/>
      <c r="E115649" s="12"/>
      <c r="F115649" s="13"/>
      <c r="G115649" s="12"/>
      <c r="H115649" s="12"/>
      <c r="I115649" s="12"/>
      <c r="J115649" s="12"/>
      <c r="K115649" s="12"/>
      <c r="L115649" s="208"/>
      <c r="M115649" s="209"/>
      <c r="N115649" s="209"/>
      <c r="O115649" s="209"/>
    </row>
    <row r="115650" spans="1:15" s="210" customFormat="1" x14ac:dyDescent="0.3">
      <c r="A115650" s="12"/>
      <c r="B115650" s="15"/>
      <c r="C115650" s="15"/>
      <c r="D115650" s="12"/>
      <c r="E115650" s="12"/>
      <c r="F115650" s="13"/>
      <c r="G115650" s="12"/>
      <c r="H115650" s="12"/>
      <c r="I115650" s="12"/>
      <c r="J115650" s="12"/>
      <c r="K115650" s="12"/>
      <c r="L115650" s="208"/>
      <c r="M115650" s="209"/>
      <c r="N115650" s="209"/>
      <c r="O115650" s="209"/>
    </row>
    <row r="115651" spans="1:15" s="210" customFormat="1" x14ac:dyDescent="0.3">
      <c r="A115651" s="12"/>
      <c r="B115651" s="15"/>
      <c r="C115651" s="15"/>
      <c r="D115651" s="12"/>
      <c r="E115651" s="12"/>
      <c r="F115651" s="13"/>
      <c r="G115651" s="12"/>
      <c r="H115651" s="12"/>
      <c r="I115651" s="12"/>
      <c r="J115651" s="12"/>
      <c r="K115651" s="12"/>
      <c r="L115651" s="208"/>
      <c r="M115651" s="209"/>
      <c r="N115651" s="209"/>
      <c r="O115651" s="209"/>
    </row>
    <row r="115652" spans="1:15" s="210" customFormat="1" x14ac:dyDescent="0.3">
      <c r="A115652" s="12"/>
      <c r="B115652" s="15"/>
      <c r="C115652" s="15"/>
      <c r="D115652" s="12"/>
      <c r="E115652" s="12"/>
      <c r="F115652" s="13"/>
      <c r="G115652" s="12"/>
      <c r="H115652" s="12"/>
      <c r="I115652" s="12"/>
      <c r="J115652" s="12"/>
      <c r="K115652" s="12"/>
      <c r="L115652" s="208"/>
      <c r="M115652" s="209"/>
      <c r="N115652" s="209"/>
      <c r="O115652" s="209"/>
    </row>
    <row r="115653" spans="1:15" s="210" customFormat="1" x14ac:dyDescent="0.3">
      <c r="A115653" s="12"/>
      <c r="B115653" s="15"/>
      <c r="C115653" s="15"/>
      <c r="D115653" s="12"/>
      <c r="E115653" s="12"/>
      <c r="F115653" s="13"/>
      <c r="G115653" s="12"/>
      <c r="H115653" s="12"/>
      <c r="I115653" s="12"/>
      <c r="J115653" s="12"/>
      <c r="K115653" s="12"/>
      <c r="L115653" s="208"/>
      <c r="M115653" s="209"/>
      <c r="N115653" s="209"/>
      <c r="O115653" s="209"/>
    </row>
    <row r="115654" spans="1:15" s="210" customFormat="1" x14ac:dyDescent="0.3">
      <c r="A115654" s="12"/>
      <c r="B115654" s="15"/>
      <c r="C115654" s="15"/>
      <c r="D115654" s="12"/>
      <c r="E115654" s="12"/>
      <c r="F115654" s="13"/>
      <c r="G115654" s="12"/>
      <c r="H115654" s="12"/>
      <c r="I115654" s="12"/>
      <c r="J115654" s="12"/>
      <c r="K115654" s="12"/>
      <c r="L115654" s="208"/>
      <c r="M115654" s="209"/>
      <c r="N115654" s="209"/>
      <c r="O115654" s="209"/>
    </row>
    <row r="115655" spans="1:15" s="210" customFormat="1" x14ac:dyDescent="0.3">
      <c r="A115655" s="12"/>
      <c r="B115655" s="15"/>
      <c r="C115655" s="15"/>
      <c r="D115655" s="12"/>
      <c r="E115655" s="12"/>
      <c r="F115655" s="13"/>
      <c r="G115655" s="12"/>
      <c r="H115655" s="12"/>
      <c r="I115655" s="12"/>
      <c r="J115655" s="12"/>
      <c r="K115655" s="12"/>
      <c r="L115655" s="208"/>
      <c r="M115655" s="209"/>
      <c r="N115655" s="209"/>
      <c r="O115655" s="209"/>
    </row>
    <row r="115656" spans="1:15" s="210" customFormat="1" x14ac:dyDescent="0.3">
      <c r="A115656" s="12"/>
      <c r="B115656" s="15"/>
      <c r="C115656" s="15"/>
      <c r="D115656" s="12"/>
      <c r="E115656" s="12"/>
      <c r="F115656" s="13"/>
      <c r="G115656" s="12"/>
      <c r="H115656" s="12"/>
      <c r="I115656" s="12"/>
      <c r="J115656" s="12"/>
      <c r="K115656" s="12"/>
      <c r="L115656" s="208"/>
      <c r="M115656" s="209"/>
      <c r="N115656" s="209"/>
      <c r="O115656" s="209"/>
    </row>
    <row r="115657" spans="1:15" s="210" customFormat="1" x14ac:dyDescent="0.3">
      <c r="A115657" s="12"/>
      <c r="B115657" s="15"/>
      <c r="C115657" s="15"/>
      <c r="D115657" s="12"/>
      <c r="E115657" s="12"/>
      <c r="F115657" s="13"/>
      <c r="G115657" s="12"/>
      <c r="H115657" s="12"/>
      <c r="I115657" s="12"/>
      <c r="J115657" s="12"/>
      <c r="K115657" s="12"/>
      <c r="L115657" s="208"/>
      <c r="M115657" s="209"/>
      <c r="N115657" s="209"/>
      <c r="O115657" s="209"/>
    </row>
    <row r="115658" spans="1:15" s="210" customFormat="1" x14ac:dyDescent="0.3">
      <c r="A115658" s="12"/>
      <c r="B115658" s="15"/>
      <c r="C115658" s="15"/>
      <c r="D115658" s="12"/>
      <c r="E115658" s="12"/>
      <c r="F115658" s="13"/>
      <c r="G115658" s="12"/>
      <c r="H115658" s="12"/>
      <c r="I115658" s="12"/>
      <c r="J115658" s="12"/>
      <c r="K115658" s="12"/>
      <c r="L115658" s="208"/>
      <c r="M115658" s="209"/>
      <c r="N115658" s="209"/>
      <c r="O115658" s="209"/>
    </row>
    <row r="115659" spans="1:15" s="210" customFormat="1" x14ac:dyDescent="0.3">
      <c r="A115659" s="12"/>
      <c r="B115659" s="15"/>
      <c r="C115659" s="15"/>
      <c r="D115659" s="12"/>
      <c r="E115659" s="12"/>
      <c r="F115659" s="13"/>
      <c r="G115659" s="12"/>
      <c r="H115659" s="12"/>
      <c r="I115659" s="12"/>
      <c r="J115659" s="12"/>
      <c r="K115659" s="12"/>
      <c r="L115659" s="208"/>
      <c r="M115659" s="209"/>
      <c r="N115659" s="209"/>
      <c r="O115659" s="209"/>
    </row>
    <row r="115660" spans="1:15" s="210" customFormat="1" x14ac:dyDescent="0.3">
      <c r="A115660" s="12"/>
      <c r="B115660" s="15"/>
      <c r="C115660" s="15"/>
      <c r="D115660" s="12"/>
      <c r="E115660" s="12"/>
      <c r="F115660" s="13"/>
      <c r="G115660" s="12"/>
      <c r="H115660" s="12"/>
      <c r="I115660" s="12"/>
      <c r="J115660" s="12"/>
      <c r="K115660" s="12"/>
      <c r="L115660" s="208"/>
      <c r="M115660" s="209"/>
      <c r="N115660" s="209"/>
      <c r="O115660" s="209"/>
    </row>
    <row r="115661" spans="1:15" s="210" customFormat="1" x14ac:dyDescent="0.3">
      <c r="A115661" s="12"/>
      <c r="B115661" s="15"/>
      <c r="C115661" s="15"/>
      <c r="D115661" s="12"/>
      <c r="E115661" s="12"/>
      <c r="F115661" s="13"/>
      <c r="G115661" s="12"/>
      <c r="H115661" s="12"/>
      <c r="I115661" s="12"/>
      <c r="J115661" s="12"/>
      <c r="K115661" s="12"/>
      <c r="L115661" s="208"/>
      <c r="M115661" s="209"/>
      <c r="N115661" s="209"/>
      <c r="O115661" s="209"/>
    </row>
    <row r="115662" spans="1:15" s="210" customFormat="1" x14ac:dyDescent="0.3">
      <c r="A115662" s="12"/>
      <c r="B115662" s="15"/>
      <c r="C115662" s="15"/>
      <c r="D115662" s="12"/>
      <c r="E115662" s="12"/>
      <c r="F115662" s="13"/>
      <c r="G115662" s="12"/>
      <c r="H115662" s="12"/>
      <c r="I115662" s="12"/>
      <c r="J115662" s="12"/>
      <c r="K115662" s="12"/>
      <c r="L115662" s="208"/>
      <c r="M115662" s="209"/>
      <c r="N115662" s="209"/>
      <c r="O115662" s="209"/>
    </row>
    <row r="115663" spans="1:15" s="210" customFormat="1" x14ac:dyDescent="0.3">
      <c r="A115663" s="12"/>
      <c r="B115663" s="15"/>
      <c r="C115663" s="15"/>
      <c r="D115663" s="12"/>
      <c r="E115663" s="12"/>
      <c r="F115663" s="13"/>
      <c r="G115663" s="12"/>
      <c r="H115663" s="12"/>
      <c r="I115663" s="12"/>
      <c r="J115663" s="12"/>
      <c r="K115663" s="12"/>
      <c r="L115663" s="208"/>
      <c r="M115663" s="209"/>
      <c r="N115663" s="209"/>
      <c r="O115663" s="209"/>
    </row>
    <row r="115664" spans="1:15" s="210" customFormat="1" x14ac:dyDescent="0.3">
      <c r="A115664" s="12"/>
      <c r="B115664" s="15"/>
      <c r="C115664" s="15"/>
      <c r="D115664" s="12"/>
      <c r="E115664" s="12"/>
      <c r="F115664" s="13"/>
      <c r="G115664" s="12"/>
      <c r="H115664" s="12"/>
      <c r="I115664" s="12"/>
      <c r="J115664" s="12"/>
      <c r="K115664" s="12"/>
      <c r="L115664" s="208"/>
      <c r="M115664" s="209"/>
      <c r="N115664" s="209"/>
      <c r="O115664" s="209"/>
    </row>
    <row r="115665" spans="1:15" s="210" customFormat="1" x14ac:dyDescent="0.3">
      <c r="A115665" s="12"/>
      <c r="B115665" s="15"/>
      <c r="C115665" s="15"/>
      <c r="D115665" s="12"/>
      <c r="E115665" s="12"/>
      <c r="F115665" s="13"/>
      <c r="G115665" s="12"/>
      <c r="H115665" s="12"/>
      <c r="I115665" s="12"/>
      <c r="J115665" s="12"/>
      <c r="K115665" s="12"/>
      <c r="L115665" s="208"/>
      <c r="M115665" s="209"/>
      <c r="N115665" s="209"/>
      <c r="O115665" s="209"/>
    </row>
    <row r="115666" spans="1:15" s="210" customFormat="1" x14ac:dyDescent="0.3">
      <c r="A115666" s="12"/>
      <c r="B115666" s="15"/>
      <c r="C115666" s="15"/>
      <c r="D115666" s="12"/>
      <c r="E115666" s="12"/>
      <c r="F115666" s="13"/>
      <c r="G115666" s="12"/>
      <c r="H115666" s="12"/>
      <c r="I115666" s="12"/>
      <c r="J115666" s="12"/>
      <c r="K115666" s="12"/>
      <c r="L115666" s="208"/>
      <c r="M115666" s="209"/>
      <c r="N115666" s="209"/>
      <c r="O115666" s="209"/>
    </row>
    <row r="115667" spans="1:15" s="210" customFormat="1" x14ac:dyDescent="0.3">
      <c r="A115667" s="12"/>
      <c r="B115667" s="15"/>
      <c r="C115667" s="15"/>
      <c r="D115667" s="12"/>
      <c r="E115667" s="12"/>
      <c r="F115667" s="13"/>
      <c r="G115667" s="12"/>
      <c r="H115667" s="12"/>
      <c r="I115667" s="12"/>
      <c r="J115667" s="12"/>
      <c r="K115667" s="12"/>
      <c r="L115667" s="208"/>
      <c r="M115667" s="209"/>
      <c r="N115667" s="209"/>
      <c r="O115667" s="209"/>
    </row>
    <row r="115668" spans="1:15" s="210" customFormat="1" x14ac:dyDescent="0.3">
      <c r="A115668" s="12"/>
      <c r="B115668" s="15"/>
      <c r="C115668" s="15"/>
      <c r="D115668" s="12"/>
      <c r="E115668" s="12"/>
      <c r="F115668" s="13"/>
      <c r="G115668" s="12"/>
      <c r="H115668" s="12"/>
      <c r="I115668" s="12"/>
      <c r="J115668" s="12"/>
      <c r="K115668" s="12"/>
      <c r="L115668" s="208"/>
      <c r="M115668" s="209"/>
      <c r="N115668" s="209"/>
      <c r="O115668" s="209"/>
    </row>
    <row r="115669" spans="1:15" s="210" customFormat="1" x14ac:dyDescent="0.3">
      <c r="A115669" s="12"/>
      <c r="B115669" s="15"/>
      <c r="C115669" s="15"/>
      <c r="D115669" s="12"/>
      <c r="E115669" s="12"/>
      <c r="F115669" s="13"/>
      <c r="G115669" s="12"/>
      <c r="H115669" s="12"/>
      <c r="I115669" s="12"/>
      <c r="J115669" s="12"/>
      <c r="K115669" s="12"/>
      <c r="L115669" s="208"/>
      <c r="M115669" s="209"/>
      <c r="N115669" s="209"/>
      <c r="O115669" s="209"/>
    </row>
    <row r="115670" spans="1:15" s="210" customFormat="1" x14ac:dyDescent="0.3">
      <c r="A115670" s="12"/>
      <c r="B115670" s="15"/>
      <c r="C115670" s="15"/>
      <c r="D115670" s="12"/>
      <c r="E115670" s="12"/>
      <c r="F115670" s="13"/>
      <c r="G115670" s="12"/>
      <c r="H115670" s="12"/>
      <c r="I115670" s="12"/>
      <c r="J115670" s="12"/>
      <c r="K115670" s="12"/>
      <c r="L115670" s="208"/>
      <c r="M115670" s="209"/>
      <c r="N115670" s="209"/>
      <c r="O115670" s="209"/>
    </row>
    <row r="115671" spans="1:15" s="210" customFormat="1" x14ac:dyDescent="0.3">
      <c r="A115671" s="12"/>
      <c r="B115671" s="15"/>
      <c r="C115671" s="15"/>
      <c r="D115671" s="12"/>
      <c r="E115671" s="12"/>
      <c r="F115671" s="13"/>
      <c r="G115671" s="12"/>
      <c r="H115671" s="12"/>
      <c r="I115671" s="12"/>
      <c r="J115671" s="12"/>
      <c r="K115671" s="12"/>
      <c r="L115671" s="208"/>
      <c r="M115671" s="209"/>
      <c r="N115671" s="209"/>
      <c r="O115671" s="209"/>
    </row>
    <row r="115672" spans="1:15" s="210" customFormat="1" x14ac:dyDescent="0.3">
      <c r="A115672" s="12"/>
      <c r="B115672" s="15"/>
      <c r="C115672" s="15"/>
      <c r="D115672" s="12"/>
      <c r="E115672" s="12"/>
      <c r="F115672" s="13"/>
      <c r="G115672" s="12"/>
      <c r="H115672" s="12"/>
      <c r="I115672" s="12"/>
      <c r="J115672" s="12"/>
      <c r="K115672" s="12"/>
      <c r="L115672" s="208"/>
      <c r="M115672" s="209"/>
      <c r="N115672" s="209"/>
      <c r="O115672" s="209"/>
    </row>
    <row r="115673" spans="1:15" s="210" customFormat="1" x14ac:dyDescent="0.3">
      <c r="A115673" s="12"/>
      <c r="B115673" s="15"/>
      <c r="C115673" s="15"/>
      <c r="D115673" s="12"/>
      <c r="E115673" s="12"/>
      <c r="F115673" s="13"/>
      <c r="G115673" s="12"/>
      <c r="H115673" s="12"/>
      <c r="I115673" s="12"/>
      <c r="J115673" s="12"/>
      <c r="K115673" s="12"/>
      <c r="L115673" s="208"/>
      <c r="M115673" s="209"/>
      <c r="N115673" s="209"/>
      <c r="O115673" s="209"/>
    </row>
    <row r="115674" spans="1:15" s="210" customFormat="1" x14ac:dyDescent="0.3">
      <c r="A115674" s="12"/>
      <c r="B115674" s="15"/>
      <c r="C115674" s="15"/>
      <c r="D115674" s="12"/>
      <c r="E115674" s="12"/>
      <c r="F115674" s="13"/>
      <c r="G115674" s="12"/>
      <c r="H115674" s="12"/>
      <c r="I115674" s="12"/>
      <c r="J115674" s="12"/>
      <c r="K115674" s="12"/>
      <c r="L115674" s="208"/>
      <c r="M115674" s="209"/>
      <c r="N115674" s="209"/>
      <c r="O115674" s="209"/>
    </row>
    <row r="115675" spans="1:15" s="210" customFormat="1" x14ac:dyDescent="0.3">
      <c r="A115675" s="12"/>
      <c r="B115675" s="15"/>
      <c r="C115675" s="15"/>
      <c r="D115675" s="12"/>
      <c r="E115675" s="12"/>
      <c r="F115675" s="13"/>
      <c r="G115675" s="12"/>
      <c r="H115675" s="12"/>
      <c r="I115675" s="12"/>
      <c r="J115675" s="12"/>
      <c r="K115675" s="12"/>
      <c r="L115675" s="208"/>
      <c r="M115675" s="209"/>
      <c r="N115675" s="209"/>
      <c r="O115675" s="209"/>
    </row>
    <row r="115676" spans="1:15" s="210" customFormat="1" x14ac:dyDescent="0.3">
      <c r="A115676" s="12"/>
      <c r="B115676" s="15"/>
      <c r="C115676" s="15"/>
      <c r="D115676" s="12"/>
      <c r="E115676" s="12"/>
      <c r="F115676" s="13"/>
      <c r="G115676" s="12"/>
      <c r="H115676" s="12"/>
      <c r="I115676" s="12"/>
      <c r="J115676" s="12"/>
      <c r="K115676" s="12"/>
      <c r="L115676" s="208"/>
      <c r="M115676" s="209"/>
      <c r="N115676" s="209"/>
      <c r="O115676" s="209"/>
    </row>
    <row r="115677" spans="1:15" s="210" customFormat="1" x14ac:dyDescent="0.3">
      <c r="A115677" s="12"/>
      <c r="B115677" s="15"/>
      <c r="C115677" s="15"/>
      <c r="D115677" s="12"/>
      <c r="E115677" s="12"/>
      <c r="F115677" s="13"/>
      <c r="G115677" s="12"/>
      <c r="H115677" s="12"/>
      <c r="I115677" s="12"/>
      <c r="J115677" s="12"/>
      <c r="K115677" s="12"/>
      <c r="L115677" s="208"/>
      <c r="M115677" s="209"/>
      <c r="N115677" s="209"/>
      <c r="O115677" s="209"/>
    </row>
    <row r="115678" spans="1:15" s="210" customFormat="1" x14ac:dyDescent="0.3">
      <c r="A115678" s="12"/>
      <c r="B115678" s="15"/>
      <c r="C115678" s="15"/>
      <c r="D115678" s="12"/>
      <c r="E115678" s="12"/>
      <c r="F115678" s="13"/>
      <c r="G115678" s="12"/>
      <c r="H115678" s="12"/>
      <c r="I115678" s="12"/>
      <c r="J115678" s="12"/>
      <c r="K115678" s="12"/>
      <c r="L115678" s="208"/>
      <c r="M115678" s="209"/>
      <c r="N115678" s="209"/>
      <c r="O115678" s="209"/>
    </row>
    <row r="115679" spans="1:15" s="210" customFormat="1" x14ac:dyDescent="0.3">
      <c r="A115679" s="12"/>
      <c r="B115679" s="15"/>
      <c r="C115679" s="15"/>
      <c r="D115679" s="12"/>
      <c r="E115679" s="12"/>
      <c r="F115679" s="13"/>
      <c r="G115679" s="12"/>
      <c r="H115679" s="12"/>
      <c r="I115679" s="12"/>
      <c r="J115679" s="12"/>
      <c r="K115679" s="12"/>
      <c r="L115679" s="208"/>
      <c r="M115679" s="209"/>
      <c r="N115679" s="209"/>
      <c r="O115679" s="209"/>
    </row>
    <row r="115680" spans="1:15" s="210" customFormat="1" x14ac:dyDescent="0.3">
      <c r="A115680" s="12"/>
      <c r="B115680" s="15"/>
      <c r="C115680" s="15"/>
      <c r="D115680" s="12"/>
      <c r="E115680" s="12"/>
      <c r="F115680" s="13"/>
      <c r="G115680" s="12"/>
      <c r="H115680" s="12"/>
      <c r="I115680" s="12"/>
      <c r="J115680" s="12"/>
      <c r="K115680" s="12"/>
      <c r="L115680" s="208"/>
      <c r="M115680" s="209"/>
      <c r="N115680" s="209"/>
      <c r="O115680" s="209"/>
    </row>
    <row r="115681" spans="1:15" s="210" customFormat="1" x14ac:dyDescent="0.3">
      <c r="A115681" s="12"/>
      <c r="B115681" s="15"/>
      <c r="C115681" s="15"/>
      <c r="D115681" s="12"/>
      <c r="E115681" s="12"/>
      <c r="F115681" s="13"/>
      <c r="G115681" s="12"/>
      <c r="H115681" s="12"/>
      <c r="I115681" s="12"/>
      <c r="J115681" s="12"/>
      <c r="K115681" s="12"/>
      <c r="L115681" s="208"/>
      <c r="M115681" s="209"/>
      <c r="N115681" s="209"/>
      <c r="O115681" s="209"/>
    </row>
    <row r="115682" spans="1:15" s="210" customFormat="1" x14ac:dyDescent="0.3">
      <c r="A115682" s="12"/>
      <c r="B115682" s="15"/>
      <c r="C115682" s="15"/>
      <c r="D115682" s="12"/>
      <c r="E115682" s="12"/>
      <c r="F115682" s="13"/>
      <c r="G115682" s="12"/>
      <c r="H115682" s="12"/>
      <c r="I115682" s="12"/>
      <c r="J115682" s="12"/>
      <c r="K115682" s="12"/>
      <c r="L115682" s="208"/>
      <c r="M115682" s="209"/>
      <c r="N115682" s="209"/>
      <c r="O115682" s="209"/>
    </row>
    <row r="115683" spans="1:15" s="210" customFormat="1" x14ac:dyDescent="0.3">
      <c r="A115683" s="12"/>
      <c r="B115683" s="15"/>
      <c r="C115683" s="15"/>
      <c r="D115683" s="12"/>
      <c r="E115683" s="12"/>
      <c r="F115683" s="13"/>
      <c r="G115683" s="12"/>
      <c r="H115683" s="12"/>
      <c r="I115683" s="12"/>
      <c r="J115683" s="12"/>
      <c r="K115683" s="12"/>
      <c r="L115683" s="208"/>
      <c r="M115683" s="209"/>
      <c r="N115683" s="209"/>
      <c r="O115683" s="209"/>
    </row>
    <row r="115684" spans="1:15" s="210" customFormat="1" x14ac:dyDescent="0.3">
      <c r="A115684" s="12"/>
      <c r="B115684" s="15"/>
      <c r="C115684" s="15"/>
      <c r="D115684" s="12"/>
      <c r="E115684" s="12"/>
      <c r="F115684" s="13"/>
      <c r="G115684" s="12"/>
      <c r="H115684" s="12"/>
      <c r="I115684" s="12"/>
      <c r="J115684" s="12"/>
      <c r="K115684" s="12"/>
      <c r="L115684" s="208"/>
      <c r="M115684" s="209"/>
      <c r="N115684" s="209"/>
      <c r="O115684" s="209"/>
    </row>
    <row r="115685" spans="1:15" s="210" customFormat="1" x14ac:dyDescent="0.3">
      <c r="A115685" s="12"/>
      <c r="B115685" s="15"/>
      <c r="C115685" s="15"/>
      <c r="D115685" s="12"/>
      <c r="E115685" s="12"/>
      <c r="F115685" s="13"/>
      <c r="G115685" s="12"/>
      <c r="H115685" s="12"/>
      <c r="I115685" s="12"/>
      <c r="J115685" s="12"/>
      <c r="K115685" s="12"/>
      <c r="L115685" s="208"/>
      <c r="M115685" s="209"/>
      <c r="N115685" s="209"/>
      <c r="O115685" s="209"/>
    </row>
    <row r="115686" spans="1:15" s="210" customFormat="1" x14ac:dyDescent="0.3">
      <c r="A115686" s="12"/>
      <c r="B115686" s="15"/>
      <c r="C115686" s="15"/>
      <c r="D115686" s="12"/>
      <c r="E115686" s="12"/>
      <c r="F115686" s="13"/>
      <c r="G115686" s="12"/>
      <c r="H115686" s="12"/>
      <c r="I115686" s="12"/>
      <c r="J115686" s="12"/>
      <c r="K115686" s="12"/>
      <c r="L115686" s="208"/>
      <c r="M115686" s="209"/>
      <c r="N115686" s="209"/>
      <c r="O115686" s="209"/>
    </row>
    <row r="115687" spans="1:15" s="210" customFormat="1" x14ac:dyDescent="0.3">
      <c r="A115687" s="12"/>
      <c r="B115687" s="15"/>
      <c r="C115687" s="15"/>
      <c r="D115687" s="12"/>
      <c r="E115687" s="12"/>
      <c r="F115687" s="13"/>
      <c r="G115687" s="12"/>
      <c r="H115687" s="12"/>
      <c r="I115687" s="12"/>
      <c r="J115687" s="12"/>
      <c r="K115687" s="12"/>
      <c r="L115687" s="208"/>
      <c r="M115687" s="209"/>
      <c r="N115687" s="209"/>
      <c r="O115687" s="209"/>
    </row>
    <row r="115688" spans="1:15" s="210" customFormat="1" x14ac:dyDescent="0.3">
      <c r="A115688" s="12"/>
      <c r="B115688" s="15"/>
      <c r="C115688" s="15"/>
      <c r="D115688" s="12"/>
      <c r="E115688" s="12"/>
      <c r="F115688" s="13"/>
      <c r="G115688" s="12"/>
      <c r="H115688" s="12"/>
      <c r="I115688" s="12"/>
      <c r="J115688" s="12"/>
      <c r="K115688" s="12"/>
      <c r="L115688" s="208"/>
      <c r="M115688" s="209"/>
      <c r="N115688" s="209"/>
      <c r="O115688" s="209"/>
    </row>
    <row r="115689" spans="1:15" s="210" customFormat="1" x14ac:dyDescent="0.3">
      <c r="A115689" s="12"/>
      <c r="B115689" s="15"/>
      <c r="C115689" s="15"/>
      <c r="D115689" s="12"/>
      <c r="E115689" s="12"/>
      <c r="F115689" s="13"/>
      <c r="G115689" s="12"/>
      <c r="H115689" s="12"/>
      <c r="I115689" s="12"/>
      <c r="J115689" s="12"/>
      <c r="K115689" s="12"/>
      <c r="L115689" s="208"/>
      <c r="M115689" s="209"/>
      <c r="N115689" s="209"/>
      <c r="O115689" s="209"/>
    </row>
    <row r="115690" spans="1:15" s="210" customFormat="1" x14ac:dyDescent="0.3">
      <c r="A115690" s="12"/>
      <c r="B115690" s="15"/>
      <c r="C115690" s="15"/>
      <c r="D115690" s="12"/>
      <c r="E115690" s="12"/>
      <c r="F115690" s="13"/>
      <c r="G115690" s="12"/>
      <c r="H115690" s="12"/>
      <c r="I115690" s="12"/>
      <c r="J115690" s="12"/>
      <c r="K115690" s="12"/>
      <c r="L115690" s="208"/>
      <c r="M115690" s="209"/>
      <c r="N115690" s="209"/>
      <c r="O115690" s="209"/>
    </row>
    <row r="115691" spans="1:15" s="210" customFormat="1" x14ac:dyDescent="0.3">
      <c r="A115691" s="12"/>
      <c r="B115691" s="15"/>
      <c r="C115691" s="15"/>
      <c r="D115691" s="12"/>
      <c r="E115691" s="12"/>
      <c r="F115691" s="13"/>
      <c r="G115691" s="12"/>
      <c r="H115691" s="12"/>
      <c r="I115691" s="12"/>
      <c r="J115691" s="12"/>
      <c r="K115691" s="12"/>
      <c r="L115691" s="208"/>
      <c r="M115691" s="209"/>
      <c r="N115691" s="209"/>
      <c r="O115691" s="209"/>
    </row>
    <row r="115692" spans="1:15" s="210" customFormat="1" x14ac:dyDescent="0.3">
      <c r="A115692" s="12"/>
      <c r="B115692" s="15"/>
      <c r="C115692" s="15"/>
      <c r="D115692" s="12"/>
      <c r="E115692" s="12"/>
      <c r="F115692" s="13"/>
      <c r="G115692" s="12"/>
      <c r="H115692" s="12"/>
      <c r="I115692" s="12"/>
      <c r="J115692" s="12"/>
      <c r="K115692" s="12"/>
      <c r="L115692" s="208"/>
      <c r="M115692" s="209"/>
      <c r="N115692" s="209"/>
      <c r="O115692" s="209"/>
    </row>
    <row r="115693" spans="1:15" s="210" customFormat="1" x14ac:dyDescent="0.3">
      <c r="A115693" s="12"/>
      <c r="B115693" s="15"/>
      <c r="C115693" s="15"/>
      <c r="D115693" s="12"/>
      <c r="E115693" s="12"/>
      <c r="F115693" s="13"/>
      <c r="G115693" s="12"/>
      <c r="H115693" s="12"/>
      <c r="I115693" s="12"/>
      <c r="J115693" s="12"/>
      <c r="K115693" s="12"/>
      <c r="L115693" s="208"/>
      <c r="M115693" s="209"/>
      <c r="N115693" s="209"/>
      <c r="O115693" s="209"/>
    </row>
    <row r="115694" spans="1:15" s="210" customFormat="1" x14ac:dyDescent="0.3">
      <c r="A115694" s="12"/>
      <c r="B115694" s="15"/>
      <c r="C115694" s="15"/>
      <c r="D115694" s="12"/>
      <c r="E115694" s="12"/>
      <c r="F115694" s="13"/>
      <c r="G115694" s="12"/>
      <c r="H115694" s="12"/>
      <c r="I115694" s="12"/>
      <c r="J115694" s="12"/>
      <c r="K115694" s="12"/>
      <c r="L115694" s="208"/>
      <c r="M115694" s="209"/>
      <c r="N115694" s="209"/>
      <c r="O115694" s="209"/>
    </row>
    <row r="115695" spans="1:15" s="210" customFormat="1" x14ac:dyDescent="0.3">
      <c r="A115695" s="12"/>
      <c r="B115695" s="15"/>
      <c r="C115695" s="15"/>
      <c r="D115695" s="12"/>
      <c r="E115695" s="12"/>
      <c r="F115695" s="13"/>
      <c r="G115695" s="12"/>
      <c r="H115695" s="12"/>
      <c r="I115695" s="12"/>
      <c r="J115695" s="12"/>
      <c r="K115695" s="12"/>
      <c r="L115695" s="208"/>
      <c r="M115695" s="209"/>
      <c r="N115695" s="209"/>
      <c r="O115695" s="209"/>
    </row>
    <row r="115696" spans="1:15" s="210" customFormat="1" x14ac:dyDescent="0.3">
      <c r="A115696" s="12"/>
      <c r="B115696" s="15"/>
      <c r="C115696" s="15"/>
      <c r="D115696" s="12"/>
      <c r="E115696" s="12"/>
      <c r="F115696" s="13"/>
      <c r="G115696" s="12"/>
      <c r="H115696" s="12"/>
      <c r="I115696" s="12"/>
      <c r="J115696" s="12"/>
      <c r="K115696" s="12"/>
      <c r="L115696" s="208"/>
      <c r="M115696" s="209"/>
      <c r="N115696" s="209"/>
      <c r="O115696" s="209"/>
    </row>
    <row r="115697" spans="1:15" s="210" customFormat="1" x14ac:dyDescent="0.3">
      <c r="A115697" s="12"/>
      <c r="B115697" s="15"/>
      <c r="C115697" s="15"/>
      <c r="D115697" s="12"/>
      <c r="E115697" s="12"/>
      <c r="F115697" s="13"/>
      <c r="G115697" s="12"/>
      <c r="H115697" s="12"/>
      <c r="I115697" s="12"/>
      <c r="J115697" s="12"/>
      <c r="K115697" s="12"/>
      <c r="L115697" s="208"/>
      <c r="M115697" s="209"/>
      <c r="N115697" s="209"/>
      <c r="O115697" s="209"/>
    </row>
    <row r="115698" spans="1:15" s="210" customFormat="1" x14ac:dyDescent="0.3">
      <c r="A115698" s="12"/>
      <c r="B115698" s="15"/>
      <c r="C115698" s="15"/>
      <c r="D115698" s="12"/>
      <c r="E115698" s="12"/>
      <c r="F115698" s="13"/>
      <c r="G115698" s="12"/>
      <c r="H115698" s="12"/>
      <c r="I115698" s="12"/>
      <c r="J115698" s="12"/>
      <c r="K115698" s="12"/>
      <c r="L115698" s="208"/>
      <c r="M115698" s="209"/>
      <c r="N115698" s="209"/>
      <c r="O115698" s="209"/>
    </row>
    <row r="115699" spans="1:15" s="210" customFormat="1" x14ac:dyDescent="0.3">
      <c r="A115699" s="12"/>
      <c r="B115699" s="15"/>
      <c r="C115699" s="15"/>
      <c r="D115699" s="12"/>
      <c r="E115699" s="12"/>
      <c r="F115699" s="13"/>
      <c r="G115699" s="12"/>
      <c r="H115699" s="12"/>
      <c r="I115699" s="12"/>
      <c r="J115699" s="12"/>
      <c r="K115699" s="12"/>
      <c r="L115699" s="208"/>
      <c r="M115699" s="209"/>
      <c r="N115699" s="209"/>
      <c r="O115699" s="209"/>
    </row>
    <row r="115700" spans="1:15" s="210" customFormat="1" x14ac:dyDescent="0.3">
      <c r="A115700" s="12"/>
      <c r="B115700" s="15"/>
      <c r="C115700" s="15"/>
      <c r="D115700" s="12"/>
      <c r="E115700" s="12"/>
      <c r="F115700" s="13"/>
      <c r="G115700" s="12"/>
      <c r="H115700" s="12"/>
      <c r="I115700" s="12"/>
      <c r="J115700" s="12"/>
      <c r="K115700" s="12"/>
      <c r="L115700" s="208"/>
      <c r="M115700" s="209"/>
      <c r="N115700" s="209"/>
      <c r="O115700" s="209"/>
    </row>
    <row r="115701" spans="1:15" s="210" customFormat="1" x14ac:dyDescent="0.3">
      <c r="A115701" s="12"/>
      <c r="B115701" s="15"/>
      <c r="C115701" s="15"/>
      <c r="D115701" s="12"/>
      <c r="E115701" s="12"/>
      <c r="F115701" s="13"/>
      <c r="G115701" s="12"/>
      <c r="H115701" s="12"/>
      <c r="I115701" s="12"/>
      <c r="J115701" s="12"/>
      <c r="K115701" s="12"/>
      <c r="L115701" s="208"/>
      <c r="M115701" s="209"/>
      <c r="N115701" s="209"/>
      <c r="O115701" s="209"/>
    </row>
    <row r="115702" spans="1:15" s="210" customFormat="1" x14ac:dyDescent="0.3">
      <c r="A115702" s="12"/>
      <c r="B115702" s="15"/>
      <c r="C115702" s="15"/>
      <c r="D115702" s="12"/>
      <c r="E115702" s="12"/>
      <c r="F115702" s="13"/>
      <c r="G115702" s="12"/>
      <c r="H115702" s="12"/>
      <c r="I115702" s="12"/>
      <c r="J115702" s="12"/>
      <c r="K115702" s="12"/>
      <c r="L115702" s="208"/>
      <c r="M115702" s="209"/>
      <c r="N115702" s="209"/>
      <c r="O115702" s="209"/>
    </row>
    <row r="115703" spans="1:15" s="210" customFormat="1" x14ac:dyDescent="0.3">
      <c r="A115703" s="12"/>
      <c r="B115703" s="15"/>
      <c r="C115703" s="15"/>
      <c r="D115703" s="12"/>
      <c r="E115703" s="12"/>
      <c r="F115703" s="13"/>
      <c r="G115703" s="12"/>
      <c r="H115703" s="12"/>
      <c r="I115703" s="12"/>
      <c r="J115703" s="12"/>
      <c r="K115703" s="12"/>
      <c r="L115703" s="208"/>
      <c r="M115703" s="209"/>
      <c r="N115703" s="209"/>
      <c r="O115703" s="209"/>
    </row>
    <row r="115704" spans="1:15" s="210" customFormat="1" x14ac:dyDescent="0.3">
      <c r="A115704" s="12"/>
      <c r="B115704" s="15"/>
      <c r="C115704" s="15"/>
      <c r="D115704" s="12"/>
      <c r="E115704" s="12"/>
      <c r="F115704" s="13"/>
      <c r="G115704" s="12"/>
      <c r="H115704" s="12"/>
      <c r="I115704" s="12"/>
      <c r="J115704" s="12"/>
      <c r="K115704" s="12"/>
      <c r="L115704" s="208"/>
      <c r="M115704" s="209"/>
      <c r="N115704" s="209"/>
      <c r="O115704" s="209"/>
    </row>
    <row r="115705" spans="1:15" s="210" customFormat="1" x14ac:dyDescent="0.3">
      <c r="A115705" s="12"/>
      <c r="B115705" s="15"/>
      <c r="C115705" s="15"/>
      <c r="D115705" s="12"/>
      <c r="E115705" s="12"/>
      <c r="F115705" s="13"/>
      <c r="G115705" s="12"/>
      <c r="H115705" s="12"/>
      <c r="I115705" s="12"/>
      <c r="J115705" s="12"/>
      <c r="K115705" s="12"/>
      <c r="L115705" s="208"/>
      <c r="M115705" s="209"/>
      <c r="N115705" s="209"/>
      <c r="O115705" s="209"/>
    </row>
    <row r="115706" spans="1:15" s="210" customFormat="1" x14ac:dyDescent="0.3">
      <c r="A115706" s="12"/>
      <c r="B115706" s="15"/>
      <c r="C115706" s="15"/>
      <c r="D115706" s="12"/>
      <c r="E115706" s="12"/>
      <c r="F115706" s="13"/>
      <c r="G115706" s="12"/>
      <c r="H115706" s="12"/>
      <c r="I115706" s="12"/>
      <c r="J115706" s="12"/>
      <c r="K115706" s="12"/>
      <c r="L115706" s="208"/>
      <c r="M115706" s="209"/>
      <c r="N115706" s="209"/>
      <c r="O115706" s="209"/>
    </row>
    <row r="115707" spans="1:15" s="210" customFormat="1" x14ac:dyDescent="0.3">
      <c r="A115707" s="12"/>
      <c r="B115707" s="15"/>
      <c r="C115707" s="15"/>
      <c r="D115707" s="12"/>
      <c r="E115707" s="12"/>
      <c r="F115707" s="13"/>
      <c r="G115707" s="12"/>
      <c r="H115707" s="12"/>
      <c r="I115707" s="12"/>
      <c r="J115707" s="12"/>
      <c r="K115707" s="12"/>
      <c r="L115707" s="208"/>
      <c r="M115707" s="209"/>
      <c r="N115707" s="209"/>
      <c r="O115707" s="209"/>
    </row>
    <row r="115708" spans="1:15" s="210" customFormat="1" x14ac:dyDescent="0.3">
      <c r="A115708" s="12"/>
      <c r="B115708" s="15"/>
      <c r="C115708" s="15"/>
      <c r="D115708" s="12"/>
      <c r="E115708" s="12"/>
      <c r="F115708" s="13"/>
      <c r="G115708" s="12"/>
      <c r="H115708" s="12"/>
      <c r="I115708" s="12"/>
      <c r="J115708" s="12"/>
      <c r="K115708" s="12"/>
      <c r="L115708" s="208"/>
      <c r="M115708" s="209"/>
      <c r="N115708" s="209"/>
      <c r="O115708" s="209"/>
    </row>
    <row r="115709" spans="1:15" s="210" customFormat="1" x14ac:dyDescent="0.3">
      <c r="A115709" s="12"/>
      <c r="B115709" s="15"/>
      <c r="C115709" s="15"/>
      <c r="D115709" s="12"/>
      <c r="E115709" s="12"/>
      <c r="F115709" s="13"/>
      <c r="G115709" s="12"/>
      <c r="H115709" s="12"/>
      <c r="I115709" s="12"/>
      <c r="J115709" s="12"/>
      <c r="K115709" s="12"/>
      <c r="L115709" s="208"/>
      <c r="M115709" s="209"/>
      <c r="N115709" s="209"/>
      <c r="O115709" s="209"/>
    </row>
    <row r="115710" spans="1:15" s="210" customFormat="1" x14ac:dyDescent="0.3">
      <c r="A115710" s="12"/>
      <c r="B115710" s="15"/>
      <c r="C115710" s="15"/>
      <c r="D115710" s="12"/>
      <c r="E115710" s="12"/>
      <c r="F115710" s="13"/>
      <c r="G115710" s="12"/>
      <c r="H115710" s="12"/>
      <c r="I115710" s="12"/>
      <c r="J115710" s="12"/>
      <c r="K115710" s="12"/>
      <c r="L115710" s="208"/>
      <c r="M115710" s="209"/>
      <c r="N115710" s="209"/>
      <c r="O115710" s="209"/>
    </row>
    <row r="115711" spans="1:15" s="210" customFormat="1" x14ac:dyDescent="0.3">
      <c r="A115711" s="12"/>
      <c r="B115711" s="15"/>
      <c r="C115711" s="15"/>
      <c r="D115711" s="12"/>
      <c r="E115711" s="12"/>
      <c r="F115711" s="13"/>
      <c r="G115711" s="12"/>
      <c r="H115711" s="12"/>
      <c r="I115711" s="12"/>
      <c r="J115711" s="12"/>
      <c r="K115711" s="12"/>
      <c r="L115711" s="208"/>
      <c r="M115711" s="209"/>
      <c r="N115711" s="209"/>
      <c r="O115711" s="209"/>
    </row>
    <row r="115712" spans="1:15" s="210" customFormat="1" x14ac:dyDescent="0.3">
      <c r="A115712" s="12"/>
      <c r="B115712" s="15"/>
      <c r="C115712" s="15"/>
      <c r="D115712" s="12"/>
      <c r="E115712" s="12"/>
      <c r="F115712" s="13"/>
      <c r="G115712" s="12"/>
      <c r="H115712" s="12"/>
      <c r="I115712" s="12"/>
      <c r="J115712" s="12"/>
      <c r="K115712" s="12"/>
      <c r="L115712" s="208"/>
      <c r="M115712" s="209"/>
      <c r="N115712" s="209"/>
      <c r="O115712" s="209"/>
    </row>
    <row r="115713" spans="1:15" s="210" customFormat="1" x14ac:dyDescent="0.3">
      <c r="A115713" s="12"/>
      <c r="B115713" s="15"/>
      <c r="C115713" s="15"/>
      <c r="D115713" s="12"/>
      <c r="E115713" s="12"/>
      <c r="F115713" s="13"/>
      <c r="G115713" s="12"/>
      <c r="H115713" s="12"/>
      <c r="I115713" s="12"/>
      <c r="J115713" s="12"/>
      <c r="K115713" s="12"/>
      <c r="L115713" s="208"/>
      <c r="M115713" s="209"/>
      <c r="N115713" s="209"/>
      <c r="O115713" s="209"/>
    </row>
    <row r="115714" spans="1:15" s="210" customFormat="1" x14ac:dyDescent="0.3">
      <c r="A115714" s="12"/>
      <c r="B115714" s="15"/>
      <c r="C115714" s="15"/>
      <c r="D115714" s="12"/>
      <c r="E115714" s="12"/>
      <c r="F115714" s="13"/>
      <c r="G115714" s="12"/>
      <c r="H115714" s="12"/>
      <c r="I115714" s="12"/>
      <c r="J115714" s="12"/>
      <c r="K115714" s="12"/>
      <c r="L115714" s="208"/>
      <c r="M115714" s="209"/>
      <c r="N115714" s="209"/>
      <c r="O115714" s="209"/>
    </row>
    <row r="115715" spans="1:15" s="210" customFormat="1" x14ac:dyDescent="0.3">
      <c r="A115715" s="12"/>
      <c r="B115715" s="15"/>
      <c r="C115715" s="15"/>
      <c r="D115715" s="12"/>
      <c r="E115715" s="12"/>
      <c r="F115715" s="13"/>
      <c r="G115715" s="12"/>
      <c r="H115715" s="12"/>
      <c r="I115715" s="12"/>
      <c r="J115715" s="12"/>
      <c r="K115715" s="12"/>
      <c r="L115715" s="208"/>
      <c r="M115715" s="209"/>
      <c r="N115715" s="209"/>
      <c r="O115715" s="209"/>
    </row>
    <row r="115716" spans="1:15" s="210" customFormat="1" x14ac:dyDescent="0.3">
      <c r="A115716" s="12"/>
      <c r="B115716" s="15"/>
      <c r="C115716" s="15"/>
      <c r="D115716" s="12"/>
      <c r="E115716" s="12"/>
      <c r="F115716" s="13"/>
      <c r="G115716" s="12"/>
      <c r="H115716" s="12"/>
      <c r="I115716" s="12"/>
      <c r="J115716" s="12"/>
      <c r="K115716" s="12"/>
      <c r="L115716" s="208"/>
      <c r="M115716" s="209"/>
      <c r="N115716" s="209"/>
      <c r="O115716" s="209"/>
    </row>
    <row r="115717" spans="1:15" s="210" customFormat="1" x14ac:dyDescent="0.3">
      <c r="A115717" s="12"/>
      <c r="B115717" s="15"/>
      <c r="C115717" s="15"/>
      <c r="D115717" s="12"/>
      <c r="E115717" s="12"/>
      <c r="F115717" s="13"/>
      <c r="G115717" s="12"/>
      <c r="H115717" s="12"/>
      <c r="I115717" s="12"/>
      <c r="J115717" s="12"/>
      <c r="K115717" s="12"/>
      <c r="L115717" s="208"/>
      <c r="M115717" s="209"/>
      <c r="N115717" s="209"/>
      <c r="O115717" s="209"/>
    </row>
    <row r="115718" spans="1:15" s="210" customFormat="1" x14ac:dyDescent="0.3">
      <c r="A115718" s="12"/>
      <c r="B115718" s="15"/>
      <c r="C115718" s="15"/>
      <c r="D115718" s="12"/>
      <c r="E115718" s="12"/>
      <c r="F115718" s="13"/>
      <c r="G115718" s="12"/>
      <c r="H115718" s="12"/>
      <c r="I115718" s="12"/>
      <c r="J115718" s="12"/>
      <c r="K115718" s="12"/>
      <c r="L115718" s="208"/>
      <c r="M115718" s="209"/>
      <c r="N115718" s="209"/>
      <c r="O115718" s="209"/>
    </row>
    <row r="115719" spans="1:15" s="210" customFormat="1" x14ac:dyDescent="0.3">
      <c r="A115719" s="12"/>
      <c r="B115719" s="15"/>
      <c r="C115719" s="15"/>
      <c r="D115719" s="12"/>
      <c r="E115719" s="12"/>
      <c r="F115719" s="13"/>
      <c r="G115719" s="12"/>
      <c r="H115719" s="12"/>
      <c r="I115719" s="12"/>
      <c r="J115719" s="12"/>
      <c r="K115719" s="12"/>
      <c r="L115719" s="208"/>
      <c r="M115719" s="209"/>
      <c r="N115719" s="209"/>
      <c r="O115719" s="209"/>
    </row>
    <row r="115720" spans="1:15" s="210" customFormat="1" x14ac:dyDescent="0.3">
      <c r="A115720" s="12"/>
      <c r="B115720" s="15"/>
      <c r="C115720" s="15"/>
      <c r="D115720" s="12"/>
      <c r="E115720" s="12"/>
      <c r="F115720" s="13"/>
      <c r="G115720" s="12"/>
      <c r="H115720" s="12"/>
      <c r="I115720" s="12"/>
      <c r="J115720" s="12"/>
      <c r="K115720" s="12"/>
      <c r="L115720" s="208"/>
      <c r="M115720" s="209"/>
      <c r="N115720" s="209"/>
      <c r="O115720" s="209"/>
    </row>
    <row r="115721" spans="1:15" s="210" customFormat="1" x14ac:dyDescent="0.3">
      <c r="A115721" s="12"/>
      <c r="B115721" s="15"/>
      <c r="C115721" s="15"/>
      <c r="D115721" s="12"/>
      <c r="E115721" s="12"/>
      <c r="F115721" s="13"/>
      <c r="G115721" s="12"/>
      <c r="H115721" s="12"/>
      <c r="I115721" s="12"/>
      <c r="J115721" s="12"/>
      <c r="K115721" s="12"/>
      <c r="L115721" s="208"/>
      <c r="M115721" s="209"/>
      <c r="N115721" s="209"/>
      <c r="O115721" s="209"/>
    </row>
    <row r="115722" spans="1:15" s="210" customFormat="1" x14ac:dyDescent="0.3">
      <c r="A115722" s="12"/>
      <c r="B115722" s="15"/>
      <c r="C115722" s="15"/>
      <c r="D115722" s="12"/>
      <c r="E115722" s="12"/>
      <c r="F115722" s="13"/>
      <c r="G115722" s="12"/>
      <c r="H115722" s="12"/>
      <c r="I115722" s="12"/>
      <c r="J115722" s="12"/>
      <c r="K115722" s="12"/>
      <c r="L115722" s="208"/>
      <c r="M115722" s="209"/>
      <c r="N115722" s="209"/>
      <c r="O115722" s="209"/>
    </row>
    <row r="115723" spans="1:15" s="210" customFormat="1" x14ac:dyDescent="0.3">
      <c r="A115723" s="12"/>
      <c r="B115723" s="15"/>
      <c r="C115723" s="15"/>
      <c r="D115723" s="12"/>
      <c r="E115723" s="12"/>
      <c r="F115723" s="13"/>
      <c r="G115723" s="12"/>
      <c r="H115723" s="12"/>
      <c r="I115723" s="12"/>
      <c r="J115723" s="12"/>
      <c r="K115723" s="12"/>
      <c r="L115723" s="208"/>
      <c r="M115723" s="209"/>
      <c r="N115723" s="209"/>
      <c r="O115723" s="209"/>
    </row>
    <row r="115724" spans="1:15" s="210" customFormat="1" x14ac:dyDescent="0.3">
      <c r="A115724" s="12"/>
      <c r="B115724" s="15"/>
      <c r="C115724" s="15"/>
      <c r="D115724" s="12"/>
      <c r="E115724" s="12"/>
      <c r="F115724" s="13"/>
      <c r="G115724" s="12"/>
      <c r="H115724" s="12"/>
      <c r="I115724" s="12"/>
      <c r="J115724" s="12"/>
      <c r="K115724" s="12"/>
      <c r="L115724" s="208"/>
      <c r="M115724" s="209"/>
      <c r="N115724" s="209"/>
      <c r="O115724" s="209"/>
    </row>
    <row r="115725" spans="1:15" s="210" customFormat="1" x14ac:dyDescent="0.3">
      <c r="A115725" s="12"/>
      <c r="B115725" s="15"/>
      <c r="C115725" s="15"/>
      <c r="D115725" s="12"/>
      <c r="E115725" s="12"/>
      <c r="F115725" s="13"/>
      <c r="G115725" s="12"/>
      <c r="H115725" s="12"/>
      <c r="I115725" s="12"/>
      <c r="J115725" s="12"/>
      <c r="K115725" s="12"/>
      <c r="L115725" s="208"/>
      <c r="M115725" s="209"/>
      <c r="N115725" s="209"/>
      <c r="O115725" s="209"/>
    </row>
    <row r="115726" spans="1:15" s="210" customFormat="1" x14ac:dyDescent="0.3">
      <c r="A115726" s="12"/>
      <c r="B115726" s="15"/>
      <c r="C115726" s="15"/>
      <c r="D115726" s="12"/>
      <c r="E115726" s="12"/>
      <c r="F115726" s="13"/>
      <c r="G115726" s="12"/>
      <c r="H115726" s="12"/>
      <c r="I115726" s="12"/>
      <c r="J115726" s="12"/>
      <c r="K115726" s="12"/>
      <c r="L115726" s="208"/>
      <c r="M115726" s="209"/>
      <c r="N115726" s="209"/>
      <c r="O115726" s="209"/>
    </row>
    <row r="115727" spans="1:15" s="210" customFormat="1" x14ac:dyDescent="0.3">
      <c r="A115727" s="12"/>
      <c r="B115727" s="15"/>
      <c r="C115727" s="15"/>
      <c r="D115727" s="12"/>
      <c r="E115727" s="12"/>
      <c r="F115727" s="13"/>
      <c r="G115727" s="12"/>
      <c r="H115727" s="12"/>
      <c r="I115727" s="12"/>
      <c r="J115727" s="12"/>
      <c r="K115727" s="12"/>
      <c r="L115727" s="208"/>
      <c r="M115727" s="209"/>
      <c r="N115727" s="209"/>
      <c r="O115727" s="209"/>
    </row>
    <row r="115728" spans="1:15" s="210" customFormat="1" x14ac:dyDescent="0.3">
      <c r="A115728" s="12"/>
      <c r="B115728" s="15"/>
      <c r="C115728" s="15"/>
      <c r="D115728" s="12"/>
      <c r="E115728" s="12"/>
      <c r="F115728" s="13"/>
      <c r="G115728" s="12"/>
      <c r="H115728" s="12"/>
      <c r="I115728" s="12"/>
      <c r="J115728" s="12"/>
      <c r="K115728" s="12"/>
      <c r="L115728" s="208"/>
      <c r="M115728" s="209"/>
      <c r="N115728" s="209"/>
      <c r="O115728" s="209"/>
    </row>
    <row r="115729" spans="1:15" s="210" customFormat="1" x14ac:dyDescent="0.3">
      <c r="A115729" s="12"/>
      <c r="B115729" s="15"/>
      <c r="C115729" s="15"/>
      <c r="D115729" s="12"/>
      <c r="E115729" s="12"/>
      <c r="F115729" s="13"/>
      <c r="G115729" s="12"/>
      <c r="H115729" s="12"/>
      <c r="I115729" s="12"/>
      <c r="J115729" s="12"/>
      <c r="K115729" s="12"/>
      <c r="L115729" s="208"/>
      <c r="M115729" s="209"/>
      <c r="N115729" s="209"/>
      <c r="O115729" s="209"/>
    </row>
    <row r="115730" spans="1:15" s="210" customFormat="1" x14ac:dyDescent="0.3">
      <c r="A115730" s="12"/>
      <c r="B115730" s="15"/>
      <c r="C115730" s="15"/>
      <c r="D115730" s="12"/>
      <c r="E115730" s="12"/>
      <c r="F115730" s="13"/>
      <c r="G115730" s="12"/>
      <c r="H115730" s="12"/>
      <c r="I115730" s="12"/>
      <c r="J115730" s="12"/>
      <c r="K115730" s="12"/>
      <c r="L115730" s="208"/>
      <c r="M115730" s="209"/>
      <c r="N115730" s="209"/>
      <c r="O115730" s="209"/>
    </row>
    <row r="115731" spans="1:15" s="210" customFormat="1" x14ac:dyDescent="0.3">
      <c r="A115731" s="12"/>
      <c r="B115731" s="15"/>
      <c r="C115731" s="15"/>
      <c r="D115731" s="12"/>
      <c r="E115731" s="12"/>
      <c r="F115731" s="13"/>
      <c r="G115731" s="12"/>
      <c r="H115731" s="12"/>
      <c r="I115731" s="12"/>
      <c r="J115731" s="12"/>
      <c r="K115731" s="12"/>
      <c r="L115731" s="208"/>
      <c r="M115731" s="209"/>
      <c r="N115731" s="209"/>
      <c r="O115731" s="209"/>
    </row>
    <row r="115732" spans="1:15" s="210" customFormat="1" x14ac:dyDescent="0.3">
      <c r="A115732" s="12"/>
      <c r="B115732" s="15"/>
      <c r="C115732" s="15"/>
      <c r="D115732" s="12"/>
      <c r="E115732" s="12"/>
      <c r="F115732" s="13"/>
      <c r="G115732" s="12"/>
      <c r="H115732" s="12"/>
      <c r="I115732" s="12"/>
      <c r="J115732" s="12"/>
      <c r="K115732" s="12"/>
      <c r="L115732" s="208"/>
      <c r="M115732" s="209"/>
      <c r="N115732" s="209"/>
      <c r="O115732" s="209"/>
    </row>
    <row r="115733" spans="1:15" s="210" customFormat="1" x14ac:dyDescent="0.3">
      <c r="A115733" s="12"/>
      <c r="B115733" s="15"/>
      <c r="C115733" s="15"/>
      <c r="D115733" s="12"/>
      <c r="E115733" s="12"/>
      <c r="F115733" s="13"/>
      <c r="G115733" s="12"/>
      <c r="H115733" s="12"/>
      <c r="I115733" s="12"/>
      <c r="J115733" s="12"/>
      <c r="K115733" s="12"/>
      <c r="L115733" s="208"/>
      <c r="M115733" s="209"/>
      <c r="N115733" s="209"/>
      <c r="O115733" s="209"/>
    </row>
    <row r="115734" spans="1:15" s="210" customFormat="1" x14ac:dyDescent="0.3">
      <c r="A115734" s="12"/>
      <c r="B115734" s="15"/>
      <c r="C115734" s="15"/>
      <c r="D115734" s="12"/>
      <c r="E115734" s="12"/>
      <c r="F115734" s="13"/>
      <c r="G115734" s="12"/>
      <c r="H115734" s="12"/>
      <c r="I115734" s="12"/>
      <c r="J115734" s="12"/>
      <c r="K115734" s="12"/>
      <c r="L115734" s="208"/>
      <c r="M115734" s="209"/>
      <c r="N115734" s="209"/>
      <c r="O115734" s="209"/>
    </row>
    <row r="115735" spans="1:15" s="210" customFormat="1" x14ac:dyDescent="0.3">
      <c r="A115735" s="12"/>
      <c r="B115735" s="15"/>
      <c r="C115735" s="15"/>
      <c r="D115735" s="12"/>
      <c r="E115735" s="12"/>
      <c r="F115735" s="13"/>
      <c r="G115735" s="12"/>
      <c r="H115735" s="12"/>
      <c r="I115735" s="12"/>
      <c r="J115735" s="12"/>
      <c r="K115735" s="12"/>
      <c r="L115735" s="208"/>
      <c r="M115735" s="209"/>
      <c r="N115735" s="209"/>
      <c r="O115735" s="209"/>
    </row>
    <row r="115736" spans="1:15" s="210" customFormat="1" x14ac:dyDescent="0.3">
      <c r="A115736" s="12"/>
      <c r="B115736" s="15"/>
      <c r="C115736" s="15"/>
      <c r="D115736" s="12"/>
      <c r="E115736" s="12"/>
      <c r="F115736" s="13"/>
      <c r="G115736" s="12"/>
      <c r="H115736" s="12"/>
      <c r="I115736" s="12"/>
      <c r="J115736" s="12"/>
      <c r="K115736" s="12"/>
      <c r="L115736" s="208"/>
      <c r="M115736" s="209"/>
      <c r="N115736" s="209"/>
      <c r="O115736" s="209"/>
    </row>
    <row r="115737" spans="1:15" s="210" customFormat="1" x14ac:dyDescent="0.3">
      <c r="A115737" s="12"/>
      <c r="B115737" s="15"/>
      <c r="C115737" s="15"/>
      <c r="D115737" s="12"/>
      <c r="E115737" s="12"/>
      <c r="F115737" s="13"/>
      <c r="G115737" s="12"/>
      <c r="H115737" s="12"/>
      <c r="I115737" s="12"/>
      <c r="J115737" s="12"/>
      <c r="K115737" s="12"/>
      <c r="L115737" s="208"/>
      <c r="M115737" s="209"/>
      <c r="N115737" s="209"/>
      <c r="O115737" s="209"/>
    </row>
    <row r="115738" spans="1:15" s="210" customFormat="1" x14ac:dyDescent="0.3">
      <c r="A115738" s="12"/>
      <c r="B115738" s="15"/>
      <c r="C115738" s="15"/>
      <c r="D115738" s="12"/>
      <c r="E115738" s="12"/>
      <c r="F115738" s="13"/>
      <c r="G115738" s="12"/>
      <c r="H115738" s="12"/>
      <c r="I115738" s="12"/>
      <c r="J115738" s="12"/>
      <c r="K115738" s="12"/>
      <c r="L115738" s="208"/>
      <c r="M115738" s="209"/>
      <c r="N115738" s="209"/>
      <c r="O115738" s="209"/>
    </row>
    <row r="115739" spans="1:15" s="210" customFormat="1" x14ac:dyDescent="0.3">
      <c r="A115739" s="12"/>
      <c r="B115739" s="15"/>
      <c r="C115739" s="15"/>
      <c r="D115739" s="12"/>
      <c r="E115739" s="12"/>
      <c r="F115739" s="13"/>
      <c r="G115739" s="12"/>
      <c r="H115739" s="12"/>
      <c r="I115739" s="12"/>
      <c r="J115739" s="12"/>
      <c r="K115739" s="12"/>
      <c r="L115739" s="208"/>
      <c r="M115739" s="209"/>
      <c r="N115739" s="209"/>
      <c r="O115739" s="209"/>
    </row>
    <row r="115740" spans="1:15" s="210" customFormat="1" x14ac:dyDescent="0.3">
      <c r="A115740" s="12"/>
      <c r="B115740" s="15"/>
      <c r="C115740" s="15"/>
      <c r="D115740" s="12"/>
      <c r="E115740" s="12"/>
      <c r="F115740" s="13"/>
      <c r="G115740" s="12"/>
      <c r="H115740" s="12"/>
      <c r="I115740" s="12"/>
      <c r="J115740" s="12"/>
      <c r="K115740" s="12"/>
      <c r="L115740" s="208"/>
      <c r="M115740" s="209"/>
      <c r="N115740" s="209"/>
      <c r="O115740" s="209"/>
    </row>
    <row r="115741" spans="1:15" s="210" customFormat="1" x14ac:dyDescent="0.3">
      <c r="A115741" s="12"/>
      <c r="B115741" s="15"/>
      <c r="C115741" s="15"/>
      <c r="D115741" s="12"/>
      <c r="E115741" s="12"/>
      <c r="F115741" s="13"/>
      <c r="G115741" s="12"/>
      <c r="H115741" s="12"/>
      <c r="I115741" s="12"/>
      <c r="J115741" s="12"/>
      <c r="K115741" s="12"/>
      <c r="L115741" s="208"/>
      <c r="M115741" s="209"/>
      <c r="N115741" s="209"/>
      <c r="O115741" s="209"/>
    </row>
    <row r="115742" spans="1:15" s="210" customFormat="1" x14ac:dyDescent="0.3">
      <c r="A115742" s="12"/>
      <c r="B115742" s="15"/>
      <c r="C115742" s="15"/>
      <c r="D115742" s="12"/>
      <c r="E115742" s="12"/>
      <c r="F115742" s="13"/>
      <c r="G115742" s="12"/>
      <c r="H115742" s="12"/>
      <c r="I115742" s="12"/>
      <c r="J115742" s="12"/>
      <c r="K115742" s="12"/>
      <c r="L115742" s="208"/>
      <c r="M115742" s="209"/>
      <c r="N115742" s="209"/>
      <c r="O115742" s="209"/>
    </row>
    <row r="115743" spans="1:15" s="210" customFormat="1" x14ac:dyDescent="0.3">
      <c r="A115743" s="12"/>
      <c r="B115743" s="15"/>
      <c r="C115743" s="15"/>
      <c r="D115743" s="12"/>
      <c r="E115743" s="12"/>
      <c r="F115743" s="13"/>
      <c r="G115743" s="12"/>
      <c r="H115743" s="12"/>
      <c r="I115743" s="12"/>
      <c r="J115743" s="12"/>
      <c r="K115743" s="12"/>
      <c r="L115743" s="208"/>
      <c r="M115743" s="209"/>
      <c r="N115743" s="209"/>
      <c r="O115743" s="209"/>
    </row>
    <row r="115744" spans="1:15" s="210" customFormat="1" x14ac:dyDescent="0.3">
      <c r="A115744" s="12"/>
      <c r="B115744" s="15"/>
      <c r="C115744" s="15"/>
      <c r="D115744" s="12"/>
      <c r="E115744" s="12"/>
      <c r="F115744" s="13"/>
      <c r="G115744" s="12"/>
      <c r="H115744" s="12"/>
      <c r="I115744" s="12"/>
      <c r="J115744" s="12"/>
      <c r="K115744" s="12"/>
      <c r="L115744" s="208"/>
      <c r="M115744" s="209"/>
      <c r="N115744" s="209"/>
      <c r="O115744" s="209"/>
    </row>
    <row r="115745" spans="1:15" s="210" customFormat="1" x14ac:dyDescent="0.3">
      <c r="A115745" s="12"/>
      <c r="B115745" s="15"/>
      <c r="C115745" s="15"/>
      <c r="D115745" s="12"/>
      <c r="E115745" s="12"/>
      <c r="F115745" s="13"/>
      <c r="G115745" s="12"/>
      <c r="H115745" s="12"/>
      <c r="I115745" s="12"/>
      <c r="J115745" s="12"/>
      <c r="K115745" s="12"/>
      <c r="L115745" s="208"/>
      <c r="M115745" s="209"/>
      <c r="N115745" s="209"/>
      <c r="O115745" s="209"/>
    </row>
    <row r="115746" spans="1:15" s="210" customFormat="1" x14ac:dyDescent="0.3">
      <c r="A115746" s="12"/>
      <c r="B115746" s="15"/>
      <c r="C115746" s="15"/>
      <c r="D115746" s="12"/>
      <c r="E115746" s="12"/>
      <c r="F115746" s="13"/>
      <c r="G115746" s="12"/>
      <c r="H115746" s="12"/>
      <c r="I115746" s="12"/>
      <c r="J115746" s="12"/>
      <c r="K115746" s="12"/>
      <c r="L115746" s="208"/>
      <c r="M115746" s="209"/>
      <c r="N115746" s="209"/>
      <c r="O115746" s="209"/>
    </row>
    <row r="115747" spans="1:15" s="210" customFormat="1" x14ac:dyDescent="0.3">
      <c r="A115747" s="12"/>
      <c r="B115747" s="15"/>
      <c r="C115747" s="15"/>
      <c r="D115747" s="12"/>
      <c r="E115747" s="12"/>
      <c r="F115747" s="13"/>
      <c r="G115747" s="12"/>
      <c r="H115747" s="12"/>
      <c r="I115747" s="12"/>
      <c r="J115747" s="12"/>
      <c r="K115747" s="12"/>
      <c r="L115747" s="208"/>
      <c r="M115747" s="209"/>
      <c r="N115747" s="209"/>
      <c r="O115747" s="209"/>
    </row>
    <row r="115748" spans="1:15" s="210" customFormat="1" x14ac:dyDescent="0.3">
      <c r="A115748" s="12"/>
      <c r="B115748" s="15"/>
      <c r="C115748" s="15"/>
      <c r="D115748" s="12"/>
      <c r="E115748" s="12"/>
      <c r="F115748" s="13"/>
      <c r="G115748" s="12"/>
      <c r="H115748" s="12"/>
      <c r="I115748" s="12"/>
      <c r="J115748" s="12"/>
      <c r="K115748" s="12"/>
      <c r="L115748" s="208"/>
      <c r="M115748" s="209"/>
      <c r="N115748" s="209"/>
      <c r="O115748" s="209"/>
    </row>
    <row r="115749" spans="1:15" s="210" customFormat="1" x14ac:dyDescent="0.3">
      <c r="A115749" s="12"/>
      <c r="B115749" s="15"/>
      <c r="C115749" s="15"/>
      <c r="D115749" s="12"/>
      <c r="E115749" s="12"/>
      <c r="F115749" s="13"/>
      <c r="G115749" s="12"/>
      <c r="H115749" s="12"/>
      <c r="I115749" s="12"/>
      <c r="J115749" s="12"/>
      <c r="K115749" s="12"/>
      <c r="L115749" s="208"/>
      <c r="M115749" s="209"/>
      <c r="N115749" s="209"/>
      <c r="O115749" s="209"/>
    </row>
    <row r="115750" spans="1:15" s="210" customFormat="1" x14ac:dyDescent="0.3">
      <c r="A115750" s="12"/>
      <c r="B115750" s="15"/>
      <c r="C115750" s="15"/>
      <c r="D115750" s="12"/>
      <c r="E115750" s="12"/>
      <c r="F115750" s="13"/>
      <c r="G115750" s="12"/>
      <c r="H115750" s="12"/>
      <c r="I115750" s="12"/>
      <c r="J115750" s="12"/>
      <c r="K115750" s="12"/>
      <c r="L115750" s="208"/>
      <c r="M115750" s="209"/>
      <c r="N115750" s="209"/>
      <c r="O115750" s="209"/>
    </row>
    <row r="115751" spans="1:15" s="210" customFormat="1" x14ac:dyDescent="0.3">
      <c r="A115751" s="12"/>
      <c r="B115751" s="15"/>
      <c r="C115751" s="15"/>
      <c r="D115751" s="12"/>
      <c r="E115751" s="12"/>
      <c r="F115751" s="13"/>
      <c r="G115751" s="12"/>
      <c r="H115751" s="12"/>
      <c r="I115751" s="12"/>
      <c r="J115751" s="12"/>
      <c r="K115751" s="12"/>
      <c r="L115751" s="208"/>
      <c r="M115751" s="209"/>
      <c r="N115751" s="209"/>
      <c r="O115751" s="209"/>
    </row>
    <row r="115752" spans="1:15" s="210" customFormat="1" x14ac:dyDescent="0.3">
      <c r="A115752" s="12"/>
      <c r="B115752" s="15"/>
      <c r="C115752" s="15"/>
      <c r="D115752" s="12"/>
      <c r="E115752" s="12"/>
      <c r="F115752" s="13"/>
      <c r="G115752" s="12"/>
      <c r="H115752" s="12"/>
      <c r="I115752" s="12"/>
      <c r="J115752" s="12"/>
      <c r="K115752" s="12"/>
      <c r="L115752" s="208"/>
      <c r="M115752" s="209"/>
      <c r="N115752" s="209"/>
      <c r="O115752" s="209"/>
    </row>
    <row r="115753" spans="1:15" s="210" customFormat="1" x14ac:dyDescent="0.3">
      <c r="A115753" s="12"/>
      <c r="B115753" s="15"/>
      <c r="C115753" s="15"/>
      <c r="D115753" s="12"/>
      <c r="E115753" s="12"/>
      <c r="F115753" s="13"/>
      <c r="G115753" s="12"/>
      <c r="H115753" s="12"/>
      <c r="I115753" s="12"/>
      <c r="J115753" s="12"/>
      <c r="K115753" s="12"/>
      <c r="L115753" s="208"/>
      <c r="M115753" s="209"/>
      <c r="N115753" s="209"/>
      <c r="O115753" s="209"/>
    </row>
    <row r="115754" spans="1:15" s="210" customFormat="1" x14ac:dyDescent="0.3">
      <c r="A115754" s="12"/>
      <c r="B115754" s="15"/>
      <c r="C115754" s="15"/>
      <c r="D115754" s="12"/>
      <c r="E115754" s="12"/>
      <c r="F115754" s="13"/>
      <c r="G115754" s="12"/>
      <c r="H115754" s="12"/>
      <c r="I115754" s="12"/>
      <c r="J115754" s="12"/>
      <c r="K115754" s="12"/>
      <c r="L115754" s="208"/>
      <c r="M115754" s="209"/>
      <c r="N115754" s="209"/>
      <c r="O115754" s="209"/>
    </row>
    <row r="115755" spans="1:15" s="210" customFormat="1" x14ac:dyDescent="0.3">
      <c r="A115755" s="12"/>
      <c r="B115755" s="15"/>
      <c r="C115755" s="15"/>
      <c r="D115755" s="12"/>
      <c r="E115755" s="12"/>
      <c r="F115755" s="13"/>
      <c r="G115755" s="12"/>
      <c r="H115755" s="12"/>
      <c r="I115755" s="12"/>
      <c r="J115755" s="12"/>
      <c r="K115755" s="12"/>
      <c r="L115755" s="208"/>
      <c r="M115755" s="209"/>
      <c r="N115755" s="209"/>
      <c r="O115755" s="209"/>
    </row>
    <row r="115756" spans="1:15" s="210" customFormat="1" x14ac:dyDescent="0.3">
      <c r="A115756" s="12"/>
      <c r="B115756" s="15"/>
      <c r="C115756" s="15"/>
      <c r="D115756" s="12"/>
      <c r="E115756" s="12"/>
      <c r="F115756" s="13"/>
      <c r="G115756" s="12"/>
      <c r="H115756" s="12"/>
      <c r="I115756" s="12"/>
      <c r="J115756" s="12"/>
      <c r="K115756" s="12"/>
      <c r="L115756" s="208"/>
      <c r="M115756" s="209"/>
      <c r="N115756" s="209"/>
      <c r="O115756" s="209"/>
    </row>
    <row r="115757" spans="1:15" s="210" customFormat="1" x14ac:dyDescent="0.3">
      <c r="A115757" s="12"/>
      <c r="B115757" s="15"/>
      <c r="C115757" s="15"/>
      <c r="D115757" s="12"/>
      <c r="E115757" s="12"/>
      <c r="F115757" s="13"/>
      <c r="G115757" s="12"/>
      <c r="H115757" s="12"/>
      <c r="I115757" s="12"/>
      <c r="J115757" s="12"/>
      <c r="K115757" s="12"/>
      <c r="L115757" s="208"/>
      <c r="M115757" s="209"/>
      <c r="N115757" s="209"/>
      <c r="O115757" s="209"/>
    </row>
    <row r="115758" spans="1:15" s="210" customFormat="1" x14ac:dyDescent="0.3">
      <c r="A115758" s="12"/>
      <c r="B115758" s="15"/>
      <c r="C115758" s="15"/>
      <c r="D115758" s="12"/>
      <c r="E115758" s="12"/>
      <c r="F115758" s="13"/>
      <c r="G115758" s="12"/>
      <c r="H115758" s="12"/>
      <c r="I115758" s="12"/>
      <c r="J115758" s="12"/>
      <c r="K115758" s="12"/>
      <c r="L115758" s="208"/>
      <c r="M115758" s="209"/>
      <c r="N115758" s="209"/>
      <c r="O115758" s="209"/>
    </row>
    <row r="115759" spans="1:15" s="210" customFormat="1" x14ac:dyDescent="0.3">
      <c r="A115759" s="12"/>
      <c r="B115759" s="15"/>
      <c r="C115759" s="15"/>
      <c r="D115759" s="12"/>
      <c r="E115759" s="12"/>
      <c r="F115759" s="13"/>
      <c r="G115759" s="12"/>
      <c r="H115759" s="12"/>
      <c r="I115759" s="12"/>
      <c r="J115759" s="12"/>
      <c r="K115759" s="12"/>
      <c r="L115759" s="208"/>
      <c r="M115759" s="209"/>
      <c r="N115759" s="209"/>
      <c r="O115759" s="209"/>
    </row>
    <row r="115760" spans="1:15" s="210" customFormat="1" x14ac:dyDescent="0.3">
      <c r="A115760" s="12"/>
      <c r="B115760" s="15"/>
      <c r="C115760" s="15"/>
      <c r="D115760" s="12"/>
      <c r="E115760" s="12"/>
      <c r="F115760" s="13"/>
      <c r="G115760" s="12"/>
      <c r="H115760" s="12"/>
      <c r="I115760" s="12"/>
      <c r="J115760" s="12"/>
      <c r="K115760" s="12"/>
      <c r="L115760" s="208"/>
      <c r="M115760" s="209"/>
      <c r="N115760" s="209"/>
      <c r="O115760" s="209"/>
    </row>
    <row r="115761" spans="1:15" s="210" customFormat="1" x14ac:dyDescent="0.3">
      <c r="A115761" s="12"/>
      <c r="B115761" s="15"/>
      <c r="C115761" s="15"/>
      <c r="D115761" s="12"/>
      <c r="E115761" s="12"/>
      <c r="F115761" s="13"/>
      <c r="G115761" s="12"/>
      <c r="H115761" s="12"/>
      <c r="I115761" s="12"/>
      <c r="J115761" s="12"/>
      <c r="K115761" s="12"/>
      <c r="L115761" s="208"/>
      <c r="M115761" s="209"/>
      <c r="N115761" s="209"/>
      <c r="O115761" s="209"/>
    </row>
    <row r="115762" spans="1:15" s="210" customFormat="1" x14ac:dyDescent="0.3">
      <c r="A115762" s="12"/>
      <c r="B115762" s="15"/>
      <c r="C115762" s="15"/>
      <c r="D115762" s="12"/>
      <c r="E115762" s="12"/>
      <c r="F115762" s="13"/>
      <c r="G115762" s="12"/>
      <c r="H115762" s="12"/>
      <c r="I115762" s="12"/>
      <c r="J115762" s="12"/>
      <c r="K115762" s="12"/>
      <c r="L115762" s="208"/>
      <c r="M115762" s="209"/>
      <c r="N115762" s="209"/>
      <c r="O115762" s="209"/>
    </row>
    <row r="115763" spans="1:15" s="210" customFormat="1" x14ac:dyDescent="0.3">
      <c r="A115763" s="12"/>
      <c r="B115763" s="15"/>
      <c r="C115763" s="15"/>
      <c r="D115763" s="12"/>
      <c r="E115763" s="12"/>
      <c r="F115763" s="13"/>
      <c r="G115763" s="12"/>
      <c r="H115763" s="12"/>
      <c r="I115763" s="12"/>
      <c r="J115763" s="12"/>
      <c r="K115763" s="12"/>
      <c r="L115763" s="208"/>
      <c r="M115763" s="209"/>
      <c r="N115763" s="209"/>
      <c r="O115763" s="209"/>
    </row>
    <row r="115764" spans="1:15" s="210" customFormat="1" x14ac:dyDescent="0.3">
      <c r="A115764" s="12"/>
      <c r="B115764" s="15"/>
      <c r="C115764" s="15"/>
      <c r="D115764" s="12"/>
      <c r="E115764" s="12"/>
      <c r="F115764" s="13"/>
      <c r="G115764" s="12"/>
      <c r="H115764" s="12"/>
      <c r="I115764" s="12"/>
      <c r="J115764" s="12"/>
      <c r="K115764" s="12"/>
      <c r="L115764" s="208"/>
      <c r="M115764" s="209"/>
      <c r="N115764" s="209"/>
      <c r="O115764" s="209"/>
    </row>
    <row r="115765" spans="1:15" s="210" customFormat="1" x14ac:dyDescent="0.3">
      <c r="A115765" s="12"/>
      <c r="B115765" s="15"/>
      <c r="C115765" s="15"/>
      <c r="D115765" s="12"/>
      <c r="E115765" s="12"/>
      <c r="F115765" s="13"/>
      <c r="G115765" s="12"/>
      <c r="H115765" s="12"/>
      <c r="I115765" s="12"/>
      <c r="J115765" s="12"/>
      <c r="K115765" s="12"/>
      <c r="L115765" s="208"/>
      <c r="M115765" s="209"/>
      <c r="N115765" s="209"/>
      <c r="O115765" s="209"/>
    </row>
    <row r="115766" spans="1:15" s="210" customFormat="1" x14ac:dyDescent="0.3">
      <c r="A115766" s="12"/>
      <c r="B115766" s="15"/>
      <c r="C115766" s="15"/>
      <c r="D115766" s="12"/>
      <c r="E115766" s="12"/>
      <c r="F115766" s="13"/>
      <c r="G115766" s="12"/>
      <c r="H115766" s="12"/>
      <c r="I115766" s="12"/>
      <c r="J115766" s="12"/>
      <c r="K115766" s="12"/>
      <c r="L115766" s="208"/>
      <c r="M115766" s="209"/>
      <c r="N115766" s="209"/>
      <c r="O115766" s="209"/>
    </row>
    <row r="115767" spans="1:15" s="210" customFormat="1" x14ac:dyDescent="0.3">
      <c r="A115767" s="12"/>
      <c r="B115767" s="15"/>
      <c r="C115767" s="15"/>
      <c r="D115767" s="12"/>
      <c r="E115767" s="12"/>
      <c r="F115767" s="13"/>
      <c r="G115767" s="12"/>
      <c r="H115767" s="12"/>
      <c r="I115767" s="12"/>
      <c r="J115767" s="12"/>
      <c r="K115767" s="12"/>
      <c r="L115767" s="208"/>
      <c r="M115767" s="209"/>
      <c r="N115767" s="209"/>
      <c r="O115767" s="209"/>
    </row>
    <row r="115768" spans="1:15" s="210" customFormat="1" x14ac:dyDescent="0.3">
      <c r="A115768" s="12"/>
      <c r="B115768" s="15"/>
      <c r="C115768" s="15"/>
      <c r="D115768" s="12"/>
      <c r="E115768" s="12"/>
      <c r="F115768" s="13"/>
      <c r="G115768" s="12"/>
      <c r="H115768" s="12"/>
      <c r="I115768" s="12"/>
      <c r="J115768" s="12"/>
      <c r="K115768" s="12"/>
      <c r="L115768" s="208"/>
      <c r="M115768" s="209"/>
      <c r="N115768" s="209"/>
      <c r="O115768" s="209"/>
    </row>
    <row r="115769" spans="1:15" s="210" customFormat="1" x14ac:dyDescent="0.3">
      <c r="A115769" s="12"/>
      <c r="B115769" s="15"/>
      <c r="C115769" s="15"/>
      <c r="D115769" s="12"/>
      <c r="E115769" s="12"/>
      <c r="F115769" s="13"/>
      <c r="G115769" s="12"/>
      <c r="H115769" s="12"/>
      <c r="I115769" s="12"/>
      <c r="J115769" s="12"/>
      <c r="K115769" s="12"/>
      <c r="L115769" s="208"/>
      <c r="M115769" s="209"/>
      <c r="N115769" s="209"/>
      <c r="O115769" s="209"/>
    </row>
    <row r="115770" spans="1:15" s="210" customFormat="1" x14ac:dyDescent="0.3">
      <c r="A115770" s="12"/>
      <c r="B115770" s="15"/>
      <c r="C115770" s="15"/>
      <c r="D115770" s="12"/>
      <c r="E115770" s="12"/>
      <c r="F115770" s="13"/>
      <c r="G115770" s="12"/>
      <c r="H115770" s="12"/>
      <c r="I115770" s="12"/>
      <c r="J115770" s="12"/>
      <c r="K115770" s="12"/>
      <c r="L115770" s="208"/>
      <c r="M115770" s="209"/>
      <c r="N115770" s="209"/>
      <c r="O115770" s="209"/>
    </row>
    <row r="115771" spans="1:15" s="210" customFormat="1" x14ac:dyDescent="0.3">
      <c r="A115771" s="12"/>
      <c r="B115771" s="15"/>
      <c r="C115771" s="15"/>
      <c r="D115771" s="12"/>
      <c r="E115771" s="12"/>
      <c r="F115771" s="13"/>
      <c r="G115771" s="12"/>
      <c r="H115771" s="12"/>
      <c r="I115771" s="12"/>
      <c r="J115771" s="12"/>
      <c r="K115771" s="12"/>
      <c r="L115771" s="208"/>
      <c r="M115771" s="209"/>
      <c r="N115771" s="209"/>
      <c r="O115771" s="209"/>
    </row>
    <row r="115772" spans="1:15" s="210" customFormat="1" x14ac:dyDescent="0.3">
      <c r="A115772" s="12"/>
      <c r="B115772" s="15"/>
      <c r="C115772" s="15"/>
      <c r="D115772" s="12"/>
      <c r="E115772" s="12"/>
      <c r="F115772" s="13"/>
      <c r="G115772" s="12"/>
      <c r="H115772" s="12"/>
      <c r="I115772" s="12"/>
      <c r="J115772" s="12"/>
      <c r="K115772" s="12"/>
      <c r="L115772" s="208"/>
      <c r="M115772" s="209"/>
      <c r="N115772" s="209"/>
      <c r="O115772" s="209"/>
    </row>
    <row r="115773" spans="1:15" s="210" customFormat="1" x14ac:dyDescent="0.3">
      <c r="A115773" s="12"/>
      <c r="B115773" s="15"/>
      <c r="C115773" s="15"/>
      <c r="D115773" s="12"/>
      <c r="E115773" s="12"/>
      <c r="F115773" s="13"/>
      <c r="G115773" s="12"/>
      <c r="H115773" s="12"/>
      <c r="I115773" s="12"/>
      <c r="J115773" s="12"/>
      <c r="K115773" s="12"/>
      <c r="L115773" s="208"/>
      <c r="M115773" s="209"/>
      <c r="N115773" s="209"/>
      <c r="O115773" s="209"/>
    </row>
    <row r="115774" spans="1:15" s="210" customFormat="1" x14ac:dyDescent="0.3">
      <c r="A115774" s="12"/>
      <c r="B115774" s="15"/>
      <c r="C115774" s="15"/>
      <c r="D115774" s="12"/>
      <c r="E115774" s="12"/>
      <c r="F115774" s="13"/>
      <c r="G115774" s="12"/>
      <c r="H115774" s="12"/>
      <c r="I115774" s="12"/>
      <c r="J115774" s="12"/>
      <c r="K115774" s="12"/>
      <c r="L115774" s="208"/>
      <c r="M115774" s="209"/>
      <c r="N115774" s="209"/>
      <c r="O115774" s="209"/>
    </row>
    <row r="115775" spans="1:15" s="210" customFormat="1" x14ac:dyDescent="0.3">
      <c r="A115775" s="12"/>
      <c r="B115775" s="15"/>
      <c r="C115775" s="15"/>
      <c r="D115775" s="12"/>
      <c r="E115775" s="12"/>
      <c r="F115775" s="13"/>
      <c r="G115775" s="12"/>
      <c r="H115775" s="12"/>
      <c r="I115775" s="12"/>
      <c r="J115775" s="12"/>
      <c r="K115775" s="12"/>
      <c r="L115775" s="208"/>
      <c r="M115775" s="209"/>
      <c r="N115775" s="209"/>
      <c r="O115775" s="209"/>
    </row>
    <row r="115776" spans="1:15" s="210" customFormat="1" x14ac:dyDescent="0.3">
      <c r="A115776" s="12"/>
      <c r="B115776" s="15"/>
      <c r="C115776" s="15"/>
      <c r="D115776" s="12"/>
      <c r="E115776" s="12"/>
      <c r="F115776" s="13"/>
      <c r="G115776" s="12"/>
      <c r="H115776" s="12"/>
      <c r="I115776" s="12"/>
      <c r="J115776" s="12"/>
      <c r="K115776" s="12"/>
      <c r="L115776" s="208"/>
      <c r="M115776" s="209"/>
      <c r="N115776" s="209"/>
      <c r="O115776" s="209"/>
    </row>
    <row r="115777" spans="1:15" s="210" customFormat="1" x14ac:dyDescent="0.3">
      <c r="A115777" s="12"/>
      <c r="B115777" s="15"/>
      <c r="C115777" s="15"/>
      <c r="D115777" s="12"/>
      <c r="E115777" s="12"/>
      <c r="F115777" s="13"/>
      <c r="G115777" s="12"/>
      <c r="H115777" s="12"/>
      <c r="I115777" s="12"/>
      <c r="J115777" s="12"/>
      <c r="K115777" s="12"/>
      <c r="L115777" s="208"/>
      <c r="M115777" s="209"/>
      <c r="N115777" s="209"/>
      <c r="O115777" s="209"/>
    </row>
    <row r="115778" spans="1:15" s="210" customFormat="1" x14ac:dyDescent="0.3">
      <c r="A115778" s="12"/>
      <c r="B115778" s="15"/>
      <c r="C115778" s="15"/>
      <c r="D115778" s="12"/>
      <c r="E115778" s="12"/>
      <c r="F115778" s="13"/>
      <c r="G115778" s="12"/>
      <c r="H115778" s="12"/>
      <c r="I115778" s="12"/>
      <c r="J115778" s="12"/>
      <c r="K115778" s="12"/>
      <c r="L115778" s="208"/>
      <c r="M115778" s="209"/>
      <c r="N115778" s="209"/>
      <c r="O115778" s="209"/>
    </row>
    <row r="115779" spans="1:15" s="210" customFormat="1" x14ac:dyDescent="0.3">
      <c r="A115779" s="12"/>
      <c r="B115779" s="15"/>
      <c r="C115779" s="15"/>
      <c r="D115779" s="12"/>
      <c r="E115779" s="12"/>
      <c r="F115779" s="13"/>
      <c r="G115779" s="12"/>
      <c r="H115779" s="12"/>
      <c r="I115779" s="12"/>
      <c r="J115779" s="12"/>
      <c r="K115779" s="12"/>
      <c r="L115779" s="208"/>
      <c r="M115779" s="209"/>
      <c r="N115779" s="209"/>
      <c r="O115779" s="209"/>
    </row>
    <row r="115780" spans="1:15" s="210" customFormat="1" x14ac:dyDescent="0.3">
      <c r="A115780" s="12"/>
      <c r="B115780" s="15"/>
      <c r="C115780" s="15"/>
      <c r="D115780" s="12"/>
      <c r="E115780" s="12"/>
      <c r="F115780" s="13"/>
      <c r="G115780" s="12"/>
      <c r="H115780" s="12"/>
      <c r="I115780" s="12"/>
      <c r="J115780" s="12"/>
      <c r="K115780" s="12"/>
      <c r="L115780" s="208"/>
      <c r="M115780" s="209"/>
      <c r="N115780" s="209"/>
      <c r="O115780" s="209"/>
    </row>
    <row r="115781" spans="1:15" s="210" customFormat="1" x14ac:dyDescent="0.3">
      <c r="A115781" s="12"/>
      <c r="B115781" s="15"/>
      <c r="C115781" s="15"/>
      <c r="D115781" s="12"/>
      <c r="E115781" s="12"/>
      <c r="F115781" s="13"/>
      <c r="G115781" s="12"/>
      <c r="H115781" s="12"/>
      <c r="I115781" s="12"/>
      <c r="J115781" s="12"/>
      <c r="K115781" s="12"/>
      <c r="L115781" s="208"/>
      <c r="M115781" s="209"/>
      <c r="N115781" s="209"/>
      <c r="O115781" s="209"/>
    </row>
    <row r="115782" spans="1:15" s="210" customFormat="1" x14ac:dyDescent="0.3">
      <c r="A115782" s="12"/>
      <c r="B115782" s="15"/>
      <c r="C115782" s="15"/>
      <c r="D115782" s="12"/>
      <c r="E115782" s="12"/>
      <c r="F115782" s="13"/>
      <c r="G115782" s="12"/>
      <c r="H115782" s="12"/>
      <c r="I115782" s="12"/>
      <c r="J115782" s="12"/>
      <c r="K115782" s="12"/>
      <c r="L115782" s="208"/>
      <c r="M115782" s="209"/>
      <c r="N115782" s="209"/>
      <c r="O115782" s="209"/>
    </row>
    <row r="115783" spans="1:15" s="210" customFormat="1" x14ac:dyDescent="0.3">
      <c r="A115783" s="12"/>
      <c r="B115783" s="15"/>
      <c r="C115783" s="15"/>
      <c r="D115783" s="12"/>
      <c r="E115783" s="12"/>
      <c r="F115783" s="13"/>
      <c r="G115783" s="12"/>
      <c r="H115783" s="12"/>
      <c r="I115783" s="12"/>
      <c r="J115783" s="12"/>
      <c r="K115783" s="12"/>
      <c r="L115783" s="208"/>
      <c r="M115783" s="209"/>
      <c r="N115783" s="209"/>
      <c r="O115783" s="209"/>
    </row>
    <row r="115784" spans="1:15" s="210" customFormat="1" x14ac:dyDescent="0.3">
      <c r="A115784" s="12"/>
      <c r="B115784" s="15"/>
      <c r="C115784" s="15"/>
      <c r="D115784" s="12"/>
      <c r="E115784" s="12"/>
      <c r="F115784" s="13"/>
      <c r="G115784" s="12"/>
      <c r="H115784" s="12"/>
      <c r="I115784" s="12"/>
      <c r="J115784" s="12"/>
      <c r="K115784" s="12"/>
      <c r="L115784" s="208"/>
      <c r="M115784" s="209"/>
      <c r="N115784" s="209"/>
      <c r="O115784" s="209"/>
    </row>
    <row r="115785" spans="1:15" s="210" customFormat="1" x14ac:dyDescent="0.3">
      <c r="A115785" s="12"/>
      <c r="B115785" s="15"/>
      <c r="C115785" s="15"/>
      <c r="D115785" s="12"/>
      <c r="E115785" s="12"/>
      <c r="F115785" s="13"/>
      <c r="G115785" s="12"/>
      <c r="H115785" s="12"/>
      <c r="I115785" s="12"/>
      <c r="J115785" s="12"/>
      <c r="K115785" s="12"/>
      <c r="L115785" s="208"/>
      <c r="M115785" s="209"/>
      <c r="N115785" s="209"/>
      <c r="O115785" s="209"/>
    </row>
    <row r="115786" spans="1:15" s="210" customFormat="1" x14ac:dyDescent="0.3">
      <c r="A115786" s="12"/>
      <c r="B115786" s="15"/>
      <c r="C115786" s="15"/>
      <c r="D115786" s="12"/>
      <c r="E115786" s="12"/>
      <c r="F115786" s="13"/>
      <c r="G115786" s="12"/>
      <c r="H115786" s="12"/>
      <c r="I115786" s="12"/>
      <c r="J115786" s="12"/>
      <c r="K115786" s="12"/>
      <c r="L115786" s="208"/>
      <c r="M115786" s="209"/>
      <c r="N115786" s="209"/>
      <c r="O115786" s="209"/>
    </row>
    <row r="115787" spans="1:15" s="210" customFormat="1" x14ac:dyDescent="0.3">
      <c r="A115787" s="12"/>
      <c r="B115787" s="15"/>
      <c r="C115787" s="15"/>
      <c r="D115787" s="12"/>
      <c r="E115787" s="12"/>
      <c r="F115787" s="13"/>
      <c r="G115787" s="12"/>
      <c r="H115787" s="12"/>
      <c r="I115787" s="12"/>
      <c r="J115787" s="12"/>
      <c r="K115787" s="12"/>
      <c r="L115787" s="208"/>
      <c r="M115787" s="209"/>
      <c r="N115787" s="209"/>
      <c r="O115787" s="209"/>
    </row>
    <row r="115788" spans="1:15" s="210" customFormat="1" x14ac:dyDescent="0.3">
      <c r="A115788" s="12"/>
      <c r="B115788" s="15"/>
      <c r="C115788" s="15"/>
      <c r="D115788" s="12"/>
      <c r="E115788" s="12"/>
      <c r="F115788" s="13"/>
      <c r="G115788" s="12"/>
      <c r="H115788" s="12"/>
      <c r="I115788" s="12"/>
      <c r="J115788" s="12"/>
      <c r="K115788" s="12"/>
      <c r="L115788" s="208"/>
      <c r="M115788" s="209"/>
      <c r="N115788" s="209"/>
      <c r="O115788" s="209"/>
    </row>
    <row r="115789" spans="1:15" s="210" customFormat="1" x14ac:dyDescent="0.3">
      <c r="A115789" s="12"/>
      <c r="B115789" s="15"/>
      <c r="C115789" s="15"/>
      <c r="D115789" s="12"/>
      <c r="E115789" s="12"/>
      <c r="F115789" s="13"/>
      <c r="G115789" s="12"/>
      <c r="H115789" s="12"/>
      <c r="I115789" s="12"/>
      <c r="J115789" s="12"/>
      <c r="K115789" s="12"/>
      <c r="L115789" s="208"/>
      <c r="M115789" s="209"/>
      <c r="N115789" s="209"/>
      <c r="O115789" s="209"/>
    </row>
    <row r="115790" spans="1:15" s="210" customFormat="1" x14ac:dyDescent="0.3">
      <c r="A115790" s="12"/>
      <c r="B115790" s="15"/>
      <c r="C115790" s="15"/>
      <c r="D115790" s="12"/>
      <c r="E115790" s="12"/>
      <c r="F115790" s="13"/>
      <c r="G115790" s="12"/>
      <c r="H115790" s="12"/>
      <c r="I115790" s="12"/>
      <c r="J115790" s="12"/>
      <c r="K115790" s="12"/>
      <c r="L115790" s="208"/>
      <c r="M115790" s="209"/>
      <c r="N115790" s="209"/>
      <c r="O115790" s="209"/>
    </row>
    <row r="115791" spans="1:15" s="210" customFormat="1" x14ac:dyDescent="0.3">
      <c r="A115791" s="12"/>
      <c r="B115791" s="15"/>
      <c r="C115791" s="15"/>
      <c r="D115791" s="12"/>
      <c r="E115791" s="12"/>
      <c r="F115791" s="13"/>
      <c r="G115791" s="12"/>
      <c r="H115791" s="12"/>
      <c r="I115791" s="12"/>
      <c r="J115791" s="12"/>
      <c r="K115791" s="12"/>
      <c r="L115791" s="208"/>
      <c r="M115791" s="209"/>
      <c r="N115791" s="209"/>
      <c r="O115791" s="209"/>
    </row>
    <row r="115792" spans="1:15" s="210" customFormat="1" x14ac:dyDescent="0.3">
      <c r="A115792" s="12"/>
      <c r="B115792" s="15"/>
      <c r="C115792" s="15"/>
      <c r="D115792" s="12"/>
      <c r="E115792" s="12"/>
      <c r="F115792" s="13"/>
      <c r="G115792" s="12"/>
      <c r="H115792" s="12"/>
      <c r="I115792" s="12"/>
      <c r="J115792" s="12"/>
      <c r="K115792" s="12"/>
      <c r="L115792" s="208"/>
      <c r="M115792" s="209"/>
      <c r="N115792" s="209"/>
      <c r="O115792" s="209"/>
    </row>
    <row r="115793" spans="1:15" s="210" customFormat="1" x14ac:dyDescent="0.3">
      <c r="A115793" s="12"/>
      <c r="B115793" s="15"/>
      <c r="C115793" s="15"/>
      <c r="D115793" s="12"/>
      <c r="E115793" s="12"/>
      <c r="F115793" s="13"/>
      <c r="G115793" s="12"/>
      <c r="H115793" s="12"/>
      <c r="I115793" s="12"/>
      <c r="J115793" s="12"/>
      <c r="K115793" s="12"/>
      <c r="L115793" s="208"/>
      <c r="M115793" s="209"/>
      <c r="N115793" s="209"/>
      <c r="O115793" s="209"/>
    </row>
    <row r="115794" spans="1:15" s="210" customFormat="1" x14ac:dyDescent="0.3">
      <c r="A115794" s="12"/>
      <c r="B115794" s="15"/>
      <c r="C115794" s="15"/>
      <c r="D115794" s="12"/>
      <c r="E115794" s="12"/>
      <c r="F115794" s="13"/>
      <c r="G115794" s="12"/>
      <c r="H115794" s="12"/>
      <c r="I115794" s="12"/>
      <c r="J115794" s="12"/>
      <c r="K115794" s="12"/>
      <c r="L115794" s="208"/>
      <c r="M115794" s="209"/>
      <c r="N115794" s="209"/>
      <c r="O115794" s="209"/>
    </row>
    <row r="115795" spans="1:15" s="210" customFormat="1" x14ac:dyDescent="0.3">
      <c r="A115795" s="12"/>
      <c r="B115795" s="15"/>
      <c r="C115795" s="15"/>
      <c r="D115795" s="12"/>
      <c r="E115795" s="12"/>
      <c r="F115795" s="13"/>
      <c r="G115795" s="12"/>
      <c r="H115795" s="12"/>
      <c r="I115795" s="12"/>
      <c r="J115795" s="12"/>
      <c r="K115795" s="12"/>
      <c r="L115795" s="208"/>
      <c r="M115795" s="209"/>
      <c r="N115795" s="209"/>
      <c r="O115795" s="209"/>
    </row>
    <row r="115796" spans="1:15" s="210" customFormat="1" x14ac:dyDescent="0.3">
      <c r="A115796" s="12"/>
      <c r="B115796" s="15"/>
      <c r="C115796" s="15"/>
      <c r="D115796" s="12"/>
      <c r="E115796" s="12"/>
      <c r="F115796" s="13"/>
      <c r="G115796" s="12"/>
      <c r="H115796" s="12"/>
      <c r="I115796" s="12"/>
      <c r="J115796" s="12"/>
      <c r="K115796" s="12"/>
      <c r="L115796" s="208"/>
      <c r="M115796" s="209"/>
      <c r="N115796" s="209"/>
      <c r="O115796" s="209"/>
    </row>
    <row r="115797" spans="1:15" s="210" customFormat="1" x14ac:dyDescent="0.3">
      <c r="A115797" s="12"/>
      <c r="B115797" s="15"/>
      <c r="C115797" s="15"/>
      <c r="D115797" s="12"/>
      <c r="E115797" s="12"/>
      <c r="F115797" s="13"/>
      <c r="G115797" s="12"/>
      <c r="H115797" s="12"/>
      <c r="I115797" s="12"/>
      <c r="J115797" s="12"/>
      <c r="K115797" s="12"/>
      <c r="L115797" s="208"/>
      <c r="M115797" s="209"/>
      <c r="N115797" s="209"/>
      <c r="O115797" s="209"/>
    </row>
    <row r="115798" spans="1:15" s="210" customFormat="1" x14ac:dyDescent="0.3">
      <c r="A115798" s="12"/>
      <c r="B115798" s="15"/>
      <c r="C115798" s="15"/>
      <c r="D115798" s="12"/>
      <c r="E115798" s="12"/>
      <c r="F115798" s="13"/>
      <c r="G115798" s="12"/>
      <c r="H115798" s="12"/>
      <c r="I115798" s="12"/>
      <c r="J115798" s="12"/>
      <c r="K115798" s="12"/>
      <c r="L115798" s="208"/>
      <c r="M115798" s="209"/>
      <c r="N115798" s="209"/>
      <c r="O115798" s="209"/>
    </row>
    <row r="115799" spans="1:15" s="210" customFormat="1" x14ac:dyDescent="0.3">
      <c r="A115799" s="12"/>
      <c r="B115799" s="15"/>
      <c r="C115799" s="15"/>
      <c r="D115799" s="12"/>
      <c r="E115799" s="12"/>
      <c r="F115799" s="13"/>
      <c r="G115799" s="12"/>
      <c r="H115799" s="12"/>
      <c r="I115799" s="12"/>
      <c r="J115799" s="12"/>
      <c r="K115799" s="12"/>
      <c r="L115799" s="208"/>
      <c r="M115799" s="209"/>
      <c r="N115799" s="209"/>
      <c r="O115799" s="209"/>
    </row>
    <row r="115800" spans="1:15" s="210" customFormat="1" x14ac:dyDescent="0.3">
      <c r="A115800" s="12"/>
      <c r="B115800" s="15"/>
      <c r="C115800" s="15"/>
      <c r="D115800" s="12"/>
      <c r="E115800" s="12"/>
      <c r="F115800" s="13"/>
      <c r="G115800" s="12"/>
      <c r="H115800" s="12"/>
      <c r="I115800" s="12"/>
      <c r="J115800" s="12"/>
      <c r="K115800" s="12"/>
      <c r="L115800" s="208"/>
      <c r="M115800" s="209"/>
      <c r="N115800" s="209"/>
      <c r="O115800" s="209"/>
    </row>
    <row r="115801" spans="1:15" s="210" customFormat="1" x14ac:dyDescent="0.3">
      <c r="A115801" s="12"/>
      <c r="B115801" s="15"/>
      <c r="C115801" s="15"/>
      <c r="D115801" s="12"/>
      <c r="E115801" s="12"/>
      <c r="F115801" s="13"/>
      <c r="G115801" s="12"/>
      <c r="H115801" s="12"/>
      <c r="I115801" s="12"/>
      <c r="J115801" s="12"/>
      <c r="K115801" s="12"/>
      <c r="L115801" s="208"/>
      <c r="M115801" s="209"/>
      <c r="N115801" s="209"/>
      <c r="O115801" s="209"/>
    </row>
    <row r="115802" spans="1:15" s="210" customFormat="1" x14ac:dyDescent="0.3">
      <c r="A115802" s="12"/>
      <c r="B115802" s="15"/>
      <c r="C115802" s="15"/>
      <c r="D115802" s="12"/>
      <c r="E115802" s="12"/>
      <c r="F115802" s="13"/>
      <c r="G115802" s="12"/>
      <c r="H115802" s="12"/>
      <c r="I115802" s="12"/>
      <c r="J115802" s="12"/>
      <c r="K115802" s="12"/>
      <c r="L115802" s="208"/>
      <c r="M115802" s="209"/>
      <c r="N115802" s="209"/>
      <c r="O115802" s="209"/>
    </row>
    <row r="115803" spans="1:15" s="210" customFormat="1" x14ac:dyDescent="0.3">
      <c r="A115803" s="12"/>
      <c r="B115803" s="15"/>
      <c r="C115803" s="15"/>
      <c r="D115803" s="12"/>
      <c r="E115803" s="12"/>
      <c r="F115803" s="13"/>
      <c r="G115803" s="12"/>
      <c r="H115803" s="12"/>
      <c r="I115803" s="12"/>
      <c r="J115803" s="12"/>
      <c r="K115803" s="12"/>
      <c r="L115803" s="208"/>
      <c r="M115803" s="209"/>
      <c r="N115803" s="209"/>
      <c r="O115803" s="209"/>
    </row>
    <row r="115804" spans="1:15" s="210" customFormat="1" x14ac:dyDescent="0.3">
      <c r="A115804" s="12"/>
      <c r="B115804" s="15"/>
      <c r="C115804" s="15"/>
      <c r="D115804" s="12"/>
      <c r="E115804" s="12"/>
      <c r="F115804" s="13"/>
      <c r="G115804" s="12"/>
      <c r="H115804" s="12"/>
      <c r="I115804" s="12"/>
      <c r="J115804" s="12"/>
      <c r="K115804" s="12"/>
      <c r="L115804" s="208"/>
      <c r="M115804" s="209"/>
      <c r="N115804" s="209"/>
      <c r="O115804" s="209"/>
    </row>
    <row r="115805" spans="1:15" s="210" customFormat="1" x14ac:dyDescent="0.3">
      <c r="A115805" s="12"/>
      <c r="B115805" s="15"/>
      <c r="C115805" s="15"/>
      <c r="D115805" s="12"/>
      <c r="E115805" s="12"/>
      <c r="F115805" s="13"/>
      <c r="G115805" s="12"/>
      <c r="H115805" s="12"/>
      <c r="I115805" s="12"/>
      <c r="J115805" s="12"/>
      <c r="K115805" s="12"/>
      <c r="L115805" s="208"/>
      <c r="M115805" s="209"/>
      <c r="N115805" s="209"/>
      <c r="O115805" s="209"/>
    </row>
    <row r="115806" spans="1:15" s="210" customFormat="1" x14ac:dyDescent="0.3">
      <c r="A115806" s="12"/>
      <c r="B115806" s="15"/>
      <c r="C115806" s="15"/>
      <c r="D115806" s="12"/>
      <c r="E115806" s="12"/>
      <c r="F115806" s="13"/>
      <c r="G115806" s="12"/>
      <c r="H115806" s="12"/>
      <c r="I115806" s="12"/>
      <c r="J115806" s="12"/>
      <c r="K115806" s="12"/>
      <c r="L115806" s="208"/>
      <c r="M115806" s="209"/>
      <c r="N115806" s="209"/>
      <c r="O115806" s="209"/>
    </row>
    <row r="115807" spans="1:15" s="210" customFormat="1" x14ac:dyDescent="0.3">
      <c r="A115807" s="12"/>
      <c r="B115807" s="15"/>
      <c r="C115807" s="15"/>
      <c r="D115807" s="12"/>
      <c r="E115807" s="12"/>
      <c r="F115807" s="13"/>
      <c r="G115807" s="12"/>
      <c r="H115807" s="12"/>
      <c r="I115807" s="12"/>
      <c r="J115807" s="12"/>
      <c r="K115807" s="12"/>
      <c r="L115807" s="208"/>
      <c r="M115807" s="209"/>
      <c r="N115807" s="209"/>
      <c r="O115807" s="209"/>
    </row>
    <row r="115808" spans="1:15" s="210" customFormat="1" x14ac:dyDescent="0.3">
      <c r="A115808" s="12"/>
      <c r="B115808" s="15"/>
      <c r="C115808" s="15"/>
      <c r="D115808" s="12"/>
      <c r="E115808" s="12"/>
      <c r="F115808" s="13"/>
      <c r="G115808" s="12"/>
      <c r="H115808" s="12"/>
      <c r="I115808" s="12"/>
      <c r="J115808" s="12"/>
      <c r="K115808" s="12"/>
      <c r="L115808" s="208"/>
      <c r="M115808" s="209"/>
      <c r="N115808" s="209"/>
      <c r="O115808" s="209"/>
    </row>
    <row r="115809" spans="1:15" s="210" customFormat="1" x14ac:dyDescent="0.3">
      <c r="A115809" s="12"/>
      <c r="B115809" s="15"/>
      <c r="C115809" s="15"/>
      <c r="D115809" s="12"/>
      <c r="E115809" s="12"/>
      <c r="F115809" s="13"/>
      <c r="G115809" s="12"/>
      <c r="H115809" s="12"/>
      <c r="I115809" s="12"/>
      <c r="J115809" s="12"/>
      <c r="K115809" s="12"/>
      <c r="L115809" s="208"/>
      <c r="M115809" s="209"/>
      <c r="N115809" s="209"/>
      <c r="O115809" s="209"/>
    </row>
    <row r="115810" spans="1:15" s="210" customFormat="1" x14ac:dyDescent="0.3">
      <c r="A115810" s="12"/>
      <c r="B115810" s="15"/>
      <c r="C115810" s="15"/>
      <c r="D115810" s="12"/>
      <c r="E115810" s="12"/>
      <c r="F115810" s="13"/>
      <c r="G115810" s="12"/>
      <c r="H115810" s="12"/>
      <c r="I115810" s="12"/>
      <c r="J115810" s="12"/>
      <c r="K115810" s="12"/>
      <c r="L115810" s="208"/>
      <c r="M115810" s="209"/>
      <c r="N115810" s="209"/>
      <c r="O115810" s="209"/>
    </row>
    <row r="115811" spans="1:15" s="210" customFormat="1" x14ac:dyDescent="0.3">
      <c r="A115811" s="12"/>
      <c r="B115811" s="15"/>
      <c r="C115811" s="15"/>
      <c r="D115811" s="12"/>
      <c r="E115811" s="12"/>
      <c r="F115811" s="13"/>
      <c r="G115811" s="12"/>
      <c r="H115811" s="12"/>
      <c r="I115811" s="12"/>
      <c r="J115811" s="12"/>
      <c r="K115811" s="12"/>
      <c r="L115811" s="208"/>
      <c r="M115811" s="209"/>
      <c r="N115811" s="209"/>
      <c r="O115811" s="209"/>
    </row>
    <row r="115812" spans="1:15" s="210" customFormat="1" x14ac:dyDescent="0.3">
      <c r="A115812" s="12"/>
      <c r="B115812" s="15"/>
      <c r="C115812" s="15"/>
      <c r="D115812" s="12"/>
      <c r="E115812" s="12"/>
      <c r="F115812" s="13"/>
      <c r="G115812" s="12"/>
      <c r="H115812" s="12"/>
      <c r="I115812" s="12"/>
      <c r="J115812" s="12"/>
      <c r="K115812" s="12"/>
      <c r="L115812" s="208"/>
      <c r="M115812" s="209"/>
      <c r="N115812" s="209"/>
      <c r="O115812" s="209"/>
    </row>
    <row r="115813" spans="1:15" s="210" customFormat="1" x14ac:dyDescent="0.3">
      <c r="A115813" s="12"/>
      <c r="B115813" s="15"/>
      <c r="C115813" s="15"/>
      <c r="D115813" s="12"/>
      <c r="E115813" s="12"/>
      <c r="F115813" s="13"/>
      <c r="G115813" s="12"/>
      <c r="H115813" s="12"/>
      <c r="I115813" s="12"/>
      <c r="J115813" s="12"/>
      <c r="K115813" s="12"/>
      <c r="L115813" s="208"/>
      <c r="M115813" s="209"/>
      <c r="N115813" s="209"/>
      <c r="O115813" s="209"/>
    </row>
    <row r="115814" spans="1:15" s="210" customFormat="1" x14ac:dyDescent="0.3">
      <c r="A115814" s="12"/>
      <c r="B115814" s="15"/>
      <c r="C115814" s="15"/>
      <c r="D115814" s="12"/>
      <c r="E115814" s="12"/>
      <c r="F115814" s="13"/>
      <c r="G115814" s="12"/>
      <c r="H115814" s="12"/>
      <c r="I115814" s="12"/>
      <c r="J115814" s="12"/>
      <c r="K115814" s="12"/>
      <c r="L115814" s="208"/>
      <c r="M115814" s="209"/>
      <c r="N115814" s="209"/>
      <c r="O115814" s="209"/>
    </row>
    <row r="115815" spans="1:15" s="210" customFormat="1" x14ac:dyDescent="0.3">
      <c r="A115815" s="12"/>
      <c r="B115815" s="15"/>
      <c r="C115815" s="15"/>
      <c r="D115815" s="12"/>
      <c r="E115815" s="12"/>
      <c r="F115815" s="13"/>
      <c r="G115815" s="12"/>
      <c r="H115815" s="12"/>
      <c r="I115815" s="12"/>
      <c r="J115815" s="12"/>
      <c r="K115815" s="12"/>
      <c r="L115815" s="208"/>
      <c r="M115815" s="209"/>
      <c r="N115815" s="209"/>
      <c r="O115815" s="209"/>
    </row>
    <row r="115816" spans="1:15" s="210" customFormat="1" x14ac:dyDescent="0.3">
      <c r="A115816" s="12"/>
      <c r="B115816" s="15"/>
      <c r="C115816" s="15"/>
      <c r="D115816" s="12"/>
      <c r="E115816" s="12"/>
      <c r="F115816" s="13"/>
      <c r="G115816" s="12"/>
      <c r="H115816" s="12"/>
      <c r="I115816" s="12"/>
      <c r="J115816" s="12"/>
      <c r="K115816" s="12"/>
      <c r="L115816" s="208"/>
      <c r="M115816" s="209"/>
      <c r="N115816" s="209"/>
      <c r="O115816" s="209"/>
    </row>
    <row r="115817" spans="1:15" s="210" customFormat="1" x14ac:dyDescent="0.3">
      <c r="A115817" s="12"/>
      <c r="B115817" s="15"/>
      <c r="C115817" s="15"/>
      <c r="D115817" s="12"/>
      <c r="E115817" s="12"/>
      <c r="F115817" s="13"/>
      <c r="G115817" s="12"/>
      <c r="H115817" s="12"/>
      <c r="I115817" s="12"/>
      <c r="J115817" s="12"/>
      <c r="K115817" s="12"/>
      <c r="L115817" s="208"/>
      <c r="M115817" s="209"/>
      <c r="N115817" s="209"/>
      <c r="O115817" s="209"/>
    </row>
    <row r="115818" spans="1:15" s="210" customFormat="1" x14ac:dyDescent="0.3">
      <c r="A115818" s="12"/>
      <c r="B115818" s="15"/>
      <c r="C115818" s="15"/>
      <c r="D115818" s="12"/>
      <c r="E115818" s="12"/>
      <c r="F115818" s="13"/>
      <c r="G115818" s="12"/>
      <c r="H115818" s="12"/>
      <c r="I115818" s="12"/>
      <c r="J115818" s="12"/>
      <c r="K115818" s="12"/>
      <c r="L115818" s="208"/>
      <c r="M115818" s="209"/>
      <c r="N115818" s="209"/>
      <c r="O115818" s="209"/>
    </row>
    <row r="115819" spans="1:15" s="210" customFormat="1" x14ac:dyDescent="0.3">
      <c r="A115819" s="12"/>
      <c r="B115819" s="15"/>
      <c r="C115819" s="15"/>
      <c r="D115819" s="12"/>
      <c r="E115819" s="12"/>
      <c r="F115819" s="13"/>
      <c r="G115819" s="12"/>
      <c r="H115819" s="12"/>
      <c r="I115819" s="12"/>
      <c r="J115819" s="12"/>
      <c r="K115819" s="12"/>
      <c r="L115819" s="208"/>
      <c r="M115819" s="209"/>
      <c r="N115819" s="209"/>
      <c r="O115819" s="209"/>
    </row>
    <row r="115820" spans="1:15" s="210" customFormat="1" x14ac:dyDescent="0.3">
      <c r="A115820" s="12"/>
      <c r="B115820" s="15"/>
      <c r="C115820" s="15"/>
      <c r="D115820" s="12"/>
      <c r="E115820" s="12"/>
      <c r="F115820" s="13"/>
      <c r="G115820" s="12"/>
      <c r="H115820" s="12"/>
      <c r="I115820" s="12"/>
      <c r="J115820" s="12"/>
      <c r="K115820" s="12"/>
      <c r="L115820" s="208"/>
      <c r="M115820" s="209"/>
      <c r="N115820" s="209"/>
      <c r="O115820" s="209"/>
    </row>
    <row r="115821" spans="1:15" s="210" customFormat="1" x14ac:dyDescent="0.3">
      <c r="A115821" s="12"/>
      <c r="B115821" s="15"/>
      <c r="C115821" s="15"/>
      <c r="D115821" s="12"/>
      <c r="E115821" s="12"/>
      <c r="F115821" s="13"/>
      <c r="G115821" s="12"/>
      <c r="H115821" s="12"/>
      <c r="I115821" s="12"/>
      <c r="J115821" s="12"/>
      <c r="K115821" s="12"/>
      <c r="L115821" s="208"/>
      <c r="M115821" s="209"/>
      <c r="N115821" s="209"/>
      <c r="O115821" s="209"/>
    </row>
    <row r="115822" spans="1:15" s="210" customFormat="1" x14ac:dyDescent="0.3">
      <c r="A115822" s="12"/>
      <c r="B115822" s="15"/>
      <c r="C115822" s="15"/>
      <c r="D115822" s="12"/>
      <c r="E115822" s="12"/>
      <c r="F115822" s="13"/>
      <c r="G115822" s="12"/>
      <c r="H115822" s="12"/>
      <c r="I115822" s="12"/>
      <c r="J115822" s="12"/>
      <c r="K115822" s="12"/>
      <c r="L115822" s="208"/>
      <c r="M115822" s="209"/>
      <c r="N115822" s="209"/>
      <c r="O115822" s="209"/>
    </row>
    <row r="115823" spans="1:15" s="210" customFormat="1" x14ac:dyDescent="0.3">
      <c r="A115823" s="12"/>
      <c r="B115823" s="15"/>
      <c r="C115823" s="15"/>
      <c r="D115823" s="12"/>
      <c r="E115823" s="12"/>
      <c r="F115823" s="13"/>
      <c r="G115823" s="12"/>
      <c r="H115823" s="12"/>
      <c r="I115823" s="12"/>
      <c r="J115823" s="12"/>
      <c r="K115823" s="12"/>
      <c r="L115823" s="208"/>
      <c r="M115823" s="209"/>
      <c r="N115823" s="209"/>
      <c r="O115823" s="209"/>
    </row>
    <row r="115824" spans="1:15" s="210" customFormat="1" x14ac:dyDescent="0.3">
      <c r="A115824" s="12"/>
      <c r="B115824" s="15"/>
      <c r="C115824" s="15"/>
      <c r="D115824" s="12"/>
      <c r="E115824" s="12"/>
      <c r="F115824" s="13"/>
      <c r="G115824" s="12"/>
      <c r="H115824" s="12"/>
      <c r="I115824" s="12"/>
      <c r="J115824" s="12"/>
      <c r="K115824" s="12"/>
      <c r="L115824" s="208"/>
      <c r="M115824" s="209"/>
      <c r="N115824" s="209"/>
      <c r="O115824" s="209"/>
    </row>
    <row r="115825" spans="1:15" s="210" customFormat="1" x14ac:dyDescent="0.3">
      <c r="A115825" s="12"/>
      <c r="B115825" s="15"/>
      <c r="C115825" s="15"/>
      <c r="D115825" s="12"/>
      <c r="E115825" s="12"/>
      <c r="F115825" s="13"/>
      <c r="G115825" s="12"/>
      <c r="H115825" s="12"/>
      <c r="I115825" s="12"/>
      <c r="J115825" s="12"/>
      <c r="K115825" s="12"/>
      <c r="L115825" s="208"/>
      <c r="M115825" s="209"/>
      <c r="N115825" s="209"/>
      <c r="O115825" s="209"/>
    </row>
    <row r="115826" spans="1:15" s="210" customFormat="1" x14ac:dyDescent="0.3">
      <c r="A115826" s="12"/>
      <c r="B115826" s="15"/>
      <c r="C115826" s="15"/>
      <c r="D115826" s="12"/>
      <c r="E115826" s="12"/>
      <c r="F115826" s="13"/>
      <c r="G115826" s="12"/>
      <c r="H115826" s="12"/>
      <c r="I115826" s="12"/>
      <c r="J115826" s="12"/>
      <c r="K115826" s="12"/>
      <c r="L115826" s="208"/>
      <c r="M115826" s="209"/>
      <c r="N115826" s="209"/>
      <c r="O115826" s="209"/>
    </row>
    <row r="115827" spans="1:15" s="210" customFormat="1" x14ac:dyDescent="0.3">
      <c r="A115827" s="12"/>
      <c r="B115827" s="15"/>
      <c r="C115827" s="15"/>
      <c r="D115827" s="12"/>
      <c r="E115827" s="12"/>
      <c r="F115827" s="13"/>
      <c r="G115827" s="12"/>
      <c r="H115827" s="12"/>
      <c r="I115827" s="12"/>
      <c r="J115827" s="12"/>
      <c r="K115827" s="12"/>
      <c r="L115827" s="208"/>
      <c r="M115827" s="209"/>
      <c r="N115827" s="209"/>
      <c r="O115827" s="209"/>
    </row>
    <row r="115828" spans="1:15" s="210" customFormat="1" x14ac:dyDescent="0.3">
      <c r="A115828" s="12"/>
      <c r="B115828" s="15"/>
      <c r="C115828" s="15"/>
      <c r="D115828" s="12"/>
      <c r="E115828" s="12"/>
      <c r="F115828" s="13"/>
      <c r="G115828" s="12"/>
      <c r="H115828" s="12"/>
      <c r="I115828" s="12"/>
      <c r="J115828" s="12"/>
      <c r="K115828" s="12"/>
      <c r="L115828" s="208"/>
      <c r="M115828" s="209"/>
      <c r="N115828" s="209"/>
      <c r="O115828" s="209"/>
    </row>
    <row r="115829" spans="1:15" s="210" customFormat="1" x14ac:dyDescent="0.3">
      <c r="A115829" s="12"/>
      <c r="B115829" s="15"/>
      <c r="C115829" s="15"/>
      <c r="D115829" s="12"/>
      <c r="E115829" s="12"/>
      <c r="F115829" s="13"/>
      <c r="G115829" s="12"/>
      <c r="H115829" s="12"/>
      <c r="I115829" s="12"/>
      <c r="J115829" s="12"/>
      <c r="K115829" s="12"/>
      <c r="L115829" s="208"/>
      <c r="M115829" s="209"/>
      <c r="N115829" s="209"/>
      <c r="O115829" s="209"/>
    </row>
    <row r="115830" spans="1:15" s="210" customFormat="1" x14ac:dyDescent="0.3">
      <c r="A115830" s="12"/>
      <c r="B115830" s="15"/>
      <c r="C115830" s="15"/>
      <c r="D115830" s="12"/>
      <c r="E115830" s="12"/>
      <c r="F115830" s="13"/>
      <c r="G115830" s="12"/>
      <c r="H115830" s="12"/>
      <c r="I115830" s="12"/>
      <c r="J115830" s="12"/>
      <c r="K115830" s="12"/>
      <c r="L115830" s="208"/>
      <c r="M115830" s="209"/>
      <c r="N115830" s="209"/>
      <c r="O115830" s="209"/>
    </row>
    <row r="115831" spans="1:15" s="210" customFormat="1" x14ac:dyDescent="0.3">
      <c r="A115831" s="12"/>
      <c r="B115831" s="15"/>
      <c r="C115831" s="15"/>
      <c r="D115831" s="12"/>
      <c r="E115831" s="12"/>
      <c r="F115831" s="13"/>
      <c r="G115831" s="12"/>
      <c r="H115831" s="12"/>
      <c r="I115831" s="12"/>
      <c r="J115831" s="12"/>
      <c r="K115831" s="12"/>
      <c r="L115831" s="208"/>
      <c r="M115831" s="209"/>
      <c r="N115831" s="209"/>
      <c r="O115831" s="209"/>
    </row>
    <row r="115832" spans="1:15" s="210" customFormat="1" x14ac:dyDescent="0.3">
      <c r="A115832" s="12"/>
      <c r="B115832" s="15"/>
      <c r="C115832" s="15"/>
      <c r="D115832" s="12"/>
      <c r="E115832" s="12"/>
      <c r="F115832" s="13"/>
      <c r="G115832" s="12"/>
      <c r="H115832" s="12"/>
      <c r="I115832" s="12"/>
      <c r="J115832" s="12"/>
      <c r="K115832" s="12"/>
      <c r="L115832" s="208"/>
      <c r="M115832" s="209"/>
      <c r="N115832" s="209"/>
      <c r="O115832" s="209"/>
    </row>
    <row r="115833" spans="1:15" s="210" customFormat="1" x14ac:dyDescent="0.3">
      <c r="A115833" s="12"/>
      <c r="B115833" s="15"/>
      <c r="C115833" s="15"/>
      <c r="D115833" s="12"/>
      <c r="E115833" s="12"/>
      <c r="F115833" s="13"/>
      <c r="G115833" s="12"/>
      <c r="H115833" s="12"/>
      <c r="I115833" s="12"/>
      <c r="J115833" s="12"/>
      <c r="K115833" s="12"/>
      <c r="L115833" s="208"/>
      <c r="M115833" s="209"/>
      <c r="N115833" s="209"/>
      <c r="O115833" s="209"/>
    </row>
    <row r="115834" spans="1:15" s="210" customFormat="1" x14ac:dyDescent="0.3">
      <c r="A115834" s="12"/>
      <c r="B115834" s="15"/>
      <c r="C115834" s="15"/>
      <c r="D115834" s="12"/>
      <c r="E115834" s="12"/>
      <c r="F115834" s="13"/>
      <c r="G115834" s="12"/>
      <c r="H115834" s="12"/>
      <c r="I115834" s="12"/>
      <c r="J115834" s="12"/>
      <c r="K115834" s="12"/>
      <c r="L115834" s="208"/>
      <c r="M115834" s="209"/>
      <c r="N115834" s="209"/>
      <c r="O115834" s="209"/>
    </row>
    <row r="115835" spans="1:15" s="210" customFormat="1" x14ac:dyDescent="0.3">
      <c r="A115835" s="12"/>
      <c r="B115835" s="15"/>
      <c r="C115835" s="15"/>
      <c r="D115835" s="12"/>
      <c r="E115835" s="12"/>
      <c r="F115835" s="13"/>
      <c r="G115835" s="12"/>
      <c r="H115835" s="12"/>
      <c r="I115835" s="12"/>
      <c r="J115835" s="12"/>
      <c r="K115835" s="12"/>
      <c r="L115835" s="208"/>
      <c r="M115835" s="209"/>
      <c r="N115835" s="209"/>
      <c r="O115835" s="209"/>
    </row>
    <row r="115836" spans="1:15" s="210" customFormat="1" x14ac:dyDescent="0.3">
      <c r="A115836" s="12"/>
      <c r="B115836" s="15"/>
      <c r="C115836" s="15"/>
      <c r="D115836" s="12"/>
      <c r="E115836" s="12"/>
      <c r="F115836" s="13"/>
      <c r="G115836" s="12"/>
      <c r="H115836" s="12"/>
      <c r="I115836" s="12"/>
      <c r="J115836" s="12"/>
      <c r="K115836" s="12"/>
      <c r="L115836" s="208"/>
      <c r="M115836" s="209"/>
      <c r="N115836" s="209"/>
      <c r="O115836" s="209"/>
    </row>
    <row r="115837" spans="1:15" s="210" customFormat="1" x14ac:dyDescent="0.3">
      <c r="A115837" s="12"/>
      <c r="B115837" s="15"/>
      <c r="C115837" s="15"/>
      <c r="D115837" s="12"/>
      <c r="E115837" s="12"/>
      <c r="F115837" s="13"/>
      <c r="G115837" s="12"/>
      <c r="H115837" s="12"/>
      <c r="I115837" s="12"/>
      <c r="J115837" s="12"/>
      <c r="K115837" s="12"/>
      <c r="L115837" s="208"/>
      <c r="M115837" s="209"/>
      <c r="N115837" s="209"/>
      <c r="O115837" s="209"/>
    </row>
    <row r="115838" spans="1:15" s="210" customFormat="1" x14ac:dyDescent="0.3">
      <c r="A115838" s="12"/>
      <c r="B115838" s="15"/>
      <c r="C115838" s="15"/>
      <c r="D115838" s="12"/>
      <c r="E115838" s="12"/>
      <c r="F115838" s="13"/>
      <c r="G115838" s="12"/>
      <c r="H115838" s="12"/>
      <c r="I115838" s="12"/>
      <c r="J115838" s="12"/>
      <c r="K115838" s="12"/>
      <c r="L115838" s="208"/>
      <c r="M115838" s="209"/>
      <c r="N115838" s="209"/>
      <c r="O115838" s="209"/>
    </row>
    <row r="115839" spans="1:15" s="210" customFormat="1" x14ac:dyDescent="0.3">
      <c r="A115839" s="12"/>
      <c r="B115839" s="15"/>
      <c r="C115839" s="15"/>
      <c r="D115839" s="12"/>
      <c r="E115839" s="12"/>
      <c r="F115839" s="13"/>
      <c r="G115839" s="12"/>
      <c r="H115839" s="12"/>
      <c r="I115839" s="12"/>
      <c r="J115839" s="12"/>
      <c r="K115839" s="12"/>
      <c r="L115839" s="208"/>
      <c r="M115839" s="209"/>
      <c r="N115839" s="209"/>
      <c r="O115839" s="209"/>
    </row>
    <row r="115840" spans="1:15" s="210" customFormat="1" x14ac:dyDescent="0.3">
      <c r="A115840" s="12"/>
      <c r="B115840" s="15"/>
      <c r="C115840" s="15"/>
      <c r="D115840" s="12"/>
      <c r="E115840" s="12"/>
      <c r="F115840" s="13"/>
      <c r="G115840" s="12"/>
      <c r="H115840" s="12"/>
      <c r="I115840" s="12"/>
      <c r="J115840" s="12"/>
      <c r="K115840" s="12"/>
      <c r="L115840" s="208"/>
      <c r="M115840" s="209"/>
      <c r="N115840" s="209"/>
      <c r="O115840" s="209"/>
    </row>
    <row r="115841" spans="1:15" s="210" customFormat="1" x14ac:dyDescent="0.3">
      <c r="A115841" s="12"/>
      <c r="B115841" s="15"/>
      <c r="C115841" s="15"/>
      <c r="D115841" s="12"/>
      <c r="E115841" s="12"/>
      <c r="F115841" s="13"/>
      <c r="G115841" s="12"/>
      <c r="H115841" s="12"/>
      <c r="I115841" s="12"/>
      <c r="J115841" s="12"/>
      <c r="K115841" s="12"/>
      <c r="L115841" s="208"/>
      <c r="M115841" s="209"/>
      <c r="N115841" s="209"/>
      <c r="O115841" s="209"/>
    </row>
    <row r="115842" spans="1:15" s="210" customFormat="1" x14ac:dyDescent="0.3">
      <c r="A115842" s="12"/>
      <c r="B115842" s="15"/>
      <c r="C115842" s="15"/>
      <c r="D115842" s="12"/>
      <c r="E115842" s="12"/>
      <c r="F115842" s="13"/>
      <c r="G115842" s="12"/>
      <c r="H115842" s="12"/>
      <c r="I115842" s="12"/>
      <c r="J115842" s="12"/>
      <c r="K115842" s="12"/>
      <c r="L115842" s="208"/>
      <c r="M115842" s="209"/>
      <c r="N115842" s="209"/>
      <c r="O115842" s="209"/>
    </row>
    <row r="115843" spans="1:15" s="210" customFormat="1" x14ac:dyDescent="0.3">
      <c r="A115843" s="12"/>
      <c r="B115843" s="15"/>
      <c r="C115843" s="15"/>
      <c r="D115843" s="12"/>
      <c r="E115843" s="12"/>
      <c r="F115843" s="13"/>
      <c r="G115843" s="12"/>
      <c r="H115843" s="12"/>
      <c r="I115843" s="12"/>
      <c r="J115843" s="12"/>
      <c r="K115843" s="12"/>
      <c r="L115843" s="208"/>
      <c r="M115843" s="209"/>
      <c r="N115843" s="209"/>
      <c r="O115843" s="209"/>
    </row>
    <row r="115844" spans="1:15" s="210" customFormat="1" x14ac:dyDescent="0.3">
      <c r="A115844" s="12"/>
      <c r="B115844" s="15"/>
      <c r="C115844" s="15"/>
      <c r="D115844" s="12"/>
      <c r="E115844" s="12"/>
      <c r="F115844" s="13"/>
      <c r="G115844" s="12"/>
      <c r="H115844" s="12"/>
      <c r="I115844" s="12"/>
      <c r="J115844" s="12"/>
      <c r="K115844" s="12"/>
      <c r="L115844" s="208"/>
      <c r="M115844" s="209"/>
      <c r="N115844" s="209"/>
      <c r="O115844" s="209"/>
    </row>
    <row r="115845" spans="1:15" s="210" customFormat="1" x14ac:dyDescent="0.3">
      <c r="A115845" s="12"/>
      <c r="B115845" s="15"/>
      <c r="C115845" s="15"/>
      <c r="D115845" s="12"/>
      <c r="E115845" s="12"/>
      <c r="F115845" s="13"/>
      <c r="G115845" s="12"/>
      <c r="H115845" s="12"/>
      <c r="I115845" s="12"/>
      <c r="J115845" s="12"/>
      <c r="K115845" s="12"/>
      <c r="L115845" s="208"/>
      <c r="M115845" s="209"/>
      <c r="N115845" s="209"/>
      <c r="O115845" s="209"/>
    </row>
    <row r="115846" spans="1:15" s="210" customFormat="1" x14ac:dyDescent="0.3">
      <c r="A115846" s="12"/>
      <c r="B115846" s="15"/>
      <c r="C115846" s="15"/>
      <c r="D115846" s="12"/>
      <c r="E115846" s="12"/>
      <c r="F115846" s="13"/>
      <c r="G115846" s="12"/>
      <c r="H115846" s="12"/>
      <c r="I115846" s="12"/>
      <c r="J115846" s="12"/>
      <c r="K115846" s="12"/>
      <c r="L115846" s="208"/>
      <c r="M115846" s="209"/>
      <c r="N115846" s="209"/>
      <c r="O115846" s="209"/>
    </row>
    <row r="115847" spans="1:15" s="210" customFormat="1" x14ac:dyDescent="0.3">
      <c r="A115847" s="12"/>
      <c r="B115847" s="15"/>
      <c r="C115847" s="15"/>
      <c r="D115847" s="12"/>
      <c r="E115847" s="12"/>
      <c r="F115847" s="13"/>
      <c r="G115847" s="12"/>
      <c r="H115847" s="12"/>
      <c r="I115847" s="12"/>
      <c r="J115847" s="12"/>
      <c r="K115847" s="12"/>
      <c r="L115847" s="208"/>
      <c r="M115847" s="209"/>
      <c r="N115847" s="209"/>
      <c r="O115847" s="209"/>
    </row>
    <row r="115848" spans="1:15" s="210" customFormat="1" x14ac:dyDescent="0.3">
      <c r="A115848" s="12"/>
      <c r="B115848" s="15"/>
      <c r="C115848" s="15"/>
      <c r="D115848" s="12"/>
      <c r="E115848" s="12"/>
      <c r="F115848" s="13"/>
      <c r="G115848" s="12"/>
      <c r="H115848" s="12"/>
      <c r="I115848" s="12"/>
      <c r="J115848" s="12"/>
      <c r="K115848" s="12"/>
      <c r="L115848" s="208"/>
      <c r="M115848" s="209"/>
      <c r="N115848" s="209"/>
      <c r="O115848" s="209"/>
    </row>
    <row r="115849" spans="1:15" s="210" customFormat="1" x14ac:dyDescent="0.3">
      <c r="A115849" s="12"/>
      <c r="B115849" s="15"/>
      <c r="C115849" s="15"/>
      <c r="D115849" s="12"/>
      <c r="E115849" s="12"/>
      <c r="F115849" s="13"/>
      <c r="G115849" s="12"/>
      <c r="H115849" s="12"/>
      <c r="I115849" s="12"/>
      <c r="J115849" s="12"/>
      <c r="K115849" s="12"/>
      <c r="L115849" s="208"/>
      <c r="M115849" s="209"/>
      <c r="N115849" s="209"/>
      <c r="O115849" s="209"/>
    </row>
    <row r="115850" spans="1:15" s="210" customFormat="1" x14ac:dyDescent="0.3">
      <c r="A115850" s="12"/>
      <c r="B115850" s="15"/>
      <c r="C115850" s="15"/>
      <c r="D115850" s="12"/>
      <c r="E115850" s="12"/>
      <c r="F115850" s="13"/>
      <c r="G115850" s="12"/>
      <c r="H115850" s="12"/>
      <c r="I115850" s="12"/>
      <c r="J115850" s="12"/>
      <c r="K115850" s="12"/>
      <c r="L115850" s="208"/>
      <c r="M115850" s="209"/>
      <c r="N115850" s="209"/>
      <c r="O115850" s="209"/>
    </row>
    <row r="115851" spans="1:15" s="210" customFormat="1" x14ac:dyDescent="0.3">
      <c r="A115851" s="12"/>
      <c r="B115851" s="15"/>
      <c r="C115851" s="15"/>
      <c r="D115851" s="12"/>
      <c r="E115851" s="12"/>
      <c r="F115851" s="13"/>
      <c r="G115851" s="12"/>
      <c r="H115851" s="12"/>
      <c r="I115851" s="12"/>
      <c r="J115851" s="12"/>
      <c r="K115851" s="12"/>
      <c r="L115851" s="208"/>
      <c r="M115851" s="209"/>
      <c r="N115851" s="209"/>
      <c r="O115851" s="209"/>
    </row>
    <row r="115852" spans="1:15" s="210" customFormat="1" x14ac:dyDescent="0.3">
      <c r="A115852" s="12"/>
      <c r="B115852" s="15"/>
      <c r="C115852" s="15"/>
      <c r="D115852" s="12"/>
      <c r="E115852" s="12"/>
      <c r="F115852" s="13"/>
      <c r="G115852" s="12"/>
      <c r="H115852" s="12"/>
      <c r="I115852" s="12"/>
      <c r="J115852" s="12"/>
      <c r="K115852" s="12"/>
      <c r="L115852" s="208"/>
      <c r="M115852" s="209"/>
      <c r="N115852" s="209"/>
      <c r="O115852" s="209"/>
    </row>
    <row r="115853" spans="1:15" s="210" customFormat="1" x14ac:dyDescent="0.3">
      <c r="A115853" s="12"/>
      <c r="B115853" s="15"/>
      <c r="C115853" s="15"/>
      <c r="D115853" s="12"/>
      <c r="E115853" s="12"/>
      <c r="F115853" s="13"/>
      <c r="G115853" s="12"/>
      <c r="H115853" s="12"/>
      <c r="I115853" s="12"/>
      <c r="J115853" s="12"/>
      <c r="K115853" s="12"/>
      <c r="L115853" s="208"/>
      <c r="M115853" s="209"/>
      <c r="N115853" s="209"/>
      <c r="O115853" s="209"/>
    </row>
    <row r="115854" spans="1:15" s="210" customFormat="1" x14ac:dyDescent="0.3">
      <c r="A115854" s="12"/>
      <c r="B115854" s="15"/>
      <c r="C115854" s="15"/>
      <c r="D115854" s="12"/>
      <c r="E115854" s="12"/>
      <c r="F115854" s="13"/>
      <c r="G115854" s="12"/>
      <c r="H115854" s="12"/>
      <c r="I115854" s="12"/>
      <c r="J115854" s="12"/>
      <c r="K115854" s="12"/>
      <c r="L115854" s="208"/>
      <c r="M115854" s="209"/>
      <c r="N115854" s="209"/>
      <c r="O115854" s="209"/>
    </row>
    <row r="115855" spans="1:15" s="210" customFormat="1" x14ac:dyDescent="0.3">
      <c r="A115855" s="12"/>
      <c r="B115855" s="15"/>
      <c r="C115855" s="15"/>
      <c r="D115855" s="12"/>
      <c r="E115855" s="12"/>
      <c r="F115855" s="13"/>
      <c r="G115855" s="12"/>
      <c r="H115855" s="12"/>
      <c r="I115855" s="12"/>
      <c r="J115855" s="12"/>
      <c r="K115855" s="12"/>
      <c r="L115855" s="208"/>
      <c r="M115855" s="209"/>
      <c r="N115855" s="209"/>
      <c r="O115855" s="209"/>
    </row>
    <row r="115856" spans="1:15" s="210" customFormat="1" x14ac:dyDescent="0.3">
      <c r="A115856" s="12"/>
      <c r="B115856" s="15"/>
      <c r="C115856" s="15"/>
      <c r="D115856" s="12"/>
      <c r="E115856" s="12"/>
      <c r="F115856" s="13"/>
      <c r="G115856" s="12"/>
      <c r="H115856" s="12"/>
      <c r="I115856" s="12"/>
      <c r="J115856" s="12"/>
      <c r="K115856" s="12"/>
      <c r="L115856" s="208"/>
      <c r="M115856" s="209"/>
      <c r="N115856" s="209"/>
      <c r="O115856" s="209"/>
    </row>
    <row r="115857" spans="1:15" s="210" customFormat="1" x14ac:dyDescent="0.3">
      <c r="A115857" s="12"/>
      <c r="B115857" s="15"/>
      <c r="C115857" s="15"/>
      <c r="D115857" s="12"/>
      <c r="E115857" s="12"/>
      <c r="F115857" s="13"/>
      <c r="G115857" s="12"/>
      <c r="H115857" s="12"/>
      <c r="I115857" s="12"/>
      <c r="J115857" s="12"/>
      <c r="K115857" s="12"/>
      <c r="L115857" s="208"/>
      <c r="M115857" s="209"/>
      <c r="N115857" s="209"/>
      <c r="O115857" s="209"/>
    </row>
    <row r="115858" spans="1:15" s="210" customFormat="1" x14ac:dyDescent="0.3">
      <c r="A115858" s="12"/>
      <c r="B115858" s="15"/>
      <c r="C115858" s="15"/>
      <c r="D115858" s="12"/>
      <c r="E115858" s="12"/>
      <c r="F115858" s="13"/>
      <c r="G115858" s="12"/>
      <c r="H115858" s="12"/>
      <c r="I115858" s="12"/>
      <c r="J115858" s="12"/>
      <c r="K115858" s="12"/>
      <c r="L115858" s="208"/>
      <c r="M115858" s="209"/>
      <c r="N115858" s="209"/>
      <c r="O115858" s="209"/>
    </row>
    <row r="115859" spans="1:15" s="210" customFormat="1" x14ac:dyDescent="0.3">
      <c r="A115859" s="12"/>
      <c r="B115859" s="15"/>
      <c r="C115859" s="15"/>
      <c r="D115859" s="12"/>
      <c r="E115859" s="12"/>
      <c r="F115859" s="13"/>
      <c r="G115859" s="12"/>
      <c r="H115859" s="12"/>
      <c r="I115859" s="12"/>
      <c r="J115859" s="12"/>
      <c r="K115859" s="12"/>
      <c r="L115859" s="208"/>
      <c r="M115859" s="209"/>
      <c r="N115859" s="209"/>
      <c r="O115859" s="209"/>
    </row>
    <row r="115860" spans="1:15" s="210" customFormat="1" x14ac:dyDescent="0.3">
      <c r="A115860" s="12"/>
      <c r="B115860" s="15"/>
      <c r="C115860" s="15"/>
      <c r="D115860" s="12"/>
      <c r="E115860" s="12"/>
      <c r="F115860" s="13"/>
      <c r="G115860" s="12"/>
      <c r="H115860" s="12"/>
      <c r="I115860" s="12"/>
      <c r="J115860" s="12"/>
      <c r="K115860" s="12"/>
      <c r="L115860" s="208"/>
      <c r="M115860" s="209"/>
      <c r="N115860" s="209"/>
      <c r="O115860" s="209"/>
    </row>
    <row r="115861" spans="1:15" s="210" customFormat="1" x14ac:dyDescent="0.3">
      <c r="A115861" s="12"/>
      <c r="B115861" s="15"/>
      <c r="C115861" s="15"/>
      <c r="D115861" s="12"/>
      <c r="E115861" s="12"/>
      <c r="F115861" s="13"/>
      <c r="G115861" s="12"/>
      <c r="H115861" s="12"/>
      <c r="I115861" s="12"/>
      <c r="J115861" s="12"/>
      <c r="K115861" s="12"/>
      <c r="L115861" s="208"/>
      <c r="M115861" s="209"/>
      <c r="N115861" s="209"/>
      <c r="O115861" s="209"/>
    </row>
    <row r="115862" spans="1:15" s="210" customFormat="1" x14ac:dyDescent="0.3">
      <c r="A115862" s="12"/>
      <c r="B115862" s="15"/>
      <c r="C115862" s="15"/>
      <c r="D115862" s="12"/>
      <c r="E115862" s="12"/>
      <c r="F115862" s="13"/>
      <c r="G115862" s="12"/>
      <c r="H115862" s="12"/>
      <c r="I115862" s="12"/>
      <c r="J115862" s="12"/>
      <c r="K115862" s="12"/>
      <c r="L115862" s="208"/>
      <c r="M115862" s="209"/>
      <c r="N115862" s="209"/>
      <c r="O115862" s="209"/>
    </row>
    <row r="115863" spans="1:15" s="210" customFormat="1" x14ac:dyDescent="0.3">
      <c r="A115863" s="12"/>
      <c r="B115863" s="15"/>
      <c r="C115863" s="15"/>
      <c r="D115863" s="12"/>
      <c r="E115863" s="12"/>
      <c r="F115863" s="13"/>
      <c r="G115863" s="12"/>
      <c r="H115863" s="12"/>
      <c r="I115863" s="12"/>
      <c r="J115863" s="12"/>
      <c r="K115863" s="12"/>
      <c r="L115863" s="208"/>
      <c r="M115863" s="209"/>
      <c r="N115863" s="209"/>
      <c r="O115863" s="209"/>
    </row>
    <row r="115864" spans="1:15" s="210" customFormat="1" x14ac:dyDescent="0.3">
      <c r="A115864" s="12"/>
      <c r="B115864" s="15"/>
      <c r="C115864" s="15"/>
      <c r="D115864" s="12"/>
      <c r="E115864" s="12"/>
      <c r="F115864" s="13"/>
      <c r="G115864" s="12"/>
      <c r="H115864" s="12"/>
      <c r="I115864" s="12"/>
      <c r="J115864" s="12"/>
      <c r="K115864" s="12"/>
      <c r="L115864" s="208"/>
      <c r="M115864" s="209"/>
      <c r="N115864" s="209"/>
      <c r="O115864" s="209"/>
    </row>
    <row r="115865" spans="1:15" s="210" customFormat="1" x14ac:dyDescent="0.3">
      <c r="A115865" s="12"/>
      <c r="B115865" s="15"/>
      <c r="C115865" s="15"/>
      <c r="D115865" s="12"/>
      <c r="E115865" s="12"/>
      <c r="F115865" s="13"/>
      <c r="G115865" s="12"/>
      <c r="H115865" s="12"/>
      <c r="I115865" s="12"/>
      <c r="J115865" s="12"/>
      <c r="K115865" s="12"/>
      <c r="L115865" s="208"/>
      <c r="M115865" s="209"/>
      <c r="N115865" s="209"/>
      <c r="O115865" s="209"/>
    </row>
    <row r="115866" spans="1:15" s="210" customFormat="1" x14ac:dyDescent="0.3">
      <c r="A115866" s="12"/>
      <c r="B115866" s="15"/>
      <c r="C115866" s="15"/>
      <c r="D115866" s="12"/>
      <c r="E115866" s="12"/>
      <c r="F115866" s="13"/>
      <c r="G115866" s="12"/>
      <c r="H115866" s="12"/>
      <c r="I115866" s="12"/>
      <c r="J115866" s="12"/>
      <c r="K115866" s="12"/>
      <c r="L115866" s="208"/>
      <c r="M115866" s="209"/>
      <c r="N115866" s="209"/>
      <c r="O115866" s="209"/>
    </row>
    <row r="115867" spans="1:15" s="210" customFormat="1" x14ac:dyDescent="0.3">
      <c r="A115867" s="12"/>
      <c r="B115867" s="15"/>
      <c r="C115867" s="15"/>
      <c r="D115867" s="12"/>
      <c r="E115867" s="12"/>
      <c r="F115867" s="13"/>
      <c r="G115867" s="12"/>
      <c r="H115867" s="12"/>
      <c r="I115867" s="12"/>
      <c r="J115867" s="12"/>
      <c r="K115867" s="12"/>
      <c r="L115867" s="208"/>
      <c r="M115867" s="209"/>
      <c r="N115867" s="209"/>
      <c r="O115867" s="209"/>
    </row>
    <row r="115868" spans="1:15" s="210" customFormat="1" x14ac:dyDescent="0.3">
      <c r="A115868" s="12"/>
      <c r="B115868" s="15"/>
      <c r="C115868" s="15"/>
      <c r="D115868" s="12"/>
      <c r="E115868" s="12"/>
      <c r="F115868" s="13"/>
      <c r="G115868" s="12"/>
      <c r="H115868" s="12"/>
      <c r="I115868" s="12"/>
      <c r="J115868" s="12"/>
      <c r="K115868" s="12"/>
      <c r="L115868" s="208"/>
      <c r="M115868" s="209"/>
      <c r="N115868" s="209"/>
      <c r="O115868" s="209"/>
    </row>
    <row r="115869" spans="1:15" s="210" customFormat="1" x14ac:dyDescent="0.3">
      <c r="A115869" s="12"/>
      <c r="B115869" s="15"/>
      <c r="C115869" s="15"/>
      <c r="D115869" s="12"/>
      <c r="E115869" s="12"/>
      <c r="F115869" s="13"/>
      <c r="G115869" s="12"/>
      <c r="H115869" s="12"/>
      <c r="I115869" s="12"/>
      <c r="J115869" s="12"/>
      <c r="K115869" s="12"/>
      <c r="L115869" s="208"/>
      <c r="M115869" s="209"/>
      <c r="N115869" s="209"/>
      <c r="O115869" s="209"/>
    </row>
    <row r="115870" spans="1:15" s="210" customFormat="1" x14ac:dyDescent="0.3">
      <c r="A115870" s="12"/>
      <c r="B115870" s="15"/>
      <c r="C115870" s="15"/>
      <c r="D115870" s="12"/>
      <c r="E115870" s="12"/>
      <c r="F115870" s="13"/>
      <c r="G115870" s="12"/>
      <c r="H115870" s="12"/>
      <c r="I115870" s="12"/>
      <c r="J115870" s="12"/>
      <c r="K115870" s="12"/>
      <c r="L115870" s="208"/>
      <c r="M115870" s="209"/>
      <c r="N115870" s="209"/>
      <c r="O115870" s="209"/>
    </row>
    <row r="115871" spans="1:15" s="210" customFormat="1" x14ac:dyDescent="0.3">
      <c r="A115871" s="12"/>
      <c r="B115871" s="15"/>
      <c r="C115871" s="15"/>
      <c r="D115871" s="12"/>
      <c r="E115871" s="12"/>
      <c r="F115871" s="13"/>
      <c r="G115871" s="12"/>
      <c r="H115871" s="12"/>
      <c r="I115871" s="12"/>
      <c r="J115871" s="12"/>
      <c r="K115871" s="12"/>
      <c r="L115871" s="208"/>
      <c r="M115871" s="209"/>
      <c r="N115871" s="209"/>
      <c r="O115871" s="209"/>
    </row>
    <row r="115872" spans="1:15" s="210" customFormat="1" x14ac:dyDescent="0.3">
      <c r="A115872" s="12"/>
      <c r="B115872" s="15"/>
      <c r="C115872" s="15"/>
      <c r="D115872" s="12"/>
      <c r="E115872" s="12"/>
      <c r="F115872" s="13"/>
      <c r="G115872" s="12"/>
      <c r="H115872" s="12"/>
      <c r="I115872" s="12"/>
      <c r="J115872" s="12"/>
      <c r="K115872" s="12"/>
      <c r="L115872" s="208"/>
      <c r="M115872" s="209"/>
      <c r="N115872" s="209"/>
      <c r="O115872" s="209"/>
    </row>
    <row r="115873" spans="1:15" s="210" customFormat="1" x14ac:dyDescent="0.3">
      <c r="A115873" s="12"/>
      <c r="B115873" s="15"/>
      <c r="C115873" s="15"/>
      <c r="D115873" s="12"/>
      <c r="E115873" s="12"/>
      <c r="F115873" s="13"/>
      <c r="G115873" s="12"/>
      <c r="H115873" s="12"/>
      <c r="I115873" s="12"/>
      <c r="J115873" s="12"/>
      <c r="K115873" s="12"/>
      <c r="L115873" s="208"/>
      <c r="M115873" s="209"/>
      <c r="N115873" s="209"/>
      <c r="O115873" s="209"/>
    </row>
    <row r="115874" spans="1:15" s="210" customFormat="1" x14ac:dyDescent="0.3">
      <c r="A115874" s="12"/>
      <c r="B115874" s="15"/>
      <c r="C115874" s="15"/>
      <c r="D115874" s="12"/>
      <c r="E115874" s="12"/>
      <c r="F115874" s="13"/>
      <c r="G115874" s="12"/>
      <c r="H115874" s="12"/>
      <c r="I115874" s="12"/>
      <c r="J115874" s="12"/>
      <c r="K115874" s="12"/>
      <c r="L115874" s="208"/>
      <c r="M115874" s="209"/>
      <c r="N115874" s="209"/>
      <c r="O115874" s="209"/>
    </row>
    <row r="115875" spans="1:15" s="210" customFormat="1" x14ac:dyDescent="0.3">
      <c r="A115875" s="12"/>
      <c r="B115875" s="15"/>
      <c r="C115875" s="15"/>
      <c r="D115875" s="12"/>
      <c r="E115875" s="12"/>
      <c r="F115875" s="13"/>
      <c r="G115875" s="12"/>
      <c r="H115875" s="12"/>
      <c r="I115875" s="12"/>
      <c r="J115875" s="12"/>
      <c r="K115875" s="12"/>
      <c r="L115875" s="208"/>
      <c r="M115875" s="209"/>
      <c r="N115875" s="209"/>
      <c r="O115875" s="209"/>
    </row>
    <row r="115876" spans="1:15" s="210" customFormat="1" x14ac:dyDescent="0.3">
      <c r="A115876" s="12"/>
      <c r="B115876" s="15"/>
      <c r="C115876" s="15"/>
      <c r="D115876" s="12"/>
      <c r="E115876" s="12"/>
      <c r="F115876" s="13"/>
      <c r="G115876" s="12"/>
      <c r="H115876" s="12"/>
      <c r="I115876" s="12"/>
      <c r="J115876" s="12"/>
      <c r="K115876" s="12"/>
      <c r="L115876" s="208"/>
      <c r="M115876" s="209"/>
      <c r="N115876" s="209"/>
      <c r="O115876" s="209"/>
    </row>
    <row r="115877" spans="1:15" s="210" customFormat="1" x14ac:dyDescent="0.3">
      <c r="A115877" s="12"/>
      <c r="B115877" s="15"/>
      <c r="C115877" s="15"/>
      <c r="D115877" s="12"/>
      <c r="E115877" s="12"/>
      <c r="F115877" s="13"/>
      <c r="G115877" s="12"/>
      <c r="H115877" s="12"/>
      <c r="I115877" s="12"/>
      <c r="J115877" s="12"/>
      <c r="K115877" s="12"/>
      <c r="L115877" s="208"/>
      <c r="M115877" s="209"/>
      <c r="N115877" s="209"/>
      <c r="O115877" s="209"/>
    </row>
    <row r="115878" spans="1:15" s="210" customFormat="1" x14ac:dyDescent="0.3">
      <c r="A115878" s="12"/>
      <c r="B115878" s="15"/>
      <c r="C115878" s="15"/>
      <c r="D115878" s="12"/>
      <c r="E115878" s="12"/>
      <c r="F115878" s="13"/>
      <c r="G115878" s="12"/>
      <c r="H115878" s="12"/>
      <c r="I115878" s="12"/>
      <c r="J115878" s="12"/>
      <c r="K115878" s="12"/>
      <c r="L115878" s="208"/>
      <c r="M115878" s="209"/>
      <c r="N115878" s="209"/>
      <c r="O115878" s="209"/>
    </row>
    <row r="115879" spans="1:15" s="210" customFormat="1" x14ac:dyDescent="0.3">
      <c r="A115879" s="12"/>
      <c r="B115879" s="15"/>
      <c r="C115879" s="15"/>
      <c r="D115879" s="12"/>
      <c r="E115879" s="12"/>
      <c r="F115879" s="13"/>
      <c r="G115879" s="12"/>
      <c r="H115879" s="12"/>
      <c r="I115879" s="12"/>
      <c r="J115879" s="12"/>
      <c r="K115879" s="12"/>
      <c r="L115879" s="208"/>
      <c r="M115879" s="209"/>
      <c r="N115879" s="209"/>
      <c r="O115879" s="209"/>
    </row>
    <row r="115880" spans="1:15" s="210" customFormat="1" x14ac:dyDescent="0.3">
      <c r="A115880" s="12"/>
      <c r="B115880" s="15"/>
      <c r="C115880" s="15"/>
      <c r="D115880" s="12"/>
      <c r="E115880" s="12"/>
      <c r="F115880" s="13"/>
      <c r="G115880" s="12"/>
      <c r="H115880" s="12"/>
      <c r="I115880" s="12"/>
      <c r="J115880" s="12"/>
      <c r="K115880" s="12"/>
      <c r="L115880" s="208"/>
      <c r="M115880" s="209"/>
      <c r="N115880" s="209"/>
      <c r="O115880" s="209"/>
    </row>
    <row r="115881" spans="1:15" s="210" customFormat="1" x14ac:dyDescent="0.3">
      <c r="A115881" s="12"/>
      <c r="B115881" s="15"/>
      <c r="C115881" s="15"/>
      <c r="D115881" s="12"/>
      <c r="E115881" s="12"/>
      <c r="F115881" s="13"/>
      <c r="G115881" s="12"/>
      <c r="H115881" s="12"/>
      <c r="I115881" s="12"/>
      <c r="J115881" s="12"/>
      <c r="K115881" s="12"/>
      <c r="L115881" s="208"/>
      <c r="M115881" s="209"/>
      <c r="N115881" s="209"/>
      <c r="O115881" s="209"/>
    </row>
    <row r="115882" spans="1:15" s="210" customFormat="1" x14ac:dyDescent="0.3">
      <c r="A115882" s="12"/>
      <c r="B115882" s="15"/>
      <c r="C115882" s="15"/>
      <c r="D115882" s="12"/>
      <c r="E115882" s="12"/>
      <c r="F115882" s="13"/>
      <c r="G115882" s="12"/>
      <c r="H115882" s="12"/>
      <c r="I115882" s="12"/>
      <c r="J115882" s="12"/>
      <c r="K115882" s="12"/>
      <c r="L115882" s="208"/>
      <c r="M115882" s="209"/>
      <c r="N115882" s="209"/>
      <c r="O115882" s="209"/>
    </row>
    <row r="115883" spans="1:15" s="210" customFormat="1" x14ac:dyDescent="0.3">
      <c r="A115883" s="12"/>
      <c r="B115883" s="15"/>
      <c r="C115883" s="15"/>
      <c r="D115883" s="12"/>
      <c r="E115883" s="12"/>
      <c r="F115883" s="13"/>
      <c r="G115883" s="12"/>
      <c r="H115883" s="12"/>
      <c r="I115883" s="12"/>
      <c r="J115883" s="12"/>
      <c r="K115883" s="12"/>
      <c r="L115883" s="208"/>
      <c r="M115883" s="209"/>
      <c r="N115883" s="209"/>
      <c r="O115883" s="209"/>
    </row>
    <row r="115884" spans="1:15" s="210" customFormat="1" x14ac:dyDescent="0.3">
      <c r="A115884" s="12"/>
      <c r="B115884" s="15"/>
      <c r="C115884" s="15"/>
      <c r="D115884" s="12"/>
      <c r="E115884" s="12"/>
      <c r="F115884" s="13"/>
      <c r="G115884" s="12"/>
      <c r="H115884" s="12"/>
      <c r="I115884" s="12"/>
      <c r="J115884" s="12"/>
      <c r="K115884" s="12"/>
      <c r="L115884" s="208"/>
      <c r="M115884" s="209"/>
      <c r="N115884" s="209"/>
      <c r="O115884" s="209"/>
    </row>
    <row r="115885" spans="1:15" s="210" customFormat="1" x14ac:dyDescent="0.3">
      <c r="A115885" s="12"/>
      <c r="B115885" s="15"/>
      <c r="C115885" s="15"/>
      <c r="D115885" s="12"/>
      <c r="E115885" s="12"/>
      <c r="F115885" s="13"/>
      <c r="G115885" s="12"/>
      <c r="H115885" s="12"/>
      <c r="I115885" s="12"/>
      <c r="J115885" s="12"/>
      <c r="K115885" s="12"/>
      <c r="L115885" s="208"/>
      <c r="M115885" s="209"/>
      <c r="N115885" s="209"/>
      <c r="O115885" s="209"/>
    </row>
    <row r="115886" spans="1:15" s="210" customFormat="1" x14ac:dyDescent="0.3">
      <c r="A115886" s="12"/>
      <c r="B115886" s="15"/>
      <c r="C115886" s="15"/>
      <c r="D115886" s="12"/>
      <c r="E115886" s="12"/>
      <c r="F115886" s="13"/>
      <c r="G115886" s="12"/>
      <c r="H115886" s="12"/>
      <c r="I115886" s="12"/>
      <c r="J115886" s="12"/>
      <c r="K115886" s="12"/>
      <c r="L115886" s="208"/>
      <c r="M115886" s="209"/>
      <c r="N115886" s="209"/>
      <c r="O115886" s="209"/>
    </row>
    <row r="115887" spans="1:15" s="210" customFormat="1" x14ac:dyDescent="0.3">
      <c r="A115887" s="12"/>
      <c r="B115887" s="15"/>
      <c r="C115887" s="15"/>
      <c r="D115887" s="12"/>
      <c r="E115887" s="12"/>
      <c r="F115887" s="13"/>
      <c r="G115887" s="12"/>
      <c r="H115887" s="12"/>
      <c r="I115887" s="12"/>
      <c r="J115887" s="12"/>
      <c r="K115887" s="12"/>
      <c r="L115887" s="208"/>
      <c r="M115887" s="209"/>
      <c r="N115887" s="209"/>
      <c r="O115887" s="209"/>
    </row>
    <row r="115888" spans="1:15" s="210" customFormat="1" x14ac:dyDescent="0.3">
      <c r="A115888" s="12"/>
      <c r="B115888" s="15"/>
      <c r="C115888" s="15"/>
      <c r="D115888" s="12"/>
      <c r="E115888" s="12"/>
      <c r="F115888" s="13"/>
      <c r="G115888" s="12"/>
      <c r="H115888" s="12"/>
      <c r="I115888" s="12"/>
      <c r="J115888" s="12"/>
      <c r="K115888" s="12"/>
      <c r="L115888" s="208"/>
      <c r="M115888" s="209"/>
      <c r="N115888" s="209"/>
      <c r="O115888" s="209"/>
    </row>
    <row r="115889" spans="1:15" s="210" customFormat="1" x14ac:dyDescent="0.3">
      <c r="A115889" s="12"/>
      <c r="B115889" s="15"/>
      <c r="C115889" s="15"/>
      <c r="D115889" s="12"/>
      <c r="E115889" s="12"/>
      <c r="F115889" s="13"/>
      <c r="G115889" s="12"/>
      <c r="H115889" s="12"/>
      <c r="I115889" s="12"/>
      <c r="J115889" s="12"/>
      <c r="K115889" s="12"/>
      <c r="L115889" s="208"/>
      <c r="M115889" s="209"/>
      <c r="N115889" s="209"/>
      <c r="O115889" s="209"/>
    </row>
    <row r="115890" spans="1:15" s="210" customFormat="1" x14ac:dyDescent="0.3">
      <c r="A115890" s="12"/>
      <c r="B115890" s="15"/>
      <c r="C115890" s="15"/>
      <c r="D115890" s="12"/>
      <c r="E115890" s="12"/>
      <c r="F115890" s="13"/>
      <c r="G115890" s="12"/>
      <c r="H115890" s="12"/>
      <c r="I115890" s="12"/>
      <c r="J115890" s="12"/>
      <c r="K115890" s="12"/>
      <c r="L115890" s="208"/>
      <c r="M115890" s="209"/>
      <c r="N115890" s="209"/>
      <c r="O115890" s="209"/>
    </row>
    <row r="115891" spans="1:15" s="210" customFormat="1" x14ac:dyDescent="0.3">
      <c r="A115891" s="12"/>
      <c r="B115891" s="15"/>
      <c r="C115891" s="15"/>
      <c r="D115891" s="12"/>
      <c r="E115891" s="12"/>
      <c r="F115891" s="13"/>
      <c r="G115891" s="12"/>
      <c r="H115891" s="12"/>
      <c r="I115891" s="12"/>
      <c r="J115891" s="12"/>
      <c r="K115891" s="12"/>
      <c r="L115891" s="208"/>
      <c r="M115891" s="209"/>
      <c r="N115891" s="209"/>
      <c r="O115891" s="209"/>
    </row>
    <row r="115892" spans="1:15" s="210" customFormat="1" x14ac:dyDescent="0.3">
      <c r="A115892" s="12"/>
      <c r="B115892" s="15"/>
      <c r="C115892" s="15"/>
      <c r="D115892" s="12"/>
      <c r="E115892" s="12"/>
      <c r="F115892" s="13"/>
      <c r="G115892" s="12"/>
      <c r="H115892" s="12"/>
      <c r="I115892" s="12"/>
      <c r="J115892" s="12"/>
      <c r="K115892" s="12"/>
      <c r="L115892" s="208"/>
      <c r="M115892" s="209"/>
      <c r="N115892" s="209"/>
      <c r="O115892" s="209"/>
    </row>
    <row r="115893" spans="1:15" s="210" customFormat="1" x14ac:dyDescent="0.3">
      <c r="A115893" s="12"/>
      <c r="B115893" s="15"/>
      <c r="C115893" s="15"/>
      <c r="D115893" s="12"/>
      <c r="E115893" s="12"/>
      <c r="F115893" s="13"/>
      <c r="G115893" s="12"/>
      <c r="H115893" s="12"/>
      <c r="I115893" s="12"/>
      <c r="J115893" s="12"/>
      <c r="K115893" s="12"/>
      <c r="L115893" s="208"/>
      <c r="M115893" s="209"/>
      <c r="N115893" s="209"/>
      <c r="O115893" s="209"/>
    </row>
    <row r="115894" spans="1:15" s="210" customFormat="1" x14ac:dyDescent="0.3">
      <c r="A115894" s="12"/>
      <c r="B115894" s="15"/>
      <c r="C115894" s="15"/>
      <c r="D115894" s="12"/>
      <c r="E115894" s="12"/>
      <c r="F115894" s="13"/>
      <c r="G115894" s="12"/>
      <c r="H115894" s="12"/>
      <c r="I115894" s="12"/>
      <c r="J115894" s="12"/>
      <c r="K115894" s="12"/>
      <c r="L115894" s="208"/>
      <c r="M115894" s="209"/>
      <c r="N115894" s="209"/>
      <c r="O115894" s="209"/>
    </row>
    <row r="115895" spans="1:15" s="210" customFormat="1" x14ac:dyDescent="0.3">
      <c r="A115895" s="12"/>
      <c r="B115895" s="15"/>
      <c r="C115895" s="15"/>
      <c r="D115895" s="12"/>
      <c r="E115895" s="12"/>
      <c r="F115895" s="13"/>
      <c r="G115895" s="12"/>
      <c r="H115895" s="12"/>
      <c r="I115895" s="12"/>
      <c r="J115895" s="12"/>
      <c r="K115895" s="12"/>
      <c r="L115895" s="208"/>
      <c r="M115895" s="209"/>
      <c r="N115895" s="209"/>
      <c r="O115895" s="209"/>
    </row>
    <row r="115896" spans="1:15" s="210" customFormat="1" x14ac:dyDescent="0.3">
      <c r="A115896" s="12"/>
      <c r="B115896" s="15"/>
      <c r="C115896" s="15"/>
      <c r="D115896" s="12"/>
      <c r="E115896" s="12"/>
      <c r="F115896" s="13"/>
      <c r="G115896" s="12"/>
      <c r="H115896" s="12"/>
      <c r="I115896" s="12"/>
      <c r="J115896" s="12"/>
      <c r="K115896" s="12"/>
      <c r="L115896" s="208"/>
      <c r="M115896" s="209"/>
      <c r="N115896" s="209"/>
      <c r="O115896" s="209"/>
    </row>
    <row r="115897" spans="1:15" s="210" customFormat="1" x14ac:dyDescent="0.3">
      <c r="A115897" s="12"/>
      <c r="B115897" s="15"/>
      <c r="C115897" s="15"/>
      <c r="D115897" s="12"/>
      <c r="E115897" s="12"/>
      <c r="F115897" s="13"/>
      <c r="G115897" s="12"/>
      <c r="H115897" s="12"/>
      <c r="I115897" s="12"/>
      <c r="J115897" s="12"/>
      <c r="K115897" s="12"/>
      <c r="L115897" s="208"/>
      <c r="M115897" s="209"/>
      <c r="N115897" s="209"/>
      <c r="O115897" s="209"/>
    </row>
    <row r="115898" spans="1:15" s="210" customFormat="1" x14ac:dyDescent="0.3">
      <c r="A115898" s="12"/>
      <c r="B115898" s="15"/>
      <c r="C115898" s="15"/>
      <c r="D115898" s="12"/>
      <c r="E115898" s="12"/>
      <c r="F115898" s="13"/>
      <c r="G115898" s="12"/>
      <c r="H115898" s="12"/>
      <c r="I115898" s="12"/>
      <c r="J115898" s="12"/>
      <c r="K115898" s="12"/>
      <c r="L115898" s="208"/>
      <c r="M115898" s="209"/>
      <c r="N115898" s="209"/>
      <c r="O115898" s="209"/>
    </row>
    <row r="115899" spans="1:15" s="210" customFormat="1" x14ac:dyDescent="0.3">
      <c r="A115899" s="12"/>
      <c r="B115899" s="15"/>
      <c r="C115899" s="15"/>
      <c r="D115899" s="12"/>
      <c r="E115899" s="12"/>
      <c r="F115899" s="13"/>
      <c r="G115899" s="12"/>
      <c r="H115899" s="12"/>
      <c r="I115899" s="12"/>
      <c r="J115899" s="12"/>
      <c r="K115899" s="12"/>
      <c r="L115899" s="208"/>
      <c r="M115899" s="209"/>
      <c r="N115899" s="209"/>
      <c r="O115899" s="209"/>
    </row>
    <row r="115900" spans="1:15" s="210" customFormat="1" x14ac:dyDescent="0.3">
      <c r="A115900" s="12"/>
      <c r="B115900" s="15"/>
      <c r="C115900" s="15"/>
      <c r="D115900" s="12"/>
      <c r="E115900" s="12"/>
      <c r="F115900" s="13"/>
      <c r="G115900" s="12"/>
      <c r="H115900" s="12"/>
      <c r="I115900" s="12"/>
      <c r="J115900" s="12"/>
      <c r="K115900" s="12"/>
      <c r="L115900" s="208"/>
      <c r="M115900" s="209"/>
      <c r="N115900" s="209"/>
      <c r="O115900" s="209"/>
    </row>
    <row r="115901" spans="1:15" s="210" customFormat="1" x14ac:dyDescent="0.3">
      <c r="A115901" s="12"/>
      <c r="B115901" s="15"/>
      <c r="C115901" s="15"/>
      <c r="D115901" s="12"/>
      <c r="E115901" s="12"/>
      <c r="F115901" s="13"/>
      <c r="G115901" s="12"/>
      <c r="H115901" s="12"/>
      <c r="I115901" s="12"/>
      <c r="J115901" s="12"/>
      <c r="K115901" s="12"/>
      <c r="L115901" s="208"/>
      <c r="M115901" s="209"/>
      <c r="N115901" s="209"/>
      <c r="O115901" s="209"/>
    </row>
    <row r="115902" spans="1:15" s="210" customFormat="1" x14ac:dyDescent="0.3">
      <c r="A115902" s="12"/>
      <c r="B115902" s="15"/>
      <c r="C115902" s="15"/>
      <c r="D115902" s="12"/>
      <c r="E115902" s="12"/>
      <c r="F115902" s="13"/>
      <c r="G115902" s="12"/>
      <c r="H115902" s="12"/>
      <c r="I115902" s="12"/>
      <c r="J115902" s="12"/>
      <c r="K115902" s="12"/>
      <c r="L115902" s="208"/>
      <c r="M115902" s="209"/>
      <c r="N115902" s="209"/>
      <c r="O115902" s="209"/>
    </row>
    <row r="115903" spans="1:15" s="210" customFormat="1" x14ac:dyDescent="0.3">
      <c r="A115903" s="12"/>
      <c r="B115903" s="15"/>
      <c r="C115903" s="15"/>
      <c r="D115903" s="12"/>
      <c r="E115903" s="12"/>
      <c r="F115903" s="13"/>
      <c r="G115903" s="12"/>
      <c r="H115903" s="12"/>
      <c r="I115903" s="12"/>
      <c r="J115903" s="12"/>
      <c r="K115903" s="12"/>
      <c r="L115903" s="208"/>
      <c r="M115903" s="209"/>
      <c r="N115903" s="209"/>
      <c r="O115903" s="209"/>
    </row>
    <row r="115904" spans="1:15" s="210" customFormat="1" x14ac:dyDescent="0.3">
      <c r="A115904" s="12"/>
      <c r="B115904" s="15"/>
      <c r="C115904" s="15"/>
      <c r="D115904" s="12"/>
      <c r="E115904" s="12"/>
      <c r="F115904" s="13"/>
      <c r="G115904" s="12"/>
      <c r="H115904" s="12"/>
      <c r="I115904" s="12"/>
      <c r="J115904" s="12"/>
      <c r="K115904" s="12"/>
      <c r="L115904" s="208"/>
      <c r="M115904" s="209"/>
      <c r="N115904" s="209"/>
      <c r="O115904" s="209"/>
    </row>
    <row r="115905" spans="1:15" s="210" customFormat="1" x14ac:dyDescent="0.3">
      <c r="A115905" s="12"/>
      <c r="B115905" s="15"/>
      <c r="C115905" s="15"/>
      <c r="D115905" s="12"/>
      <c r="E115905" s="12"/>
      <c r="F115905" s="13"/>
      <c r="G115905" s="12"/>
      <c r="H115905" s="12"/>
      <c r="I115905" s="12"/>
      <c r="J115905" s="12"/>
      <c r="K115905" s="12"/>
      <c r="L115905" s="208"/>
      <c r="M115905" s="209"/>
      <c r="N115905" s="209"/>
      <c r="O115905" s="209"/>
    </row>
    <row r="115906" spans="1:15" s="210" customFormat="1" x14ac:dyDescent="0.3">
      <c r="A115906" s="12"/>
      <c r="B115906" s="15"/>
      <c r="C115906" s="15"/>
      <c r="D115906" s="12"/>
      <c r="E115906" s="12"/>
      <c r="F115906" s="13"/>
      <c r="G115906" s="12"/>
      <c r="H115906" s="12"/>
      <c r="I115906" s="12"/>
      <c r="J115906" s="12"/>
      <c r="K115906" s="12"/>
      <c r="L115906" s="208"/>
      <c r="M115906" s="209"/>
      <c r="N115906" s="209"/>
      <c r="O115906" s="209"/>
    </row>
    <row r="115907" spans="1:15" s="210" customFormat="1" x14ac:dyDescent="0.3">
      <c r="A115907" s="12"/>
      <c r="B115907" s="15"/>
      <c r="C115907" s="15"/>
      <c r="D115907" s="12"/>
      <c r="E115907" s="12"/>
      <c r="F115907" s="13"/>
      <c r="G115907" s="12"/>
      <c r="H115907" s="12"/>
      <c r="I115907" s="12"/>
      <c r="J115907" s="12"/>
      <c r="K115907" s="12"/>
      <c r="L115907" s="208"/>
      <c r="M115907" s="209"/>
      <c r="N115907" s="209"/>
      <c r="O115907" s="209"/>
    </row>
    <row r="115908" spans="1:15" s="210" customFormat="1" x14ac:dyDescent="0.3">
      <c r="A115908" s="12"/>
      <c r="B115908" s="15"/>
      <c r="C115908" s="15"/>
      <c r="D115908" s="12"/>
      <c r="E115908" s="12"/>
      <c r="F115908" s="13"/>
      <c r="G115908" s="12"/>
      <c r="H115908" s="12"/>
      <c r="I115908" s="12"/>
      <c r="J115908" s="12"/>
      <c r="K115908" s="12"/>
      <c r="L115908" s="208"/>
      <c r="M115908" s="209"/>
      <c r="N115908" s="209"/>
      <c r="O115908" s="209"/>
    </row>
    <row r="115909" spans="1:15" s="210" customFormat="1" x14ac:dyDescent="0.3">
      <c r="A115909" s="12"/>
      <c r="B115909" s="15"/>
      <c r="C115909" s="15"/>
      <c r="D115909" s="12"/>
      <c r="E115909" s="12"/>
      <c r="F115909" s="13"/>
      <c r="G115909" s="12"/>
      <c r="H115909" s="12"/>
      <c r="I115909" s="12"/>
      <c r="J115909" s="12"/>
      <c r="K115909" s="12"/>
      <c r="L115909" s="208"/>
      <c r="M115909" s="209"/>
      <c r="N115909" s="209"/>
      <c r="O115909" s="209"/>
    </row>
    <row r="115910" spans="1:15" s="210" customFormat="1" x14ac:dyDescent="0.3">
      <c r="A115910" s="12"/>
      <c r="B115910" s="15"/>
      <c r="C115910" s="15"/>
      <c r="D115910" s="12"/>
      <c r="E115910" s="12"/>
      <c r="F115910" s="13"/>
      <c r="G115910" s="12"/>
      <c r="H115910" s="12"/>
      <c r="I115910" s="12"/>
      <c r="J115910" s="12"/>
      <c r="K115910" s="12"/>
      <c r="L115910" s="208"/>
      <c r="M115910" s="209"/>
      <c r="N115910" s="209"/>
      <c r="O115910" s="209"/>
    </row>
    <row r="115911" spans="1:15" s="210" customFormat="1" x14ac:dyDescent="0.3">
      <c r="A115911" s="12"/>
      <c r="B115911" s="15"/>
      <c r="C115911" s="15"/>
      <c r="D115911" s="12"/>
      <c r="E115911" s="12"/>
      <c r="F115911" s="13"/>
      <c r="G115911" s="12"/>
      <c r="H115911" s="12"/>
      <c r="I115911" s="12"/>
      <c r="J115911" s="12"/>
      <c r="K115911" s="12"/>
      <c r="L115911" s="208"/>
      <c r="M115911" s="209"/>
      <c r="N115911" s="209"/>
      <c r="O115911" s="209"/>
    </row>
    <row r="115912" spans="1:15" s="210" customFormat="1" x14ac:dyDescent="0.3">
      <c r="A115912" s="12"/>
      <c r="B115912" s="15"/>
      <c r="C115912" s="15"/>
      <c r="D115912" s="12"/>
      <c r="E115912" s="12"/>
      <c r="F115912" s="13"/>
      <c r="G115912" s="12"/>
      <c r="H115912" s="12"/>
      <c r="I115912" s="12"/>
      <c r="J115912" s="12"/>
      <c r="K115912" s="12"/>
      <c r="L115912" s="208"/>
      <c r="M115912" s="209"/>
      <c r="N115912" s="209"/>
      <c r="O115912" s="209"/>
    </row>
    <row r="115913" spans="1:15" s="210" customFormat="1" x14ac:dyDescent="0.3">
      <c r="A115913" s="12"/>
      <c r="B115913" s="15"/>
      <c r="C115913" s="15"/>
      <c r="D115913" s="12"/>
      <c r="E115913" s="12"/>
      <c r="F115913" s="13"/>
      <c r="G115913" s="12"/>
      <c r="H115913" s="12"/>
      <c r="I115913" s="12"/>
      <c r="J115913" s="12"/>
      <c r="K115913" s="12"/>
      <c r="L115913" s="208"/>
      <c r="M115913" s="209"/>
      <c r="N115913" s="209"/>
      <c r="O115913" s="209"/>
    </row>
    <row r="115914" spans="1:15" s="210" customFormat="1" x14ac:dyDescent="0.3">
      <c r="A115914" s="12"/>
      <c r="B115914" s="15"/>
      <c r="C115914" s="15"/>
      <c r="D115914" s="12"/>
      <c r="E115914" s="12"/>
      <c r="F115914" s="13"/>
      <c r="G115914" s="12"/>
      <c r="H115914" s="12"/>
      <c r="I115914" s="12"/>
      <c r="J115914" s="12"/>
      <c r="K115914" s="12"/>
      <c r="L115914" s="208"/>
      <c r="M115914" s="209"/>
      <c r="N115914" s="209"/>
      <c r="O115914" s="209"/>
    </row>
    <row r="115915" spans="1:15" s="210" customFormat="1" x14ac:dyDescent="0.3">
      <c r="A115915" s="12"/>
      <c r="B115915" s="15"/>
      <c r="C115915" s="15"/>
      <c r="D115915" s="12"/>
      <c r="E115915" s="12"/>
      <c r="F115915" s="13"/>
      <c r="G115915" s="12"/>
      <c r="H115915" s="12"/>
      <c r="I115915" s="12"/>
      <c r="J115915" s="12"/>
      <c r="K115915" s="12"/>
      <c r="L115915" s="208"/>
      <c r="M115915" s="209"/>
      <c r="N115915" s="209"/>
      <c r="O115915" s="209"/>
    </row>
    <row r="115916" spans="1:15" s="210" customFormat="1" x14ac:dyDescent="0.3">
      <c r="A115916" s="12"/>
      <c r="B115916" s="15"/>
      <c r="C115916" s="15"/>
      <c r="D115916" s="12"/>
      <c r="E115916" s="12"/>
      <c r="F115916" s="13"/>
      <c r="G115916" s="12"/>
      <c r="H115916" s="12"/>
      <c r="I115916" s="12"/>
      <c r="J115916" s="12"/>
      <c r="K115916" s="12"/>
      <c r="L115916" s="208"/>
      <c r="M115916" s="209"/>
      <c r="N115916" s="209"/>
      <c r="O115916" s="209"/>
    </row>
    <row r="115917" spans="1:15" s="210" customFormat="1" x14ac:dyDescent="0.3">
      <c r="A115917" s="12"/>
      <c r="B115917" s="15"/>
      <c r="C115917" s="15"/>
      <c r="D115917" s="12"/>
      <c r="E115917" s="12"/>
      <c r="F115917" s="13"/>
      <c r="G115917" s="12"/>
      <c r="H115917" s="12"/>
      <c r="I115917" s="12"/>
      <c r="J115917" s="12"/>
      <c r="K115917" s="12"/>
      <c r="L115917" s="208"/>
      <c r="M115917" s="209"/>
      <c r="N115917" s="209"/>
      <c r="O115917" s="209"/>
    </row>
    <row r="115918" spans="1:15" s="210" customFormat="1" x14ac:dyDescent="0.3">
      <c r="A115918" s="12"/>
      <c r="B115918" s="15"/>
      <c r="C115918" s="15"/>
      <c r="D115918" s="12"/>
      <c r="E115918" s="12"/>
      <c r="F115918" s="13"/>
      <c r="G115918" s="12"/>
      <c r="H115918" s="12"/>
      <c r="I115918" s="12"/>
      <c r="J115918" s="12"/>
      <c r="K115918" s="12"/>
      <c r="L115918" s="208"/>
      <c r="M115918" s="209"/>
      <c r="N115918" s="209"/>
      <c r="O115918" s="209"/>
    </row>
    <row r="115919" spans="1:15" s="210" customFormat="1" x14ac:dyDescent="0.3">
      <c r="A115919" s="12"/>
      <c r="B115919" s="15"/>
      <c r="C115919" s="15"/>
      <c r="D115919" s="12"/>
      <c r="E115919" s="12"/>
      <c r="F115919" s="13"/>
      <c r="G115919" s="12"/>
      <c r="H115919" s="12"/>
      <c r="I115919" s="12"/>
      <c r="J115919" s="12"/>
      <c r="K115919" s="12"/>
      <c r="L115919" s="208"/>
      <c r="M115919" s="209"/>
      <c r="N115919" s="209"/>
      <c r="O115919" s="209"/>
    </row>
    <row r="115920" spans="1:15" s="210" customFormat="1" x14ac:dyDescent="0.3">
      <c r="A115920" s="12"/>
      <c r="B115920" s="15"/>
      <c r="C115920" s="15"/>
      <c r="D115920" s="12"/>
      <c r="E115920" s="12"/>
      <c r="F115920" s="13"/>
      <c r="G115920" s="12"/>
      <c r="H115920" s="12"/>
      <c r="I115920" s="12"/>
      <c r="J115920" s="12"/>
      <c r="K115920" s="12"/>
      <c r="L115920" s="208"/>
      <c r="M115920" s="209"/>
      <c r="N115920" s="209"/>
      <c r="O115920" s="209"/>
    </row>
    <row r="115921" spans="1:15" s="210" customFormat="1" x14ac:dyDescent="0.3">
      <c r="A115921" s="12"/>
      <c r="B115921" s="15"/>
      <c r="C115921" s="15"/>
      <c r="D115921" s="12"/>
      <c r="E115921" s="12"/>
      <c r="F115921" s="13"/>
      <c r="G115921" s="12"/>
      <c r="H115921" s="12"/>
      <c r="I115921" s="12"/>
      <c r="J115921" s="12"/>
      <c r="K115921" s="12"/>
      <c r="L115921" s="208"/>
      <c r="M115921" s="209"/>
      <c r="N115921" s="209"/>
      <c r="O115921" s="209"/>
    </row>
    <row r="115922" spans="1:15" s="210" customFormat="1" x14ac:dyDescent="0.3">
      <c r="A115922" s="12"/>
      <c r="B115922" s="15"/>
      <c r="C115922" s="15"/>
      <c r="D115922" s="12"/>
      <c r="E115922" s="12"/>
      <c r="F115922" s="13"/>
      <c r="G115922" s="12"/>
      <c r="H115922" s="12"/>
      <c r="I115922" s="12"/>
      <c r="J115922" s="12"/>
      <c r="K115922" s="12"/>
      <c r="L115922" s="208"/>
      <c r="M115922" s="209"/>
      <c r="N115922" s="209"/>
      <c r="O115922" s="209"/>
    </row>
    <row r="115923" spans="1:15" s="210" customFormat="1" x14ac:dyDescent="0.3">
      <c r="A115923" s="12"/>
      <c r="B115923" s="15"/>
      <c r="C115923" s="15"/>
      <c r="D115923" s="12"/>
      <c r="E115923" s="12"/>
      <c r="F115923" s="13"/>
      <c r="G115923" s="12"/>
      <c r="H115923" s="12"/>
      <c r="I115923" s="12"/>
      <c r="J115923" s="12"/>
      <c r="K115923" s="12"/>
      <c r="L115923" s="208"/>
      <c r="M115923" s="209"/>
      <c r="N115923" s="209"/>
      <c r="O115923" s="209"/>
    </row>
    <row r="115924" spans="1:15" s="210" customFormat="1" x14ac:dyDescent="0.3">
      <c r="A115924" s="12"/>
      <c r="B115924" s="15"/>
      <c r="C115924" s="15"/>
      <c r="D115924" s="12"/>
      <c r="E115924" s="12"/>
      <c r="F115924" s="13"/>
      <c r="G115924" s="12"/>
      <c r="H115924" s="12"/>
      <c r="I115924" s="12"/>
      <c r="J115924" s="12"/>
      <c r="K115924" s="12"/>
      <c r="L115924" s="208"/>
      <c r="M115924" s="209"/>
      <c r="N115924" s="209"/>
      <c r="O115924" s="209"/>
    </row>
    <row r="115925" spans="1:15" s="210" customFormat="1" x14ac:dyDescent="0.3">
      <c r="A115925" s="12"/>
      <c r="B115925" s="15"/>
      <c r="C115925" s="15"/>
      <c r="D115925" s="12"/>
      <c r="E115925" s="12"/>
      <c r="F115925" s="13"/>
      <c r="G115925" s="12"/>
      <c r="H115925" s="12"/>
      <c r="I115925" s="12"/>
      <c r="J115925" s="12"/>
      <c r="K115925" s="12"/>
      <c r="L115925" s="208"/>
      <c r="M115925" s="209"/>
      <c r="N115925" s="209"/>
      <c r="O115925" s="209"/>
    </row>
    <row r="115926" spans="1:15" s="210" customFormat="1" x14ac:dyDescent="0.3">
      <c r="A115926" s="12"/>
      <c r="B115926" s="15"/>
      <c r="C115926" s="15"/>
      <c r="D115926" s="12"/>
      <c r="E115926" s="12"/>
      <c r="F115926" s="13"/>
      <c r="G115926" s="12"/>
      <c r="H115926" s="12"/>
      <c r="I115926" s="12"/>
      <c r="J115926" s="12"/>
      <c r="K115926" s="12"/>
      <c r="L115926" s="208"/>
      <c r="M115926" s="209"/>
      <c r="N115926" s="209"/>
      <c r="O115926" s="209"/>
    </row>
    <row r="115927" spans="1:15" s="210" customFormat="1" x14ac:dyDescent="0.3">
      <c r="A115927" s="12"/>
      <c r="B115927" s="15"/>
      <c r="C115927" s="15"/>
      <c r="D115927" s="12"/>
      <c r="E115927" s="12"/>
      <c r="F115927" s="13"/>
      <c r="G115927" s="12"/>
      <c r="H115927" s="12"/>
      <c r="I115927" s="12"/>
      <c r="J115927" s="12"/>
      <c r="K115927" s="12"/>
      <c r="L115927" s="208"/>
      <c r="M115927" s="209"/>
      <c r="N115927" s="209"/>
      <c r="O115927" s="209"/>
    </row>
    <row r="115928" spans="1:15" s="210" customFormat="1" x14ac:dyDescent="0.3">
      <c r="A115928" s="12"/>
      <c r="B115928" s="15"/>
      <c r="C115928" s="15"/>
      <c r="D115928" s="12"/>
      <c r="E115928" s="12"/>
      <c r="F115928" s="13"/>
      <c r="G115928" s="12"/>
      <c r="H115928" s="12"/>
      <c r="I115928" s="12"/>
      <c r="J115928" s="12"/>
      <c r="K115928" s="12"/>
      <c r="L115928" s="208"/>
      <c r="M115928" s="209"/>
      <c r="N115928" s="209"/>
      <c r="O115928" s="209"/>
    </row>
    <row r="115929" spans="1:15" s="210" customFormat="1" x14ac:dyDescent="0.3">
      <c r="A115929" s="12"/>
      <c r="B115929" s="15"/>
      <c r="C115929" s="15"/>
      <c r="D115929" s="12"/>
      <c r="E115929" s="12"/>
      <c r="F115929" s="13"/>
      <c r="G115929" s="12"/>
      <c r="H115929" s="12"/>
      <c r="I115929" s="12"/>
      <c r="J115929" s="12"/>
      <c r="K115929" s="12"/>
      <c r="L115929" s="208"/>
      <c r="M115929" s="209"/>
      <c r="N115929" s="209"/>
      <c r="O115929" s="209"/>
    </row>
    <row r="115930" spans="1:15" s="210" customFormat="1" x14ac:dyDescent="0.3">
      <c r="A115930" s="12"/>
      <c r="B115930" s="15"/>
      <c r="C115930" s="15"/>
      <c r="D115930" s="12"/>
      <c r="E115930" s="12"/>
      <c r="F115930" s="13"/>
      <c r="G115930" s="12"/>
      <c r="H115930" s="12"/>
      <c r="I115930" s="12"/>
      <c r="J115930" s="12"/>
      <c r="K115930" s="12"/>
      <c r="L115930" s="208"/>
      <c r="M115930" s="209"/>
      <c r="N115930" s="209"/>
      <c r="O115930" s="209"/>
    </row>
    <row r="115931" spans="1:15" s="210" customFormat="1" x14ac:dyDescent="0.3">
      <c r="A115931" s="12"/>
      <c r="B115931" s="15"/>
      <c r="C115931" s="15"/>
      <c r="D115931" s="12"/>
      <c r="E115931" s="12"/>
      <c r="F115931" s="13"/>
      <c r="G115931" s="12"/>
      <c r="H115931" s="12"/>
      <c r="I115931" s="12"/>
      <c r="J115931" s="12"/>
      <c r="K115931" s="12"/>
      <c r="L115931" s="208"/>
      <c r="M115931" s="209"/>
      <c r="N115931" s="209"/>
      <c r="O115931" s="209"/>
    </row>
    <row r="115932" spans="1:15" s="210" customFormat="1" x14ac:dyDescent="0.3">
      <c r="A115932" s="12"/>
      <c r="B115932" s="15"/>
      <c r="C115932" s="15"/>
      <c r="D115932" s="12"/>
      <c r="E115932" s="12"/>
      <c r="F115932" s="13"/>
      <c r="G115932" s="12"/>
      <c r="H115932" s="12"/>
      <c r="I115932" s="12"/>
      <c r="J115932" s="12"/>
      <c r="K115932" s="12"/>
      <c r="L115932" s="208"/>
      <c r="M115932" s="209"/>
      <c r="N115932" s="209"/>
      <c r="O115932" s="209"/>
    </row>
    <row r="115933" spans="1:15" s="210" customFormat="1" x14ac:dyDescent="0.3">
      <c r="A115933" s="12"/>
      <c r="B115933" s="15"/>
      <c r="C115933" s="15"/>
      <c r="D115933" s="12"/>
      <c r="E115933" s="12"/>
      <c r="F115933" s="13"/>
      <c r="G115933" s="12"/>
      <c r="H115933" s="12"/>
      <c r="I115933" s="12"/>
      <c r="J115933" s="12"/>
      <c r="K115933" s="12"/>
      <c r="L115933" s="208"/>
      <c r="M115933" s="209"/>
      <c r="N115933" s="209"/>
      <c r="O115933" s="209"/>
    </row>
    <row r="115934" spans="1:15" s="210" customFormat="1" x14ac:dyDescent="0.3">
      <c r="A115934" s="12"/>
      <c r="B115934" s="15"/>
      <c r="C115934" s="15"/>
      <c r="D115934" s="12"/>
      <c r="E115934" s="12"/>
      <c r="F115934" s="13"/>
      <c r="G115934" s="12"/>
      <c r="H115934" s="12"/>
      <c r="I115934" s="12"/>
      <c r="J115934" s="12"/>
      <c r="K115934" s="12"/>
      <c r="L115934" s="208"/>
      <c r="M115934" s="209"/>
      <c r="N115934" s="209"/>
      <c r="O115934" s="209"/>
    </row>
    <row r="115935" spans="1:15" s="210" customFormat="1" x14ac:dyDescent="0.3">
      <c r="A115935" s="12"/>
      <c r="B115935" s="15"/>
      <c r="C115935" s="15"/>
      <c r="D115935" s="12"/>
      <c r="E115935" s="12"/>
      <c r="F115935" s="13"/>
      <c r="G115935" s="12"/>
      <c r="H115935" s="12"/>
      <c r="I115935" s="12"/>
      <c r="J115935" s="12"/>
      <c r="K115935" s="12"/>
      <c r="L115935" s="208"/>
      <c r="M115935" s="209"/>
      <c r="N115935" s="209"/>
      <c r="O115935" s="209"/>
    </row>
    <row r="115936" spans="1:15" s="210" customFormat="1" x14ac:dyDescent="0.3">
      <c r="A115936" s="12"/>
      <c r="B115936" s="15"/>
      <c r="C115936" s="15"/>
      <c r="D115936" s="12"/>
      <c r="E115936" s="12"/>
      <c r="F115936" s="13"/>
      <c r="G115936" s="12"/>
      <c r="H115936" s="12"/>
      <c r="I115936" s="12"/>
      <c r="J115936" s="12"/>
      <c r="K115936" s="12"/>
      <c r="L115936" s="208"/>
      <c r="M115936" s="209"/>
      <c r="N115936" s="209"/>
      <c r="O115936" s="209"/>
    </row>
    <row r="115937" spans="1:15" s="210" customFormat="1" x14ac:dyDescent="0.3">
      <c r="A115937" s="12"/>
      <c r="B115937" s="15"/>
      <c r="C115937" s="15"/>
      <c r="D115937" s="12"/>
      <c r="E115937" s="12"/>
      <c r="F115937" s="13"/>
      <c r="G115937" s="12"/>
      <c r="H115937" s="12"/>
      <c r="I115937" s="12"/>
      <c r="J115937" s="12"/>
      <c r="K115937" s="12"/>
      <c r="L115937" s="208"/>
      <c r="M115937" s="209"/>
      <c r="N115937" s="209"/>
      <c r="O115937" s="209"/>
    </row>
    <row r="115938" spans="1:15" s="210" customFormat="1" x14ac:dyDescent="0.3">
      <c r="A115938" s="12"/>
      <c r="B115938" s="15"/>
      <c r="C115938" s="15"/>
      <c r="D115938" s="12"/>
      <c r="E115938" s="12"/>
      <c r="F115938" s="13"/>
      <c r="G115938" s="12"/>
      <c r="H115938" s="12"/>
      <c r="I115938" s="12"/>
      <c r="J115938" s="12"/>
      <c r="K115938" s="12"/>
      <c r="L115938" s="208"/>
      <c r="M115938" s="209"/>
      <c r="N115938" s="209"/>
      <c r="O115938" s="209"/>
    </row>
    <row r="115939" spans="1:15" s="210" customFormat="1" x14ac:dyDescent="0.3">
      <c r="A115939" s="12"/>
      <c r="B115939" s="15"/>
      <c r="C115939" s="15"/>
      <c r="D115939" s="12"/>
      <c r="E115939" s="12"/>
      <c r="F115939" s="13"/>
      <c r="G115939" s="12"/>
      <c r="H115939" s="12"/>
      <c r="I115939" s="12"/>
      <c r="J115939" s="12"/>
      <c r="K115939" s="12"/>
      <c r="L115939" s="208"/>
      <c r="M115939" s="209"/>
      <c r="N115939" s="209"/>
      <c r="O115939" s="209"/>
    </row>
    <row r="115940" spans="1:15" s="210" customFormat="1" x14ac:dyDescent="0.3">
      <c r="A115940" s="12"/>
      <c r="B115940" s="15"/>
      <c r="C115940" s="15"/>
      <c r="D115940" s="12"/>
      <c r="E115940" s="12"/>
      <c r="F115940" s="13"/>
      <c r="G115940" s="12"/>
      <c r="H115940" s="12"/>
      <c r="I115940" s="12"/>
      <c r="J115940" s="12"/>
      <c r="K115940" s="12"/>
      <c r="L115940" s="208"/>
      <c r="M115940" s="209"/>
      <c r="N115940" s="209"/>
      <c r="O115940" s="209"/>
    </row>
    <row r="115941" spans="1:15" s="210" customFormat="1" x14ac:dyDescent="0.3">
      <c r="A115941" s="12"/>
      <c r="B115941" s="15"/>
      <c r="C115941" s="15"/>
      <c r="D115941" s="12"/>
      <c r="E115941" s="12"/>
      <c r="F115941" s="13"/>
      <c r="G115941" s="12"/>
      <c r="H115941" s="12"/>
      <c r="I115941" s="12"/>
      <c r="J115941" s="12"/>
      <c r="K115941" s="12"/>
      <c r="L115941" s="208"/>
      <c r="M115941" s="209"/>
      <c r="N115941" s="209"/>
      <c r="O115941" s="209"/>
    </row>
    <row r="115942" spans="1:15" s="210" customFormat="1" x14ac:dyDescent="0.3">
      <c r="A115942" s="12"/>
      <c r="B115942" s="15"/>
      <c r="C115942" s="15"/>
      <c r="D115942" s="12"/>
      <c r="E115942" s="12"/>
      <c r="F115942" s="13"/>
      <c r="G115942" s="12"/>
      <c r="H115942" s="12"/>
      <c r="I115942" s="12"/>
      <c r="J115942" s="12"/>
      <c r="K115942" s="12"/>
      <c r="L115942" s="208"/>
      <c r="M115942" s="209"/>
      <c r="N115942" s="209"/>
      <c r="O115942" s="209"/>
    </row>
    <row r="115943" spans="1:15" s="210" customFormat="1" x14ac:dyDescent="0.3">
      <c r="A115943" s="12"/>
      <c r="B115943" s="15"/>
      <c r="C115943" s="15"/>
      <c r="D115943" s="12"/>
      <c r="E115943" s="12"/>
      <c r="F115943" s="13"/>
      <c r="G115943" s="12"/>
      <c r="H115943" s="12"/>
      <c r="I115943" s="12"/>
      <c r="J115943" s="12"/>
      <c r="K115943" s="12"/>
      <c r="L115943" s="208"/>
      <c r="M115943" s="209"/>
      <c r="N115943" s="209"/>
      <c r="O115943" s="209"/>
    </row>
    <row r="115944" spans="1:15" s="210" customFormat="1" x14ac:dyDescent="0.3">
      <c r="A115944" s="12"/>
      <c r="B115944" s="15"/>
      <c r="C115944" s="15"/>
      <c r="D115944" s="12"/>
      <c r="E115944" s="12"/>
      <c r="F115944" s="13"/>
      <c r="G115944" s="12"/>
      <c r="H115944" s="12"/>
      <c r="I115944" s="12"/>
      <c r="J115944" s="12"/>
      <c r="K115944" s="12"/>
      <c r="L115944" s="208"/>
      <c r="M115944" s="209"/>
      <c r="N115944" s="209"/>
      <c r="O115944" s="209"/>
    </row>
    <row r="115945" spans="1:15" s="210" customFormat="1" x14ac:dyDescent="0.3">
      <c r="A115945" s="12"/>
      <c r="B115945" s="15"/>
      <c r="C115945" s="15"/>
      <c r="D115945" s="12"/>
      <c r="E115945" s="12"/>
      <c r="F115945" s="13"/>
      <c r="G115945" s="12"/>
      <c r="H115945" s="12"/>
      <c r="I115945" s="12"/>
      <c r="J115945" s="12"/>
      <c r="K115945" s="12"/>
      <c r="L115945" s="208"/>
      <c r="M115945" s="209"/>
      <c r="N115945" s="209"/>
      <c r="O115945" s="209"/>
    </row>
    <row r="115946" spans="1:15" s="210" customFormat="1" x14ac:dyDescent="0.3">
      <c r="A115946" s="12"/>
      <c r="B115946" s="15"/>
      <c r="C115946" s="15"/>
      <c r="D115946" s="12"/>
      <c r="E115946" s="12"/>
      <c r="F115946" s="13"/>
      <c r="G115946" s="12"/>
      <c r="H115946" s="12"/>
      <c r="I115946" s="12"/>
      <c r="J115946" s="12"/>
      <c r="K115946" s="12"/>
      <c r="L115946" s="208"/>
      <c r="M115946" s="209"/>
      <c r="N115946" s="209"/>
      <c r="O115946" s="209"/>
    </row>
    <row r="115947" spans="1:15" s="210" customFormat="1" x14ac:dyDescent="0.3">
      <c r="A115947" s="12"/>
      <c r="B115947" s="15"/>
      <c r="C115947" s="15"/>
      <c r="D115947" s="12"/>
      <c r="E115947" s="12"/>
      <c r="F115947" s="13"/>
      <c r="G115947" s="12"/>
      <c r="H115947" s="12"/>
      <c r="I115947" s="12"/>
      <c r="J115947" s="12"/>
      <c r="K115947" s="12"/>
      <c r="L115947" s="208"/>
      <c r="M115947" s="209"/>
      <c r="N115947" s="209"/>
      <c r="O115947" s="209"/>
    </row>
    <row r="115948" spans="1:15" s="210" customFormat="1" x14ac:dyDescent="0.3">
      <c r="A115948" s="12"/>
      <c r="B115948" s="15"/>
      <c r="C115948" s="15"/>
      <c r="D115948" s="12"/>
      <c r="E115948" s="12"/>
      <c r="F115948" s="13"/>
      <c r="G115948" s="12"/>
      <c r="H115948" s="12"/>
      <c r="I115948" s="12"/>
      <c r="J115948" s="12"/>
      <c r="K115948" s="12"/>
      <c r="L115948" s="208"/>
      <c r="M115948" s="209"/>
      <c r="N115948" s="209"/>
      <c r="O115948" s="209"/>
    </row>
    <row r="115949" spans="1:15" s="210" customFormat="1" x14ac:dyDescent="0.3">
      <c r="A115949" s="12"/>
      <c r="B115949" s="15"/>
      <c r="C115949" s="15"/>
      <c r="D115949" s="12"/>
      <c r="E115949" s="12"/>
      <c r="F115949" s="13"/>
      <c r="G115949" s="12"/>
      <c r="H115949" s="12"/>
      <c r="I115949" s="12"/>
      <c r="J115949" s="12"/>
      <c r="K115949" s="12"/>
      <c r="L115949" s="208"/>
      <c r="M115949" s="209"/>
      <c r="N115949" s="209"/>
      <c r="O115949" s="209"/>
    </row>
    <row r="115950" spans="1:15" s="210" customFormat="1" x14ac:dyDescent="0.3">
      <c r="A115950" s="12"/>
      <c r="B115950" s="15"/>
      <c r="C115950" s="15"/>
      <c r="D115950" s="12"/>
      <c r="E115950" s="12"/>
      <c r="F115950" s="13"/>
      <c r="G115950" s="12"/>
      <c r="H115950" s="12"/>
      <c r="I115950" s="12"/>
      <c r="J115950" s="12"/>
      <c r="K115950" s="12"/>
      <c r="L115950" s="208"/>
      <c r="M115950" s="209"/>
      <c r="N115950" s="209"/>
      <c r="O115950" s="209"/>
    </row>
    <row r="115951" spans="1:15" s="210" customFormat="1" x14ac:dyDescent="0.3">
      <c r="A115951" s="12"/>
      <c r="B115951" s="15"/>
      <c r="C115951" s="15"/>
      <c r="D115951" s="12"/>
      <c r="E115951" s="12"/>
      <c r="F115951" s="13"/>
      <c r="G115951" s="12"/>
      <c r="H115951" s="12"/>
      <c r="I115951" s="12"/>
      <c r="J115951" s="12"/>
      <c r="K115951" s="12"/>
      <c r="L115951" s="208"/>
      <c r="M115951" s="209"/>
      <c r="N115951" s="209"/>
      <c r="O115951" s="209"/>
    </row>
    <row r="115952" spans="1:15" s="210" customFormat="1" x14ac:dyDescent="0.3">
      <c r="A115952" s="12"/>
      <c r="B115952" s="15"/>
      <c r="C115952" s="15"/>
      <c r="D115952" s="12"/>
      <c r="E115952" s="12"/>
      <c r="F115952" s="13"/>
      <c r="G115952" s="12"/>
      <c r="H115952" s="12"/>
      <c r="I115952" s="12"/>
      <c r="J115952" s="12"/>
      <c r="K115952" s="12"/>
      <c r="L115952" s="208"/>
      <c r="M115952" s="209"/>
      <c r="N115952" s="209"/>
      <c r="O115952" s="209"/>
    </row>
    <row r="115953" spans="1:15" s="210" customFormat="1" x14ac:dyDescent="0.3">
      <c r="A115953" s="12"/>
      <c r="B115953" s="15"/>
      <c r="C115953" s="15"/>
      <c r="D115953" s="12"/>
      <c r="E115953" s="12"/>
      <c r="F115953" s="13"/>
      <c r="G115953" s="12"/>
      <c r="H115953" s="12"/>
      <c r="I115953" s="12"/>
      <c r="J115953" s="12"/>
      <c r="K115953" s="12"/>
      <c r="L115953" s="208"/>
      <c r="M115953" s="209"/>
      <c r="N115953" s="209"/>
      <c r="O115953" s="209"/>
    </row>
    <row r="115954" spans="1:15" s="210" customFormat="1" x14ac:dyDescent="0.3">
      <c r="A115954" s="12"/>
      <c r="B115954" s="15"/>
      <c r="C115954" s="15"/>
      <c r="D115954" s="12"/>
      <c r="E115954" s="12"/>
      <c r="F115954" s="13"/>
      <c r="G115954" s="12"/>
      <c r="H115954" s="12"/>
      <c r="I115954" s="12"/>
      <c r="J115954" s="12"/>
      <c r="K115954" s="12"/>
      <c r="L115954" s="208"/>
      <c r="M115954" s="209"/>
      <c r="N115954" s="209"/>
      <c r="O115954" s="209"/>
    </row>
    <row r="115955" spans="1:15" s="210" customFormat="1" x14ac:dyDescent="0.3">
      <c r="A115955" s="12"/>
      <c r="B115955" s="15"/>
      <c r="C115955" s="15"/>
      <c r="D115955" s="12"/>
      <c r="E115955" s="12"/>
      <c r="F115955" s="13"/>
      <c r="G115955" s="12"/>
      <c r="H115955" s="12"/>
      <c r="I115955" s="12"/>
      <c r="J115955" s="12"/>
      <c r="K115955" s="12"/>
      <c r="L115955" s="208"/>
      <c r="M115955" s="209"/>
      <c r="N115955" s="209"/>
      <c r="O115955" s="209"/>
    </row>
    <row r="115956" spans="1:15" s="210" customFormat="1" x14ac:dyDescent="0.3">
      <c r="A115956" s="12"/>
      <c r="B115956" s="15"/>
      <c r="C115956" s="15"/>
      <c r="D115956" s="12"/>
      <c r="E115956" s="12"/>
      <c r="F115956" s="13"/>
      <c r="G115956" s="12"/>
      <c r="H115956" s="12"/>
      <c r="I115956" s="12"/>
      <c r="J115956" s="12"/>
      <c r="K115956" s="12"/>
      <c r="L115956" s="208"/>
      <c r="M115956" s="209"/>
      <c r="N115956" s="209"/>
      <c r="O115956" s="209"/>
    </row>
    <row r="115957" spans="1:15" s="210" customFormat="1" x14ac:dyDescent="0.3">
      <c r="A115957" s="12"/>
      <c r="B115957" s="15"/>
      <c r="C115957" s="15"/>
      <c r="D115957" s="12"/>
      <c r="E115957" s="12"/>
      <c r="F115957" s="13"/>
      <c r="G115957" s="12"/>
      <c r="H115957" s="12"/>
      <c r="I115957" s="12"/>
      <c r="J115957" s="12"/>
      <c r="K115957" s="12"/>
      <c r="L115957" s="208"/>
      <c r="M115957" s="209"/>
      <c r="N115957" s="209"/>
      <c r="O115957" s="209"/>
    </row>
    <row r="115958" spans="1:15" s="210" customFormat="1" x14ac:dyDescent="0.3">
      <c r="A115958" s="12"/>
      <c r="B115958" s="15"/>
      <c r="C115958" s="15"/>
      <c r="D115958" s="12"/>
      <c r="E115958" s="12"/>
      <c r="F115958" s="13"/>
      <c r="G115958" s="12"/>
      <c r="H115958" s="12"/>
      <c r="I115958" s="12"/>
      <c r="J115958" s="12"/>
      <c r="K115958" s="12"/>
      <c r="L115958" s="208"/>
      <c r="M115958" s="209"/>
      <c r="N115958" s="209"/>
      <c r="O115958" s="209"/>
    </row>
    <row r="115959" spans="1:15" s="210" customFormat="1" x14ac:dyDescent="0.3">
      <c r="A115959" s="12"/>
      <c r="B115959" s="15"/>
      <c r="C115959" s="15"/>
      <c r="D115959" s="12"/>
      <c r="E115959" s="12"/>
      <c r="F115959" s="13"/>
      <c r="G115959" s="12"/>
      <c r="H115959" s="12"/>
      <c r="I115959" s="12"/>
      <c r="J115959" s="12"/>
      <c r="K115959" s="12"/>
      <c r="L115959" s="208"/>
      <c r="M115959" s="209"/>
      <c r="N115959" s="209"/>
      <c r="O115959" s="209"/>
    </row>
    <row r="115960" spans="1:15" s="210" customFormat="1" x14ac:dyDescent="0.3">
      <c r="A115960" s="12"/>
      <c r="B115960" s="15"/>
      <c r="C115960" s="15"/>
      <c r="D115960" s="12"/>
      <c r="E115960" s="12"/>
      <c r="F115960" s="13"/>
      <c r="G115960" s="12"/>
      <c r="H115960" s="12"/>
      <c r="I115960" s="12"/>
      <c r="J115960" s="12"/>
      <c r="K115960" s="12"/>
      <c r="L115960" s="208"/>
      <c r="M115960" s="209"/>
      <c r="N115960" s="209"/>
      <c r="O115960" s="209"/>
    </row>
    <row r="115961" spans="1:15" s="210" customFormat="1" x14ac:dyDescent="0.3">
      <c r="A115961" s="12"/>
      <c r="B115961" s="15"/>
      <c r="C115961" s="15"/>
      <c r="D115961" s="12"/>
      <c r="E115961" s="12"/>
      <c r="F115961" s="13"/>
      <c r="G115961" s="12"/>
      <c r="H115961" s="12"/>
      <c r="I115961" s="12"/>
      <c r="J115961" s="12"/>
      <c r="K115961" s="12"/>
      <c r="L115961" s="208"/>
      <c r="M115961" s="209"/>
      <c r="N115961" s="209"/>
      <c r="O115961" s="209"/>
    </row>
    <row r="115962" spans="1:15" s="210" customFormat="1" x14ac:dyDescent="0.3">
      <c r="A115962" s="12"/>
      <c r="B115962" s="15"/>
      <c r="C115962" s="15"/>
      <c r="D115962" s="12"/>
      <c r="E115962" s="12"/>
      <c r="F115962" s="13"/>
      <c r="G115962" s="12"/>
      <c r="H115962" s="12"/>
      <c r="I115962" s="12"/>
      <c r="J115962" s="12"/>
      <c r="K115962" s="12"/>
      <c r="L115962" s="208"/>
      <c r="M115962" s="209"/>
      <c r="N115962" s="209"/>
      <c r="O115962" s="209"/>
    </row>
    <row r="115963" spans="1:15" s="210" customFormat="1" x14ac:dyDescent="0.3">
      <c r="A115963" s="12"/>
      <c r="B115963" s="15"/>
      <c r="C115963" s="15"/>
      <c r="D115963" s="12"/>
      <c r="E115963" s="12"/>
      <c r="F115963" s="13"/>
      <c r="G115963" s="12"/>
      <c r="H115963" s="12"/>
      <c r="I115963" s="12"/>
      <c r="J115963" s="12"/>
      <c r="K115963" s="12"/>
      <c r="L115963" s="208"/>
      <c r="M115963" s="209"/>
      <c r="N115963" s="209"/>
      <c r="O115963" s="209"/>
    </row>
    <row r="115964" spans="1:15" s="210" customFormat="1" x14ac:dyDescent="0.3">
      <c r="A115964" s="12"/>
      <c r="B115964" s="15"/>
      <c r="C115964" s="15"/>
      <c r="D115964" s="12"/>
      <c r="E115964" s="12"/>
      <c r="F115964" s="13"/>
      <c r="G115964" s="12"/>
      <c r="H115964" s="12"/>
      <c r="I115964" s="12"/>
      <c r="J115964" s="12"/>
      <c r="K115964" s="12"/>
      <c r="L115964" s="208"/>
      <c r="M115964" s="209"/>
      <c r="N115964" s="209"/>
      <c r="O115964" s="209"/>
    </row>
    <row r="115965" spans="1:15" s="210" customFormat="1" x14ac:dyDescent="0.3">
      <c r="A115965" s="12"/>
      <c r="B115965" s="15"/>
      <c r="C115965" s="15"/>
      <c r="D115965" s="12"/>
      <c r="E115965" s="12"/>
      <c r="F115965" s="13"/>
      <c r="G115965" s="12"/>
      <c r="H115965" s="12"/>
      <c r="I115965" s="12"/>
      <c r="J115965" s="12"/>
      <c r="K115965" s="12"/>
      <c r="L115965" s="208"/>
      <c r="M115965" s="209"/>
      <c r="N115965" s="209"/>
      <c r="O115965" s="209"/>
    </row>
    <row r="115966" spans="1:15" s="210" customFormat="1" x14ac:dyDescent="0.3">
      <c r="A115966" s="12"/>
      <c r="B115966" s="15"/>
      <c r="C115966" s="15"/>
      <c r="D115966" s="12"/>
      <c r="E115966" s="12"/>
      <c r="F115966" s="13"/>
      <c r="G115966" s="12"/>
      <c r="H115966" s="12"/>
      <c r="I115966" s="12"/>
      <c r="J115966" s="12"/>
      <c r="K115966" s="12"/>
      <c r="L115966" s="208"/>
      <c r="M115966" s="209"/>
      <c r="N115966" s="209"/>
      <c r="O115966" s="209"/>
    </row>
    <row r="115967" spans="1:15" s="210" customFormat="1" x14ac:dyDescent="0.3">
      <c r="A115967" s="12"/>
      <c r="B115967" s="15"/>
      <c r="C115967" s="15"/>
      <c r="D115967" s="12"/>
      <c r="E115967" s="12"/>
      <c r="F115967" s="13"/>
      <c r="G115967" s="12"/>
      <c r="H115967" s="12"/>
      <c r="I115967" s="12"/>
      <c r="J115967" s="12"/>
      <c r="K115967" s="12"/>
      <c r="L115967" s="208"/>
      <c r="M115967" s="209"/>
      <c r="N115967" s="209"/>
      <c r="O115967" s="209"/>
    </row>
    <row r="115968" spans="1:15" s="210" customFormat="1" x14ac:dyDescent="0.3">
      <c r="A115968" s="12"/>
      <c r="B115968" s="15"/>
      <c r="C115968" s="15"/>
      <c r="D115968" s="12"/>
      <c r="E115968" s="12"/>
      <c r="F115968" s="13"/>
      <c r="G115968" s="12"/>
      <c r="H115968" s="12"/>
      <c r="I115968" s="12"/>
      <c r="J115968" s="12"/>
      <c r="K115968" s="12"/>
      <c r="L115968" s="208"/>
      <c r="M115968" s="209"/>
      <c r="N115968" s="209"/>
      <c r="O115968" s="209"/>
    </row>
    <row r="115969" spans="1:15" s="210" customFormat="1" x14ac:dyDescent="0.3">
      <c r="A115969" s="12"/>
      <c r="B115969" s="15"/>
      <c r="C115969" s="15"/>
      <c r="D115969" s="12"/>
      <c r="E115969" s="12"/>
      <c r="F115969" s="13"/>
      <c r="G115969" s="12"/>
      <c r="H115969" s="12"/>
      <c r="I115969" s="12"/>
      <c r="J115969" s="12"/>
      <c r="K115969" s="12"/>
      <c r="L115969" s="208"/>
      <c r="M115969" s="209"/>
      <c r="N115969" s="209"/>
      <c r="O115969" s="209"/>
    </row>
    <row r="115970" spans="1:15" s="210" customFormat="1" x14ac:dyDescent="0.3">
      <c r="A115970" s="12"/>
      <c r="B115970" s="15"/>
      <c r="C115970" s="15"/>
      <c r="D115970" s="12"/>
      <c r="E115970" s="12"/>
      <c r="F115970" s="13"/>
      <c r="G115970" s="12"/>
      <c r="H115970" s="12"/>
      <c r="I115970" s="12"/>
      <c r="J115970" s="12"/>
      <c r="K115970" s="12"/>
      <c r="L115970" s="208"/>
      <c r="M115970" s="209"/>
      <c r="N115970" s="209"/>
      <c r="O115970" s="209"/>
    </row>
    <row r="115971" spans="1:15" s="210" customFormat="1" x14ac:dyDescent="0.3">
      <c r="A115971" s="12"/>
      <c r="B115971" s="15"/>
      <c r="C115971" s="15"/>
      <c r="D115971" s="12"/>
      <c r="E115971" s="12"/>
      <c r="F115971" s="13"/>
      <c r="G115971" s="12"/>
      <c r="H115971" s="12"/>
      <c r="I115971" s="12"/>
      <c r="J115971" s="12"/>
      <c r="K115971" s="12"/>
      <c r="L115971" s="208"/>
      <c r="M115971" s="209"/>
      <c r="N115971" s="209"/>
      <c r="O115971" s="209"/>
    </row>
    <row r="115972" spans="1:15" s="210" customFormat="1" x14ac:dyDescent="0.3">
      <c r="A115972" s="12"/>
      <c r="B115972" s="15"/>
      <c r="C115972" s="15"/>
      <c r="D115972" s="12"/>
      <c r="E115972" s="12"/>
      <c r="F115972" s="13"/>
      <c r="G115972" s="12"/>
      <c r="H115972" s="12"/>
      <c r="I115972" s="12"/>
      <c r="J115972" s="12"/>
      <c r="K115972" s="12"/>
      <c r="L115972" s="208"/>
      <c r="M115972" s="209"/>
      <c r="N115972" s="209"/>
      <c r="O115972" s="209"/>
    </row>
    <row r="115973" spans="1:15" s="210" customFormat="1" x14ac:dyDescent="0.3">
      <c r="A115973" s="12"/>
      <c r="B115973" s="15"/>
      <c r="C115973" s="15"/>
      <c r="D115973" s="12"/>
      <c r="E115973" s="12"/>
      <c r="F115973" s="13"/>
      <c r="G115973" s="12"/>
      <c r="H115973" s="12"/>
      <c r="I115973" s="12"/>
      <c r="J115973" s="12"/>
      <c r="K115973" s="12"/>
      <c r="L115973" s="208"/>
      <c r="M115973" s="209"/>
      <c r="N115973" s="209"/>
      <c r="O115973" s="209"/>
    </row>
    <row r="115974" spans="1:15" s="210" customFormat="1" x14ac:dyDescent="0.3">
      <c r="A115974" s="12"/>
      <c r="B115974" s="15"/>
      <c r="C115974" s="15"/>
      <c r="D115974" s="12"/>
      <c r="E115974" s="12"/>
      <c r="F115974" s="13"/>
      <c r="G115974" s="12"/>
      <c r="H115974" s="12"/>
      <c r="I115974" s="12"/>
      <c r="J115974" s="12"/>
      <c r="K115974" s="12"/>
      <c r="L115974" s="208"/>
      <c r="M115974" s="209"/>
      <c r="N115974" s="209"/>
      <c r="O115974" s="209"/>
    </row>
    <row r="115975" spans="1:15" s="210" customFormat="1" x14ac:dyDescent="0.3">
      <c r="A115975" s="12"/>
      <c r="B115975" s="15"/>
      <c r="C115975" s="15"/>
      <c r="D115975" s="12"/>
      <c r="E115975" s="12"/>
      <c r="F115975" s="13"/>
      <c r="G115975" s="12"/>
      <c r="H115975" s="12"/>
      <c r="I115975" s="12"/>
      <c r="J115975" s="12"/>
      <c r="K115975" s="12"/>
      <c r="L115975" s="208"/>
      <c r="M115975" s="209"/>
      <c r="N115975" s="209"/>
      <c r="O115975" s="209"/>
    </row>
    <row r="115976" spans="1:15" s="210" customFormat="1" x14ac:dyDescent="0.3">
      <c r="A115976" s="12"/>
      <c r="B115976" s="15"/>
      <c r="C115976" s="15"/>
      <c r="D115976" s="12"/>
      <c r="E115976" s="12"/>
      <c r="F115976" s="13"/>
      <c r="G115976" s="12"/>
      <c r="H115976" s="12"/>
      <c r="I115976" s="12"/>
      <c r="J115976" s="12"/>
      <c r="K115976" s="12"/>
      <c r="L115976" s="208"/>
      <c r="M115976" s="209"/>
      <c r="N115976" s="209"/>
      <c r="O115976" s="209"/>
    </row>
    <row r="115977" spans="1:15" s="210" customFormat="1" x14ac:dyDescent="0.3">
      <c r="A115977" s="12"/>
      <c r="B115977" s="15"/>
      <c r="C115977" s="15"/>
      <c r="D115977" s="12"/>
      <c r="E115977" s="12"/>
      <c r="F115977" s="13"/>
      <c r="G115977" s="12"/>
      <c r="H115977" s="12"/>
      <c r="I115977" s="12"/>
      <c r="J115977" s="12"/>
      <c r="K115977" s="12"/>
      <c r="L115977" s="208"/>
      <c r="M115977" s="209"/>
      <c r="N115977" s="209"/>
      <c r="O115977" s="209"/>
    </row>
    <row r="115978" spans="1:15" s="210" customFormat="1" x14ac:dyDescent="0.3">
      <c r="A115978" s="12"/>
      <c r="B115978" s="15"/>
      <c r="C115978" s="15"/>
      <c r="D115978" s="12"/>
      <c r="E115978" s="12"/>
      <c r="F115978" s="13"/>
      <c r="G115978" s="12"/>
      <c r="H115978" s="12"/>
      <c r="I115978" s="12"/>
      <c r="J115978" s="12"/>
      <c r="K115978" s="12"/>
      <c r="L115978" s="208"/>
      <c r="M115978" s="209"/>
      <c r="N115978" s="209"/>
      <c r="O115978" s="209"/>
    </row>
    <row r="115979" spans="1:15" s="210" customFormat="1" x14ac:dyDescent="0.3">
      <c r="A115979" s="12"/>
      <c r="B115979" s="15"/>
      <c r="C115979" s="15"/>
      <c r="D115979" s="12"/>
      <c r="E115979" s="12"/>
      <c r="F115979" s="13"/>
      <c r="G115979" s="12"/>
      <c r="H115979" s="12"/>
      <c r="I115979" s="12"/>
      <c r="J115979" s="12"/>
      <c r="K115979" s="12"/>
      <c r="L115979" s="208"/>
      <c r="M115979" s="209"/>
      <c r="N115979" s="209"/>
      <c r="O115979" s="209"/>
    </row>
    <row r="115980" spans="1:15" s="210" customFormat="1" x14ac:dyDescent="0.3">
      <c r="A115980" s="12"/>
      <c r="B115980" s="15"/>
      <c r="C115980" s="15"/>
      <c r="D115980" s="12"/>
      <c r="E115980" s="12"/>
      <c r="F115980" s="13"/>
      <c r="G115980" s="12"/>
      <c r="H115980" s="12"/>
      <c r="I115980" s="12"/>
      <c r="J115980" s="12"/>
      <c r="K115980" s="12"/>
      <c r="L115980" s="208"/>
      <c r="M115980" s="209"/>
      <c r="N115980" s="209"/>
      <c r="O115980" s="209"/>
    </row>
    <row r="115981" spans="1:15" s="210" customFormat="1" x14ac:dyDescent="0.3">
      <c r="A115981" s="12"/>
      <c r="B115981" s="15"/>
      <c r="C115981" s="15"/>
      <c r="D115981" s="12"/>
      <c r="E115981" s="12"/>
      <c r="F115981" s="13"/>
      <c r="G115981" s="12"/>
      <c r="H115981" s="12"/>
      <c r="I115981" s="12"/>
      <c r="J115981" s="12"/>
      <c r="K115981" s="12"/>
      <c r="L115981" s="208"/>
      <c r="M115981" s="209"/>
      <c r="N115981" s="209"/>
      <c r="O115981" s="209"/>
    </row>
    <row r="115982" spans="1:15" s="210" customFormat="1" x14ac:dyDescent="0.3">
      <c r="A115982" s="12"/>
      <c r="B115982" s="15"/>
      <c r="C115982" s="15"/>
      <c r="D115982" s="12"/>
      <c r="E115982" s="12"/>
      <c r="F115982" s="13"/>
      <c r="G115982" s="12"/>
      <c r="H115982" s="12"/>
      <c r="I115982" s="12"/>
      <c r="J115982" s="12"/>
      <c r="K115982" s="12"/>
      <c r="L115982" s="208"/>
      <c r="M115982" s="209"/>
      <c r="N115982" s="209"/>
      <c r="O115982" s="209"/>
    </row>
    <row r="115983" spans="1:15" s="210" customFormat="1" x14ac:dyDescent="0.3">
      <c r="A115983" s="12"/>
      <c r="B115983" s="15"/>
      <c r="C115983" s="15"/>
      <c r="D115983" s="12"/>
      <c r="E115983" s="12"/>
      <c r="F115983" s="13"/>
      <c r="G115983" s="12"/>
      <c r="H115983" s="12"/>
      <c r="I115983" s="12"/>
      <c r="J115983" s="12"/>
      <c r="K115983" s="12"/>
      <c r="L115983" s="208"/>
      <c r="M115983" s="209"/>
      <c r="N115983" s="209"/>
      <c r="O115983" s="209"/>
    </row>
    <row r="115984" spans="1:15" s="210" customFormat="1" x14ac:dyDescent="0.3">
      <c r="A115984" s="12"/>
      <c r="B115984" s="15"/>
      <c r="C115984" s="15"/>
      <c r="D115984" s="12"/>
      <c r="E115984" s="12"/>
      <c r="F115984" s="13"/>
      <c r="G115984" s="12"/>
      <c r="H115984" s="12"/>
      <c r="I115984" s="12"/>
      <c r="J115984" s="12"/>
      <c r="K115984" s="12"/>
      <c r="L115984" s="208"/>
      <c r="M115984" s="209"/>
      <c r="N115984" s="209"/>
      <c r="O115984" s="209"/>
    </row>
    <row r="115985" spans="1:15" s="210" customFormat="1" x14ac:dyDescent="0.3">
      <c r="A115985" s="12"/>
      <c r="B115985" s="15"/>
      <c r="C115985" s="15"/>
      <c r="D115985" s="12"/>
      <c r="E115985" s="12"/>
      <c r="F115985" s="13"/>
      <c r="G115985" s="12"/>
      <c r="H115985" s="12"/>
      <c r="I115985" s="12"/>
      <c r="J115985" s="12"/>
      <c r="K115985" s="12"/>
      <c r="L115985" s="208"/>
      <c r="M115985" s="209"/>
      <c r="N115985" s="209"/>
      <c r="O115985" s="209"/>
    </row>
    <row r="115986" spans="1:15" s="210" customFormat="1" x14ac:dyDescent="0.3">
      <c r="A115986" s="12"/>
      <c r="B115986" s="15"/>
      <c r="C115986" s="15"/>
      <c r="D115986" s="12"/>
      <c r="E115986" s="12"/>
      <c r="F115986" s="13"/>
      <c r="G115986" s="12"/>
      <c r="H115986" s="12"/>
      <c r="I115986" s="12"/>
      <c r="J115986" s="12"/>
      <c r="K115986" s="12"/>
      <c r="L115986" s="208"/>
      <c r="M115986" s="209"/>
      <c r="N115986" s="209"/>
      <c r="O115986" s="209"/>
    </row>
    <row r="115987" spans="1:15" s="210" customFormat="1" x14ac:dyDescent="0.3">
      <c r="A115987" s="12"/>
      <c r="B115987" s="15"/>
      <c r="C115987" s="15"/>
      <c r="D115987" s="12"/>
      <c r="E115987" s="12"/>
      <c r="F115987" s="13"/>
      <c r="G115987" s="12"/>
      <c r="H115987" s="12"/>
      <c r="I115987" s="12"/>
      <c r="J115987" s="12"/>
      <c r="K115987" s="12"/>
      <c r="L115987" s="208"/>
      <c r="M115987" s="209"/>
      <c r="N115987" s="209"/>
      <c r="O115987" s="209"/>
    </row>
    <row r="115988" spans="1:15" s="210" customFormat="1" x14ac:dyDescent="0.3">
      <c r="A115988" s="12"/>
      <c r="B115988" s="15"/>
      <c r="C115988" s="15"/>
      <c r="D115988" s="12"/>
      <c r="E115988" s="12"/>
      <c r="F115988" s="13"/>
      <c r="G115988" s="12"/>
      <c r="H115988" s="12"/>
      <c r="I115988" s="12"/>
      <c r="J115988" s="12"/>
      <c r="K115988" s="12"/>
      <c r="L115988" s="208"/>
      <c r="M115988" s="209"/>
      <c r="N115988" s="209"/>
      <c r="O115988" s="209"/>
    </row>
    <row r="115989" spans="1:15" s="210" customFormat="1" x14ac:dyDescent="0.3">
      <c r="A115989" s="12"/>
      <c r="B115989" s="15"/>
      <c r="C115989" s="15"/>
      <c r="D115989" s="12"/>
      <c r="E115989" s="12"/>
      <c r="F115989" s="13"/>
      <c r="G115989" s="12"/>
      <c r="H115989" s="12"/>
      <c r="I115989" s="12"/>
      <c r="J115989" s="12"/>
      <c r="K115989" s="12"/>
      <c r="L115989" s="208"/>
      <c r="M115989" s="209"/>
      <c r="N115989" s="209"/>
      <c r="O115989" s="209"/>
    </row>
    <row r="115990" spans="1:15" s="210" customFormat="1" x14ac:dyDescent="0.3">
      <c r="A115990" s="12"/>
      <c r="B115990" s="15"/>
      <c r="C115990" s="15"/>
      <c r="D115990" s="12"/>
      <c r="E115990" s="12"/>
      <c r="F115990" s="13"/>
      <c r="G115990" s="12"/>
      <c r="H115990" s="12"/>
      <c r="I115990" s="12"/>
      <c r="J115990" s="12"/>
      <c r="K115990" s="12"/>
      <c r="L115990" s="208"/>
      <c r="M115990" s="209"/>
      <c r="N115990" s="209"/>
      <c r="O115990" s="209"/>
    </row>
    <row r="115991" spans="1:15" s="210" customFormat="1" x14ac:dyDescent="0.3">
      <c r="A115991" s="12"/>
      <c r="B115991" s="15"/>
      <c r="C115991" s="15"/>
      <c r="D115991" s="12"/>
      <c r="E115991" s="12"/>
      <c r="F115991" s="13"/>
      <c r="G115991" s="12"/>
      <c r="H115991" s="12"/>
      <c r="I115991" s="12"/>
      <c r="J115991" s="12"/>
      <c r="K115991" s="12"/>
      <c r="L115991" s="208"/>
      <c r="M115991" s="209"/>
      <c r="N115991" s="209"/>
      <c r="O115991" s="209"/>
    </row>
    <row r="115992" spans="1:15" s="210" customFormat="1" x14ac:dyDescent="0.3">
      <c r="A115992" s="12"/>
      <c r="B115992" s="15"/>
      <c r="C115992" s="15"/>
      <c r="D115992" s="12"/>
      <c r="E115992" s="12"/>
      <c r="F115992" s="13"/>
      <c r="G115992" s="12"/>
      <c r="H115992" s="12"/>
      <c r="I115992" s="12"/>
      <c r="J115992" s="12"/>
      <c r="K115992" s="12"/>
      <c r="L115992" s="208"/>
      <c r="M115992" s="209"/>
      <c r="N115992" s="209"/>
      <c r="O115992" s="209"/>
    </row>
    <row r="115993" spans="1:15" s="210" customFormat="1" x14ac:dyDescent="0.3">
      <c r="A115993" s="12"/>
      <c r="B115993" s="15"/>
      <c r="C115993" s="15"/>
      <c r="D115993" s="12"/>
      <c r="E115993" s="12"/>
      <c r="F115993" s="13"/>
      <c r="G115993" s="12"/>
      <c r="H115993" s="12"/>
      <c r="I115993" s="12"/>
      <c r="J115993" s="12"/>
      <c r="K115993" s="12"/>
      <c r="L115993" s="208"/>
      <c r="M115993" s="209"/>
      <c r="N115993" s="209"/>
      <c r="O115993" s="209"/>
    </row>
    <row r="115994" spans="1:15" s="210" customFormat="1" x14ac:dyDescent="0.3">
      <c r="A115994" s="12"/>
      <c r="B115994" s="15"/>
      <c r="C115994" s="15"/>
      <c r="D115994" s="12"/>
      <c r="E115994" s="12"/>
      <c r="F115994" s="13"/>
      <c r="G115994" s="12"/>
      <c r="H115994" s="12"/>
      <c r="I115994" s="12"/>
      <c r="J115994" s="12"/>
      <c r="K115994" s="12"/>
      <c r="L115994" s="208"/>
      <c r="M115994" s="209"/>
      <c r="N115994" s="209"/>
      <c r="O115994" s="209"/>
    </row>
    <row r="115995" spans="1:15" s="210" customFormat="1" x14ac:dyDescent="0.3">
      <c r="A115995" s="12"/>
      <c r="B115995" s="15"/>
      <c r="C115995" s="15"/>
      <c r="D115995" s="12"/>
      <c r="E115995" s="12"/>
      <c r="F115995" s="13"/>
      <c r="G115995" s="12"/>
      <c r="H115995" s="12"/>
      <c r="I115995" s="12"/>
      <c r="J115995" s="12"/>
      <c r="K115995" s="12"/>
      <c r="L115995" s="208"/>
      <c r="M115995" s="209"/>
      <c r="N115995" s="209"/>
      <c r="O115995" s="209"/>
    </row>
    <row r="115996" spans="1:15" s="210" customFormat="1" x14ac:dyDescent="0.3">
      <c r="A115996" s="12"/>
      <c r="B115996" s="15"/>
      <c r="C115996" s="15"/>
      <c r="D115996" s="12"/>
      <c r="E115996" s="12"/>
      <c r="F115996" s="13"/>
      <c r="G115996" s="12"/>
      <c r="H115996" s="12"/>
      <c r="I115996" s="12"/>
      <c r="J115996" s="12"/>
      <c r="K115996" s="12"/>
      <c r="L115996" s="208"/>
      <c r="M115996" s="209"/>
      <c r="N115996" s="209"/>
      <c r="O115996" s="209"/>
    </row>
    <row r="115997" spans="1:15" s="210" customFormat="1" x14ac:dyDescent="0.3">
      <c r="A115997" s="12"/>
      <c r="B115997" s="15"/>
      <c r="C115997" s="15"/>
      <c r="D115997" s="12"/>
      <c r="E115997" s="12"/>
      <c r="F115997" s="13"/>
      <c r="G115997" s="12"/>
      <c r="H115997" s="12"/>
      <c r="I115997" s="12"/>
      <c r="J115997" s="12"/>
      <c r="K115997" s="12"/>
      <c r="L115997" s="208"/>
      <c r="M115997" s="209"/>
      <c r="N115997" s="209"/>
      <c r="O115997" s="209"/>
    </row>
    <row r="115998" spans="1:15" s="210" customFormat="1" x14ac:dyDescent="0.3">
      <c r="A115998" s="12"/>
      <c r="B115998" s="15"/>
      <c r="C115998" s="15"/>
      <c r="D115998" s="12"/>
      <c r="E115998" s="12"/>
      <c r="F115998" s="13"/>
      <c r="G115998" s="12"/>
      <c r="H115998" s="12"/>
      <c r="I115998" s="12"/>
      <c r="J115998" s="12"/>
      <c r="K115998" s="12"/>
      <c r="L115998" s="208"/>
      <c r="M115998" s="209"/>
      <c r="N115998" s="209"/>
      <c r="O115998" s="209"/>
    </row>
    <row r="115999" spans="1:15" s="210" customFormat="1" x14ac:dyDescent="0.3">
      <c r="A115999" s="12"/>
      <c r="B115999" s="15"/>
      <c r="C115999" s="15"/>
      <c r="D115999" s="12"/>
      <c r="E115999" s="12"/>
      <c r="F115999" s="13"/>
      <c r="G115999" s="12"/>
      <c r="H115999" s="12"/>
      <c r="I115999" s="12"/>
      <c r="J115999" s="12"/>
      <c r="K115999" s="12"/>
      <c r="L115999" s="208"/>
      <c r="M115999" s="209"/>
      <c r="N115999" s="209"/>
      <c r="O115999" s="209"/>
    </row>
    <row r="116000" spans="1:15" s="210" customFormat="1" x14ac:dyDescent="0.3">
      <c r="A116000" s="12"/>
      <c r="B116000" s="15"/>
      <c r="C116000" s="15"/>
      <c r="D116000" s="12"/>
      <c r="E116000" s="12"/>
      <c r="F116000" s="13"/>
      <c r="G116000" s="12"/>
      <c r="H116000" s="12"/>
      <c r="I116000" s="12"/>
      <c r="J116000" s="12"/>
      <c r="K116000" s="12"/>
      <c r="L116000" s="208"/>
      <c r="M116000" s="209"/>
      <c r="N116000" s="209"/>
      <c r="O116000" s="209"/>
    </row>
    <row r="116001" spans="1:15" s="210" customFormat="1" x14ac:dyDescent="0.3">
      <c r="A116001" s="12"/>
      <c r="B116001" s="15"/>
      <c r="C116001" s="15"/>
      <c r="D116001" s="12"/>
      <c r="E116001" s="12"/>
      <c r="F116001" s="13"/>
      <c r="G116001" s="12"/>
      <c r="H116001" s="12"/>
      <c r="I116001" s="12"/>
      <c r="J116001" s="12"/>
      <c r="K116001" s="12"/>
      <c r="L116001" s="208"/>
      <c r="M116001" s="209"/>
      <c r="N116001" s="209"/>
      <c r="O116001" s="209"/>
    </row>
    <row r="116002" spans="1:15" s="210" customFormat="1" x14ac:dyDescent="0.3">
      <c r="A116002" s="12"/>
      <c r="B116002" s="15"/>
      <c r="C116002" s="15"/>
      <c r="D116002" s="12"/>
      <c r="E116002" s="12"/>
      <c r="F116002" s="13"/>
      <c r="G116002" s="12"/>
      <c r="H116002" s="12"/>
      <c r="I116002" s="12"/>
      <c r="J116002" s="12"/>
      <c r="K116002" s="12"/>
      <c r="L116002" s="208"/>
      <c r="M116002" s="209"/>
      <c r="N116002" s="209"/>
      <c r="O116002" s="209"/>
    </row>
    <row r="116003" spans="1:15" s="210" customFormat="1" x14ac:dyDescent="0.3">
      <c r="A116003" s="12"/>
      <c r="B116003" s="15"/>
      <c r="C116003" s="15"/>
      <c r="D116003" s="12"/>
      <c r="E116003" s="12"/>
      <c r="F116003" s="13"/>
      <c r="G116003" s="12"/>
      <c r="H116003" s="12"/>
      <c r="I116003" s="12"/>
      <c r="J116003" s="12"/>
      <c r="K116003" s="12"/>
      <c r="L116003" s="208"/>
      <c r="M116003" s="209"/>
      <c r="N116003" s="209"/>
      <c r="O116003" s="209"/>
    </row>
    <row r="116004" spans="1:15" s="210" customFormat="1" x14ac:dyDescent="0.3">
      <c r="A116004" s="12"/>
      <c r="B116004" s="15"/>
      <c r="C116004" s="15"/>
      <c r="D116004" s="12"/>
      <c r="E116004" s="12"/>
      <c r="F116004" s="13"/>
      <c r="G116004" s="12"/>
      <c r="H116004" s="12"/>
      <c r="I116004" s="12"/>
      <c r="J116004" s="12"/>
      <c r="K116004" s="12"/>
      <c r="L116004" s="208"/>
      <c r="M116004" s="209"/>
      <c r="N116004" s="209"/>
      <c r="O116004" s="209"/>
    </row>
    <row r="116005" spans="1:15" s="210" customFormat="1" x14ac:dyDescent="0.3">
      <c r="A116005" s="12"/>
      <c r="B116005" s="15"/>
      <c r="C116005" s="15"/>
      <c r="D116005" s="12"/>
      <c r="E116005" s="12"/>
      <c r="F116005" s="13"/>
      <c r="G116005" s="12"/>
      <c r="H116005" s="12"/>
      <c r="I116005" s="12"/>
      <c r="J116005" s="12"/>
      <c r="K116005" s="12"/>
      <c r="L116005" s="208"/>
      <c r="M116005" s="209"/>
      <c r="N116005" s="209"/>
      <c r="O116005" s="209"/>
    </row>
    <row r="116006" spans="1:15" s="210" customFormat="1" x14ac:dyDescent="0.3">
      <c r="A116006" s="12"/>
      <c r="B116006" s="15"/>
      <c r="C116006" s="15"/>
      <c r="D116006" s="12"/>
      <c r="E116006" s="12"/>
      <c r="F116006" s="13"/>
      <c r="G116006" s="12"/>
      <c r="H116006" s="12"/>
      <c r="I116006" s="12"/>
      <c r="J116006" s="12"/>
      <c r="K116006" s="12"/>
      <c r="L116006" s="208"/>
      <c r="M116006" s="209"/>
      <c r="N116006" s="209"/>
      <c r="O116006" s="209"/>
    </row>
    <row r="116007" spans="1:15" s="210" customFormat="1" x14ac:dyDescent="0.3">
      <c r="A116007" s="12"/>
      <c r="B116007" s="15"/>
      <c r="C116007" s="15"/>
      <c r="D116007" s="12"/>
      <c r="E116007" s="12"/>
      <c r="F116007" s="13"/>
      <c r="G116007" s="12"/>
      <c r="H116007" s="12"/>
      <c r="I116007" s="12"/>
      <c r="J116007" s="12"/>
      <c r="K116007" s="12"/>
      <c r="L116007" s="208"/>
      <c r="M116007" s="209"/>
      <c r="N116007" s="209"/>
      <c r="O116007" s="209"/>
    </row>
    <row r="116008" spans="1:15" s="210" customFormat="1" x14ac:dyDescent="0.3">
      <c r="A116008" s="12"/>
      <c r="B116008" s="15"/>
      <c r="C116008" s="15"/>
      <c r="D116008" s="12"/>
      <c r="E116008" s="12"/>
      <c r="F116008" s="13"/>
      <c r="G116008" s="12"/>
      <c r="H116008" s="12"/>
      <c r="I116008" s="12"/>
      <c r="J116008" s="12"/>
      <c r="K116008" s="12"/>
      <c r="L116008" s="208"/>
      <c r="M116008" s="209"/>
      <c r="N116008" s="209"/>
      <c r="O116008" s="209"/>
    </row>
    <row r="116009" spans="1:15" s="210" customFormat="1" x14ac:dyDescent="0.3">
      <c r="A116009" s="12"/>
      <c r="B116009" s="15"/>
      <c r="C116009" s="15"/>
      <c r="D116009" s="12"/>
      <c r="E116009" s="12"/>
      <c r="F116009" s="13"/>
      <c r="G116009" s="12"/>
      <c r="H116009" s="12"/>
      <c r="I116009" s="12"/>
      <c r="J116009" s="12"/>
      <c r="K116009" s="12"/>
      <c r="L116009" s="208"/>
      <c r="M116009" s="209"/>
      <c r="N116009" s="209"/>
      <c r="O116009" s="209"/>
    </row>
    <row r="116010" spans="1:15" s="210" customFormat="1" x14ac:dyDescent="0.3">
      <c r="A116010" s="12"/>
      <c r="B116010" s="15"/>
      <c r="C116010" s="15"/>
      <c r="D116010" s="12"/>
      <c r="E116010" s="12"/>
      <c r="F116010" s="13"/>
      <c r="G116010" s="12"/>
      <c r="H116010" s="12"/>
      <c r="I116010" s="12"/>
      <c r="J116010" s="12"/>
      <c r="K116010" s="12"/>
      <c r="L116010" s="208"/>
      <c r="M116010" s="209"/>
      <c r="N116010" s="209"/>
      <c r="O116010" s="209"/>
    </row>
    <row r="116011" spans="1:15" s="210" customFormat="1" x14ac:dyDescent="0.3">
      <c r="A116011" s="12"/>
      <c r="B116011" s="15"/>
      <c r="C116011" s="15"/>
      <c r="D116011" s="12"/>
      <c r="E116011" s="12"/>
      <c r="F116011" s="13"/>
      <c r="G116011" s="12"/>
      <c r="H116011" s="12"/>
      <c r="I116011" s="12"/>
      <c r="J116011" s="12"/>
      <c r="K116011" s="12"/>
      <c r="L116011" s="208"/>
      <c r="M116011" s="209"/>
      <c r="N116011" s="209"/>
      <c r="O116011" s="209"/>
    </row>
    <row r="116012" spans="1:15" s="210" customFormat="1" x14ac:dyDescent="0.3">
      <c r="A116012" s="12"/>
      <c r="B116012" s="15"/>
      <c r="C116012" s="15"/>
      <c r="D116012" s="12"/>
      <c r="E116012" s="12"/>
      <c r="F116012" s="13"/>
      <c r="G116012" s="12"/>
      <c r="H116012" s="12"/>
      <c r="I116012" s="12"/>
      <c r="J116012" s="12"/>
      <c r="K116012" s="12"/>
      <c r="L116012" s="208"/>
      <c r="M116012" s="209"/>
      <c r="N116012" s="209"/>
      <c r="O116012" s="209"/>
    </row>
    <row r="116013" spans="1:15" s="210" customFormat="1" x14ac:dyDescent="0.3">
      <c r="A116013" s="12"/>
      <c r="B116013" s="15"/>
      <c r="C116013" s="15"/>
      <c r="D116013" s="12"/>
      <c r="E116013" s="12"/>
      <c r="F116013" s="13"/>
      <c r="G116013" s="12"/>
      <c r="H116013" s="12"/>
      <c r="I116013" s="12"/>
      <c r="J116013" s="12"/>
      <c r="K116013" s="12"/>
      <c r="L116013" s="208"/>
      <c r="M116013" s="209"/>
      <c r="N116013" s="209"/>
      <c r="O116013" s="209"/>
    </row>
    <row r="116014" spans="1:15" s="210" customFormat="1" x14ac:dyDescent="0.3">
      <c r="A116014" s="12"/>
      <c r="B116014" s="15"/>
      <c r="C116014" s="15"/>
      <c r="D116014" s="12"/>
      <c r="E116014" s="12"/>
      <c r="F116014" s="13"/>
      <c r="G116014" s="12"/>
      <c r="H116014" s="12"/>
      <c r="I116014" s="12"/>
      <c r="J116014" s="12"/>
      <c r="K116014" s="12"/>
      <c r="L116014" s="208"/>
      <c r="M116014" s="209"/>
      <c r="N116014" s="209"/>
      <c r="O116014" s="209"/>
    </row>
    <row r="116015" spans="1:15" s="210" customFormat="1" x14ac:dyDescent="0.3">
      <c r="A116015" s="12"/>
      <c r="B116015" s="15"/>
      <c r="C116015" s="15"/>
      <c r="D116015" s="12"/>
      <c r="E116015" s="12"/>
      <c r="F116015" s="13"/>
      <c r="G116015" s="12"/>
      <c r="H116015" s="12"/>
      <c r="I116015" s="12"/>
      <c r="J116015" s="12"/>
      <c r="K116015" s="12"/>
      <c r="L116015" s="208"/>
      <c r="M116015" s="209"/>
      <c r="N116015" s="209"/>
      <c r="O116015" s="209"/>
    </row>
    <row r="116016" spans="1:15" s="210" customFormat="1" x14ac:dyDescent="0.3">
      <c r="A116016" s="12"/>
      <c r="B116016" s="15"/>
      <c r="C116016" s="15"/>
      <c r="D116016" s="12"/>
      <c r="E116016" s="12"/>
      <c r="F116016" s="13"/>
      <c r="G116016" s="12"/>
      <c r="H116016" s="12"/>
      <c r="I116016" s="12"/>
      <c r="J116016" s="12"/>
      <c r="K116016" s="12"/>
      <c r="L116016" s="208"/>
      <c r="M116016" s="209"/>
      <c r="N116016" s="209"/>
      <c r="O116016" s="209"/>
    </row>
    <row r="116017" spans="1:15" s="210" customFormat="1" x14ac:dyDescent="0.3">
      <c r="A116017" s="12"/>
      <c r="B116017" s="15"/>
      <c r="C116017" s="15"/>
      <c r="D116017" s="12"/>
      <c r="E116017" s="12"/>
      <c r="F116017" s="13"/>
      <c r="G116017" s="12"/>
      <c r="H116017" s="12"/>
      <c r="I116017" s="12"/>
      <c r="J116017" s="12"/>
      <c r="K116017" s="12"/>
      <c r="L116017" s="208"/>
      <c r="M116017" s="209"/>
      <c r="N116017" s="209"/>
      <c r="O116017" s="209"/>
    </row>
    <row r="116018" spans="1:15" s="210" customFormat="1" x14ac:dyDescent="0.3">
      <c r="A116018" s="12"/>
      <c r="B116018" s="15"/>
      <c r="C116018" s="15"/>
      <c r="D116018" s="12"/>
      <c r="E116018" s="12"/>
      <c r="F116018" s="13"/>
      <c r="G116018" s="12"/>
      <c r="H116018" s="12"/>
      <c r="I116018" s="12"/>
      <c r="J116018" s="12"/>
      <c r="K116018" s="12"/>
      <c r="L116018" s="208"/>
      <c r="M116018" s="209"/>
      <c r="N116018" s="209"/>
      <c r="O116018" s="209"/>
    </row>
    <row r="116019" spans="1:15" s="210" customFormat="1" x14ac:dyDescent="0.3">
      <c r="A116019" s="12"/>
      <c r="B116019" s="15"/>
      <c r="C116019" s="15"/>
      <c r="D116019" s="12"/>
      <c r="E116019" s="12"/>
      <c r="F116019" s="13"/>
      <c r="G116019" s="12"/>
      <c r="H116019" s="12"/>
      <c r="I116019" s="12"/>
      <c r="J116019" s="12"/>
      <c r="K116019" s="12"/>
      <c r="L116019" s="208"/>
      <c r="M116019" s="209"/>
      <c r="N116019" s="209"/>
      <c r="O116019" s="209"/>
    </row>
    <row r="116020" spans="1:15" s="210" customFormat="1" x14ac:dyDescent="0.3">
      <c r="A116020" s="12"/>
      <c r="B116020" s="15"/>
      <c r="C116020" s="15"/>
      <c r="D116020" s="12"/>
      <c r="E116020" s="12"/>
      <c r="F116020" s="13"/>
      <c r="G116020" s="12"/>
      <c r="H116020" s="12"/>
      <c r="I116020" s="12"/>
      <c r="J116020" s="12"/>
      <c r="K116020" s="12"/>
      <c r="L116020" s="208"/>
      <c r="M116020" s="209"/>
      <c r="N116020" s="209"/>
      <c r="O116020" s="209"/>
    </row>
    <row r="116021" spans="1:15" s="210" customFormat="1" x14ac:dyDescent="0.3">
      <c r="A116021" s="12"/>
      <c r="B116021" s="15"/>
      <c r="C116021" s="15"/>
      <c r="D116021" s="12"/>
      <c r="E116021" s="12"/>
      <c r="F116021" s="13"/>
      <c r="G116021" s="12"/>
      <c r="H116021" s="12"/>
      <c r="I116021" s="12"/>
      <c r="J116021" s="12"/>
      <c r="K116021" s="12"/>
      <c r="L116021" s="208"/>
      <c r="M116021" s="209"/>
      <c r="N116021" s="209"/>
      <c r="O116021" s="209"/>
    </row>
    <row r="116022" spans="1:15" s="210" customFormat="1" x14ac:dyDescent="0.3">
      <c r="A116022" s="12"/>
      <c r="B116022" s="15"/>
      <c r="C116022" s="15"/>
      <c r="D116022" s="12"/>
      <c r="E116022" s="12"/>
      <c r="F116022" s="13"/>
      <c r="G116022" s="12"/>
      <c r="H116022" s="12"/>
      <c r="I116022" s="12"/>
      <c r="J116022" s="12"/>
      <c r="K116022" s="12"/>
      <c r="L116022" s="208"/>
      <c r="M116022" s="209"/>
      <c r="N116022" s="209"/>
      <c r="O116022" s="209"/>
    </row>
    <row r="116023" spans="1:15" s="210" customFormat="1" x14ac:dyDescent="0.3">
      <c r="A116023" s="12"/>
      <c r="B116023" s="15"/>
      <c r="C116023" s="15"/>
      <c r="D116023" s="12"/>
      <c r="E116023" s="12"/>
      <c r="F116023" s="13"/>
      <c r="G116023" s="12"/>
      <c r="H116023" s="12"/>
      <c r="I116023" s="12"/>
      <c r="J116023" s="12"/>
      <c r="K116023" s="12"/>
      <c r="L116023" s="208"/>
      <c r="M116023" s="209"/>
      <c r="N116023" s="209"/>
      <c r="O116023" s="209"/>
    </row>
    <row r="116024" spans="1:15" s="210" customFormat="1" x14ac:dyDescent="0.3">
      <c r="A116024" s="12"/>
      <c r="B116024" s="15"/>
      <c r="C116024" s="15"/>
      <c r="D116024" s="12"/>
      <c r="E116024" s="12"/>
      <c r="F116024" s="13"/>
      <c r="G116024" s="12"/>
      <c r="H116024" s="12"/>
      <c r="I116024" s="12"/>
      <c r="J116024" s="12"/>
      <c r="K116024" s="12"/>
      <c r="L116024" s="208"/>
      <c r="M116024" s="209"/>
      <c r="N116024" s="209"/>
      <c r="O116024" s="209"/>
    </row>
    <row r="116025" spans="1:15" s="210" customFormat="1" x14ac:dyDescent="0.3">
      <c r="A116025" s="12"/>
      <c r="B116025" s="15"/>
      <c r="C116025" s="15"/>
      <c r="D116025" s="12"/>
      <c r="E116025" s="12"/>
      <c r="F116025" s="13"/>
      <c r="G116025" s="12"/>
      <c r="H116025" s="12"/>
      <c r="I116025" s="12"/>
      <c r="J116025" s="12"/>
      <c r="K116025" s="12"/>
      <c r="L116025" s="208"/>
      <c r="M116025" s="209"/>
      <c r="N116025" s="209"/>
      <c r="O116025" s="209"/>
    </row>
    <row r="116026" spans="1:15" s="210" customFormat="1" x14ac:dyDescent="0.3">
      <c r="A116026" s="12"/>
      <c r="B116026" s="15"/>
      <c r="C116026" s="15"/>
      <c r="D116026" s="12"/>
      <c r="E116026" s="12"/>
      <c r="F116026" s="13"/>
      <c r="G116026" s="12"/>
      <c r="H116026" s="12"/>
      <c r="I116026" s="12"/>
      <c r="J116026" s="12"/>
      <c r="K116026" s="12"/>
      <c r="L116026" s="208"/>
      <c r="M116026" s="209"/>
      <c r="N116026" s="209"/>
      <c r="O116026" s="209"/>
    </row>
    <row r="116027" spans="1:15" s="210" customFormat="1" x14ac:dyDescent="0.3">
      <c r="A116027" s="12"/>
      <c r="B116027" s="15"/>
      <c r="C116027" s="15"/>
      <c r="D116027" s="12"/>
      <c r="E116027" s="12"/>
      <c r="F116027" s="13"/>
      <c r="G116027" s="12"/>
      <c r="H116027" s="12"/>
      <c r="I116027" s="12"/>
      <c r="J116027" s="12"/>
      <c r="K116027" s="12"/>
      <c r="L116027" s="208"/>
      <c r="M116027" s="209"/>
      <c r="N116027" s="209"/>
      <c r="O116027" s="209"/>
    </row>
    <row r="116028" spans="1:15" s="210" customFormat="1" x14ac:dyDescent="0.3">
      <c r="A116028" s="12"/>
      <c r="B116028" s="15"/>
      <c r="C116028" s="15"/>
      <c r="D116028" s="12"/>
      <c r="E116028" s="12"/>
      <c r="F116028" s="13"/>
      <c r="G116028" s="12"/>
      <c r="H116028" s="12"/>
      <c r="I116028" s="12"/>
      <c r="J116028" s="12"/>
      <c r="K116028" s="12"/>
      <c r="L116028" s="208"/>
      <c r="M116028" s="209"/>
      <c r="N116028" s="209"/>
      <c r="O116028" s="209"/>
    </row>
    <row r="116029" spans="1:15" s="210" customFormat="1" x14ac:dyDescent="0.3">
      <c r="A116029" s="12"/>
      <c r="B116029" s="15"/>
      <c r="C116029" s="15"/>
      <c r="D116029" s="12"/>
      <c r="E116029" s="12"/>
      <c r="F116029" s="13"/>
      <c r="G116029" s="12"/>
      <c r="H116029" s="12"/>
      <c r="I116029" s="12"/>
      <c r="J116029" s="12"/>
      <c r="K116029" s="12"/>
      <c r="L116029" s="208"/>
      <c r="M116029" s="209"/>
      <c r="N116029" s="209"/>
      <c r="O116029" s="209"/>
    </row>
    <row r="116030" spans="1:15" s="210" customFormat="1" x14ac:dyDescent="0.3">
      <c r="A116030" s="12"/>
      <c r="B116030" s="15"/>
      <c r="C116030" s="15"/>
      <c r="D116030" s="12"/>
      <c r="E116030" s="12"/>
      <c r="F116030" s="13"/>
      <c r="G116030" s="12"/>
      <c r="H116030" s="12"/>
      <c r="I116030" s="12"/>
      <c r="J116030" s="12"/>
      <c r="K116030" s="12"/>
      <c r="L116030" s="208"/>
      <c r="M116030" s="209"/>
      <c r="N116030" s="209"/>
      <c r="O116030" s="209"/>
    </row>
    <row r="116031" spans="1:15" s="210" customFormat="1" x14ac:dyDescent="0.3">
      <c r="A116031" s="12"/>
      <c r="B116031" s="15"/>
      <c r="C116031" s="15"/>
      <c r="D116031" s="12"/>
      <c r="E116031" s="12"/>
      <c r="F116031" s="13"/>
      <c r="G116031" s="12"/>
      <c r="H116031" s="12"/>
      <c r="I116031" s="12"/>
      <c r="J116031" s="12"/>
      <c r="K116031" s="12"/>
      <c r="L116031" s="208"/>
      <c r="M116031" s="209"/>
      <c r="N116031" s="209"/>
      <c r="O116031" s="209"/>
    </row>
    <row r="116032" spans="1:15" s="210" customFormat="1" x14ac:dyDescent="0.3">
      <c r="A116032" s="12"/>
      <c r="B116032" s="15"/>
      <c r="C116032" s="15"/>
      <c r="D116032" s="12"/>
      <c r="E116032" s="12"/>
      <c r="F116032" s="13"/>
      <c r="G116032" s="12"/>
      <c r="H116032" s="12"/>
      <c r="I116032" s="12"/>
      <c r="J116032" s="12"/>
      <c r="K116032" s="12"/>
      <c r="L116032" s="208"/>
      <c r="M116032" s="209"/>
      <c r="N116032" s="209"/>
      <c r="O116032" s="209"/>
    </row>
    <row r="116033" spans="1:15" s="210" customFormat="1" x14ac:dyDescent="0.3">
      <c r="A116033" s="12"/>
      <c r="B116033" s="15"/>
      <c r="C116033" s="15"/>
      <c r="D116033" s="12"/>
      <c r="E116033" s="12"/>
      <c r="F116033" s="13"/>
      <c r="G116033" s="12"/>
      <c r="H116033" s="12"/>
      <c r="I116033" s="12"/>
      <c r="J116033" s="12"/>
      <c r="K116033" s="12"/>
      <c r="L116033" s="208"/>
      <c r="M116033" s="209"/>
      <c r="N116033" s="209"/>
      <c r="O116033" s="209"/>
    </row>
    <row r="116034" spans="1:15" s="210" customFormat="1" x14ac:dyDescent="0.3">
      <c r="A116034" s="12"/>
      <c r="B116034" s="15"/>
      <c r="C116034" s="15"/>
      <c r="D116034" s="12"/>
      <c r="E116034" s="12"/>
      <c r="F116034" s="13"/>
      <c r="G116034" s="12"/>
      <c r="H116034" s="12"/>
      <c r="I116034" s="12"/>
      <c r="J116034" s="12"/>
      <c r="K116034" s="12"/>
      <c r="L116034" s="208"/>
      <c r="M116034" s="209"/>
      <c r="N116034" s="209"/>
      <c r="O116034" s="209"/>
    </row>
    <row r="116035" spans="1:15" s="210" customFormat="1" x14ac:dyDescent="0.3">
      <c r="A116035" s="12"/>
      <c r="B116035" s="15"/>
      <c r="C116035" s="15"/>
      <c r="D116035" s="12"/>
      <c r="E116035" s="12"/>
      <c r="F116035" s="13"/>
      <c r="G116035" s="12"/>
      <c r="H116035" s="12"/>
      <c r="I116035" s="12"/>
      <c r="J116035" s="12"/>
      <c r="K116035" s="12"/>
      <c r="L116035" s="208"/>
      <c r="M116035" s="209"/>
      <c r="N116035" s="209"/>
      <c r="O116035" s="209"/>
    </row>
    <row r="116036" spans="1:15" s="210" customFormat="1" x14ac:dyDescent="0.3">
      <c r="A116036" s="12"/>
      <c r="B116036" s="15"/>
      <c r="C116036" s="15"/>
      <c r="D116036" s="12"/>
      <c r="E116036" s="12"/>
      <c r="F116036" s="13"/>
      <c r="G116036" s="12"/>
      <c r="H116036" s="12"/>
      <c r="I116036" s="12"/>
      <c r="J116036" s="12"/>
      <c r="K116036" s="12"/>
      <c r="L116036" s="208"/>
      <c r="M116036" s="209"/>
      <c r="N116036" s="209"/>
      <c r="O116036" s="209"/>
    </row>
    <row r="116037" spans="1:15" s="210" customFormat="1" x14ac:dyDescent="0.3">
      <c r="A116037" s="12"/>
      <c r="B116037" s="15"/>
      <c r="C116037" s="15"/>
      <c r="D116037" s="12"/>
      <c r="E116037" s="12"/>
      <c r="F116037" s="13"/>
      <c r="G116037" s="12"/>
      <c r="H116037" s="12"/>
      <c r="I116037" s="12"/>
      <c r="J116037" s="12"/>
      <c r="K116037" s="12"/>
      <c r="L116037" s="208"/>
      <c r="M116037" s="209"/>
      <c r="N116037" s="209"/>
      <c r="O116037" s="209"/>
    </row>
    <row r="116038" spans="1:15" s="210" customFormat="1" x14ac:dyDescent="0.3">
      <c r="A116038" s="12"/>
      <c r="B116038" s="15"/>
      <c r="C116038" s="15"/>
      <c r="D116038" s="12"/>
      <c r="E116038" s="12"/>
      <c r="F116038" s="13"/>
      <c r="G116038" s="12"/>
      <c r="H116038" s="12"/>
      <c r="I116038" s="12"/>
      <c r="J116038" s="12"/>
      <c r="K116038" s="12"/>
      <c r="L116038" s="208"/>
      <c r="M116038" s="209"/>
      <c r="N116038" s="209"/>
      <c r="O116038" s="209"/>
    </row>
    <row r="116039" spans="1:15" s="210" customFormat="1" x14ac:dyDescent="0.3">
      <c r="A116039" s="12"/>
      <c r="B116039" s="15"/>
      <c r="C116039" s="15"/>
      <c r="D116039" s="12"/>
      <c r="E116039" s="12"/>
      <c r="F116039" s="13"/>
      <c r="G116039" s="12"/>
      <c r="H116039" s="12"/>
      <c r="I116039" s="12"/>
      <c r="J116039" s="12"/>
      <c r="K116039" s="12"/>
      <c r="L116039" s="208"/>
      <c r="M116039" s="209"/>
      <c r="N116039" s="209"/>
      <c r="O116039" s="209"/>
    </row>
    <row r="116040" spans="1:15" s="210" customFormat="1" x14ac:dyDescent="0.3">
      <c r="A116040" s="12"/>
      <c r="B116040" s="15"/>
      <c r="C116040" s="15"/>
      <c r="D116040" s="12"/>
      <c r="E116040" s="12"/>
      <c r="F116040" s="13"/>
      <c r="G116040" s="12"/>
      <c r="H116040" s="12"/>
      <c r="I116040" s="12"/>
      <c r="J116040" s="12"/>
      <c r="K116040" s="12"/>
      <c r="L116040" s="208"/>
      <c r="M116040" s="209"/>
      <c r="N116040" s="209"/>
      <c r="O116040" s="209"/>
    </row>
    <row r="116041" spans="1:15" s="210" customFormat="1" x14ac:dyDescent="0.3">
      <c r="A116041" s="12"/>
      <c r="B116041" s="15"/>
      <c r="C116041" s="15"/>
      <c r="D116041" s="12"/>
      <c r="E116041" s="12"/>
      <c r="F116041" s="13"/>
      <c r="G116041" s="12"/>
      <c r="H116041" s="12"/>
      <c r="I116041" s="12"/>
      <c r="J116041" s="12"/>
      <c r="K116041" s="12"/>
      <c r="L116041" s="208"/>
      <c r="M116041" s="209"/>
      <c r="N116041" s="209"/>
      <c r="O116041" s="209"/>
    </row>
    <row r="116042" spans="1:15" s="210" customFormat="1" x14ac:dyDescent="0.3">
      <c r="A116042" s="12"/>
      <c r="B116042" s="15"/>
      <c r="C116042" s="15"/>
      <c r="D116042" s="12"/>
      <c r="E116042" s="12"/>
      <c r="F116042" s="13"/>
      <c r="G116042" s="12"/>
      <c r="H116042" s="12"/>
      <c r="I116042" s="12"/>
      <c r="J116042" s="12"/>
      <c r="K116042" s="12"/>
      <c r="L116042" s="208"/>
      <c r="M116042" s="209"/>
      <c r="N116042" s="209"/>
      <c r="O116042" s="209"/>
    </row>
    <row r="116043" spans="1:15" s="210" customFormat="1" x14ac:dyDescent="0.3">
      <c r="A116043" s="12"/>
      <c r="B116043" s="15"/>
      <c r="C116043" s="15"/>
      <c r="D116043" s="12"/>
      <c r="E116043" s="12"/>
      <c r="F116043" s="13"/>
      <c r="G116043" s="12"/>
      <c r="H116043" s="12"/>
      <c r="I116043" s="12"/>
      <c r="J116043" s="12"/>
      <c r="K116043" s="12"/>
      <c r="L116043" s="208"/>
      <c r="M116043" s="209"/>
      <c r="N116043" s="209"/>
      <c r="O116043" s="209"/>
    </row>
    <row r="116044" spans="1:15" s="210" customFormat="1" x14ac:dyDescent="0.3">
      <c r="A116044" s="12"/>
      <c r="B116044" s="15"/>
      <c r="C116044" s="15"/>
      <c r="D116044" s="12"/>
      <c r="E116044" s="12"/>
      <c r="F116044" s="13"/>
      <c r="G116044" s="12"/>
      <c r="H116044" s="12"/>
      <c r="I116044" s="12"/>
      <c r="J116044" s="12"/>
      <c r="K116044" s="12"/>
      <c r="L116044" s="208"/>
      <c r="M116044" s="209"/>
      <c r="N116044" s="209"/>
      <c r="O116044" s="209"/>
    </row>
    <row r="116045" spans="1:15" s="210" customFormat="1" x14ac:dyDescent="0.3">
      <c r="A116045" s="12"/>
      <c r="B116045" s="15"/>
      <c r="C116045" s="15"/>
      <c r="D116045" s="12"/>
      <c r="E116045" s="12"/>
      <c r="F116045" s="13"/>
      <c r="G116045" s="12"/>
      <c r="H116045" s="12"/>
      <c r="I116045" s="12"/>
      <c r="J116045" s="12"/>
      <c r="K116045" s="12"/>
      <c r="L116045" s="208"/>
      <c r="M116045" s="209"/>
      <c r="N116045" s="209"/>
      <c r="O116045" s="209"/>
    </row>
    <row r="116046" spans="1:15" s="210" customFormat="1" x14ac:dyDescent="0.3">
      <c r="A116046" s="12"/>
      <c r="B116046" s="15"/>
      <c r="C116046" s="15"/>
      <c r="D116046" s="12"/>
      <c r="E116046" s="12"/>
      <c r="F116046" s="13"/>
      <c r="G116046" s="12"/>
      <c r="H116046" s="12"/>
      <c r="I116046" s="12"/>
      <c r="J116046" s="12"/>
      <c r="K116046" s="12"/>
      <c r="L116046" s="208"/>
      <c r="M116046" s="209"/>
      <c r="N116046" s="209"/>
      <c r="O116046" s="209"/>
    </row>
    <row r="116047" spans="1:15" s="210" customFormat="1" x14ac:dyDescent="0.3">
      <c r="A116047" s="12"/>
      <c r="B116047" s="15"/>
      <c r="C116047" s="15"/>
      <c r="D116047" s="12"/>
      <c r="E116047" s="12"/>
      <c r="F116047" s="13"/>
      <c r="G116047" s="12"/>
      <c r="H116047" s="12"/>
      <c r="I116047" s="12"/>
      <c r="J116047" s="12"/>
      <c r="K116047" s="12"/>
      <c r="L116047" s="208"/>
      <c r="M116047" s="209"/>
      <c r="N116047" s="209"/>
      <c r="O116047" s="209"/>
    </row>
    <row r="116048" spans="1:15" s="210" customFormat="1" x14ac:dyDescent="0.3">
      <c r="A116048" s="12"/>
      <c r="B116048" s="15"/>
      <c r="C116048" s="15"/>
      <c r="D116048" s="12"/>
      <c r="E116048" s="12"/>
      <c r="F116048" s="13"/>
      <c r="G116048" s="12"/>
      <c r="H116048" s="12"/>
      <c r="I116048" s="12"/>
      <c r="J116048" s="12"/>
      <c r="K116048" s="12"/>
      <c r="L116048" s="208"/>
      <c r="M116048" s="209"/>
      <c r="N116048" s="209"/>
      <c r="O116048" s="209"/>
    </row>
    <row r="116049" spans="1:15" s="210" customFormat="1" x14ac:dyDescent="0.3">
      <c r="A116049" s="12"/>
      <c r="B116049" s="15"/>
      <c r="C116049" s="15"/>
      <c r="D116049" s="12"/>
      <c r="E116049" s="12"/>
      <c r="F116049" s="13"/>
      <c r="G116049" s="12"/>
      <c r="H116049" s="12"/>
      <c r="I116049" s="12"/>
      <c r="J116049" s="12"/>
      <c r="K116049" s="12"/>
      <c r="L116049" s="208"/>
      <c r="M116049" s="209"/>
      <c r="N116049" s="209"/>
      <c r="O116049" s="209"/>
    </row>
    <row r="116050" spans="1:15" s="210" customFormat="1" x14ac:dyDescent="0.3">
      <c r="A116050" s="12"/>
      <c r="B116050" s="15"/>
      <c r="C116050" s="15"/>
      <c r="D116050" s="12"/>
      <c r="E116050" s="12"/>
      <c r="F116050" s="13"/>
      <c r="G116050" s="12"/>
      <c r="H116050" s="12"/>
      <c r="I116050" s="12"/>
      <c r="J116050" s="12"/>
      <c r="K116050" s="12"/>
      <c r="L116050" s="208"/>
      <c r="M116050" s="209"/>
      <c r="N116050" s="209"/>
      <c r="O116050" s="209"/>
    </row>
    <row r="116051" spans="1:15" s="210" customFormat="1" x14ac:dyDescent="0.3">
      <c r="A116051" s="12"/>
      <c r="B116051" s="15"/>
      <c r="C116051" s="15"/>
      <c r="D116051" s="12"/>
      <c r="E116051" s="12"/>
      <c r="F116051" s="13"/>
      <c r="G116051" s="12"/>
      <c r="H116051" s="12"/>
      <c r="I116051" s="12"/>
      <c r="J116051" s="12"/>
      <c r="K116051" s="12"/>
      <c r="L116051" s="208"/>
      <c r="M116051" s="209"/>
      <c r="N116051" s="209"/>
      <c r="O116051" s="209"/>
    </row>
    <row r="116052" spans="1:15" s="210" customFormat="1" x14ac:dyDescent="0.3">
      <c r="A116052" s="12"/>
      <c r="B116052" s="15"/>
      <c r="C116052" s="15"/>
      <c r="D116052" s="12"/>
      <c r="E116052" s="12"/>
      <c r="F116052" s="13"/>
      <c r="G116052" s="12"/>
      <c r="H116052" s="12"/>
      <c r="I116052" s="12"/>
      <c r="J116052" s="12"/>
      <c r="K116052" s="12"/>
      <c r="L116052" s="208"/>
      <c r="M116052" s="209"/>
      <c r="N116052" s="209"/>
      <c r="O116052" s="209"/>
    </row>
    <row r="116053" spans="1:15" s="210" customFormat="1" x14ac:dyDescent="0.3">
      <c r="A116053" s="12"/>
      <c r="B116053" s="15"/>
      <c r="C116053" s="15"/>
      <c r="D116053" s="12"/>
      <c r="E116053" s="12"/>
      <c r="F116053" s="13"/>
      <c r="G116053" s="12"/>
      <c r="H116053" s="12"/>
      <c r="I116053" s="12"/>
      <c r="J116053" s="12"/>
      <c r="K116053" s="12"/>
      <c r="L116053" s="208"/>
      <c r="M116053" s="209"/>
      <c r="N116053" s="209"/>
      <c r="O116053" s="209"/>
    </row>
    <row r="116054" spans="1:15" s="210" customFormat="1" x14ac:dyDescent="0.3">
      <c r="A116054" s="12"/>
      <c r="B116054" s="15"/>
      <c r="C116054" s="15"/>
      <c r="D116054" s="12"/>
      <c r="E116054" s="12"/>
      <c r="F116054" s="13"/>
      <c r="G116054" s="12"/>
      <c r="H116054" s="12"/>
      <c r="I116054" s="12"/>
      <c r="J116054" s="12"/>
      <c r="K116054" s="12"/>
      <c r="L116054" s="208"/>
      <c r="M116054" s="209"/>
      <c r="N116054" s="209"/>
      <c r="O116054" s="209"/>
    </row>
    <row r="116055" spans="1:15" s="210" customFormat="1" x14ac:dyDescent="0.3">
      <c r="A116055" s="12"/>
      <c r="B116055" s="15"/>
      <c r="C116055" s="15"/>
      <c r="D116055" s="12"/>
      <c r="E116055" s="12"/>
      <c r="F116055" s="13"/>
      <c r="G116055" s="12"/>
      <c r="H116055" s="12"/>
      <c r="I116055" s="12"/>
      <c r="J116055" s="12"/>
      <c r="K116055" s="12"/>
      <c r="L116055" s="208"/>
      <c r="M116055" s="209"/>
      <c r="N116055" s="209"/>
      <c r="O116055" s="209"/>
    </row>
    <row r="116056" spans="1:15" s="210" customFormat="1" x14ac:dyDescent="0.3">
      <c r="A116056" s="12"/>
      <c r="B116056" s="15"/>
      <c r="C116056" s="15"/>
      <c r="D116056" s="12"/>
      <c r="E116056" s="12"/>
      <c r="F116056" s="13"/>
      <c r="G116056" s="12"/>
      <c r="H116056" s="12"/>
      <c r="I116056" s="12"/>
      <c r="J116056" s="12"/>
      <c r="K116056" s="12"/>
      <c r="L116056" s="208"/>
      <c r="M116056" s="209"/>
      <c r="N116056" s="209"/>
      <c r="O116056" s="209"/>
    </row>
    <row r="116057" spans="1:15" s="210" customFormat="1" x14ac:dyDescent="0.3">
      <c r="A116057" s="12"/>
      <c r="B116057" s="15"/>
      <c r="C116057" s="15"/>
      <c r="D116057" s="12"/>
      <c r="E116057" s="12"/>
      <c r="F116057" s="13"/>
      <c r="G116057" s="12"/>
      <c r="H116057" s="12"/>
      <c r="I116057" s="12"/>
      <c r="J116057" s="12"/>
      <c r="K116057" s="12"/>
      <c r="L116057" s="208"/>
      <c r="M116057" s="209"/>
      <c r="N116057" s="209"/>
      <c r="O116057" s="209"/>
    </row>
    <row r="116058" spans="1:15" s="210" customFormat="1" x14ac:dyDescent="0.3">
      <c r="A116058" s="12"/>
      <c r="B116058" s="15"/>
      <c r="C116058" s="15"/>
      <c r="D116058" s="12"/>
      <c r="E116058" s="12"/>
      <c r="F116058" s="13"/>
      <c r="G116058" s="12"/>
      <c r="H116058" s="12"/>
      <c r="I116058" s="12"/>
      <c r="J116058" s="12"/>
      <c r="K116058" s="12"/>
      <c r="L116058" s="208"/>
      <c r="M116058" s="209"/>
      <c r="N116058" s="209"/>
      <c r="O116058" s="209"/>
    </row>
    <row r="116059" spans="1:15" s="210" customFormat="1" x14ac:dyDescent="0.3">
      <c r="A116059" s="12"/>
      <c r="B116059" s="15"/>
      <c r="C116059" s="15"/>
      <c r="D116059" s="12"/>
      <c r="E116059" s="12"/>
      <c r="F116059" s="13"/>
      <c r="G116059" s="12"/>
      <c r="H116059" s="12"/>
      <c r="I116059" s="12"/>
      <c r="J116059" s="12"/>
      <c r="K116059" s="12"/>
      <c r="L116059" s="208"/>
      <c r="M116059" s="209"/>
      <c r="N116059" s="209"/>
      <c r="O116059" s="209"/>
    </row>
    <row r="116060" spans="1:15" s="210" customFormat="1" x14ac:dyDescent="0.3">
      <c r="A116060" s="12"/>
      <c r="B116060" s="15"/>
      <c r="C116060" s="15"/>
      <c r="D116060" s="12"/>
      <c r="E116060" s="12"/>
      <c r="F116060" s="13"/>
      <c r="G116060" s="12"/>
      <c r="H116060" s="12"/>
      <c r="I116060" s="12"/>
      <c r="J116060" s="12"/>
      <c r="K116060" s="12"/>
      <c r="L116060" s="208"/>
      <c r="M116060" s="209"/>
      <c r="N116060" s="209"/>
      <c r="O116060" s="209"/>
    </row>
    <row r="116061" spans="1:15" s="210" customFormat="1" x14ac:dyDescent="0.3">
      <c r="A116061" s="12"/>
      <c r="B116061" s="15"/>
      <c r="C116061" s="15"/>
      <c r="D116061" s="12"/>
      <c r="E116061" s="12"/>
      <c r="F116061" s="13"/>
      <c r="G116061" s="12"/>
      <c r="H116061" s="12"/>
      <c r="I116061" s="12"/>
      <c r="J116061" s="12"/>
      <c r="K116061" s="12"/>
      <c r="L116061" s="208"/>
      <c r="M116061" s="209"/>
      <c r="N116061" s="209"/>
      <c r="O116061" s="209"/>
    </row>
    <row r="116062" spans="1:15" s="210" customFormat="1" x14ac:dyDescent="0.3">
      <c r="A116062" s="12"/>
      <c r="B116062" s="15"/>
      <c r="C116062" s="15"/>
      <c r="D116062" s="12"/>
      <c r="E116062" s="12"/>
      <c r="F116062" s="13"/>
      <c r="G116062" s="12"/>
      <c r="H116062" s="12"/>
      <c r="I116062" s="12"/>
      <c r="J116062" s="12"/>
      <c r="K116062" s="12"/>
      <c r="L116062" s="208"/>
      <c r="M116062" s="209"/>
      <c r="N116062" s="209"/>
      <c r="O116062" s="209"/>
    </row>
    <row r="116063" spans="1:15" s="210" customFormat="1" x14ac:dyDescent="0.3">
      <c r="A116063" s="12"/>
      <c r="B116063" s="15"/>
      <c r="C116063" s="15"/>
      <c r="D116063" s="12"/>
      <c r="E116063" s="12"/>
      <c r="F116063" s="13"/>
      <c r="G116063" s="12"/>
      <c r="H116063" s="12"/>
      <c r="I116063" s="12"/>
      <c r="J116063" s="12"/>
      <c r="K116063" s="12"/>
      <c r="L116063" s="208"/>
      <c r="M116063" s="209"/>
      <c r="N116063" s="209"/>
      <c r="O116063" s="209"/>
    </row>
    <row r="116064" spans="1:15" s="210" customFormat="1" x14ac:dyDescent="0.3">
      <c r="A116064" s="12"/>
      <c r="B116064" s="15"/>
      <c r="C116064" s="15"/>
      <c r="D116064" s="12"/>
      <c r="E116064" s="12"/>
      <c r="F116064" s="13"/>
      <c r="G116064" s="12"/>
      <c r="H116064" s="12"/>
      <c r="I116064" s="12"/>
      <c r="J116064" s="12"/>
      <c r="K116064" s="12"/>
      <c r="L116064" s="208"/>
      <c r="M116064" s="209"/>
      <c r="N116064" s="209"/>
      <c r="O116064" s="209"/>
    </row>
    <row r="116065" spans="1:15" s="210" customFormat="1" x14ac:dyDescent="0.3">
      <c r="A116065" s="12"/>
      <c r="B116065" s="15"/>
      <c r="C116065" s="15"/>
      <c r="D116065" s="12"/>
      <c r="E116065" s="12"/>
      <c r="F116065" s="13"/>
      <c r="G116065" s="12"/>
      <c r="H116065" s="12"/>
      <c r="I116065" s="12"/>
      <c r="J116065" s="12"/>
      <c r="K116065" s="12"/>
      <c r="L116065" s="208"/>
      <c r="M116065" s="209"/>
      <c r="N116065" s="209"/>
      <c r="O116065" s="209"/>
    </row>
    <row r="116066" spans="1:15" s="210" customFormat="1" x14ac:dyDescent="0.3">
      <c r="A116066" s="12"/>
      <c r="B116066" s="15"/>
      <c r="C116066" s="15"/>
      <c r="D116066" s="12"/>
      <c r="E116066" s="12"/>
      <c r="F116066" s="13"/>
      <c r="G116066" s="12"/>
      <c r="H116066" s="12"/>
      <c r="I116066" s="12"/>
      <c r="J116066" s="12"/>
      <c r="K116066" s="12"/>
      <c r="L116066" s="208"/>
      <c r="M116066" s="209"/>
      <c r="N116066" s="209"/>
      <c r="O116066" s="209"/>
    </row>
    <row r="116067" spans="1:15" s="210" customFormat="1" x14ac:dyDescent="0.3">
      <c r="A116067" s="12"/>
      <c r="B116067" s="15"/>
      <c r="C116067" s="15"/>
      <c r="D116067" s="12"/>
      <c r="E116067" s="12"/>
      <c r="F116067" s="13"/>
      <c r="G116067" s="12"/>
      <c r="H116067" s="12"/>
      <c r="I116067" s="12"/>
      <c r="J116067" s="12"/>
      <c r="K116067" s="12"/>
      <c r="L116067" s="208"/>
      <c r="M116067" s="209"/>
      <c r="N116067" s="209"/>
      <c r="O116067" s="209"/>
    </row>
    <row r="116068" spans="1:15" s="210" customFormat="1" x14ac:dyDescent="0.3">
      <c r="A116068" s="12"/>
      <c r="B116068" s="15"/>
      <c r="C116068" s="15"/>
      <c r="D116068" s="12"/>
      <c r="E116068" s="12"/>
      <c r="F116068" s="13"/>
      <c r="G116068" s="12"/>
      <c r="H116068" s="12"/>
      <c r="I116068" s="12"/>
      <c r="J116068" s="12"/>
      <c r="K116068" s="12"/>
      <c r="L116068" s="208"/>
      <c r="M116068" s="209"/>
      <c r="N116068" s="209"/>
      <c r="O116068" s="209"/>
    </row>
    <row r="116069" spans="1:15" s="210" customFormat="1" x14ac:dyDescent="0.3">
      <c r="A116069" s="12"/>
      <c r="B116069" s="15"/>
      <c r="C116069" s="15"/>
      <c r="D116069" s="12"/>
      <c r="E116069" s="12"/>
      <c r="F116069" s="13"/>
      <c r="G116069" s="12"/>
      <c r="H116069" s="12"/>
      <c r="I116069" s="12"/>
      <c r="J116069" s="12"/>
      <c r="K116069" s="12"/>
      <c r="L116069" s="208"/>
      <c r="M116069" s="209"/>
      <c r="N116069" s="209"/>
      <c r="O116069" s="209"/>
    </row>
    <row r="116070" spans="1:15" s="210" customFormat="1" x14ac:dyDescent="0.3">
      <c r="A116070" s="12"/>
      <c r="B116070" s="15"/>
      <c r="C116070" s="15"/>
      <c r="D116070" s="12"/>
      <c r="E116070" s="12"/>
      <c r="F116070" s="13"/>
      <c r="G116070" s="12"/>
      <c r="H116070" s="12"/>
      <c r="I116070" s="12"/>
      <c r="J116070" s="12"/>
      <c r="K116070" s="12"/>
      <c r="L116070" s="208"/>
      <c r="M116070" s="209"/>
      <c r="N116070" s="209"/>
      <c r="O116070" s="209"/>
    </row>
    <row r="116071" spans="1:15" s="210" customFormat="1" x14ac:dyDescent="0.3">
      <c r="A116071" s="12"/>
      <c r="B116071" s="15"/>
      <c r="C116071" s="15"/>
      <c r="D116071" s="12"/>
      <c r="E116071" s="12"/>
      <c r="F116071" s="13"/>
      <c r="G116071" s="12"/>
      <c r="H116071" s="12"/>
      <c r="I116071" s="12"/>
      <c r="J116071" s="12"/>
      <c r="K116071" s="12"/>
      <c r="L116071" s="208"/>
      <c r="M116071" s="209"/>
      <c r="N116071" s="209"/>
      <c r="O116071" s="209"/>
    </row>
    <row r="116072" spans="1:15" s="210" customFormat="1" x14ac:dyDescent="0.3">
      <c r="A116072" s="12"/>
      <c r="B116072" s="15"/>
      <c r="C116072" s="15"/>
      <c r="D116072" s="12"/>
      <c r="E116072" s="12"/>
      <c r="F116072" s="13"/>
      <c r="G116072" s="12"/>
      <c r="H116072" s="12"/>
      <c r="I116072" s="12"/>
      <c r="J116072" s="12"/>
      <c r="K116072" s="12"/>
      <c r="L116072" s="208"/>
      <c r="M116072" s="209"/>
      <c r="N116072" s="209"/>
      <c r="O116072" s="209"/>
    </row>
    <row r="116073" spans="1:15" s="210" customFormat="1" x14ac:dyDescent="0.3">
      <c r="A116073" s="12"/>
      <c r="B116073" s="15"/>
      <c r="C116073" s="15"/>
      <c r="D116073" s="12"/>
      <c r="E116073" s="12"/>
      <c r="F116073" s="13"/>
      <c r="G116073" s="12"/>
      <c r="H116073" s="12"/>
      <c r="I116073" s="12"/>
      <c r="J116073" s="12"/>
      <c r="K116073" s="12"/>
      <c r="L116073" s="208"/>
      <c r="M116073" s="209"/>
      <c r="N116073" s="209"/>
      <c r="O116073" s="209"/>
    </row>
    <row r="116074" spans="1:15" s="210" customFormat="1" x14ac:dyDescent="0.3">
      <c r="A116074" s="12"/>
      <c r="B116074" s="15"/>
      <c r="C116074" s="15"/>
      <c r="D116074" s="12"/>
      <c r="E116074" s="12"/>
      <c r="F116074" s="13"/>
      <c r="G116074" s="12"/>
      <c r="H116074" s="12"/>
      <c r="I116074" s="12"/>
      <c r="J116074" s="12"/>
      <c r="K116074" s="12"/>
      <c r="L116074" s="208"/>
      <c r="M116074" s="209"/>
      <c r="N116074" s="209"/>
      <c r="O116074" s="209"/>
    </row>
    <row r="116075" spans="1:15" s="210" customFormat="1" x14ac:dyDescent="0.3">
      <c r="A116075" s="12"/>
      <c r="B116075" s="15"/>
      <c r="C116075" s="15"/>
      <c r="D116075" s="12"/>
      <c r="E116075" s="12"/>
      <c r="F116075" s="13"/>
      <c r="G116075" s="12"/>
      <c r="H116075" s="12"/>
      <c r="I116075" s="12"/>
      <c r="J116075" s="12"/>
      <c r="K116075" s="12"/>
      <c r="L116075" s="208"/>
      <c r="M116075" s="209"/>
      <c r="N116075" s="209"/>
      <c r="O116075" s="209"/>
    </row>
    <row r="116076" spans="1:15" s="210" customFormat="1" x14ac:dyDescent="0.3">
      <c r="A116076" s="12"/>
      <c r="B116076" s="15"/>
      <c r="C116076" s="15"/>
      <c r="D116076" s="12"/>
      <c r="E116076" s="12"/>
      <c r="F116076" s="13"/>
      <c r="G116076" s="12"/>
      <c r="H116076" s="12"/>
      <c r="I116076" s="12"/>
      <c r="J116076" s="12"/>
      <c r="K116076" s="12"/>
      <c r="L116076" s="208"/>
      <c r="M116076" s="209"/>
      <c r="N116076" s="209"/>
      <c r="O116076" s="209"/>
    </row>
    <row r="116077" spans="1:15" s="210" customFormat="1" x14ac:dyDescent="0.3">
      <c r="A116077" s="12"/>
      <c r="B116077" s="15"/>
      <c r="C116077" s="15"/>
      <c r="D116077" s="12"/>
      <c r="E116077" s="12"/>
      <c r="F116077" s="13"/>
      <c r="G116077" s="12"/>
      <c r="H116077" s="12"/>
      <c r="I116077" s="12"/>
      <c r="J116077" s="12"/>
      <c r="K116077" s="12"/>
      <c r="L116077" s="208"/>
      <c r="M116077" s="209"/>
      <c r="N116077" s="209"/>
      <c r="O116077" s="209"/>
    </row>
    <row r="116078" spans="1:15" s="210" customFormat="1" x14ac:dyDescent="0.3">
      <c r="A116078" s="12"/>
      <c r="B116078" s="15"/>
      <c r="C116078" s="15"/>
      <c r="D116078" s="12"/>
      <c r="E116078" s="12"/>
      <c r="F116078" s="13"/>
      <c r="G116078" s="12"/>
      <c r="H116078" s="12"/>
      <c r="I116078" s="12"/>
      <c r="J116078" s="12"/>
      <c r="K116078" s="12"/>
      <c r="L116078" s="208"/>
      <c r="M116078" s="209"/>
      <c r="N116078" s="209"/>
      <c r="O116078" s="209"/>
    </row>
    <row r="116079" spans="1:15" s="210" customFormat="1" x14ac:dyDescent="0.3">
      <c r="A116079" s="12"/>
      <c r="B116079" s="15"/>
      <c r="C116079" s="15"/>
      <c r="D116079" s="12"/>
      <c r="E116079" s="12"/>
      <c r="F116079" s="13"/>
      <c r="G116079" s="12"/>
      <c r="H116079" s="12"/>
      <c r="I116079" s="12"/>
      <c r="J116079" s="12"/>
      <c r="K116079" s="12"/>
      <c r="L116079" s="208"/>
      <c r="M116079" s="209"/>
      <c r="N116079" s="209"/>
      <c r="O116079" s="209"/>
    </row>
    <row r="116080" spans="1:15" s="210" customFormat="1" x14ac:dyDescent="0.3">
      <c r="A116080" s="12"/>
      <c r="B116080" s="15"/>
      <c r="C116080" s="15"/>
      <c r="D116080" s="12"/>
      <c r="E116080" s="12"/>
      <c r="F116080" s="13"/>
      <c r="G116080" s="12"/>
      <c r="H116080" s="12"/>
      <c r="I116080" s="12"/>
      <c r="J116080" s="12"/>
      <c r="K116080" s="12"/>
      <c r="L116080" s="208"/>
      <c r="M116080" s="209"/>
      <c r="N116080" s="209"/>
      <c r="O116080" s="209"/>
    </row>
    <row r="116081" spans="1:15" s="210" customFormat="1" x14ac:dyDescent="0.3">
      <c r="A116081" s="12"/>
      <c r="B116081" s="15"/>
      <c r="C116081" s="15"/>
      <c r="D116081" s="12"/>
      <c r="E116081" s="12"/>
      <c r="F116081" s="13"/>
      <c r="G116081" s="12"/>
      <c r="H116081" s="12"/>
      <c r="I116081" s="12"/>
      <c r="J116081" s="12"/>
      <c r="K116081" s="12"/>
      <c r="L116081" s="208"/>
      <c r="M116081" s="209"/>
      <c r="N116081" s="209"/>
      <c r="O116081" s="209"/>
    </row>
    <row r="116082" spans="1:15" s="210" customFormat="1" x14ac:dyDescent="0.3">
      <c r="A116082" s="12"/>
      <c r="B116082" s="15"/>
      <c r="C116082" s="15"/>
      <c r="D116082" s="12"/>
      <c r="E116082" s="12"/>
      <c r="F116082" s="13"/>
      <c r="G116082" s="12"/>
      <c r="H116082" s="12"/>
      <c r="I116082" s="12"/>
      <c r="J116082" s="12"/>
      <c r="K116082" s="12"/>
      <c r="L116082" s="208"/>
      <c r="M116082" s="209"/>
      <c r="N116082" s="209"/>
      <c r="O116082" s="209"/>
    </row>
    <row r="116083" spans="1:15" s="210" customFormat="1" x14ac:dyDescent="0.3">
      <c r="A116083" s="12"/>
      <c r="B116083" s="15"/>
      <c r="C116083" s="15"/>
      <c r="D116083" s="12"/>
      <c r="E116083" s="12"/>
      <c r="F116083" s="13"/>
      <c r="G116083" s="12"/>
      <c r="H116083" s="12"/>
      <c r="I116083" s="12"/>
      <c r="J116083" s="12"/>
      <c r="K116083" s="12"/>
      <c r="L116083" s="208"/>
      <c r="M116083" s="209"/>
      <c r="N116083" s="209"/>
      <c r="O116083" s="209"/>
    </row>
    <row r="116084" spans="1:15" s="210" customFormat="1" x14ac:dyDescent="0.3">
      <c r="A116084" s="12"/>
      <c r="B116084" s="15"/>
      <c r="C116084" s="15"/>
      <c r="D116084" s="12"/>
      <c r="E116084" s="12"/>
      <c r="F116084" s="13"/>
      <c r="G116084" s="12"/>
      <c r="H116084" s="12"/>
      <c r="I116084" s="12"/>
      <c r="J116084" s="12"/>
      <c r="K116084" s="12"/>
      <c r="L116084" s="208"/>
      <c r="M116084" s="209"/>
      <c r="N116084" s="209"/>
      <c r="O116084" s="209"/>
    </row>
    <row r="116085" spans="1:15" s="210" customFormat="1" x14ac:dyDescent="0.3">
      <c r="A116085" s="12"/>
      <c r="B116085" s="15"/>
      <c r="C116085" s="15"/>
      <c r="D116085" s="12"/>
      <c r="E116085" s="12"/>
      <c r="F116085" s="13"/>
      <c r="G116085" s="12"/>
      <c r="H116085" s="12"/>
      <c r="I116085" s="12"/>
      <c r="J116085" s="12"/>
      <c r="K116085" s="12"/>
      <c r="L116085" s="208"/>
      <c r="M116085" s="209"/>
      <c r="N116085" s="209"/>
      <c r="O116085" s="209"/>
    </row>
    <row r="116086" spans="1:15" s="210" customFormat="1" x14ac:dyDescent="0.3">
      <c r="A116086" s="12"/>
      <c r="B116086" s="15"/>
      <c r="C116086" s="15"/>
      <c r="D116086" s="12"/>
      <c r="E116086" s="12"/>
      <c r="F116086" s="13"/>
      <c r="G116086" s="12"/>
      <c r="H116086" s="12"/>
      <c r="I116086" s="12"/>
      <c r="J116086" s="12"/>
      <c r="K116086" s="12"/>
      <c r="L116086" s="208"/>
      <c r="M116086" s="209"/>
      <c r="N116086" s="209"/>
      <c r="O116086" s="209"/>
    </row>
    <row r="116087" spans="1:15" s="210" customFormat="1" x14ac:dyDescent="0.3">
      <c r="A116087" s="12"/>
      <c r="B116087" s="15"/>
      <c r="C116087" s="15"/>
      <c r="D116087" s="12"/>
      <c r="E116087" s="12"/>
      <c r="F116087" s="13"/>
      <c r="G116087" s="12"/>
      <c r="H116087" s="12"/>
      <c r="I116087" s="12"/>
      <c r="J116087" s="12"/>
      <c r="K116087" s="12"/>
      <c r="L116087" s="208"/>
      <c r="M116087" s="209"/>
      <c r="N116087" s="209"/>
      <c r="O116087" s="209"/>
    </row>
    <row r="116088" spans="1:15" s="210" customFormat="1" x14ac:dyDescent="0.3">
      <c r="A116088" s="12"/>
      <c r="B116088" s="15"/>
      <c r="C116088" s="15"/>
      <c r="D116088" s="12"/>
      <c r="E116088" s="12"/>
      <c r="F116088" s="13"/>
      <c r="G116088" s="12"/>
      <c r="H116088" s="12"/>
      <c r="I116088" s="12"/>
      <c r="J116088" s="12"/>
      <c r="K116088" s="12"/>
      <c r="L116088" s="208"/>
      <c r="M116088" s="209"/>
      <c r="N116088" s="209"/>
      <c r="O116088" s="209"/>
    </row>
    <row r="116089" spans="1:15" s="210" customFormat="1" x14ac:dyDescent="0.3">
      <c r="A116089" s="12"/>
      <c r="B116089" s="15"/>
      <c r="C116089" s="15"/>
      <c r="D116089" s="12"/>
      <c r="E116089" s="12"/>
      <c r="F116089" s="13"/>
      <c r="G116089" s="12"/>
      <c r="H116089" s="12"/>
      <c r="I116089" s="12"/>
      <c r="J116089" s="12"/>
      <c r="K116089" s="12"/>
      <c r="L116089" s="208"/>
      <c r="M116089" s="209"/>
      <c r="N116089" s="209"/>
      <c r="O116089" s="209"/>
    </row>
    <row r="116090" spans="1:15" s="210" customFormat="1" x14ac:dyDescent="0.3">
      <c r="A116090" s="12"/>
      <c r="B116090" s="15"/>
      <c r="C116090" s="15"/>
      <c r="D116090" s="12"/>
      <c r="E116090" s="12"/>
      <c r="F116090" s="13"/>
      <c r="G116090" s="12"/>
      <c r="H116090" s="12"/>
      <c r="I116090" s="12"/>
      <c r="J116090" s="12"/>
      <c r="K116090" s="12"/>
      <c r="L116090" s="208"/>
      <c r="M116090" s="209"/>
      <c r="N116090" s="209"/>
      <c r="O116090" s="209"/>
    </row>
    <row r="116091" spans="1:15" s="210" customFormat="1" x14ac:dyDescent="0.3">
      <c r="A116091" s="12"/>
      <c r="B116091" s="15"/>
      <c r="C116091" s="15"/>
      <c r="D116091" s="12"/>
      <c r="E116091" s="12"/>
      <c r="F116091" s="13"/>
      <c r="G116091" s="12"/>
      <c r="H116091" s="12"/>
      <c r="I116091" s="12"/>
      <c r="J116091" s="12"/>
      <c r="K116091" s="12"/>
      <c r="L116091" s="208"/>
      <c r="M116091" s="209"/>
      <c r="N116091" s="209"/>
      <c r="O116091" s="209"/>
    </row>
    <row r="116092" spans="1:15" s="210" customFormat="1" x14ac:dyDescent="0.3">
      <c r="A116092" s="12"/>
      <c r="B116092" s="15"/>
      <c r="C116092" s="15"/>
      <c r="D116092" s="12"/>
      <c r="E116092" s="12"/>
      <c r="F116092" s="13"/>
      <c r="G116092" s="12"/>
      <c r="H116092" s="12"/>
      <c r="I116092" s="12"/>
      <c r="J116092" s="12"/>
      <c r="K116092" s="12"/>
      <c r="L116092" s="208"/>
      <c r="M116092" s="209"/>
      <c r="N116092" s="209"/>
      <c r="O116092" s="209"/>
    </row>
    <row r="116093" spans="1:15" s="210" customFormat="1" x14ac:dyDescent="0.3">
      <c r="A116093" s="12"/>
      <c r="B116093" s="15"/>
      <c r="C116093" s="15"/>
      <c r="D116093" s="12"/>
      <c r="E116093" s="12"/>
      <c r="F116093" s="13"/>
      <c r="G116093" s="12"/>
      <c r="H116093" s="12"/>
      <c r="I116093" s="12"/>
      <c r="J116093" s="12"/>
      <c r="K116093" s="12"/>
      <c r="L116093" s="208"/>
      <c r="M116093" s="209"/>
      <c r="N116093" s="209"/>
      <c r="O116093" s="209"/>
    </row>
    <row r="116094" spans="1:15" s="210" customFormat="1" x14ac:dyDescent="0.3">
      <c r="A116094" s="12"/>
      <c r="B116094" s="15"/>
      <c r="C116094" s="15"/>
      <c r="D116094" s="12"/>
      <c r="E116094" s="12"/>
      <c r="F116094" s="13"/>
      <c r="G116094" s="12"/>
      <c r="H116094" s="12"/>
      <c r="I116094" s="12"/>
      <c r="J116094" s="12"/>
      <c r="K116094" s="12"/>
      <c r="L116094" s="208"/>
      <c r="M116094" s="209"/>
      <c r="N116094" s="209"/>
      <c r="O116094" s="209"/>
    </row>
    <row r="116095" spans="1:15" s="210" customFormat="1" x14ac:dyDescent="0.3">
      <c r="A116095" s="12"/>
      <c r="B116095" s="15"/>
      <c r="C116095" s="15"/>
      <c r="D116095" s="12"/>
      <c r="E116095" s="12"/>
      <c r="F116095" s="13"/>
      <c r="G116095" s="12"/>
      <c r="H116095" s="12"/>
      <c r="I116095" s="12"/>
      <c r="J116095" s="12"/>
      <c r="K116095" s="12"/>
      <c r="L116095" s="208"/>
      <c r="M116095" s="209"/>
      <c r="N116095" s="209"/>
      <c r="O116095" s="209"/>
    </row>
    <row r="116096" spans="1:15" s="210" customFormat="1" x14ac:dyDescent="0.3">
      <c r="A116096" s="12"/>
      <c r="B116096" s="15"/>
      <c r="C116096" s="15"/>
      <c r="D116096" s="12"/>
      <c r="E116096" s="12"/>
      <c r="F116096" s="13"/>
      <c r="G116096" s="12"/>
      <c r="H116096" s="12"/>
      <c r="I116096" s="12"/>
      <c r="J116096" s="12"/>
      <c r="K116096" s="12"/>
      <c r="L116096" s="208"/>
      <c r="M116096" s="209"/>
      <c r="N116096" s="209"/>
      <c r="O116096" s="209"/>
    </row>
    <row r="116097" spans="1:15" s="210" customFormat="1" x14ac:dyDescent="0.3">
      <c r="A116097" s="12"/>
      <c r="B116097" s="15"/>
      <c r="C116097" s="15"/>
      <c r="D116097" s="12"/>
      <c r="E116097" s="12"/>
      <c r="F116097" s="13"/>
      <c r="G116097" s="12"/>
      <c r="H116097" s="12"/>
      <c r="I116097" s="12"/>
      <c r="J116097" s="12"/>
      <c r="K116097" s="12"/>
      <c r="L116097" s="208"/>
      <c r="M116097" s="209"/>
      <c r="N116097" s="209"/>
      <c r="O116097" s="209"/>
    </row>
    <row r="116098" spans="1:15" s="210" customFormat="1" x14ac:dyDescent="0.3">
      <c r="A116098" s="12"/>
      <c r="B116098" s="15"/>
      <c r="C116098" s="15"/>
      <c r="D116098" s="12"/>
      <c r="E116098" s="12"/>
      <c r="F116098" s="13"/>
      <c r="G116098" s="12"/>
      <c r="H116098" s="12"/>
      <c r="I116098" s="12"/>
      <c r="J116098" s="12"/>
      <c r="K116098" s="12"/>
      <c r="L116098" s="208"/>
      <c r="M116098" s="209"/>
      <c r="N116098" s="209"/>
      <c r="O116098" s="209"/>
    </row>
    <row r="116099" spans="1:15" s="210" customFormat="1" x14ac:dyDescent="0.3">
      <c r="A116099" s="12"/>
      <c r="B116099" s="15"/>
      <c r="C116099" s="15"/>
      <c r="D116099" s="12"/>
      <c r="E116099" s="12"/>
      <c r="F116099" s="13"/>
      <c r="G116099" s="12"/>
      <c r="H116099" s="12"/>
      <c r="I116099" s="12"/>
      <c r="J116099" s="12"/>
      <c r="K116099" s="12"/>
      <c r="L116099" s="208"/>
      <c r="M116099" s="209"/>
      <c r="N116099" s="209"/>
      <c r="O116099" s="209"/>
    </row>
    <row r="116100" spans="1:15" s="210" customFormat="1" x14ac:dyDescent="0.3">
      <c r="A116100" s="12"/>
      <c r="B116100" s="15"/>
      <c r="C116100" s="15"/>
      <c r="D116100" s="12"/>
      <c r="E116100" s="12"/>
      <c r="F116100" s="13"/>
      <c r="G116100" s="12"/>
      <c r="H116100" s="12"/>
      <c r="I116100" s="12"/>
      <c r="J116100" s="12"/>
      <c r="K116100" s="12"/>
      <c r="L116100" s="208"/>
      <c r="M116100" s="209"/>
      <c r="N116100" s="209"/>
      <c r="O116100" s="209"/>
    </row>
    <row r="116101" spans="1:15" s="210" customFormat="1" x14ac:dyDescent="0.3">
      <c r="A116101" s="12"/>
      <c r="B116101" s="15"/>
      <c r="C116101" s="15"/>
      <c r="D116101" s="12"/>
      <c r="E116101" s="12"/>
      <c r="F116101" s="13"/>
      <c r="G116101" s="12"/>
      <c r="H116101" s="12"/>
      <c r="I116101" s="12"/>
      <c r="J116101" s="12"/>
      <c r="K116101" s="12"/>
      <c r="L116101" s="208"/>
      <c r="M116101" s="209"/>
      <c r="N116101" s="209"/>
      <c r="O116101" s="209"/>
    </row>
    <row r="116102" spans="1:15" s="210" customFormat="1" x14ac:dyDescent="0.3">
      <c r="A116102" s="12"/>
      <c r="B116102" s="15"/>
      <c r="C116102" s="15"/>
      <c r="D116102" s="12"/>
      <c r="E116102" s="12"/>
      <c r="F116102" s="13"/>
      <c r="G116102" s="12"/>
      <c r="H116102" s="12"/>
      <c r="I116102" s="12"/>
      <c r="J116102" s="12"/>
      <c r="K116102" s="12"/>
      <c r="L116102" s="208"/>
      <c r="M116102" s="209"/>
      <c r="N116102" s="209"/>
      <c r="O116102" s="209"/>
    </row>
    <row r="116103" spans="1:15" s="210" customFormat="1" x14ac:dyDescent="0.3">
      <c r="A116103" s="12"/>
      <c r="B116103" s="15"/>
      <c r="C116103" s="15"/>
      <c r="D116103" s="12"/>
      <c r="E116103" s="12"/>
      <c r="F116103" s="13"/>
      <c r="G116103" s="12"/>
      <c r="H116103" s="12"/>
      <c r="I116103" s="12"/>
      <c r="J116103" s="12"/>
      <c r="K116103" s="12"/>
      <c r="L116103" s="208"/>
      <c r="M116103" s="209"/>
      <c r="N116103" s="209"/>
      <c r="O116103" s="209"/>
    </row>
    <row r="116104" spans="1:15" s="210" customFormat="1" x14ac:dyDescent="0.3">
      <c r="A116104" s="12"/>
      <c r="B116104" s="15"/>
      <c r="C116104" s="15"/>
      <c r="D116104" s="12"/>
      <c r="E116104" s="12"/>
      <c r="F116104" s="13"/>
      <c r="G116104" s="12"/>
      <c r="H116104" s="12"/>
      <c r="I116104" s="12"/>
      <c r="J116104" s="12"/>
      <c r="K116104" s="12"/>
      <c r="L116104" s="208"/>
      <c r="M116104" s="209"/>
      <c r="N116104" s="209"/>
      <c r="O116104" s="209"/>
    </row>
    <row r="116105" spans="1:15" s="210" customFormat="1" x14ac:dyDescent="0.3">
      <c r="A116105" s="12"/>
      <c r="B116105" s="15"/>
      <c r="C116105" s="15"/>
      <c r="D116105" s="12"/>
      <c r="E116105" s="12"/>
      <c r="F116105" s="13"/>
      <c r="G116105" s="12"/>
      <c r="H116105" s="12"/>
      <c r="I116105" s="12"/>
      <c r="J116105" s="12"/>
      <c r="K116105" s="12"/>
      <c r="L116105" s="208"/>
      <c r="M116105" s="209"/>
      <c r="N116105" s="209"/>
      <c r="O116105" s="209"/>
    </row>
    <row r="116106" spans="1:15" s="210" customFormat="1" x14ac:dyDescent="0.3">
      <c r="A116106" s="12"/>
      <c r="B116106" s="15"/>
      <c r="C116106" s="15"/>
      <c r="D116106" s="12"/>
      <c r="E116106" s="12"/>
      <c r="F116106" s="13"/>
      <c r="G116106" s="12"/>
      <c r="H116106" s="12"/>
      <c r="I116106" s="12"/>
      <c r="J116106" s="12"/>
      <c r="K116106" s="12"/>
      <c r="L116106" s="208"/>
      <c r="M116106" s="209"/>
      <c r="N116106" s="209"/>
      <c r="O116106" s="209"/>
    </row>
    <row r="116107" spans="1:15" s="210" customFormat="1" x14ac:dyDescent="0.3">
      <c r="A116107" s="12"/>
      <c r="B116107" s="15"/>
      <c r="C116107" s="15"/>
      <c r="D116107" s="12"/>
      <c r="E116107" s="12"/>
      <c r="F116107" s="13"/>
      <c r="G116107" s="12"/>
      <c r="H116107" s="12"/>
      <c r="I116107" s="12"/>
      <c r="J116107" s="12"/>
      <c r="K116107" s="12"/>
      <c r="L116107" s="208"/>
      <c r="M116107" s="209"/>
      <c r="N116107" s="209"/>
      <c r="O116107" s="209"/>
    </row>
    <row r="116108" spans="1:15" s="210" customFormat="1" x14ac:dyDescent="0.3">
      <c r="A116108" s="12"/>
      <c r="B116108" s="15"/>
      <c r="C116108" s="15"/>
      <c r="D116108" s="12"/>
      <c r="E116108" s="12"/>
      <c r="F116108" s="13"/>
      <c r="G116108" s="12"/>
      <c r="H116108" s="12"/>
      <c r="I116108" s="12"/>
      <c r="J116108" s="12"/>
      <c r="K116108" s="12"/>
      <c r="L116108" s="208"/>
      <c r="M116108" s="209"/>
      <c r="N116108" s="209"/>
      <c r="O116108" s="209"/>
    </row>
    <row r="116109" spans="1:15" s="210" customFormat="1" x14ac:dyDescent="0.3">
      <c r="A116109" s="12"/>
      <c r="B116109" s="15"/>
      <c r="C116109" s="15"/>
      <c r="D116109" s="12"/>
      <c r="E116109" s="12"/>
      <c r="F116109" s="13"/>
      <c r="G116109" s="12"/>
      <c r="H116109" s="12"/>
      <c r="I116109" s="12"/>
      <c r="J116109" s="12"/>
      <c r="K116109" s="12"/>
      <c r="L116109" s="208"/>
      <c r="M116109" s="209"/>
      <c r="N116109" s="209"/>
      <c r="O116109" s="209"/>
    </row>
    <row r="116110" spans="1:15" s="210" customFormat="1" x14ac:dyDescent="0.3">
      <c r="A116110" s="12"/>
      <c r="B116110" s="15"/>
      <c r="C116110" s="15"/>
      <c r="D116110" s="12"/>
      <c r="E116110" s="12"/>
      <c r="F116110" s="13"/>
      <c r="G116110" s="12"/>
      <c r="H116110" s="12"/>
      <c r="I116110" s="12"/>
      <c r="J116110" s="12"/>
      <c r="K116110" s="12"/>
      <c r="L116110" s="208"/>
      <c r="M116110" s="209"/>
      <c r="N116110" s="209"/>
      <c r="O116110" s="209"/>
    </row>
    <row r="116111" spans="1:15" s="210" customFormat="1" x14ac:dyDescent="0.3">
      <c r="A116111" s="12"/>
      <c r="B116111" s="15"/>
      <c r="C116111" s="15"/>
      <c r="D116111" s="12"/>
      <c r="E116111" s="12"/>
      <c r="F116111" s="13"/>
      <c r="G116111" s="12"/>
      <c r="H116111" s="12"/>
      <c r="I116111" s="12"/>
      <c r="J116111" s="12"/>
      <c r="K116111" s="12"/>
      <c r="L116111" s="208"/>
      <c r="M116111" s="209"/>
      <c r="N116111" s="209"/>
      <c r="O116111" s="209"/>
    </row>
    <row r="116112" spans="1:15" s="210" customFormat="1" x14ac:dyDescent="0.3">
      <c r="A116112" s="12"/>
      <c r="B116112" s="15"/>
      <c r="C116112" s="15"/>
      <c r="D116112" s="12"/>
      <c r="E116112" s="12"/>
      <c r="F116112" s="13"/>
      <c r="G116112" s="12"/>
      <c r="H116112" s="12"/>
      <c r="I116112" s="12"/>
      <c r="J116112" s="12"/>
      <c r="K116112" s="12"/>
      <c r="L116112" s="208"/>
      <c r="M116112" s="209"/>
      <c r="N116112" s="209"/>
      <c r="O116112" s="209"/>
    </row>
    <row r="116113" spans="1:15" s="210" customFormat="1" x14ac:dyDescent="0.3">
      <c r="A116113" s="12"/>
      <c r="B116113" s="15"/>
      <c r="C116113" s="15"/>
      <c r="D116113" s="12"/>
      <c r="E116113" s="12"/>
      <c r="F116113" s="13"/>
      <c r="G116113" s="12"/>
      <c r="H116113" s="12"/>
      <c r="I116113" s="12"/>
      <c r="J116113" s="12"/>
      <c r="K116113" s="12"/>
      <c r="L116113" s="208"/>
      <c r="M116113" s="209"/>
      <c r="N116113" s="209"/>
      <c r="O116113" s="209"/>
    </row>
    <row r="116114" spans="1:15" s="210" customFormat="1" x14ac:dyDescent="0.3">
      <c r="A116114" s="12"/>
      <c r="B116114" s="15"/>
      <c r="C116114" s="15"/>
      <c r="D116114" s="12"/>
      <c r="E116114" s="12"/>
      <c r="F116114" s="13"/>
      <c r="G116114" s="12"/>
      <c r="H116114" s="12"/>
      <c r="I116114" s="12"/>
      <c r="J116114" s="12"/>
      <c r="K116114" s="12"/>
      <c r="L116114" s="208"/>
      <c r="M116114" s="209"/>
      <c r="N116114" s="209"/>
      <c r="O116114" s="209"/>
    </row>
    <row r="116115" spans="1:15" s="210" customFormat="1" x14ac:dyDescent="0.3">
      <c r="A116115" s="12"/>
      <c r="B116115" s="15"/>
      <c r="C116115" s="15"/>
      <c r="D116115" s="12"/>
      <c r="E116115" s="12"/>
      <c r="F116115" s="13"/>
      <c r="G116115" s="12"/>
      <c r="H116115" s="12"/>
      <c r="I116115" s="12"/>
      <c r="J116115" s="12"/>
      <c r="K116115" s="12"/>
      <c r="L116115" s="208"/>
      <c r="M116115" s="209"/>
      <c r="N116115" s="209"/>
      <c r="O116115" s="209"/>
    </row>
    <row r="116116" spans="1:15" s="210" customFormat="1" x14ac:dyDescent="0.3">
      <c r="A116116" s="12"/>
      <c r="B116116" s="15"/>
      <c r="C116116" s="15"/>
      <c r="D116116" s="12"/>
      <c r="E116116" s="12"/>
      <c r="F116116" s="13"/>
      <c r="G116116" s="12"/>
      <c r="H116116" s="12"/>
      <c r="I116116" s="12"/>
      <c r="J116116" s="12"/>
      <c r="K116116" s="12"/>
      <c r="L116116" s="208"/>
      <c r="M116116" s="209"/>
      <c r="N116116" s="209"/>
      <c r="O116116" s="209"/>
    </row>
    <row r="116117" spans="1:15" s="210" customFormat="1" x14ac:dyDescent="0.3">
      <c r="A116117" s="12"/>
      <c r="B116117" s="15"/>
      <c r="C116117" s="15"/>
      <c r="D116117" s="12"/>
      <c r="E116117" s="12"/>
      <c r="F116117" s="13"/>
      <c r="G116117" s="12"/>
      <c r="H116117" s="12"/>
      <c r="I116117" s="12"/>
      <c r="J116117" s="12"/>
      <c r="K116117" s="12"/>
      <c r="L116117" s="208"/>
      <c r="M116117" s="209"/>
      <c r="N116117" s="209"/>
      <c r="O116117" s="209"/>
    </row>
    <row r="116118" spans="1:15" s="210" customFormat="1" x14ac:dyDescent="0.3">
      <c r="A116118" s="12"/>
      <c r="B116118" s="15"/>
      <c r="C116118" s="15"/>
      <c r="D116118" s="12"/>
      <c r="E116118" s="12"/>
      <c r="F116118" s="13"/>
      <c r="G116118" s="12"/>
      <c r="H116118" s="12"/>
      <c r="I116118" s="12"/>
      <c r="J116118" s="12"/>
      <c r="K116118" s="12"/>
      <c r="L116118" s="208"/>
      <c r="M116118" s="209"/>
      <c r="N116118" s="209"/>
      <c r="O116118" s="209"/>
    </row>
    <row r="116119" spans="1:15" s="210" customFormat="1" x14ac:dyDescent="0.3">
      <c r="A116119" s="12"/>
      <c r="B116119" s="15"/>
      <c r="C116119" s="15"/>
      <c r="D116119" s="12"/>
      <c r="E116119" s="12"/>
      <c r="F116119" s="13"/>
      <c r="G116119" s="12"/>
      <c r="H116119" s="12"/>
      <c r="I116119" s="12"/>
      <c r="J116119" s="12"/>
      <c r="K116119" s="12"/>
      <c r="L116119" s="208"/>
      <c r="M116119" s="209"/>
      <c r="N116119" s="209"/>
      <c r="O116119" s="209"/>
    </row>
    <row r="116120" spans="1:15" s="210" customFormat="1" x14ac:dyDescent="0.3">
      <c r="A116120" s="12"/>
      <c r="B116120" s="15"/>
      <c r="C116120" s="15"/>
      <c r="D116120" s="12"/>
      <c r="E116120" s="12"/>
      <c r="F116120" s="13"/>
      <c r="G116120" s="12"/>
      <c r="H116120" s="12"/>
      <c r="I116120" s="12"/>
      <c r="J116120" s="12"/>
      <c r="K116120" s="12"/>
      <c r="L116120" s="208"/>
      <c r="M116120" s="209"/>
      <c r="N116120" s="209"/>
      <c r="O116120" s="209"/>
    </row>
    <row r="116121" spans="1:15" s="210" customFormat="1" x14ac:dyDescent="0.3">
      <c r="A116121" s="12"/>
      <c r="B116121" s="15"/>
      <c r="C116121" s="15"/>
      <c r="D116121" s="12"/>
      <c r="E116121" s="12"/>
      <c r="F116121" s="13"/>
      <c r="G116121" s="12"/>
      <c r="H116121" s="12"/>
      <c r="I116121" s="12"/>
      <c r="J116121" s="12"/>
      <c r="K116121" s="12"/>
      <c r="L116121" s="208"/>
      <c r="M116121" s="209"/>
      <c r="N116121" s="209"/>
      <c r="O116121" s="209"/>
    </row>
    <row r="116122" spans="1:15" s="210" customFormat="1" x14ac:dyDescent="0.3">
      <c r="A116122" s="12"/>
      <c r="B116122" s="15"/>
      <c r="C116122" s="15"/>
      <c r="D116122" s="12"/>
      <c r="E116122" s="12"/>
      <c r="F116122" s="13"/>
      <c r="G116122" s="12"/>
      <c r="H116122" s="12"/>
      <c r="I116122" s="12"/>
      <c r="J116122" s="12"/>
      <c r="K116122" s="12"/>
      <c r="L116122" s="208"/>
      <c r="M116122" s="209"/>
      <c r="N116122" s="209"/>
      <c r="O116122" s="209"/>
    </row>
    <row r="116123" spans="1:15" s="210" customFormat="1" x14ac:dyDescent="0.3">
      <c r="A116123" s="12"/>
      <c r="B116123" s="15"/>
      <c r="C116123" s="15"/>
      <c r="D116123" s="12"/>
      <c r="E116123" s="12"/>
      <c r="F116123" s="13"/>
      <c r="G116123" s="12"/>
      <c r="H116123" s="12"/>
      <c r="I116123" s="12"/>
      <c r="J116123" s="12"/>
      <c r="K116123" s="12"/>
      <c r="L116123" s="208"/>
      <c r="M116123" s="209"/>
      <c r="N116123" s="209"/>
      <c r="O116123" s="209"/>
    </row>
    <row r="116124" spans="1:15" s="210" customFormat="1" x14ac:dyDescent="0.3">
      <c r="A116124" s="12"/>
      <c r="B116124" s="15"/>
      <c r="C116124" s="15"/>
      <c r="D116124" s="12"/>
      <c r="E116124" s="12"/>
      <c r="F116124" s="13"/>
      <c r="G116124" s="12"/>
      <c r="H116124" s="12"/>
      <c r="I116124" s="12"/>
      <c r="J116124" s="12"/>
      <c r="K116124" s="12"/>
      <c r="L116124" s="208"/>
      <c r="M116124" s="209"/>
      <c r="N116124" s="209"/>
      <c r="O116124" s="209"/>
    </row>
    <row r="116125" spans="1:15" s="210" customFormat="1" x14ac:dyDescent="0.3">
      <c r="A116125" s="12"/>
      <c r="B116125" s="15"/>
      <c r="C116125" s="15"/>
      <c r="D116125" s="12"/>
      <c r="E116125" s="12"/>
      <c r="F116125" s="13"/>
      <c r="G116125" s="12"/>
      <c r="H116125" s="12"/>
      <c r="I116125" s="12"/>
      <c r="J116125" s="12"/>
      <c r="K116125" s="12"/>
      <c r="L116125" s="208"/>
      <c r="M116125" s="209"/>
      <c r="N116125" s="209"/>
      <c r="O116125" s="209"/>
    </row>
    <row r="116126" spans="1:15" s="210" customFormat="1" x14ac:dyDescent="0.3">
      <c r="A116126" s="12"/>
      <c r="B116126" s="15"/>
      <c r="C116126" s="15"/>
      <c r="D116126" s="12"/>
      <c r="E116126" s="12"/>
      <c r="F116126" s="13"/>
      <c r="G116126" s="12"/>
      <c r="H116126" s="12"/>
      <c r="I116126" s="12"/>
      <c r="J116126" s="12"/>
      <c r="K116126" s="12"/>
      <c r="L116126" s="208"/>
      <c r="M116126" s="209"/>
      <c r="N116126" s="209"/>
      <c r="O116126" s="209"/>
    </row>
    <row r="116127" spans="1:15" s="210" customFormat="1" x14ac:dyDescent="0.3">
      <c r="A116127" s="12"/>
      <c r="B116127" s="15"/>
      <c r="C116127" s="15"/>
      <c r="D116127" s="12"/>
      <c r="E116127" s="12"/>
      <c r="F116127" s="13"/>
      <c r="G116127" s="12"/>
      <c r="H116127" s="12"/>
      <c r="I116127" s="12"/>
      <c r="J116127" s="12"/>
      <c r="K116127" s="12"/>
      <c r="L116127" s="208"/>
      <c r="M116127" s="209"/>
      <c r="N116127" s="209"/>
      <c r="O116127" s="209"/>
    </row>
    <row r="116128" spans="1:15" s="210" customFormat="1" x14ac:dyDescent="0.3">
      <c r="A116128" s="12"/>
      <c r="B116128" s="15"/>
      <c r="C116128" s="15"/>
      <c r="D116128" s="12"/>
      <c r="E116128" s="12"/>
      <c r="F116128" s="13"/>
      <c r="G116128" s="12"/>
      <c r="H116128" s="12"/>
      <c r="I116128" s="12"/>
      <c r="J116128" s="12"/>
      <c r="K116128" s="12"/>
      <c r="L116128" s="208"/>
      <c r="M116128" s="209"/>
      <c r="N116128" s="209"/>
      <c r="O116128" s="209"/>
    </row>
    <row r="116129" spans="1:15" s="210" customFormat="1" x14ac:dyDescent="0.3">
      <c r="A116129" s="12"/>
      <c r="B116129" s="15"/>
      <c r="C116129" s="15"/>
      <c r="D116129" s="12"/>
      <c r="E116129" s="12"/>
      <c r="F116129" s="13"/>
      <c r="G116129" s="12"/>
      <c r="H116129" s="12"/>
      <c r="I116129" s="12"/>
      <c r="J116129" s="12"/>
      <c r="K116129" s="12"/>
      <c r="L116129" s="208"/>
      <c r="M116129" s="209"/>
      <c r="N116129" s="209"/>
      <c r="O116129" s="209"/>
    </row>
    <row r="116130" spans="1:15" s="210" customFormat="1" x14ac:dyDescent="0.3">
      <c r="A116130" s="12"/>
      <c r="B116130" s="15"/>
      <c r="C116130" s="15"/>
      <c r="D116130" s="12"/>
      <c r="E116130" s="12"/>
      <c r="F116130" s="13"/>
      <c r="G116130" s="12"/>
      <c r="H116130" s="12"/>
      <c r="I116130" s="12"/>
      <c r="J116130" s="12"/>
      <c r="K116130" s="12"/>
      <c r="L116130" s="208"/>
      <c r="M116130" s="209"/>
      <c r="N116130" s="209"/>
      <c r="O116130" s="209"/>
    </row>
    <row r="116131" spans="1:15" s="210" customFormat="1" x14ac:dyDescent="0.3">
      <c r="A116131" s="12"/>
      <c r="B116131" s="15"/>
      <c r="C116131" s="15"/>
      <c r="D116131" s="12"/>
      <c r="E116131" s="12"/>
      <c r="F116131" s="13"/>
      <c r="G116131" s="12"/>
      <c r="H116131" s="12"/>
      <c r="I116131" s="12"/>
      <c r="J116131" s="12"/>
      <c r="K116131" s="12"/>
      <c r="L116131" s="208"/>
      <c r="M116131" s="209"/>
      <c r="N116131" s="209"/>
      <c r="O116131" s="209"/>
    </row>
    <row r="116132" spans="1:15" s="210" customFormat="1" x14ac:dyDescent="0.3">
      <c r="A116132" s="12"/>
      <c r="B116132" s="15"/>
      <c r="C116132" s="15"/>
      <c r="D116132" s="12"/>
      <c r="E116132" s="12"/>
      <c r="F116132" s="13"/>
      <c r="G116132" s="12"/>
      <c r="H116132" s="12"/>
      <c r="I116132" s="12"/>
      <c r="J116132" s="12"/>
      <c r="K116132" s="12"/>
      <c r="L116132" s="208"/>
      <c r="M116132" s="209"/>
      <c r="N116132" s="209"/>
      <c r="O116132" s="209"/>
    </row>
    <row r="116133" spans="1:15" s="210" customFormat="1" x14ac:dyDescent="0.3">
      <c r="A116133" s="12"/>
      <c r="B116133" s="15"/>
      <c r="C116133" s="15"/>
      <c r="D116133" s="12"/>
      <c r="E116133" s="12"/>
      <c r="F116133" s="13"/>
      <c r="G116133" s="12"/>
      <c r="H116133" s="12"/>
      <c r="I116133" s="12"/>
      <c r="J116133" s="12"/>
      <c r="K116133" s="12"/>
      <c r="L116133" s="208"/>
      <c r="M116133" s="209"/>
      <c r="N116133" s="209"/>
      <c r="O116133" s="209"/>
    </row>
    <row r="116134" spans="1:15" s="210" customFormat="1" x14ac:dyDescent="0.3">
      <c r="A116134" s="12"/>
      <c r="B116134" s="15"/>
      <c r="C116134" s="15"/>
      <c r="D116134" s="12"/>
      <c r="E116134" s="12"/>
      <c r="F116134" s="13"/>
      <c r="G116134" s="12"/>
      <c r="H116134" s="12"/>
      <c r="I116134" s="12"/>
      <c r="J116134" s="12"/>
      <c r="K116134" s="12"/>
      <c r="L116134" s="208"/>
      <c r="M116134" s="209"/>
      <c r="N116134" s="209"/>
      <c r="O116134" s="209"/>
    </row>
    <row r="116135" spans="1:15" s="210" customFormat="1" x14ac:dyDescent="0.3">
      <c r="A116135" s="12"/>
      <c r="B116135" s="15"/>
      <c r="C116135" s="15"/>
      <c r="D116135" s="12"/>
      <c r="E116135" s="12"/>
      <c r="F116135" s="13"/>
      <c r="G116135" s="12"/>
      <c r="H116135" s="12"/>
      <c r="I116135" s="12"/>
      <c r="J116135" s="12"/>
      <c r="K116135" s="12"/>
      <c r="L116135" s="208"/>
      <c r="M116135" s="209"/>
      <c r="N116135" s="209"/>
      <c r="O116135" s="209"/>
    </row>
    <row r="116136" spans="1:15" s="210" customFormat="1" x14ac:dyDescent="0.3">
      <c r="A116136" s="12"/>
      <c r="B116136" s="15"/>
      <c r="C116136" s="15"/>
      <c r="D116136" s="12"/>
      <c r="E116136" s="12"/>
      <c r="F116136" s="13"/>
      <c r="G116136" s="12"/>
      <c r="H116136" s="12"/>
      <c r="I116136" s="12"/>
      <c r="J116136" s="12"/>
      <c r="K116136" s="12"/>
      <c r="L116136" s="208"/>
      <c r="M116136" s="209"/>
      <c r="N116136" s="209"/>
      <c r="O116136" s="209"/>
    </row>
    <row r="116137" spans="1:15" s="210" customFormat="1" x14ac:dyDescent="0.3">
      <c r="A116137" s="12"/>
      <c r="B116137" s="15"/>
      <c r="C116137" s="15"/>
      <c r="D116137" s="12"/>
      <c r="E116137" s="12"/>
      <c r="F116137" s="13"/>
      <c r="G116137" s="12"/>
      <c r="H116137" s="12"/>
      <c r="I116137" s="12"/>
      <c r="J116137" s="12"/>
      <c r="K116137" s="12"/>
      <c r="L116137" s="208"/>
      <c r="M116137" s="209"/>
      <c r="N116137" s="209"/>
      <c r="O116137" s="209"/>
    </row>
    <row r="116138" spans="1:15" s="210" customFormat="1" x14ac:dyDescent="0.3">
      <c r="A116138" s="12"/>
      <c r="B116138" s="15"/>
      <c r="C116138" s="15"/>
      <c r="D116138" s="12"/>
      <c r="E116138" s="12"/>
      <c r="F116138" s="13"/>
      <c r="G116138" s="12"/>
      <c r="H116138" s="12"/>
      <c r="I116138" s="12"/>
      <c r="J116138" s="12"/>
      <c r="K116138" s="12"/>
      <c r="L116138" s="208"/>
      <c r="M116138" s="209"/>
      <c r="N116138" s="209"/>
      <c r="O116138" s="209"/>
    </row>
    <row r="116139" spans="1:15" s="210" customFormat="1" x14ac:dyDescent="0.3">
      <c r="A116139" s="12"/>
      <c r="B116139" s="15"/>
      <c r="C116139" s="15"/>
      <c r="D116139" s="12"/>
      <c r="E116139" s="12"/>
      <c r="F116139" s="13"/>
      <c r="G116139" s="12"/>
      <c r="H116139" s="12"/>
      <c r="I116139" s="12"/>
      <c r="J116139" s="12"/>
      <c r="K116139" s="12"/>
      <c r="L116139" s="208"/>
      <c r="M116139" s="209"/>
      <c r="N116139" s="209"/>
      <c r="O116139" s="209"/>
    </row>
    <row r="116140" spans="1:15" s="210" customFormat="1" x14ac:dyDescent="0.3">
      <c r="A116140" s="12"/>
      <c r="B116140" s="15"/>
      <c r="C116140" s="15"/>
      <c r="D116140" s="12"/>
      <c r="E116140" s="12"/>
      <c r="F116140" s="13"/>
      <c r="G116140" s="12"/>
      <c r="H116140" s="12"/>
      <c r="I116140" s="12"/>
      <c r="J116140" s="12"/>
      <c r="K116140" s="12"/>
      <c r="L116140" s="208"/>
      <c r="M116140" s="209"/>
      <c r="N116140" s="209"/>
      <c r="O116140" s="209"/>
    </row>
    <row r="116141" spans="1:15" s="210" customFormat="1" x14ac:dyDescent="0.3">
      <c r="A116141" s="12"/>
      <c r="B116141" s="15"/>
      <c r="C116141" s="15"/>
      <c r="D116141" s="12"/>
      <c r="E116141" s="12"/>
      <c r="F116141" s="13"/>
      <c r="G116141" s="12"/>
      <c r="H116141" s="12"/>
      <c r="I116141" s="12"/>
      <c r="J116141" s="12"/>
      <c r="K116141" s="12"/>
      <c r="L116141" s="208"/>
      <c r="M116141" s="209"/>
      <c r="N116141" s="209"/>
      <c r="O116141" s="209"/>
    </row>
    <row r="116142" spans="1:15" s="210" customFormat="1" x14ac:dyDescent="0.3">
      <c r="A116142" s="12"/>
      <c r="B116142" s="15"/>
      <c r="C116142" s="15"/>
      <c r="D116142" s="12"/>
      <c r="E116142" s="12"/>
      <c r="F116142" s="13"/>
      <c r="G116142" s="12"/>
      <c r="H116142" s="12"/>
      <c r="I116142" s="12"/>
      <c r="J116142" s="12"/>
      <c r="K116142" s="12"/>
      <c r="L116142" s="208"/>
      <c r="M116142" s="209"/>
      <c r="N116142" s="209"/>
      <c r="O116142" s="209"/>
    </row>
    <row r="116143" spans="1:15" s="210" customFormat="1" x14ac:dyDescent="0.3">
      <c r="A116143" s="12"/>
      <c r="B116143" s="15"/>
      <c r="C116143" s="15"/>
      <c r="D116143" s="12"/>
      <c r="E116143" s="12"/>
      <c r="F116143" s="13"/>
      <c r="G116143" s="12"/>
      <c r="H116143" s="12"/>
      <c r="I116143" s="12"/>
      <c r="J116143" s="12"/>
      <c r="K116143" s="12"/>
      <c r="L116143" s="208"/>
      <c r="M116143" s="209"/>
      <c r="N116143" s="209"/>
      <c r="O116143" s="209"/>
    </row>
    <row r="116144" spans="1:15" s="210" customFormat="1" x14ac:dyDescent="0.3">
      <c r="A116144" s="12"/>
      <c r="B116144" s="15"/>
      <c r="C116144" s="15"/>
      <c r="D116144" s="12"/>
      <c r="E116144" s="12"/>
      <c r="F116144" s="13"/>
      <c r="G116144" s="12"/>
      <c r="H116144" s="12"/>
      <c r="I116144" s="12"/>
      <c r="J116144" s="12"/>
      <c r="K116144" s="12"/>
      <c r="L116144" s="208"/>
      <c r="M116144" s="209"/>
      <c r="N116144" s="209"/>
      <c r="O116144" s="209"/>
    </row>
    <row r="116145" spans="1:15" s="210" customFormat="1" x14ac:dyDescent="0.3">
      <c r="A116145" s="12"/>
      <c r="B116145" s="15"/>
      <c r="C116145" s="15"/>
      <c r="D116145" s="12"/>
      <c r="E116145" s="12"/>
      <c r="F116145" s="13"/>
      <c r="G116145" s="12"/>
      <c r="H116145" s="12"/>
      <c r="I116145" s="12"/>
      <c r="J116145" s="12"/>
      <c r="K116145" s="12"/>
      <c r="L116145" s="208"/>
      <c r="M116145" s="209"/>
      <c r="N116145" s="209"/>
      <c r="O116145" s="209"/>
    </row>
    <row r="116146" spans="1:15" s="210" customFormat="1" x14ac:dyDescent="0.3">
      <c r="A116146" s="12"/>
      <c r="B116146" s="15"/>
      <c r="C116146" s="15"/>
      <c r="D116146" s="12"/>
      <c r="E116146" s="12"/>
      <c r="F116146" s="13"/>
      <c r="G116146" s="12"/>
      <c r="H116146" s="12"/>
      <c r="I116146" s="12"/>
      <c r="J116146" s="12"/>
      <c r="K116146" s="12"/>
      <c r="L116146" s="208"/>
      <c r="M116146" s="209"/>
      <c r="N116146" s="209"/>
      <c r="O116146" s="209"/>
    </row>
    <row r="116147" spans="1:15" s="210" customFormat="1" x14ac:dyDescent="0.3">
      <c r="A116147" s="12"/>
      <c r="B116147" s="15"/>
      <c r="C116147" s="15"/>
      <c r="D116147" s="12"/>
      <c r="E116147" s="12"/>
      <c r="F116147" s="13"/>
      <c r="G116147" s="12"/>
      <c r="H116147" s="12"/>
      <c r="I116147" s="12"/>
      <c r="J116147" s="12"/>
      <c r="K116147" s="12"/>
      <c r="L116147" s="208"/>
      <c r="M116147" s="209"/>
      <c r="N116147" s="209"/>
      <c r="O116147" s="209"/>
    </row>
    <row r="116148" spans="1:15" s="210" customFormat="1" x14ac:dyDescent="0.3">
      <c r="A116148" s="12"/>
      <c r="B116148" s="15"/>
      <c r="C116148" s="15"/>
      <c r="D116148" s="12"/>
      <c r="E116148" s="12"/>
      <c r="F116148" s="13"/>
      <c r="G116148" s="12"/>
      <c r="H116148" s="12"/>
      <c r="I116148" s="12"/>
      <c r="J116148" s="12"/>
      <c r="K116148" s="12"/>
      <c r="L116148" s="208"/>
      <c r="M116148" s="209"/>
      <c r="N116148" s="209"/>
      <c r="O116148" s="209"/>
    </row>
    <row r="116149" spans="1:15" s="210" customFormat="1" x14ac:dyDescent="0.3">
      <c r="A116149" s="12"/>
      <c r="B116149" s="15"/>
      <c r="C116149" s="15"/>
      <c r="D116149" s="12"/>
      <c r="E116149" s="12"/>
      <c r="F116149" s="13"/>
      <c r="G116149" s="12"/>
      <c r="H116149" s="12"/>
      <c r="I116149" s="12"/>
      <c r="J116149" s="12"/>
      <c r="K116149" s="12"/>
      <c r="L116149" s="208"/>
      <c r="M116149" s="209"/>
      <c r="N116149" s="209"/>
      <c r="O116149" s="209"/>
    </row>
    <row r="116150" spans="1:15" s="210" customFormat="1" x14ac:dyDescent="0.3">
      <c r="A116150" s="12"/>
      <c r="B116150" s="15"/>
      <c r="C116150" s="15"/>
      <c r="D116150" s="12"/>
      <c r="E116150" s="12"/>
      <c r="F116150" s="13"/>
      <c r="G116150" s="12"/>
      <c r="H116150" s="12"/>
      <c r="I116150" s="12"/>
      <c r="J116150" s="12"/>
      <c r="K116150" s="12"/>
      <c r="L116150" s="208"/>
      <c r="M116150" s="209"/>
      <c r="N116150" s="209"/>
      <c r="O116150" s="209"/>
    </row>
    <row r="116151" spans="1:15" s="210" customFormat="1" x14ac:dyDescent="0.3">
      <c r="A116151" s="12"/>
      <c r="B116151" s="15"/>
      <c r="C116151" s="15"/>
      <c r="D116151" s="12"/>
      <c r="E116151" s="12"/>
      <c r="F116151" s="13"/>
      <c r="G116151" s="12"/>
      <c r="H116151" s="12"/>
      <c r="I116151" s="12"/>
      <c r="J116151" s="12"/>
      <c r="K116151" s="12"/>
      <c r="L116151" s="208"/>
      <c r="M116151" s="209"/>
      <c r="N116151" s="209"/>
      <c r="O116151" s="209"/>
    </row>
    <row r="116152" spans="1:15" s="210" customFormat="1" x14ac:dyDescent="0.3">
      <c r="A116152" s="12"/>
      <c r="B116152" s="15"/>
      <c r="C116152" s="15"/>
      <c r="D116152" s="12"/>
      <c r="E116152" s="12"/>
      <c r="F116152" s="13"/>
      <c r="G116152" s="12"/>
      <c r="H116152" s="12"/>
      <c r="I116152" s="12"/>
      <c r="J116152" s="12"/>
      <c r="K116152" s="12"/>
      <c r="L116152" s="208"/>
      <c r="M116152" s="209"/>
      <c r="N116152" s="209"/>
      <c r="O116152" s="209"/>
    </row>
    <row r="116153" spans="1:15" s="210" customFormat="1" x14ac:dyDescent="0.3">
      <c r="A116153" s="12"/>
      <c r="B116153" s="15"/>
      <c r="C116153" s="15"/>
      <c r="D116153" s="12"/>
      <c r="E116153" s="12"/>
      <c r="F116153" s="13"/>
      <c r="G116153" s="12"/>
      <c r="H116153" s="12"/>
      <c r="I116153" s="12"/>
      <c r="J116153" s="12"/>
      <c r="K116153" s="12"/>
      <c r="L116153" s="208"/>
      <c r="M116153" s="209"/>
      <c r="N116153" s="209"/>
      <c r="O116153" s="209"/>
    </row>
    <row r="116154" spans="1:15" s="210" customFormat="1" x14ac:dyDescent="0.3">
      <c r="A116154" s="12"/>
      <c r="B116154" s="15"/>
      <c r="C116154" s="15"/>
      <c r="D116154" s="12"/>
      <c r="E116154" s="12"/>
      <c r="F116154" s="13"/>
      <c r="G116154" s="12"/>
      <c r="H116154" s="12"/>
      <c r="I116154" s="12"/>
      <c r="J116154" s="12"/>
      <c r="K116154" s="12"/>
      <c r="L116154" s="208"/>
      <c r="M116154" s="209"/>
      <c r="N116154" s="209"/>
      <c r="O116154" s="209"/>
    </row>
    <row r="116155" spans="1:15" s="210" customFormat="1" x14ac:dyDescent="0.3">
      <c r="A116155" s="12"/>
      <c r="B116155" s="15"/>
      <c r="C116155" s="15"/>
      <c r="D116155" s="12"/>
      <c r="E116155" s="12"/>
      <c r="F116155" s="13"/>
      <c r="G116155" s="12"/>
      <c r="H116155" s="12"/>
      <c r="I116155" s="12"/>
      <c r="J116155" s="12"/>
      <c r="K116155" s="12"/>
      <c r="L116155" s="208"/>
      <c r="M116155" s="209"/>
      <c r="N116155" s="209"/>
      <c r="O116155" s="209"/>
    </row>
    <row r="116156" spans="1:15" s="210" customFormat="1" x14ac:dyDescent="0.3">
      <c r="A116156" s="12"/>
      <c r="B116156" s="15"/>
      <c r="C116156" s="15"/>
      <c r="D116156" s="12"/>
      <c r="E116156" s="12"/>
      <c r="F116156" s="13"/>
      <c r="G116156" s="12"/>
      <c r="H116156" s="12"/>
      <c r="I116156" s="12"/>
      <c r="J116156" s="12"/>
      <c r="K116156" s="12"/>
      <c r="L116156" s="208"/>
      <c r="M116156" s="209"/>
      <c r="N116156" s="209"/>
      <c r="O116156" s="209"/>
    </row>
    <row r="116157" spans="1:15" s="210" customFormat="1" x14ac:dyDescent="0.3">
      <c r="A116157" s="12"/>
      <c r="B116157" s="15"/>
      <c r="C116157" s="15"/>
      <c r="D116157" s="12"/>
      <c r="E116157" s="12"/>
      <c r="F116157" s="13"/>
      <c r="G116157" s="12"/>
      <c r="H116157" s="12"/>
      <c r="I116157" s="12"/>
      <c r="J116157" s="12"/>
      <c r="K116157" s="12"/>
      <c r="L116157" s="208"/>
      <c r="M116157" s="209"/>
      <c r="N116157" s="209"/>
      <c r="O116157" s="209"/>
    </row>
    <row r="116158" spans="1:15" s="210" customFormat="1" x14ac:dyDescent="0.3">
      <c r="A116158" s="12"/>
      <c r="B116158" s="15"/>
      <c r="C116158" s="15"/>
      <c r="D116158" s="12"/>
      <c r="E116158" s="12"/>
      <c r="F116158" s="13"/>
      <c r="G116158" s="12"/>
      <c r="H116158" s="12"/>
      <c r="I116158" s="12"/>
      <c r="J116158" s="12"/>
      <c r="K116158" s="12"/>
      <c r="L116158" s="208"/>
      <c r="M116158" s="209"/>
      <c r="N116158" s="209"/>
      <c r="O116158" s="209"/>
    </row>
    <row r="116159" spans="1:15" s="210" customFormat="1" x14ac:dyDescent="0.3">
      <c r="A116159" s="12"/>
      <c r="B116159" s="15"/>
      <c r="C116159" s="15"/>
      <c r="D116159" s="12"/>
      <c r="E116159" s="12"/>
      <c r="F116159" s="13"/>
      <c r="G116159" s="12"/>
      <c r="H116159" s="12"/>
      <c r="I116159" s="12"/>
      <c r="J116159" s="12"/>
      <c r="K116159" s="12"/>
      <c r="L116159" s="208"/>
      <c r="M116159" s="209"/>
      <c r="N116159" s="209"/>
      <c r="O116159" s="209"/>
    </row>
    <row r="116160" spans="1:15" s="210" customFormat="1" x14ac:dyDescent="0.3">
      <c r="A116160" s="12"/>
      <c r="B116160" s="15"/>
      <c r="C116160" s="15"/>
      <c r="D116160" s="12"/>
      <c r="E116160" s="12"/>
      <c r="F116160" s="13"/>
      <c r="G116160" s="12"/>
      <c r="H116160" s="12"/>
      <c r="I116160" s="12"/>
      <c r="J116160" s="12"/>
      <c r="K116160" s="12"/>
      <c r="L116160" s="208"/>
      <c r="M116160" s="209"/>
      <c r="N116160" s="209"/>
      <c r="O116160" s="209"/>
    </row>
    <row r="116161" spans="1:15" s="210" customFormat="1" x14ac:dyDescent="0.3">
      <c r="A116161" s="12"/>
      <c r="B116161" s="15"/>
      <c r="C116161" s="15"/>
      <c r="D116161" s="12"/>
      <c r="E116161" s="12"/>
      <c r="F116161" s="13"/>
      <c r="G116161" s="12"/>
      <c r="H116161" s="12"/>
      <c r="I116161" s="12"/>
      <c r="J116161" s="12"/>
      <c r="K116161" s="12"/>
      <c r="L116161" s="208"/>
      <c r="M116161" s="209"/>
      <c r="N116161" s="209"/>
      <c r="O116161" s="209"/>
    </row>
    <row r="116162" spans="1:15" s="210" customFormat="1" x14ac:dyDescent="0.3">
      <c r="A116162" s="12"/>
      <c r="B116162" s="15"/>
      <c r="C116162" s="15"/>
      <c r="D116162" s="12"/>
      <c r="E116162" s="12"/>
      <c r="F116162" s="13"/>
      <c r="G116162" s="12"/>
      <c r="H116162" s="12"/>
      <c r="I116162" s="12"/>
      <c r="J116162" s="12"/>
      <c r="K116162" s="12"/>
      <c r="L116162" s="208"/>
      <c r="M116162" s="209"/>
      <c r="N116162" s="209"/>
      <c r="O116162" s="209"/>
    </row>
    <row r="116163" spans="1:15" s="210" customFormat="1" x14ac:dyDescent="0.3">
      <c r="A116163" s="12"/>
      <c r="B116163" s="15"/>
      <c r="C116163" s="15"/>
      <c r="D116163" s="12"/>
      <c r="E116163" s="12"/>
      <c r="F116163" s="13"/>
      <c r="G116163" s="12"/>
      <c r="H116163" s="12"/>
      <c r="I116163" s="12"/>
      <c r="J116163" s="12"/>
      <c r="K116163" s="12"/>
      <c r="L116163" s="208"/>
      <c r="M116163" s="209"/>
      <c r="N116163" s="209"/>
      <c r="O116163" s="209"/>
    </row>
    <row r="116164" spans="1:15" s="210" customFormat="1" x14ac:dyDescent="0.3">
      <c r="A116164" s="12"/>
      <c r="B116164" s="15"/>
      <c r="C116164" s="15"/>
      <c r="D116164" s="12"/>
      <c r="E116164" s="12"/>
      <c r="F116164" s="13"/>
      <c r="G116164" s="12"/>
      <c r="H116164" s="12"/>
      <c r="I116164" s="12"/>
      <c r="J116164" s="12"/>
      <c r="K116164" s="12"/>
      <c r="L116164" s="208"/>
      <c r="M116164" s="209"/>
      <c r="N116164" s="209"/>
      <c r="O116164" s="209"/>
    </row>
    <row r="116165" spans="1:15" s="210" customFormat="1" x14ac:dyDescent="0.3">
      <c r="A116165" s="12"/>
      <c r="B116165" s="15"/>
      <c r="C116165" s="15"/>
      <c r="D116165" s="12"/>
      <c r="E116165" s="12"/>
      <c r="F116165" s="13"/>
      <c r="G116165" s="12"/>
      <c r="H116165" s="12"/>
      <c r="I116165" s="12"/>
      <c r="J116165" s="12"/>
      <c r="K116165" s="12"/>
      <c r="L116165" s="208"/>
      <c r="M116165" s="209"/>
      <c r="N116165" s="209"/>
      <c r="O116165" s="209"/>
    </row>
    <row r="116166" spans="1:15" s="210" customFormat="1" x14ac:dyDescent="0.3">
      <c r="A116166" s="12"/>
      <c r="B116166" s="15"/>
      <c r="C116166" s="15"/>
      <c r="D116166" s="12"/>
      <c r="E116166" s="12"/>
      <c r="F116166" s="13"/>
      <c r="G116166" s="12"/>
      <c r="H116166" s="12"/>
      <c r="I116166" s="12"/>
      <c r="J116166" s="12"/>
      <c r="K116166" s="12"/>
      <c r="L116166" s="208"/>
      <c r="M116166" s="209"/>
      <c r="N116166" s="209"/>
      <c r="O116166" s="209"/>
    </row>
    <row r="116167" spans="1:15" s="210" customFormat="1" x14ac:dyDescent="0.3">
      <c r="A116167" s="12"/>
      <c r="B116167" s="15"/>
      <c r="C116167" s="15"/>
      <c r="D116167" s="12"/>
      <c r="E116167" s="12"/>
      <c r="F116167" s="13"/>
      <c r="G116167" s="12"/>
      <c r="H116167" s="12"/>
      <c r="I116167" s="12"/>
      <c r="J116167" s="12"/>
      <c r="K116167" s="12"/>
      <c r="L116167" s="208"/>
      <c r="M116167" s="209"/>
      <c r="N116167" s="209"/>
      <c r="O116167" s="209"/>
    </row>
    <row r="116168" spans="1:15" s="210" customFormat="1" x14ac:dyDescent="0.3">
      <c r="A116168" s="12"/>
      <c r="B116168" s="15"/>
      <c r="C116168" s="15"/>
      <c r="D116168" s="12"/>
      <c r="E116168" s="12"/>
      <c r="F116168" s="13"/>
      <c r="G116168" s="12"/>
      <c r="H116168" s="12"/>
      <c r="I116168" s="12"/>
      <c r="J116168" s="12"/>
      <c r="K116168" s="12"/>
      <c r="L116168" s="208"/>
      <c r="M116168" s="209"/>
      <c r="N116168" s="209"/>
      <c r="O116168" s="209"/>
    </row>
    <row r="116169" spans="1:15" s="210" customFormat="1" x14ac:dyDescent="0.3">
      <c r="A116169" s="12"/>
      <c r="B116169" s="15"/>
      <c r="C116169" s="15"/>
      <c r="D116169" s="12"/>
      <c r="E116169" s="12"/>
      <c r="F116169" s="13"/>
      <c r="G116169" s="12"/>
      <c r="H116169" s="12"/>
      <c r="I116169" s="12"/>
      <c r="J116169" s="12"/>
      <c r="K116169" s="12"/>
      <c r="L116169" s="208"/>
      <c r="M116169" s="209"/>
      <c r="N116169" s="209"/>
      <c r="O116169" s="209"/>
    </row>
    <row r="116170" spans="1:15" s="210" customFormat="1" x14ac:dyDescent="0.3">
      <c r="A116170" s="12"/>
      <c r="B116170" s="15"/>
      <c r="C116170" s="15"/>
      <c r="D116170" s="12"/>
      <c r="E116170" s="12"/>
      <c r="F116170" s="13"/>
      <c r="G116170" s="12"/>
      <c r="H116170" s="12"/>
      <c r="I116170" s="12"/>
      <c r="J116170" s="12"/>
      <c r="K116170" s="12"/>
      <c r="L116170" s="208"/>
      <c r="M116170" s="209"/>
      <c r="N116170" s="209"/>
      <c r="O116170" s="209"/>
    </row>
    <row r="116171" spans="1:15" s="210" customFormat="1" x14ac:dyDescent="0.3">
      <c r="A116171" s="12"/>
      <c r="B116171" s="15"/>
      <c r="C116171" s="15"/>
      <c r="D116171" s="12"/>
      <c r="E116171" s="12"/>
      <c r="F116171" s="13"/>
      <c r="G116171" s="12"/>
      <c r="H116171" s="12"/>
      <c r="I116171" s="12"/>
      <c r="J116171" s="12"/>
      <c r="K116171" s="12"/>
      <c r="L116171" s="208"/>
      <c r="M116171" s="209"/>
      <c r="N116171" s="209"/>
      <c r="O116171" s="209"/>
    </row>
    <row r="116172" spans="1:15" s="210" customFormat="1" x14ac:dyDescent="0.3">
      <c r="A116172" s="12"/>
      <c r="B116172" s="15"/>
      <c r="C116172" s="15"/>
      <c r="D116172" s="12"/>
      <c r="E116172" s="12"/>
      <c r="F116172" s="13"/>
      <c r="G116172" s="12"/>
      <c r="H116172" s="12"/>
      <c r="I116172" s="12"/>
      <c r="J116172" s="12"/>
      <c r="K116172" s="12"/>
      <c r="L116172" s="208"/>
      <c r="M116172" s="209"/>
      <c r="N116172" s="209"/>
      <c r="O116172" s="209"/>
    </row>
    <row r="116173" spans="1:15" s="210" customFormat="1" x14ac:dyDescent="0.3">
      <c r="A116173" s="12"/>
      <c r="B116173" s="15"/>
      <c r="C116173" s="15"/>
      <c r="D116173" s="12"/>
      <c r="E116173" s="12"/>
      <c r="F116173" s="13"/>
      <c r="G116173" s="12"/>
      <c r="H116173" s="12"/>
      <c r="I116173" s="12"/>
      <c r="J116173" s="12"/>
      <c r="K116173" s="12"/>
      <c r="L116173" s="208"/>
      <c r="M116173" s="209"/>
      <c r="N116173" s="209"/>
      <c r="O116173" s="209"/>
    </row>
    <row r="116174" spans="1:15" s="210" customFormat="1" x14ac:dyDescent="0.3">
      <c r="A116174" s="12"/>
      <c r="B116174" s="15"/>
      <c r="C116174" s="15"/>
      <c r="D116174" s="12"/>
      <c r="E116174" s="12"/>
      <c r="F116174" s="13"/>
      <c r="G116174" s="12"/>
      <c r="H116174" s="12"/>
      <c r="I116174" s="12"/>
      <c r="J116174" s="12"/>
      <c r="K116174" s="12"/>
      <c r="L116174" s="208"/>
      <c r="M116174" s="209"/>
      <c r="N116174" s="209"/>
      <c r="O116174" s="209"/>
    </row>
    <row r="116175" spans="1:15" s="210" customFormat="1" x14ac:dyDescent="0.3">
      <c r="A116175" s="12"/>
      <c r="B116175" s="15"/>
      <c r="C116175" s="15"/>
      <c r="D116175" s="12"/>
      <c r="E116175" s="12"/>
      <c r="F116175" s="13"/>
      <c r="G116175" s="12"/>
      <c r="H116175" s="12"/>
      <c r="I116175" s="12"/>
      <c r="J116175" s="12"/>
      <c r="K116175" s="12"/>
      <c r="L116175" s="208"/>
      <c r="M116175" s="209"/>
      <c r="N116175" s="209"/>
      <c r="O116175" s="209"/>
    </row>
    <row r="116176" spans="1:15" s="210" customFormat="1" x14ac:dyDescent="0.3">
      <c r="A116176" s="12"/>
      <c r="B116176" s="15"/>
      <c r="C116176" s="15"/>
      <c r="D116176" s="12"/>
      <c r="E116176" s="12"/>
      <c r="F116176" s="13"/>
      <c r="G116176" s="12"/>
      <c r="H116176" s="12"/>
      <c r="I116176" s="12"/>
      <c r="J116176" s="12"/>
      <c r="K116176" s="12"/>
      <c r="L116176" s="208"/>
      <c r="M116176" s="209"/>
      <c r="N116176" s="209"/>
      <c r="O116176" s="209"/>
    </row>
    <row r="116177" spans="1:15" s="210" customFormat="1" x14ac:dyDescent="0.3">
      <c r="A116177" s="12"/>
      <c r="B116177" s="15"/>
      <c r="C116177" s="15"/>
      <c r="D116177" s="12"/>
      <c r="E116177" s="12"/>
      <c r="F116177" s="13"/>
      <c r="G116177" s="12"/>
      <c r="H116177" s="12"/>
      <c r="I116177" s="12"/>
      <c r="J116177" s="12"/>
      <c r="K116177" s="12"/>
      <c r="L116177" s="208"/>
      <c r="M116177" s="209"/>
      <c r="N116177" s="209"/>
      <c r="O116177" s="209"/>
    </row>
    <row r="116178" spans="1:15" s="210" customFormat="1" x14ac:dyDescent="0.3">
      <c r="A116178" s="12"/>
      <c r="B116178" s="15"/>
      <c r="C116178" s="15"/>
      <c r="D116178" s="12"/>
      <c r="E116178" s="12"/>
      <c r="F116178" s="13"/>
      <c r="G116178" s="12"/>
      <c r="H116178" s="12"/>
      <c r="I116178" s="12"/>
      <c r="J116178" s="12"/>
      <c r="K116178" s="12"/>
      <c r="L116178" s="208"/>
      <c r="M116178" s="209"/>
      <c r="N116178" s="209"/>
      <c r="O116178" s="209"/>
    </row>
    <row r="116179" spans="1:15" s="210" customFormat="1" x14ac:dyDescent="0.3">
      <c r="A116179" s="12"/>
      <c r="B116179" s="15"/>
      <c r="C116179" s="15"/>
      <c r="D116179" s="12"/>
      <c r="E116179" s="12"/>
      <c r="F116179" s="13"/>
      <c r="G116179" s="12"/>
      <c r="H116179" s="12"/>
      <c r="I116179" s="12"/>
      <c r="J116179" s="12"/>
      <c r="K116179" s="12"/>
      <c r="L116179" s="208"/>
      <c r="M116179" s="209"/>
      <c r="N116179" s="209"/>
      <c r="O116179" s="209"/>
    </row>
    <row r="116180" spans="1:15" s="210" customFormat="1" x14ac:dyDescent="0.3">
      <c r="A116180" s="12"/>
      <c r="B116180" s="15"/>
      <c r="C116180" s="15"/>
      <c r="D116180" s="12"/>
      <c r="E116180" s="12"/>
      <c r="F116180" s="13"/>
      <c r="G116180" s="12"/>
      <c r="H116180" s="12"/>
      <c r="I116180" s="12"/>
      <c r="J116180" s="12"/>
      <c r="K116180" s="12"/>
      <c r="L116180" s="208"/>
      <c r="M116180" s="209"/>
      <c r="N116180" s="209"/>
      <c r="O116180" s="209"/>
    </row>
    <row r="116181" spans="1:15" s="210" customFormat="1" x14ac:dyDescent="0.3">
      <c r="A116181" s="12"/>
      <c r="B116181" s="15"/>
      <c r="C116181" s="15"/>
      <c r="D116181" s="12"/>
      <c r="E116181" s="12"/>
      <c r="F116181" s="13"/>
      <c r="G116181" s="12"/>
      <c r="H116181" s="12"/>
      <c r="I116181" s="12"/>
      <c r="J116181" s="12"/>
      <c r="K116181" s="12"/>
      <c r="L116181" s="208"/>
      <c r="M116181" s="209"/>
      <c r="N116181" s="209"/>
      <c r="O116181" s="209"/>
    </row>
    <row r="116182" spans="1:15" s="210" customFormat="1" x14ac:dyDescent="0.3">
      <c r="A116182" s="12"/>
      <c r="B116182" s="15"/>
      <c r="C116182" s="15"/>
      <c r="D116182" s="12"/>
      <c r="E116182" s="12"/>
      <c r="F116182" s="13"/>
      <c r="G116182" s="12"/>
      <c r="H116182" s="12"/>
      <c r="I116182" s="12"/>
      <c r="J116182" s="12"/>
      <c r="K116182" s="12"/>
      <c r="L116182" s="208"/>
      <c r="M116182" s="209"/>
      <c r="N116182" s="209"/>
      <c r="O116182" s="209"/>
    </row>
    <row r="116183" spans="1:15" s="210" customFormat="1" x14ac:dyDescent="0.3">
      <c r="A116183" s="12"/>
      <c r="B116183" s="15"/>
      <c r="C116183" s="15"/>
      <c r="D116183" s="12"/>
      <c r="E116183" s="12"/>
      <c r="F116183" s="13"/>
      <c r="G116183" s="12"/>
      <c r="H116183" s="12"/>
      <c r="I116183" s="12"/>
      <c r="J116183" s="12"/>
      <c r="K116183" s="12"/>
      <c r="L116183" s="208"/>
      <c r="M116183" s="209"/>
      <c r="N116183" s="209"/>
      <c r="O116183" s="209"/>
    </row>
    <row r="116184" spans="1:15" s="210" customFormat="1" x14ac:dyDescent="0.3">
      <c r="A116184" s="12"/>
      <c r="B116184" s="15"/>
      <c r="C116184" s="15"/>
      <c r="D116184" s="12"/>
      <c r="E116184" s="12"/>
      <c r="F116184" s="13"/>
      <c r="G116184" s="12"/>
      <c r="H116184" s="12"/>
      <c r="I116184" s="12"/>
      <c r="J116184" s="12"/>
      <c r="K116184" s="12"/>
      <c r="L116184" s="208"/>
      <c r="M116184" s="209"/>
      <c r="N116184" s="209"/>
      <c r="O116184" s="209"/>
    </row>
    <row r="116185" spans="1:15" s="210" customFormat="1" x14ac:dyDescent="0.3">
      <c r="A116185" s="12"/>
      <c r="B116185" s="15"/>
      <c r="C116185" s="15"/>
      <c r="D116185" s="12"/>
      <c r="E116185" s="12"/>
      <c r="F116185" s="13"/>
      <c r="G116185" s="12"/>
      <c r="H116185" s="12"/>
      <c r="I116185" s="12"/>
      <c r="J116185" s="12"/>
      <c r="K116185" s="12"/>
      <c r="L116185" s="208"/>
      <c r="M116185" s="209"/>
      <c r="N116185" s="209"/>
      <c r="O116185" s="209"/>
    </row>
    <row r="116186" spans="1:15" s="210" customFormat="1" x14ac:dyDescent="0.3">
      <c r="A116186" s="12"/>
      <c r="B116186" s="15"/>
      <c r="C116186" s="15"/>
      <c r="D116186" s="12"/>
      <c r="E116186" s="12"/>
      <c r="F116186" s="13"/>
      <c r="G116186" s="12"/>
      <c r="H116186" s="12"/>
      <c r="I116186" s="12"/>
      <c r="J116186" s="12"/>
      <c r="K116186" s="12"/>
      <c r="L116186" s="208"/>
      <c r="M116186" s="209"/>
      <c r="N116186" s="209"/>
      <c r="O116186" s="209"/>
    </row>
    <row r="116187" spans="1:15" s="210" customFormat="1" x14ac:dyDescent="0.3">
      <c r="A116187" s="12"/>
      <c r="B116187" s="15"/>
      <c r="C116187" s="15"/>
      <c r="D116187" s="12"/>
      <c r="E116187" s="12"/>
      <c r="F116187" s="13"/>
      <c r="G116187" s="12"/>
      <c r="H116187" s="12"/>
      <c r="I116187" s="12"/>
      <c r="J116187" s="12"/>
      <c r="K116187" s="12"/>
      <c r="L116187" s="208"/>
      <c r="M116187" s="209"/>
      <c r="N116187" s="209"/>
      <c r="O116187" s="209"/>
    </row>
    <row r="116188" spans="1:15" s="210" customFormat="1" x14ac:dyDescent="0.3">
      <c r="A116188" s="12"/>
      <c r="B116188" s="15"/>
      <c r="C116188" s="15"/>
      <c r="D116188" s="12"/>
      <c r="E116188" s="12"/>
      <c r="F116188" s="13"/>
      <c r="G116188" s="12"/>
      <c r="H116188" s="12"/>
      <c r="I116188" s="12"/>
      <c r="J116188" s="12"/>
      <c r="K116188" s="12"/>
      <c r="L116188" s="208"/>
      <c r="M116188" s="209"/>
      <c r="N116188" s="209"/>
      <c r="O116188" s="209"/>
    </row>
    <row r="116189" spans="1:15" s="210" customFormat="1" x14ac:dyDescent="0.3">
      <c r="A116189" s="12"/>
      <c r="B116189" s="15"/>
      <c r="C116189" s="15"/>
      <c r="D116189" s="12"/>
      <c r="E116189" s="12"/>
      <c r="F116189" s="13"/>
      <c r="G116189" s="12"/>
      <c r="H116189" s="12"/>
      <c r="I116189" s="12"/>
      <c r="J116189" s="12"/>
      <c r="K116189" s="12"/>
      <c r="L116189" s="208"/>
      <c r="M116189" s="209"/>
      <c r="N116189" s="209"/>
      <c r="O116189" s="209"/>
    </row>
    <row r="116190" spans="1:15" s="210" customFormat="1" x14ac:dyDescent="0.3">
      <c r="A116190" s="12"/>
      <c r="B116190" s="15"/>
      <c r="C116190" s="15"/>
      <c r="D116190" s="12"/>
      <c r="E116190" s="12"/>
      <c r="F116190" s="13"/>
      <c r="G116190" s="12"/>
      <c r="H116190" s="12"/>
      <c r="I116190" s="12"/>
      <c r="J116190" s="12"/>
      <c r="K116190" s="12"/>
      <c r="L116190" s="208"/>
      <c r="M116190" s="209"/>
      <c r="N116190" s="209"/>
      <c r="O116190" s="209"/>
    </row>
    <row r="116191" spans="1:15" s="210" customFormat="1" x14ac:dyDescent="0.3">
      <c r="A116191" s="12"/>
      <c r="B116191" s="15"/>
      <c r="C116191" s="15"/>
      <c r="D116191" s="12"/>
      <c r="E116191" s="12"/>
      <c r="F116191" s="13"/>
      <c r="G116191" s="12"/>
      <c r="H116191" s="12"/>
      <c r="I116191" s="12"/>
      <c r="J116191" s="12"/>
      <c r="K116191" s="12"/>
      <c r="L116191" s="208"/>
      <c r="M116191" s="209"/>
      <c r="N116191" s="209"/>
      <c r="O116191" s="209"/>
    </row>
    <row r="116192" spans="1:15" s="210" customFormat="1" x14ac:dyDescent="0.3">
      <c r="A116192" s="12"/>
      <c r="B116192" s="15"/>
      <c r="C116192" s="15"/>
      <c r="D116192" s="12"/>
      <c r="E116192" s="12"/>
      <c r="F116192" s="13"/>
      <c r="G116192" s="12"/>
      <c r="H116192" s="12"/>
      <c r="I116192" s="12"/>
      <c r="J116192" s="12"/>
      <c r="K116192" s="12"/>
      <c r="L116192" s="208"/>
      <c r="M116192" s="209"/>
      <c r="N116192" s="209"/>
      <c r="O116192" s="209"/>
    </row>
    <row r="116193" spans="1:15" s="210" customFormat="1" x14ac:dyDescent="0.3">
      <c r="A116193" s="12"/>
      <c r="B116193" s="15"/>
      <c r="C116193" s="15"/>
      <c r="D116193" s="12"/>
      <c r="E116193" s="12"/>
      <c r="F116193" s="13"/>
      <c r="G116193" s="12"/>
      <c r="H116193" s="12"/>
      <c r="I116193" s="12"/>
      <c r="J116193" s="12"/>
      <c r="K116193" s="12"/>
      <c r="L116193" s="208"/>
      <c r="M116193" s="209"/>
      <c r="N116193" s="209"/>
      <c r="O116193" s="209"/>
    </row>
    <row r="116194" spans="1:15" s="210" customFormat="1" x14ac:dyDescent="0.3">
      <c r="A116194" s="12"/>
      <c r="B116194" s="15"/>
      <c r="C116194" s="15"/>
      <c r="D116194" s="12"/>
      <c r="E116194" s="12"/>
      <c r="F116194" s="13"/>
      <c r="G116194" s="12"/>
      <c r="H116194" s="12"/>
      <c r="I116194" s="12"/>
      <c r="J116194" s="12"/>
      <c r="K116194" s="12"/>
      <c r="L116194" s="208"/>
      <c r="M116194" s="209"/>
      <c r="N116194" s="209"/>
      <c r="O116194" s="209"/>
    </row>
    <row r="116195" spans="1:15" s="210" customFormat="1" x14ac:dyDescent="0.3">
      <c r="A116195" s="12"/>
      <c r="B116195" s="15"/>
      <c r="C116195" s="15"/>
      <c r="D116195" s="12"/>
      <c r="E116195" s="12"/>
      <c r="F116195" s="13"/>
      <c r="G116195" s="12"/>
      <c r="H116195" s="12"/>
      <c r="I116195" s="12"/>
      <c r="J116195" s="12"/>
      <c r="K116195" s="12"/>
      <c r="L116195" s="208"/>
      <c r="M116195" s="209"/>
      <c r="N116195" s="209"/>
      <c r="O116195" s="209"/>
    </row>
    <row r="116196" spans="1:15" s="210" customFormat="1" x14ac:dyDescent="0.3">
      <c r="A116196" s="12"/>
      <c r="B116196" s="15"/>
      <c r="C116196" s="15"/>
      <c r="D116196" s="12"/>
      <c r="E116196" s="12"/>
      <c r="F116196" s="13"/>
      <c r="G116196" s="12"/>
      <c r="H116196" s="12"/>
      <c r="I116196" s="12"/>
      <c r="J116196" s="12"/>
      <c r="K116196" s="12"/>
      <c r="L116196" s="208"/>
      <c r="M116196" s="209"/>
      <c r="N116196" s="209"/>
      <c r="O116196" s="209"/>
    </row>
    <row r="116197" spans="1:15" s="210" customFormat="1" x14ac:dyDescent="0.3">
      <c r="A116197" s="12"/>
      <c r="B116197" s="15"/>
      <c r="C116197" s="15"/>
      <c r="D116197" s="12"/>
      <c r="E116197" s="12"/>
      <c r="F116197" s="13"/>
      <c r="G116197" s="12"/>
      <c r="H116197" s="12"/>
      <c r="I116197" s="12"/>
      <c r="J116197" s="12"/>
      <c r="K116197" s="12"/>
      <c r="L116197" s="208"/>
      <c r="M116197" s="209"/>
      <c r="N116197" s="209"/>
      <c r="O116197" s="209"/>
    </row>
    <row r="116198" spans="1:15" s="210" customFormat="1" x14ac:dyDescent="0.3">
      <c r="A116198" s="12"/>
      <c r="B116198" s="15"/>
      <c r="C116198" s="15"/>
      <c r="D116198" s="12"/>
      <c r="E116198" s="12"/>
      <c r="F116198" s="13"/>
      <c r="G116198" s="12"/>
      <c r="H116198" s="12"/>
      <c r="I116198" s="12"/>
      <c r="J116198" s="12"/>
      <c r="K116198" s="12"/>
      <c r="L116198" s="208"/>
      <c r="M116198" s="209"/>
      <c r="N116198" s="209"/>
      <c r="O116198" s="209"/>
    </row>
    <row r="116199" spans="1:15" s="210" customFormat="1" x14ac:dyDescent="0.3">
      <c r="A116199" s="12"/>
      <c r="B116199" s="15"/>
      <c r="C116199" s="15"/>
      <c r="D116199" s="12"/>
      <c r="E116199" s="12"/>
      <c r="F116199" s="13"/>
      <c r="G116199" s="12"/>
      <c r="H116199" s="12"/>
      <c r="I116199" s="12"/>
      <c r="J116199" s="12"/>
      <c r="K116199" s="12"/>
      <c r="L116199" s="208"/>
      <c r="M116199" s="209"/>
      <c r="N116199" s="209"/>
      <c r="O116199" s="209"/>
    </row>
    <row r="116200" spans="1:15" s="210" customFormat="1" x14ac:dyDescent="0.3">
      <c r="A116200" s="12"/>
      <c r="B116200" s="15"/>
      <c r="C116200" s="15"/>
      <c r="D116200" s="12"/>
      <c r="E116200" s="12"/>
      <c r="F116200" s="13"/>
      <c r="G116200" s="12"/>
      <c r="H116200" s="12"/>
      <c r="I116200" s="12"/>
      <c r="J116200" s="12"/>
      <c r="K116200" s="12"/>
      <c r="L116200" s="208"/>
      <c r="M116200" s="209"/>
      <c r="N116200" s="209"/>
      <c r="O116200" s="209"/>
    </row>
    <row r="116201" spans="1:15" s="210" customFormat="1" x14ac:dyDescent="0.3">
      <c r="A116201" s="12"/>
      <c r="B116201" s="15"/>
      <c r="C116201" s="15"/>
      <c r="D116201" s="12"/>
      <c r="E116201" s="12"/>
      <c r="F116201" s="13"/>
      <c r="G116201" s="12"/>
      <c r="H116201" s="12"/>
      <c r="I116201" s="12"/>
      <c r="J116201" s="12"/>
      <c r="K116201" s="12"/>
      <c r="L116201" s="208"/>
      <c r="M116201" s="209"/>
      <c r="N116201" s="209"/>
      <c r="O116201" s="209"/>
    </row>
    <row r="116202" spans="1:15" s="210" customFormat="1" x14ac:dyDescent="0.3">
      <c r="A116202" s="12"/>
      <c r="B116202" s="15"/>
      <c r="C116202" s="15"/>
      <c r="D116202" s="12"/>
      <c r="E116202" s="12"/>
      <c r="F116202" s="13"/>
      <c r="G116202" s="12"/>
      <c r="H116202" s="12"/>
      <c r="I116202" s="12"/>
      <c r="J116202" s="12"/>
      <c r="K116202" s="12"/>
      <c r="L116202" s="208"/>
      <c r="M116202" s="209"/>
      <c r="N116202" s="209"/>
      <c r="O116202" s="209"/>
    </row>
    <row r="116203" spans="1:15" s="210" customFormat="1" x14ac:dyDescent="0.3">
      <c r="A116203" s="12"/>
      <c r="B116203" s="15"/>
      <c r="C116203" s="15"/>
      <c r="D116203" s="12"/>
      <c r="E116203" s="12"/>
      <c r="F116203" s="13"/>
      <c r="G116203" s="12"/>
      <c r="H116203" s="12"/>
      <c r="I116203" s="12"/>
      <c r="J116203" s="12"/>
      <c r="K116203" s="12"/>
      <c r="L116203" s="208"/>
      <c r="M116203" s="209"/>
      <c r="N116203" s="209"/>
      <c r="O116203" s="209"/>
    </row>
    <row r="116204" spans="1:15" s="210" customFormat="1" x14ac:dyDescent="0.3">
      <c r="A116204" s="12"/>
      <c r="B116204" s="15"/>
      <c r="C116204" s="15"/>
      <c r="D116204" s="12"/>
      <c r="E116204" s="12"/>
      <c r="F116204" s="13"/>
      <c r="G116204" s="12"/>
      <c r="H116204" s="12"/>
      <c r="I116204" s="12"/>
      <c r="J116204" s="12"/>
      <c r="K116204" s="12"/>
      <c r="L116204" s="208"/>
      <c r="M116204" s="209"/>
      <c r="N116204" s="209"/>
      <c r="O116204" s="209"/>
    </row>
    <row r="116205" spans="1:15" s="210" customFormat="1" x14ac:dyDescent="0.3">
      <c r="A116205" s="12"/>
      <c r="B116205" s="15"/>
      <c r="C116205" s="15"/>
      <c r="D116205" s="12"/>
      <c r="E116205" s="12"/>
      <c r="F116205" s="13"/>
      <c r="G116205" s="12"/>
      <c r="H116205" s="12"/>
      <c r="I116205" s="12"/>
      <c r="J116205" s="12"/>
      <c r="K116205" s="12"/>
      <c r="L116205" s="208"/>
      <c r="M116205" s="209"/>
      <c r="N116205" s="209"/>
      <c r="O116205" s="209"/>
    </row>
    <row r="116206" spans="1:15" s="210" customFormat="1" x14ac:dyDescent="0.3">
      <c r="A116206" s="12"/>
      <c r="B116206" s="15"/>
      <c r="C116206" s="15"/>
      <c r="D116206" s="12"/>
      <c r="E116206" s="12"/>
      <c r="F116206" s="13"/>
      <c r="G116206" s="12"/>
      <c r="H116206" s="12"/>
      <c r="I116206" s="12"/>
      <c r="J116206" s="12"/>
      <c r="K116206" s="12"/>
      <c r="L116206" s="208"/>
      <c r="M116206" s="209"/>
      <c r="N116206" s="209"/>
      <c r="O116206" s="209"/>
    </row>
    <row r="116207" spans="1:15" s="210" customFormat="1" x14ac:dyDescent="0.3">
      <c r="A116207" s="12"/>
      <c r="B116207" s="15"/>
      <c r="C116207" s="15"/>
      <c r="D116207" s="12"/>
      <c r="E116207" s="12"/>
      <c r="F116207" s="13"/>
      <c r="G116207" s="12"/>
      <c r="H116207" s="12"/>
      <c r="I116207" s="12"/>
      <c r="J116207" s="12"/>
      <c r="K116207" s="12"/>
      <c r="L116207" s="208"/>
      <c r="M116207" s="209"/>
      <c r="N116207" s="209"/>
      <c r="O116207" s="209"/>
    </row>
    <row r="116208" spans="1:15" s="210" customFormat="1" x14ac:dyDescent="0.3">
      <c r="A116208" s="12"/>
      <c r="B116208" s="15"/>
      <c r="C116208" s="15"/>
      <c r="D116208" s="12"/>
      <c r="E116208" s="12"/>
      <c r="F116208" s="13"/>
      <c r="G116208" s="12"/>
      <c r="H116208" s="12"/>
      <c r="I116208" s="12"/>
      <c r="J116208" s="12"/>
      <c r="K116208" s="12"/>
      <c r="L116208" s="208"/>
      <c r="M116208" s="209"/>
      <c r="N116208" s="209"/>
      <c r="O116208" s="209"/>
    </row>
    <row r="116209" spans="1:15" s="210" customFormat="1" x14ac:dyDescent="0.3">
      <c r="A116209" s="12"/>
      <c r="B116209" s="15"/>
      <c r="C116209" s="15"/>
      <c r="D116209" s="12"/>
      <c r="E116209" s="12"/>
      <c r="F116209" s="13"/>
      <c r="G116209" s="12"/>
      <c r="H116209" s="12"/>
      <c r="I116209" s="12"/>
      <c r="J116209" s="12"/>
      <c r="K116209" s="12"/>
      <c r="L116209" s="208"/>
      <c r="M116209" s="209"/>
      <c r="N116209" s="209"/>
      <c r="O116209" s="209"/>
    </row>
    <row r="116210" spans="1:15" s="210" customFormat="1" x14ac:dyDescent="0.3">
      <c r="A116210" s="12"/>
      <c r="B116210" s="15"/>
      <c r="C116210" s="15"/>
      <c r="D116210" s="12"/>
      <c r="E116210" s="12"/>
      <c r="F116210" s="13"/>
      <c r="G116210" s="12"/>
      <c r="H116210" s="12"/>
      <c r="I116210" s="12"/>
      <c r="J116210" s="12"/>
      <c r="K116210" s="12"/>
      <c r="L116210" s="208"/>
      <c r="M116210" s="209"/>
      <c r="N116210" s="209"/>
      <c r="O116210" s="209"/>
    </row>
    <row r="116211" spans="1:15" s="210" customFormat="1" x14ac:dyDescent="0.3">
      <c r="A116211" s="12"/>
      <c r="B116211" s="15"/>
      <c r="C116211" s="15"/>
      <c r="D116211" s="12"/>
      <c r="E116211" s="12"/>
      <c r="F116211" s="13"/>
      <c r="G116211" s="12"/>
      <c r="H116211" s="12"/>
      <c r="I116211" s="12"/>
      <c r="J116211" s="12"/>
      <c r="K116211" s="12"/>
      <c r="L116211" s="208"/>
      <c r="M116211" s="209"/>
      <c r="N116211" s="209"/>
      <c r="O116211" s="209"/>
    </row>
    <row r="116212" spans="1:15" s="210" customFormat="1" x14ac:dyDescent="0.3">
      <c r="A116212" s="12"/>
      <c r="B116212" s="15"/>
      <c r="C116212" s="15"/>
      <c r="D116212" s="12"/>
      <c r="E116212" s="12"/>
      <c r="F116212" s="13"/>
      <c r="G116212" s="12"/>
      <c r="H116212" s="12"/>
      <c r="I116212" s="12"/>
      <c r="J116212" s="12"/>
      <c r="K116212" s="12"/>
      <c r="L116212" s="208"/>
      <c r="M116212" s="209"/>
      <c r="N116212" s="209"/>
      <c r="O116212" s="209"/>
    </row>
    <row r="116213" spans="1:15" s="210" customFormat="1" x14ac:dyDescent="0.3">
      <c r="A116213" s="12"/>
      <c r="B116213" s="15"/>
      <c r="C116213" s="15"/>
      <c r="D116213" s="12"/>
      <c r="E116213" s="12"/>
      <c r="F116213" s="13"/>
      <c r="G116213" s="12"/>
      <c r="H116213" s="12"/>
      <c r="I116213" s="12"/>
      <c r="J116213" s="12"/>
      <c r="K116213" s="12"/>
      <c r="L116213" s="208"/>
      <c r="M116213" s="209"/>
      <c r="N116213" s="209"/>
      <c r="O116213" s="209"/>
    </row>
    <row r="116214" spans="1:15" s="210" customFormat="1" x14ac:dyDescent="0.3">
      <c r="A116214" s="12"/>
      <c r="B116214" s="15"/>
      <c r="C116214" s="15"/>
      <c r="D116214" s="12"/>
      <c r="E116214" s="12"/>
      <c r="F116214" s="13"/>
      <c r="G116214" s="12"/>
      <c r="H116214" s="12"/>
      <c r="I116214" s="12"/>
      <c r="J116214" s="12"/>
      <c r="K116214" s="12"/>
      <c r="L116214" s="208"/>
      <c r="M116214" s="209"/>
      <c r="N116214" s="209"/>
      <c r="O116214" s="209"/>
    </row>
    <row r="116215" spans="1:15" s="210" customFormat="1" x14ac:dyDescent="0.3">
      <c r="A116215" s="12"/>
      <c r="B116215" s="15"/>
      <c r="C116215" s="15"/>
      <c r="D116215" s="12"/>
      <c r="E116215" s="12"/>
      <c r="F116215" s="13"/>
      <c r="G116215" s="12"/>
      <c r="H116215" s="12"/>
      <c r="I116215" s="12"/>
      <c r="J116215" s="12"/>
      <c r="K116215" s="12"/>
      <c r="L116215" s="208"/>
      <c r="M116215" s="209"/>
      <c r="N116215" s="209"/>
      <c r="O116215" s="209"/>
    </row>
    <row r="116216" spans="1:15" s="210" customFormat="1" x14ac:dyDescent="0.3">
      <c r="A116216" s="12"/>
      <c r="B116216" s="15"/>
      <c r="C116216" s="15"/>
      <c r="D116216" s="12"/>
      <c r="E116216" s="12"/>
      <c r="F116216" s="13"/>
      <c r="G116216" s="12"/>
      <c r="H116216" s="12"/>
      <c r="I116216" s="12"/>
      <c r="J116216" s="12"/>
      <c r="K116216" s="12"/>
      <c r="L116216" s="208"/>
      <c r="M116216" s="209"/>
      <c r="N116216" s="209"/>
      <c r="O116216" s="209"/>
    </row>
    <row r="116217" spans="1:15" s="210" customFormat="1" x14ac:dyDescent="0.3">
      <c r="A116217" s="12"/>
      <c r="B116217" s="15"/>
      <c r="C116217" s="15"/>
      <c r="D116217" s="12"/>
      <c r="E116217" s="12"/>
      <c r="F116217" s="13"/>
      <c r="G116217" s="12"/>
      <c r="H116217" s="12"/>
      <c r="I116217" s="12"/>
      <c r="J116217" s="12"/>
      <c r="K116217" s="12"/>
      <c r="L116217" s="208"/>
      <c r="M116217" s="209"/>
      <c r="N116217" s="209"/>
      <c r="O116217" s="209"/>
    </row>
    <row r="116218" spans="1:15" s="210" customFormat="1" x14ac:dyDescent="0.3">
      <c r="A116218" s="12"/>
      <c r="B116218" s="15"/>
      <c r="C116218" s="15"/>
      <c r="D116218" s="12"/>
      <c r="E116218" s="12"/>
      <c r="F116218" s="13"/>
      <c r="G116218" s="12"/>
      <c r="H116218" s="12"/>
      <c r="I116218" s="12"/>
      <c r="J116218" s="12"/>
      <c r="K116218" s="12"/>
      <c r="L116218" s="208"/>
      <c r="M116218" s="209"/>
      <c r="N116218" s="209"/>
      <c r="O116218" s="209"/>
    </row>
    <row r="116219" spans="1:15" s="210" customFormat="1" x14ac:dyDescent="0.3">
      <c r="A116219" s="12"/>
      <c r="B116219" s="15"/>
      <c r="C116219" s="15"/>
      <c r="D116219" s="12"/>
      <c r="E116219" s="12"/>
      <c r="F116219" s="13"/>
      <c r="G116219" s="12"/>
      <c r="H116219" s="12"/>
      <c r="I116219" s="12"/>
      <c r="J116219" s="12"/>
      <c r="K116219" s="12"/>
      <c r="L116219" s="208"/>
      <c r="M116219" s="209"/>
      <c r="N116219" s="209"/>
      <c r="O116219" s="209"/>
    </row>
    <row r="116220" spans="1:15" s="210" customFormat="1" x14ac:dyDescent="0.3">
      <c r="A116220" s="12"/>
      <c r="B116220" s="15"/>
      <c r="C116220" s="15"/>
      <c r="D116220" s="12"/>
      <c r="E116220" s="12"/>
      <c r="F116220" s="13"/>
      <c r="G116220" s="12"/>
      <c r="H116220" s="12"/>
      <c r="I116220" s="12"/>
      <c r="J116220" s="12"/>
      <c r="K116220" s="12"/>
      <c r="L116220" s="208"/>
      <c r="M116220" s="209"/>
      <c r="N116220" s="209"/>
      <c r="O116220" s="209"/>
    </row>
    <row r="116221" spans="1:15" s="210" customFormat="1" x14ac:dyDescent="0.3">
      <c r="A116221" s="12"/>
      <c r="B116221" s="15"/>
      <c r="C116221" s="15"/>
      <c r="D116221" s="12"/>
      <c r="E116221" s="12"/>
      <c r="F116221" s="13"/>
      <c r="G116221" s="12"/>
      <c r="H116221" s="12"/>
      <c r="I116221" s="12"/>
      <c r="J116221" s="12"/>
      <c r="K116221" s="12"/>
      <c r="L116221" s="208"/>
      <c r="M116221" s="209"/>
      <c r="N116221" s="209"/>
      <c r="O116221" s="209"/>
    </row>
    <row r="116222" spans="1:15" s="210" customFormat="1" x14ac:dyDescent="0.3">
      <c r="A116222" s="12"/>
      <c r="B116222" s="15"/>
      <c r="C116222" s="15"/>
      <c r="D116222" s="12"/>
      <c r="E116222" s="12"/>
      <c r="F116222" s="13"/>
      <c r="G116222" s="12"/>
      <c r="H116222" s="12"/>
      <c r="I116222" s="12"/>
      <c r="J116222" s="12"/>
      <c r="K116222" s="12"/>
      <c r="L116222" s="208"/>
      <c r="M116222" s="209"/>
      <c r="N116222" s="209"/>
      <c r="O116222" s="209"/>
    </row>
    <row r="116223" spans="1:15" s="210" customFormat="1" x14ac:dyDescent="0.3">
      <c r="A116223" s="12"/>
      <c r="B116223" s="15"/>
      <c r="C116223" s="15"/>
      <c r="D116223" s="12"/>
      <c r="E116223" s="12"/>
      <c r="F116223" s="13"/>
      <c r="G116223" s="12"/>
      <c r="H116223" s="12"/>
      <c r="I116223" s="12"/>
      <c r="J116223" s="12"/>
      <c r="K116223" s="12"/>
      <c r="L116223" s="208"/>
      <c r="M116223" s="209"/>
      <c r="N116223" s="209"/>
      <c r="O116223" s="209"/>
    </row>
    <row r="116224" spans="1:15" s="210" customFormat="1" x14ac:dyDescent="0.3">
      <c r="A116224" s="12"/>
      <c r="B116224" s="15"/>
      <c r="C116224" s="15"/>
      <c r="D116224" s="12"/>
      <c r="E116224" s="12"/>
      <c r="F116224" s="13"/>
      <c r="G116224" s="12"/>
      <c r="H116224" s="12"/>
      <c r="I116224" s="12"/>
      <c r="J116224" s="12"/>
      <c r="K116224" s="12"/>
      <c r="L116224" s="208"/>
      <c r="M116224" s="209"/>
      <c r="N116224" s="209"/>
      <c r="O116224" s="209"/>
    </row>
    <row r="116225" spans="1:15" s="210" customFormat="1" x14ac:dyDescent="0.3">
      <c r="A116225" s="12"/>
      <c r="B116225" s="15"/>
      <c r="C116225" s="15"/>
      <c r="D116225" s="12"/>
      <c r="E116225" s="12"/>
      <c r="F116225" s="13"/>
      <c r="G116225" s="12"/>
      <c r="H116225" s="12"/>
      <c r="I116225" s="12"/>
      <c r="J116225" s="12"/>
      <c r="K116225" s="12"/>
      <c r="L116225" s="208"/>
      <c r="M116225" s="209"/>
      <c r="N116225" s="209"/>
      <c r="O116225" s="209"/>
    </row>
    <row r="116226" spans="1:15" s="210" customFormat="1" x14ac:dyDescent="0.3">
      <c r="A116226" s="12"/>
      <c r="B116226" s="15"/>
      <c r="C116226" s="15"/>
      <c r="D116226" s="12"/>
      <c r="E116226" s="12"/>
      <c r="F116226" s="13"/>
      <c r="G116226" s="12"/>
      <c r="H116226" s="12"/>
      <c r="I116226" s="12"/>
      <c r="J116226" s="12"/>
      <c r="K116226" s="12"/>
      <c r="L116226" s="208"/>
      <c r="M116226" s="209"/>
      <c r="N116226" s="209"/>
      <c r="O116226" s="209"/>
    </row>
    <row r="116227" spans="1:15" s="210" customFormat="1" x14ac:dyDescent="0.3">
      <c r="A116227" s="12"/>
      <c r="B116227" s="15"/>
      <c r="C116227" s="15"/>
      <c r="D116227" s="12"/>
      <c r="E116227" s="12"/>
      <c r="F116227" s="13"/>
      <c r="G116227" s="12"/>
      <c r="H116227" s="12"/>
      <c r="I116227" s="12"/>
      <c r="J116227" s="12"/>
      <c r="K116227" s="12"/>
      <c r="L116227" s="208"/>
      <c r="M116227" s="209"/>
      <c r="N116227" s="209"/>
      <c r="O116227" s="209"/>
    </row>
    <row r="116228" spans="1:15" s="210" customFormat="1" x14ac:dyDescent="0.3">
      <c r="A116228" s="12"/>
      <c r="B116228" s="15"/>
      <c r="C116228" s="15"/>
      <c r="D116228" s="12"/>
      <c r="E116228" s="12"/>
      <c r="F116228" s="13"/>
      <c r="G116228" s="12"/>
      <c r="H116228" s="12"/>
      <c r="I116228" s="12"/>
      <c r="J116228" s="12"/>
      <c r="K116228" s="12"/>
      <c r="L116228" s="208"/>
      <c r="M116228" s="209"/>
      <c r="N116228" s="209"/>
      <c r="O116228" s="209"/>
    </row>
    <row r="116229" spans="1:15" s="210" customFormat="1" x14ac:dyDescent="0.3">
      <c r="A116229" s="12"/>
      <c r="B116229" s="15"/>
      <c r="C116229" s="15"/>
      <c r="D116229" s="12"/>
      <c r="E116229" s="12"/>
      <c r="F116229" s="13"/>
      <c r="G116229" s="12"/>
      <c r="H116229" s="12"/>
      <c r="I116229" s="12"/>
      <c r="J116229" s="12"/>
      <c r="K116229" s="12"/>
      <c r="L116229" s="208"/>
      <c r="M116229" s="209"/>
      <c r="N116229" s="209"/>
      <c r="O116229" s="209"/>
    </row>
    <row r="116230" spans="1:15" s="210" customFormat="1" x14ac:dyDescent="0.3">
      <c r="A116230" s="12"/>
      <c r="B116230" s="15"/>
      <c r="C116230" s="15"/>
      <c r="D116230" s="12"/>
      <c r="E116230" s="12"/>
      <c r="F116230" s="13"/>
      <c r="G116230" s="12"/>
      <c r="H116230" s="12"/>
      <c r="I116230" s="12"/>
      <c r="J116230" s="12"/>
      <c r="K116230" s="12"/>
      <c r="L116230" s="208"/>
      <c r="M116230" s="209"/>
      <c r="N116230" s="209"/>
      <c r="O116230" s="209"/>
    </row>
    <row r="116231" spans="1:15" s="210" customFormat="1" x14ac:dyDescent="0.3">
      <c r="A116231" s="12"/>
      <c r="B116231" s="15"/>
      <c r="C116231" s="15"/>
      <c r="D116231" s="12"/>
      <c r="E116231" s="12"/>
      <c r="F116231" s="13"/>
      <c r="G116231" s="12"/>
      <c r="H116231" s="12"/>
      <c r="I116231" s="12"/>
      <c r="J116231" s="12"/>
      <c r="K116231" s="12"/>
      <c r="L116231" s="208"/>
      <c r="M116231" s="209"/>
      <c r="N116231" s="209"/>
      <c r="O116231" s="209"/>
    </row>
    <row r="116232" spans="1:15" s="210" customFormat="1" x14ac:dyDescent="0.3">
      <c r="A116232" s="12"/>
      <c r="B116232" s="15"/>
      <c r="C116232" s="15"/>
      <c r="D116232" s="12"/>
      <c r="E116232" s="12"/>
      <c r="F116232" s="13"/>
      <c r="G116232" s="12"/>
      <c r="H116232" s="12"/>
      <c r="I116232" s="12"/>
      <c r="J116232" s="12"/>
      <c r="K116232" s="12"/>
      <c r="L116232" s="208"/>
      <c r="M116232" s="209"/>
      <c r="N116232" s="209"/>
      <c r="O116232" s="209"/>
    </row>
    <row r="116233" spans="1:15" s="210" customFormat="1" x14ac:dyDescent="0.3">
      <c r="A116233" s="12"/>
      <c r="B116233" s="15"/>
      <c r="C116233" s="15"/>
      <c r="D116233" s="12"/>
      <c r="E116233" s="12"/>
      <c r="F116233" s="13"/>
      <c r="G116233" s="12"/>
      <c r="H116233" s="12"/>
      <c r="I116233" s="12"/>
      <c r="J116233" s="12"/>
      <c r="K116233" s="12"/>
      <c r="L116233" s="208"/>
      <c r="M116233" s="209"/>
      <c r="N116233" s="209"/>
      <c r="O116233" s="209"/>
    </row>
    <row r="116234" spans="1:15" s="210" customFormat="1" x14ac:dyDescent="0.3">
      <c r="A116234" s="12"/>
      <c r="B116234" s="15"/>
      <c r="C116234" s="15"/>
      <c r="D116234" s="12"/>
      <c r="E116234" s="12"/>
      <c r="F116234" s="13"/>
      <c r="G116234" s="12"/>
      <c r="H116234" s="12"/>
      <c r="I116234" s="12"/>
      <c r="J116234" s="12"/>
      <c r="K116234" s="12"/>
      <c r="L116234" s="208"/>
      <c r="M116234" s="209"/>
      <c r="N116234" s="209"/>
      <c r="O116234" s="209"/>
    </row>
    <row r="116235" spans="1:15" s="210" customFormat="1" x14ac:dyDescent="0.3">
      <c r="A116235" s="12"/>
      <c r="B116235" s="15"/>
      <c r="C116235" s="15"/>
      <c r="D116235" s="12"/>
      <c r="E116235" s="12"/>
      <c r="F116235" s="13"/>
      <c r="G116235" s="12"/>
      <c r="H116235" s="12"/>
      <c r="I116235" s="12"/>
      <c r="J116235" s="12"/>
      <c r="K116235" s="12"/>
      <c r="L116235" s="208"/>
      <c r="M116235" s="209"/>
      <c r="N116235" s="209"/>
      <c r="O116235" s="209"/>
    </row>
    <row r="116236" spans="1:15" s="210" customFormat="1" x14ac:dyDescent="0.3">
      <c r="A116236" s="12"/>
      <c r="B116236" s="15"/>
      <c r="C116236" s="15"/>
      <c r="D116236" s="12"/>
      <c r="E116236" s="12"/>
      <c r="F116236" s="13"/>
      <c r="G116236" s="12"/>
      <c r="H116236" s="12"/>
      <c r="I116236" s="12"/>
      <c r="J116236" s="12"/>
      <c r="K116236" s="12"/>
      <c r="L116236" s="208"/>
      <c r="M116236" s="209"/>
      <c r="N116236" s="209"/>
      <c r="O116236" s="209"/>
    </row>
    <row r="116237" spans="1:15" s="210" customFormat="1" x14ac:dyDescent="0.3">
      <c r="A116237" s="12"/>
      <c r="B116237" s="15"/>
      <c r="C116237" s="15"/>
      <c r="D116237" s="12"/>
      <c r="E116237" s="12"/>
      <c r="F116237" s="13"/>
      <c r="G116237" s="12"/>
      <c r="H116237" s="12"/>
      <c r="I116237" s="12"/>
      <c r="J116237" s="12"/>
      <c r="K116237" s="12"/>
      <c r="L116237" s="208"/>
      <c r="M116237" s="209"/>
      <c r="N116237" s="209"/>
      <c r="O116237" s="209"/>
    </row>
    <row r="116238" spans="1:15" s="210" customFormat="1" x14ac:dyDescent="0.3">
      <c r="A116238" s="12"/>
      <c r="B116238" s="15"/>
      <c r="C116238" s="15"/>
      <c r="D116238" s="12"/>
      <c r="E116238" s="12"/>
      <c r="F116238" s="13"/>
      <c r="G116238" s="12"/>
      <c r="H116238" s="12"/>
      <c r="I116238" s="12"/>
      <c r="J116238" s="12"/>
      <c r="K116238" s="12"/>
      <c r="L116238" s="208"/>
      <c r="M116238" s="209"/>
      <c r="N116238" s="209"/>
      <c r="O116238" s="209"/>
    </row>
    <row r="116239" spans="1:15" s="210" customFormat="1" x14ac:dyDescent="0.3">
      <c r="A116239" s="12"/>
      <c r="B116239" s="15"/>
      <c r="C116239" s="15"/>
      <c r="D116239" s="12"/>
      <c r="E116239" s="12"/>
      <c r="F116239" s="13"/>
      <c r="G116239" s="12"/>
      <c r="H116239" s="12"/>
      <c r="I116239" s="12"/>
      <c r="J116239" s="12"/>
      <c r="K116239" s="12"/>
      <c r="L116239" s="208"/>
      <c r="M116239" s="209"/>
      <c r="N116239" s="209"/>
      <c r="O116239" s="209"/>
    </row>
    <row r="116240" spans="1:15" s="210" customFormat="1" x14ac:dyDescent="0.3">
      <c r="A116240" s="12"/>
      <c r="B116240" s="15"/>
      <c r="C116240" s="15"/>
      <c r="D116240" s="12"/>
      <c r="E116240" s="12"/>
      <c r="F116240" s="13"/>
      <c r="G116240" s="12"/>
      <c r="H116240" s="12"/>
      <c r="I116240" s="12"/>
      <c r="J116240" s="12"/>
      <c r="K116240" s="12"/>
      <c r="L116240" s="208"/>
      <c r="M116240" s="209"/>
      <c r="N116240" s="209"/>
      <c r="O116240" s="209"/>
    </row>
    <row r="116241" spans="1:15" s="210" customFormat="1" x14ac:dyDescent="0.3">
      <c r="A116241" s="12"/>
      <c r="B116241" s="15"/>
      <c r="C116241" s="15"/>
      <c r="D116241" s="12"/>
      <c r="E116241" s="12"/>
      <c r="F116241" s="13"/>
      <c r="G116241" s="12"/>
      <c r="H116241" s="12"/>
      <c r="I116241" s="12"/>
      <c r="J116241" s="12"/>
      <c r="K116241" s="12"/>
      <c r="L116241" s="208"/>
      <c r="M116241" s="209"/>
      <c r="N116241" s="209"/>
      <c r="O116241" s="209"/>
    </row>
    <row r="116242" spans="1:15" s="210" customFormat="1" x14ac:dyDescent="0.3">
      <c r="A116242" s="12"/>
      <c r="B116242" s="15"/>
      <c r="C116242" s="15"/>
      <c r="D116242" s="12"/>
      <c r="E116242" s="12"/>
      <c r="F116242" s="13"/>
      <c r="G116242" s="12"/>
      <c r="H116242" s="12"/>
      <c r="I116242" s="12"/>
      <c r="J116242" s="12"/>
      <c r="K116242" s="12"/>
      <c r="L116242" s="208"/>
      <c r="M116242" s="209"/>
      <c r="N116242" s="209"/>
      <c r="O116242" s="209"/>
    </row>
    <row r="116243" spans="1:15" s="210" customFormat="1" x14ac:dyDescent="0.3">
      <c r="A116243" s="12"/>
      <c r="B116243" s="15"/>
      <c r="C116243" s="15"/>
      <c r="D116243" s="12"/>
      <c r="E116243" s="12"/>
      <c r="F116243" s="13"/>
      <c r="G116243" s="12"/>
      <c r="H116243" s="12"/>
      <c r="I116243" s="12"/>
      <c r="J116243" s="12"/>
      <c r="K116243" s="12"/>
      <c r="L116243" s="208"/>
      <c r="M116243" s="209"/>
      <c r="N116243" s="209"/>
      <c r="O116243" s="209"/>
    </row>
    <row r="116244" spans="1:15" s="210" customFormat="1" x14ac:dyDescent="0.3">
      <c r="A116244" s="12"/>
      <c r="B116244" s="15"/>
      <c r="C116244" s="15"/>
      <c r="D116244" s="12"/>
      <c r="E116244" s="12"/>
      <c r="F116244" s="13"/>
      <c r="G116244" s="12"/>
      <c r="H116244" s="12"/>
      <c r="I116244" s="12"/>
      <c r="J116244" s="12"/>
      <c r="K116244" s="12"/>
      <c r="L116244" s="208"/>
      <c r="M116244" s="209"/>
      <c r="N116244" s="209"/>
      <c r="O116244" s="209"/>
    </row>
    <row r="116245" spans="1:15" s="210" customFormat="1" x14ac:dyDescent="0.3">
      <c r="A116245" s="12"/>
      <c r="B116245" s="15"/>
      <c r="C116245" s="15"/>
      <c r="D116245" s="12"/>
      <c r="E116245" s="12"/>
      <c r="F116245" s="13"/>
      <c r="G116245" s="12"/>
      <c r="H116245" s="12"/>
      <c r="I116245" s="12"/>
      <c r="J116245" s="12"/>
      <c r="K116245" s="12"/>
      <c r="L116245" s="208"/>
      <c r="M116245" s="209"/>
      <c r="N116245" s="209"/>
      <c r="O116245" s="209"/>
    </row>
    <row r="116246" spans="1:15" s="210" customFormat="1" x14ac:dyDescent="0.3">
      <c r="A116246" s="12"/>
      <c r="B116246" s="15"/>
      <c r="C116246" s="15"/>
      <c r="D116246" s="12"/>
      <c r="E116246" s="12"/>
      <c r="F116246" s="13"/>
      <c r="G116246" s="12"/>
      <c r="H116246" s="12"/>
      <c r="I116246" s="12"/>
      <c r="J116246" s="12"/>
      <c r="K116246" s="12"/>
      <c r="L116246" s="208"/>
      <c r="M116246" s="209"/>
      <c r="N116246" s="209"/>
      <c r="O116246" s="209"/>
    </row>
    <row r="116247" spans="1:15" s="210" customFormat="1" x14ac:dyDescent="0.3">
      <c r="A116247" s="12"/>
      <c r="B116247" s="15"/>
      <c r="C116247" s="15"/>
      <c r="D116247" s="12"/>
      <c r="E116247" s="12"/>
      <c r="F116247" s="13"/>
      <c r="G116247" s="12"/>
      <c r="H116247" s="12"/>
      <c r="I116247" s="12"/>
      <c r="J116247" s="12"/>
      <c r="K116247" s="12"/>
      <c r="L116247" s="208"/>
      <c r="M116247" s="209"/>
      <c r="N116247" s="209"/>
      <c r="O116247" s="209"/>
    </row>
    <row r="116248" spans="1:15" s="210" customFormat="1" x14ac:dyDescent="0.3">
      <c r="A116248" s="12"/>
      <c r="B116248" s="15"/>
      <c r="C116248" s="15"/>
      <c r="D116248" s="12"/>
      <c r="E116248" s="12"/>
      <c r="F116248" s="13"/>
      <c r="G116248" s="12"/>
      <c r="H116248" s="12"/>
      <c r="I116248" s="12"/>
      <c r="J116248" s="12"/>
      <c r="K116248" s="12"/>
      <c r="L116248" s="208"/>
      <c r="M116248" s="209"/>
      <c r="N116248" s="209"/>
      <c r="O116248" s="209"/>
    </row>
    <row r="116249" spans="1:15" s="210" customFormat="1" x14ac:dyDescent="0.3">
      <c r="A116249" s="12"/>
      <c r="B116249" s="15"/>
      <c r="C116249" s="15"/>
      <c r="D116249" s="12"/>
      <c r="E116249" s="12"/>
      <c r="F116249" s="13"/>
      <c r="G116249" s="12"/>
      <c r="H116249" s="12"/>
      <c r="I116249" s="12"/>
      <c r="J116249" s="12"/>
      <c r="K116249" s="12"/>
      <c r="L116249" s="208"/>
      <c r="M116249" s="209"/>
      <c r="N116249" s="209"/>
      <c r="O116249" s="209"/>
    </row>
    <row r="116250" spans="1:15" s="210" customFormat="1" x14ac:dyDescent="0.3">
      <c r="A116250" s="12"/>
      <c r="B116250" s="15"/>
      <c r="C116250" s="15"/>
      <c r="D116250" s="12"/>
      <c r="E116250" s="12"/>
      <c r="F116250" s="13"/>
      <c r="G116250" s="12"/>
      <c r="H116250" s="12"/>
      <c r="I116250" s="12"/>
      <c r="J116250" s="12"/>
      <c r="K116250" s="12"/>
      <c r="L116250" s="208"/>
      <c r="M116250" s="209"/>
      <c r="N116250" s="209"/>
      <c r="O116250" s="209"/>
    </row>
    <row r="116251" spans="1:15" s="210" customFormat="1" x14ac:dyDescent="0.3">
      <c r="A116251" s="12"/>
      <c r="B116251" s="15"/>
      <c r="C116251" s="15"/>
      <c r="D116251" s="12"/>
      <c r="E116251" s="12"/>
      <c r="F116251" s="13"/>
      <c r="G116251" s="12"/>
      <c r="H116251" s="12"/>
      <c r="I116251" s="12"/>
      <c r="J116251" s="12"/>
      <c r="K116251" s="12"/>
      <c r="L116251" s="208"/>
      <c r="M116251" s="209"/>
      <c r="N116251" s="209"/>
      <c r="O116251" s="209"/>
    </row>
    <row r="116252" spans="1:15" s="210" customFormat="1" x14ac:dyDescent="0.3">
      <c r="A116252" s="12"/>
      <c r="B116252" s="15"/>
      <c r="C116252" s="15"/>
      <c r="D116252" s="12"/>
      <c r="E116252" s="12"/>
      <c r="F116252" s="13"/>
      <c r="G116252" s="12"/>
      <c r="H116252" s="12"/>
      <c r="I116252" s="12"/>
      <c r="J116252" s="12"/>
      <c r="K116252" s="12"/>
      <c r="L116252" s="208"/>
      <c r="M116252" s="209"/>
      <c r="N116252" s="209"/>
      <c r="O116252" s="209"/>
    </row>
    <row r="116253" spans="1:15" s="210" customFormat="1" x14ac:dyDescent="0.3">
      <c r="A116253" s="12"/>
      <c r="B116253" s="15"/>
      <c r="C116253" s="15"/>
      <c r="D116253" s="12"/>
      <c r="E116253" s="12"/>
      <c r="F116253" s="13"/>
      <c r="G116253" s="12"/>
      <c r="H116253" s="12"/>
      <c r="I116253" s="12"/>
      <c r="J116253" s="12"/>
      <c r="K116253" s="12"/>
      <c r="L116253" s="208"/>
      <c r="M116253" s="209"/>
      <c r="N116253" s="209"/>
      <c r="O116253" s="209"/>
    </row>
    <row r="116254" spans="1:15" s="210" customFormat="1" x14ac:dyDescent="0.3">
      <c r="A116254" s="12"/>
      <c r="B116254" s="15"/>
      <c r="C116254" s="15"/>
      <c r="D116254" s="12"/>
      <c r="E116254" s="12"/>
      <c r="F116254" s="13"/>
      <c r="G116254" s="12"/>
      <c r="H116254" s="12"/>
      <c r="I116254" s="12"/>
      <c r="J116254" s="12"/>
      <c r="K116254" s="12"/>
      <c r="L116254" s="208"/>
      <c r="M116254" s="209"/>
      <c r="N116254" s="209"/>
      <c r="O116254" s="209"/>
    </row>
    <row r="116255" spans="1:15" s="210" customFormat="1" x14ac:dyDescent="0.3">
      <c r="A116255" s="12"/>
      <c r="B116255" s="15"/>
      <c r="C116255" s="15"/>
      <c r="D116255" s="12"/>
      <c r="E116255" s="12"/>
      <c r="F116255" s="13"/>
      <c r="G116255" s="12"/>
      <c r="H116255" s="12"/>
      <c r="I116255" s="12"/>
      <c r="J116255" s="12"/>
      <c r="K116255" s="12"/>
      <c r="L116255" s="208"/>
      <c r="M116255" s="209"/>
      <c r="N116255" s="209"/>
      <c r="O116255" s="209"/>
    </row>
    <row r="116256" spans="1:15" s="210" customFormat="1" x14ac:dyDescent="0.3">
      <c r="A116256" s="12"/>
      <c r="B116256" s="15"/>
      <c r="C116256" s="15"/>
      <c r="D116256" s="12"/>
      <c r="E116256" s="12"/>
      <c r="F116256" s="13"/>
      <c r="G116256" s="12"/>
      <c r="H116256" s="12"/>
      <c r="I116256" s="12"/>
      <c r="J116256" s="12"/>
      <c r="K116256" s="12"/>
      <c r="L116256" s="208"/>
      <c r="M116256" s="209"/>
      <c r="N116256" s="209"/>
      <c r="O116256" s="209"/>
    </row>
    <row r="116257" spans="1:15" s="210" customFormat="1" x14ac:dyDescent="0.3">
      <c r="A116257" s="12"/>
      <c r="B116257" s="15"/>
      <c r="C116257" s="15"/>
      <c r="D116257" s="12"/>
      <c r="E116257" s="12"/>
      <c r="F116257" s="13"/>
      <c r="G116257" s="12"/>
      <c r="H116257" s="12"/>
      <c r="I116257" s="12"/>
      <c r="J116257" s="12"/>
      <c r="K116257" s="12"/>
      <c r="L116257" s="208"/>
      <c r="M116257" s="209"/>
      <c r="N116257" s="209"/>
      <c r="O116257" s="209"/>
    </row>
    <row r="116258" spans="1:15" s="210" customFormat="1" x14ac:dyDescent="0.3">
      <c r="A116258" s="12"/>
      <c r="B116258" s="15"/>
      <c r="C116258" s="15"/>
      <c r="D116258" s="12"/>
      <c r="E116258" s="12"/>
      <c r="F116258" s="13"/>
      <c r="G116258" s="12"/>
      <c r="H116258" s="12"/>
      <c r="I116258" s="12"/>
      <c r="J116258" s="12"/>
      <c r="K116258" s="12"/>
      <c r="L116258" s="208"/>
      <c r="M116258" s="209"/>
      <c r="N116258" s="209"/>
      <c r="O116258" s="209"/>
    </row>
    <row r="116259" spans="1:15" s="210" customFormat="1" x14ac:dyDescent="0.3">
      <c r="A116259" s="12"/>
      <c r="B116259" s="15"/>
      <c r="C116259" s="15"/>
      <c r="D116259" s="12"/>
      <c r="E116259" s="12"/>
      <c r="F116259" s="13"/>
      <c r="G116259" s="12"/>
      <c r="H116259" s="12"/>
      <c r="I116259" s="12"/>
      <c r="J116259" s="12"/>
      <c r="K116259" s="12"/>
      <c r="L116259" s="208"/>
      <c r="M116259" s="209"/>
      <c r="N116259" s="209"/>
      <c r="O116259" s="209"/>
    </row>
    <row r="116260" spans="1:15" s="210" customFormat="1" x14ac:dyDescent="0.3">
      <c r="A116260" s="12"/>
      <c r="B116260" s="15"/>
      <c r="C116260" s="15"/>
      <c r="D116260" s="12"/>
      <c r="E116260" s="12"/>
      <c r="F116260" s="13"/>
      <c r="G116260" s="12"/>
      <c r="H116260" s="12"/>
      <c r="I116260" s="12"/>
      <c r="J116260" s="12"/>
      <c r="K116260" s="12"/>
      <c r="L116260" s="208"/>
      <c r="M116260" s="209"/>
      <c r="N116260" s="209"/>
      <c r="O116260" s="209"/>
    </row>
    <row r="116261" spans="1:15" s="210" customFormat="1" x14ac:dyDescent="0.3">
      <c r="A116261" s="12"/>
      <c r="B116261" s="15"/>
      <c r="C116261" s="15"/>
      <c r="D116261" s="12"/>
      <c r="E116261" s="12"/>
      <c r="F116261" s="13"/>
      <c r="G116261" s="12"/>
      <c r="H116261" s="12"/>
      <c r="I116261" s="12"/>
      <c r="J116261" s="12"/>
      <c r="K116261" s="12"/>
      <c r="L116261" s="208"/>
      <c r="M116261" s="209"/>
      <c r="N116261" s="209"/>
      <c r="O116261" s="209"/>
    </row>
    <row r="116262" spans="1:15" s="210" customFormat="1" x14ac:dyDescent="0.3">
      <c r="A116262" s="12"/>
      <c r="B116262" s="15"/>
      <c r="C116262" s="15"/>
      <c r="D116262" s="12"/>
      <c r="E116262" s="12"/>
      <c r="F116262" s="13"/>
      <c r="G116262" s="12"/>
      <c r="H116262" s="12"/>
      <c r="I116262" s="12"/>
      <c r="J116262" s="12"/>
      <c r="K116262" s="12"/>
      <c r="L116262" s="208"/>
      <c r="M116262" s="209"/>
      <c r="N116262" s="209"/>
      <c r="O116262" s="209"/>
    </row>
    <row r="116263" spans="1:15" s="210" customFormat="1" x14ac:dyDescent="0.3">
      <c r="A116263" s="12"/>
      <c r="B116263" s="15"/>
      <c r="C116263" s="15"/>
      <c r="D116263" s="12"/>
      <c r="E116263" s="12"/>
      <c r="F116263" s="13"/>
      <c r="G116263" s="12"/>
      <c r="H116263" s="12"/>
      <c r="I116263" s="12"/>
      <c r="J116263" s="12"/>
      <c r="K116263" s="12"/>
      <c r="L116263" s="208"/>
      <c r="M116263" s="209"/>
      <c r="N116263" s="209"/>
      <c r="O116263" s="209"/>
    </row>
    <row r="116264" spans="1:15" s="210" customFormat="1" x14ac:dyDescent="0.3">
      <c r="A116264" s="12"/>
      <c r="B116264" s="15"/>
      <c r="C116264" s="15"/>
      <c r="D116264" s="12"/>
      <c r="E116264" s="12"/>
      <c r="F116264" s="13"/>
      <c r="G116264" s="12"/>
      <c r="H116264" s="12"/>
      <c r="I116264" s="12"/>
      <c r="J116264" s="12"/>
      <c r="K116264" s="12"/>
      <c r="L116264" s="208"/>
      <c r="M116264" s="209"/>
      <c r="N116264" s="209"/>
      <c r="O116264" s="209"/>
    </row>
    <row r="116265" spans="1:15" s="210" customFormat="1" x14ac:dyDescent="0.3">
      <c r="A116265" s="12"/>
      <c r="B116265" s="15"/>
      <c r="C116265" s="15"/>
      <c r="D116265" s="12"/>
      <c r="E116265" s="12"/>
      <c r="F116265" s="13"/>
      <c r="G116265" s="12"/>
      <c r="H116265" s="12"/>
      <c r="I116265" s="12"/>
      <c r="J116265" s="12"/>
      <c r="K116265" s="12"/>
      <c r="L116265" s="208"/>
      <c r="M116265" s="209"/>
      <c r="N116265" s="209"/>
      <c r="O116265" s="209"/>
    </row>
    <row r="116266" spans="1:15" s="210" customFormat="1" x14ac:dyDescent="0.3">
      <c r="A116266" s="12"/>
      <c r="B116266" s="15"/>
      <c r="C116266" s="15"/>
      <c r="D116266" s="12"/>
      <c r="E116266" s="12"/>
      <c r="F116266" s="13"/>
      <c r="G116266" s="12"/>
      <c r="H116266" s="12"/>
      <c r="I116266" s="12"/>
      <c r="J116266" s="12"/>
      <c r="K116266" s="12"/>
      <c r="L116266" s="208"/>
      <c r="M116266" s="209"/>
      <c r="N116266" s="209"/>
      <c r="O116266" s="209"/>
    </row>
    <row r="116267" spans="1:15" s="210" customFormat="1" x14ac:dyDescent="0.3">
      <c r="A116267" s="12"/>
      <c r="B116267" s="15"/>
      <c r="C116267" s="15"/>
      <c r="D116267" s="12"/>
      <c r="E116267" s="12"/>
      <c r="F116267" s="13"/>
      <c r="G116267" s="12"/>
      <c r="H116267" s="12"/>
      <c r="I116267" s="12"/>
      <c r="J116267" s="12"/>
      <c r="K116267" s="12"/>
      <c r="L116267" s="208"/>
      <c r="M116267" s="209"/>
      <c r="N116267" s="209"/>
      <c r="O116267" s="209"/>
    </row>
    <row r="116268" spans="1:15" s="210" customFormat="1" x14ac:dyDescent="0.3">
      <c r="A116268" s="12"/>
      <c r="B116268" s="15"/>
      <c r="C116268" s="15"/>
      <c r="D116268" s="12"/>
      <c r="E116268" s="12"/>
      <c r="F116268" s="13"/>
      <c r="G116268" s="12"/>
      <c r="H116268" s="12"/>
      <c r="I116268" s="12"/>
      <c r="J116268" s="12"/>
      <c r="K116268" s="12"/>
      <c r="L116268" s="208"/>
      <c r="M116268" s="209"/>
      <c r="N116268" s="209"/>
      <c r="O116268" s="209"/>
    </row>
    <row r="116269" spans="1:15" s="210" customFormat="1" x14ac:dyDescent="0.3">
      <c r="A116269" s="12"/>
      <c r="B116269" s="15"/>
      <c r="C116269" s="15"/>
      <c r="D116269" s="12"/>
      <c r="E116269" s="12"/>
      <c r="F116269" s="13"/>
      <c r="G116269" s="12"/>
      <c r="H116269" s="12"/>
      <c r="I116269" s="12"/>
      <c r="J116269" s="12"/>
      <c r="K116269" s="12"/>
      <c r="L116269" s="208"/>
      <c r="M116269" s="209"/>
      <c r="N116269" s="209"/>
      <c r="O116269" s="209"/>
    </row>
    <row r="116270" spans="1:15" s="210" customFormat="1" x14ac:dyDescent="0.3">
      <c r="A116270" s="12"/>
      <c r="B116270" s="15"/>
      <c r="C116270" s="15"/>
      <c r="D116270" s="12"/>
      <c r="E116270" s="12"/>
      <c r="F116270" s="13"/>
      <c r="G116270" s="12"/>
      <c r="H116270" s="12"/>
      <c r="I116270" s="12"/>
      <c r="J116270" s="12"/>
      <c r="K116270" s="12"/>
      <c r="L116270" s="208"/>
      <c r="M116270" s="209"/>
      <c r="N116270" s="209"/>
      <c r="O116270" s="209"/>
    </row>
    <row r="116271" spans="1:15" s="210" customFormat="1" x14ac:dyDescent="0.3">
      <c r="A116271" s="12"/>
      <c r="B116271" s="15"/>
      <c r="C116271" s="15"/>
      <c r="D116271" s="12"/>
      <c r="E116271" s="12"/>
      <c r="F116271" s="13"/>
      <c r="G116271" s="12"/>
      <c r="H116271" s="12"/>
      <c r="I116271" s="12"/>
      <c r="J116271" s="12"/>
      <c r="K116271" s="12"/>
      <c r="L116271" s="208"/>
      <c r="M116271" s="209"/>
      <c r="N116271" s="209"/>
      <c r="O116271" s="209"/>
    </row>
    <row r="116272" spans="1:15" s="210" customFormat="1" x14ac:dyDescent="0.3">
      <c r="A116272" s="12"/>
      <c r="B116272" s="15"/>
      <c r="C116272" s="15"/>
      <c r="D116272" s="12"/>
      <c r="E116272" s="12"/>
      <c r="F116272" s="13"/>
      <c r="G116272" s="12"/>
      <c r="H116272" s="12"/>
      <c r="I116272" s="12"/>
      <c r="J116272" s="12"/>
      <c r="K116272" s="12"/>
      <c r="L116272" s="208"/>
      <c r="M116272" s="209"/>
      <c r="N116272" s="209"/>
      <c r="O116272" s="209"/>
    </row>
    <row r="116273" spans="1:15" s="210" customFormat="1" x14ac:dyDescent="0.3">
      <c r="A116273" s="12"/>
      <c r="B116273" s="15"/>
      <c r="C116273" s="15"/>
      <c r="D116273" s="12"/>
      <c r="E116273" s="12"/>
      <c r="F116273" s="13"/>
      <c r="G116273" s="12"/>
      <c r="H116273" s="12"/>
      <c r="I116273" s="12"/>
      <c r="J116273" s="12"/>
      <c r="K116273" s="12"/>
      <c r="L116273" s="208"/>
      <c r="M116273" s="209"/>
      <c r="N116273" s="209"/>
      <c r="O116273" s="209"/>
    </row>
    <row r="116274" spans="1:15" s="210" customFormat="1" x14ac:dyDescent="0.3">
      <c r="A116274" s="12"/>
      <c r="B116274" s="15"/>
      <c r="C116274" s="15"/>
      <c r="D116274" s="12"/>
      <c r="E116274" s="12"/>
      <c r="F116274" s="13"/>
      <c r="G116274" s="12"/>
      <c r="H116274" s="12"/>
      <c r="I116274" s="12"/>
      <c r="J116274" s="12"/>
      <c r="K116274" s="12"/>
      <c r="L116274" s="208"/>
      <c r="M116274" s="209"/>
      <c r="N116274" s="209"/>
      <c r="O116274" s="209"/>
    </row>
    <row r="116275" spans="1:15" s="210" customFormat="1" x14ac:dyDescent="0.3">
      <c r="A116275" s="12"/>
      <c r="B116275" s="15"/>
      <c r="C116275" s="15"/>
      <c r="D116275" s="12"/>
      <c r="E116275" s="12"/>
      <c r="F116275" s="13"/>
      <c r="G116275" s="12"/>
      <c r="H116275" s="12"/>
      <c r="I116275" s="12"/>
      <c r="J116275" s="12"/>
      <c r="K116275" s="12"/>
      <c r="L116275" s="208"/>
      <c r="M116275" s="209"/>
      <c r="N116275" s="209"/>
      <c r="O116275" s="209"/>
    </row>
    <row r="116276" spans="1:15" s="210" customFormat="1" x14ac:dyDescent="0.3">
      <c r="A116276" s="12"/>
      <c r="B116276" s="15"/>
      <c r="C116276" s="15"/>
      <c r="D116276" s="12"/>
      <c r="E116276" s="12"/>
      <c r="F116276" s="13"/>
      <c r="G116276" s="12"/>
      <c r="H116276" s="12"/>
      <c r="I116276" s="12"/>
      <c r="J116276" s="12"/>
      <c r="K116276" s="12"/>
      <c r="L116276" s="208"/>
      <c r="M116276" s="209"/>
      <c r="N116276" s="209"/>
      <c r="O116276" s="209"/>
    </row>
    <row r="116277" spans="1:15" s="210" customFormat="1" x14ac:dyDescent="0.3">
      <c r="A116277" s="12"/>
      <c r="B116277" s="15"/>
      <c r="C116277" s="15"/>
      <c r="D116277" s="12"/>
      <c r="E116277" s="12"/>
      <c r="F116277" s="13"/>
      <c r="G116277" s="12"/>
      <c r="H116277" s="12"/>
      <c r="I116277" s="12"/>
      <c r="J116277" s="12"/>
      <c r="K116277" s="12"/>
      <c r="L116277" s="208"/>
      <c r="M116277" s="209"/>
      <c r="N116277" s="209"/>
      <c r="O116277" s="209"/>
    </row>
    <row r="116278" spans="1:15" s="210" customFormat="1" x14ac:dyDescent="0.3">
      <c r="A116278" s="12"/>
      <c r="B116278" s="15"/>
      <c r="C116278" s="15"/>
      <c r="D116278" s="12"/>
      <c r="E116278" s="12"/>
      <c r="F116278" s="13"/>
      <c r="G116278" s="12"/>
      <c r="H116278" s="12"/>
      <c r="I116278" s="12"/>
      <c r="J116278" s="12"/>
      <c r="K116278" s="12"/>
      <c r="L116278" s="208"/>
      <c r="M116278" s="209"/>
      <c r="N116278" s="209"/>
      <c r="O116278" s="209"/>
    </row>
    <row r="116279" spans="1:15" s="210" customFormat="1" x14ac:dyDescent="0.3">
      <c r="A116279" s="12"/>
      <c r="B116279" s="15"/>
      <c r="C116279" s="15"/>
      <c r="D116279" s="12"/>
      <c r="E116279" s="12"/>
      <c r="F116279" s="13"/>
      <c r="G116279" s="12"/>
      <c r="H116279" s="12"/>
      <c r="I116279" s="12"/>
      <c r="J116279" s="12"/>
      <c r="K116279" s="12"/>
      <c r="L116279" s="208"/>
      <c r="M116279" s="209"/>
      <c r="N116279" s="209"/>
      <c r="O116279" s="209"/>
    </row>
    <row r="116280" spans="1:15" s="210" customFormat="1" x14ac:dyDescent="0.3">
      <c r="A116280" s="12"/>
      <c r="B116280" s="15"/>
      <c r="C116280" s="15"/>
      <c r="D116280" s="12"/>
      <c r="E116280" s="12"/>
      <c r="F116280" s="13"/>
      <c r="G116280" s="12"/>
      <c r="H116280" s="12"/>
      <c r="I116280" s="12"/>
      <c r="J116280" s="12"/>
      <c r="K116280" s="12"/>
      <c r="L116280" s="208"/>
      <c r="M116280" s="209"/>
      <c r="N116280" s="209"/>
      <c r="O116280" s="209"/>
    </row>
    <row r="116281" spans="1:15" s="210" customFormat="1" x14ac:dyDescent="0.3">
      <c r="A116281" s="12"/>
      <c r="B116281" s="15"/>
      <c r="C116281" s="15"/>
      <c r="D116281" s="12"/>
      <c r="E116281" s="12"/>
      <c r="F116281" s="13"/>
      <c r="G116281" s="12"/>
      <c r="H116281" s="12"/>
      <c r="I116281" s="12"/>
      <c r="J116281" s="12"/>
      <c r="K116281" s="12"/>
      <c r="L116281" s="208"/>
      <c r="M116281" s="209"/>
      <c r="N116281" s="209"/>
      <c r="O116281" s="209"/>
    </row>
    <row r="116282" spans="1:15" s="210" customFormat="1" x14ac:dyDescent="0.3">
      <c r="A116282" s="12"/>
      <c r="B116282" s="15"/>
      <c r="C116282" s="15"/>
      <c r="D116282" s="12"/>
      <c r="E116282" s="12"/>
      <c r="F116282" s="13"/>
      <c r="G116282" s="12"/>
      <c r="H116282" s="12"/>
      <c r="I116282" s="12"/>
      <c r="J116282" s="12"/>
      <c r="K116282" s="12"/>
      <c r="L116282" s="208"/>
      <c r="M116282" s="209"/>
      <c r="N116282" s="209"/>
      <c r="O116282" s="209"/>
    </row>
    <row r="116283" spans="1:15" s="210" customFormat="1" x14ac:dyDescent="0.3">
      <c r="A116283" s="12"/>
      <c r="B116283" s="15"/>
      <c r="C116283" s="15"/>
      <c r="D116283" s="12"/>
      <c r="E116283" s="12"/>
      <c r="F116283" s="13"/>
      <c r="G116283" s="12"/>
      <c r="H116283" s="12"/>
      <c r="I116283" s="12"/>
      <c r="J116283" s="12"/>
      <c r="K116283" s="12"/>
      <c r="L116283" s="208"/>
      <c r="M116283" s="209"/>
      <c r="N116283" s="209"/>
      <c r="O116283" s="209"/>
    </row>
    <row r="116284" spans="1:15" s="210" customFormat="1" x14ac:dyDescent="0.3">
      <c r="A116284" s="12"/>
      <c r="B116284" s="15"/>
      <c r="C116284" s="15"/>
      <c r="D116284" s="12"/>
      <c r="E116284" s="12"/>
      <c r="F116284" s="13"/>
      <c r="G116284" s="12"/>
      <c r="H116284" s="12"/>
      <c r="I116284" s="12"/>
      <c r="J116284" s="12"/>
      <c r="K116284" s="12"/>
      <c r="L116284" s="208"/>
      <c r="M116284" s="209"/>
      <c r="N116284" s="209"/>
      <c r="O116284" s="209"/>
    </row>
    <row r="116285" spans="1:15" s="210" customFormat="1" x14ac:dyDescent="0.3">
      <c r="A116285" s="12"/>
      <c r="B116285" s="15"/>
      <c r="C116285" s="15"/>
      <c r="D116285" s="12"/>
      <c r="E116285" s="12"/>
      <c r="F116285" s="13"/>
      <c r="G116285" s="12"/>
      <c r="H116285" s="12"/>
      <c r="I116285" s="12"/>
      <c r="J116285" s="12"/>
      <c r="K116285" s="12"/>
      <c r="L116285" s="208"/>
      <c r="M116285" s="209"/>
      <c r="N116285" s="209"/>
      <c r="O116285" s="209"/>
    </row>
    <row r="116286" spans="1:15" s="210" customFormat="1" x14ac:dyDescent="0.3">
      <c r="A116286" s="12"/>
      <c r="B116286" s="15"/>
      <c r="C116286" s="15"/>
      <c r="D116286" s="12"/>
      <c r="E116286" s="12"/>
      <c r="F116286" s="13"/>
      <c r="G116286" s="12"/>
      <c r="H116286" s="12"/>
      <c r="I116286" s="12"/>
      <c r="J116286" s="12"/>
      <c r="K116286" s="12"/>
      <c r="L116286" s="208"/>
      <c r="M116286" s="209"/>
      <c r="N116286" s="209"/>
      <c r="O116286" s="209"/>
    </row>
    <row r="116287" spans="1:15" s="210" customFormat="1" x14ac:dyDescent="0.3">
      <c r="A116287" s="12"/>
      <c r="B116287" s="15"/>
      <c r="C116287" s="15"/>
      <c r="D116287" s="12"/>
      <c r="E116287" s="12"/>
      <c r="F116287" s="13"/>
      <c r="G116287" s="12"/>
      <c r="H116287" s="12"/>
      <c r="I116287" s="12"/>
      <c r="J116287" s="12"/>
      <c r="K116287" s="12"/>
      <c r="L116287" s="208"/>
      <c r="M116287" s="209"/>
      <c r="N116287" s="209"/>
      <c r="O116287" s="209"/>
    </row>
    <row r="116288" spans="1:15" s="210" customFormat="1" x14ac:dyDescent="0.3">
      <c r="A116288" s="12"/>
      <c r="B116288" s="15"/>
      <c r="C116288" s="15"/>
      <c r="D116288" s="12"/>
      <c r="E116288" s="12"/>
      <c r="F116288" s="13"/>
      <c r="G116288" s="12"/>
      <c r="H116288" s="12"/>
      <c r="I116288" s="12"/>
      <c r="J116288" s="12"/>
      <c r="K116288" s="12"/>
      <c r="L116288" s="208"/>
      <c r="M116288" s="209"/>
      <c r="N116288" s="209"/>
      <c r="O116288" s="209"/>
    </row>
    <row r="116289" spans="1:15" s="210" customFormat="1" x14ac:dyDescent="0.3">
      <c r="A116289" s="12"/>
      <c r="B116289" s="15"/>
      <c r="C116289" s="15"/>
      <c r="D116289" s="12"/>
      <c r="E116289" s="12"/>
      <c r="F116289" s="13"/>
      <c r="G116289" s="12"/>
      <c r="H116289" s="12"/>
      <c r="I116289" s="12"/>
      <c r="J116289" s="12"/>
      <c r="K116289" s="12"/>
      <c r="L116289" s="208"/>
      <c r="M116289" s="209"/>
      <c r="N116289" s="209"/>
      <c r="O116289" s="209"/>
    </row>
    <row r="116290" spans="1:15" s="210" customFormat="1" x14ac:dyDescent="0.3">
      <c r="A116290" s="12"/>
      <c r="B116290" s="15"/>
      <c r="C116290" s="15"/>
      <c r="D116290" s="12"/>
      <c r="E116290" s="12"/>
      <c r="F116290" s="13"/>
      <c r="G116290" s="12"/>
      <c r="H116290" s="12"/>
      <c r="I116290" s="12"/>
      <c r="J116290" s="12"/>
      <c r="K116290" s="12"/>
      <c r="L116290" s="208"/>
      <c r="M116290" s="209"/>
      <c r="N116290" s="209"/>
      <c r="O116290" s="209"/>
    </row>
    <row r="116291" spans="1:15" s="210" customFormat="1" x14ac:dyDescent="0.3">
      <c r="A116291" s="12"/>
      <c r="B116291" s="15"/>
      <c r="C116291" s="15"/>
      <c r="D116291" s="12"/>
      <c r="E116291" s="12"/>
      <c r="F116291" s="13"/>
      <c r="G116291" s="12"/>
      <c r="H116291" s="12"/>
      <c r="I116291" s="12"/>
      <c r="J116291" s="12"/>
      <c r="K116291" s="12"/>
      <c r="L116291" s="208"/>
      <c r="M116291" s="209"/>
      <c r="N116291" s="209"/>
      <c r="O116291" s="209"/>
    </row>
    <row r="116292" spans="1:15" s="210" customFormat="1" x14ac:dyDescent="0.3">
      <c r="A116292" s="12"/>
      <c r="B116292" s="15"/>
      <c r="C116292" s="15"/>
      <c r="D116292" s="12"/>
      <c r="E116292" s="12"/>
      <c r="F116292" s="13"/>
      <c r="G116292" s="12"/>
      <c r="H116292" s="12"/>
      <c r="I116292" s="12"/>
      <c r="J116292" s="12"/>
      <c r="K116292" s="12"/>
      <c r="L116292" s="208"/>
      <c r="M116292" s="209"/>
      <c r="N116292" s="209"/>
      <c r="O116292" s="209"/>
    </row>
    <row r="116293" spans="1:15" s="210" customFormat="1" x14ac:dyDescent="0.3">
      <c r="A116293" s="12"/>
      <c r="B116293" s="15"/>
      <c r="C116293" s="15"/>
      <c r="D116293" s="12"/>
      <c r="E116293" s="12"/>
      <c r="F116293" s="13"/>
      <c r="G116293" s="12"/>
      <c r="H116293" s="12"/>
      <c r="I116293" s="12"/>
      <c r="J116293" s="12"/>
      <c r="K116293" s="12"/>
      <c r="L116293" s="208"/>
      <c r="M116293" s="209"/>
      <c r="N116293" s="209"/>
      <c r="O116293" s="209"/>
    </row>
    <row r="116294" spans="1:15" s="210" customFormat="1" x14ac:dyDescent="0.3">
      <c r="A116294" s="12"/>
      <c r="B116294" s="15"/>
      <c r="C116294" s="15"/>
      <c r="D116294" s="12"/>
      <c r="E116294" s="12"/>
      <c r="F116294" s="13"/>
      <c r="G116294" s="12"/>
      <c r="H116294" s="12"/>
      <c r="I116294" s="12"/>
      <c r="J116294" s="12"/>
      <c r="K116294" s="12"/>
      <c r="L116294" s="208"/>
      <c r="M116294" s="209"/>
      <c r="N116294" s="209"/>
      <c r="O116294" s="209"/>
    </row>
    <row r="116295" spans="1:15" s="210" customFormat="1" x14ac:dyDescent="0.3">
      <c r="A116295" s="12"/>
      <c r="B116295" s="15"/>
      <c r="C116295" s="15"/>
      <c r="D116295" s="12"/>
      <c r="E116295" s="12"/>
      <c r="F116295" s="13"/>
      <c r="G116295" s="12"/>
      <c r="H116295" s="12"/>
      <c r="I116295" s="12"/>
      <c r="J116295" s="12"/>
      <c r="K116295" s="12"/>
      <c r="L116295" s="208"/>
      <c r="M116295" s="209"/>
      <c r="N116295" s="209"/>
      <c r="O116295" s="209"/>
    </row>
    <row r="116296" spans="1:15" s="210" customFormat="1" x14ac:dyDescent="0.3">
      <c r="A116296" s="12"/>
      <c r="B116296" s="15"/>
      <c r="C116296" s="15"/>
      <c r="D116296" s="12"/>
      <c r="E116296" s="12"/>
      <c r="F116296" s="13"/>
      <c r="G116296" s="12"/>
      <c r="H116296" s="12"/>
      <c r="I116296" s="12"/>
      <c r="J116296" s="12"/>
      <c r="K116296" s="12"/>
      <c r="L116296" s="208"/>
      <c r="M116296" s="209"/>
      <c r="N116296" s="209"/>
      <c r="O116296" s="209"/>
    </row>
    <row r="116297" spans="1:15" s="210" customFormat="1" x14ac:dyDescent="0.3">
      <c r="A116297" s="12"/>
      <c r="B116297" s="15"/>
      <c r="C116297" s="15"/>
      <c r="D116297" s="12"/>
      <c r="E116297" s="12"/>
      <c r="F116297" s="13"/>
      <c r="G116297" s="12"/>
      <c r="H116297" s="12"/>
      <c r="I116297" s="12"/>
      <c r="J116297" s="12"/>
      <c r="K116297" s="12"/>
      <c r="L116297" s="208"/>
      <c r="M116297" s="209"/>
      <c r="N116297" s="209"/>
      <c r="O116297" s="209"/>
    </row>
    <row r="116298" spans="1:15" s="210" customFormat="1" x14ac:dyDescent="0.3">
      <c r="A116298" s="12"/>
      <c r="B116298" s="15"/>
      <c r="C116298" s="15"/>
      <c r="D116298" s="12"/>
      <c r="E116298" s="12"/>
      <c r="F116298" s="13"/>
      <c r="G116298" s="12"/>
      <c r="H116298" s="12"/>
      <c r="I116298" s="12"/>
      <c r="J116298" s="12"/>
      <c r="K116298" s="12"/>
      <c r="L116298" s="208"/>
      <c r="M116298" s="209"/>
      <c r="N116298" s="209"/>
      <c r="O116298" s="209"/>
    </row>
    <row r="116299" spans="1:15" s="210" customFormat="1" x14ac:dyDescent="0.3">
      <c r="A116299" s="12"/>
      <c r="B116299" s="15"/>
      <c r="C116299" s="15"/>
      <c r="D116299" s="12"/>
      <c r="E116299" s="12"/>
      <c r="F116299" s="13"/>
      <c r="G116299" s="12"/>
      <c r="H116299" s="12"/>
      <c r="I116299" s="12"/>
      <c r="J116299" s="12"/>
      <c r="K116299" s="12"/>
      <c r="L116299" s="208"/>
      <c r="M116299" s="209"/>
      <c r="N116299" s="209"/>
      <c r="O116299" s="209"/>
    </row>
    <row r="116300" spans="1:15" s="210" customFormat="1" x14ac:dyDescent="0.3">
      <c r="A116300" s="12"/>
      <c r="B116300" s="15"/>
      <c r="C116300" s="15"/>
      <c r="D116300" s="12"/>
      <c r="E116300" s="12"/>
      <c r="F116300" s="13"/>
      <c r="G116300" s="12"/>
      <c r="H116300" s="12"/>
      <c r="I116300" s="12"/>
      <c r="J116300" s="12"/>
      <c r="K116300" s="12"/>
      <c r="L116300" s="208"/>
      <c r="M116300" s="209"/>
      <c r="N116300" s="209"/>
      <c r="O116300" s="209"/>
    </row>
    <row r="116301" spans="1:15" s="210" customFormat="1" x14ac:dyDescent="0.3">
      <c r="A116301" s="12"/>
      <c r="B116301" s="15"/>
      <c r="C116301" s="15"/>
      <c r="D116301" s="12"/>
      <c r="E116301" s="12"/>
      <c r="F116301" s="13"/>
      <c r="G116301" s="12"/>
      <c r="H116301" s="12"/>
      <c r="I116301" s="12"/>
      <c r="J116301" s="12"/>
      <c r="K116301" s="12"/>
      <c r="L116301" s="208"/>
      <c r="M116301" s="209"/>
      <c r="N116301" s="209"/>
      <c r="O116301" s="209"/>
    </row>
    <row r="116302" spans="1:15" s="210" customFormat="1" x14ac:dyDescent="0.3">
      <c r="A116302" s="12"/>
      <c r="B116302" s="15"/>
      <c r="C116302" s="15"/>
      <c r="D116302" s="12"/>
      <c r="E116302" s="12"/>
      <c r="F116302" s="13"/>
      <c r="G116302" s="12"/>
      <c r="H116302" s="12"/>
      <c r="I116302" s="12"/>
      <c r="J116302" s="12"/>
      <c r="K116302" s="12"/>
      <c r="L116302" s="208"/>
      <c r="M116302" s="209"/>
      <c r="N116302" s="209"/>
      <c r="O116302" s="209"/>
    </row>
    <row r="116303" spans="1:15" s="210" customFormat="1" x14ac:dyDescent="0.3">
      <c r="A116303" s="12"/>
      <c r="B116303" s="15"/>
      <c r="C116303" s="15"/>
      <c r="D116303" s="12"/>
      <c r="E116303" s="12"/>
      <c r="F116303" s="13"/>
      <c r="G116303" s="12"/>
      <c r="H116303" s="12"/>
      <c r="I116303" s="12"/>
      <c r="J116303" s="12"/>
      <c r="K116303" s="12"/>
      <c r="L116303" s="208"/>
      <c r="M116303" s="209"/>
      <c r="N116303" s="209"/>
      <c r="O116303" s="209"/>
    </row>
    <row r="116304" spans="1:15" s="210" customFormat="1" x14ac:dyDescent="0.3">
      <c r="A116304" s="12"/>
      <c r="B116304" s="15"/>
      <c r="C116304" s="15"/>
      <c r="D116304" s="12"/>
      <c r="E116304" s="12"/>
      <c r="F116304" s="13"/>
      <c r="G116304" s="12"/>
      <c r="H116304" s="12"/>
      <c r="I116304" s="12"/>
      <c r="J116304" s="12"/>
      <c r="K116304" s="12"/>
      <c r="L116304" s="208"/>
      <c r="M116304" s="209"/>
      <c r="N116304" s="209"/>
      <c r="O116304" s="209"/>
    </row>
    <row r="116305" spans="1:15" s="210" customFormat="1" x14ac:dyDescent="0.3">
      <c r="A116305" s="12"/>
      <c r="B116305" s="15"/>
      <c r="C116305" s="15"/>
      <c r="D116305" s="12"/>
      <c r="E116305" s="12"/>
      <c r="F116305" s="13"/>
      <c r="G116305" s="12"/>
      <c r="H116305" s="12"/>
      <c r="I116305" s="12"/>
      <c r="J116305" s="12"/>
      <c r="K116305" s="12"/>
      <c r="L116305" s="208"/>
      <c r="M116305" s="209"/>
      <c r="N116305" s="209"/>
      <c r="O116305" s="209"/>
    </row>
    <row r="116306" spans="1:15" s="210" customFormat="1" x14ac:dyDescent="0.3">
      <c r="A116306" s="12"/>
      <c r="B116306" s="15"/>
      <c r="C116306" s="15"/>
      <c r="D116306" s="12"/>
      <c r="E116306" s="12"/>
      <c r="F116306" s="13"/>
      <c r="G116306" s="12"/>
      <c r="H116306" s="12"/>
      <c r="I116306" s="12"/>
      <c r="J116306" s="12"/>
      <c r="K116306" s="12"/>
      <c r="L116306" s="208"/>
      <c r="M116306" s="209"/>
      <c r="N116306" s="209"/>
      <c r="O116306" s="209"/>
    </row>
    <row r="116307" spans="1:15" s="210" customFormat="1" x14ac:dyDescent="0.3">
      <c r="A116307" s="12"/>
      <c r="B116307" s="15"/>
      <c r="C116307" s="15"/>
      <c r="D116307" s="12"/>
      <c r="E116307" s="12"/>
      <c r="F116307" s="13"/>
      <c r="G116307" s="12"/>
      <c r="H116307" s="12"/>
      <c r="I116307" s="12"/>
      <c r="J116307" s="12"/>
      <c r="K116307" s="12"/>
      <c r="L116307" s="208"/>
      <c r="M116307" s="209"/>
      <c r="N116307" s="209"/>
      <c r="O116307" s="209"/>
    </row>
    <row r="116308" spans="1:15" s="210" customFormat="1" x14ac:dyDescent="0.3">
      <c r="A116308" s="12"/>
      <c r="B116308" s="15"/>
      <c r="C116308" s="15"/>
      <c r="D116308" s="12"/>
      <c r="E116308" s="12"/>
      <c r="F116308" s="13"/>
      <c r="G116308" s="12"/>
      <c r="H116308" s="12"/>
      <c r="I116308" s="12"/>
      <c r="J116308" s="12"/>
      <c r="K116308" s="12"/>
      <c r="L116308" s="208"/>
      <c r="M116308" s="209"/>
      <c r="N116308" s="209"/>
      <c r="O116308" s="209"/>
    </row>
    <row r="116309" spans="1:15" s="210" customFormat="1" x14ac:dyDescent="0.3">
      <c r="A116309" s="12"/>
      <c r="B116309" s="15"/>
      <c r="C116309" s="15"/>
      <c r="D116309" s="12"/>
      <c r="E116309" s="12"/>
      <c r="F116309" s="13"/>
      <c r="G116309" s="12"/>
      <c r="H116309" s="12"/>
      <c r="I116309" s="12"/>
      <c r="J116309" s="12"/>
      <c r="K116309" s="12"/>
      <c r="L116309" s="208"/>
      <c r="M116309" s="209"/>
      <c r="N116309" s="209"/>
      <c r="O116309" s="209"/>
    </row>
    <row r="116310" spans="1:15" s="210" customFormat="1" x14ac:dyDescent="0.3">
      <c r="A116310" s="12"/>
      <c r="B116310" s="15"/>
      <c r="C116310" s="15"/>
      <c r="D116310" s="12"/>
      <c r="E116310" s="12"/>
      <c r="F116310" s="13"/>
      <c r="G116310" s="12"/>
      <c r="H116310" s="12"/>
      <c r="I116310" s="12"/>
      <c r="J116310" s="12"/>
      <c r="K116310" s="12"/>
      <c r="L116310" s="208"/>
      <c r="M116310" s="209"/>
      <c r="N116310" s="209"/>
      <c r="O116310" s="209"/>
    </row>
    <row r="116311" spans="1:15" s="210" customFormat="1" x14ac:dyDescent="0.3">
      <c r="A116311" s="12"/>
      <c r="B116311" s="15"/>
      <c r="C116311" s="15"/>
      <c r="D116311" s="12"/>
      <c r="E116311" s="12"/>
      <c r="F116311" s="13"/>
      <c r="G116311" s="12"/>
      <c r="H116311" s="12"/>
      <c r="I116311" s="12"/>
      <c r="J116311" s="12"/>
      <c r="K116311" s="12"/>
      <c r="L116311" s="208"/>
      <c r="M116311" s="209"/>
      <c r="N116311" s="209"/>
      <c r="O116311" s="209"/>
    </row>
    <row r="116312" spans="1:15" s="210" customFormat="1" x14ac:dyDescent="0.3">
      <c r="A116312" s="12"/>
      <c r="B116312" s="15"/>
      <c r="C116312" s="15"/>
      <c r="D116312" s="12"/>
      <c r="E116312" s="12"/>
      <c r="F116312" s="13"/>
      <c r="G116312" s="12"/>
      <c r="H116312" s="12"/>
      <c r="I116312" s="12"/>
      <c r="J116312" s="12"/>
      <c r="K116312" s="12"/>
      <c r="L116312" s="208"/>
      <c r="M116312" s="209"/>
      <c r="N116312" s="209"/>
      <c r="O116312" s="209"/>
    </row>
    <row r="116313" spans="1:15" s="210" customFormat="1" x14ac:dyDescent="0.3">
      <c r="A116313" s="12"/>
      <c r="B116313" s="15"/>
      <c r="C116313" s="15"/>
      <c r="D116313" s="12"/>
      <c r="E116313" s="12"/>
      <c r="F116313" s="13"/>
      <c r="G116313" s="12"/>
      <c r="H116313" s="12"/>
      <c r="I116313" s="12"/>
      <c r="J116313" s="12"/>
      <c r="K116313" s="12"/>
      <c r="L116313" s="208"/>
      <c r="M116313" s="209"/>
      <c r="N116313" s="209"/>
      <c r="O116313" s="209"/>
    </row>
    <row r="116314" spans="1:15" s="210" customFormat="1" x14ac:dyDescent="0.3">
      <c r="A116314" s="12"/>
      <c r="B116314" s="15"/>
      <c r="C116314" s="15"/>
      <c r="D116314" s="12"/>
      <c r="E116314" s="12"/>
      <c r="F116314" s="13"/>
      <c r="G116314" s="12"/>
      <c r="H116314" s="12"/>
      <c r="I116314" s="12"/>
      <c r="J116314" s="12"/>
      <c r="K116314" s="12"/>
      <c r="L116314" s="208"/>
      <c r="M116314" s="209"/>
      <c r="N116314" s="209"/>
      <c r="O116314" s="209"/>
    </row>
    <row r="116315" spans="1:15" s="210" customFormat="1" x14ac:dyDescent="0.3">
      <c r="A116315" s="12"/>
      <c r="B116315" s="15"/>
      <c r="C116315" s="15"/>
      <c r="D116315" s="12"/>
      <c r="E116315" s="12"/>
      <c r="F116315" s="13"/>
      <c r="G116315" s="12"/>
      <c r="H116315" s="12"/>
      <c r="I116315" s="12"/>
      <c r="J116315" s="12"/>
      <c r="K116315" s="12"/>
      <c r="L116315" s="208"/>
      <c r="M116315" s="209"/>
      <c r="N116315" s="209"/>
      <c r="O116315" s="209"/>
    </row>
    <row r="116316" spans="1:15" s="210" customFormat="1" x14ac:dyDescent="0.3">
      <c r="A116316" s="12"/>
      <c r="B116316" s="15"/>
      <c r="C116316" s="15"/>
      <c r="D116316" s="12"/>
      <c r="E116316" s="12"/>
      <c r="F116316" s="13"/>
      <c r="G116316" s="12"/>
      <c r="H116316" s="12"/>
      <c r="I116316" s="12"/>
      <c r="J116316" s="12"/>
      <c r="K116316" s="12"/>
      <c r="L116316" s="208"/>
      <c r="M116316" s="209"/>
      <c r="N116316" s="209"/>
      <c r="O116316" s="209"/>
    </row>
    <row r="116317" spans="1:15" s="210" customFormat="1" x14ac:dyDescent="0.3">
      <c r="A116317" s="12"/>
      <c r="B116317" s="15"/>
      <c r="C116317" s="15"/>
      <c r="D116317" s="12"/>
      <c r="E116317" s="12"/>
      <c r="F116317" s="13"/>
      <c r="G116317" s="12"/>
      <c r="H116317" s="12"/>
      <c r="I116317" s="12"/>
      <c r="J116317" s="12"/>
      <c r="K116317" s="12"/>
      <c r="L116317" s="208"/>
      <c r="M116317" s="209"/>
      <c r="N116317" s="209"/>
      <c r="O116317" s="209"/>
    </row>
    <row r="116318" spans="1:15" s="210" customFormat="1" x14ac:dyDescent="0.3">
      <c r="A116318" s="12"/>
      <c r="B116318" s="15"/>
      <c r="C116318" s="15"/>
      <c r="D116318" s="12"/>
      <c r="E116318" s="12"/>
      <c r="F116318" s="13"/>
      <c r="G116318" s="12"/>
      <c r="H116318" s="12"/>
      <c r="I116318" s="12"/>
      <c r="J116318" s="12"/>
      <c r="K116318" s="12"/>
      <c r="L116318" s="208"/>
      <c r="M116318" s="209"/>
      <c r="N116318" s="209"/>
      <c r="O116318" s="209"/>
    </row>
    <row r="116319" spans="1:15" s="210" customFormat="1" x14ac:dyDescent="0.3">
      <c r="A116319" s="12"/>
      <c r="B116319" s="15"/>
      <c r="C116319" s="15"/>
      <c r="D116319" s="12"/>
      <c r="E116319" s="12"/>
      <c r="F116319" s="13"/>
      <c r="G116319" s="12"/>
      <c r="H116319" s="12"/>
      <c r="I116319" s="12"/>
      <c r="J116319" s="12"/>
      <c r="K116319" s="12"/>
      <c r="L116319" s="208"/>
      <c r="M116319" s="209"/>
      <c r="N116319" s="209"/>
      <c r="O116319" s="209"/>
    </row>
    <row r="116320" spans="1:15" s="210" customFormat="1" x14ac:dyDescent="0.3">
      <c r="A116320" s="12"/>
      <c r="B116320" s="15"/>
      <c r="C116320" s="15"/>
      <c r="D116320" s="12"/>
      <c r="E116320" s="12"/>
      <c r="F116320" s="13"/>
      <c r="G116320" s="12"/>
      <c r="H116320" s="12"/>
      <c r="I116320" s="12"/>
      <c r="J116320" s="12"/>
      <c r="K116320" s="12"/>
      <c r="L116320" s="208"/>
      <c r="M116320" s="209"/>
      <c r="N116320" s="209"/>
      <c r="O116320" s="209"/>
    </row>
    <row r="116321" spans="1:15" s="210" customFormat="1" x14ac:dyDescent="0.3">
      <c r="A116321" s="12"/>
      <c r="B116321" s="15"/>
      <c r="C116321" s="15"/>
      <c r="D116321" s="12"/>
      <c r="E116321" s="12"/>
      <c r="F116321" s="13"/>
      <c r="G116321" s="12"/>
      <c r="H116321" s="12"/>
      <c r="I116321" s="12"/>
      <c r="J116321" s="12"/>
      <c r="K116321" s="12"/>
      <c r="L116321" s="208"/>
      <c r="M116321" s="209"/>
      <c r="N116321" s="209"/>
      <c r="O116321" s="209"/>
    </row>
    <row r="116322" spans="1:15" s="210" customFormat="1" x14ac:dyDescent="0.3">
      <c r="A116322" s="12"/>
      <c r="B116322" s="15"/>
      <c r="C116322" s="15"/>
      <c r="D116322" s="12"/>
      <c r="E116322" s="12"/>
      <c r="F116322" s="13"/>
      <c r="G116322" s="12"/>
      <c r="H116322" s="12"/>
      <c r="I116322" s="12"/>
      <c r="J116322" s="12"/>
      <c r="K116322" s="12"/>
      <c r="L116322" s="208"/>
      <c r="M116322" s="209"/>
      <c r="N116322" s="209"/>
      <c r="O116322" s="209"/>
    </row>
    <row r="116323" spans="1:15" s="210" customFormat="1" x14ac:dyDescent="0.3">
      <c r="A116323" s="12"/>
      <c r="B116323" s="15"/>
      <c r="C116323" s="15"/>
      <c r="D116323" s="12"/>
      <c r="E116323" s="12"/>
      <c r="F116323" s="13"/>
      <c r="G116323" s="12"/>
      <c r="H116323" s="12"/>
      <c r="I116323" s="12"/>
      <c r="J116323" s="12"/>
      <c r="K116323" s="12"/>
      <c r="L116323" s="208"/>
      <c r="M116323" s="209"/>
      <c r="N116323" s="209"/>
      <c r="O116323" s="209"/>
    </row>
    <row r="116324" spans="1:15" s="210" customFormat="1" x14ac:dyDescent="0.3">
      <c r="A116324" s="12"/>
      <c r="B116324" s="15"/>
      <c r="C116324" s="15"/>
      <c r="D116324" s="12"/>
      <c r="E116324" s="12"/>
      <c r="F116324" s="13"/>
      <c r="G116324" s="12"/>
      <c r="H116324" s="12"/>
      <c r="I116324" s="12"/>
      <c r="J116324" s="12"/>
      <c r="K116324" s="12"/>
      <c r="L116324" s="208"/>
      <c r="M116324" s="209"/>
      <c r="N116324" s="209"/>
      <c r="O116324" s="209"/>
    </row>
    <row r="116325" spans="1:15" s="210" customFormat="1" x14ac:dyDescent="0.3">
      <c r="A116325" s="12"/>
      <c r="B116325" s="15"/>
      <c r="C116325" s="15"/>
      <c r="D116325" s="12"/>
      <c r="E116325" s="12"/>
      <c r="F116325" s="13"/>
      <c r="G116325" s="12"/>
      <c r="H116325" s="12"/>
      <c r="I116325" s="12"/>
      <c r="J116325" s="12"/>
      <c r="K116325" s="12"/>
      <c r="L116325" s="208"/>
      <c r="M116325" s="209"/>
      <c r="N116325" s="209"/>
      <c r="O116325" s="209"/>
    </row>
    <row r="116326" spans="1:15" s="210" customFormat="1" x14ac:dyDescent="0.3">
      <c r="A116326" s="12"/>
      <c r="B116326" s="15"/>
      <c r="C116326" s="15"/>
      <c r="D116326" s="12"/>
      <c r="E116326" s="12"/>
      <c r="F116326" s="13"/>
      <c r="G116326" s="12"/>
      <c r="H116326" s="12"/>
      <c r="I116326" s="12"/>
      <c r="J116326" s="12"/>
      <c r="K116326" s="12"/>
      <c r="L116326" s="208"/>
      <c r="M116326" s="209"/>
      <c r="N116326" s="209"/>
      <c r="O116326" s="209"/>
    </row>
    <row r="116327" spans="1:15" s="210" customFormat="1" x14ac:dyDescent="0.3">
      <c r="A116327" s="12"/>
      <c r="B116327" s="15"/>
      <c r="C116327" s="15"/>
      <c r="D116327" s="12"/>
      <c r="E116327" s="12"/>
      <c r="F116327" s="13"/>
      <c r="G116327" s="12"/>
      <c r="H116327" s="12"/>
      <c r="I116327" s="12"/>
      <c r="J116327" s="12"/>
      <c r="K116327" s="12"/>
      <c r="L116327" s="208"/>
      <c r="M116327" s="209"/>
      <c r="N116327" s="209"/>
      <c r="O116327" s="209"/>
    </row>
    <row r="116328" spans="1:15" s="210" customFormat="1" x14ac:dyDescent="0.3">
      <c r="A116328" s="12"/>
      <c r="B116328" s="15"/>
      <c r="C116328" s="15"/>
      <c r="D116328" s="12"/>
      <c r="E116328" s="12"/>
      <c r="F116328" s="13"/>
      <c r="G116328" s="12"/>
      <c r="H116328" s="12"/>
      <c r="I116328" s="12"/>
      <c r="J116328" s="12"/>
      <c r="K116328" s="12"/>
      <c r="L116328" s="208"/>
      <c r="M116328" s="209"/>
      <c r="N116328" s="209"/>
      <c r="O116328" s="209"/>
    </row>
    <row r="116329" spans="1:15" s="210" customFormat="1" x14ac:dyDescent="0.3">
      <c r="A116329" s="12"/>
      <c r="B116329" s="15"/>
      <c r="C116329" s="15"/>
      <c r="D116329" s="12"/>
      <c r="E116329" s="12"/>
      <c r="F116329" s="13"/>
      <c r="G116329" s="12"/>
      <c r="H116329" s="12"/>
      <c r="I116329" s="12"/>
      <c r="J116329" s="12"/>
      <c r="K116329" s="12"/>
      <c r="L116329" s="208"/>
      <c r="M116329" s="209"/>
      <c r="N116329" s="209"/>
      <c r="O116329" s="209"/>
    </row>
    <row r="116330" spans="1:15" s="210" customFormat="1" x14ac:dyDescent="0.3">
      <c r="A116330" s="12"/>
      <c r="B116330" s="15"/>
      <c r="C116330" s="15"/>
      <c r="D116330" s="12"/>
      <c r="E116330" s="12"/>
      <c r="F116330" s="13"/>
      <c r="G116330" s="12"/>
      <c r="H116330" s="12"/>
      <c r="I116330" s="12"/>
      <c r="J116330" s="12"/>
      <c r="K116330" s="12"/>
      <c r="L116330" s="208"/>
      <c r="M116330" s="209"/>
      <c r="N116330" s="209"/>
      <c r="O116330" s="209"/>
    </row>
    <row r="116331" spans="1:15" s="210" customFormat="1" x14ac:dyDescent="0.3">
      <c r="A116331" s="12"/>
      <c r="B116331" s="15"/>
      <c r="C116331" s="15"/>
      <c r="D116331" s="12"/>
      <c r="E116331" s="12"/>
      <c r="F116331" s="13"/>
      <c r="G116331" s="12"/>
      <c r="H116331" s="12"/>
      <c r="I116331" s="12"/>
      <c r="J116331" s="12"/>
      <c r="K116331" s="12"/>
      <c r="L116331" s="208"/>
      <c r="M116331" s="209"/>
      <c r="N116331" s="209"/>
      <c r="O116331" s="209"/>
    </row>
    <row r="116332" spans="1:15" s="210" customFormat="1" x14ac:dyDescent="0.3">
      <c r="A116332" s="12"/>
      <c r="B116332" s="15"/>
      <c r="C116332" s="15"/>
      <c r="D116332" s="12"/>
      <c r="E116332" s="12"/>
      <c r="F116332" s="13"/>
      <c r="G116332" s="12"/>
      <c r="H116332" s="12"/>
      <c r="I116332" s="12"/>
      <c r="J116332" s="12"/>
      <c r="K116332" s="12"/>
      <c r="L116332" s="208"/>
      <c r="M116332" s="209"/>
      <c r="N116332" s="209"/>
      <c r="O116332" s="209"/>
    </row>
    <row r="116333" spans="1:15" s="210" customFormat="1" x14ac:dyDescent="0.3">
      <c r="A116333" s="12"/>
      <c r="B116333" s="15"/>
      <c r="C116333" s="15"/>
      <c r="D116333" s="12"/>
      <c r="E116333" s="12"/>
      <c r="F116333" s="13"/>
      <c r="G116333" s="12"/>
      <c r="H116333" s="12"/>
      <c r="I116333" s="12"/>
      <c r="J116333" s="12"/>
      <c r="K116333" s="12"/>
      <c r="L116333" s="208"/>
      <c r="M116333" s="209"/>
      <c r="N116333" s="209"/>
      <c r="O116333" s="209"/>
    </row>
    <row r="116334" spans="1:15" s="210" customFormat="1" x14ac:dyDescent="0.3">
      <c r="A116334" s="12"/>
      <c r="B116334" s="15"/>
      <c r="C116334" s="15"/>
      <c r="D116334" s="12"/>
      <c r="E116334" s="12"/>
      <c r="F116334" s="13"/>
      <c r="G116334" s="12"/>
      <c r="H116334" s="12"/>
      <c r="I116334" s="12"/>
      <c r="J116334" s="12"/>
      <c r="K116334" s="12"/>
      <c r="L116334" s="208"/>
      <c r="M116334" s="209"/>
      <c r="N116334" s="209"/>
      <c r="O116334" s="209"/>
    </row>
    <row r="116335" spans="1:15" s="210" customFormat="1" x14ac:dyDescent="0.3">
      <c r="A116335" s="12"/>
      <c r="B116335" s="15"/>
      <c r="C116335" s="15"/>
      <c r="D116335" s="12"/>
      <c r="E116335" s="12"/>
      <c r="F116335" s="13"/>
      <c r="G116335" s="12"/>
      <c r="H116335" s="12"/>
      <c r="I116335" s="12"/>
      <c r="J116335" s="12"/>
      <c r="K116335" s="12"/>
      <c r="L116335" s="208"/>
      <c r="M116335" s="209"/>
      <c r="N116335" s="209"/>
      <c r="O116335" s="209"/>
    </row>
    <row r="116336" spans="1:15" s="210" customFormat="1" x14ac:dyDescent="0.3">
      <c r="A116336" s="12"/>
      <c r="B116336" s="15"/>
      <c r="C116336" s="15"/>
      <c r="D116336" s="12"/>
      <c r="E116336" s="12"/>
      <c r="F116336" s="13"/>
      <c r="G116336" s="12"/>
      <c r="H116336" s="12"/>
      <c r="I116336" s="12"/>
      <c r="J116336" s="12"/>
      <c r="K116336" s="12"/>
      <c r="L116336" s="208"/>
      <c r="M116336" s="209"/>
      <c r="N116336" s="209"/>
      <c r="O116336" s="209"/>
    </row>
    <row r="116337" spans="1:15" s="210" customFormat="1" x14ac:dyDescent="0.3">
      <c r="A116337" s="12"/>
      <c r="B116337" s="15"/>
      <c r="C116337" s="15"/>
      <c r="D116337" s="12"/>
      <c r="E116337" s="12"/>
      <c r="F116337" s="13"/>
      <c r="G116337" s="12"/>
      <c r="H116337" s="12"/>
      <c r="I116337" s="12"/>
      <c r="J116337" s="12"/>
      <c r="K116337" s="12"/>
      <c r="L116337" s="208"/>
      <c r="M116337" s="209"/>
      <c r="N116337" s="209"/>
      <c r="O116337" s="209"/>
    </row>
    <row r="116338" spans="1:15" s="210" customFormat="1" x14ac:dyDescent="0.3">
      <c r="A116338" s="12"/>
      <c r="B116338" s="15"/>
      <c r="C116338" s="15"/>
      <c r="D116338" s="12"/>
      <c r="E116338" s="12"/>
      <c r="F116338" s="13"/>
      <c r="G116338" s="12"/>
      <c r="H116338" s="12"/>
      <c r="I116338" s="12"/>
      <c r="J116338" s="12"/>
      <c r="K116338" s="12"/>
      <c r="L116338" s="208"/>
      <c r="M116338" s="209"/>
      <c r="N116338" s="209"/>
      <c r="O116338" s="209"/>
    </row>
    <row r="116339" spans="1:15" s="210" customFormat="1" x14ac:dyDescent="0.3">
      <c r="A116339" s="12"/>
      <c r="B116339" s="15"/>
      <c r="C116339" s="15"/>
      <c r="D116339" s="12"/>
      <c r="E116339" s="12"/>
      <c r="F116339" s="13"/>
      <c r="G116339" s="12"/>
      <c r="H116339" s="12"/>
      <c r="I116339" s="12"/>
      <c r="J116339" s="12"/>
      <c r="K116339" s="12"/>
      <c r="L116339" s="208"/>
      <c r="M116339" s="209"/>
      <c r="N116339" s="209"/>
      <c r="O116339" s="209"/>
    </row>
    <row r="116340" spans="1:15" s="210" customFormat="1" x14ac:dyDescent="0.3">
      <c r="A116340" s="12"/>
      <c r="B116340" s="15"/>
      <c r="C116340" s="15"/>
      <c r="D116340" s="12"/>
      <c r="E116340" s="12"/>
      <c r="F116340" s="13"/>
      <c r="G116340" s="12"/>
      <c r="H116340" s="12"/>
      <c r="I116340" s="12"/>
      <c r="J116340" s="12"/>
      <c r="K116340" s="12"/>
      <c r="L116340" s="208"/>
      <c r="M116340" s="209"/>
      <c r="N116340" s="209"/>
      <c r="O116340" s="209"/>
    </row>
    <row r="116341" spans="1:15" s="210" customFormat="1" x14ac:dyDescent="0.3">
      <c r="A116341" s="12"/>
      <c r="B116341" s="15"/>
      <c r="C116341" s="15"/>
      <c r="D116341" s="12"/>
      <c r="E116341" s="12"/>
      <c r="F116341" s="13"/>
      <c r="G116341" s="12"/>
      <c r="H116341" s="12"/>
      <c r="I116341" s="12"/>
      <c r="J116341" s="12"/>
      <c r="K116341" s="12"/>
      <c r="L116341" s="208"/>
      <c r="M116341" s="209"/>
      <c r="N116341" s="209"/>
      <c r="O116341" s="209"/>
    </row>
    <row r="116342" spans="1:15" s="210" customFormat="1" x14ac:dyDescent="0.3">
      <c r="A116342" s="12"/>
      <c r="B116342" s="15"/>
      <c r="C116342" s="15"/>
      <c r="D116342" s="12"/>
      <c r="E116342" s="12"/>
      <c r="F116342" s="13"/>
      <c r="G116342" s="12"/>
      <c r="H116342" s="12"/>
      <c r="I116342" s="12"/>
      <c r="J116342" s="12"/>
      <c r="K116342" s="12"/>
      <c r="L116342" s="208"/>
      <c r="M116342" s="209"/>
      <c r="N116342" s="209"/>
      <c r="O116342" s="209"/>
    </row>
    <row r="116343" spans="1:15" s="210" customFormat="1" x14ac:dyDescent="0.3">
      <c r="A116343" s="12"/>
      <c r="B116343" s="15"/>
      <c r="C116343" s="15"/>
      <c r="D116343" s="12"/>
      <c r="E116343" s="12"/>
      <c r="F116343" s="13"/>
      <c r="G116343" s="12"/>
      <c r="H116343" s="12"/>
      <c r="I116343" s="12"/>
      <c r="J116343" s="12"/>
      <c r="K116343" s="12"/>
      <c r="L116343" s="208"/>
      <c r="M116343" s="209"/>
      <c r="N116343" s="209"/>
      <c r="O116343" s="209"/>
    </row>
    <row r="116344" spans="1:15" s="210" customFormat="1" x14ac:dyDescent="0.3">
      <c r="A116344" s="12"/>
      <c r="B116344" s="15"/>
      <c r="C116344" s="15"/>
      <c r="D116344" s="12"/>
      <c r="E116344" s="12"/>
      <c r="F116344" s="13"/>
      <c r="G116344" s="12"/>
      <c r="H116344" s="12"/>
      <c r="I116344" s="12"/>
      <c r="J116344" s="12"/>
      <c r="K116344" s="12"/>
      <c r="L116344" s="208"/>
      <c r="M116344" s="209"/>
      <c r="N116344" s="209"/>
      <c r="O116344" s="209"/>
    </row>
    <row r="116345" spans="1:15" s="210" customFormat="1" x14ac:dyDescent="0.3">
      <c r="A116345" s="12"/>
      <c r="B116345" s="15"/>
      <c r="C116345" s="15"/>
      <c r="D116345" s="12"/>
      <c r="E116345" s="12"/>
      <c r="F116345" s="13"/>
      <c r="G116345" s="12"/>
      <c r="H116345" s="12"/>
      <c r="I116345" s="12"/>
      <c r="J116345" s="12"/>
      <c r="K116345" s="12"/>
      <c r="L116345" s="208"/>
      <c r="M116345" s="209"/>
      <c r="N116345" s="209"/>
      <c r="O116345" s="209"/>
    </row>
    <row r="116346" spans="1:15" s="210" customFormat="1" x14ac:dyDescent="0.3">
      <c r="A116346" s="12"/>
      <c r="B116346" s="15"/>
      <c r="C116346" s="15"/>
      <c r="D116346" s="12"/>
      <c r="E116346" s="12"/>
      <c r="F116346" s="13"/>
      <c r="G116346" s="12"/>
      <c r="H116346" s="12"/>
      <c r="I116346" s="12"/>
      <c r="J116346" s="12"/>
      <c r="K116346" s="12"/>
      <c r="L116346" s="208"/>
      <c r="M116346" s="209"/>
      <c r="N116346" s="209"/>
      <c r="O116346" s="209"/>
    </row>
    <row r="116347" spans="1:15" s="210" customFormat="1" x14ac:dyDescent="0.3">
      <c r="A116347" s="12"/>
      <c r="B116347" s="15"/>
      <c r="C116347" s="15"/>
      <c r="D116347" s="12"/>
      <c r="E116347" s="12"/>
      <c r="F116347" s="13"/>
      <c r="G116347" s="12"/>
      <c r="H116347" s="12"/>
      <c r="I116347" s="12"/>
      <c r="J116347" s="12"/>
      <c r="K116347" s="12"/>
      <c r="L116347" s="208"/>
      <c r="M116347" s="209"/>
      <c r="N116347" s="209"/>
      <c r="O116347" s="209"/>
    </row>
    <row r="116348" spans="1:15" s="210" customFormat="1" x14ac:dyDescent="0.3">
      <c r="A116348" s="12"/>
      <c r="B116348" s="15"/>
      <c r="C116348" s="15"/>
      <c r="D116348" s="12"/>
      <c r="E116348" s="12"/>
      <c r="F116348" s="13"/>
      <c r="G116348" s="12"/>
      <c r="H116348" s="12"/>
      <c r="I116348" s="12"/>
      <c r="J116348" s="12"/>
      <c r="K116348" s="12"/>
      <c r="L116348" s="208"/>
      <c r="M116348" s="209"/>
      <c r="N116348" s="209"/>
      <c r="O116348" s="209"/>
    </row>
    <row r="116349" spans="1:15" s="210" customFormat="1" x14ac:dyDescent="0.3">
      <c r="A116349" s="12"/>
      <c r="B116349" s="15"/>
      <c r="C116349" s="15"/>
      <c r="D116349" s="12"/>
      <c r="E116349" s="12"/>
      <c r="F116349" s="13"/>
      <c r="G116349" s="12"/>
      <c r="H116349" s="12"/>
      <c r="I116349" s="12"/>
      <c r="J116349" s="12"/>
      <c r="K116349" s="12"/>
      <c r="L116349" s="208"/>
      <c r="M116349" s="209"/>
      <c r="N116349" s="209"/>
      <c r="O116349" s="209"/>
    </row>
    <row r="116350" spans="1:15" s="210" customFormat="1" x14ac:dyDescent="0.3">
      <c r="A116350" s="12"/>
      <c r="B116350" s="15"/>
      <c r="C116350" s="15"/>
      <c r="D116350" s="12"/>
      <c r="E116350" s="12"/>
      <c r="F116350" s="13"/>
      <c r="G116350" s="12"/>
      <c r="H116350" s="12"/>
      <c r="I116350" s="12"/>
      <c r="J116350" s="12"/>
      <c r="K116350" s="12"/>
      <c r="L116350" s="208"/>
      <c r="M116350" s="209"/>
      <c r="N116350" s="209"/>
      <c r="O116350" s="209"/>
    </row>
    <row r="116351" spans="1:15" s="210" customFormat="1" x14ac:dyDescent="0.3">
      <c r="A116351" s="12"/>
      <c r="B116351" s="15"/>
      <c r="C116351" s="15"/>
      <c r="D116351" s="12"/>
      <c r="E116351" s="12"/>
      <c r="F116351" s="13"/>
      <c r="G116351" s="12"/>
      <c r="H116351" s="12"/>
      <c r="I116351" s="12"/>
      <c r="J116351" s="12"/>
      <c r="K116351" s="12"/>
      <c r="L116351" s="208"/>
      <c r="M116351" s="209"/>
      <c r="N116351" s="209"/>
      <c r="O116351" s="209"/>
    </row>
    <row r="116352" spans="1:15" s="210" customFormat="1" x14ac:dyDescent="0.3">
      <c r="A116352" s="12"/>
      <c r="B116352" s="15"/>
      <c r="C116352" s="15"/>
      <c r="D116352" s="12"/>
      <c r="E116352" s="12"/>
      <c r="F116352" s="13"/>
      <c r="G116352" s="12"/>
      <c r="H116352" s="12"/>
      <c r="I116352" s="12"/>
      <c r="J116352" s="12"/>
      <c r="K116352" s="12"/>
      <c r="L116352" s="208"/>
      <c r="M116352" s="209"/>
      <c r="N116352" s="209"/>
      <c r="O116352" s="209"/>
    </row>
    <row r="116353" spans="1:15" s="210" customFormat="1" x14ac:dyDescent="0.3">
      <c r="A116353" s="12"/>
      <c r="B116353" s="15"/>
      <c r="C116353" s="15"/>
      <c r="D116353" s="12"/>
      <c r="E116353" s="12"/>
      <c r="F116353" s="13"/>
      <c r="G116353" s="12"/>
      <c r="H116353" s="12"/>
      <c r="I116353" s="12"/>
      <c r="J116353" s="12"/>
      <c r="K116353" s="12"/>
      <c r="L116353" s="208"/>
      <c r="M116353" s="209"/>
      <c r="N116353" s="209"/>
      <c r="O116353" s="209"/>
    </row>
    <row r="116354" spans="1:15" s="210" customFormat="1" x14ac:dyDescent="0.3">
      <c r="A116354" s="12"/>
      <c r="B116354" s="15"/>
      <c r="C116354" s="15"/>
      <c r="D116354" s="12"/>
      <c r="E116354" s="12"/>
      <c r="F116354" s="13"/>
      <c r="G116354" s="12"/>
      <c r="H116354" s="12"/>
      <c r="I116354" s="12"/>
      <c r="J116354" s="12"/>
      <c r="K116354" s="12"/>
      <c r="L116354" s="208"/>
      <c r="M116354" s="209"/>
      <c r="N116354" s="209"/>
      <c r="O116354" s="209"/>
    </row>
    <row r="116355" spans="1:15" s="210" customFormat="1" x14ac:dyDescent="0.3">
      <c r="A116355" s="12"/>
      <c r="B116355" s="15"/>
      <c r="C116355" s="15"/>
      <c r="D116355" s="12"/>
      <c r="E116355" s="12"/>
      <c r="F116355" s="13"/>
      <c r="G116355" s="12"/>
      <c r="H116355" s="12"/>
      <c r="I116355" s="12"/>
      <c r="J116355" s="12"/>
      <c r="K116355" s="12"/>
      <c r="L116355" s="208"/>
      <c r="M116355" s="209"/>
      <c r="N116355" s="209"/>
      <c r="O116355" s="209"/>
    </row>
    <row r="116356" spans="1:15" s="210" customFormat="1" x14ac:dyDescent="0.3">
      <c r="A116356" s="12"/>
      <c r="B116356" s="15"/>
      <c r="C116356" s="15"/>
      <c r="D116356" s="12"/>
      <c r="E116356" s="12"/>
      <c r="F116356" s="13"/>
      <c r="G116356" s="12"/>
      <c r="H116356" s="12"/>
      <c r="I116356" s="12"/>
      <c r="J116356" s="12"/>
      <c r="K116356" s="12"/>
      <c r="L116356" s="208"/>
      <c r="M116356" s="209"/>
      <c r="N116356" s="209"/>
      <c r="O116356" s="209"/>
    </row>
    <row r="116357" spans="1:15" s="210" customFormat="1" x14ac:dyDescent="0.3">
      <c r="A116357" s="12"/>
      <c r="B116357" s="15"/>
      <c r="C116357" s="15"/>
      <c r="D116357" s="12"/>
      <c r="E116357" s="12"/>
      <c r="F116357" s="13"/>
      <c r="G116357" s="12"/>
      <c r="H116357" s="12"/>
      <c r="I116357" s="12"/>
      <c r="J116357" s="12"/>
      <c r="K116357" s="12"/>
      <c r="L116357" s="208"/>
      <c r="M116357" s="209"/>
      <c r="N116357" s="209"/>
      <c r="O116357" s="209"/>
    </row>
    <row r="116358" spans="1:15" s="210" customFormat="1" x14ac:dyDescent="0.3">
      <c r="A116358" s="12"/>
      <c r="B116358" s="15"/>
      <c r="C116358" s="15"/>
      <c r="D116358" s="12"/>
      <c r="E116358" s="12"/>
      <c r="F116358" s="13"/>
      <c r="G116358" s="12"/>
      <c r="H116358" s="12"/>
      <c r="I116358" s="12"/>
      <c r="J116358" s="12"/>
      <c r="K116358" s="12"/>
      <c r="L116358" s="208"/>
      <c r="M116358" s="209"/>
      <c r="N116358" s="209"/>
      <c r="O116358" s="209"/>
    </row>
    <row r="116359" spans="1:15" s="210" customFormat="1" x14ac:dyDescent="0.3">
      <c r="A116359" s="12"/>
      <c r="B116359" s="15"/>
      <c r="C116359" s="15"/>
      <c r="D116359" s="12"/>
      <c r="E116359" s="12"/>
      <c r="F116359" s="13"/>
      <c r="G116359" s="12"/>
      <c r="H116359" s="12"/>
      <c r="I116359" s="12"/>
      <c r="J116359" s="12"/>
      <c r="K116359" s="12"/>
      <c r="L116359" s="208"/>
      <c r="M116359" s="209"/>
      <c r="N116359" s="209"/>
      <c r="O116359" s="209"/>
    </row>
    <row r="116360" spans="1:15" s="210" customFormat="1" x14ac:dyDescent="0.3">
      <c r="A116360" s="12"/>
      <c r="B116360" s="15"/>
      <c r="C116360" s="15"/>
      <c r="D116360" s="12"/>
      <c r="E116360" s="12"/>
      <c r="F116360" s="13"/>
      <c r="G116360" s="12"/>
      <c r="H116360" s="12"/>
      <c r="I116360" s="12"/>
      <c r="J116360" s="12"/>
      <c r="K116360" s="12"/>
      <c r="L116360" s="208"/>
      <c r="M116360" s="209"/>
      <c r="N116360" s="209"/>
      <c r="O116360" s="209"/>
    </row>
    <row r="116361" spans="1:15" s="210" customFormat="1" x14ac:dyDescent="0.3">
      <c r="A116361" s="12"/>
      <c r="B116361" s="15"/>
      <c r="C116361" s="15"/>
      <c r="D116361" s="12"/>
      <c r="E116361" s="12"/>
      <c r="F116361" s="13"/>
      <c r="G116361" s="12"/>
      <c r="H116361" s="12"/>
      <c r="I116361" s="12"/>
      <c r="J116361" s="12"/>
      <c r="K116361" s="12"/>
      <c r="L116361" s="208"/>
      <c r="M116361" s="209"/>
      <c r="N116361" s="209"/>
      <c r="O116361" s="209"/>
    </row>
    <row r="116362" spans="1:15" s="210" customFormat="1" x14ac:dyDescent="0.3">
      <c r="A116362" s="12"/>
      <c r="B116362" s="15"/>
      <c r="C116362" s="15"/>
      <c r="D116362" s="12"/>
      <c r="E116362" s="12"/>
      <c r="F116362" s="13"/>
      <c r="G116362" s="12"/>
      <c r="H116362" s="12"/>
      <c r="I116362" s="12"/>
      <c r="J116362" s="12"/>
      <c r="K116362" s="12"/>
      <c r="L116362" s="208"/>
      <c r="M116362" s="209"/>
      <c r="N116362" s="209"/>
      <c r="O116362" s="209"/>
    </row>
    <row r="116363" spans="1:15" s="210" customFormat="1" x14ac:dyDescent="0.3">
      <c r="A116363" s="12"/>
      <c r="B116363" s="15"/>
      <c r="C116363" s="15"/>
      <c r="D116363" s="12"/>
      <c r="E116363" s="12"/>
      <c r="F116363" s="13"/>
      <c r="G116363" s="12"/>
      <c r="H116363" s="12"/>
      <c r="I116363" s="12"/>
      <c r="J116363" s="12"/>
      <c r="K116363" s="12"/>
      <c r="L116363" s="208"/>
      <c r="M116363" s="209"/>
      <c r="N116363" s="209"/>
      <c r="O116363" s="209"/>
    </row>
    <row r="116364" spans="1:15" s="210" customFormat="1" x14ac:dyDescent="0.3">
      <c r="A116364" s="12"/>
      <c r="B116364" s="15"/>
      <c r="C116364" s="15"/>
      <c r="D116364" s="12"/>
      <c r="E116364" s="12"/>
      <c r="F116364" s="13"/>
      <c r="G116364" s="12"/>
      <c r="H116364" s="12"/>
      <c r="I116364" s="12"/>
      <c r="J116364" s="12"/>
      <c r="K116364" s="12"/>
      <c r="L116364" s="208"/>
      <c r="M116364" s="209"/>
      <c r="N116364" s="209"/>
      <c r="O116364" s="209"/>
    </row>
    <row r="116365" spans="1:15" s="210" customFormat="1" x14ac:dyDescent="0.3">
      <c r="A116365" s="12"/>
      <c r="B116365" s="15"/>
      <c r="C116365" s="15"/>
      <c r="D116365" s="12"/>
      <c r="E116365" s="12"/>
      <c r="F116365" s="13"/>
      <c r="G116365" s="12"/>
      <c r="H116365" s="12"/>
      <c r="I116365" s="12"/>
      <c r="J116365" s="12"/>
      <c r="K116365" s="12"/>
      <c r="L116365" s="208"/>
      <c r="M116365" s="209"/>
      <c r="N116365" s="209"/>
      <c r="O116365" s="209"/>
    </row>
    <row r="116366" spans="1:15" s="210" customFormat="1" x14ac:dyDescent="0.3">
      <c r="A116366" s="12"/>
      <c r="B116366" s="15"/>
      <c r="C116366" s="15"/>
      <c r="D116366" s="12"/>
      <c r="E116366" s="12"/>
      <c r="F116366" s="13"/>
      <c r="G116366" s="12"/>
      <c r="H116366" s="12"/>
      <c r="I116366" s="12"/>
      <c r="J116366" s="12"/>
      <c r="K116366" s="12"/>
      <c r="L116366" s="208"/>
      <c r="M116366" s="209"/>
      <c r="N116366" s="209"/>
      <c r="O116366" s="209"/>
    </row>
    <row r="116367" spans="1:15" s="210" customFormat="1" x14ac:dyDescent="0.3">
      <c r="A116367" s="12"/>
      <c r="B116367" s="15"/>
      <c r="C116367" s="15"/>
      <c r="D116367" s="12"/>
      <c r="E116367" s="12"/>
      <c r="F116367" s="13"/>
      <c r="G116367" s="12"/>
      <c r="H116367" s="12"/>
      <c r="I116367" s="12"/>
      <c r="J116367" s="12"/>
      <c r="K116367" s="12"/>
      <c r="L116367" s="208"/>
      <c r="M116367" s="209"/>
      <c r="N116367" s="209"/>
      <c r="O116367" s="209"/>
    </row>
    <row r="116368" spans="1:15" s="210" customFormat="1" x14ac:dyDescent="0.3">
      <c r="A116368" s="12"/>
      <c r="B116368" s="15"/>
      <c r="C116368" s="15"/>
      <c r="D116368" s="12"/>
      <c r="E116368" s="12"/>
      <c r="F116368" s="13"/>
      <c r="G116368" s="12"/>
      <c r="H116368" s="12"/>
      <c r="I116368" s="12"/>
      <c r="J116368" s="12"/>
      <c r="K116368" s="12"/>
      <c r="L116368" s="208"/>
      <c r="M116368" s="209"/>
      <c r="N116368" s="209"/>
      <c r="O116368" s="209"/>
    </row>
    <row r="116369" spans="1:15" s="210" customFormat="1" x14ac:dyDescent="0.3">
      <c r="A116369" s="12"/>
      <c r="B116369" s="15"/>
      <c r="C116369" s="15"/>
      <c r="D116369" s="12"/>
      <c r="E116369" s="12"/>
      <c r="F116369" s="13"/>
      <c r="G116369" s="12"/>
      <c r="H116369" s="12"/>
      <c r="I116369" s="12"/>
      <c r="J116369" s="12"/>
      <c r="K116369" s="12"/>
      <c r="L116369" s="208"/>
      <c r="M116369" s="209"/>
      <c r="N116369" s="209"/>
      <c r="O116369" s="209"/>
    </row>
    <row r="116370" spans="1:15" s="210" customFormat="1" x14ac:dyDescent="0.3">
      <c r="A116370" s="12"/>
      <c r="B116370" s="15"/>
      <c r="C116370" s="15"/>
      <c r="D116370" s="12"/>
      <c r="E116370" s="12"/>
      <c r="F116370" s="13"/>
      <c r="G116370" s="12"/>
      <c r="H116370" s="12"/>
      <c r="I116370" s="12"/>
      <c r="J116370" s="12"/>
      <c r="K116370" s="12"/>
      <c r="L116370" s="208"/>
      <c r="M116370" s="209"/>
      <c r="N116370" s="209"/>
      <c r="O116370" s="209"/>
    </row>
    <row r="116371" spans="1:15" s="210" customFormat="1" x14ac:dyDescent="0.3">
      <c r="A116371" s="12"/>
      <c r="B116371" s="15"/>
      <c r="C116371" s="15"/>
      <c r="D116371" s="12"/>
      <c r="E116371" s="12"/>
      <c r="F116371" s="13"/>
      <c r="G116371" s="12"/>
      <c r="H116371" s="12"/>
      <c r="I116371" s="12"/>
      <c r="J116371" s="12"/>
      <c r="K116371" s="12"/>
      <c r="L116371" s="208"/>
      <c r="M116371" s="209"/>
      <c r="N116371" s="209"/>
      <c r="O116371" s="209"/>
    </row>
    <row r="116372" spans="1:15" s="210" customFormat="1" x14ac:dyDescent="0.3">
      <c r="A116372" s="12"/>
      <c r="B116372" s="15"/>
      <c r="C116372" s="15"/>
      <c r="D116372" s="12"/>
      <c r="E116372" s="12"/>
      <c r="F116372" s="13"/>
      <c r="G116372" s="12"/>
      <c r="H116372" s="12"/>
      <c r="I116372" s="12"/>
      <c r="J116372" s="12"/>
      <c r="K116372" s="12"/>
      <c r="L116372" s="208"/>
      <c r="M116372" s="209"/>
      <c r="N116372" s="209"/>
      <c r="O116372" s="209"/>
    </row>
    <row r="116373" spans="1:15" s="210" customFormat="1" x14ac:dyDescent="0.3">
      <c r="A116373" s="12"/>
      <c r="B116373" s="15"/>
      <c r="C116373" s="15"/>
      <c r="D116373" s="12"/>
      <c r="E116373" s="12"/>
      <c r="F116373" s="13"/>
      <c r="G116373" s="12"/>
      <c r="H116373" s="12"/>
      <c r="I116373" s="12"/>
      <c r="J116373" s="12"/>
      <c r="K116373" s="12"/>
      <c r="L116373" s="208"/>
      <c r="M116373" s="209"/>
      <c r="N116373" s="209"/>
      <c r="O116373" s="209"/>
    </row>
    <row r="116374" spans="1:15" s="210" customFormat="1" x14ac:dyDescent="0.3">
      <c r="A116374" s="12"/>
      <c r="B116374" s="15"/>
      <c r="C116374" s="15"/>
      <c r="D116374" s="12"/>
      <c r="E116374" s="12"/>
      <c r="F116374" s="13"/>
      <c r="G116374" s="12"/>
      <c r="H116374" s="12"/>
      <c r="I116374" s="12"/>
      <c r="J116374" s="12"/>
      <c r="K116374" s="12"/>
      <c r="L116374" s="208"/>
      <c r="M116374" s="209"/>
      <c r="N116374" s="209"/>
      <c r="O116374" s="209"/>
    </row>
    <row r="116375" spans="1:15" s="210" customFormat="1" x14ac:dyDescent="0.3">
      <c r="A116375" s="12"/>
      <c r="B116375" s="15"/>
      <c r="C116375" s="15"/>
      <c r="D116375" s="12"/>
      <c r="E116375" s="12"/>
      <c r="F116375" s="13"/>
      <c r="G116375" s="12"/>
      <c r="H116375" s="12"/>
      <c r="I116375" s="12"/>
      <c r="J116375" s="12"/>
      <c r="K116375" s="12"/>
      <c r="L116375" s="208"/>
      <c r="M116375" s="209"/>
      <c r="N116375" s="209"/>
      <c r="O116375" s="209"/>
    </row>
    <row r="116376" spans="1:15" s="210" customFormat="1" x14ac:dyDescent="0.3">
      <c r="A116376" s="12"/>
      <c r="B116376" s="15"/>
      <c r="C116376" s="15"/>
      <c r="D116376" s="12"/>
      <c r="E116376" s="12"/>
      <c r="F116376" s="13"/>
      <c r="G116376" s="12"/>
      <c r="H116376" s="12"/>
      <c r="I116376" s="12"/>
      <c r="J116376" s="12"/>
      <c r="K116376" s="12"/>
      <c r="L116376" s="208"/>
      <c r="M116376" s="209"/>
      <c r="N116376" s="209"/>
      <c r="O116376" s="209"/>
    </row>
    <row r="116377" spans="1:15" s="210" customFormat="1" x14ac:dyDescent="0.3">
      <c r="A116377" s="12"/>
      <c r="B116377" s="15"/>
      <c r="C116377" s="15"/>
      <c r="D116377" s="12"/>
      <c r="E116377" s="12"/>
      <c r="F116377" s="13"/>
      <c r="G116377" s="12"/>
      <c r="H116377" s="12"/>
      <c r="I116377" s="12"/>
      <c r="J116377" s="12"/>
      <c r="K116377" s="12"/>
      <c r="L116377" s="208"/>
      <c r="M116377" s="209"/>
      <c r="N116377" s="209"/>
      <c r="O116377" s="209"/>
    </row>
    <row r="116378" spans="1:15" s="210" customFormat="1" x14ac:dyDescent="0.3">
      <c r="A116378" s="12"/>
      <c r="B116378" s="15"/>
      <c r="C116378" s="15"/>
      <c r="D116378" s="12"/>
      <c r="E116378" s="12"/>
      <c r="F116378" s="13"/>
      <c r="G116378" s="12"/>
      <c r="H116378" s="12"/>
      <c r="I116378" s="12"/>
      <c r="J116378" s="12"/>
      <c r="K116378" s="12"/>
      <c r="L116378" s="208"/>
      <c r="M116378" s="209"/>
      <c r="N116378" s="209"/>
      <c r="O116378" s="209"/>
    </row>
    <row r="116379" spans="1:15" s="210" customFormat="1" x14ac:dyDescent="0.3">
      <c r="A116379" s="12"/>
      <c r="B116379" s="15"/>
      <c r="C116379" s="15"/>
      <c r="D116379" s="12"/>
      <c r="E116379" s="12"/>
      <c r="F116379" s="13"/>
      <c r="G116379" s="12"/>
      <c r="H116379" s="12"/>
      <c r="I116379" s="12"/>
      <c r="J116379" s="12"/>
      <c r="K116379" s="12"/>
      <c r="L116379" s="208"/>
      <c r="M116379" s="209"/>
      <c r="N116379" s="209"/>
      <c r="O116379" s="209"/>
    </row>
    <row r="116380" spans="1:15" s="210" customFormat="1" x14ac:dyDescent="0.3">
      <c r="A116380" s="12"/>
      <c r="B116380" s="15"/>
      <c r="C116380" s="15"/>
      <c r="D116380" s="12"/>
      <c r="E116380" s="12"/>
      <c r="F116380" s="13"/>
      <c r="G116380" s="12"/>
      <c r="H116380" s="12"/>
      <c r="I116380" s="12"/>
      <c r="J116380" s="12"/>
      <c r="K116380" s="12"/>
      <c r="L116380" s="208"/>
      <c r="M116380" s="209"/>
      <c r="N116380" s="209"/>
      <c r="O116380" s="209"/>
    </row>
    <row r="116381" spans="1:15" s="210" customFormat="1" x14ac:dyDescent="0.3">
      <c r="A116381" s="12"/>
      <c r="B116381" s="15"/>
      <c r="C116381" s="15"/>
      <c r="D116381" s="12"/>
      <c r="E116381" s="12"/>
      <c r="F116381" s="13"/>
      <c r="G116381" s="12"/>
      <c r="H116381" s="12"/>
      <c r="I116381" s="12"/>
      <c r="J116381" s="12"/>
      <c r="K116381" s="12"/>
      <c r="L116381" s="208"/>
      <c r="M116381" s="209"/>
      <c r="N116381" s="209"/>
      <c r="O116381" s="209"/>
    </row>
    <row r="116382" spans="1:15" s="210" customFormat="1" x14ac:dyDescent="0.3">
      <c r="A116382" s="12"/>
      <c r="B116382" s="15"/>
      <c r="C116382" s="15"/>
      <c r="D116382" s="12"/>
      <c r="E116382" s="12"/>
      <c r="F116382" s="13"/>
      <c r="G116382" s="12"/>
      <c r="H116382" s="12"/>
      <c r="I116382" s="12"/>
      <c r="J116382" s="12"/>
      <c r="K116382" s="12"/>
      <c r="L116382" s="208"/>
      <c r="M116382" s="209"/>
      <c r="N116382" s="209"/>
      <c r="O116382" s="209"/>
    </row>
    <row r="116383" spans="1:15" s="210" customFormat="1" x14ac:dyDescent="0.3">
      <c r="A116383" s="12"/>
      <c r="B116383" s="15"/>
      <c r="C116383" s="15"/>
      <c r="D116383" s="12"/>
      <c r="E116383" s="12"/>
      <c r="F116383" s="13"/>
      <c r="G116383" s="12"/>
      <c r="H116383" s="12"/>
      <c r="I116383" s="12"/>
      <c r="J116383" s="12"/>
      <c r="K116383" s="12"/>
      <c r="L116383" s="208"/>
      <c r="M116383" s="209"/>
      <c r="N116383" s="209"/>
      <c r="O116383" s="209"/>
    </row>
    <row r="116384" spans="1:15" s="210" customFormat="1" x14ac:dyDescent="0.3">
      <c r="A116384" s="12"/>
      <c r="B116384" s="15"/>
      <c r="C116384" s="15"/>
      <c r="D116384" s="12"/>
      <c r="E116384" s="12"/>
      <c r="F116384" s="13"/>
      <c r="G116384" s="12"/>
      <c r="H116384" s="12"/>
      <c r="I116384" s="12"/>
      <c r="J116384" s="12"/>
      <c r="K116384" s="12"/>
      <c r="L116384" s="208"/>
      <c r="M116384" s="209"/>
      <c r="N116384" s="209"/>
      <c r="O116384" s="209"/>
    </row>
    <row r="116385" spans="1:15" s="210" customFormat="1" x14ac:dyDescent="0.3">
      <c r="A116385" s="12"/>
      <c r="B116385" s="15"/>
      <c r="C116385" s="15"/>
      <c r="D116385" s="12"/>
      <c r="E116385" s="12"/>
      <c r="F116385" s="13"/>
      <c r="G116385" s="12"/>
      <c r="H116385" s="12"/>
      <c r="I116385" s="12"/>
      <c r="J116385" s="12"/>
      <c r="K116385" s="12"/>
      <c r="L116385" s="208"/>
      <c r="M116385" s="209"/>
      <c r="N116385" s="209"/>
      <c r="O116385" s="209"/>
    </row>
    <row r="116386" spans="1:15" s="210" customFormat="1" x14ac:dyDescent="0.3">
      <c r="A116386" s="12"/>
      <c r="B116386" s="15"/>
      <c r="C116386" s="15"/>
      <c r="D116386" s="12"/>
      <c r="E116386" s="12"/>
      <c r="F116386" s="13"/>
      <c r="G116386" s="12"/>
      <c r="H116386" s="12"/>
      <c r="I116386" s="12"/>
      <c r="J116386" s="12"/>
      <c r="K116386" s="12"/>
      <c r="L116386" s="208"/>
      <c r="M116386" s="209"/>
      <c r="N116386" s="209"/>
      <c r="O116386" s="209"/>
    </row>
    <row r="116387" spans="1:15" s="210" customFormat="1" x14ac:dyDescent="0.3">
      <c r="A116387" s="12"/>
      <c r="B116387" s="15"/>
      <c r="C116387" s="15"/>
      <c r="D116387" s="12"/>
      <c r="E116387" s="12"/>
      <c r="F116387" s="13"/>
      <c r="G116387" s="12"/>
      <c r="H116387" s="12"/>
      <c r="I116387" s="12"/>
      <c r="J116387" s="12"/>
      <c r="K116387" s="12"/>
      <c r="L116387" s="208"/>
      <c r="M116387" s="209"/>
      <c r="N116387" s="209"/>
      <c r="O116387" s="209"/>
    </row>
    <row r="116388" spans="1:15" s="210" customFormat="1" x14ac:dyDescent="0.3">
      <c r="A116388" s="12"/>
      <c r="B116388" s="15"/>
      <c r="C116388" s="15"/>
      <c r="D116388" s="12"/>
      <c r="E116388" s="12"/>
      <c r="F116388" s="13"/>
      <c r="G116388" s="12"/>
      <c r="H116388" s="12"/>
      <c r="I116388" s="12"/>
      <c r="J116388" s="12"/>
      <c r="K116388" s="12"/>
      <c r="L116388" s="208"/>
      <c r="M116388" s="209"/>
      <c r="N116388" s="209"/>
      <c r="O116388" s="209"/>
    </row>
    <row r="116389" spans="1:15" s="210" customFormat="1" x14ac:dyDescent="0.3">
      <c r="A116389" s="12"/>
      <c r="B116389" s="15"/>
      <c r="C116389" s="15"/>
      <c r="D116389" s="12"/>
      <c r="E116389" s="12"/>
      <c r="F116389" s="13"/>
      <c r="G116389" s="12"/>
      <c r="H116389" s="12"/>
      <c r="I116389" s="12"/>
      <c r="J116389" s="12"/>
      <c r="K116389" s="12"/>
      <c r="L116389" s="208"/>
      <c r="M116389" s="209"/>
      <c r="N116389" s="209"/>
      <c r="O116389" s="209"/>
    </row>
    <row r="116390" spans="1:15" s="210" customFormat="1" x14ac:dyDescent="0.3">
      <c r="A116390" s="12"/>
      <c r="B116390" s="15"/>
      <c r="C116390" s="15"/>
      <c r="D116390" s="12"/>
      <c r="E116390" s="12"/>
      <c r="F116390" s="13"/>
      <c r="G116390" s="12"/>
      <c r="H116390" s="12"/>
      <c r="I116390" s="12"/>
      <c r="J116390" s="12"/>
      <c r="K116390" s="12"/>
      <c r="L116390" s="208"/>
      <c r="M116390" s="209"/>
      <c r="N116390" s="209"/>
      <c r="O116390" s="209"/>
    </row>
    <row r="116391" spans="1:15" s="210" customFormat="1" x14ac:dyDescent="0.3">
      <c r="A116391" s="12"/>
      <c r="B116391" s="15"/>
      <c r="C116391" s="15"/>
      <c r="D116391" s="12"/>
      <c r="E116391" s="12"/>
      <c r="F116391" s="13"/>
      <c r="G116391" s="12"/>
      <c r="H116391" s="12"/>
      <c r="I116391" s="12"/>
      <c r="J116391" s="12"/>
      <c r="K116391" s="12"/>
      <c r="L116391" s="208"/>
      <c r="M116391" s="209"/>
      <c r="N116391" s="209"/>
      <c r="O116391" s="209"/>
    </row>
    <row r="116392" spans="1:15" s="210" customFormat="1" x14ac:dyDescent="0.3">
      <c r="A116392" s="12"/>
      <c r="B116392" s="15"/>
      <c r="C116392" s="15"/>
      <c r="D116392" s="12"/>
      <c r="E116392" s="12"/>
      <c r="F116392" s="13"/>
      <c r="G116392" s="12"/>
      <c r="H116392" s="12"/>
      <c r="I116392" s="12"/>
      <c r="J116392" s="12"/>
      <c r="K116392" s="12"/>
      <c r="L116392" s="208"/>
      <c r="M116392" s="209"/>
      <c r="N116392" s="209"/>
      <c r="O116392" s="209"/>
    </row>
    <row r="116393" spans="1:15" s="210" customFormat="1" x14ac:dyDescent="0.3">
      <c r="A116393" s="12"/>
      <c r="B116393" s="15"/>
      <c r="C116393" s="15"/>
      <c r="D116393" s="12"/>
      <c r="E116393" s="12"/>
      <c r="F116393" s="13"/>
      <c r="G116393" s="12"/>
      <c r="H116393" s="12"/>
      <c r="I116393" s="12"/>
      <c r="J116393" s="12"/>
      <c r="K116393" s="12"/>
      <c r="L116393" s="208"/>
      <c r="M116393" s="209"/>
      <c r="N116393" s="209"/>
      <c r="O116393" s="209"/>
    </row>
    <row r="116394" spans="1:15" s="210" customFormat="1" x14ac:dyDescent="0.3">
      <c r="A116394" s="12"/>
      <c r="B116394" s="15"/>
      <c r="C116394" s="15"/>
      <c r="D116394" s="12"/>
      <c r="E116394" s="12"/>
      <c r="F116394" s="13"/>
      <c r="G116394" s="12"/>
      <c r="H116394" s="12"/>
      <c r="I116394" s="12"/>
      <c r="J116394" s="12"/>
      <c r="K116394" s="12"/>
      <c r="L116394" s="208"/>
      <c r="M116394" s="209"/>
      <c r="N116394" s="209"/>
      <c r="O116394" s="209"/>
    </row>
    <row r="116395" spans="1:15" s="210" customFormat="1" x14ac:dyDescent="0.3">
      <c r="A116395" s="12"/>
      <c r="B116395" s="15"/>
      <c r="C116395" s="15"/>
      <c r="D116395" s="12"/>
      <c r="E116395" s="12"/>
      <c r="F116395" s="13"/>
      <c r="G116395" s="12"/>
      <c r="H116395" s="12"/>
      <c r="I116395" s="12"/>
      <c r="J116395" s="12"/>
      <c r="K116395" s="12"/>
      <c r="L116395" s="208"/>
      <c r="M116395" s="209"/>
      <c r="N116395" s="209"/>
      <c r="O116395" s="209"/>
    </row>
    <row r="116396" spans="1:15" s="210" customFormat="1" x14ac:dyDescent="0.3">
      <c r="A116396" s="12"/>
      <c r="B116396" s="15"/>
      <c r="C116396" s="15"/>
      <c r="D116396" s="12"/>
      <c r="E116396" s="12"/>
      <c r="F116396" s="13"/>
      <c r="G116396" s="12"/>
      <c r="H116396" s="12"/>
      <c r="I116396" s="12"/>
      <c r="J116396" s="12"/>
      <c r="K116396" s="12"/>
      <c r="L116396" s="208"/>
      <c r="M116396" s="209"/>
      <c r="N116396" s="209"/>
      <c r="O116396" s="209"/>
    </row>
    <row r="116397" spans="1:15" s="210" customFormat="1" x14ac:dyDescent="0.3">
      <c r="A116397" s="12"/>
      <c r="B116397" s="15"/>
      <c r="C116397" s="15"/>
      <c r="D116397" s="12"/>
      <c r="E116397" s="12"/>
      <c r="F116397" s="13"/>
      <c r="G116397" s="12"/>
      <c r="H116397" s="12"/>
      <c r="I116397" s="12"/>
      <c r="J116397" s="12"/>
      <c r="K116397" s="12"/>
      <c r="L116397" s="208"/>
      <c r="M116397" s="209"/>
      <c r="N116397" s="209"/>
      <c r="O116397" s="209"/>
    </row>
    <row r="116398" spans="1:15" s="210" customFormat="1" x14ac:dyDescent="0.3">
      <c r="A116398" s="12"/>
      <c r="B116398" s="15"/>
      <c r="C116398" s="15"/>
      <c r="D116398" s="12"/>
      <c r="E116398" s="12"/>
      <c r="F116398" s="13"/>
      <c r="G116398" s="12"/>
      <c r="H116398" s="12"/>
      <c r="I116398" s="12"/>
      <c r="J116398" s="12"/>
      <c r="K116398" s="12"/>
      <c r="L116398" s="208"/>
      <c r="M116398" s="209"/>
      <c r="N116398" s="209"/>
      <c r="O116398" s="209"/>
    </row>
    <row r="116399" spans="1:15" s="210" customFormat="1" x14ac:dyDescent="0.3">
      <c r="A116399" s="12"/>
      <c r="B116399" s="15"/>
      <c r="C116399" s="15"/>
      <c r="D116399" s="12"/>
      <c r="E116399" s="12"/>
      <c r="F116399" s="13"/>
      <c r="G116399" s="12"/>
      <c r="H116399" s="12"/>
      <c r="I116399" s="12"/>
      <c r="J116399" s="12"/>
      <c r="K116399" s="12"/>
      <c r="L116399" s="208"/>
      <c r="M116399" s="209"/>
      <c r="N116399" s="209"/>
      <c r="O116399" s="209"/>
    </row>
    <row r="116400" spans="1:15" s="210" customFormat="1" x14ac:dyDescent="0.3">
      <c r="A116400" s="12"/>
      <c r="B116400" s="15"/>
      <c r="C116400" s="15"/>
      <c r="D116400" s="12"/>
      <c r="E116400" s="12"/>
      <c r="F116400" s="13"/>
      <c r="G116400" s="12"/>
      <c r="H116400" s="12"/>
      <c r="I116400" s="12"/>
      <c r="J116400" s="12"/>
      <c r="K116400" s="12"/>
      <c r="L116400" s="208"/>
      <c r="M116400" s="209"/>
      <c r="N116400" s="209"/>
      <c r="O116400" s="209"/>
    </row>
    <row r="116401" spans="1:15" s="210" customFormat="1" x14ac:dyDescent="0.3">
      <c r="A116401" s="12"/>
      <c r="B116401" s="15"/>
      <c r="C116401" s="15"/>
      <c r="D116401" s="12"/>
      <c r="E116401" s="12"/>
      <c r="F116401" s="13"/>
      <c r="G116401" s="12"/>
      <c r="H116401" s="12"/>
      <c r="I116401" s="12"/>
      <c r="J116401" s="12"/>
      <c r="K116401" s="12"/>
      <c r="L116401" s="208"/>
      <c r="M116401" s="209"/>
      <c r="N116401" s="209"/>
      <c r="O116401" s="209"/>
    </row>
    <row r="116402" spans="1:15" s="210" customFormat="1" x14ac:dyDescent="0.3">
      <c r="A116402" s="12"/>
      <c r="B116402" s="15"/>
      <c r="C116402" s="15"/>
      <c r="D116402" s="12"/>
      <c r="E116402" s="12"/>
      <c r="F116402" s="13"/>
      <c r="G116402" s="12"/>
      <c r="H116402" s="12"/>
      <c r="I116402" s="12"/>
      <c r="J116402" s="12"/>
      <c r="K116402" s="12"/>
      <c r="L116402" s="208"/>
      <c r="M116402" s="209"/>
      <c r="N116402" s="209"/>
      <c r="O116402" s="209"/>
    </row>
    <row r="116403" spans="1:15" s="210" customFormat="1" x14ac:dyDescent="0.3">
      <c r="A116403" s="12"/>
      <c r="B116403" s="15"/>
      <c r="C116403" s="15"/>
      <c r="D116403" s="12"/>
      <c r="E116403" s="12"/>
      <c r="F116403" s="13"/>
      <c r="G116403" s="12"/>
      <c r="H116403" s="12"/>
      <c r="I116403" s="12"/>
      <c r="J116403" s="12"/>
      <c r="K116403" s="12"/>
      <c r="L116403" s="208"/>
      <c r="M116403" s="209"/>
      <c r="N116403" s="209"/>
      <c r="O116403" s="209"/>
    </row>
    <row r="116404" spans="1:15" s="210" customFormat="1" x14ac:dyDescent="0.3">
      <c r="A116404" s="12"/>
      <c r="B116404" s="15"/>
      <c r="C116404" s="15"/>
      <c r="D116404" s="12"/>
      <c r="E116404" s="12"/>
      <c r="F116404" s="13"/>
      <c r="G116404" s="12"/>
      <c r="H116404" s="12"/>
      <c r="I116404" s="12"/>
      <c r="J116404" s="12"/>
      <c r="K116404" s="12"/>
      <c r="L116404" s="208"/>
      <c r="M116404" s="209"/>
      <c r="N116404" s="209"/>
      <c r="O116404" s="209"/>
    </row>
    <row r="116405" spans="1:15" s="210" customFormat="1" x14ac:dyDescent="0.3">
      <c r="A116405" s="12"/>
      <c r="B116405" s="15"/>
      <c r="C116405" s="15"/>
      <c r="D116405" s="12"/>
      <c r="E116405" s="12"/>
      <c r="F116405" s="13"/>
      <c r="G116405" s="12"/>
      <c r="H116405" s="12"/>
      <c r="I116405" s="12"/>
      <c r="J116405" s="12"/>
      <c r="K116405" s="12"/>
      <c r="L116405" s="208"/>
      <c r="M116405" s="209"/>
      <c r="N116405" s="209"/>
      <c r="O116405" s="209"/>
    </row>
    <row r="116406" spans="1:15" s="210" customFormat="1" x14ac:dyDescent="0.3">
      <c r="A116406" s="12"/>
      <c r="B116406" s="15"/>
      <c r="C116406" s="15"/>
      <c r="D116406" s="12"/>
      <c r="E116406" s="12"/>
      <c r="F116406" s="13"/>
      <c r="G116406" s="12"/>
      <c r="H116406" s="12"/>
      <c r="I116406" s="12"/>
      <c r="J116406" s="12"/>
      <c r="K116406" s="12"/>
      <c r="L116406" s="208"/>
      <c r="M116406" s="209"/>
      <c r="N116406" s="209"/>
      <c r="O116406" s="209"/>
    </row>
    <row r="116407" spans="1:15" s="210" customFormat="1" x14ac:dyDescent="0.3">
      <c r="A116407" s="12"/>
      <c r="B116407" s="15"/>
      <c r="C116407" s="15"/>
      <c r="D116407" s="12"/>
      <c r="E116407" s="12"/>
      <c r="F116407" s="13"/>
      <c r="G116407" s="12"/>
      <c r="H116407" s="12"/>
      <c r="I116407" s="12"/>
      <c r="J116407" s="12"/>
      <c r="K116407" s="12"/>
      <c r="L116407" s="208"/>
      <c r="M116407" s="209"/>
      <c r="N116407" s="209"/>
      <c r="O116407" s="209"/>
    </row>
    <row r="116408" spans="1:15" s="210" customFormat="1" x14ac:dyDescent="0.3">
      <c r="A116408" s="12"/>
      <c r="B116408" s="15"/>
      <c r="C116408" s="15"/>
      <c r="D116408" s="12"/>
      <c r="E116408" s="12"/>
      <c r="F116408" s="13"/>
      <c r="G116408" s="12"/>
      <c r="H116408" s="12"/>
      <c r="I116408" s="12"/>
      <c r="J116408" s="12"/>
      <c r="K116408" s="12"/>
      <c r="L116408" s="208"/>
      <c r="M116408" s="209"/>
      <c r="N116408" s="209"/>
      <c r="O116408" s="209"/>
    </row>
    <row r="116409" spans="1:15" s="210" customFormat="1" x14ac:dyDescent="0.3">
      <c r="A116409" s="12"/>
      <c r="B116409" s="15"/>
      <c r="C116409" s="15"/>
      <c r="D116409" s="12"/>
      <c r="E116409" s="12"/>
      <c r="F116409" s="13"/>
      <c r="G116409" s="12"/>
      <c r="H116409" s="12"/>
      <c r="I116409" s="12"/>
      <c r="J116409" s="12"/>
      <c r="K116409" s="12"/>
      <c r="L116409" s="208"/>
      <c r="M116409" s="209"/>
      <c r="N116409" s="209"/>
      <c r="O116409" s="209"/>
    </row>
    <row r="116410" spans="1:15" s="210" customFormat="1" x14ac:dyDescent="0.3">
      <c r="A116410" s="12"/>
      <c r="B116410" s="15"/>
      <c r="C116410" s="15"/>
      <c r="D116410" s="12"/>
      <c r="E116410" s="12"/>
      <c r="F116410" s="13"/>
      <c r="G116410" s="12"/>
      <c r="H116410" s="12"/>
      <c r="I116410" s="12"/>
      <c r="J116410" s="12"/>
      <c r="K116410" s="12"/>
      <c r="L116410" s="208"/>
      <c r="M116410" s="209"/>
      <c r="N116410" s="209"/>
      <c r="O116410" s="209"/>
    </row>
    <row r="116411" spans="1:15" s="210" customFormat="1" x14ac:dyDescent="0.3">
      <c r="A116411" s="12"/>
      <c r="B116411" s="15"/>
      <c r="C116411" s="15"/>
      <c r="D116411" s="12"/>
      <c r="E116411" s="12"/>
      <c r="F116411" s="13"/>
      <c r="G116411" s="12"/>
      <c r="H116411" s="12"/>
      <c r="I116411" s="12"/>
      <c r="J116411" s="12"/>
      <c r="K116411" s="12"/>
      <c r="L116411" s="208"/>
      <c r="M116411" s="209"/>
      <c r="N116411" s="209"/>
      <c r="O116411" s="209"/>
    </row>
    <row r="116412" spans="1:15" s="210" customFormat="1" x14ac:dyDescent="0.3">
      <c r="A116412" s="12"/>
      <c r="B116412" s="15"/>
      <c r="C116412" s="15"/>
      <c r="D116412" s="12"/>
      <c r="E116412" s="12"/>
      <c r="F116412" s="13"/>
      <c r="G116412" s="12"/>
      <c r="H116412" s="12"/>
      <c r="I116412" s="12"/>
      <c r="J116412" s="12"/>
      <c r="K116412" s="12"/>
      <c r="L116412" s="208"/>
      <c r="M116412" s="209"/>
      <c r="N116412" s="209"/>
      <c r="O116412" s="209"/>
    </row>
    <row r="116413" spans="1:15" s="210" customFormat="1" x14ac:dyDescent="0.3">
      <c r="A116413" s="12"/>
      <c r="B116413" s="15"/>
      <c r="C116413" s="15"/>
      <c r="D116413" s="12"/>
      <c r="E116413" s="12"/>
      <c r="F116413" s="13"/>
      <c r="G116413" s="12"/>
      <c r="H116413" s="12"/>
      <c r="I116413" s="12"/>
      <c r="J116413" s="12"/>
      <c r="K116413" s="12"/>
      <c r="L116413" s="208"/>
      <c r="M116413" s="209"/>
      <c r="N116413" s="209"/>
      <c r="O116413" s="209"/>
    </row>
    <row r="116414" spans="1:15" s="210" customFormat="1" x14ac:dyDescent="0.3">
      <c r="A116414" s="12"/>
      <c r="B116414" s="15"/>
      <c r="C116414" s="15"/>
      <c r="D116414" s="12"/>
      <c r="E116414" s="12"/>
      <c r="F116414" s="13"/>
      <c r="G116414" s="12"/>
      <c r="H116414" s="12"/>
      <c r="I116414" s="12"/>
      <c r="J116414" s="12"/>
      <c r="K116414" s="12"/>
      <c r="L116414" s="208"/>
      <c r="M116414" s="209"/>
      <c r="N116414" s="209"/>
      <c r="O116414" s="209"/>
    </row>
    <row r="116415" spans="1:15" s="210" customFormat="1" x14ac:dyDescent="0.3">
      <c r="A116415" s="12"/>
      <c r="B116415" s="15"/>
      <c r="C116415" s="15"/>
      <c r="D116415" s="12"/>
      <c r="E116415" s="12"/>
      <c r="F116415" s="13"/>
      <c r="G116415" s="12"/>
      <c r="H116415" s="12"/>
      <c r="I116415" s="12"/>
      <c r="J116415" s="12"/>
      <c r="K116415" s="12"/>
      <c r="L116415" s="208"/>
      <c r="M116415" s="209"/>
      <c r="N116415" s="209"/>
      <c r="O116415" s="209"/>
    </row>
    <row r="116416" spans="1:15" s="210" customFormat="1" x14ac:dyDescent="0.3">
      <c r="A116416" s="12"/>
      <c r="B116416" s="15"/>
      <c r="C116416" s="15"/>
      <c r="D116416" s="12"/>
      <c r="E116416" s="12"/>
      <c r="F116416" s="13"/>
      <c r="G116416" s="12"/>
      <c r="H116416" s="12"/>
      <c r="I116416" s="12"/>
      <c r="J116416" s="12"/>
      <c r="K116416" s="12"/>
      <c r="L116416" s="208"/>
      <c r="M116416" s="209"/>
      <c r="N116416" s="209"/>
      <c r="O116416" s="209"/>
    </row>
    <row r="116417" spans="1:15" s="210" customFormat="1" x14ac:dyDescent="0.3">
      <c r="A116417" s="12"/>
      <c r="B116417" s="15"/>
      <c r="C116417" s="15"/>
      <c r="D116417" s="12"/>
      <c r="E116417" s="12"/>
      <c r="F116417" s="13"/>
      <c r="G116417" s="12"/>
      <c r="H116417" s="12"/>
      <c r="I116417" s="12"/>
      <c r="J116417" s="12"/>
      <c r="K116417" s="12"/>
      <c r="L116417" s="208"/>
      <c r="M116417" s="209"/>
      <c r="N116417" s="209"/>
      <c r="O116417" s="209"/>
    </row>
    <row r="116418" spans="1:15" s="210" customFormat="1" x14ac:dyDescent="0.3">
      <c r="A116418" s="12"/>
      <c r="B116418" s="15"/>
      <c r="C116418" s="15"/>
      <c r="D116418" s="12"/>
      <c r="E116418" s="12"/>
      <c r="F116418" s="13"/>
      <c r="G116418" s="12"/>
      <c r="H116418" s="12"/>
      <c r="I116418" s="12"/>
      <c r="J116418" s="12"/>
      <c r="K116418" s="12"/>
      <c r="L116418" s="208"/>
      <c r="M116418" s="209"/>
      <c r="N116418" s="209"/>
      <c r="O116418" s="209"/>
    </row>
    <row r="116419" spans="1:15" s="210" customFormat="1" x14ac:dyDescent="0.3">
      <c r="A116419" s="12"/>
      <c r="B116419" s="15"/>
      <c r="C116419" s="15"/>
      <c r="D116419" s="12"/>
      <c r="E116419" s="12"/>
      <c r="F116419" s="13"/>
      <c r="G116419" s="12"/>
      <c r="H116419" s="12"/>
      <c r="I116419" s="12"/>
      <c r="J116419" s="12"/>
      <c r="K116419" s="12"/>
      <c r="L116419" s="208"/>
      <c r="M116419" s="209"/>
      <c r="N116419" s="209"/>
      <c r="O116419" s="209"/>
    </row>
    <row r="116420" spans="1:15" s="210" customFormat="1" x14ac:dyDescent="0.3">
      <c r="A116420" s="12"/>
      <c r="B116420" s="15"/>
      <c r="C116420" s="15"/>
      <c r="D116420" s="12"/>
      <c r="E116420" s="12"/>
      <c r="F116420" s="13"/>
      <c r="G116420" s="12"/>
      <c r="H116420" s="12"/>
      <c r="I116420" s="12"/>
      <c r="J116420" s="12"/>
      <c r="K116420" s="12"/>
      <c r="L116420" s="208"/>
      <c r="M116420" s="209"/>
      <c r="N116420" s="209"/>
      <c r="O116420" s="209"/>
    </row>
    <row r="116421" spans="1:15" s="210" customFormat="1" x14ac:dyDescent="0.3">
      <c r="A116421" s="12"/>
      <c r="B116421" s="15"/>
      <c r="C116421" s="15"/>
      <c r="D116421" s="12"/>
      <c r="E116421" s="12"/>
      <c r="F116421" s="13"/>
      <c r="G116421" s="12"/>
      <c r="H116421" s="12"/>
      <c r="I116421" s="12"/>
      <c r="J116421" s="12"/>
      <c r="K116421" s="12"/>
      <c r="L116421" s="208"/>
      <c r="M116421" s="209"/>
      <c r="N116421" s="209"/>
      <c r="O116421" s="209"/>
    </row>
    <row r="116422" spans="1:15" s="210" customFormat="1" x14ac:dyDescent="0.3">
      <c r="A116422" s="12"/>
      <c r="B116422" s="15"/>
      <c r="C116422" s="15"/>
      <c r="D116422" s="12"/>
      <c r="E116422" s="12"/>
      <c r="F116422" s="13"/>
      <c r="G116422" s="12"/>
      <c r="H116422" s="12"/>
      <c r="I116422" s="12"/>
      <c r="J116422" s="12"/>
      <c r="K116422" s="12"/>
      <c r="L116422" s="208"/>
      <c r="M116422" s="209"/>
      <c r="N116422" s="209"/>
      <c r="O116422" s="209"/>
    </row>
    <row r="116423" spans="1:15" s="210" customFormat="1" x14ac:dyDescent="0.3">
      <c r="A116423" s="12"/>
      <c r="B116423" s="15"/>
      <c r="C116423" s="15"/>
      <c r="D116423" s="12"/>
      <c r="E116423" s="12"/>
      <c r="F116423" s="13"/>
      <c r="G116423" s="12"/>
      <c r="H116423" s="12"/>
      <c r="I116423" s="12"/>
      <c r="J116423" s="12"/>
      <c r="K116423" s="12"/>
      <c r="L116423" s="208"/>
      <c r="M116423" s="209"/>
      <c r="N116423" s="209"/>
      <c r="O116423" s="209"/>
    </row>
    <row r="116424" spans="1:15" s="210" customFormat="1" x14ac:dyDescent="0.3">
      <c r="A116424" s="12"/>
      <c r="B116424" s="15"/>
      <c r="C116424" s="15"/>
      <c r="D116424" s="12"/>
      <c r="E116424" s="12"/>
      <c r="F116424" s="13"/>
      <c r="G116424" s="12"/>
      <c r="H116424" s="12"/>
      <c r="I116424" s="12"/>
      <c r="J116424" s="12"/>
      <c r="K116424" s="12"/>
      <c r="L116424" s="208"/>
      <c r="M116424" s="209"/>
      <c r="N116424" s="209"/>
      <c r="O116424" s="209"/>
    </row>
    <row r="116425" spans="1:15" s="210" customFormat="1" x14ac:dyDescent="0.3">
      <c r="A116425" s="12"/>
      <c r="B116425" s="15"/>
      <c r="C116425" s="15"/>
      <c r="D116425" s="12"/>
      <c r="E116425" s="12"/>
      <c r="F116425" s="13"/>
      <c r="G116425" s="12"/>
      <c r="H116425" s="12"/>
      <c r="I116425" s="12"/>
      <c r="J116425" s="12"/>
      <c r="K116425" s="12"/>
      <c r="L116425" s="208"/>
      <c r="M116425" s="209"/>
      <c r="N116425" s="209"/>
      <c r="O116425" s="209"/>
    </row>
    <row r="116426" spans="1:15" s="210" customFormat="1" x14ac:dyDescent="0.3">
      <c r="A116426" s="12"/>
      <c r="B116426" s="15"/>
      <c r="C116426" s="15"/>
      <c r="D116426" s="12"/>
      <c r="E116426" s="12"/>
      <c r="F116426" s="13"/>
      <c r="G116426" s="12"/>
      <c r="H116426" s="12"/>
      <c r="I116426" s="12"/>
      <c r="J116426" s="12"/>
      <c r="K116426" s="12"/>
      <c r="L116426" s="208"/>
      <c r="M116426" s="209"/>
      <c r="N116426" s="209"/>
      <c r="O116426" s="209"/>
    </row>
    <row r="116427" spans="1:15" s="210" customFormat="1" x14ac:dyDescent="0.3">
      <c r="A116427" s="12"/>
      <c r="B116427" s="15"/>
      <c r="C116427" s="15"/>
      <c r="D116427" s="12"/>
      <c r="E116427" s="12"/>
      <c r="F116427" s="13"/>
      <c r="G116427" s="12"/>
      <c r="H116427" s="12"/>
      <c r="I116427" s="12"/>
      <c r="J116427" s="12"/>
      <c r="K116427" s="12"/>
      <c r="L116427" s="208"/>
      <c r="M116427" s="209"/>
      <c r="N116427" s="209"/>
      <c r="O116427" s="209"/>
    </row>
    <row r="116428" spans="1:15" s="210" customFormat="1" x14ac:dyDescent="0.3">
      <c r="A116428" s="12"/>
      <c r="B116428" s="15"/>
      <c r="C116428" s="15"/>
      <c r="D116428" s="12"/>
      <c r="E116428" s="12"/>
      <c r="F116428" s="13"/>
      <c r="G116428" s="12"/>
      <c r="H116428" s="12"/>
      <c r="I116428" s="12"/>
      <c r="J116428" s="12"/>
      <c r="K116428" s="12"/>
      <c r="L116428" s="208"/>
      <c r="M116428" s="209"/>
      <c r="N116428" s="209"/>
      <c r="O116428" s="209"/>
    </row>
    <row r="116429" spans="1:15" s="210" customFormat="1" x14ac:dyDescent="0.3">
      <c r="A116429" s="12"/>
      <c r="B116429" s="15"/>
      <c r="C116429" s="15"/>
      <c r="D116429" s="12"/>
      <c r="E116429" s="12"/>
      <c r="F116429" s="13"/>
      <c r="G116429" s="12"/>
      <c r="H116429" s="12"/>
      <c r="I116429" s="12"/>
      <c r="J116429" s="12"/>
      <c r="K116429" s="12"/>
      <c r="L116429" s="208"/>
      <c r="M116429" s="209"/>
      <c r="N116429" s="209"/>
      <c r="O116429" s="209"/>
    </row>
    <row r="116430" spans="1:15" s="210" customFormat="1" x14ac:dyDescent="0.3">
      <c r="A116430" s="12"/>
      <c r="B116430" s="15"/>
      <c r="C116430" s="15"/>
      <c r="D116430" s="12"/>
      <c r="E116430" s="12"/>
      <c r="F116430" s="13"/>
      <c r="G116430" s="12"/>
      <c r="H116430" s="12"/>
      <c r="I116430" s="12"/>
      <c r="J116430" s="12"/>
      <c r="K116430" s="12"/>
      <c r="L116430" s="208"/>
      <c r="M116430" s="209"/>
      <c r="N116430" s="209"/>
      <c r="O116430" s="209"/>
    </row>
    <row r="116431" spans="1:15" s="210" customFormat="1" x14ac:dyDescent="0.3">
      <c r="A116431" s="12"/>
      <c r="B116431" s="15"/>
      <c r="C116431" s="15"/>
      <c r="D116431" s="12"/>
      <c r="E116431" s="12"/>
      <c r="F116431" s="13"/>
      <c r="G116431" s="12"/>
      <c r="H116431" s="12"/>
      <c r="I116431" s="12"/>
      <c r="J116431" s="12"/>
      <c r="K116431" s="12"/>
      <c r="L116431" s="208"/>
      <c r="M116431" s="209"/>
      <c r="N116431" s="209"/>
      <c r="O116431" s="209"/>
    </row>
    <row r="116432" spans="1:15" s="210" customFormat="1" x14ac:dyDescent="0.3">
      <c r="A116432" s="12"/>
      <c r="B116432" s="15"/>
      <c r="C116432" s="15"/>
      <c r="D116432" s="12"/>
      <c r="E116432" s="12"/>
      <c r="F116432" s="13"/>
      <c r="G116432" s="12"/>
      <c r="H116432" s="12"/>
      <c r="I116432" s="12"/>
      <c r="J116432" s="12"/>
      <c r="K116432" s="12"/>
      <c r="L116432" s="208"/>
      <c r="M116432" s="209"/>
      <c r="N116432" s="209"/>
      <c r="O116432" s="209"/>
    </row>
    <row r="116433" spans="1:15" s="210" customFormat="1" x14ac:dyDescent="0.3">
      <c r="A116433" s="12"/>
      <c r="B116433" s="15"/>
      <c r="C116433" s="15"/>
      <c r="D116433" s="12"/>
      <c r="E116433" s="12"/>
      <c r="F116433" s="13"/>
      <c r="G116433" s="12"/>
      <c r="H116433" s="12"/>
      <c r="I116433" s="12"/>
      <c r="J116433" s="12"/>
      <c r="K116433" s="12"/>
      <c r="L116433" s="208"/>
      <c r="M116433" s="209"/>
      <c r="N116433" s="209"/>
      <c r="O116433" s="209"/>
    </row>
    <row r="116434" spans="1:15" s="210" customFormat="1" x14ac:dyDescent="0.3">
      <c r="A116434" s="12"/>
      <c r="B116434" s="15"/>
      <c r="C116434" s="15"/>
      <c r="D116434" s="12"/>
      <c r="E116434" s="12"/>
      <c r="F116434" s="13"/>
      <c r="G116434" s="12"/>
      <c r="H116434" s="12"/>
      <c r="I116434" s="12"/>
      <c r="J116434" s="12"/>
      <c r="K116434" s="12"/>
      <c r="L116434" s="208"/>
      <c r="M116434" s="209"/>
      <c r="N116434" s="209"/>
      <c r="O116434" s="209"/>
    </row>
    <row r="116435" spans="1:15" s="210" customFormat="1" x14ac:dyDescent="0.3">
      <c r="A116435" s="12"/>
      <c r="B116435" s="15"/>
      <c r="C116435" s="15"/>
      <c r="D116435" s="12"/>
      <c r="E116435" s="12"/>
      <c r="F116435" s="13"/>
      <c r="G116435" s="12"/>
      <c r="H116435" s="12"/>
      <c r="I116435" s="12"/>
      <c r="J116435" s="12"/>
      <c r="K116435" s="12"/>
      <c r="L116435" s="208"/>
      <c r="M116435" s="209"/>
      <c r="N116435" s="209"/>
      <c r="O116435" s="209"/>
    </row>
    <row r="116436" spans="1:15" s="210" customFormat="1" x14ac:dyDescent="0.3">
      <c r="A116436" s="12"/>
      <c r="B116436" s="15"/>
      <c r="C116436" s="15"/>
      <c r="D116436" s="12"/>
      <c r="E116436" s="12"/>
      <c r="F116436" s="13"/>
      <c r="G116436" s="12"/>
      <c r="H116436" s="12"/>
      <c r="I116436" s="12"/>
      <c r="J116436" s="12"/>
      <c r="K116436" s="12"/>
      <c r="L116436" s="208"/>
      <c r="M116436" s="209"/>
      <c r="N116436" s="209"/>
      <c r="O116436" s="209"/>
    </row>
    <row r="116437" spans="1:15" s="210" customFormat="1" x14ac:dyDescent="0.3">
      <c r="A116437" s="12"/>
      <c r="B116437" s="15"/>
      <c r="C116437" s="15"/>
      <c r="D116437" s="12"/>
      <c r="E116437" s="12"/>
      <c r="F116437" s="13"/>
      <c r="G116437" s="12"/>
      <c r="H116437" s="12"/>
      <c r="I116437" s="12"/>
      <c r="J116437" s="12"/>
      <c r="K116437" s="12"/>
      <c r="L116437" s="208"/>
      <c r="M116437" s="209"/>
      <c r="N116437" s="209"/>
      <c r="O116437" s="209"/>
    </row>
    <row r="116438" spans="1:15" s="210" customFormat="1" x14ac:dyDescent="0.3">
      <c r="A116438" s="12"/>
      <c r="B116438" s="15"/>
      <c r="C116438" s="15"/>
      <c r="D116438" s="12"/>
      <c r="E116438" s="12"/>
      <c r="F116438" s="13"/>
      <c r="G116438" s="12"/>
      <c r="H116438" s="12"/>
      <c r="I116438" s="12"/>
      <c r="J116438" s="12"/>
      <c r="K116438" s="12"/>
      <c r="L116438" s="208"/>
      <c r="M116438" s="209"/>
      <c r="N116438" s="209"/>
      <c r="O116438" s="209"/>
    </row>
    <row r="116439" spans="1:15" s="210" customFormat="1" x14ac:dyDescent="0.3">
      <c r="A116439" s="12"/>
      <c r="B116439" s="15"/>
      <c r="C116439" s="15"/>
      <c r="D116439" s="12"/>
      <c r="E116439" s="12"/>
      <c r="F116439" s="13"/>
      <c r="G116439" s="12"/>
      <c r="H116439" s="12"/>
      <c r="I116439" s="12"/>
      <c r="J116439" s="12"/>
      <c r="K116439" s="12"/>
      <c r="L116439" s="208"/>
      <c r="M116439" s="209"/>
      <c r="N116439" s="209"/>
      <c r="O116439" s="209"/>
    </row>
    <row r="116440" spans="1:15" s="210" customFormat="1" x14ac:dyDescent="0.3">
      <c r="A116440" s="12"/>
      <c r="B116440" s="15"/>
      <c r="C116440" s="15"/>
      <c r="D116440" s="12"/>
      <c r="E116440" s="12"/>
      <c r="F116440" s="13"/>
      <c r="G116440" s="12"/>
      <c r="H116440" s="12"/>
      <c r="I116440" s="12"/>
      <c r="J116440" s="12"/>
      <c r="K116440" s="12"/>
      <c r="L116440" s="208"/>
      <c r="M116440" s="209"/>
      <c r="N116440" s="209"/>
      <c r="O116440" s="209"/>
    </row>
    <row r="116441" spans="1:15" s="210" customFormat="1" x14ac:dyDescent="0.3">
      <c r="A116441" s="12"/>
      <c r="B116441" s="15"/>
      <c r="C116441" s="15"/>
      <c r="D116441" s="12"/>
      <c r="E116441" s="12"/>
      <c r="F116441" s="13"/>
      <c r="G116441" s="12"/>
      <c r="H116441" s="12"/>
      <c r="I116441" s="12"/>
      <c r="J116441" s="12"/>
      <c r="K116441" s="12"/>
      <c r="L116441" s="208"/>
      <c r="M116441" s="209"/>
      <c r="N116441" s="209"/>
      <c r="O116441" s="209"/>
    </row>
    <row r="116442" spans="1:15" s="210" customFormat="1" x14ac:dyDescent="0.3">
      <c r="A116442" s="12"/>
      <c r="B116442" s="15"/>
      <c r="C116442" s="15"/>
      <c r="D116442" s="12"/>
      <c r="E116442" s="12"/>
      <c r="F116442" s="13"/>
      <c r="G116442" s="12"/>
      <c r="H116442" s="12"/>
      <c r="I116442" s="12"/>
      <c r="J116442" s="12"/>
      <c r="K116442" s="12"/>
      <c r="L116442" s="208"/>
      <c r="M116442" s="209"/>
      <c r="N116442" s="209"/>
      <c r="O116442" s="209"/>
    </row>
    <row r="116443" spans="1:15" s="210" customFormat="1" x14ac:dyDescent="0.3">
      <c r="A116443" s="12"/>
      <c r="B116443" s="15"/>
      <c r="C116443" s="15"/>
      <c r="D116443" s="12"/>
      <c r="E116443" s="12"/>
      <c r="F116443" s="13"/>
      <c r="G116443" s="12"/>
      <c r="H116443" s="12"/>
      <c r="I116443" s="12"/>
      <c r="J116443" s="12"/>
      <c r="K116443" s="12"/>
      <c r="L116443" s="208"/>
      <c r="M116443" s="209"/>
      <c r="N116443" s="209"/>
      <c r="O116443" s="209"/>
    </row>
    <row r="116444" spans="1:15" s="210" customFormat="1" x14ac:dyDescent="0.3">
      <c r="A116444" s="12"/>
      <c r="B116444" s="15"/>
      <c r="C116444" s="15"/>
      <c r="D116444" s="12"/>
      <c r="E116444" s="12"/>
      <c r="F116444" s="13"/>
      <c r="G116444" s="12"/>
      <c r="H116444" s="12"/>
      <c r="I116444" s="12"/>
      <c r="J116444" s="12"/>
      <c r="K116444" s="12"/>
      <c r="L116444" s="208"/>
      <c r="M116444" s="209"/>
      <c r="N116444" s="209"/>
      <c r="O116444" s="209"/>
    </row>
    <row r="116445" spans="1:15" s="210" customFormat="1" x14ac:dyDescent="0.3">
      <c r="A116445" s="12"/>
      <c r="B116445" s="15"/>
      <c r="C116445" s="15"/>
      <c r="D116445" s="12"/>
      <c r="E116445" s="12"/>
      <c r="F116445" s="13"/>
      <c r="G116445" s="12"/>
      <c r="H116445" s="12"/>
      <c r="I116445" s="12"/>
      <c r="J116445" s="12"/>
      <c r="K116445" s="12"/>
      <c r="L116445" s="208"/>
      <c r="M116445" s="209"/>
      <c r="N116445" s="209"/>
      <c r="O116445" s="209"/>
    </row>
    <row r="116446" spans="1:15" s="210" customFormat="1" x14ac:dyDescent="0.3">
      <c r="A116446" s="12"/>
      <c r="B116446" s="15"/>
      <c r="C116446" s="15"/>
      <c r="D116446" s="12"/>
      <c r="E116446" s="12"/>
      <c r="F116446" s="13"/>
      <c r="G116446" s="12"/>
      <c r="H116446" s="12"/>
      <c r="I116446" s="12"/>
      <c r="J116446" s="12"/>
      <c r="K116446" s="12"/>
      <c r="L116446" s="208"/>
      <c r="M116446" s="209"/>
      <c r="N116446" s="209"/>
      <c r="O116446" s="209"/>
    </row>
    <row r="116447" spans="1:15" s="210" customFormat="1" x14ac:dyDescent="0.3">
      <c r="A116447" s="12"/>
      <c r="B116447" s="15"/>
      <c r="C116447" s="15"/>
      <c r="D116447" s="12"/>
      <c r="E116447" s="12"/>
      <c r="F116447" s="13"/>
      <c r="G116447" s="12"/>
      <c r="H116447" s="12"/>
      <c r="I116447" s="12"/>
      <c r="J116447" s="12"/>
      <c r="K116447" s="12"/>
      <c r="L116447" s="208"/>
      <c r="M116447" s="209"/>
      <c r="N116447" s="209"/>
      <c r="O116447" s="209"/>
    </row>
    <row r="116448" spans="1:15" s="210" customFormat="1" x14ac:dyDescent="0.3">
      <c r="A116448" s="12"/>
      <c r="B116448" s="15"/>
      <c r="C116448" s="15"/>
      <c r="D116448" s="12"/>
      <c r="E116448" s="12"/>
      <c r="F116448" s="13"/>
      <c r="G116448" s="12"/>
      <c r="H116448" s="12"/>
      <c r="I116448" s="12"/>
      <c r="J116448" s="12"/>
      <c r="K116448" s="12"/>
      <c r="L116448" s="208"/>
      <c r="M116448" s="209"/>
      <c r="N116448" s="209"/>
      <c r="O116448" s="209"/>
    </row>
    <row r="116449" spans="1:15" s="210" customFormat="1" x14ac:dyDescent="0.3">
      <c r="A116449" s="12"/>
      <c r="B116449" s="15"/>
      <c r="C116449" s="15"/>
      <c r="D116449" s="12"/>
      <c r="E116449" s="12"/>
      <c r="F116449" s="13"/>
      <c r="G116449" s="12"/>
      <c r="H116449" s="12"/>
      <c r="I116449" s="12"/>
      <c r="J116449" s="12"/>
      <c r="K116449" s="12"/>
      <c r="L116449" s="208"/>
      <c r="M116449" s="209"/>
      <c r="N116449" s="209"/>
      <c r="O116449" s="209"/>
    </row>
    <row r="116450" spans="1:15" s="210" customFormat="1" x14ac:dyDescent="0.3">
      <c r="A116450" s="12"/>
      <c r="B116450" s="15"/>
      <c r="C116450" s="15"/>
      <c r="D116450" s="12"/>
      <c r="E116450" s="12"/>
      <c r="F116450" s="13"/>
      <c r="G116450" s="12"/>
      <c r="H116450" s="12"/>
      <c r="I116450" s="12"/>
      <c r="J116450" s="12"/>
      <c r="K116450" s="12"/>
      <c r="L116450" s="208"/>
      <c r="M116450" s="209"/>
      <c r="N116450" s="209"/>
      <c r="O116450" s="209"/>
    </row>
    <row r="116451" spans="1:15" s="210" customFormat="1" x14ac:dyDescent="0.3">
      <c r="A116451" s="12"/>
      <c r="B116451" s="15"/>
      <c r="C116451" s="15"/>
      <c r="D116451" s="12"/>
      <c r="E116451" s="12"/>
      <c r="F116451" s="13"/>
      <c r="G116451" s="12"/>
      <c r="H116451" s="12"/>
      <c r="I116451" s="12"/>
      <c r="J116451" s="12"/>
      <c r="K116451" s="12"/>
      <c r="L116451" s="208"/>
      <c r="M116451" s="209"/>
      <c r="N116451" s="209"/>
      <c r="O116451" s="209"/>
    </row>
    <row r="116452" spans="1:15" s="210" customFormat="1" x14ac:dyDescent="0.3">
      <c r="A116452" s="12"/>
      <c r="B116452" s="15"/>
      <c r="C116452" s="15"/>
      <c r="D116452" s="12"/>
      <c r="E116452" s="12"/>
      <c r="F116452" s="13"/>
      <c r="G116452" s="12"/>
      <c r="H116452" s="12"/>
      <c r="I116452" s="12"/>
      <c r="J116452" s="12"/>
      <c r="K116452" s="12"/>
      <c r="L116452" s="208"/>
      <c r="M116452" s="209"/>
      <c r="N116452" s="209"/>
      <c r="O116452" s="209"/>
    </row>
    <row r="116453" spans="1:15" s="210" customFormat="1" x14ac:dyDescent="0.3">
      <c r="A116453" s="12"/>
      <c r="B116453" s="15"/>
      <c r="C116453" s="15"/>
      <c r="D116453" s="12"/>
      <c r="E116453" s="12"/>
      <c r="F116453" s="13"/>
      <c r="G116453" s="12"/>
      <c r="H116453" s="12"/>
      <c r="I116453" s="12"/>
      <c r="J116453" s="12"/>
      <c r="K116453" s="12"/>
      <c r="L116453" s="208"/>
      <c r="M116453" s="209"/>
      <c r="N116453" s="209"/>
      <c r="O116453" s="209"/>
    </row>
    <row r="116454" spans="1:15" s="210" customFormat="1" x14ac:dyDescent="0.3">
      <c r="A116454" s="12"/>
      <c r="B116454" s="15"/>
      <c r="C116454" s="15"/>
      <c r="D116454" s="12"/>
      <c r="E116454" s="12"/>
      <c r="F116454" s="13"/>
      <c r="G116454" s="12"/>
      <c r="H116454" s="12"/>
      <c r="I116454" s="12"/>
      <c r="J116454" s="12"/>
      <c r="K116454" s="12"/>
      <c r="L116454" s="208"/>
      <c r="M116454" s="209"/>
      <c r="N116454" s="209"/>
      <c r="O116454" s="209"/>
    </row>
    <row r="116455" spans="1:15" s="210" customFormat="1" x14ac:dyDescent="0.3">
      <c r="A116455" s="12"/>
      <c r="B116455" s="15"/>
      <c r="C116455" s="15"/>
      <c r="D116455" s="12"/>
      <c r="E116455" s="12"/>
      <c r="F116455" s="13"/>
      <c r="G116455" s="12"/>
      <c r="H116455" s="12"/>
      <c r="I116455" s="12"/>
      <c r="J116455" s="12"/>
      <c r="K116455" s="12"/>
      <c r="L116455" s="208"/>
      <c r="M116455" s="209"/>
      <c r="N116455" s="209"/>
      <c r="O116455" s="209"/>
    </row>
    <row r="116456" spans="1:15" s="210" customFormat="1" x14ac:dyDescent="0.3">
      <c r="A116456" s="12"/>
      <c r="B116456" s="15"/>
      <c r="C116456" s="15"/>
      <c r="D116456" s="12"/>
      <c r="E116456" s="12"/>
      <c r="F116456" s="13"/>
      <c r="G116456" s="12"/>
      <c r="H116456" s="12"/>
      <c r="I116456" s="12"/>
      <c r="J116456" s="12"/>
      <c r="K116456" s="12"/>
      <c r="L116456" s="208"/>
      <c r="M116456" s="209"/>
      <c r="N116456" s="209"/>
      <c r="O116456" s="209"/>
    </row>
    <row r="116457" spans="1:15" s="210" customFormat="1" x14ac:dyDescent="0.3">
      <c r="A116457" s="12"/>
      <c r="B116457" s="15"/>
      <c r="C116457" s="15"/>
      <c r="D116457" s="12"/>
      <c r="E116457" s="12"/>
      <c r="F116457" s="13"/>
      <c r="G116457" s="12"/>
      <c r="H116457" s="12"/>
      <c r="I116457" s="12"/>
      <c r="J116457" s="12"/>
      <c r="K116457" s="12"/>
      <c r="L116457" s="208"/>
      <c r="M116457" s="209"/>
      <c r="N116457" s="209"/>
      <c r="O116457" s="209"/>
    </row>
    <row r="116458" spans="1:15" s="210" customFormat="1" x14ac:dyDescent="0.3">
      <c r="A116458" s="12"/>
      <c r="B116458" s="15"/>
      <c r="C116458" s="15"/>
      <c r="D116458" s="12"/>
      <c r="E116458" s="12"/>
      <c r="F116458" s="13"/>
      <c r="G116458" s="12"/>
      <c r="H116458" s="12"/>
      <c r="I116458" s="12"/>
      <c r="J116458" s="12"/>
      <c r="K116458" s="12"/>
      <c r="L116458" s="208"/>
      <c r="M116458" s="209"/>
      <c r="N116458" s="209"/>
      <c r="O116458" s="209"/>
    </row>
    <row r="116459" spans="1:15" s="210" customFormat="1" x14ac:dyDescent="0.3">
      <c r="A116459" s="12"/>
      <c r="B116459" s="15"/>
      <c r="C116459" s="15"/>
      <c r="D116459" s="12"/>
      <c r="E116459" s="12"/>
      <c r="F116459" s="13"/>
      <c r="G116459" s="12"/>
      <c r="H116459" s="12"/>
      <c r="I116459" s="12"/>
      <c r="J116459" s="12"/>
      <c r="K116459" s="12"/>
      <c r="L116459" s="208"/>
      <c r="M116459" s="209"/>
      <c r="N116459" s="209"/>
      <c r="O116459" s="209"/>
    </row>
    <row r="116460" spans="1:15" s="210" customFormat="1" x14ac:dyDescent="0.3">
      <c r="A116460" s="12"/>
      <c r="B116460" s="15"/>
      <c r="C116460" s="15"/>
      <c r="D116460" s="12"/>
      <c r="E116460" s="12"/>
      <c r="F116460" s="13"/>
      <c r="G116460" s="12"/>
      <c r="H116460" s="12"/>
      <c r="I116460" s="12"/>
      <c r="J116460" s="12"/>
      <c r="K116460" s="12"/>
      <c r="L116460" s="208"/>
      <c r="M116460" s="209"/>
      <c r="N116460" s="209"/>
      <c r="O116460" s="209"/>
    </row>
    <row r="116461" spans="1:15" s="210" customFormat="1" x14ac:dyDescent="0.3">
      <c r="A116461" s="12"/>
      <c r="B116461" s="15"/>
      <c r="C116461" s="15"/>
      <c r="D116461" s="12"/>
      <c r="E116461" s="12"/>
      <c r="F116461" s="13"/>
      <c r="G116461" s="12"/>
      <c r="H116461" s="12"/>
      <c r="I116461" s="12"/>
      <c r="J116461" s="12"/>
      <c r="K116461" s="12"/>
      <c r="L116461" s="208"/>
      <c r="M116461" s="209"/>
      <c r="N116461" s="209"/>
      <c r="O116461" s="209"/>
    </row>
    <row r="116462" spans="1:15" s="210" customFormat="1" x14ac:dyDescent="0.3">
      <c r="A116462" s="12"/>
      <c r="B116462" s="15"/>
      <c r="C116462" s="15"/>
      <c r="D116462" s="12"/>
      <c r="E116462" s="12"/>
      <c r="F116462" s="13"/>
      <c r="G116462" s="12"/>
      <c r="H116462" s="12"/>
      <c r="I116462" s="12"/>
      <c r="J116462" s="12"/>
      <c r="K116462" s="12"/>
      <c r="L116462" s="208"/>
      <c r="M116462" s="209"/>
      <c r="N116462" s="209"/>
      <c r="O116462" s="209"/>
    </row>
    <row r="116463" spans="1:15" s="210" customFormat="1" x14ac:dyDescent="0.3">
      <c r="A116463" s="12"/>
      <c r="B116463" s="15"/>
      <c r="C116463" s="15"/>
      <c r="D116463" s="12"/>
      <c r="E116463" s="12"/>
      <c r="F116463" s="13"/>
      <c r="G116463" s="12"/>
      <c r="H116463" s="12"/>
      <c r="I116463" s="12"/>
      <c r="J116463" s="12"/>
      <c r="K116463" s="12"/>
      <c r="L116463" s="208"/>
      <c r="M116463" s="209"/>
      <c r="N116463" s="209"/>
      <c r="O116463" s="209"/>
    </row>
    <row r="116464" spans="1:15" s="210" customFormat="1" x14ac:dyDescent="0.3">
      <c r="A116464" s="12"/>
      <c r="B116464" s="15"/>
      <c r="C116464" s="15"/>
      <c r="D116464" s="12"/>
      <c r="E116464" s="12"/>
      <c r="F116464" s="13"/>
      <c r="G116464" s="12"/>
      <c r="H116464" s="12"/>
      <c r="I116464" s="12"/>
      <c r="J116464" s="12"/>
      <c r="K116464" s="12"/>
      <c r="L116464" s="208"/>
      <c r="M116464" s="209"/>
      <c r="N116464" s="209"/>
      <c r="O116464" s="209"/>
    </row>
    <row r="116465" spans="1:15" s="210" customFormat="1" x14ac:dyDescent="0.3">
      <c r="A116465" s="12"/>
      <c r="B116465" s="15"/>
      <c r="C116465" s="15"/>
      <c r="D116465" s="12"/>
      <c r="E116465" s="12"/>
      <c r="F116465" s="13"/>
      <c r="G116465" s="12"/>
      <c r="H116465" s="12"/>
      <c r="I116465" s="12"/>
      <c r="J116465" s="12"/>
      <c r="K116465" s="12"/>
      <c r="L116465" s="208"/>
      <c r="M116465" s="209"/>
      <c r="N116465" s="209"/>
      <c r="O116465" s="209"/>
    </row>
    <row r="116466" spans="1:15" s="210" customFormat="1" x14ac:dyDescent="0.3">
      <c r="A116466" s="12"/>
      <c r="B116466" s="15"/>
      <c r="C116466" s="15"/>
      <c r="D116466" s="12"/>
      <c r="E116466" s="12"/>
      <c r="F116466" s="13"/>
      <c r="G116466" s="12"/>
      <c r="H116466" s="12"/>
      <c r="I116466" s="12"/>
      <c r="J116466" s="12"/>
      <c r="K116466" s="12"/>
      <c r="L116466" s="208"/>
      <c r="M116466" s="209"/>
      <c r="N116466" s="209"/>
      <c r="O116466" s="209"/>
    </row>
    <row r="116467" spans="1:15" s="210" customFormat="1" x14ac:dyDescent="0.3">
      <c r="A116467" s="12"/>
      <c r="B116467" s="15"/>
      <c r="C116467" s="15"/>
      <c r="D116467" s="12"/>
      <c r="E116467" s="12"/>
      <c r="F116467" s="13"/>
      <c r="G116467" s="12"/>
      <c r="H116467" s="12"/>
      <c r="I116467" s="12"/>
      <c r="J116467" s="12"/>
      <c r="K116467" s="12"/>
      <c r="L116467" s="208"/>
      <c r="M116467" s="209"/>
      <c r="N116467" s="209"/>
      <c r="O116467" s="209"/>
    </row>
    <row r="116468" spans="1:15" s="210" customFormat="1" x14ac:dyDescent="0.3">
      <c r="A116468" s="12"/>
      <c r="B116468" s="15"/>
      <c r="C116468" s="15"/>
      <c r="D116468" s="12"/>
      <c r="E116468" s="12"/>
      <c r="F116468" s="13"/>
      <c r="G116468" s="12"/>
      <c r="H116468" s="12"/>
      <c r="I116468" s="12"/>
      <c r="J116468" s="12"/>
      <c r="K116468" s="12"/>
      <c r="L116468" s="208"/>
      <c r="M116468" s="209"/>
      <c r="N116468" s="209"/>
      <c r="O116468" s="209"/>
    </row>
    <row r="116469" spans="1:15" s="210" customFormat="1" x14ac:dyDescent="0.3">
      <c r="A116469" s="12"/>
      <c r="B116469" s="15"/>
      <c r="C116469" s="15"/>
      <c r="D116469" s="12"/>
      <c r="E116469" s="12"/>
      <c r="F116469" s="13"/>
      <c r="G116469" s="12"/>
      <c r="H116469" s="12"/>
      <c r="I116469" s="12"/>
      <c r="J116469" s="12"/>
      <c r="K116469" s="12"/>
      <c r="L116469" s="208"/>
      <c r="M116469" s="209"/>
      <c r="N116469" s="209"/>
      <c r="O116469" s="209"/>
    </row>
    <row r="116470" spans="1:15" s="210" customFormat="1" x14ac:dyDescent="0.3">
      <c r="A116470" s="12"/>
      <c r="B116470" s="15"/>
      <c r="C116470" s="15"/>
      <c r="D116470" s="12"/>
      <c r="E116470" s="12"/>
      <c r="F116470" s="13"/>
      <c r="G116470" s="12"/>
      <c r="H116470" s="12"/>
      <c r="I116470" s="12"/>
      <c r="J116470" s="12"/>
      <c r="K116470" s="12"/>
      <c r="L116470" s="208"/>
      <c r="M116470" s="209"/>
      <c r="N116470" s="209"/>
      <c r="O116470" s="209"/>
    </row>
    <row r="116471" spans="1:15" s="210" customFormat="1" x14ac:dyDescent="0.3">
      <c r="A116471" s="12"/>
      <c r="B116471" s="15"/>
      <c r="C116471" s="15"/>
      <c r="D116471" s="12"/>
      <c r="E116471" s="12"/>
      <c r="F116471" s="13"/>
      <c r="G116471" s="12"/>
      <c r="H116471" s="12"/>
      <c r="I116471" s="12"/>
      <c r="J116471" s="12"/>
      <c r="K116471" s="12"/>
      <c r="L116471" s="208"/>
      <c r="M116471" s="209"/>
      <c r="N116471" s="209"/>
      <c r="O116471" s="209"/>
    </row>
    <row r="116472" spans="1:15" s="210" customFormat="1" x14ac:dyDescent="0.3">
      <c r="A116472" s="12"/>
      <c r="B116472" s="15"/>
      <c r="C116472" s="15"/>
      <c r="D116472" s="12"/>
      <c r="E116472" s="12"/>
      <c r="F116472" s="13"/>
      <c r="G116472" s="12"/>
      <c r="H116472" s="12"/>
      <c r="I116472" s="12"/>
      <c r="J116472" s="12"/>
      <c r="K116472" s="12"/>
      <c r="L116472" s="208"/>
      <c r="M116472" s="209"/>
      <c r="N116472" s="209"/>
      <c r="O116472" s="209"/>
    </row>
    <row r="116473" spans="1:15" s="210" customFormat="1" x14ac:dyDescent="0.3">
      <c r="A116473" s="12"/>
      <c r="B116473" s="15"/>
      <c r="C116473" s="15"/>
      <c r="D116473" s="12"/>
      <c r="E116473" s="12"/>
      <c r="F116473" s="13"/>
      <c r="G116473" s="12"/>
      <c r="H116473" s="12"/>
      <c r="I116473" s="12"/>
      <c r="J116473" s="12"/>
      <c r="K116473" s="12"/>
      <c r="L116473" s="208"/>
      <c r="M116473" s="209"/>
      <c r="N116473" s="209"/>
      <c r="O116473" s="209"/>
    </row>
    <row r="116474" spans="1:15" s="210" customFormat="1" x14ac:dyDescent="0.3">
      <c r="A116474" s="12"/>
      <c r="B116474" s="15"/>
      <c r="C116474" s="15"/>
      <c r="D116474" s="12"/>
      <c r="E116474" s="12"/>
      <c r="F116474" s="13"/>
      <c r="G116474" s="12"/>
      <c r="H116474" s="12"/>
      <c r="I116474" s="12"/>
      <c r="J116474" s="12"/>
      <c r="K116474" s="12"/>
      <c r="L116474" s="208"/>
      <c r="M116474" s="209"/>
      <c r="N116474" s="209"/>
      <c r="O116474" s="209"/>
    </row>
    <row r="116475" spans="1:15" s="210" customFormat="1" x14ac:dyDescent="0.3">
      <c r="A116475" s="12"/>
      <c r="B116475" s="15"/>
      <c r="C116475" s="15"/>
      <c r="D116475" s="12"/>
      <c r="E116475" s="12"/>
      <c r="F116475" s="13"/>
      <c r="G116475" s="12"/>
      <c r="H116475" s="12"/>
      <c r="I116475" s="12"/>
      <c r="J116475" s="12"/>
      <c r="K116475" s="12"/>
      <c r="L116475" s="208"/>
      <c r="M116475" s="209"/>
      <c r="N116475" s="209"/>
      <c r="O116475" s="209"/>
    </row>
    <row r="116476" spans="1:15" s="210" customFormat="1" x14ac:dyDescent="0.3">
      <c r="A116476" s="12"/>
      <c r="B116476" s="15"/>
      <c r="C116476" s="15"/>
      <c r="D116476" s="12"/>
      <c r="E116476" s="12"/>
      <c r="F116476" s="13"/>
      <c r="G116476" s="12"/>
      <c r="H116476" s="12"/>
      <c r="I116476" s="12"/>
      <c r="J116476" s="12"/>
      <c r="K116476" s="12"/>
      <c r="L116476" s="208"/>
      <c r="M116476" s="209"/>
      <c r="N116476" s="209"/>
      <c r="O116476" s="209"/>
    </row>
    <row r="116477" spans="1:15" s="210" customFormat="1" x14ac:dyDescent="0.3">
      <c r="A116477" s="12"/>
      <c r="B116477" s="15"/>
      <c r="C116477" s="15"/>
      <c r="D116477" s="12"/>
      <c r="E116477" s="12"/>
      <c r="F116477" s="13"/>
      <c r="G116477" s="12"/>
      <c r="H116477" s="12"/>
      <c r="I116477" s="12"/>
      <c r="J116477" s="12"/>
      <c r="K116477" s="12"/>
      <c r="L116477" s="208"/>
      <c r="M116477" s="209"/>
      <c r="N116477" s="209"/>
      <c r="O116477" s="209"/>
    </row>
    <row r="116478" spans="1:15" s="210" customFormat="1" x14ac:dyDescent="0.3">
      <c r="A116478" s="12"/>
      <c r="B116478" s="15"/>
      <c r="C116478" s="15"/>
      <c r="D116478" s="12"/>
      <c r="E116478" s="12"/>
      <c r="F116478" s="13"/>
      <c r="G116478" s="12"/>
      <c r="H116478" s="12"/>
      <c r="I116478" s="12"/>
      <c r="J116478" s="12"/>
      <c r="K116478" s="12"/>
      <c r="L116478" s="208"/>
      <c r="M116478" s="209"/>
      <c r="N116478" s="209"/>
      <c r="O116478" s="209"/>
    </row>
    <row r="116479" spans="1:15" s="210" customFormat="1" x14ac:dyDescent="0.3">
      <c r="A116479" s="12"/>
      <c r="B116479" s="15"/>
      <c r="C116479" s="15"/>
      <c r="D116479" s="12"/>
      <c r="E116479" s="12"/>
      <c r="F116479" s="13"/>
      <c r="G116479" s="12"/>
      <c r="H116479" s="12"/>
      <c r="I116479" s="12"/>
      <c r="J116479" s="12"/>
      <c r="K116479" s="12"/>
      <c r="L116479" s="208"/>
      <c r="M116479" s="209"/>
      <c r="N116479" s="209"/>
      <c r="O116479" s="209"/>
    </row>
    <row r="116480" spans="1:15" s="210" customFormat="1" x14ac:dyDescent="0.3">
      <c r="A116480" s="12"/>
      <c r="B116480" s="15"/>
      <c r="C116480" s="15"/>
      <c r="D116480" s="12"/>
      <c r="E116480" s="12"/>
      <c r="F116480" s="13"/>
      <c r="G116480" s="12"/>
      <c r="H116480" s="12"/>
      <c r="I116480" s="12"/>
      <c r="J116480" s="12"/>
      <c r="K116480" s="12"/>
      <c r="L116480" s="208"/>
      <c r="M116480" s="209"/>
      <c r="N116480" s="209"/>
      <c r="O116480" s="209"/>
    </row>
    <row r="116481" spans="1:15" s="210" customFormat="1" x14ac:dyDescent="0.3">
      <c r="A116481" s="12"/>
      <c r="B116481" s="15"/>
      <c r="C116481" s="15"/>
      <c r="D116481" s="12"/>
      <c r="E116481" s="12"/>
      <c r="F116481" s="13"/>
      <c r="G116481" s="12"/>
      <c r="H116481" s="12"/>
      <c r="I116481" s="12"/>
      <c r="J116481" s="12"/>
      <c r="K116481" s="12"/>
      <c r="L116481" s="208"/>
      <c r="M116481" s="209"/>
      <c r="N116481" s="209"/>
      <c r="O116481" s="209"/>
    </row>
    <row r="116482" spans="1:15" s="210" customFormat="1" x14ac:dyDescent="0.3">
      <c r="A116482" s="12"/>
      <c r="B116482" s="15"/>
      <c r="C116482" s="15"/>
      <c r="D116482" s="12"/>
      <c r="E116482" s="12"/>
      <c r="F116482" s="13"/>
      <c r="G116482" s="12"/>
      <c r="H116482" s="12"/>
      <c r="I116482" s="12"/>
      <c r="J116482" s="12"/>
      <c r="K116482" s="12"/>
      <c r="L116482" s="208"/>
      <c r="M116482" s="209"/>
      <c r="N116482" s="209"/>
      <c r="O116482" s="209"/>
    </row>
    <row r="116483" spans="1:15" s="210" customFormat="1" x14ac:dyDescent="0.3">
      <c r="A116483" s="12"/>
      <c r="B116483" s="15"/>
      <c r="C116483" s="15"/>
      <c r="D116483" s="12"/>
      <c r="E116483" s="12"/>
      <c r="F116483" s="13"/>
      <c r="G116483" s="12"/>
      <c r="H116483" s="12"/>
      <c r="I116483" s="12"/>
      <c r="J116483" s="12"/>
      <c r="K116483" s="12"/>
      <c r="L116483" s="208"/>
      <c r="M116483" s="209"/>
      <c r="N116483" s="209"/>
      <c r="O116483" s="209"/>
    </row>
    <row r="116484" spans="1:15" s="210" customFormat="1" x14ac:dyDescent="0.3">
      <c r="A116484" s="12"/>
      <c r="B116484" s="15"/>
      <c r="C116484" s="15"/>
      <c r="D116484" s="12"/>
      <c r="E116484" s="12"/>
      <c r="F116484" s="13"/>
      <c r="G116484" s="12"/>
      <c r="H116484" s="12"/>
      <c r="I116484" s="12"/>
      <c r="J116484" s="12"/>
      <c r="K116484" s="12"/>
      <c r="L116484" s="208"/>
      <c r="M116484" s="209"/>
      <c r="N116484" s="209"/>
      <c r="O116484" s="209"/>
    </row>
    <row r="116485" spans="1:15" s="210" customFormat="1" x14ac:dyDescent="0.3">
      <c r="A116485" s="12"/>
      <c r="B116485" s="15"/>
      <c r="C116485" s="15"/>
      <c r="D116485" s="12"/>
      <c r="E116485" s="12"/>
      <c r="F116485" s="13"/>
      <c r="G116485" s="12"/>
      <c r="H116485" s="12"/>
      <c r="I116485" s="12"/>
      <c r="J116485" s="12"/>
      <c r="K116485" s="12"/>
      <c r="L116485" s="208"/>
      <c r="M116485" s="209"/>
      <c r="N116485" s="209"/>
      <c r="O116485" s="209"/>
    </row>
    <row r="116486" spans="1:15" s="210" customFormat="1" x14ac:dyDescent="0.3">
      <c r="A116486" s="12"/>
      <c r="B116486" s="15"/>
      <c r="C116486" s="15"/>
      <c r="D116486" s="12"/>
      <c r="E116486" s="12"/>
      <c r="F116486" s="13"/>
      <c r="G116486" s="12"/>
      <c r="H116486" s="12"/>
      <c r="I116486" s="12"/>
      <c r="J116486" s="12"/>
      <c r="K116486" s="12"/>
      <c r="L116486" s="208"/>
      <c r="M116486" s="209"/>
      <c r="N116486" s="209"/>
      <c r="O116486" s="209"/>
    </row>
    <row r="116487" spans="1:15" s="210" customFormat="1" x14ac:dyDescent="0.3">
      <c r="A116487" s="12"/>
      <c r="B116487" s="15"/>
      <c r="C116487" s="15"/>
      <c r="D116487" s="12"/>
      <c r="E116487" s="12"/>
      <c r="F116487" s="13"/>
      <c r="G116487" s="12"/>
      <c r="H116487" s="12"/>
      <c r="I116487" s="12"/>
      <c r="J116487" s="12"/>
      <c r="K116487" s="12"/>
      <c r="L116487" s="208"/>
      <c r="M116487" s="209"/>
      <c r="N116487" s="209"/>
      <c r="O116487" s="209"/>
    </row>
    <row r="116488" spans="1:15" s="210" customFormat="1" x14ac:dyDescent="0.3">
      <c r="A116488" s="12"/>
      <c r="B116488" s="15"/>
      <c r="C116488" s="15"/>
      <c r="D116488" s="12"/>
      <c r="E116488" s="12"/>
      <c r="F116488" s="13"/>
      <c r="G116488" s="12"/>
      <c r="H116488" s="12"/>
      <c r="I116488" s="12"/>
      <c r="J116488" s="12"/>
      <c r="K116488" s="12"/>
      <c r="L116488" s="208"/>
      <c r="M116488" s="209"/>
      <c r="N116488" s="209"/>
      <c r="O116488" s="209"/>
    </row>
    <row r="116489" spans="1:15" s="210" customFormat="1" x14ac:dyDescent="0.3">
      <c r="A116489" s="12"/>
      <c r="B116489" s="15"/>
      <c r="C116489" s="15"/>
      <c r="D116489" s="12"/>
      <c r="E116489" s="12"/>
      <c r="F116489" s="13"/>
      <c r="G116489" s="12"/>
      <c r="H116489" s="12"/>
      <c r="I116489" s="12"/>
      <c r="J116489" s="12"/>
      <c r="K116489" s="12"/>
      <c r="L116489" s="208"/>
      <c r="M116489" s="209"/>
      <c r="N116489" s="209"/>
      <c r="O116489" s="209"/>
    </row>
    <row r="116490" spans="1:15" s="210" customFormat="1" x14ac:dyDescent="0.3">
      <c r="A116490" s="12"/>
      <c r="B116490" s="15"/>
      <c r="C116490" s="15"/>
      <c r="D116490" s="12"/>
      <c r="E116490" s="12"/>
      <c r="F116490" s="13"/>
      <c r="G116490" s="12"/>
      <c r="H116490" s="12"/>
      <c r="I116490" s="12"/>
      <c r="J116490" s="12"/>
      <c r="K116490" s="12"/>
      <c r="L116490" s="208"/>
      <c r="M116490" s="209"/>
      <c r="N116490" s="209"/>
      <c r="O116490" s="209"/>
    </row>
    <row r="116491" spans="1:15" s="210" customFormat="1" x14ac:dyDescent="0.3">
      <c r="A116491" s="12"/>
      <c r="B116491" s="15"/>
      <c r="C116491" s="15"/>
      <c r="D116491" s="12"/>
      <c r="E116491" s="12"/>
      <c r="F116491" s="13"/>
      <c r="G116491" s="12"/>
      <c r="H116491" s="12"/>
      <c r="I116491" s="12"/>
      <c r="J116491" s="12"/>
      <c r="K116491" s="12"/>
      <c r="L116491" s="208"/>
      <c r="M116491" s="209"/>
      <c r="N116491" s="209"/>
      <c r="O116491" s="209"/>
    </row>
    <row r="116492" spans="1:15" s="210" customFormat="1" x14ac:dyDescent="0.3">
      <c r="A116492" s="12"/>
      <c r="B116492" s="15"/>
      <c r="C116492" s="15"/>
      <c r="D116492" s="12"/>
      <c r="E116492" s="12"/>
      <c r="F116492" s="13"/>
      <c r="G116492" s="12"/>
      <c r="H116492" s="12"/>
      <c r="I116492" s="12"/>
      <c r="J116492" s="12"/>
      <c r="K116492" s="12"/>
      <c r="L116492" s="208"/>
      <c r="M116492" s="209"/>
      <c r="N116492" s="209"/>
      <c r="O116492" s="209"/>
    </row>
    <row r="116493" spans="1:15" s="210" customFormat="1" x14ac:dyDescent="0.3">
      <c r="A116493" s="12"/>
      <c r="B116493" s="15"/>
      <c r="C116493" s="15"/>
      <c r="D116493" s="12"/>
      <c r="E116493" s="12"/>
      <c r="F116493" s="13"/>
      <c r="G116493" s="12"/>
      <c r="H116493" s="12"/>
      <c r="I116493" s="12"/>
      <c r="J116493" s="12"/>
      <c r="K116493" s="12"/>
      <c r="L116493" s="208"/>
      <c r="M116493" s="209"/>
      <c r="N116493" s="209"/>
      <c r="O116493" s="209"/>
    </row>
    <row r="116494" spans="1:15" s="210" customFormat="1" x14ac:dyDescent="0.3">
      <c r="A116494" s="12"/>
      <c r="B116494" s="15"/>
      <c r="C116494" s="15"/>
      <c r="D116494" s="12"/>
      <c r="E116494" s="12"/>
      <c r="F116494" s="13"/>
      <c r="G116494" s="12"/>
      <c r="H116494" s="12"/>
      <c r="I116494" s="12"/>
      <c r="J116494" s="12"/>
      <c r="K116494" s="12"/>
      <c r="L116494" s="208"/>
      <c r="M116494" s="209"/>
      <c r="N116494" s="209"/>
      <c r="O116494" s="209"/>
    </row>
    <row r="116495" spans="1:15" s="210" customFormat="1" x14ac:dyDescent="0.3">
      <c r="A116495" s="12"/>
      <c r="B116495" s="15"/>
      <c r="C116495" s="15"/>
      <c r="D116495" s="12"/>
      <c r="E116495" s="12"/>
      <c r="F116495" s="13"/>
      <c r="G116495" s="12"/>
      <c r="H116495" s="12"/>
      <c r="I116495" s="12"/>
      <c r="J116495" s="12"/>
      <c r="K116495" s="12"/>
      <c r="L116495" s="208"/>
      <c r="M116495" s="209"/>
      <c r="N116495" s="209"/>
      <c r="O116495" s="209"/>
    </row>
    <row r="116496" spans="1:15" s="210" customFormat="1" x14ac:dyDescent="0.3">
      <c r="A116496" s="12"/>
      <c r="B116496" s="15"/>
      <c r="C116496" s="15"/>
      <c r="D116496" s="12"/>
      <c r="E116496" s="12"/>
      <c r="F116496" s="13"/>
      <c r="G116496" s="12"/>
      <c r="H116496" s="12"/>
      <c r="I116496" s="12"/>
      <c r="J116496" s="12"/>
      <c r="K116496" s="12"/>
      <c r="L116496" s="208"/>
      <c r="M116496" s="209"/>
      <c r="N116496" s="209"/>
      <c r="O116496" s="209"/>
    </row>
    <row r="116497" spans="1:15" s="210" customFormat="1" x14ac:dyDescent="0.3">
      <c r="A116497" s="12"/>
      <c r="B116497" s="15"/>
      <c r="C116497" s="15"/>
      <c r="D116497" s="12"/>
      <c r="E116497" s="12"/>
      <c r="F116497" s="13"/>
      <c r="G116497" s="12"/>
      <c r="H116497" s="12"/>
      <c r="I116497" s="12"/>
      <c r="J116497" s="12"/>
      <c r="K116497" s="12"/>
      <c r="L116497" s="208"/>
      <c r="M116497" s="209"/>
      <c r="N116497" s="209"/>
      <c r="O116497" s="209"/>
    </row>
    <row r="116498" spans="1:15" s="210" customFormat="1" x14ac:dyDescent="0.3">
      <c r="A116498" s="12"/>
      <c r="B116498" s="15"/>
      <c r="C116498" s="15"/>
      <c r="D116498" s="12"/>
      <c r="E116498" s="12"/>
      <c r="F116498" s="13"/>
      <c r="G116498" s="12"/>
      <c r="H116498" s="12"/>
      <c r="I116498" s="12"/>
      <c r="J116498" s="12"/>
      <c r="K116498" s="12"/>
      <c r="L116498" s="208"/>
      <c r="M116498" s="209"/>
      <c r="N116498" s="209"/>
      <c r="O116498" s="209"/>
    </row>
    <row r="116499" spans="1:15" s="210" customFormat="1" x14ac:dyDescent="0.3">
      <c r="A116499" s="12"/>
      <c r="B116499" s="15"/>
      <c r="C116499" s="15"/>
      <c r="D116499" s="12"/>
      <c r="E116499" s="12"/>
      <c r="F116499" s="13"/>
      <c r="G116499" s="12"/>
      <c r="H116499" s="12"/>
      <c r="I116499" s="12"/>
      <c r="J116499" s="12"/>
      <c r="K116499" s="12"/>
      <c r="L116499" s="208"/>
      <c r="M116499" s="209"/>
      <c r="N116499" s="209"/>
      <c r="O116499" s="209"/>
    </row>
    <row r="116500" spans="1:15" s="210" customFormat="1" x14ac:dyDescent="0.3">
      <c r="A116500" s="12"/>
      <c r="B116500" s="15"/>
      <c r="C116500" s="15"/>
      <c r="D116500" s="12"/>
      <c r="E116500" s="12"/>
      <c r="F116500" s="13"/>
      <c r="G116500" s="12"/>
      <c r="H116500" s="12"/>
      <c r="I116500" s="12"/>
      <c r="J116500" s="12"/>
      <c r="K116500" s="12"/>
      <c r="L116500" s="208"/>
      <c r="M116500" s="209"/>
      <c r="N116500" s="209"/>
      <c r="O116500" s="209"/>
    </row>
    <row r="116501" spans="1:15" s="210" customFormat="1" x14ac:dyDescent="0.3">
      <c r="A116501" s="12"/>
      <c r="B116501" s="15"/>
      <c r="C116501" s="15"/>
      <c r="D116501" s="12"/>
      <c r="E116501" s="12"/>
      <c r="F116501" s="13"/>
      <c r="G116501" s="12"/>
      <c r="H116501" s="12"/>
      <c r="I116501" s="12"/>
      <c r="J116501" s="12"/>
      <c r="K116501" s="12"/>
      <c r="L116501" s="208"/>
      <c r="M116501" s="209"/>
      <c r="N116501" s="209"/>
      <c r="O116501" s="209"/>
    </row>
    <row r="116502" spans="1:15" s="210" customFormat="1" x14ac:dyDescent="0.3">
      <c r="A116502" s="12"/>
      <c r="B116502" s="15"/>
      <c r="C116502" s="15"/>
      <c r="D116502" s="12"/>
      <c r="E116502" s="12"/>
      <c r="F116502" s="13"/>
      <c r="G116502" s="12"/>
      <c r="H116502" s="12"/>
      <c r="I116502" s="12"/>
      <c r="J116502" s="12"/>
      <c r="K116502" s="12"/>
      <c r="L116502" s="208"/>
      <c r="M116502" s="209"/>
      <c r="N116502" s="209"/>
      <c r="O116502" s="209"/>
    </row>
    <row r="116503" spans="1:15" s="210" customFormat="1" x14ac:dyDescent="0.3">
      <c r="A116503" s="12"/>
      <c r="B116503" s="15"/>
      <c r="C116503" s="15"/>
      <c r="D116503" s="12"/>
      <c r="E116503" s="12"/>
      <c r="F116503" s="13"/>
      <c r="G116503" s="12"/>
      <c r="H116503" s="12"/>
      <c r="I116503" s="12"/>
      <c r="J116503" s="12"/>
      <c r="K116503" s="12"/>
      <c r="L116503" s="208"/>
      <c r="M116503" s="209"/>
      <c r="N116503" s="209"/>
      <c r="O116503" s="209"/>
    </row>
    <row r="116504" spans="1:15" s="210" customFormat="1" x14ac:dyDescent="0.3">
      <c r="A116504" s="12"/>
      <c r="B116504" s="15"/>
      <c r="C116504" s="15"/>
      <c r="D116504" s="12"/>
      <c r="E116504" s="12"/>
      <c r="F116504" s="13"/>
      <c r="G116504" s="12"/>
      <c r="H116504" s="12"/>
      <c r="I116504" s="12"/>
      <c r="J116504" s="12"/>
      <c r="K116504" s="12"/>
      <c r="L116504" s="208"/>
      <c r="M116504" s="209"/>
      <c r="N116504" s="209"/>
      <c r="O116504" s="209"/>
    </row>
    <row r="116505" spans="1:15" s="210" customFormat="1" x14ac:dyDescent="0.3">
      <c r="A116505" s="12"/>
      <c r="B116505" s="15"/>
      <c r="C116505" s="15"/>
      <c r="D116505" s="12"/>
      <c r="E116505" s="12"/>
      <c r="F116505" s="13"/>
      <c r="G116505" s="12"/>
      <c r="H116505" s="12"/>
      <c r="I116505" s="12"/>
      <c r="J116505" s="12"/>
      <c r="K116505" s="12"/>
      <c r="L116505" s="208"/>
      <c r="M116505" s="209"/>
      <c r="N116505" s="209"/>
      <c r="O116505" s="209"/>
    </row>
    <row r="116506" spans="1:15" s="210" customFormat="1" x14ac:dyDescent="0.3">
      <c r="A116506" s="12"/>
      <c r="B116506" s="15"/>
      <c r="C116506" s="15"/>
      <c r="D116506" s="12"/>
      <c r="E116506" s="12"/>
      <c r="F116506" s="13"/>
      <c r="G116506" s="12"/>
      <c r="H116506" s="12"/>
      <c r="I116506" s="12"/>
      <c r="J116506" s="12"/>
      <c r="K116506" s="12"/>
      <c r="L116506" s="208"/>
      <c r="M116506" s="209"/>
      <c r="N116506" s="209"/>
      <c r="O116506" s="209"/>
    </row>
    <row r="116507" spans="1:15" s="210" customFormat="1" x14ac:dyDescent="0.3">
      <c r="A116507" s="12"/>
      <c r="B116507" s="15"/>
      <c r="C116507" s="15"/>
      <c r="D116507" s="12"/>
      <c r="E116507" s="12"/>
      <c r="F116507" s="13"/>
      <c r="G116507" s="12"/>
      <c r="H116507" s="12"/>
      <c r="I116507" s="12"/>
      <c r="J116507" s="12"/>
      <c r="K116507" s="12"/>
      <c r="L116507" s="208"/>
      <c r="M116507" s="209"/>
      <c r="N116507" s="209"/>
      <c r="O116507" s="209"/>
    </row>
    <row r="116508" spans="1:15" s="210" customFormat="1" x14ac:dyDescent="0.3">
      <c r="A116508" s="12"/>
      <c r="B116508" s="15"/>
      <c r="C116508" s="15"/>
      <c r="D116508" s="12"/>
      <c r="E116508" s="12"/>
      <c r="F116508" s="13"/>
      <c r="G116508" s="12"/>
      <c r="H116508" s="12"/>
      <c r="I116508" s="12"/>
      <c r="J116508" s="12"/>
      <c r="K116508" s="12"/>
      <c r="L116508" s="208"/>
      <c r="M116508" s="209"/>
      <c r="N116508" s="209"/>
      <c r="O116508" s="209"/>
    </row>
    <row r="116509" spans="1:15" s="210" customFormat="1" x14ac:dyDescent="0.3">
      <c r="A116509" s="12"/>
      <c r="B116509" s="15"/>
      <c r="C116509" s="15"/>
      <c r="D116509" s="12"/>
      <c r="E116509" s="12"/>
      <c r="F116509" s="13"/>
      <c r="G116509" s="12"/>
      <c r="H116509" s="12"/>
      <c r="I116509" s="12"/>
      <c r="J116509" s="12"/>
      <c r="K116509" s="12"/>
      <c r="L116509" s="208"/>
      <c r="M116509" s="209"/>
      <c r="N116509" s="209"/>
      <c r="O116509" s="209"/>
    </row>
    <row r="116510" spans="1:15" s="210" customFormat="1" x14ac:dyDescent="0.3">
      <c r="A116510" s="12"/>
      <c r="B116510" s="15"/>
      <c r="C116510" s="15"/>
      <c r="D116510" s="12"/>
      <c r="E116510" s="12"/>
      <c r="F116510" s="13"/>
      <c r="G116510" s="12"/>
      <c r="H116510" s="12"/>
      <c r="I116510" s="12"/>
      <c r="J116510" s="12"/>
      <c r="K116510" s="12"/>
      <c r="L116510" s="208"/>
      <c r="M116510" s="209"/>
      <c r="N116510" s="209"/>
      <c r="O116510" s="209"/>
    </row>
    <row r="116511" spans="1:15" s="210" customFormat="1" x14ac:dyDescent="0.3">
      <c r="A116511" s="12"/>
      <c r="B116511" s="15"/>
      <c r="C116511" s="15"/>
      <c r="D116511" s="12"/>
      <c r="E116511" s="12"/>
      <c r="F116511" s="13"/>
      <c r="G116511" s="12"/>
      <c r="H116511" s="12"/>
      <c r="I116511" s="12"/>
      <c r="J116511" s="12"/>
      <c r="K116511" s="12"/>
      <c r="L116511" s="208"/>
      <c r="M116511" s="209"/>
      <c r="N116511" s="209"/>
      <c r="O116511" s="209"/>
    </row>
    <row r="116512" spans="1:15" s="210" customFormat="1" x14ac:dyDescent="0.3">
      <c r="A116512" s="12"/>
      <c r="B116512" s="15"/>
      <c r="C116512" s="15"/>
      <c r="D116512" s="12"/>
      <c r="E116512" s="12"/>
      <c r="F116512" s="13"/>
      <c r="G116512" s="12"/>
      <c r="H116512" s="12"/>
      <c r="I116512" s="12"/>
      <c r="J116512" s="12"/>
      <c r="K116512" s="12"/>
      <c r="L116512" s="208"/>
      <c r="M116512" s="209"/>
      <c r="N116512" s="209"/>
      <c r="O116512" s="209"/>
    </row>
    <row r="116513" spans="1:15" s="210" customFormat="1" x14ac:dyDescent="0.3">
      <c r="A116513" s="12"/>
      <c r="B116513" s="15"/>
      <c r="C116513" s="15"/>
      <c r="D116513" s="12"/>
      <c r="E116513" s="12"/>
      <c r="F116513" s="13"/>
      <c r="G116513" s="12"/>
      <c r="H116513" s="12"/>
      <c r="I116513" s="12"/>
      <c r="J116513" s="12"/>
      <c r="K116513" s="12"/>
      <c r="L116513" s="208"/>
      <c r="M116513" s="209"/>
      <c r="N116513" s="209"/>
      <c r="O116513" s="209"/>
    </row>
    <row r="116514" spans="1:15" s="210" customFormat="1" x14ac:dyDescent="0.3">
      <c r="A116514" s="12"/>
      <c r="B116514" s="15"/>
      <c r="C116514" s="15"/>
      <c r="D116514" s="12"/>
      <c r="E116514" s="12"/>
      <c r="F116514" s="13"/>
      <c r="G116514" s="12"/>
      <c r="H116514" s="12"/>
      <c r="I116514" s="12"/>
      <c r="J116514" s="12"/>
      <c r="K116514" s="12"/>
      <c r="L116514" s="208"/>
      <c r="M116514" s="209"/>
      <c r="N116514" s="209"/>
      <c r="O116514" s="209"/>
    </row>
    <row r="116515" spans="1:15" s="210" customFormat="1" x14ac:dyDescent="0.3">
      <c r="A116515" s="12"/>
      <c r="B116515" s="15"/>
      <c r="C116515" s="15"/>
      <c r="D116515" s="12"/>
      <c r="E116515" s="12"/>
      <c r="F116515" s="13"/>
      <c r="G116515" s="12"/>
      <c r="H116515" s="12"/>
      <c r="I116515" s="12"/>
      <c r="J116515" s="12"/>
      <c r="K116515" s="12"/>
      <c r="L116515" s="208"/>
      <c r="M116515" s="209"/>
      <c r="N116515" s="209"/>
      <c r="O116515" s="209"/>
    </row>
    <row r="116516" spans="1:15" s="210" customFormat="1" x14ac:dyDescent="0.3">
      <c r="A116516" s="12"/>
      <c r="B116516" s="15"/>
      <c r="C116516" s="15"/>
      <c r="D116516" s="12"/>
      <c r="E116516" s="12"/>
      <c r="F116516" s="13"/>
      <c r="G116516" s="12"/>
      <c r="H116516" s="12"/>
      <c r="I116516" s="12"/>
      <c r="J116516" s="12"/>
      <c r="K116516" s="12"/>
      <c r="L116516" s="208"/>
      <c r="M116516" s="209"/>
      <c r="N116516" s="209"/>
      <c r="O116516" s="209"/>
    </row>
    <row r="116517" spans="1:15" s="210" customFormat="1" x14ac:dyDescent="0.3">
      <c r="A116517" s="12"/>
      <c r="B116517" s="15"/>
      <c r="C116517" s="15"/>
      <c r="D116517" s="12"/>
      <c r="E116517" s="12"/>
      <c r="F116517" s="13"/>
      <c r="G116517" s="12"/>
      <c r="H116517" s="12"/>
      <c r="I116517" s="12"/>
      <c r="J116517" s="12"/>
      <c r="K116517" s="12"/>
      <c r="L116517" s="208"/>
      <c r="M116517" s="209"/>
      <c r="N116517" s="209"/>
      <c r="O116517" s="209"/>
    </row>
    <row r="116518" spans="1:15" s="210" customFormat="1" x14ac:dyDescent="0.3">
      <c r="A116518" s="12"/>
      <c r="B116518" s="15"/>
      <c r="C116518" s="15"/>
      <c r="D116518" s="12"/>
      <c r="E116518" s="12"/>
      <c r="F116518" s="13"/>
      <c r="G116518" s="12"/>
      <c r="H116518" s="12"/>
      <c r="I116518" s="12"/>
      <c r="J116518" s="12"/>
      <c r="K116518" s="12"/>
      <c r="L116518" s="208"/>
      <c r="M116518" s="209"/>
      <c r="N116518" s="209"/>
      <c r="O116518" s="209"/>
    </row>
    <row r="116519" spans="1:15" s="210" customFormat="1" x14ac:dyDescent="0.3">
      <c r="A116519" s="12"/>
      <c r="B116519" s="15"/>
      <c r="C116519" s="15"/>
      <c r="D116519" s="12"/>
      <c r="E116519" s="12"/>
      <c r="F116519" s="13"/>
      <c r="G116519" s="12"/>
      <c r="H116519" s="12"/>
      <c r="I116519" s="12"/>
      <c r="J116519" s="12"/>
      <c r="K116519" s="12"/>
      <c r="L116519" s="208"/>
      <c r="M116519" s="209"/>
      <c r="N116519" s="209"/>
      <c r="O116519" s="209"/>
    </row>
    <row r="116520" spans="1:15" s="210" customFormat="1" x14ac:dyDescent="0.3">
      <c r="A116520" s="12"/>
      <c r="B116520" s="15"/>
      <c r="C116520" s="15"/>
      <c r="D116520" s="12"/>
      <c r="E116520" s="12"/>
      <c r="F116520" s="13"/>
      <c r="G116520" s="12"/>
      <c r="H116520" s="12"/>
      <c r="I116520" s="12"/>
      <c r="J116520" s="12"/>
      <c r="K116520" s="12"/>
      <c r="L116520" s="208"/>
      <c r="M116520" s="209"/>
      <c r="N116520" s="209"/>
      <c r="O116520" s="209"/>
    </row>
    <row r="116521" spans="1:15" s="210" customFormat="1" x14ac:dyDescent="0.3">
      <c r="A116521" s="12"/>
      <c r="B116521" s="15"/>
      <c r="C116521" s="15"/>
      <c r="D116521" s="12"/>
      <c r="E116521" s="12"/>
      <c r="F116521" s="13"/>
      <c r="G116521" s="12"/>
      <c r="H116521" s="12"/>
      <c r="I116521" s="12"/>
      <c r="J116521" s="12"/>
      <c r="K116521" s="12"/>
      <c r="L116521" s="208"/>
      <c r="M116521" s="209"/>
      <c r="N116521" s="209"/>
      <c r="O116521" s="209"/>
    </row>
    <row r="116522" spans="1:15" s="210" customFormat="1" x14ac:dyDescent="0.3">
      <c r="A116522" s="12"/>
      <c r="B116522" s="15"/>
      <c r="C116522" s="15"/>
      <c r="D116522" s="12"/>
      <c r="E116522" s="12"/>
      <c r="F116522" s="13"/>
      <c r="G116522" s="12"/>
      <c r="H116522" s="12"/>
      <c r="I116522" s="12"/>
      <c r="J116522" s="12"/>
      <c r="K116522" s="12"/>
      <c r="L116522" s="208"/>
      <c r="M116522" s="209"/>
      <c r="N116522" s="209"/>
      <c r="O116522" s="209"/>
    </row>
    <row r="116523" spans="1:15" s="210" customFormat="1" x14ac:dyDescent="0.3">
      <c r="A116523" s="12"/>
      <c r="B116523" s="15"/>
      <c r="C116523" s="15"/>
      <c r="D116523" s="12"/>
      <c r="E116523" s="12"/>
      <c r="F116523" s="13"/>
      <c r="G116523" s="12"/>
      <c r="H116523" s="12"/>
      <c r="I116523" s="12"/>
      <c r="J116523" s="12"/>
      <c r="K116523" s="12"/>
      <c r="L116523" s="208"/>
      <c r="M116523" s="209"/>
      <c r="N116523" s="209"/>
      <c r="O116523" s="209"/>
    </row>
    <row r="116524" spans="1:15" s="210" customFormat="1" x14ac:dyDescent="0.3">
      <c r="A116524" s="12"/>
      <c r="B116524" s="15"/>
      <c r="C116524" s="15"/>
      <c r="D116524" s="12"/>
      <c r="E116524" s="12"/>
      <c r="F116524" s="13"/>
      <c r="G116524" s="12"/>
      <c r="H116524" s="12"/>
      <c r="I116524" s="12"/>
      <c r="J116524" s="12"/>
      <c r="K116524" s="12"/>
      <c r="L116524" s="208"/>
      <c r="M116524" s="209"/>
      <c r="N116524" s="209"/>
      <c r="O116524" s="209"/>
    </row>
    <row r="116525" spans="1:15" s="210" customFormat="1" x14ac:dyDescent="0.3">
      <c r="A116525" s="12"/>
      <c r="B116525" s="15"/>
      <c r="C116525" s="15"/>
      <c r="D116525" s="12"/>
      <c r="E116525" s="12"/>
      <c r="F116525" s="13"/>
      <c r="G116525" s="12"/>
      <c r="H116525" s="12"/>
      <c r="I116525" s="12"/>
      <c r="J116525" s="12"/>
      <c r="K116525" s="12"/>
      <c r="L116525" s="208"/>
      <c r="M116525" s="209"/>
      <c r="N116525" s="209"/>
      <c r="O116525" s="209"/>
    </row>
    <row r="116526" spans="1:15" s="210" customFormat="1" x14ac:dyDescent="0.3">
      <c r="A116526" s="12"/>
      <c r="B116526" s="15"/>
      <c r="C116526" s="15"/>
      <c r="D116526" s="12"/>
      <c r="E116526" s="12"/>
      <c r="F116526" s="13"/>
      <c r="G116526" s="12"/>
      <c r="H116526" s="12"/>
      <c r="I116526" s="12"/>
      <c r="J116526" s="12"/>
      <c r="K116526" s="12"/>
      <c r="L116526" s="208"/>
      <c r="M116526" s="209"/>
      <c r="N116526" s="209"/>
      <c r="O116526" s="209"/>
    </row>
    <row r="116527" spans="1:15" s="210" customFormat="1" x14ac:dyDescent="0.3">
      <c r="A116527" s="12"/>
      <c r="B116527" s="15"/>
      <c r="C116527" s="15"/>
      <c r="D116527" s="12"/>
      <c r="E116527" s="12"/>
      <c r="F116527" s="13"/>
      <c r="G116527" s="12"/>
      <c r="H116527" s="12"/>
      <c r="I116527" s="12"/>
      <c r="J116527" s="12"/>
      <c r="K116527" s="12"/>
      <c r="L116527" s="208"/>
      <c r="M116527" s="209"/>
      <c r="N116527" s="209"/>
      <c r="O116527" s="209"/>
    </row>
    <row r="116528" spans="1:15" s="210" customFormat="1" x14ac:dyDescent="0.3">
      <c r="A116528" s="12"/>
      <c r="B116528" s="15"/>
      <c r="C116528" s="15"/>
      <c r="D116528" s="12"/>
      <c r="E116528" s="12"/>
      <c r="F116528" s="13"/>
      <c r="G116528" s="12"/>
      <c r="H116528" s="12"/>
      <c r="I116528" s="12"/>
      <c r="J116528" s="12"/>
      <c r="K116528" s="12"/>
      <c r="L116528" s="208"/>
      <c r="M116528" s="209"/>
      <c r="N116528" s="209"/>
      <c r="O116528" s="209"/>
    </row>
    <row r="116529" spans="1:15" s="210" customFormat="1" x14ac:dyDescent="0.3">
      <c r="A116529" s="12"/>
      <c r="B116529" s="15"/>
      <c r="C116529" s="15"/>
      <c r="D116529" s="12"/>
      <c r="E116529" s="12"/>
      <c r="F116529" s="13"/>
      <c r="G116529" s="12"/>
      <c r="H116529" s="12"/>
      <c r="I116529" s="12"/>
      <c r="J116529" s="12"/>
      <c r="K116529" s="12"/>
      <c r="L116529" s="208"/>
      <c r="M116529" s="209"/>
      <c r="N116529" s="209"/>
      <c r="O116529" s="209"/>
    </row>
    <row r="116530" spans="1:15" s="210" customFormat="1" x14ac:dyDescent="0.3">
      <c r="A116530" s="12"/>
      <c r="B116530" s="15"/>
      <c r="C116530" s="15"/>
      <c r="D116530" s="12"/>
      <c r="E116530" s="12"/>
      <c r="F116530" s="13"/>
      <c r="G116530" s="12"/>
      <c r="H116530" s="12"/>
      <c r="I116530" s="12"/>
      <c r="J116530" s="12"/>
      <c r="K116530" s="12"/>
      <c r="L116530" s="208"/>
      <c r="M116530" s="209"/>
      <c r="N116530" s="209"/>
      <c r="O116530" s="209"/>
    </row>
    <row r="116531" spans="1:15" s="210" customFormat="1" x14ac:dyDescent="0.3">
      <c r="A116531" s="12"/>
      <c r="B116531" s="15"/>
      <c r="C116531" s="15"/>
      <c r="D116531" s="12"/>
      <c r="E116531" s="12"/>
      <c r="F116531" s="13"/>
      <c r="G116531" s="12"/>
      <c r="H116531" s="12"/>
      <c r="I116531" s="12"/>
      <c r="J116531" s="12"/>
      <c r="K116531" s="12"/>
      <c r="L116531" s="208"/>
      <c r="M116531" s="209"/>
      <c r="N116531" s="209"/>
      <c r="O116531" s="209"/>
    </row>
    <row r="116532" spans="1:15" s="210" customFormat="1" x14ac:dyDescent="0.3">
      <c r="A116532" s="12"/>
      <c r="B116532" s="15"/>
      <c r="C116532" s="15"/>
      <c r="D116532" s="12"/>
      <c r="E116532" s="12"/>
      <c r="F116532" s="13"/>
      <c r="G116532" s="12"/>
      <c r="H116532" s="12"/>
      <c r="I116532" s="12"/>
      <c r="J116532" s="12"/>
      <c r="K116532" s="12"/>
      <c r="L116532" s="208"/>
      <c r="M116532" s="209"/>
      <c r="N116532" s="209"/>
      <c r="O116532" s="209"/>
    </row>
    <row r="116533" spans="1:15" s="210" customFormat="1" x14ac:dyDescent="0.3">
      <c r="A116533" s="12"/>
      <c r="B116533" s="15"/>
      <c r="C116533" s="15"/>
      <c r="D116533" s="12"/>
      <c r="E116533" s="12"/>
      <c r="F116533" s="13"/>
      <c r="G116533" s="12"/>
      <c r="H116533" s="12"/>
      <c r="I116533" s="12"/>
      <c r="J116533" s="12"/>
      <c r="K116533" s="12"/>
      <c r="L116533" s="208"/>
      <c r="M116533" s="209"/>
      <c r="N116533" s="209"/>
      <c r="O116533" s="209"/>
    </row>
    <row r="116534" spans="1:15" s="210" customFormat="1" x14ac:dyDescent="0.3">
      <c r="A116534" s="12"/>
      <c r="B116534" s="15"/>
      <c r="C116534" s="15"/>
      <c r="D116534" s="12"/>
      <c r="E116534" s="12"/>
      <c r="F116534" s="13"/>
      <c r="G116534" s="12"/>
      <c r="H116534" s="12"/>
      <c r="I116534" s="12"/>
      <c r="J116534" s="12"/>
      <c r="K116534" s="12"/>
      <c r="L116534" s="208"/>
      <c r="M116534" s="209"/>
      <c r="N116534" s="209"/>
      <c r="O116534" s="209"/>
    </row>
    <row r="116535" spans="1:15" s="210" customFormat="1" x14ac:dyDescent="0.3">
      <c r="A116535" s="12"/>
      <c r="B116535" s="15"/>
      <c r="C116535" s="15"/>
      <c r="D116535" s="12"/>
      <c r="E116535" s="12"/>
      <c r="F116535" s="13"/>
      <c r="G116535" s="12"/>
      <c r="H116535" s="12"/>
      <c r="I116535" s="12"/>
      <c r="J116535" s="12"/>
      <c r="K116535" s="12"/>
      <c r="L116535" s="208"/>
      <c r="M116535" s="209"/>
      <c r="N116535" s="209"/>
      <c r="O116535" s="209"/>
    </row>
    <row r="116536" spans="1:15" s="210" customFormat="1" x14ac:dyDescent="0.3">
      <c r="A116536" s="12"/>
      <c r="B116536" s="15"/>
      <c r="C116536" s="15"/>
      <c r="D116536" s="12"/>
      <c r="E116536" s="12"/>
      <c r="F116536" s="13"/>
      <c r="G116536" s="12"/>
      <c r="H116536" s="12"/>
      <c r="I116536" s="12"/>
      <c r="J116536" s="12"/>
      <c r="K116536" s="12"/>
      <c r="L116536" s="208"/>
      <c r="M116536" s="209"/>
      <c r="N116536" s="209"/>
      <c r="O116536" s="209"/>
    </row>
    <row r="116537" spans="1:15" s="210" customFormat="1" x14ac:dyDescent="0.3">
      <c r="A116537" s="12"/>
      <c r="B116537" s="15"/>
      <c r="C116537" s="15"/>
      <c r="D116537" s="12"/>
      <c r="E116537" s="12"/>
      <c r="F116537" s="13"/>
      <c r="G116537" s="12"/>
      <c r="H116537" s="12"/>
      <c r="I116537" s="12"/>
      <c r="J116537" s="12"/>
      <c r="K116537" s="12"/>
      <c r="L116537" s="208"/>
      <c r="M116537" s="209"/>
      <c r="N116537" s="209"/>
      <c r="O116537" s="209"/>
    </row>
    <row r="116538" spans="1:15" s="210" customFormat="1" x14ac:dyDescent="0.3">
      <c r="A116538" s="12"/>
      <c r="B116538" s="15"/>
      <c r="C116538" s="15"/>
      <c r="D116538" s="12"/>
      <c r="E116538" s="12"/>
      <c r="F116538" s="13"/>
      <c r="G116538" s="12"/>
      <c r="H116538" s="12"/>
      <c r="I116538" s="12"/>
      <c r="J116538" s="12"/>
      <c r="K116538" s="12"/>
      <c r="L116538" s="208"/>
      <c r="M116538" s="209"/>
      <c r="N116538" s="209"/>
      <c r="O116538" s="209"/>
    </row>
    <row r="116539" spans="1:15" s="210" customFormat="1" x14ac:dyDescent="0.3">
      <c r="A116539" s="12"/>
      <c r="B116539" s="15"/>
      <c r="C116539" s="15"/>
      <c r="D116539" s="12"/>
      <c r="E116539" s="12"/>
      <c r="F116539" s="13"/>
      <c r="G116539" s="12"/>
      <c r="H116539" s="12"/>
      <c r="I116539" s="12"/>
      <c r="J116539" s="12"/>
      <c r="K116539" s="12"/>
      <c r="L116539" s="208"/>
      <c r="M116539" s="209"/>
      <c r="N116539" s="209"/>
      <c r="O116539" s="209"/>
    </row>
    <row r="116540" spans="1:15" s="210" customFormat="1" x14ac:dyDescent="0.3">
      <c r="A116540" s="12"/>
      <c r="B116540" s="15"/>
      <c r="C116540" s="15"/>
      <c r="D116540" s="12"/>
      <c r="E116540" s="12"/>
      <c r="F116540" s="13"/>
      <c r="G116540" s="12"/>
      <c r="H116540" s="12"/>
      <c r="I116540" s="12"/>
      <c r="J116540" s="12"/>
      <c r="K116540" s="12"/>
      <c r="L116540" s="208"/>
      <c r="M116540" s="209"/>
      <c r="N116540" s="209"/>
      <c r="O116540" s="209"/>
    </row>
    <row r="116541" spans="1:15" s="210" customFormat="1" x14ac:dyDescent="0.3">
      <c r="A116541" s="12"/>
      <c r="B116541" s="15"/>
      <c r="C116541" s="15"/>
      <c r="D116541" s="12"/>
      <c r="E116541" s="12"/>
      <c r="F116541" s="13"/>
      <c r="G116541" s="12"/>
      <c r="H116541" s="12"/>
      <c r="I116541" s="12"/>
      <c r="J116541" s="12"/>
      <c r="K116541" s="12"/>
      <c r="L116541" s="208"/>
      <c r="M116541" s="209"/>
      <c r="N116541" s="209"/>
      <c r="O116541" s="209"/>
    </row>
    <row r="116542" spans="1:15" s="210" customFormat="1" x14ac:dyDescent="0.3">
      <c r="A116542" s="12"/>
      <c r="B116542" s="15"/>
      <c r="C116542" s="15"/>
      <c r="D116542" s="12"/>
      <c r="E116542" s="12"/>
      <c r="F116542" s="13"/>
      <c r="G116542" s="12"/>
      <c r="H116542" s="12"/>
      <c r="I116542" s="12"/>
      <c r="J116542" s="12"/>
      <c r="K116542" s="12"/>
      <c r="L116542" s="208"/>
      <c r="M116542" s="209"/>
      <c r="N116542" s="209"/>
      <c r="O116542" s="209"/>
    </row>
    <row r="116543" spans="1:15" s="210" customFormat="1" x14ac:dyDescent="0.3">
      <c r="A116543" s="12"/>
      <c r="B116543" s="15"/>
      <c r="C116543" s="15"/>
      <c r="D116543" s="12"/>
      <c r="E116543" s="12"/>
      <c r="F116543" s="13"/>
      <c r="G116543" s="12"/>
      <c r="H116543" s="12"/>
      <c r="I116543" s="12"/>
      <c r="J116543" s="12"/>
      <c r="K116543" s="12"/>
      <c r="L116543" s="208"/>
      <c r="M116543" s="209"/>
      <c r="N116543" s="209"/>
      <c r="O116543" s="209"/>
    </row>
    <row r="116544" spans="1:15" s="210" customFormat="1" x14ac:dyDescent="0.3">
      <c r="A116544" s="12"/>
      <c r="B116544" s="15"/>
      <c r="C116544" s="15"/>
      <c r="D116544" s="12"/>
      <c r="E116544" s="12"/>
      <c r="F116544" s="13"/>
      <c r="G116544" s="12"/>
      <c r="H116544" s="12"/>
      <c r="I116544" s="12"/>
      <c r="J116544" s="12"/>
      <c r="K116544" s="12"/>
      <c r="L116544" s="208"/>
      <c r="M116544" s="209"/>
      <c r="N116544" s="209"/>
      <c r="O116544" s="209"/>
    </row>
    <row r="116545" spans="1:15" s="210" customFormat="1" x14ac:dyDescent="0.3">
      <c r="A116545" s="12"/>
      <c r="B116545" s="15"/>
      <c r="C116545" s="15"/>
      <c r="D116545" s="12"/>
      <c r="E116545" s="12"/>
      <c r="F116545" s="13"/>
      <c r="G116545" s="12"/>
      <c r="H116545" s="12"/>
      <c r="I116545" s="12"/>
      <c r="J116545" s="12"/>
      <c r="K116545" s="12"/>
      <c r="L116545" s="208"/>
      <c r="M116545" s="209"/>
      <c r="N116545" s="209"/>
      <c r="O116545" s="209"/>
    </row>
    <row r="116546" spans="1:15" s="210" customFormat="1" x14ac:dyDescent="0.3">
      <c r="A116546" s="12"/>
      <c r="B116546" s="15"/>
      <c r="C116546" s="15"/>
      <c r="D116546" s="12"/>
      <c r="E116546" s="12"/>
      <c r="F116546" s="13"/>
      <c r="G116546" s="12"/>
      <c r="H116546" s="12"/>
      <c r="I116546" s="12"/>
      <c r="J116546" s="12"/>
      <c r="K116546" s="12"/>
      <c r="L116546" s="208"/>
      <c r="M116546" s="209"/>
      <c r="N116546" s="209"/>
      <c r="O116546" s="209"/>
    </row>
    <row r="116547" spans="1:15" s="210" customFormat="1" x14ac:dyDescent="0.3">
      <c r="A116547" s="12"/>
      <c r="B116547" s="15"/>
      <c r="C116547" s="15"/>
      <c r="D116547" s="12"/>
      <c r="E116547" s="12"/>
      <c r="F116547" s="13"/>
      <c r="G116547" s="12"/>
      <c r="H116547" s="12"/>
      <c r="I116547" s="12"/>
      <c r="J116547" s="12"/>
      <c r="K116547" s="12"/>
      <c r="L116547" s="208"/>
      <c r="M116547" s="209"/>
      <c r="N116547" s="209"/>
      <c r="O116547" s="209"/>
    </row>
    <row r="116548" spans="1:15" s="210" customFormat="1" x14ac:dyDescent="0.3">
      <c r="A116548" s="12"/>
      <c r="B116548" s="15"/>
      <c r="C116548" s="15"/>
      <c r="D116548" s="12"/>
      <c r="E116548" s="12"/>
      <c r="F116548" s="13"/>
      <c r="G116548" s="12"/>
      <c r="H116548" s="12"/>
      <c r="I116548" s="12"/>
      <c r="J116548" s="12"/>
      <c r="K116548" s="12"/>
      <c r="L116548" s="208"/>
      <c r="M116548" s="209"/>
      <c r="N116548" s="209"/>
      <c r="O116548" s="209"/>
    </row>
    <row r="116549" spans="1:15" s="210" customFormat="1" x14ac:dyDescent="0.3">
      <c r="A116549" s="12"/>
      <c r="B116549" s="15"/>
      <c r="C116549" s="15"/>
      <c r="D116549" s="12"/>
      <c r="E116549" s="12"/>
      <c r="F116549" s="13"/>
      <c r="G116549" s="12"/>
      <c r="H116549" s="12"/>
      <c r="I116549" s="12"/>
      <c r="J116549" s="12"/>
      <c r="K116549" s="12"/>
      <c r="L116549" s="208"/>
      <c r="M116549" s="209"/>
      <c r="N116549" s="209"/>
      <c r="O116549" s="209"/>
    </row>
    <row r="116550" spans="1:15" s="210" customFormat="1" x14ac:dyDescent="0.3">
      <c r="A116550" s="12"/>
      <c r="B116550" s="15"/>
      <c r="C116550" s="15"/>
      <c r="D116550" s="12"/>
      <c r="E116550" s="12"/>
      <c r="F116550" s="13"/>
      <c r="G116550" s="12"/>
      <c r="H116550" s="12"/>
      <c r="I116550" s="12"/>
      <c r="J116550" s="12"/>
      <c r="K116550" s="12"/>
      <c r="L116550" s="208"/>
      <c r="M116550" s="209"/>
      <c r="N116550" s="209"/>
      <c r="O116550" s="209"/>
    </row>
    <row r="116551" spans="1:15" s="210" customFormat="1" x14ac:dyDescent="0.3">
      <c r="A116551" s="12"/>
      <c r="B116551" s="15"/>
      <c r="C116551" s="15"/>
      <c r="D116551" s="12"/>
      <c r="E116551" s="12"/>
      <c r="F116551" s="13"/>
      <c r="G116551" s="12"/>
      <c r="H116551" s="12"/>
      <c r="I116551" s="12"/>
      <c r="J116551" s="12"/>
      <c r="K116551" s="12"/>
      <c r="L116551" s="208"/>
      <c r="M116551" s="209"/>
      <c r="N116551" s="209"/>
      <c r="O116551" s="209"/>
    </row>
    <row r="116552" spans="1:15" s="210" customFormat="1" x14ac:dyDescent="0.3">
      <c r="A116552" s="12"/>
      <c r="B116552" s="15"/>
      <c r="C116552" s="15"/>
      <c r="D116552" s="12"/>
      <c r="E116552" s="12"/>
      <c r="F116552" s="13"/>
      <c r="G116552" s="12"/>
      <c r="H116552" s="12"/>
      <c r="I116552" s="12"/>
      <c r="J116552" s="12"/>
      <c r="K116552" s="12"/>
      <c r="L116552" s="208"/>
      <c r="M116552" s="209"/>
      <c r="N116552" s="209"/>
      <c r="O116552" s="209"/>
    </row>
    <row r="116553" spans="1:15" s="210" customFormat="1" x14ac:dyDescent="0.3">
      <c r="A116553" s="12"/>
      <c r="B116553" s="15"/>
      <c r="C116553" s="15"/>
      <c r="D116553" s="12"/>
      <c r="E116553" s="12"/>
      <c r="F116553" s="13"/>
      <c r="G116553" s="12"/>
      <c r="H116553" s="12"/>
      <c r="I116553" s="12"/>
      <c r="J116553" s="12"/>
      <c r="K116553" s="12"/>
      <c r="L116553" s="208"/>
      <c r="M116553" s="209"/>
      <c r="N116553" s="209"/>
      <c r="O116553" s="209"/>
    </row>
    <row r="116554" spans="1:15" s="210" customFormat="1" x14ac:dyDescent="0.3">
      <c r="A116554" s="12"/>
      <c r="B116554" s="15"/>
      <c r="C116554" s="15"/>
      <c r="D116554" s="12"/>
      <c r="E116554" s="12"/>
      <c r="F116554" s="13"/>
      <c r="G116554" s="12"/>
      <c r="H116554" s="12"/>
      <c r="I116554" s="12"/>
      <c r="J116554" s="12"/>
      <c r="K116554" s="12"/>
      <c r="L116554" s="208"/>
      <c r="M116554" s="209"/>
      <c r="N116554" s="209"/>
      <c r="O116554" s="209"/>
    </row>
    <row r="116555" spans="1:15" s="210" customFormat="1" x14ac:dyDescent="0.3">
      <c r="A116555" s="12"/>
      <c r="B116555" s="15"/>
      <c r="C116555" s="15"/>
      <c r="D116555" s="12"/>
      <c r="E116555" s="12"/>
      <c r="F116555" s="13"/>
      <c r="G116555" s="12"/>
      <c r="H116555" s="12"/>
      <c r="I116555" s="12"/>
      <c r="J116555" s="12"/>
      <c r="K116555" s="12"/>
      <c r="L116555" s="208"/>
      <c r="M116555" s="209"/>
      <c r="N116555" s="209"/>
      <c r="O116555" s="209"/>
    </row>
    <row r="116556" spans="1:15" s="210" customFormat="1" x14ac:dyDescent="0.3">
      <c r="A116556" s="12"/>
      <c r="B116556" s="15"/>
      <c r="C116556" s="15"/>
      <c r="D116556" s="12"/>
      <c r="E116556" s="12"/>
      <c r="F116556" s="13"/>
      <c r="G116556" s="12"/>
      <c r="H116556" s="12"/>
      <c r="I116556" s="12"/>
      <c r="J116556" s="12"/>
      <c r="K116556" s="12"/>
      <c r="L116556" s="208"/>
      <c r="M116556" s="209"/>
      <c r="N116556" s="209"/>
      <c r="O116556" s="209"/>
    </row>
    <row r="116557" spans="1:15" s="210" customFormat="1" x14ac:dyDescent="0.3">
      <c r="A116557" s="12"/>
      <c r="B116557" s="15"/>
      <c r="C116557" s="15"/>
      <c r="D116557" s="12"/>
      <c r="E116557" s="12"/>
      <c r="F116557" s="13"/>
      <c r="G116557" s="12"/>
      <c r="H116557" s="12"/>
      <c r="I116557" s="12"/>
      <c r="J116557" s="12"/>
      <c r="K116557" s="12"/>
      <c r="L116557" s="208"/>
      <c r="M116557" s="209"/>
      <c r="N116557" s="209"/>
      <c r="O116557" s="209"/>
    </row>
    <row r="116558" spans="1:15" s="210" customFormat="1" x14ac:dyDescent="0.3">
      <c r="A116558" s="12"/>
      <c r="B116558" s="15"/>
      <c r="C116558" s="15"/>
      <c r="D116558" s="12"/>
      <c r="E116558" s="12"/>
      <c r="F116558" s="13"/>
      <c r="G116558" s="12"/>
      <c r="H116558" s="12"/>
      <c r="I116558" s="12"/>
      <c r="J116558" s="12"/>
      <c r="K116558" s="12"/>
      <c r="L116558" s="208"/>
      <c r="M116558" s="209"/>
      <c r="N116558" s="209"/>
      <c r="O116558" s="209"/>
    </row>
    <row r="116559" spans="1:15" s="210" customFormat="1" x14ac:dyDescent="0.3">
      <c r="A116559" s="12"/>
      <c r="B116559" s="15"/>
      <c r="C116559" s="15"/>
      <c r="D116559" s="12"/>
      <c r="E116559" s="12"/>
      <c r="F116559" s="13"/>
      <c r="G116559" s="12"/>
      <c r="H116559" s="12"/>
      <c r="I116559" s="12"/>
      <c r="J116559" s="12"/>
      <c r="K116559" s="12"/>
      <c r="L116559" s="208"/>
      <c r="M116559" s="209"/>
      <c r="N116559" s="209"/>
      <c r="O116559" s="209"/>
    </row>
    <row r="116560" spans="1:15" s="210" customFormat="1" x14ac:dyDescent="0.3">
      <c r="A116560" s="12"/>
      <c r="B116560" s="15"/>
      <c r="C116560" s="15"/>
      <c r="D116560" s="12"/>
      <c r="E116560" s="12"/>
      <c r="F116560" s="13"/>
      <c r="G116560" s="12"/>
      <c r="H116560" s="12"/>
      <c r="I116560" s="12"/>
      <c r="J116560" s="12"/>
      <c r="K116560" s="12"/>
      <c r="L116560" s="208"/>
      <c r="M116560" s="209"/>
      <c r="N116560" s="209"/>
      <c r="O116560" s="209"/>
    </row>
    <row r="116561" spans="1:15" s="210" customFormat="1" x14ac:dyDescent="0.3">
      <c r="A116561" s="12"/>
      <c r="B116561" s="15"/>
      <c r="C116561" s="15"/>
      <c r="D116561" s="12"/>
      <c r="E116561" s="12"/>
      <c r="F116561" s="13"/>
      <c r="G116561" s="12"/>
      <c r="H116561" s="12"/>
      <c r="I116561" s="12"/>
      <c r="J116561" s="12"/>
      <c r="K116561" s="12"/>
      <c r="L116561" s="208"/>
      <c r="M116561" s="209"/>
      <c r="N116561" s="209"/>
      <c r="O116561" s="209"/>
    </row>
    <row r="116562" spans="1:15" s="210" customFormat="1" x14ac:dyDescent="0.3">
      <c r="A116562" s="12"/>
      <c r="B116562" s="15"/>
      <c r="C116562" s="15"/>
      <c r="D116562" s="12"/>
      <c r="E116562" s="12"/>
      <c r="F116562" s="13"/>
      <c r="G116562" s="12"/>
      <c r="H116562" s="12"/>
      <c r="I116562" s="12"/>
      <c r="J116562" s="12"/>
      <c r="K116562" s="12"/>
      <c r="L116562" s="208"/>
      <c r="M116562" s="209"/>
      <c r="N116562" s="209"/>
      <c r="O116562" s="209"/>
    </row>
    <row r="116563" spans="1:15" s="210" customFormat="1" x14ac:dyDescent="0.3">
      <c r="A116563" s="12"/>
      <c r="B116563" s="15"/>
      <c r="C116563" s="15"/>
      <c r="D116563" s="12"/>
      <c r="E116563" s="12"/>
      <c r="F116563" s="13"/>
      <c r="G116563" s="12"/>
      <c r="H116563" s="12"/>
      <c r="I116563" s="12"/>
      <c r="J116563" s="12"/>
      <c r="K116563" s="12"/>
      <c r="L116563" s="208"/>
      <c r="M116563" s="209"/>
      <c r="N116563" s="209"/>
      <c r="O116563" s="209"/>
    </row>
    <row r="116564" spans="1:15" s="210" customFormat="1" x14ac:dyDescent="0.3">
      <c r="A116564" s="12"/>
      <c r="B116564" s="15"/>
      <c r="C116564" s="15"/>
      <c r="D116564" s="12"/>
      <c r="E116564" s="12"/>
      <c r="F116564" s="13"/>
      <c r="G116564" s="12"/>
      <c r="H116564" s="12"/>
      <c r="I116564" s="12"/>
      <c r="J116564" s="12"/>
      <c r="K116564" s="12"/>
      <c r="L116564" s="208"/>
      <c r="M116564" s="209"/>
      <c r="N116564" s="209"/>
      <c r="O116564" s="209"/>
    </row>
    <row r="116565" spans="1:15" s="210" customFormat="1" x14ac:dyDescent="0.3">
      <c r="A116565" s="12"/>
      <c r="B116565" s="15"/>
      <c r="C116565" s="15"/>
      <c r="D116565" s="12"/>
      <c r="E116565" s="12"/>
      <c r="F116565" s="13"/>
      <c r="G116565" s="12"/>
      <c r="H116565" s="12"/>
      <c r="I116565" s="12"/>
      <c r="J116565" s="12"/>
      <c r="K116565" s="12"/>
      <c r="L116565" s="208"/>
      <c r="M116565" s="209"/>
      <c r="N116565" s="209"/>
      <c r="O116565" s="209"/>
    </row>
    <row r="116566" spans="1:15" s="210" customFormat="1" x14ac:dyDescent="0.3">
      <c r="A116566" s="12"/>
      <c r="B116566" s="15"/>
      <c r="C116566" s="15"/>
      <c r="D116566" s="12"/>
      <c r="E116566" s="12"/>
      <c r="F116566" s="13"/>
      <c r="G116566" s="12"/>
      <c r="H116566" s="12"/>
      <c r="I116566" s="12"/>
      <c r="J116566" s="12"/>
      <c r="K116566" s="12"/>
      <c r="L116566" s="208"/>
      <c r="M116566" s="209"/>
      <c r="N116566" s="209"/>
      <c r="O116566" s="209"/>
    </row>
    <row r="116567" spans="1:15" s="210" customFormat="1" x14ac:dyDescent="0.3">
      <c r="A116567" s="12"/>
      <c r="B116567" s="15"/>
      <c r="C116567" s="15"/>
      <c r="D116567" s="12"/>
      <c r="E116567" s="12"/>
      <c r="F116567" s="13"/>
      <c r="G116567" s="12"/>
      <c r="H116567" s="12"/>
      <c r="I116567" s="12"/>
      <c r="J116567" s="12"/>
      <c r="K116567" s="12"/>
      <c r="L116567" s="208"/>
      <c r="M116567" s="209"/>
      <c r="N116567" s="209"/>
      <c r="O116567" s="209"/>
    </row>
    <row r="116568" spans="1:15" s="210" customFormat="1" x14ac:dyDescent="0.3">
      <c r="A116568" s="12"/>
      <c r="B116568" s="15"/>
      <c r="C116568" s="15"/>
      <c r="D116568" s="12"/>
      <c r="E116568" s="12"/>
      <c r="F116568" s="13"/>
      <c r="G116568" s="12"/>
      <c r="H116568" s="12"/>
      <c r="I116568" s="12"/>
      <c r="J116568" s="12"/>
      <c r="K116568" s="12"/>
      <c r="L116568" s="208"/>
      <c r="M116568" s="209"/>
      <c r="N116568" s="209"/>
      <c r="O116568" s="209"/>
    </row>
    <row r="116569" spans="1:15" s="210" customFormat="1" x14ac:dyDescent="0.3">
      <c r="A116569" s="12"/>
      <c r="B116569" s="15"/>
      <c r="C116569" s="15"/>
      <c r="D116569" s="12"/>
      <c r="E116569" s="12"/>
      <c r="F116569" s="13"/>
      <c r="G116569" s="12"/>
      <c r="H116569" s="12"/>
      <c r="I116569" s="12"/>
      <c r="J116569" s="12"/>
      <c r="K116569" s="12"/>
      <c r="L116569" s="208"/>
      <c r="M116569" s="209"/>
      <c r="N116569" s="209"/>
      <c r="O116569" s="209"/>
    </row>
    <row r="116570" spans="1:15" s="210" customFormat="1" x14ac:dyDescent="0.3">
      <c r="A116570" s="12"/>
      <c r="B116570" s="15"/>
      <c r="C116570" s="15"/>
      <c r="D116570" s="12"/>
      <c r="E116570" s="12"/>
      <c r="F116570" s="13"/>
      <c r="G116570" s="12"/>
      <c r="H116570" s="12"/>
      <c r="I116570" s="12"/>
      <c r="J116570" s="12"/>
      <c r="K116570" s="12"/>
      <c r="L116570" s="208"/>
      <c r="M116570" s="209"/>
      <c r="N116570" s="209"/>
      <c r="O116570" s="209"/>
    </row>
    <row r="116571" spans="1:15" s="210" customFormat="1" x14ac:dyDescent="0.3">
      <c r="A116571" s="12"/>
      <c r="B116571" s="15"/>
      <c r="C116571" s="15"/>
      <c r="D116571" s="12"/>
      <c r="E116571" s="12"/>
      <c r="F116571" s="13"/>
      <c r="G116571" s="12"/>
      <c r="H116571" s="12"/>
      <c r="I116571" s="12"/>
      <c r="J116571" s="12"/>
      <c r="K116571" s="12"/>
      <c r="L116571" s="208"/>
      <c r="M116571" s="209"/>
      <c r="N116571" s="209"/>
      <c r="O116571" s="209"/>
    </row>
    <row r="116572" spans="1:15" s="210" customFormat="1" x14ac:dyDescent="0.3">
      <c r="A116572" s="12"/>
      <c r="B116572" s="15"/>
      <c r="C116572" s="15"/>
      <c r="D116572" s="12"/>
      <c r="E116572" s="12"/>
      <c r="F116572" s="13"/>
      <c r="G116572" s="12"/>
      <c r="H116572" s="12"/>
      <c r="I116572" s="12"/>
      <c r="J116572" s="12"/>
      <c r="K116572" s="12"/>
      <c r="L116572" s="208"/>
      <c r="M116572" s="209"/>
      <c r="N116572" s="209"/>
      <c r="O116572" s="209"/>
    </row>
    <row r="116573" spans="1:15" s="210" customFormat="1" x14ac:dyDescent="0.3">
      <c r="A116573" s="12"/>
      <c r="B116573" s="15"/>
      <c r="C116573" s="15"/>
      <c r="D116573" s="12"/>
      <c r="E116573" s="12"/>
      <c r="F116573" s="13"/>
      <c r="G116573" s="12"/>
      <c r="H116573" s="12"/>
      <c r="I116573" s="12"/>
      <c r="J116573" s="12"/>
      <c r="K116573" s="12"/>
      <c r="L116573" s="208"/>
      <c r="M116573" s="209"/>
      <c r="N116573" s="209"/>
      <c r="O116573" s="209"/>
    </row>
    <row r="116574" spans="1:15" s="210" customFormat="1" x14ac:dyDescent="0.3">
      <c r="A116574" s="12"/>
      <c r="B116574" s="15"/>
      <c r="C116574" s="15"/>
      <c r="D116574" s="12"/>
      <c r="E116574" s="12"/>
      <c r="F116574" s="13"/>
      <c r="G116574" s="12"/>
      <c r="H116574" s="12"/>
      <c r="I116574" s="12"/>
      <c r="J116574" s="12"/>
      <c r="K116574" s="12"/>
      <c r="L116574" s="208"/>
      <c r="M116574" s="209"/>
      <c r="N116574" s="209"/>
      <c r="O116574" s="209"/>
    </row>
    <row r="116575" spans="1:15" s="210" customFormat="1" x14ac:dyDescent="0.3">
      <c r="A116575" s="12"/>
      <c r="B116575" s="15"/>
      <c r="C116575" s="15"/>
      <c r="D116575" s="12"/>
      <c r="E116575" s="12"/>
      <c r="F116575" s="13"/>
      <c r="G116575" s="12"/>
      <c r="H116575" s="12"/>
      <c r="I116575" s="12"/>
      <c r="J116575" s="12"/>
      <c r="K116575" s="12"/>
      <c r="L116575" s="208"/>
      <c r="M116575" s="209"/>
      <c r="N116575" s="209"/>
      <c r="O116575" s="209"/>
    </row>
    <row r="116576" spans="1:15" s="210" customFormat="1" x14ac:dyDescent="0.3">
      <c r="A116576" s="12"/>
      <c r="B116576" s="15"/>
      <c r="C116576" s="15"/>
      <c r="D116576" s="12"/>
      <c r="E116576" s="12"/>
      <c r="F116576" s="13"/>
      <c r="G116576" s="12"/>
      <c r="H116576" s="12"/>
      <c r="I116576" s="12"/>
      <c r="J116576" s="12"/>
      <c r="K116576" s="12"/>
      <c r="L116576" s="208"/>
      <c r="M116576" s="209"/>
      <c r="N116576" s="209"/>
      <c r="O116576" s="209"/>
    </row>
    <row r="116577" spans="1:15" s="210" customFormat="1" x14ac:dyDescent="0.3">
      <c r="A116577" s="12"/>
      <c r="B116577" s="15"/>
      <c r="C116577" s="15"/>
      <c r="D116577" s="12"/>
      <c r="E116577" s="12"/>
      <c r="F116577" s="13"/>
      <c r="G116577" s="12"/>
      <c r="H116577" s="12"/>
      <c r="I116577" s="12"/>
      <c r="J116577" s="12"/>
      <c r="K116577" s="12"/>
      <c r="L116577" s="208"/>
      <c r="M116577" s="209"/>
      <c r="N116577" s="209"/>
      <c r="O116577" s="209"/>
    </row>
    <row r="116578" spans="1:15" s="210" customFormat="1" x14ac:dyDescent="0.3">
      <c r="A116578" s="12"/>
      <c r="B116578" s="15"/>
      <c r="C116578" s="15"/>
      <c r="D116578" s="12"/>
      <c r="E116578" s="12"/>
      <c r="F116578" s="13"/>
      <c r="G116578" s="12"/>
      <c r="H116578" s="12"/>
      <c r="I116578" s="12"/>
      <c r="J116578" s="12"/>
      <c r="K116578" s="12"/>
      <c r="L116578" s="208"/>
      <c r="M116578" s="209"/>
      <c r="N116578" s="209"/>
      <c r="O116578" s="209"/>
    </row>
    <row r="116579" spans="1:15" s="210" customFormat="1" x14ac:dyDescent="0.3">
      <c r="A116579" s="12"/>
      <c r="B116579" s="15"/>
      <c r="C116579" s="15"/>
      <c r="D116579" s="12"/>
      <c r="E116579" s="12"/>
      <c r="F116579" s="13"/>
      <c r="G116579" s="12"/>
      <c r="H116579" s="12"/>
      <c r="I116579" s="12"/>
      <c r="J116579" s="12"/>
      <c r="K116579" s="12"/>
      <c r="L116579" s="208"/>
      <c r="M116579" s="209"/>
      <c r="N116579" s="209"/>
      <c r="O116579" s="209"/>
    </row>
    <row r="116580" spans="1:15" s="210" customFormat="1" x14ac:dyDescent="0.3">
      <c r="A116580" s="12"/>
      <c r="B116580" s="15"/>
      <c r="C116580" s="15"/>
      <c r="D116580" s="12"/>
      <c r="E116580" s="12"/>
      <c r="F116580" s="13"/>
      <c r="G116580" s="12"/>
      <c r="H116580" s="12"/>
      <c r="I116580" s="12"/>
      <c r="J116580" s="12"/>
      <c r="K116580" s="12"/>
      <c r="L116580" s="208"/>
      <c r="M116580" s="209"/>
      <c r="N116580" s="209"/>
      <c r="O116580" s="209"/>
    </row>
    <row r="116581" spans="1:15" s="210" customFormat="1" x14ac:dyDescent="0.3">
      <c r="A116581" s="12"/>
      <c r="B116581" s="15"/>
      <c r="C116581" s="15"/>
      <c r="D116581" s="12"/>
      <c r="E116581" s="12"/>
      <c r="F116581" s="13"/>
      <c r="G116581" s="12"/>
      <c r="H116581" s="12"/>
      <c r="I116581" s="12"/>
      <c r="J116581" s="12"/>
      <c r="K116581" s="12"/>
      <c r="L116581" s="208"/>
      <c r="M116581" s="209"/>
      <c r="N116581" s="209"/>
      <c r="O116581" s="209"/>
    </row>
    <row r="116582" spans="1:15" s="210" customFormat="1" x14ac:dyDescent="0.3">
      <c r="A116582" s="12"/>
      <c r="B116582" s="15"/>
      <c r="C116582" s="15"/>
      <c r="D116582" s="12"/>
      <c r="E116582" s="12"/>
      <c r="F116582" s="13"/>
      <c r="G116582" s="12"/>
      <c r="H116582" s="12"/>
      <c r="I116582" s="12"/>
      <c r="J116582" s="12"/>
      <c r="K116582" s="12"/>
      <c r="L116582" s="208"/>
      <c r="M116582" s="209"/>
      <c r="N116582" s="209"/>
      <c r="O116582" s="209"/>
    </row>
    <row r="116583" spans="1:15" s="210" customFormat="1" x14ac:dyDescent="0.3">
      <c r="A116583" s="12"/>
      <c r="B116583" s="15"/>
      <c r="C116583" s="15"/>
      <c r="D116583" s="12"/>
      <c r="E116583" s="12"/>
      <c r="F116583" s="13"/>
      <c r="G116583" s="12"/>
      <c r="H116583" s="12"/>
      <c r="I116583" s="12"/>
      <c r="J116583" s="12"/>
      <c r="K116583" s="12"/>
      <c r="L116583" s="208"/>
      <c r="M116583" s="209"/>
      <c r="N116583" s="209"/>
      <c r="O116583" s="209"/>
    </row>
    <row r="116584" spans="1:15" s="210" customFormat="1" x14ac:dyDescent="0.3">
      <c r="A116584" s="12"/>
      <c r="B116584" s="15"/>
      <c r="C116584" s="15"/>
      <c r="D116584" s="12"/>
      <c r="E116584" s="12"/>
      <c r="F116584" s="13"/>
      <c r="G116584" s="12"/>
      <c r="H116584" s="12"/>
      <c r="I116584" s="12"/>
      <c r="J116584" s="12"/>
      <c r="K116584" s="12"/>
      <c r="L116584" s="208"/>
      <c r="M116584" s="209"/>
      <c r="N116584" s="209"/>
      <c r="O116584" s="209"/>
    </row>
    <row r="116585" spans="1:15" s="210" customFormat="1" x14ac:dyDescent="0.3">
      <c r="A116585" s="12"/>
      <c r="B116585" s="15"/>
      <c r="C116585" s="15"/>
      <c r="D116585" s="12"/>
      <c r="E116585" s="12"/>
      <c r="F116585" s="13"/>
      <c r="G116585" s="12"/>
      <c r="H116585" s="12"/>
      <c r="I116585" s="12"/>
      <c r="J116585" s="12"/>
      <c r="K116585" s="12"/>
      <c r="L116585" s="208"/>
      <c r="M116585" s="209"/>
      <c r="N116585" s="209"/>
      <c r="O116585" s="209"/>
    </row>
    <row r="116586" spans="1:15" s="210" customFormat="1" x14ac:dyDescent="0.3">
      <c r="A116586" s="12"/>
      <c r="B116586" s="15"/>
      <c r="C116586" s="15"/>
      <c r="D116586" s="12"/>
      <c r="E116586" s="12"/>
      <c r="F116586" s="13"/>
      <c r="G116586" s="12"/>
      <c r="H116586" s="12"/>
      <c r="I116586" s="12"/>
      <c r="J116586" s="12"/>
      <c r="K116586" s="12"/>
      <c r="L116586" s="208"/>
      <c r="M116586" s="209"/>
      <c r="N116586" s="209"/>
      <c r="O116586" s="209"/>
    </row>
    <row r="116587" spans="1:15" s="210" customFormat="1" x14ac:dyDescent="0.3">
      <c r="A116587" s="12"/>
      <c r="B116587" s="15"/>
      <c r="C116587" s="15"/>
      <c r="D116587" s="12"/>
      <c r="E116587" s="12"/>
      <c r="F116587" s="13"/>
      <c r="G116587" s="12"/>
      <c r="H116587" s="12"/>
      <c r="I116587" s="12"/>
      <c r="J116587" s="12"/>
      <c r="K116587" s="12"/>
      <c r="L116587" s="208"/>
      <c r="M116587" s="209"/>
      <c r="N116587" s="209"/>
      <c r="O116587" s="209"/>
    </row>
    <row r="116588" spans="1:15" s="210" customFormat="1" x14ac:dyDescent="0.3">
      <c r="A116588" s="12"/>
      <c r="B116588" s="15"/>
      <c r="C116588" s="15"/>
      <c r="D116588" s="12"/>
      <c r="E116588" s="12"/>
      <c r="F116588" s="13"/>
      <c r="G116588" s="12"/>
      <c r="H116588" s="12"/>
      <c r="I116588" s="12"/>
      <c r="J116588" s="12"/>
      <c r="K116588" s="12"/>
      <c r="L116588" s="208"/>
      <c r="M116588" s="209"/>
      <c r="N116588" s="209"/>
      <c r="O116588" s="209"/>
    </row>
    <row r="116589" spans="1:15" s="210" customFormat="1" x14ac:dyDescent="0.3">
      <c r="A116589" s="12"/>
      <c r="B116589" s="15"/>
      <c r="C116589" s="15"/>
      <c r="D116589" s="12"/>
      <c r="E116589" s="12"/>
      <c r="F116589" s="13"/>
      <c r="G116589" s="12"/>
      <c r="H116589" s="12"/>
      <c r="I116589" s="12"/>
      <c r="J116589" s="12"/>
      <c r="K116589" s="12"/>
      <c r="L116589" s="208"/>
      <c r="M116589" s="209"/>
      <c r="N116589" s="209"/>
      <c r="O116589" s="209"/>
    </row>
    <row r="116590" spans="1:15" s="210" customFormat="1" x14ac:dyDescent="0.3">
      <c r="A116590" s="12"/>
      <c r="B116590" s="15"/>
      <c r="C116590" s="15"/>
      <c r="D116590" s="12"/>
      <c r="E116590" s="12"/>
      <c r="F116590" s="13"/>
      <c r="G116590" s="12"/>
      <c r="H116590" s="12"/>
      <c r="I116590" s="12"/>
      <c r="J116590" s="12"/>
      <c r="K116590" s="12"/>
      <c r="L116590" s="208"/>
      <c r="M116590" s="209"/>
      <c r="N116590" s="209"/>
      <c r="O116590" s="209"/>
    </row>
    <row r="116591" spans="1:15" s="210" customFormat="1" x14ac:dyDescent="0.3">
      <c r="A116591" s="12"/>
      <c r="B116591" s="15"/>
      <c r="C116591" s="15"/>
      <c r="D116591" s="12"/>
      <c r="E116591" s="12"/>
      <c r="F116591" s="13"/>
      <c r="G116591" s="12"/>
      <c r="H116591" s="12"/>
      <c r="I116591" s="12"/>
      <c r="J116591" s="12"/>
      <c r="K116591" s="12"/>
      <c r="L116591" s="208"/>
      <c r="M116591" s="209"/>
      <c r="N116591" s="209"/>
      <c r="O116591" s="209"/>
    </row>
    <row r="116592" spans="1:15" s="210" customFormat="1" x14ac:dyDescent="0.3">
      <c r="A116592" s="12"/>
      <c r="B116592" s="15"/>
      <c r="C116592" s="15"/>
      <c r="D116592" s="12"/>
      <c r="E116592" s="12"/>
      <c r="F116592" s="13"/>
      <c r="G116592" s="12"/>
      <c r="H116592" s="12"/>
      <c r="I116592" s="12"/>
      <c r="J116592" s="12"/>
      <c r="K116592" s="12"/>
      <c r="L116592" s="208"/>
      <c r="M116592" s="209"/>
      <c r="N116592" s="209"/>
      <c r="O116592" s="209"/>
    </row>
    <row r="116593" spans="1:15" s="210" customFormat="1" x14ac:dyDescent="0.3">
      <c r="A116593" s="12"/>
      <c r="B116593" s="15"/>
      <c r="C116593" s="15"/>
      <c r="D116593" s="12"/>
      <c r="E116593" s="12"/>
      <c r="F116593" s="13"/>
      <c r="G116593" s="12"/>
      <c r="H116593" s="12"/>
      <c r="I116593" s="12"/>
      <c r="J116593" s="12"/>
      <c r="K116593" s="12"/>
      <c r="L116593" s="208"/>
      <c r="M116593" s="209"/>
      <c r="N116593" s="209"/>
      <c r="O116593" s="209"/>
    </row>
    <row r="116594" spans="1:15" s="210" customFormat="1" x14ac:dyDescent="0.3">
      <c r="A116594" s="12"/>
      <c r="B116594" s="15"/>
      <c r="C116594" s="15"/>
      <c r="D116594" s="12"/>
      <c r="E116594" s="12"/>
      <c r="F116594" s="13"/>
      <c r="G116594" s="12"/>
      <c r="H116594" s="12"/>
      <c r="I116594" s="12"/>
      <c r="J116594" s="12"/>
      <c r="K116594" s="12"/>
      <c r="L116594" s="208"/>
      <c r="M116594" s="209"/>
      <c r="N116594" s="209"/>
      <c r="O116594" s="209"/>
    </row>
    <row r="116595" spans="1:15" s="210" customFormat="1" x14ac:dyDescent="0.3">
      <c r="A116595" s="12"/>
      <c r="B116595" s="15"/>
      <c r="C116595" s="15"/>
      <c r="D116595" s="12"/>
      <c r="E116595" s="12"/>
      <c r="F116595" s="13"/>
      <c r="G116595" s="12"/>
      <c r="H116595" s="12"/>
      <c r="I116595" s="12"/>
      <c r="J116595" s="12"/>
      <c r="K116595" s="12"/>
      <c r="L116595" s="208"/>
      <c r="M116595" s="209"/>
      <c r="N116595" s="209"/>
      <c r="O116595" s="209"/>
    </row>
    <row r="116596" spans="1:15" s="210" customFormat="1" x14ac:dyDescent="0.3">
      <c r="A116596" s="12"/>
      <c r="B116596" s="15"/>
      <c r="C116596" s="15"/>
      <c r="D116596" s="12"/>
      <c r="E116596" s="12"/>
      <c r="F116596" s="13"/>
      <c r="G116596" s="12"/>
      <c r="H116596" s="12"/>
      <c r="I116596" s="12"/>
      <c r="J116596" s="12"/>
      <c r="K116596" s="12"/>
      <c r="L116596" s="208"/>
      <c r="M116596" s="209"/>
      <c r="N116596" s="209"/>
      <c r="O116596" s="209"/>
    </row>
    <row r="116597" spans="1:15" s="210" customFormat="1" x14ac:dyDescent="0.3">
      <c r="A116597" s="12"/>
      <c r="B116597" s="15"/>
      <c r="C116597" s="15"/>
      <c r="D116597" s="12"/>
      <c r="E116597" s="12"/>
      <c r="F116597" s="13"/>
      <c r="G116597" s="12"/>
      <c r="H116597" s="12"/>
      <c r="I116597" s="12"/>
      <c r="J116597" s="12"/>
      <c r="K116597" s="12"/>
      <c r="L116597" s="208"/>
      <c r="M116597" s="209"/>
      <c r="N116597" s="209"/>
      <c r="O116597" s="209"/>
    </row>
    <row r="116598" spans="1:15" s="210" customFormat="1" x14ac:dyDescent="0.3">
      <c r="A116598" s="12"/>
      <c r="B116598" s="15"/>
      <c r="C116598" s="15"/>
      <c r="D116598" s="12"/>
      <c r="E116598" s="12"/>
      <c r="F116598" s="13"/>
      <c r="G116598" s="12"/>
      <c r="H116598" s="12"/>
      <c r="I116598" s="12"/>
      <c r="J116598" s="12"/>
      <c r="K116598" s="12"/>
      <c r="L116598" s="208"/>
      <c r="M116598" s="209"/>
      <c r="N116598" s="209"/>
      <c r="O116598" s="209"/>
    </row>
    <row r="116599" spans="1:15" s="210" customFormat="1" x14ac:dyDescent="0.3">
      <c r="A116599" s="12"/>
      <c r="B116599" s="15"/>
      <c r="C116599" s="15"/>
      <c r="D116599" s="12"/>
      <c r="E116599" s="12"/>
      <c r="F116599" s="13"/>
      <c r="G116599" s="12"/>
      <c r="H116599" s="12"/>
      <c r="I116599" s="12"/>
      <c r="J116599" s="12"/>
      <c r="K116599" s="12"/>
      <c r="L116599" s="208"/>
      <c r="M116599" s="209"/>
      <c r="N116599" s="209"/>
      <c r="O116599" s="209"/>
    </row>
    <row r="116600" spans="1:15" s="210" customFormat="1" x14ac:dyDescent="0.3">
      <c r="A116600" s="12"/>
      <c r="B116600" s="15"/>
      <c r="C116600" s="15"/>
      <c r="D116600" s="12"/>
      <c r="E116600" s="12"/>
      <c r="F116600" s="13"/>
      <c r="G116600" s="12"/>
      <c r="H116600" s="12"/>
      <c r="I116600" s="12"/>
      <c r="J116600" s="12"/>
      <c r="K116600" s="12"/>
      <c r="L116600" s="208"/>
      <c r="M116600" s="209"/>
      <c r="N116600" s="209"/>
      <c r="O116600" s="209"/>
    </row>
    <row r="116601" spans="1:15" s="210" customFormat="1" x14ac:dyDescent="0.3">
      <c r="A116601" s="12"/>
      <c r="B116601" s="15"/>
      <c r="C116601" s="15"/>
      <c r="D116601" s="12"/>
      <c r="E116601" s="12"/>
      <c r="F116601" s="13"/>
      <c r="G116601" s="12"/>
      <c r="H116601" s="12"/>
      <c r="I116601" s="12"/>
      <c r="J116601" s="12"/>
      <c r="K116601" s="12"/>
      <c r="L116601" s="208"/>
      <c r="M116601" s="209"/>
      <c r="N116601" s="209"/>
      <c r="O116601" s="209"/>
    </row>
    <row r="116602" spans="1:15" s="210" customFormat="1" x14ac:dyDescent="0.3">
      <c r="A116602" s="12"/>
      <c r="B116602" s="15"/>
      <c r="C116602" s="15"/>
      <c r="D116602" s="12"/>
      <c r="E116602" s="12"/>
      <c r="F116602" s="13"/>
      <c r="G116602" s="12"/>
      <c r="H116602" s="12"/>
      <c r="I116602" s="12"/>
      <c r="J116602" s="12"/>
      <c r="K116602" s="12"/>
      <c r="L116602" s="208"/>
      <c r="M116602" s="209"/>
      <c r="N116602" s="209"/>
      <c r="O116602" s="209"/>
    </row>
    <row r="116603" spans="1:15" s="210" customFormat="1" x14ac:dyDescent="0.3">
      <c r="A116603" s="12"/>
      <c r="B116603" s="15"/>
      <c r="C116603" s="15"/>
      <c r="D116603" s="12"/>
      <c r="E116603" s="12"/>
      <c r="F116603" s="13"/>
      <c r="G116603" s="12"/>
      <c r="H116603" s="12"/>
      <c r="I116603" s="12"/>
      <c r="J116603" s="12"/>
      <c r="K116603" s="12"/>
      <c r="L116603" s="208"/>
      <c r="M116603" s="209"/>
      <c r="N116603" s="209"/>
      <c r="O116603" s="209"/>
    </row>
    <row r="116604" spans="1:15" s="210" customFormat="1" x14ac:dyDescent="0.3">
      <c r="A116604" s="12"/>
      <c r="B116604" s="15"/>
      <c r="C116604" s="15"/>
      <c r="D116604" s="12"/>
      <c r="E116604" s="12"/>
      <c r="F116604" s="13"/>
      <c r="G116604" s="12"/>
      <c r="H116604" s="12"/>
      <c r="I116604" s="12"/>
      <c r="J116604" s="12"/>
      <c r="K116604" s="12"/>
      <c r="L116604" s="208"/>
      <c r="M116604" s="209"/>
      <c r="N116604" s="209"/>
      <c r="O116604" s="209"/>
    </row>
    <row r="116605" spans="1:15" s="210" customFormat="1" x14ac:dyDescent="0.3">
      <c r="A116605" s="12"/>
      <c r="B116605" s="15"/>
      <c r="C116605" s="15"/>
      <c r="D116605" s="12"/>
      <c r="E116605" s="12"/>
      <c r="F116605" s="13"/>
      <c r="G116605" s="12"/>
      <c r="H116605" s="12"/>
      <c r="I116605" s="12"/>
      <c r="J116605" s="12"/>
      <c r="K116605" s="12"/>
      <c r="L116605" s="208"/>
      <c r="M116605" s="209"/>
      <c r="N116605" s="209"/>
      <c r="O116605" s="209"/>
    </row>
    <row r="116606" spans="1:15" s="210" customFormat="1" x14ac:dyDescent="0.3">
      <c r="A116606" s="12"/>
      <c r="B116606" s="15"/>
      <c r="C116606" s="15"/>
      <c r="D116606" s="12"/>
      <c r="E116606" s="12"/>
      <c r="F116606" s="13"/>
      <c r="G116606" s="12"/>
      <c r="H116606" s="12"/>
      <c r="I116606" s="12"/>
      <c r="J116606" s="12"/>
      <c r="K116606" s="12"/>
      <c r="L116606" s="208"/>
      <c r="M116606" s="209"/>
      <c r="N116606" s="209"/>
      <c r="O116606" s="209"/>
    </row>
    <row r="116607" spans="1:15" s="210" customFormat="1" x14ac:dyDescent="0.3">
      <c r="A116607" s="12"/>
      <c r="B116607" s="15"/>
      <c r="C116607" s="15"/>
      <c r="D116607" s="12"/>
      <c r="E116607" s="12"/>
      <c r="F116607" s="13"/>
      <c r="G116607" s="12"/>
      <c r="H116607" s="12"/>
      <c r="I116607" s="12"/>
      <c r="J116607" s="12"/>
      <c r="K116607" s="12"/>
      <c r="L116607" s="208"/>
      <c r="M116607" s="209"/>
      <c r="N116607" s="209"/>
      <c r="O116607" s="209"/>
    </row>
    <row r="116608" spans="1:15" s="210" customFormat="1" x14ac:dyDescent="0.3">
      <c r="A116608" s="12"/>
      <c r="B116608" s="15"/>
      <c r="C116608" s="15"/>
      <c r="D116608" s="12"/>
      <c r="E116608" s="12"/>
      <c r="F116608" s="13"/>
      <c r="G116608" s="12"/>
      <c r="H116608" s="12"/>
      <c r="I116608" s="12"/>
      <c r="J116608" s="12"/>
      <c r="K116608" s="12"/>
      <c r="L116608" s="208"/>
      <c r="M116608" s="209"/>
      <c r="N116608" s="209"/>
      <c r="O116608" s="209"/>
    </row>
    <row r="116609" spans="1:15" s="210" customFormat="1" x14ac:dyDescent="0.3">
      <c r="A116609" s="12"/>
      <c r="B116609" s="15"/>
      <c r="C116609" s="15"/>
      <c r="D116609" s="12"/>
      <c r="E116609" s="12"/>
      <c r="F116609" s="13"/>
      <c r="G116609" s="12"/>
      <c r="H116609" s="12"/>
      <c r="I116609" s="12"/>
      <c r="J116609" s="12"/>
      <c r="K116609" s="12"/>
      <c r="L116609" s="208"/>
      <c r="M116609" s="209"/>
      <c r="N116609" s="209"/>
      <c r="O116609" s="209"/>
    </row>
    <row r="116610" spans="1:15" s="210" customFormat="1" x14ac:dyDescent="0.3">
      <c r="A116610" s="12"/>
      <c r="B116610" s="15"/>
      <c r="C116610" s="15"/>
      <c r="D116610" s="12"/>
      <c r="E116610" s="12"/>
      <c r="F116610" s="13"/>
      <c r="G116610" s="12"/>
      <c r="H116610" s="12"/>
      <c r="I116610" s="12"/>
      <c r="J116610" s="12"/>
      <c r="K116610" s="12"/>
      <c r="L116610" s="208"/>
      <c r="M116610" s="209"/>
      <c r="N116610" s="209"/>
      <c r="O116610" s="209"/>
    </row>
    <row r="116611" spans="1:15" s="210" customFormat="1" x14ac:dyDescent="0.3">
      <c r="A116611" s="12"/>
      <c r="B116611" s="15"/>
      <c r="C116611" s="15"/>
      <c r="D116611" s="12"/>
      <c r="E116611" s="12"/>
      <c r="F116611" s="13"/>
      <c r="G116611" s="12"/>
      <c r="H116611" s="12"/>
      <c r="I116611" s="12"/>
      <c r="J116611" s="12"/>
      <c r="K116611" s="12"/>
      <c r="L116611" s="208"/>
      <c r="M116611" s="209"/>
      <c r="N116611" s="209"/>
      <c r="O116611" s="209"/>
    </row>
    <row r="116612" spans="1:15" s="210" customFormat="1" x14ac:dyDescent="0.3">
      <c r="A116612" s="12"/>
      <c r="B116612" s="15"/>
      <c r="C116612" s="15"/>
      <c r="D116612" s="12"/>
      <c r="E116612" s="12"/>
      <c r="F116612" s="13"/>
      <c r="G116612" s="12"/>
      <c r="H116612" s="12"/>
      <c r="I116612" s="12"/>
      <c r="J116612" s="12"/>
      <c r="K116612" s="12"/>
      <c r="L116612" s="208"/>
      <c r="M116612" s="209"/>
      <c r="N116612" s="209"/>
      <c r="O116612" s="209"/>
    </row>
    <row r="116613" spans="1:15" s="210" customFormat="1" x14ac:dyDescent="0.3">
      <c r="A116613" s="12"/>
      <c r="B116613" s="15"/>
      <c r="C116613" s="15"/>
      <c r="D116613" s="12"/>
      <c r="E116613" s="12"/>
      <c r="F116613" s="13"/>
      <c r="G116613" s="12"/>
      <c r="H116613" s="12"/>
      <c r="I116613" s="12"/>
      <c r="J116613" s="12"/>
      <c r="K116613" s="12"/>
      <c r="L116613" s="208"/>
      <c r="M116613" s="209"/>
      <c r="N116613" s="209"/>
      <c r="O116613" s="209"/>
    </row>
    <row r="116614" spans="1:15" s="210" customFormat="1" x14ac:dyDescent="0.3">
      <c r="A116614" s="12"/>
      <c r="B116614" s="15"/>
      <c r="C116614" s="15"/>
      <c r="D116614" s="12"/>
      <c r="E116614" s="12"/>
      <c r="F116614" s="13"/>
      <c r="G116614" s="12"/>
      <c r="H116614" s="12"/>
      <c r="I116614" s="12"/>
      <c r="J116614" s="12"/>
      <c r="K116614" s="12"/>
      <c r="L116614" s="208"/>
      <c r="M116614" s="209"/>
      <c r="N116614" s="209"/>
      <c r="O116614" s="209"/>
    </row>
    <row r="116615" spans="1:15" s="210" customFormat="1" x14ac:dyDescent="0.3">
      <c r="A116615" s="12"/>
      <c r="B116615" s="15"/>
      <c r="C116615" s="15"/>
      <c r="D116615" s="12"/>
      <c r="E116615" s="12"/>
      <c r="F116615" s="13"/>
      <c r="G116615" s="12"/>
      <c r="H116615" s="12"/>
      <c r="I116615" s="12"/>
      <c r="J116615" s="12"/>
      <c r="K116615" s="12"/>
      <c r="L116615" s="208"/>
      <c r="M116615" s="209"/>
      <c r="N116615" s="209"/>
      <c r="O116615" s="209"/>
    </row>
    <row r="116616" spans="1:15" s="210" customFormat="1" x14ac:dyDescent="0.3">
      <c r="A116616" s="12"/>
      <c r="B116616" s="15"/>
      <c r="C116616" s="15"/>
      <c r="D116616" s="12"/>
      <c r="E116616" s="12"/>
      <c r="F116616" s="13"/>
      <c r="G116616" s="12"/>
      <c r="H116616" s="12"/>
      <c r="I116616" s="12"/>
      <c r="J116616" s="12"/>
      <c r="K116616" s="12"/>
      <c r="L116616" s="208"/>
      <c r="M116616" s="209"/>
      <c r="N116616" s="209"/>
      <c r="O116616" s="209"/>
    </row>
    <row r="116617" spans="1:15" s="210" customFormat="1" x14ac:dyDescent="0.3">
      <c r="A116617" s="12"/>
      <c r="B116617" s="15"/>
      <c r="C116617" s="15"/>
      <c r="D116617" s="12"/>
      <c r="E116617" s="12"/>
      <c r="F116617" s="13"/>
      <c r="G116617" s="12"/>
      <c r="H116617" s="12"/>
      <c r="I116617" s="12"/>
      <c r="J116617" s="12"/>
      <c r="K116617" s="12"/>
      <c r="L116617" s="208"/>
      <c r="M116617" s="209"/>
      <c r="N116617" s="209"/>
      <c r="O116617" s="209"/>
    </row>
    <row r="116618" spans="1:15" s="210" customFormat="1" x14ac:dyDescent="0.3">
      <c r="A116618" s="12"/>
      <c r="B116618" s="15"/>
      <c r="C116618" s="15"/>
      <c r="D116618" s="12"/>
      <c r="E116618" s="12"/>
      <c r="F116618" s="13"/>
      <c r="G116618" s="12"/>
      <c r="H116618" s="12"/>
      <c r="I116618" s="12"/>
      <c r="J116618" s="12"/>
      <c r="K116618" s="12"/>
      <c r="L116618" s="208"/>
      <c r="M116618" s="209"/>
      <c r="N116618" s="209"/>
      <c r="O116618" s="209"/>
    </row>
    <row r="116619" spans="1:15" s="210" customFormat="1" x14ac:dyDescent="0.3">
      <c r="A116619" s="12"/>
      <c r="B116619" s="15"/>
      <c r="C116619" s="15"/>
      <c r="D116619" s="12"/>
      <c r="E116619" s="12"/>
      <c r="F116619" s="13"/>
      <c r="G116619" s="12"/>
      <c r="H116619" s="12"/>
      <c r="I116619" s="12"/>
      <c r="J116619" s="12"/>
      <c r="K116619" s="12"/>
      <c r="L116619" s="208"/>
      <c r="M116619" s="209"/>
      <c r="N116619" s="209"/>
      <c r="O116619" s="209"/>
    </row>
    <row r="116620" spans="1:15" s="210" customFormat="1" x14ac:dyDescent="0.3">
      <c r="A116620" s="12"/>
      <c r="B116620" s="15"/>
      <c r="C116620" s="15"/>
      <c r="D116620" s="12"/>
      <c r="E116620" s="12"/>
      <c r="F116620" s="13"/>
      <c r="G116620" s="12"/>
      <c r="H116620" s="12"/>
      <c r="I116620" s="12"/>
      <c r="J116620" s="12"/>
      <c r="K116620" s="12"/>
      <c r="L116620" s="208"/>
      <c r="M116620" s="209"/>
      <c r="N116620" s="209"/>
      <c r="O116620" s="209"/>
    </row>
    <row r="116621" spans="1:15" s="210" customFormat="1" x14ac:dyDescent="0.3">
      <c r="A116621" s="12"/>
      <c r="B116621" s="15"/>
      <c r="C116621" s="15"/>
      <c r="D116621" s="12"/>
      <c r="E116621" s="12"/>
      <c r="F116621" s="13"/>
      <c r="G116621" s="12"/>
      <c r="H116621" s="12"/>
      <c r="I116621" s="12"/>
      <c r="J116621" s="12"/>
      <c r="K116621" s="12"/>
      <c r="L116621" s="208"/>
      <c r="M116621" s="209"/>
      <c r="N116621" s="209"/>
      <c r="O116621" s="209"/>
    </row>
    <row r="116622" spans="1:15" s="210" customFormat="1" x14ac:dyDescent="0.3">
      <c r="A116622" s="12"/>
      <c r="B116622" s="15"/>
      <c r="C116622" s="15"/>
      <c r="D116622" s="12"/>
      <c r="E116622" s="12"/>
      <c r="F116622" s="13"/>
      <c r="G116622" s="12"/>
      <c r="H116622" s="12"/>
      <c r="I116622" s="12"/>
      <c r="J116622" s="12"/>
      <c r="K116622" s="12"/>
      <c r="L116622" s="208"/>
      <c r="M116622" s="209"/>
      <c r="N116622" s="209"/>
      <c r="O116622" s="209"/>
    </row>
    <row r="116623" spans="1:15" s="210" customFormat="1" x14ac:dyDescent="0.3">
      <c r="A116623" s="12"/>
      <c r="B116623" s="15"/>
      <c r="C116623" s="15"/>
      <c r="D116623" s="12"/>
      <c r="E116623" s="12"/>
      <c r="F116623" s="13"/>
      <c r="G116623" s="12"/>
      <c r="H116623" s="12"/>
      <c r="I116623" s="12"/>
      <c r="J116623" s="12"/>
      <c r="K116623" s="12"/>
      <c r="L116623" s="208"/>
      <c r="M116623" s="209"/>
      <c r="N116623" s="209"/>
      <c r="O116623" s="209"/>
    </row>
    <row r="116624" spans="1:15" s="210" customFormat="1" x14ac:dyDescent="0.3">
      <c r="A116624" s="12"/>
      <c r="B116624" s="15"/>
      <c r="C116624" s="15"/>
      <c r="D116624" s="12"/>
      <c r="E116624" s="12"/>
      <c r="F116624" s="13"/>
      <c r="G116624" s="12"/>
      <c r="H116624" s="12"/>
      <c r="I116624" s="12"/>
      <c r="J116624" s="12"/>
      <c r="K116624" s="12"/>
      <c r="L116624" s="208"/>
      <c r="M116624" s="209"/>
      <c r="N116624" s="209"/>
      <c r="O116624" s="209"/>
    </row>
    <row r="116625" spans="1:15" s="210" customFormat="1" x14ac:dyDescent="0.3">
      <c r="A116625" s="12"/>
      <c r="B116625" s="15"/>
      <c r="C116625" s="15"/>
      <c r="D116625" s="12"/>
      <c r="E116625" s="12"/>
      <c r="F116625" s="13"/>
      <c r="G116625" s="12"/>
      <c r="H116625" s="12"/>
      <c r="I116625" s="12"/>
      <c r="J116625" s="12"/>
      <c r="K116625" s="12"/>
      <c r="L116625" s="208"/>
      <c r="M116625" s="209"/>
      <c r="N116625" s="209"/>
      <c r="O116625" s="209"/>
    </row>
    <row r="116626" spans="1:15" s="210" customFormat="1" x14ac:dyDescent="0.3">
      <c r="A116626" s="12"/>
      <c r="B116626" s="15"/>
      <c r="C116626" s="15"/>
      <c r="D116626" s="12"/>
      <c r="E116626" s="12"/>
      <c r="F116626" s="13"/>
      <c r="G116626" s="12"/>
      <c r="H116626" s="12"/>
      <c r="I116626" s="12"/>
      <c r="J116626" s="12"/>
      <c r="K116626" s="12"/>
      <c r="L116626" s="208"/>
      <c r="M116626" s="209"/>
      <c r="N116626" s="209"/>
      <c r="O116626" s="209"/>
    </row>
    <row r="116627" spans="1:15" s="210" customFormat="1" x14ac:dyDescent="0.3">
      <c r="A116627" s="12"/>
      <c r="B116627" s="15"/>
      <c r="C116627" s="15"/>
      <c r="D116627" s="12"/>
      <c r="E116627" s="12"/>
      <c r="F116627" s="13"/>
      <c r="G116627" s="12"/>
      <c r="H116627" s="12"/>
      <c r="I116627" s="12"/>
      <c r="J116627" s="12"/>
      <c r="K116627" s="12"/>
      <c r="L116627" s="208"/>
      <c r="M116627" s="209"/>
      <c r="N116627" s="209"/>
      <c r="O116627" s="209"/>
    </row>
    <row r="116628" spans="1:15" s="210" customFormat="1" x14ac:dyDescent="0.3">
      <c r="A116628" s="12"/>
      <c r="B116628" s="15"/>
      <c r="C116628" s="15"/>
      <c r="D116628" s="12"/>
      <c r="E116628" s="12"/>
      <c r="F116628" s="13"/>
      <c r="G116628" s="12"/>
      <c r="H116628" s="12"/>
      <c r="I116628" s="12"/>
      <c r="J116628" s="12"/>
      <c r="K116628" s="12"/>
      <c r="L116628" s="208"/>
      <c r="M116628" s="209"/>
      <c r="N116628" s="209"/>
      <c r="O116628" s="209"/>
    </row>
    <row r="116629" spans="1:15" s="210" customFormat="1" x14ac:dyDescent="0.3">
      <c r="A116629" s="12"/>
      <c r="B116629" s="15"/>
      <c r="C116629" s="15"/>
      <c r="D116629" s="12"/>
      <c r="E116629" s="12"/>
      <c r="F116629" s="13"/>
      <c r="G116629" s="12"/>
      <c r="H116629" s="12"/>
      <c r="I116629" s="12"/>
      <c r="J116629" s="12"/>
      <c r="K116629" s="12"/>
      <c r="L116629" s="208"/>
      <c r="M116629" s="209"/>
      <c r="N116629" s="209"/>
      <c r="O116629" s="209"/>
    </row>
    <row r="116630" spans="1:15" s="210" customFormat="1" x14ac:dyDescent="0.3">
      <c r="A116630" s="12"/>
      <c r="B116630" s="15"/>
      <c r="C116630" s="15"/>
      <c r="D116630" s="12"/>
      <c r="E116630" s="12"/>
      <c r="F116630" s="13"/>
      <c r="G116630" s="12"/>
      <c r="H116630" s="12"/>
      <c r="I116630" s="12"/>
      <c r="J116630" s="12"/>
      <c r="K116630" s="12"/>
      <c r="L116630" s="208"/>
      <c r="M116630" s="209"/>
      <c r="N116630" s="209"/>
      <c r="O116630" s="209"/>
    </row>
    <row r="116631" spans="1:15" s="210" customFormat="1" x14ac:dyDescent="0.3">
      <c r="A116631" s="12"/>
      <c r="B116631" s="15"/>
      <c r="C116631" s="15"/>
      <c r="D116631" s="12"/>
      <c r="E116631" s="12"/>
      <c r="F116631" s="13"/>
      <c r="G116631" s="12"/>
      <c r="H116631" s="12"/>
      <c r="I116631" s="12"/>
      <c r="J116631" s="12"/>
      <c r="K116631" s="12"/>
      <c r="L116631" s="208"/>
      <c r="M116631" s="209"/>
      <c r="N116631" s="209"/>
      <c r="O116631" s="209"/>
    </row>
    <row r="116632" spans="1:15" s="210" customFormat="1" x14ac:dyDescent="0.3">
      <c r="A116632" s="12"/>
      <c r="B116632" s="15"/>
      <c r="C116632" s="15"/>
      <c r="D116632" s="12"/>
      <c r="E116632" s="12"/>
      <c r="F116632" s="13"/>
      <c r="G116632" s="12"/>
      <c r="H116632" s="12"/>
      <c r="I116632" s="12"/>
      <c r="J116632" s="12"/>
      <c r="K116632" s="12"/>
      <c r="L116632" s="208"/>
      <c r="M116632" s="209"/>
      <c r="N116632" s="209"/>
      <c r="O116632" s="209"/>
    </row>
    <row r="116633" spans="1:15" s="210" customFormat="1" x14ac:dyDescent="0.3">
      <c r="A116633" s="12"/>
      <c r="B116633" s="15"/>
      <c r="C116633" s="15"/>
      <c r="D116633" s="12"/>
      <c r="E116633" s="12"/>
      <c r="F116633" s="13"/>
      <c r="G116633" s="12"/>
      <c r="H116633" s="12"/>
      <c r="I116633" s="12"/>
      <c r="J116633" s="12"/>
      <c r="K116633" s="12"/>
      <c r="L116633" s="208"/>
      <c r="M116633" s="209"/>
      <c r="N116633" s="209"/>
      <c r="O116633" s="209"/>
    </row>
    <row r="116634" spans="1:15" s="210" customFormat="1" x14ac:dyDescent="0.3">
      <c r="A116634" s="12"/>
      <c r="B116634" s="15"/>
      <c r="C116634" s="15"/>
      <c r="D116634" s="12"/>
      <c r="E116634" s="12"/>
      <c r="F116634" s="13"/>
      <c r="G116634" s="12"/>
      <c r="H116634" s="12"/>
      <c r="I116634" s="12"/>
      <c r="J116634" s="12"/>
      <c r="K116634" s="12"/>
      <c r="L116634" s="208"/>
      <c r="M116634" s="209"/>
      <c r="N116634" s="209"/>
      <c r="O116634" s="209"/>
    </row>
    <row r="116635" spans="1:15" s="210" customFormat="1" x14ac:dyDescent="0.3">
      <c r="A116635" s="12"/>
      <c r="B116635" s="15"/>
      <c r="C116635" s="15"/>
      <c r="D116635" s="12"/>
      <c r="E116635" s="12"/>
      <c r="F116635" s="13"/>
      <c r="G116635" s="12"/>
      <c r="H116635" s="12"/>
      <c r="I116635" s="12"/>
      <c r="J116635" s="12"/>
      <c r="K116635" s="12"/>
      <c r="L116635" s="208"/>
      <c r="M116635" s="209"/>
      <c r="N116635" s="209"/>
      <c r="O116635" s="209"/>
    </row>
    <row r="116636" spans="1:15" s="210" customFormat="1" x14ac:dyDescent="0.3">
      <c r="A116636" s="12"/>
      <c r="B116636" s="15"/>
      <c r="C116636" s="15"/>
      <c r="D116636" s="12"/>
      <c r="E116636" s="12"/>
      <c r="F116636" s="13"/>
      <c r="G116636" s="12"/>
      <c r="H116636" s="12"/>
      <c r="I116636" s="12"/>
      <c r="J116636" s="12"/>
      <c r="K116636" s="12"/>
      <c r="L116636" s="208"/>
      <c r="M116636" s="209"/>
      <c r="N116636" s="209"/>
      <c r="O116636" s="209"/>
    </row>
    <row r="116637" spans="1:15" s="210" customFormat="1" x14ac:dyDescent="0.3">
      <c r="A116637" s="12"/>
      <c r="B116637" s="15"/>
      <c r="C116637" s="15"/>
      <c r="D116637" s="12"/>
      <c r="E116637" s="12"/>
      <c r="F116637" s="13"/>
      <c r="G116637" s="12"/>
      <c r="H116637" s="12"/>
      <c r="I116637" s="12"/>
      <c r="J116637" s="12"/>
      <c r="K116637" s="12"/>
      <c r="L116637" s="208"/>
      <c r="M116637" s="209"/>
      <c r="N116637" s="209"/>
      <c r="O116637" s="209"/>
    </row>
    <row r="116638" spans="1:15" s="210" customFormat="1" x14ac:dyDescent="0.3">
      <c r="A116638" s="12"/>
      <c r="B116638" s="15"/>
      <c r="C116638" s="15"/>
      <c r="D116638" s="12"/>
      <c r="E116638" s="12"/>
      <c r="F116638" s="13"/>
      <c r="G116638" s="12"/>
      <c r="H116638" s="12"/>
      <c r="I116638" s="12"/>
      <c r="J116638" s="12"/>
      <c r="K116638" s="12"/>
      <c r="L116638" s="208"/>
      <c r="M116638" s="209"/>
      <c r="N116638" s="209"/>
      <c r="O116638" s="209"/>
    </row>
    <row r="116639" spans="1:15" s="210" customFormat="1" x14ac:dyDescent="0.3">
      <c r="A116639" s="12"/>
      <c r="B116639" s="15"/>
      <c r="C116639" s="15"/>
      <c r="D116639" s="12"/>
      <c r="E116639" s="12"/>
      <c r="F116639" s="13"/>
      <c r="G116639" s="12"/>
      <c r="H116639" s="12"/>
      <c r="I116639" s="12"/>
      <c r="J116639" s="12"/>
      <c r="K116639" s="12"/>
      <c r="L116639" s="208"/>
      <c r="M116639" s="209"/>
      <c r="N116639" s="209"/>
      <c r="O116639" s="209"/>
    </row>
    <row r="116640" spans="1:15" s="210" customFormat="1" x14ac:dyDescent="0.3">
      <c r="A116640" s="12"/>
      <c r="B116640" s="15"/>
      <c r="C116640" s="15"/>
      <c r="D116640" s="12"/>
      <c r="E116640" s="12"/>
      <c r="F116640" s="13"/>
      <c r="G116640" s="12"/>
      <c r="H116640" s="12"/>
      <c r="I116640" s="12"/>
      <c r="J116640" s="12"/>
      <c r="K116640" s="12"/>
      <c r="L116640" s="208"/>
      <c r="M116640" s="209"/>
      <c r="N116640" s="209"/>
      <c r="O116640" s="209"/>
    </row>
    <row r="116641" spans="1:15" s="210" customFormat="1" x14ac:dyDescent="0.3">
      <c r="A116641" s="12"/>
      <c r="B116641" s="15"/>
      <c r="C116641" s="15"/>
      <c r="D116641" s="12"/>
      <c r="E116641" s="12"/>
      <c r="F116641" s="13"/>
      <c r="G116641" s="12"/>
      <c r="H116641" s="12"/>
      <c r="I116641" s="12"/>
      <c r="J116641" s="12"/>
      <c r="K116641" s="12"/>
      <c r="L116641" s="208"/>
      <c r="M116641" s="209"/>
      <c r="N116641" s="209"/>
      <c r="O116641" s="209"/>
    </row>
    <row r="116642" spans="1:15" s="210" customFormat="1" x14ac:dyDescent="0.3">
      <c r="A116642" s="12"/>
      <c r="B116642" s="15"/>
      <c r="C116642" s="15"/>
      <c r="D116642" s="12"/>
      <c r="E116642" s="12"/>
      <c r="F116642" s="13"/>
      <c r="G116642" s="12"/>
      <c r="H116642" s="12"/>
      <c r="I116642" s="12"/>
      <c r="J116642" s="12"/>
      <c r="K116642" s="12"/>
      <c r="L116642" s="208"/>
      <c r="M116642" s="209"/>
      <c r="N116642" s="209"/>
      <c r="O116642" s="209"/>
    </row>
    <row r="116643" spans="1:15" s="210" customFormat="1" x14ac:dyDescent="0.3">
      <c r="A116643" s="12"/>
      <c r="B116643" s="15"/>
      <c r="C116643" s="15"/>
      <c r="D116643" s="12"/>
      <c r="E116643" s="12"/>
      <c r="F116643" s="13"/>
      <c r="G116643" s="12"/>
      <c r="H116643" s="12"/>
      <c r="I116643" s="12"/>
      <c r="J116643" s="12"/>
      <c r="K116643" s="12"/>
      <c r="L116643" s="208"/>
      <c r="M116643" s="209"/>
      <c r="N116643" s="209"/>
      <c r="O116643" s="209"/>
    </row>
    <row r="116644" spans="1:15" s="210" customFormat="1" x14ac:dyDescent="0.3">
      <c r="A116644" s="12"/>
      <c r="B116644" s="15"/>
      <c r="C116644" s="15"/>
      <c r="D116644" s="12"/>
      <c r="E116644" s="12"/>
      <c r="F116644" s="13"/>
      <c r="G116644" s="12"/>
      <c r="H116644" s="12"/>
      <c r="I116644" s="12"/>
      <c r="J116644" s="12"/>
      <c r="K116644" s="12"/>
      <c r="L116644" s="208"/>
      <c r="M116644" s="209"/>
      <c r="N116644" s="209"/>
      <c r="O116644" s="209"/>
    </row>
    <row r="116645" spans="1:15" s="210" customFormat="1" x14ac:dyDescent="0.3">
      <c r="A116645" s="12"/>
      <c r="B116645" s="15"/>
      <c r="C116645" s="15"/>
      <c r="D116645" s="12"/>
      <c r="E116645" s="12"/>
      <c r="F116645" s="13"/>
      <c r="G116645" s="12"/>
      <c r="H116645" s="12"/>
      <c r="I116645" s="12"/>
      <c r="J116645" s="12"/>
      <c r="K116645" s="12"/>
      <c r="L116645" s="208"/>
      <c r="M116645" s="209"/>
      <c r="N116645" s="209"/>
      <c r="O116645" s="209"/>
    </row>
    <row r="116646" spans="1:15" s="210" customFormat="1" x14ac:dyDescent="0.3">
      <c r="A116646" s="12"/>
      <c r="B116646" s="15"/>
      <c r="C116646" s="15"/>
      <c r="D116646" s="12"/>
      <c r="E116646" s="12"/>
      <c r="F116646" s="13"/>
      <c r="G116646" s="12"/>
      <c r="H116646" s="12"/>
      <c r="I116646" s="12"/>
      <c r="J116646" s="12"/>
      <c r="K116646" s="12"/>
      <c r="L116646" s="208"/>
      <c r="M116646" s="209"/>
      <c r="N116646" s="209"/>
      <c r="O116646" s="209"/>
    </row>
    <row r="116647" spans="1:15" s="210" customFormat="1" x14ac:dyDescent="0.3">
      <c r="A116647" s="12"/>
      <c r="B116647" s="15"/>
      <c r="C116647" s="15"/>
      <c r="D116647" s="12"/>
      <c r="E116647" s="12"/>
      <c r="F116647" s="13"/>
      <c r="G116647" s="12"/>
      <c r="H116647" s="12"/>
      <c r="I116647" s="12"/>
      <c r="J116647" s="12"/>
      <c r="K116647" s="12"/>
      <c r="L116647" s="208"/>
      <c r="M116647" s="209"/>
      <c r="N116647" s="209"/>
      <c r="O116647" s="209"/>
    </row>
    <row r="116648" spans="1:15" s="210" customFormat="1" x14ac:dyDescent="0.3">
      <c r="A116648" s="12"/>
      <c r="B116648" s="15"/>
      <c r="C116648" s="15"/>
      <c r="D116648" s="12"/>
      <c r="E116648" s="12"/>
      <c r="F116648" s="13"/>
      <c r="G116648" s="12"/>
      <c r="H116648" s="12"/>
      <c r="I116648" s="12"/>
      <c r="J116648" s="12"/>
      <c r="K116648" s="12"/>
      <c r="L116648" s="208"/>
      <c r="M116648" s="209"/>
      <c r="N116648" s="209"/>
      <c r="O116648" s="209"/>
    </row>
    <row r="116649" spans="1:15" s="210" customFormat="1" x14ac:dyDescent="0.3">
      <c r="A116649" s="12"/>
      <c r="B116649" s="15"/>
      <c r="C116649" s="15"/>
      <c r="D116649" s="12"/>
      <c r="E116649" s="12"/>
      <c r="F116649" s="13"/>
      <c r="G116649" s="12"/>
      <c r="H116649" s="12"/>
      <c r="I116649" s="12"/>
      <c r="J116649" s="12"/>
      <c r="K116649" s="12"/>
      <c r="L116649" s="208"/>
      <c r="M116649" s="209"/>
      <c r="N116649" s="209"/>
      <c r="O116649" s="209"/>
    </row>
    <row r="116650" spans="1:15" s="210" customFormat="1" x14ac:dyDescent="0.3">
      <c r="A116650" s="12"/>
      <c r="B116650" s="15"/>
      <c r="C116650" s="15"/>
      <c r="D116650" s="12"/>
      <c r="E116650" s="12"/>
      <c r="F116650" s="13"/>
      <c r="G116650" s="12"/>
      <c r="H116650" s="12"/>
      <c r="I116650" s="12"/>
      <c r="J116650" s="12"/>
      <c r="K116650" s="12"/>
      <c r="L116650" s="208"/>
      <c r="M116650" s="209"/>
      <c r="N116650" s="209"/>
      <c r="O116650" s="209"/>
    </row>
    <row r="116651" spans="1:15" s="210" customFormat="1" x14ac:dyDescent="0.3">
      <c r="A116651" s="12"/>
      <c r="B116651" s="15"/>
      <c r="C116651" s="15"/>
      <c r="D116651" s="12"/>
      <c r="E116651" s="12"/>
      <c r="F116651" s="13"/>
      <c r="G116651" s="12"/>
      <c r="H116651" s="12"/>
      <c r="I116651" s="12"/>
      <c r="J116651" s="12"/>
      <c r="K116651" s="12"/>
      <c r="L116651" s="208"/>
      <c r="M116651" s="209"/>
      <c r="N116651" s="209"/>
      <c r="O116651" s="209"/>
    </row>
    <row r="116652" spans="1:15" s="210" customFormat="1" x14ac:dyDescent="0.3">
      <c r="A116652" s="12"/>
      <c r="B116652" s="15"/>
      <c r="C116652" s="15"/>
      <c r="D116652" s="12"/>
      <c r="E116652" s="12"/>
      <c r="F116652" s="13"/>
      <c r="G116652" s="12"/>
      <c r="H116652" s="12"/>
      <c r="I116652" s="12"/>
      <c r="J116652" s="12"/>
      <c r="K116652" s="12"/>
      <c r="L116652" s="208"/>
      <c r="M116652" s="209"/>
      <c r="N116652" s="209"/>
      <c r="O116652" s="209"/>
    </row>
    <row r="116653" spans="1:15" s="210" customFormat="1" x14ac:dyDescent="0.3">
      <c r="A116653" s="12"/>
      <c r="B116653" s="15"/>
      <c r="C116653" s="15"/>
      <c r="D116653" s="12"/>
      <c r="E116653" s="12"/>
      <c r="F116653" s="13"/>
      <c r="G116653" s="12"/>
      <c r="H116653" s="12"/>
      <c r="I116653" s="12"/>
      <c r="J116653" s="12"/>
      <c r="K116653" s="12"/>
      <c r="L116653" s="208"/>
      <c r="M116653" s="209"/>
      <c r="N116653" s="209"/>
      <c r="O116653" s="209"/>
    </row>
    <row r="116654" spans="1:15" s="210" customFormat="1" x14ac:dyDescent="0.3">
      <c r="A116654" s="12"/>
      <c r="B116654" s="15"/>
      <c r="C116654" s="15"/>
      <c r="D116654" s="12"/>
      <c r="E116654" s="12"/>
      <c r="F116654" s="13"/>
      <c r="G116654" s="12"/>
      <c r="H116654" s="12"/>
      <c r="I116654" s="12"/>
      <c r="J116654" s="12"/>
      <c r="K116654" s="12"/>
      <c r="L116654" s="208"/>
      <c r="M116654" s="209"/>
      <c r="N116654" s="209"/>
      <c r="O116654" s="209"/>
    </row>
    <row r="116655" spans="1:15" s="210" customFormat="1" x14ac:dyDescent="0.3">
      <c r="A116655" s="12"/>
      <c r="B116655" s="15"/>
      <c r="C116655" s="15"/>
      <c r="D116655" s="12"/>
      <c r="E116655" s="12"/>
      <c r="F116655" s="13"/>
      <c r="G116655" s="12"/>
      <c r="H116655" s="12"/>
      <c r="I116655" s="12"/>
      <c r="J116655" s="12"/>
      <c r="K116655" s="12"/>
      <c r="L116655" s="208"/>
      <c r="M116655" s="209"/>
      <c r="N116655" s="209"/>
      <c r="O116655" s="209"/>
    </row>
    <row r="116656" spans="1:15" s="210" customFormat="1" x14ac:dyDescent="0.3">
      <c r="A116656" s="12"/>
      <c r="B116656" s="15"/>
      <c r="C116656" s="15"/>
      <c r="D116656" s="12"/>
      <c r="E116656" s="12"/>
      <c r="F116656" s="13"/>
      <c r="G116656" s="12"/>
      <c r="H116656" s="12"/>
      <c r="I116656" s="12"/>
      <c r="J116656" s="12"/>
      <c r="K116656" s="12"/>
      <c r="L116656" s="208"/>
      <c r="M116656" s="209"/>
      <c r="N116656" s="209"/>
      <c r="O116656" s="209"/>
    </row>
    <row r="116657" spans="1:15" s="210" customFormat="1" x14ac:dyDescent="0.3">
      <c r="A116657" s="12"/>
      <c r="B116657" s="15"/>
      <c r="C116657" s="15"/>
      <c r="D116657" s="12"/>
      <c r="E116657" s="12"/>
      <c r="F116657" s="13"/>
      <c r="G116657" s="12"/>
      <c r="H116657" s="12"/>
      <c r="I116657" s="12"/>
      <c r="J116657" s="12"/>
      <c r="K116657" s="12"/>
      <c r="L116657" s="208"/>
      <c r="M116657" s="209"/>
      <c r="N116657" s="209"/>
      <c r="O116657" s="209"/>
    </row>
    <row r="116658" spans="1:15" s="210" customFormat="1" x14ac:dyDescent="0.3">
      <c r="A116658" s="12"/>
      <c r="B116658" s="15"/>
      <c r="C116658" s="15"/>
      <c r="D116658" s="12"/>
      <c r="E116658" s="12"/>
      <c r="F116658" s="13"/>
      <c r="G116658" s="12"/>
      <c r="H116658" s="12"/>
      <c r="I116658" s="12"/>
      <c r="J116658" s="12"/>
      <c r="K116658" s="12"/>
      <c r="L116658" s="208"/>
      <c r="M116658" s="209"/>
      <c r="N116658" s="209"/>
      <c r="O116658" s="209"/>
    </row>
    <row r="116659" spans="1:15" s="210" customFormat="1" x14ac:dyDescent="0.3">
      <c r="A116659" s="12"/>
      <c r="B116659" s="15"/>
      <c r="C116659" s="15"/>
      <c r="D116659" s="12"/>
      <c r="E116659" s="12"/>
      <c r="F116659" s="13"/>
      <c r="G116659" s="12"/>
      <c r="H116659" s="12"/>
      <c r="I116659" s="12"/>
      <c r="J116659" s="12"/>
      <c r="K116659" s="12"/>
      <c r="L116659" s="208"/>
      <c r="M116659" s="209"/>
      <c r="N116659" s="209"/>
      <c r="O116659" s="209"/>
    </row>
    <row r="116660" spans="1:15" s="210" customFormat="1" x14ac:dyDescent="0.3">
      <c r="A116660" s="12"/>
      <c r="B116660" s="15"/>
      <c r="C116660" s="15"/>
      <c r="D116660" s="12"/>
      <c r="E116660" s="12"/>
      <c r="F116660" s="13"/>
      <c r="G116660" s="12"/>
      <c r="H116660" s="12"/>
      <c r="I116660" s="12"/>
      <c r="J116660" s="12"/>
      <c r="K116660" s="12"/>
      <c r="L116660" s="208"/>
      <c r="M116660" s="209"/>
      <c r="N116660" s="209"/>
      <c r="O116660" s="209"/>
    </row>
    <row r="116661" spans="1:15" s="210" customFormat="1" x14ac:dyDescent="0.3">
      <c r="A116661" s="12"/>
      <c r="B116661" s="15"/>
      <c r="C116661" s="15"/>
      <c r="D116661" s="12"/>
      <c r="E116661" s="12"/>
      <c r="F116661" s="13"/>
      <c r="G116661" s="12"/>
      <c r="H116661" s="12"/>
      <c r="I116661" s="12"/>
      <c r="J116661" s="12"/>
      <c r="K116661" s="12"/>
      <c r="L116661" s="208"/>
      <c r="M116661" s="209"/>
      <c r="N116661" s="209"/>
      <c r="O116661" s="209"/>
    </row>
    <row r="116662" spans="1:15" s="210" customFormat="1" x14ac:dyDescent="0.3">
      <c r="A116662" s="12"/>
      <c r="B116662" s="15"/>
      <c r="C116662" s="15"/>
      <c r="D116662" s="12"/>
      <c r="E116662" s="12"/>
      <c r="F116662" s="13"/>
      <c r="G116662" s="12"/>
      <c r="H116662" s="12"/>
      <c r="I116662" s="12"/>
      <c r="J116662" s="12"/>
      <c r="K116662" s="12"/>
      <c r="L116662" s="208"/>
      <c r="M116662" s="209"/>
      <c r="N116662" s="209"/>
      <c r="O116662" s="209"/>
    </row>
    <row r="116663" spans="1:15" s="210" customFormat="1" x14ac:dyDescent="0.3">
      <c r="A116663" s="12"/>
      <c r="B116663" s="15"/>
      <c r="C116663" s="15"/>
      <c r="D116663" s="12"/>
      <c r="E116663" s="12"/>
      <c r="F116663" s="13"/>
      <c r="G116663" s="12"/>
      <c r="H116663" s="12"/>
      <c r="I116663" s="12"/>
      <c r="J116663" s="12"/>
      <c r="K116663" s="12"/>
      <c r="L116663" s="208"/>
      <c r="M116663" s="209"/>
      <c r="N116663" s="209"/>
      <c r="O116663" s="209"/>
    </row>
    <row r="116664" spans="1:15" s="210" customFormat="1" x14ac:dyDescent="0.3">
      <c r="A116664" s="12"/>
      <c r="B116664" s="15"/>
      <c r="C116664" s="15"/>
      <c r="D116664" s="12"/>
      <c r="E116664" s="12"/>
      <c r="F116664" s="13"/>
      <c r="G116664" s="12"/>
      <c r="H116664" s="12"/>
      <c r="I116664" s="12"/>
      <c r="J116664" s="12"/>
      <c r="K116664" s="12"/>
      <c r="L116664" s="208"/>
      <c r="M116664" s="209"/>
      <c r="N116664" s="209"/>
      <c r="O116664" s="209"/>
    </row>
    <row r="116665" spans="1:15" s="210" customFormat="1" x14ac:dyDescent="0.3">
      <c r="A116665" s="12"/>
      <c r="B116665" s="15"/>
      <c r="C116665" s="15"/>
      <c r="D116665" s="12"/>
      <c r="E116665" s="12"/>
      <c r="F116665" s="13"/>
      <c r="G116665" s="12"/>
      <c r="H116665" s="12"/>
      <c r="I116665" s="12"/>
      <c r="J116665" s="12"/>
      <c r="K116665" s="12"/>
      <c r="L116665" s="208"/>
      <c r="M116665" s="209"/>
      <c r="N116665" s="209"/>
      <c r="O116665" s="209"/>
    </row>
    <row r="116666" spans="1:15" s="210" customFormat="1" x14ac:dyDescent="0.3">
      <c r="A116666" s="12"/>
      <c r="B116666" s="15"/>
      <c r="C116666" s="15"/>
      <c r="D116666" s="12"/>
      <c r="E116666" s="12"/>
      <c r="F116666" s="13"/>
      <c r="G116666" s="12"/>
      <c r="H116666" s="12"/>
      <c r="I116666" s="12"/>
      <c r="J116666" s="12"/>
      <c r="K116666" s="12"/>
      <c r="L116666" s="208"/>
      <c r="M116666" s="209"/>
      <c r="N116666" s="209"/>
      <c r="O116666" s="209"/>
    </row>
    <row r="116667" spans="1:15" s="210" customFormat="1" x14ac:dyDescent="0.3">
      <c r="A116667" s="12"/>
      <c r="B116667" s="15"/>
      <c r="C116667" s="15"/>
      <c r="D116667" s="12"/>
      <c r="E116667" s="12"/>
      <c r="F116667" s="13"/>
      <c r="G116667" s="12"/>
      <c r="H116667" s="12"/>
      <c r="I116667" s="12"/>
      <c r="J116667" s="12"/>
      <c r="K116667" s="12"/>
      <c r="L116667" s="208"/>
      <c r="M116667" s="209"/>
      <c r="N116667" s="209"/>
      <c r="O116667" s="209"/>
    </row>
    <row r="116668" spans="1:15" s="210" customFormat="1" x14ac:dyDescent="0.3">
      <c r="A116668" s="12"/>
      <c r="B116668" s="15"/>
      <c r="C116668" s="15"/>
      <c r="D116668" s="12"/>
      <c r="E116668" s="12"/>
      <c r="F116668" s="13"/>
      <c r="G116668" s="12"/>
      <c r="H116668" s="12"/>
      <c r="I116668" s="12"/>
      <c r="J116668" s="12"/>
      <c r="K116668" s="12"/>
      <c r="L116668" s="208"/>
      <c r="M116668" s="209"/>
      <c r="N116668" s="209"/>
      <c r="O116668" s="209"/>
    </row>
    <row r="116669" spans="1:15" s="210" customFormat="1" x14ac:dyDescent="0.3">
      <c r="A116669" s="12"/>
      <c r="B116669" s="15"/>
      <c r="C116669" s="15"/>
      <c r="D116669" s="12"/>
      <c r="E116669" s="12"/>
      <c r="F116669" s="13"/>
      <c r="G116669" s="12"/>
      <c r="H116669" s="12"/>
      <c r="I116669" s="12"/>
      <c r="J116669" s="12"/>
      <c r="K116669" s="12"/>
      <c r="L116669" s="208"/>
      <c r="M116669" s="209"/>
      <c r="N116669" s="209"/>
      <c r="O116669" s="209"/>
    </row>
    <row r="116670" spans="1:15" s="210" customFormat="1" x14ac:dyDescent="0.3">
      <c r="A116670" s="12"/>
      <c r="B116670" s="15"/>
      <c r="C116670" s="15"/>
      <c r="D116670" s="12"/>
      <c r="E116670" s="12"/>
      <c r="F116670" s="13"/>
      <c r="G116670" s="12"/>
      <c r="H116670" s="12"/>
      <c r="I116670" s="12"/>
      <c r="J116670" s="12"/>
      <c r="K116670" s="12"/>
      <c r="L116670" s="208"/>
      <c r="M116670" s="209"/>
      <c r="N116670" s="209"/>
      <c r="O116670" s="209"/>
    </row>
    <row r="116671" spans="1:15" s="210" customFormat="1" x14ac:dyDescent="0.3">
      <c r="A116671" s="12"/>
      <c r="B116671" s="15"/>
      <c r="C116671" s="15"/>
      <c r="D116671" s="12"/>
      <c r="E116671" s="12"/>
      <c r="F116671" s="13"/>
      <c r="G116671" s="12"/>
      <c r="H116671" s="12"/>
      <c r="I116671" s="12"/>
      <c r="J116671" s="12"/>
      <c r="K116671" s="12"/>
      <c r="L116671" s="208"/>
      <c r="M116671" s="209"/>
      <c r="N116671" s="209"/>
      <c r="O116671" s="209"/>
    </row>
    <row r="116672" spans="1:15" s="210" customFormat="1" x14ac:dyDescent="0.3">
      <c r="A116672" s="12"/>
      <c r="B116672" s="15"/>
      <c r="C116672" s="15"/>
      <c r="D116672" s="12"/>
      <c r="E116672" s="12"/>
      <c r="F116672" s="13"/>
      <c r="G116672" s="12"/>
      <c r="H116672" s="12"/>
      <c r="I116672" s="12"/>
      <c r="J116672" s="12"/>
      <c r="K116672" s="12"/>
      <c r="L116672" s="208"/>
      <c r="M116672" s="209"/>
      <c r="N116672" s="209"/>
      <c r="O116672" s="209"/>
    </row>
    <row r="116673" spans="1:15" s="210" customFormat="1" x14ac:dyDescent="0.3">
      <c r="A116673" s="12"/>
      <c r="B116673" s="15"/>
      <c r="C116673" s="15"/>
      <c r="D116673" s="12"/>
      <c r="E116673" s="12"/>
      <c r="F116673" s="13"/>
      <c r="G116673" s="12"/>
      <c r="H116673" s="12"/>
      <c r="I116673" s="12"/>
      <c r="J116673" s="12"/>
      <c r="K116673" s="12"/>
      <c r="L116673" s="208"/>
      <c r="M116673" s="209"/>
      <c r="N116673" s="209"/>
      <c r="O116673" s="209"/>
    </row>
    <row r="116674" spans="1:15" s="210" customFormat="1" x14ac:dyDescent="0.3">
      <c r="A116674" s="12"/>
      <c r="B116674" s="15"/>
      <c r="C116674" s="15"/>
      <c r="D116674" s="12"/>
      <c r="E116674" s="12"/>
      <c r="F116674" s="13"/>
      <c r="G116674" s="12"/>
      <c r="H116674" s="12"/>
      <c r="I116674" s="12"/>
      <c r="J116674" s="12"/>
      <c r="K116674" s="12"/>
      <c r="L116674" s="208"/>
      <c r="M116674" s="209"/>
      <c r="N116674" s="209"/>
      <c r="O116674" s="209"/>
    </row>
    <row r="116675" spans="1:15" s="210" customFormat="1" x14ac:dyDescent="0.3">
      <c r="A116675" s="12"/>
      <c r="B116675" s="15"/>
      <c r="C116675" s="15"/>
      <c r="D116675" s="12"/>
      <c r="E116675" s="12"/>
      <c r="F116675" s="13"/>
      <c r="G116675" s="12"/>
      <c r="H116675" s="12"/>
      <c r="I116675" s="12"/>
      <c r="J116675" s="12"/>
      <c r="K116675" s="12"/>
      <c r="L116675" s="208"/>
      <c r="M116675" s="209"/>
      <c r="N116675" s="209"/>
      <c r="O116675" s="209"/>
    </row>
    <row r="116676" spans="1:15" s="210" customFormat="1" x14ac:dyDescent="0.3">
      <c r="A116676" s="12"/>
      <c r="B116676" s="15"/>
      <c r="C116676" s="15"/>
      <c r="D116676" s="12"/>
      <c r="E116676" s="12"/>
      <c r="F116676" s="13"/>
      <c r="G116676" s="12"/>
      <c r="H116676" s="12"/>
      <c r="I116676" s="12"/>
      <c r="J116676" s="12"/>
      <c r="K116676" s="12"/>
      <c r="L116676" s="208"/>
      <c r="M116676" s="209"/>
      <c r="N116676" s="209"/>
      <c r="O116676" s="209"/>
    </row>
    <row r="116677" spans="1:15" s="210" customFormat="1" x14ac:dyDescent="0.3">
      <c r="A116677" s="12"/>
      <c r="B116677" s="15"/>
      <c r="C116677" s="15"/>
      <c r="D116677" s="12"/>
      <c r="E116677" s="12"/>
      <c r="F116677" s="13"/>
      <c r="G116677" s="12"/>
      <c r="H116677" s="12"/>
      <c r="I116677" s="12"/>
      <c r="J116677" s="12"/>
      <c r="K116677" s="12"/>
      <c r="L116677" s="208"/>
      <c r="M116677" s="209"/>
      <c r="N116677" s="209"/>
      <c r="O116677" s="209"/>
    </row>
    <row r="116678" spans="1:15" s="210" customFormat="1" x14ac:dyDescent="0.3">
      <c r="A116678" s="12"/>
      <c r="B116678" s="15"/>
      <c r="C116678" s="15"/>
      <c r="D116678" s="12"/>
      <c r="E116678" s="12"/>
      <c r="F116678" s="13"/>
      <c r="G116678" s="12"/>
      <c r="H116678" s="12"/>
      <c r="I116678" s="12"/>
      <c r="J116678" s="12"/>
      <c r="K116678" s="12"/>
      <c r="L116678" s="208"/>
      <c r="M116678" s="209"/>
      <c r="N116678" s="209"/>
      <c r="O116678" s="209"/>
    </row>
    <row r="116679" spans="1:15" s="210" customFormat="1" x14ac:dyDescent="0.3">
      <c r="A116679" s="12"/>
      <c r="B116679" s="15"/>
      <c r="C116679" s="15"/>
      <c r="D116679" s="12"/>
      <c r="E116679" s="12"/>
      <c r="F116679" s="13"/>
      <c r="G116679" s="12"/>
      <c r="H116679" s="12"/>
      <c r="I116679" s="12"/>
      <c r="J116679" s="12"/>
      <c r="K116679" s="12"/>
      <c r="L116679" s="208"/>
      <c r="M116679" s="209"/>
      <c r="N116679" s="209"/>
      <c r="O116679" s="209"/>
    </row>
    <row r="116680" spans="1:15" s="210" customFormat="1" x14ac:dyDescent="0.3">
      <c r="A116680" s="12"/>
      <c r="B116680" s="15"/>
      <c r="C116680" s="15"/>
      <c r="D116680" s="12"/>
      <c r="E116680" s="12"/>
      <c r="F116680" s="13"/>
      <c r="G116680" s="12"/>
      <c r="H116680" s="12"/>
      <c r="I116680" s="12"/>
      <c r="J116680" s="12"/>
      <c r="K116680" s="12"/>
      <c r="L116680" s="208"/>
      <c r="M116680" s="209"/>
      <c r="N116680" s="209"/>
      <c r="O116680" s="209"/>
    </row>
    <row r="116681" spans="1:15" s="210" customFormat="1" x14ac:dyDescent="0.3">
      <c r="A116681" s="12"/>
      <c r="B116681" s="15"/>
      <c r="C116681" s="15"/>
      <c r="D116681" s="12"/>
      <c r="E116681" s="12"/>
      <c r="F116681" s="13"/>
      <c r="G116681" s="12"/>
      <c r="H116681" s="12"/>
      <c r="I116681" s="12"/>
      <c r="J116681" s="12"/>
      <c r="K116681" s="12"/>
      <c r="L116681" s="208"/>
      <c r="M116681" s="209"/>
      <c r="N116681" s="209"/>
      <c r="O116681" s="209"/>
    </row>
    <row r="116682" spans="1:15" s="210" customFormat="1" x14ac:dyDescent="0.3">
      <c r="A116682" s="12"/>
      <c r="B116682" s="15"/>
      <c r="C116682" s="15"/>
      <c r="D116682" s="12"/>
      <c r="E116682" s="12"/>
      <c r="F116682" s="13"/>
      <c r="G116682" s="12"/>
      <c r="H116682" s="12"/>
      <c r="I116682" s="12"/>
      <c r="J116682" s="12"/>
      <c r="K116682" s="12"/>
      <c r="L116682" s="208"/>
      <c r="M116682" s="209"/>
      <c r="N116682" s="209"/>
      <c r="O116682" s="209"/>
    </row>
    <row r="116683" spans="1:15" s="210" customFormat="1" x14ac:dyDescent="0.3">
      <c r="A116683" s="12"/>
      <c r="B116683" s="15"/>
      <c r="C116683" s="15"/>
      <c r="D116683" s="12"/>
      <c r="E116683" s="12"/>
      <c r="F116683" s="13"/>
      <c r="G116683" s="12"/>
      <c r="H116683" s="12"/>
      <c r="I116683" s="12"/>
      <c r="J116683" s="12"/>
      <c r="K116683" s="12"/>
      <c r="L116683" s="208"/>
      <c r="M116683" s="209"/>
      <c r="N116683" s="209"/>
      <c r="O116683" s="209"/>
    </row>
    <row r="116684" spans="1:15" s="210" customFormat="1" x14ac:dyDescent="0.3">
      <c r="A116684" s="12"/>
      <c r="B116684" s="15"/>
      <c r="C116684" s="15"/>
      <c r="D116684" s="12"/>
      <c r="E116684" s="12"/>
      <c r="F116684" s="13"/>
      <c r="G116684" s="12"/>
      <c r="H116684" s="12"/>
      <c r="I116684" s="12"/>
      <c r="J116684" s="12"/>
      <c r="K116684" s="12"/>
      <c r="L116684" s="208"/>
      <c r="M116684" s="209"/>
      <c r="N116684" s="209"/>
      <c r="O116684" s="209"/>
    </row>
    <row r="116685" spans="1:15" s="210" customFormat="1" x14ac:dyDescent="0.3">
      <c r="A116685" s="12"/>
      <c r="B116685" s="15"/>
      <c r="C116685" s="15"/>
      <c r="D116685" s="12"/>
      <c r="E116685" s="12"/>
      <c r="F116685" s="13"/>
      <c r="G116685" s="12"/>
      <c r="H116685" s="12"/>
      <c r="I116685" s="12"/>
      <c r="J116685" s="12"/>
      <c r="K116685" s="12"/>
      <c r="L116685" s="208"/>
      <c r="M116685" s="209"/>
      <c r="N116685" s="209"/>
      <c r="O116685" s="209"/>
    </row>
    <row r="116686" spans="1:15" s="210" customFormat="1" x14ac:dyDescent="0.3">
      <c r="A116686" s="12"/>
      <c r="B116686" s="15"/>
      <c r="C116686" s="15"/>
      <c r="D116686" s="12"/>
      <c r="E116686" s="12"/>
      <c r="F116686" s="13"/>
      <c r="G116686" s="12"/>
      <c r="H116686" s="12"/>
      <c r="I116686" s="12"/>
      <c r="J116686" s="12"/>
      <c r="K116686" s="12"/>
      <c r="L116686" s="208"/>
      <c r="M116686" s="209"/>
      <c r="N116686" s="209"/>
      <c r="O116686" s="209"/>
    </row>
    <row r="116687" spans="1:15" s="210" customFormat="1" x14ac:dyDescent="0.3">
      <c r="A116687" s="12"/>
      <c r="B116687" s="15"/>
      <c r="C116687" s="15"/>
      <c r="D116687" s="12"/>
      <c r="E116687" s="12"/>
      <c r="F116687" s="13"/>
      <c r="G116687" s="12"/>
      <c r="H116687" s="12"/>
      <c r="I116687" s="12"/>
      <c r="J116687" s="12"/>
      <c r="K116687" s="12"/>
      <c r="L116687" s="208"/>
      <c r="M116687" s="209"/>
      <c r="N116687" s="209"/>
      <c r="O116687" s="209"/>
    </row>
    <row r="116688" spans="1:15" s="210" customFormat="1" x14ac:dyDescent="0.3">
      <c r="A116688" s="12"/>
      <c r="B116688" s="15"/>
      <c r="C116688" s="15"/>
      <c r="D116688" s="12"/>
      <c r="E116688" s="12"/>
      <c r="F116688" s="13"/>
      <c r="G116688" s="12"/>
      <c r="H116688" s="12"/>
      <c r="I116688" s="12"/>
      <c r="J116688" s="12"/>
      <c r="K116688" s="12"/>
      <c r="L116688" s="208"/>
      <c r="M116688" s="209"/>
      <c r="N116688" s="209"/>
      <c r="O116688" s="209"/>
    </row>
    <row r="116689" spans="1:15" s="210" customFormat="1" x14ac:dyDescent="0.3">
      <c r="A116689" s="12"/>
      <c r="B116689" s="15"/>
      <c r="C116689" s="15"/>
      <c r="D116689" s="12"/>
      <c r="E116689" s="12"/>
      <c r="F116689" s="13"/>
      <c r="G116689" s="12"/>
      <c r="H116689" s="12"/>
      <c r="I116689" s="12"/>
      <c r="J116689" s="12"/>
      <c r="K116689" s="12"/>
      <c r="L116689" s="208"/>
      <c r="M116689" s="209"/>
      <c r="N116689" s="209"/>
      <c r="O116689" s="209"/>
    </row>
    <row r="116690" spans="1:15" s="210" customFormat="1" x14ac:dyDescent="0.3">
      <c r="A116690" s="12"/>
      <c r="B116690" s="15"/>
      <c r="C116690" s="15"/>
      <c r="D116690" s="12"/>
      <c r="E116690" s="12"/>
      <c r="F116690" s="13"/>
      <c r="G116690" s="12"/>
      <c r="H116690" s="12"/>
      <c r="I116690" s="12"/>
      <c r="J116690" s="12"/>
      <c r="K116690" s="12"/>
      <c r="L116690" s="208"/>
      <c r="M116690" s="209"/>
      <c r="N116690" s="209"/>
      <c r="O116690" s="209"/>
    </row>
    <row r="116691" spans="1:15" s="210" customFormat="1" x14ac:dyDescent="0.3">
      <c r="A116691" s="12"/>
      <c r="B116691" s="15"/>
      <c r="C116691" s="15"/>
      <c r="D116691" s="12"/>
      <c r="E116691" s="12"/>
      <c r="F116691" s="13"/>
      <c r="G116691" s="12"/>
      <c r="H116691" s="12"/>
      <c r="I116691" s="12"/>
      <c r="J116691" s="12"/>
      <c r="K116691" s="12"/>
      <c r="L116691" s="208"/>
      <c r="M116691" s="209"/>
      <c r="N116691" s="209"/>
      <c r="O116691" s="209"/>
    </row>
    <row r="116692" spans="1:15" s="210" customFormat="1" x14ac:dyDescent="0.3">
      <c r="A116692" s="12"/>
      <c r="B116692" s="15"/>
      <c r="C116692" s="15"/>
      <c r="D116692" s="12"/>
      <c r="E116692" s="12"/>
      <c r="F116692" s="13"/>
      <c r="G116692" s="12"/>
      <c r="H116692" s="12"/>
      <c r="I116692" s="12"/>
      <c r="J116692" s="12"/>
      <c r="K116692" s="12"/>
      <c r="L116692" s="208"/>
      <c r="M116692" s="209"/>
      <c r="N116692" s="209"/>
      <c r="O116692" s="209"/>
    </row>
    <row r="116693" spans="1:15" s="210" customFormat="1" x14ac:dyDescent="0.3">
      <c r="A116693" s="12"/>
      <c r="B116693" s="15"/>
      <c r="C116693" s="15"/>
      <c r="D116693" s="12"/>
      <c r="E116693" s="12"/>
      <c r="F116693" s="13"/>
      <c r="G116693" s="12"/>
      <c r="H116693" s="12"/>
      <c r="I116693" s="12"/>
      <c r="J116693" s="12"/>
      <c r="K116693" s="12"/>
      <c r="L116693" s="208"/>
      <c r="M116693" s="209"/>
      <c r="N116693" s="209"/>
      <c r="O116693" s="209"/>
    </row>
    <row r="116694" spans="1:15" s="210" customFormat="1" x14ac:dyDescent="0.3">
      <c r="A116694" s="12"/>
      <c r="B116694" s="15"/>
      <c r="C116694" s="15"/>
      <c r="D116694" s="12"/>
      <c r="E116694" s="12"/>
      <c r="F116694" s="13"/>
      <c r="G116694" s="12"/>
      <c r="H116694" s="12"/>
      <c r="I116694" s="12"/>
      <c r="J116694" s="12"/>
      <c r="K116694" s="12"/>
      <c r="L116694" s="208"/>
      <c r="M116694" s="209"/>
      <c r="N116694" s="209"/>
      <c r="O116694" s="209"/>
    </row>
    <row r="116695" spans="1:15" s="210" customFormat="1" x14ac:dyDescent="0.3">
      <c r="A116695" s="12"/>
      <c r="B116695" s="15"/>
      <c r="C116695" s="15"/>
      <c r="D116695" s="12"/>
      <c r="E116695" s="12"/>
      <c r="F116695" s="13"/>
      <c r="G116695" s="12"/>
      <c r="H116695" s="12"/>
      <c r="I116695" s="12"/>
      <c r="J116695" s="12"/>
      <c r="K116695" s="12"/>
      <c r="L116695" s="208"/>
      <c r="M116695" s="209"/>
      <c r="N116695" s="209"/>
      <c r="O116695" s="209"/>
    </row>
    <row r="116696" spans="1:15" s="210" customFormat="1" x14ac:dyDescent="0.3">
      <c r="A116696" s="12"/>
      <c r="B116696" s="15"/>
      <c r="C116696" s="15"/>
      <c r="D116696" s="12"/>
      <c r="E116696" s="12"/>
      <c r="F116696" s="13"/>
      <c r="G116696" s="12"/>
      <c r="H116696" s="12"/>
      <c r="I116696" s="12"/>
      <c r="J116696" s="12"/>
      <c r="K116696" s="12"/>
      <c r="L116696" s="208"/>
      <c r="M116696" s="209"/>
      <c r="N116696" s="209"/>
      <c r="O116696" s="209"/>
    </row>
    <row r="116697" spans="1:15" s="210" customFormat="1" x14ac:dyDescent="0.3">
      <c r="A116697" s="12"/>
      <c r="B116697" s="15"/>
      <c r="C116697" s="15"/>
      <c r="D116697" s="12"/>
      <c r="E116697" s="12"/>
      <c r="F116697" s="13"/>
      <c r="G116697" s="12"/>
      <c r="H116697" s="12"/>
      <c r="I116697" s="12"/>
      <c r="J116697" s="12"/>
      <c r="K116697" s="12"/>
      <c r="L116697" s="208"/>
      <c r="M116697" s="209"/>
      <c r="N116697" s="209"/>
      <c r="O116697" s="209"/>
    </row>
    <row r="116698" spans="1:15" s="210" customFormat="1" x14ac:dyDescent="0.3">
      <c r="A116698" s="12"/>
      <c r="B116698" s="15"/>
      <c r="C116698" s="15"/>
      <c r="D116698" s="12"/>
      <c r="E116698" s="12"/>
      <c r="F116698" s="13"/>
      <c r="G116698" s="12"/>
      <c r="H116698" s="12"/>
      <c r="I116698" s="12"/>
      <c r="J116698" s="12"/>
      <c r="K116698" s="12"/>
      <c r="L116698" s="208"/>
      <c r="M116698" s="209"/>
      <c r="N116698" s="209"/>
      <c r="O116698" s="209"/>
    </row>
    <row r="116699" spans="1:15" s="210" customFormat="1" x14ac:dyDescent="0.3">
      <c r="A116699" s="12"/>
      <c r="B116699" s="15"/>
      <c r="C116699" s="15"/>
      <c r="D116699" s="12"/>
      <c r="E116699" s="12"/>
      <c r="F116699" s="13"/>
      <c r="G116699" s="12"/>
      <c r="H116699" s="12"/>
      <c r="I116699" s="12"/>
      <c r="J116699" s="12"/>
      <c r="K116699" s="12"/>
      <c r="L116699" s="208"/>
      <c r="M116699" s="209"/>
      <c r="N116699" s="209"/>
      <c r="O116699" s="209"/>
    </row>
    <row r="116700" spans="1:15" s="210" customFormat="1" x14ac:dyDescent="0.3">
      <c r="A116700" s="12"/>
      <c r="B116700" s="15"/>
      <c r="C116700" s="15"/>
      <c r="D116700" s="12"/>
      <c r="E116700" s="12"/>
      <c r="F116700" s="13"/>
      <c r="G116700" s="12"/>
      <c r="H116700" s="12"/>
      <c r="I116700" s="12"/>
      <c r="J116700" s="12"/>
      <c r="K116700" s="12"/>
      <c r="L116700" s="208"/>
      <c r="M116700" s="209"/>
      <c r="N116700" s="209"/>
      <c r="O116700" s="209"/>
    </row>
    <row r="116701" spans="1:15" s="210" customFormat="1" x14ac:dyDescent="0.3">
      <c r="A116701" s="12"/>
      <c r="B116701" s="15"/>
      <c r="C116701" s="15"/>
      <c r="D116701" s="12"/>
      <c r="E116701" s="12"/>
      <c r="F116701" s="13"/>
      <c r="G116701" s="12"/>
      <c r="H116701" s="12"/>
      <c r="I116701" s="12"/>
      <c r="J116701" s="12"/>
      <c r="K116701" s="12"/>
      <c r="L116701" s="208"/>
      <c r="M116701" s="209"/>
      <c r="N116701" s="209"/>
      <c r="O116701" s="209"/>
    </row>
    <row r="116702" spans="1:15" s="210" customFormat="1" x14ac:dyDescent="0.3">
      <c r="A116702" s="12"/>
      <c r="B116702" s="15"/>
      <c r="C116702" s="15"/>
      <c r="D116702" s="12"/>
      <c r="E116702" s="12"/>
      <c r="F116702" s="13"/>
      <c r="G116702" s="12"/>
      <c r="H116702" s="12"/>
      <c r="I116702" s="12"/>
      <c r="J116702" s="12"/>
      <c r="K116702" s="12"/>
      <c r="L116702" s="208"/>
      <c r="M116702" s="209"/>
      <c r="N116702" s="209"/>
      <c r="O116702" s="209"/>
    </row>
    <row r="116703" spans="1:15" s="210" customFormat="1" x14ac:dyDescent="0.3">
      <c r="A116703" s="12"/>
      <c r="B116703" s="15"/>
      <c r="C116703" s="15"/>
      <c r="D116703" s="12"/>
      <c r="E116703" s="12"/>
      <c r="F116703" s="13"/>
      <c r="G116703" s="12"/>
      <c r="H116703" s="12"/>
      <c r="I116703" s="12"/>
      <c r="J116703" s="12"/>
      <c r="K116703" s="12"/>
      <c r="L116703" s="208"/>
      <c r="M116703" s="209"/>
      <c r="N116703" s="209"/>
      <c r="O116703" s="209"/>
    </row>
    <row r="116704" spans="1:15" s="210" customFormat="1" x14ac:dyDescent="0.3">
      <c r="A116704" s="12"/>
      <c r="B116704" s="15"/>
      <c r="C116704" s="15"/>
      <c r="D116704" s="12"/>
      <c r="E116704" s="12"/>
      <c r="F116704" s="13"/>
      <c r="G116704" s="12"/>
      <c r="H116704" s="12"/>
      <c r="I116704" s="12"/>
      <c r="J116704" s="12"/>
      <c r="K116704" s="12"/>
      <c r="L116704" s="208"/>
      <c r="M116704" s="209"/>
      <c r="N116704" s="209"/>
      <c r="O116704" s="209"/>
    </row>
    <row r="116705" spans="1:15" s="210" customFormat="1" x14ac:dyDescent="0.3">
      <c r="A116705" s="12"/>
      <c r="B116705" s="15"/>
      <c r="C116705" s="15"/>
      <c r="D116705" s="12"/>
      <c r="E116705" s="12"/>
      <c r="F116705" s="13"/>
      <c r="G116705" s="12"/>
      <c r="H116705" s="12"/>
      <c r="I116705" s="12"/>
      <c r="J116705" s="12"/>
      <c r="K116705" s="12"/>
      <c r="L116705" s="208"/>
      <c r="M116705" s="209"/>
      <c r="N116705" s="209"/>
      <c r="O116705" s="209"/>
    </row>
    <row r="116706" spans="1:15" s="210" customFormat="1" x14ac:dyDescent="0.3">
      <c r="A116706" s="12"/>
      <c r="B116706" s="15"/>
      <c r="C116706" s="15"/>
      <c r="D116706" s="12"/>
      <c r="E116706" s="12"/>
      <c r="F116706" s="13"/>
      <c r="G116706" s="12"/>
      <c r="H116706" s="12"/>
      <c r="I116706" s="12"/>
      <c r="J116706" s="12"/>
      <c r="K116706" s="12"/>
      <c r="L116706" s="208"/>
      <c r="M116706" s="209"/>
      <c r="N116706" s="209"/>
      <c r="O116706" s="209"/>
    </row>
    <row r="116707" spans="1:15" s="210" customFormat="1" x14ac:dyDescent="0.3">
      <c r="A116707" s="12"/>
      <c r="B116707" s="15"/>
      <c r="C116707" s="15"/>
      <c r="D116707" s="12"/>
      <c r="E116707" s="12"/>
      <c r="F116707" s="13"/>
      <c r="G116707" s="12"/>
      <c r="H116707" s="12"/>
      <c r="I116707" s="12"/>
      <c r="J116707" s="12"/>
      <c r="K116707" s="12"/>
      <c r="L116707" s="208"/>
      <c r="M116707" s="209"/>
      <c r="N116707" s="209"/>
      <c r="O116707" s="209"/>
    </row>
    <row r="116708" spans="1:15" s="210" customFormat="1" x14ac:dyDescent="0.3">
      <c r="A116708" s="12"/>
      <c r="B116708" s="15"/>
      <c r="C116708" s="15"/>
      <c r="D116708" s="12"/>
      <c r="E116708" s="12"/>
      <c r="F116708" s="13"/>
      <c r="G116708" s="12"/>
      <c r="H116708" s="12"/>
      <c r="I116708" s="12"/>
      <c r="J116708" s="12"/>
      <c r="K116708" s="12"/>
      <c r="L116708" s="208"/>
      <c r="M116708" s="209"/>
      <c r="N116708" s="209"/>
      <c r="O116708" s="209"/>
    </row>
    <row r="116709" spans="1:15" s="210" customFormat="1" x14ac:dyDescent="0.3">
      <c r="A116709" s="12"/>
      <c r="B116709" s="15"/>
      <c r="C116709" s="15"/>
      <c r="D116709" s="12"/>
      <c r="E116709" s="12"/>
      <c r="F116709" s="13"/>
      <c r="G116709" s="12"/>
      <c r="H116709" s="12"/>
      <c r="I116709" s="12"/>
      <c r="J116709" s="12"/>
      <c r="K116709" s="12"/>
      <c r="L116709" s="208"/>
      <c r="M116709" s="209"/>
      <c r="N116709" s="209"/>
      <c r="O116709" s="209"/>
    </row>
    <row r="116710" spans="1:15" s="210" customFormat="1" x14ac:dyDescent="0.3">
      <c r="A116710" s="12"/>
      <c r="B116710" s="15"/>
      <c r="C116710" s="15"/>
      <c r="D116710" s="12"/>
      <c r="E116710" s="12"/>
      <c r="F116710" s="13"/>
      <c r="G116710" s="12"/>
      <c r="H116710" s="12"/>
      <c r="I116710" s="12"/>
      <c r="J116710" s="12"/>
      <c r="K116710" s="12"/>
      <c r="L116710" s="208"/>
      <c r="M116710" s="209"/>
      <c r="N116710" s="209"/>
      <c r="O116710" s="209"/>
    </row>
    <row r="116711" spans="1:15" s="210" customFormat="1" x14ac:dyDescent="0.3">
      <c r="A116711" s="12"/>
      <c r="B116711" s="15"/>
      <c r="C116711" s="15"/>
      <c r="D116711" s="12"/>
      <c r="E116711" s="12"/>
      <c r="F116711" s="13"/>
      <c r="G116711" s="12"/>
      <c r="H116711" s="12"/>
      <c r="I116711" s="12"/>
      <c r="J116711" s="12"/>
      <c r="K116711" s="12"/>
      <c r="L116711" s="208"/>
      <c r="M116711" s="209"/>
      <c r="N116711" s="209"/>
      <c r="O116711" s="209"/>
    </row>
    <row r="116712" spans="1:15" s="210" customFormat="1" x14ac:dyDescent="0.3">
      <c r="A116712" s="12"/>
      <c r="B116712" s="15"/>
      <c r="C116712" s="15"/>
      <c r="D116712" s="12"/>
      <c r="E116712" s="12"/>
      <c r="F116712" s="13"/>
      <c r="G116712" s="12"/>
      <c r="H116712" s="12"/>
      <c r="I116712" s="12"/>
      <c r="J116712" s="12"/>
      <c r="K116712" s="12"/>
      <c r="L116712" s="208"/>
      <c r="M116712" s="209"/>
      <c r="N116712" s="209"/>
      <c r="O116712" s="209"/>
    </row>
    <row r="116713" spans="1:15" s="210" customFormat="1" x14ac:dyDescent="0.3">
      <c r="A116713" s="12"/>
      <c r="B116713" s="15"/>
      <c r="C116713" s="15"/>
      <c r="D116713" s="12"/>
      <c r="E116713" s="12"/>
      <c r="F116713" s="13"/>
      <c r="G116713" s="12"/>
      <c r="H116713" s="12"/>
      <c r="I116713" s="12"/>
      <c r="J116713" s="12"/>
      <c r="K116713" s="12"/>
      <c r="L116713" s="208"/>
      <c r="M116713" s="209"/>
      <c r="N116713" s="209"/>
      <c r="O116713" s="209"/>
    </row>
    <row r="116714" spans="1:15" s="210" customFormat="1" x14ac:dyDescent="0.3">
      <c r="A116714" s="12"/>
      <c r="B116714" s="15"/>
      <c r="C116714" s="15"/>
      <c r="D116714" s="12"/>
      <c r="E116714" s="12"/>
      <c r="F116714" s="13"/>
      <c r="G116714" s="12"/>
      <c r="H116714" s="12"/>
      <c r="I116714" s="12"/>
      <c r="J116714" s="12"/>
      <c r="K116714" s="12"/>
      <c r="L116714" s="208"/>
      <c r="M116714" s="209"/>
      <c r="N116714" s="209"/>
      <c r="O116714" s="209"/>
    </row>
    <row r="116715" spans="1:15" s="210" customFormat="1" x14ac:dyDescent="0.3">
      <c r="A116715" s="12"/>
      <c r="B116715" s="15"/>
      <c r="C116715" s="15"/>
      <c r="D116715" s="12"/>
      <c r="E116715" s="12"/>
      <c r="F116715" s="13"/>
      <c r="G116715" s="12"/>
      <c r="H116715" s="12"/>
      <c r="I116715" s="12"/>
      <c r="J116715" s="12"/>
      <c r="K116715" s="12"/>
      <c r="L116715" s="208"/>
      <c r="M116715" s="209"/>
      <c r="N116715" s="209"/>
      <c r="O116715" s="209"/>
    </row>
    <row r="116716" spans="1:15" s="210" customFormat="1" x14ac:dyDescent="0.3">
      <c r="A116716" s="12"/>
      <c r="B116716" s="15"/>
      <c r="C116716" s="15"/>
      <c r="D116716" s="12"/>
      <c r="E116716" s="12"/>
      <c r="F116716" s="13"/>
      <c r="G116716" s="12"/>
      <c r="H116716" s="12"/>
      <c r="I116716" s="12"/>
      <c r="J116716" s="12"/>
      <c r="K116716" s="12"/>
      <c r="L116716" s="208"/>
      <c r="M116716" s="209"/>
      <c r="N116716" s="209"/>
      <c r="O116716" s="209"/>
    </row>
    <row r="116717" spans="1:15" s="210" customFormat="1" x14ac:dyDescent="0.3">
      <c r="A116717" s="12"/>
      <c r="B116717" s="15"/>
      <c r="C116717" s="15"/>
      <c r="D116717" s="12"/>
      <c r="E116717" s="12"/>
      <c r="F116717" s="13"/>
      <c r="G116717" s="12"/>
      <c r="H116717" s="12"/>
      <c r="I116717" s="12"/>
      <c r="J116717" s="12"/>
      <c r="K116717" s="12"/>
      <c r="L116717" s="208"/>
      <c r="M116717" s="209"/>
      <c r="N116717" s="209"/>
      <c r="O116717" s="209"/>
    </row>
    <row r="116718" spans="1:15" s="210" customFormat="1" x14ac:dyDescent="0.3">
      <c r="A116718" s="12"/>
      <c r="B116718" s="15"/>
      <c r="C116718" s="15"/>
      <c r="D116718" s="12"/>
      <c r="E116718" s="12"/>
      <c r="F116718" s="13"/>
      <c r="G116718" s="12"/>
      <c r="H116718" s="12"/>
      <c r="I116718" s="12"/>
      <c r="J116718" s="12"/>
      <c r="K116718" s="12"/>
      <c r="L116718" s="208"/>
      <c r="M116718" s="209"/>
      <c r="N116718" s="209"/>
      <c r="O116718" s="209"/>
    </row>
    <row r="116719" spans="1:15" s="210" customFormat="1" x14ac:dyDescent="0.3">
      <c r="A116719" s="12"/>
      <c r="B116719" s="15"/>
      <c r="C116719" s="15"/>
      <c r="D116719" s="12"/>
      <c r="E116719" s="12"/>
      <c r="F116719" s="13"/>
      <c r="G116719" s="12"/>
      <c r="H116719" s="12"/>
      <c r="I116719" s="12"/>
      <c r="J116719" s="12"/>
      <c r="K116719" s="12"/>
      <c r="L116719" s="208"/>
      <c r="M116719" s="209"/>
      <c r="N116719" s="209"/>
      <c r="O116719" s="209"/>
    </row>
    <row r="116720" spans="1:15" s="210" customFormat="1" x14ac:dyDescent="0.3">
      <c r="A116720" s="12"/>
      <c r="B116720" s="15"/>
      <c r="C116720" s="15"/>
      <c r="D116720" s="12"/>
      <c r="E116720" s="12"/>
      <c r="F116720" s="13"/>
      <c r="G116720" s="12"/>
      <c r="H116720" s="12"/>
      <c r="I116720" s="12"/>
      <c r="J116720" s="12"/>
      <c r="K116720" s="12"/>
      <c r="L116720" s="208"/>
      <c r="M116720" s="209"/>
      <c r="N116720" s="209"/>
      <c r="O116720" s="209"/>
    </row>
    <row r="116721" spans="1:15" s="210" customFormat="1" x14ac:dyDescent="0.3">
      <c r="A116721" s="12"/>
      <c r="B116721" s="15"/>
      <c r="C116721" s="15"/>
      <c r="D116721" s="12"/>
      <c r="E116721" s="12"/>
      <c r="F116721" s="13"/>
      <c r="G116721" s="12"/>
      <c r="H116721" s="12"/>
      <c r="I116721" s="12"/>
      <c r="J116721" s="12"/>
      <c r="K116721" s="12"/>
      <c r="L116721" s="208"/>
      <c r="M116721" s="209"/>
      <c r="N116721" s="209"/>
      <c r="O116721" s="209"/>
    </row>
    <row r="116722" spans="1:15" s="210" customFormat="1" x14ac:dyDescent="0.3">
      <c r="A116722" s="12"/>
      <c r="B116722" s="15"/>
      <c r="C116722" s="15"/>
      <c r="D116722" s="12"/>
      <c r="E116722" s="12"/>
      <c r="F116722" s="13"/>
      <c r="G116722" s="12"/>
      <c r="H116722" s="12"/>
      <c r="I116722" s="12"/>
      <c r="J116722" s="12"/>
      <c r="K116722" s="12"/>
      <c r="L116722" s="208"/>
      <c r="M116722" s="209"/>
      <c r="N116722" s="209"/>
      <c r="O116722" s="209"/>
    </row>
    <row r="116723" spans="1:15" s="210" customFormat="1" x14ac:dyDescent="0.3">
      <c r="A116723" s="12"/>
      <c r="B116723" s="15"/>
      <c r="C116723" s="15"/>
      <c r="D116723" s="12"/>
      <c r="E116723" s="12"/>
      <c r="F116723" s="13"/>
      <c r="G116723" s="12"/>
      <c r="H116723" s="12"/>
      <c r="I116723" s="12"/>
      <c r="J116723" s="12"/>
      <c r="K116723" s="12"/>
      <c r="L116723" s="208"/>
      <c r="M116723" s="209"/>
      <c r="N116723" s="209"/>
      <c r="O116723" s="209"/>
    </row>
    <row r="116724" spans="1:15" s="210" customFormat="1" x14ac:dyDescent="0.3">
      <c r="A116724" s="12"/>
      <c r="B116724" s="15"/>
      <c r="C116724" s="15"/>
      <c r="D116724" s="12"/>
      <c r="E116724" s="12"/>
      <c r="F116724" s="13"/>
      <c r="G116724" s="12"/>
      <c r="H116724" s="12"/>
      <c r="I116724" s="12"/>
      <c r="J116724" s="12"/>
      <c r="K116724" s="12"/>
      <c r="L116724" s="208"/>
      <c r="M116724" s="209"/>
      <c r="N116724" s="209"/>
      <c r="O116724" s="209"/>
    </row>
    <row r="116725" spans="1:15" s="210" customFormat="1" x14ac:dyDescent="0.3">
      <c r="A116725" s="12"/>
      <c r="B116725" s="15"/>
      <c r="C116725" s="15"/>
      <c r="D116725" s="12"/>
      <c r="E116725" s="12"/>
      <c r="F116725" s="13"/>
      <c r="G116725" s="12"/>
      <c r="H116725" s="12"/>
      <c r="I116725" s="12"/>
      <c r="J116725" s="12"/>
      <c r="K116725" s="12"/>
      <c r="L116725" s="208"/>
      <c r="M116725" s="209"/>
      <c r="N116725" s="209"/>
      <c r="O116725" s="209"/>
    </row>
    <row r="116726" spans="1:15" s="210" customFormat="1" x14ac:dyDescent="0.3">
      <c r="A116726" s="12"/>
      <c r="B116726" s="15"/>
      <c r="C116726" s="15"/>
      <c r="D116726" s="12"/>
      <c r="E116726" s="12"/>
      <c r="F116726" s="13"/>
      <c r="G116726" s="12"/>
      <c r="H116726" s="12"/>
      <c r="I116726" s="12"/>
      <c r="J116726" s="12"/>
      <c r="K116726" s="12"/>
      <c r="L116726" s="208"/>
      <c r="M116726" s="209"/>
      <c r="N116726" s="209"/>
      <c r="O116726" s="209"/>
    </row>
    <row r="116727" spans="1:15" s="210" customFormat="1" x14ac:dyDescent="0.3">
      <c r="A116727" s="12"/>
      <c r="B116727" s="15"/>
      <c r="C116727" s="15"/>
      <c r="D116727" s="12"/>
      <c r="E116727" s="12"/>
      <c r="F116727" s="13"/>
      <c r="G116727" s="12"/>
      <c r="H116727" s="12"/>
      <c r="I116727" s="12"/>
      <c r="J116727" s="12"/>
      <c r="K116727" s="12"/>
      <c r="L116727" s="208"/>
      <c r="M116727" s="209"/>
      <c r="N116727" s="209"/>
      <c r="O116727" s="209"/>
    </row>
    <row r="116728" spans="1:15" s="210" customFormat="1" x14ac:dyDescent="0.3">
      <c r="A116728" s="12"/>
      <c r="B116728" s="15"/>
      <c r="C116728" s="15"/>
      <c r="D116728" s="12"/>
      <c r="E116728" s="12"/>
      <c r="F116728" s="13"/>
      <c r="G116728" s="12"/>
      <c r="H116728" s="12"/>
      <c r="I116728" s="12"/>
      <c r="J116728" s="12"/>
      <c r="K116728" s="12"/>
      <c r="L116728" s="208"/>
      <c r="M116728" s="209"/>
      <c r="N116728" s="209"/>
      <c r="O116728" s="209"/>
    </row>
    <row r="116729" spans="1:15" s="210" customFormat="1" x14ac:dyDescent="0.3">
      <c r="A116729" s="12"/>
      <c r="B116729" s="15"/>
      <c r="C116729" s="15"/>
      <c r="D116729" s="12"/>
      <c r="E116729" s="12"/>
      <c r="F116729" s="13"/>
      <c r="G116729" s="12"/>
      <c r="H116729" s="12"/>
      <c r="I116729" s="12"/>
      <c r="J116729" s="12"/>
      <c r="K116729" s="12"/>
      <c r="L116729" s="208"/>
      <c r="M116729" s="209"/>
      <c r="N116729" s="209"/>
      <c r="O116729" s="209"/>
    </row>
    <row r="116730" spans="1:15" s="210" customFormat="1" x14ac:dyDescent="0.3">
      <c r="A116730" s="12"/>
      <c r="B116730" s="15"/>
      <c r="C116730" s="15"/>
      <c r="D116730" s="12"/>
      <c r="E116730" s="12"/>
      <c r="F116730" s="13"/>
      <c r="G116730" s="12"/>
      <c r="H116730" s="12"/>
      <c r="I116730" s="12"/>
      <c r="J116730" s="12"/>
      <c r="K116730" s="12"/>
      <c r="L116730" s="208"/>
      <c r="M116730" s="209"/>
      <c r="N116730" s="209"/>
      <c r="O116730" s="209"/>
    </row>
    <row r="116731" spans="1:15" s="210" customFormat="1" x14ac:dyDescent="0.3">
      <c r="A116731" s="12"/>
      <c r="B116731" s="15"/>
      <c r="C116731" s="15"/>
      <c r="D116731" s="12"/>
      <c r="E116731" s="12"/>
      <c r="F116731" s="13"/>
      <c r="G116731" s="12"/>
      <c r="H116731" s="12"/>
      <c r="I116731" s="12"/>
      <c r="J116731" s="12"/>
      <c r="K116731" s="12"/>
      <c r="L116731" s="208"/>
      <c r="M116731" s="209"/>
      <c r="N116731" s="209"/>
      <c r="O116731" s="209"/>
    </row>
    <row r="116732" spans="1:15" s="210" customFormat="1" x14ac:dyDescent="0.3">
      <c r="A116732" s="12"/>
      <c r="B116732" s="15"/>
      <c r="C116732" s="15"/>
      <c r="D116732" s="12"/>
      <c r="E116732" s="12"/>
      <c r="F116732" s="13"/>
      <c r="G116732" s="12"/>
      <c r="H116732" s="12"/>
      <c r="I116732" s="12"/>
      <c r="J116732" s="12"/>
      <c r="K116732" s="12"/>
      <c r="L116732" s="208"/>
      <c r="M116732" s="209"/>
      <c r="N116732" s="209"/>
      <c r="O116732" s="209"/>
    </row>
    <row r="116733" spans="1:15" s="210" customFormat="1" x14ac:dyDescent="0.3">
      <c r="A116733" s="12"/>
      <c r="B116733" s="15"/>
      <c r="C116733" s="15"/>
      <c r="D116733" s="12"/>
      <c r="E116733" s="12"/>
      <c r="F116733" s="13"/>
      <c r="G116733" s="12"/>
      <c r="H116733" s="12"/>
      <c r="I116733" s="12"/>
      <c r="J116733" s="12"/>
      <c r="K116733" s="12"/>
      <c r="L116733" s="208"/>
      <c r="M116733" s="209"/>
      <c r="N116733" s="209"/>
      <c r="O116733" s="209"/>
    </row>
    <row r="116734" spans="1:15" s="210" customFormat="1" x14ac:dyDescent="0.3">
      <c r="A116734" s="12"/>
      <c r="B116734" s="15"/>
      <c r="C116734" s="15"/>
      <c r="D116734" s="12"/>
      <c r="E116734" s="12"/>
      <c r="F116734" s="13"/>
      <c r="G116734" s="12"/>
      <c r="H116734" s="12"/>
      <c r="I116734" s="12"/>
      <c r="J116734" s="12"/>
      <c r="K116734" s="12"/>
      <c r="L116734" s="208"/>
      <c r="M116734" s="209"/>
      <c r="N116734" s="209"/>
      <c r="O116734" s="209"/>
    </row>
    <row r="116735" spans="1:15" s="210" customFormat="1" x14ac:dyDescent="0.3">
      <c r="A116735" s="12"/>
      <c r="B116735" s="15"/>
      <c r="C116735" s="15"/>
      <c r="D116735" s="12"/>
      <c r="E116735" s="12"/>
      <c r="F116735" s="13"/>
      <c r="G116735" s="12"/>
      <c r="H116735" s="12"/>
      <c r="I116735" s="12"/>
      <c r="J116735" s="12"/>
      <c r="K116735" s="12"/>
      <c r="L116735" s="208"/>
      <c r="M116735" s="209"/>
      <c r="N116735" s="209"/>
      <c r="O116735" s="209"/>
    </row>
    <row r="116736" spans="1:15" s="210" customFormat="1" x14ac:dyDescent="0.3">
      <c r="A116736" s="12"/>
      <c r="B116736" s="15"/>
      <c r="C116736" s="15"/>
      <c r="D116736" s="12"/>
      <c r="E116736" s="12"/>
      <c r="F116736" s="13"/>
      <c r="G116736" s="12"/>
      <c r="H116736" s="12"/>
      <c r="I116736" s="12"/>
      <c r="J116736" s="12"/>
      <c r="K116736" s="12"/>
      <c r="L116736" s="208"/>
      <c r="M116736" s="209"/>
      <c r="N116736" s="209"/>
      <c r="O116736" s="209"/>
    </row>
    <row r="116737" spans="1:15" s="210" customFormat="1" x14ac:dyDescent="0.3">
      <c r="A116737" s="12"/>
      <c r="B116737" s="15"/>
      <c r="C116737" s="15"/>
      <c r="D116737" s="12"/>
      <c r="E116737" s="12"/>
      <c r="F116737" s="13"/>
      <c r="G116737" s="12"/>
      <c r="H116737" s="12"/>
      <c r="I116737" s="12"/>
      <c r="J116737" s="12"/>
      <c r="K116737" s="12"/>
      <c r="L116737" s="208"/>
      <c r="M116737" s="209"/>
      <c r="N116737" s="209"/>
      <c r="O116737" s="209"/>
    </row>
    <row r="116738" spans="1:15" s="210" customFormat="1" x14ac:dyDescent="0.3">
      <c r="A116738" s="12"/>
      <c r="B116738" s="15"/>
      <c r="C116738" s="15"/>
      <c r="D116738" s="12"/>
      <c r="E116738" s="12"/>
      <c r="F116738" s="13"/>
      <c r="G116738" s="12"/>
      <c r="H116738" s="12"/>
      <c r="I116738" s="12"/>
      <c r="J116738" s="12"/>
      <c r="K116738" s="12"/>
      <c r="L116738" s="208"/>
      <c r="M116738" s="209"/>
      <c r="N116738" s="209"/>
      <c r="O116738" s="209"/>
    </row>
    <row r="116739" spans="1:15" s="210" customFormat="1" x14ac:dyDescent="0.3">
      <c r="A116739" s="12"/>
      <c r="B116739" s="15"/>
      <c r="C116739" s="15"/>
      <c r="D116739" s="12"/>
      <c r="E116739" s="12"/>
      <c r="F116739" s="13"/>
      <c r="G116739" s="12"/>
      <c r="H116739" s="12"/>
      <c r="I116739" s="12"/>
      <c r="J116739" s="12"/>
      <c r="K116739" s="12"/>
      <c r="L116739" s="208"/>
      <c r="M116739" s="209"/>
      <c r="N116739" s="209"/>
      <c r="O116739" s="209"/>
    </row>
    <row r="116740" spans="1:15" s="210" customFormat="1" x14ac:dyDescent="0.3">
      <c r="A116740" s="12"/>
      <c r="B116740" s="15"/>
      <c r="C116740" s="15"/>
      <c r="D116740" s="12"/>
      <c r="E116740" s="12"/>
      <c r="F116740" s="13"/>
      <c r="G116740" s="12"/>
      <c r="H116740" s="12"/>
      <c r="I116740" s="12"/>
      <c r="J116740" s="12"/>
      <c r="K116740" s="12"/>
      <c r="L116740" s="208"/>
      <c r="M116740" s="209"/>
      <c r="N116740" s="209"/>
      <c r="O116740" s="209"/>
    </row>
    <row r="116741" spans="1:15" s="210" customFormat="1" x14ac:dyDescent="0.3">
      <c r="A116741" s="12"/>
      <c r="B116741" s="15"/>
      <c r="C116741" s="15"/>
      <c r="D116741" s="12"/>
      <c r="E116741" s="12"/>
      <c r="F116741" s="13"/>
      <c r="G116741" s="12"/>
      <c r="H116741" s="12"/>
      <c r="I116741" s="12"/>
      <c r="J116741" s="12"/>
      <c r="K116741" s="12"/>
      <c r="L116741" s="208"/>
      <c r="M116741" s="209"/>
      <c r="N116741" s="209"/>
      <c r="O116741" s="209"/>
    </row>
    <row r="116742" spans="1:15" s="210" customFormat="1" x14ac:dyDescent="0.3">
      <c r="A116742" s="12"/>
      <c r="B116742" s="15"/>
      <c r="C116742" s="15"/>
      <c r="D116742" s="12"/>
      <c r="E116742" s="12"/>
      <c r="F116742" s="13"/>
      <c r="G116742" s="12"/>
      <c r="H116742" s="12"/>
      <c r="I116742" s="12"/>
      <c r="J116742" s="12"/>
      <c r="K116742" s="12"/>
      <c r="L116742" s="208"/>
      <c r="M116742" s="209"/>
      <c r="N116742" s="209"/>
      <c r="O116742" s="209"/>
    </row>
    <row r="116743" spans="1:15" s="210" customFormat="1" x14ac:dyDescent="0.3">
      <c r="A116743" s="12"/>
      <c r="B116743" s="15"/>
      <c r="C116743" s="15"/>
      <c r="D116743" s="12"/>
      <c r="E116743" s="12"/>
      <c r="F116743" s="13"/>
      <c r="G116743" s="12"/>
      <c r="H116743" s="12"/>
      <c r="I116743" s="12"/>
      <c r="J116743" s="12"/>
      <c r="K116743" s="12"/>
      <c r="L116743" s="208"/>
      <c r="M116743" s="209"/>
      <c r="N116743" s="209"/>
      <c r="O116743" s="209"/>
    </row>
    <row r="116744" spans="1:15" s="210" customFormat="1" x14ac:dyDescent="0.3">
      <c r="A116744" s="12"/>
      <c r="B116744" s="15"/>
      <c r="C116744" s="15"/>
      <c r="D116744" s="12"/>
      <c r="E116744" s="12"/>
      <c r="F116744" s="13"/>
      <c r="G116744" s="12"/>
      <c r="H116744" s="12"/>
      <c r="I116744" s="12"/>
      <c r="J116744" s="12"/>
      <c r="K116744" s="12"/>
      <c r="L116744" s="208"/>
      <c r="M116744" s="209"/>
      <c r="N116744" s="209"/>
      <c r="O116744" s="209"/>
    </row>
    <row r="116745" spans="1:15" s="210" customFormat="1" x14ac:dyDescent="0.3">
      <c r="A116745" s="12"/>
      <c r="B116745" s="15"/>
      <c r="C116745" s="15"/>
      <c r="D116745" s="12"/>
      <c r="E116745" s="12"/>
      <c r="F116745" s="13"/>
      <c r="G116745" s="12"/>
      <c r="H116745" s="12"/>
      <c r="I116745" s="12"/>
      <c r="J116745" s="12"/>
      <c r="K116745" s="12"/>
      <c r="L116745" s="208"/>
      <c r="M116745" s="209"/>
      <c r="N116745" s="209"/>
      <c r="O116745" s="209"/>
    </row>
    <row r="116746" spans="1:15" s="210" customFormat="1" x14ac:dyDescent="0.3">
      <c r="A116746" s="12"/>
      <c r="B116746" s="15"/>
      <c r="C116746" s="15"/>
      <c r="D116746" s="12"/>
      <c r="E116746" s="12"/>
      <c r="F116746" s="13"/>
      <c r="G116746" s="12"/>
      <c r="H116746" s="12"/>
      <c r="I116746" s="12"/>
      <c r="J116746" s="12"/>
      <c r="K116746" s="12"/>
      <c r="L116746" s="208"/>
      <c r="M116746" s="209"/>
      <c r="N116746" s="209"/>
      <c r="O116746" s="209"/>
    </row>
    <row r="116747" spans="1:15" s="210" customFormat="1" x14ac:dyDescent="0.3">
      <c r="A116747" s="12"/>
      <c r="B116747" s="15"/>
      <c r="C116747" s="15"/>
      <c r="D116747" s="12"/>
      <c r="E116747" s="12"/>
      <c r="F116747" s="13"/>
      <c r="G116747" s="12"/>
      <c r="H116747" s="12"/>
      <c r="I116747" s="12"/>
      <c r="J116747" s="12"/>
      <c r="K116747" s="12"/>
      <c r="L116747" s="208"/>
      <c r="M116747" s="209"/>
      <c r="N116747" s="209"/>
      <c r="O116747" s="209"/>
    </row>
    <row r="116748" spans="1:15" s="210" customFormat="1" x14ac:dyDescent="0.3">
      <c r="A116748" s="12"/>
      <c r="B116748" s="15"/>
      <c r="C116748" s="15"/>
      <c r="D116748" s="12"/>
      <c r="E116748" s="12"/>
      <c r="F116748" s="13"/>
      <c r="G116748" s="12"/>
      <c r="H116748" s="12"/>
      <c r="I116748" s="12"/>
      <c r="J116748" s="12"/>
      <c r="K116748" s="12"/>
      <c r="L116748" s="208"/>
      <c r="M116748" s="209"/>
      <c r="N116748" s="209"/>
      <c r="O116748" s="209"/>
    </row>
    <row r="116749" spans="1:15" s="210" customFormat="1" x14ac:dyDescent="0.3">
      <c r="A116749" s="12"/>
      <c r="B116749" s="15"/>
      <c r="C116749" s="15"/>
      <c r="D116749" s="12"/>
      <c r="E116749" s="12"/>
      <c r="F116749" s="13"/>
      <c r="G116749" s="12"/>
      <c r="H116749" s="12"/>
      <c r="I116749" s="12"/>
      <c r="J116749" s="12"/>
      <c r="K116749" s="12"/>
      <c r="L116749" s="208"/>
      <c r="M116749" s="209"/>
      <c r="N116749" s="209"/>
      <c r="O116749" s="209"/>
    </row>
    <row r="116750" spans="1:15" s="210" customFormat="1" x14ac:dyDescent="0.3">
      <c r="A116750" s="12"/>
      <c r="B116750" s="15"/>
      <c r="C116750" s="15"/>
      <c r="D116750" s="12"/>
      <c r="E116750" s="12"/>
      <c r="F116750" s="13"/>
      <c r="G116750" s="12"/>
      <c r="H116750" s="12"/>
      <c r="I116750" s="12"/>
      <c r="J116750" s="12"/>
      <c r="K116750" s="12"/>
      <c r="L116750" s="208"/>
      <c r="M116750" s="209"/>
      <c r="N116750" s="209"/>
      <c r="O116750" s="209"/>
    </row>
    <row r="116751" spans="1:15" s="210" customFormat="1" x14ac:dyDescent="0.3">
      <c r="A116751" s="12"/>
      <c r="B116751" s="15"/>
      <c r="C116751" s="15"/>
      <c r="D116751" s="12"/>
      <c r="E116751" s="12"/>
      <c r="F116751" s="13"/>
      <c r="G116751" s="12"/>
      <c r="H116751" s="12"/>
      <c r="I116751" s="12"/>
      <c r="J116751" s="12"/>
      <c r="K116751" s="12"/>
      <c r="L116751" s="208"/>
      <c r="M116751" s="209"/>
      <c r="N116751" s="209"/>
      <c r="O116751" s="209"/>
    </row>
    <row r="116752" spans="1:15" s="210" customFormat="1" x14ac:dyDescent="0.3">
      <c r="A116752" s="12"/>
      <c r="B116752" s="15"/>
      <c r="C116752" s="15"/>
      <c r="D116752" s="12"/>
      <c r="E116752" s="12"/>
      <c r="F116752" s="13"/>
      <c r="G116752" s="12"/>
      <c r="H116752" s="12"/>
      <c r="I116752" s="12"/>
      <c r="J116752" s="12"/>
      <c r="K116752" s="12"/>
      <c r="L116752" s="208"/>
      <c r="M116752" s="209"/>
      <c r="N116752" s="209"/>
      <c r="O116752" s="209"/>
    </row>
    <row r="116753" spans="1:15" s="210" customFormat="1" x14ac:dyDescent="0.3">
      <c r="A116753" s="12"/>
      <c r="B116753" s="15"/>
      <c r="C116753" s="15"/>
      <c r="D116753" s="12"/>
      <c r="E116753" s="12"/>
      <c r="F116753" s="13"/>
      <c r="G116753" s="12"/>
      <c r="H116753" s="12"/>
      <c r="I116753" s="12"/>
      <c r="J116753" s="12"/>
      <c r="K116753" s="12"/>
      <c r="L116753" s="208"/>
      <c r="M116753" s="209"/>
      <c r="N116753" s="209"/>
      <c r="O116753" s="209"/>
    </row>
    <row r="116754" spans="1:15" s="210" customFormat="1" x14ac:dyDescent="0.3">
      <c r="A116754" s="12"/>
      <c r="B116754" s="15"/>
      <c r="C116754" s="15"/>
      <c r="D116754" s="12"/>
      <c r="E116754" s="12"/>
      <c r="F116754" s="13"/>
      <c r="G116754" s="12"/>
      <c r="H116754" s="12"/>
      <c r="I116754" s="12"/>
      <c r="J116754" s="12"/>
      <c r="K116754" s="12"/>
      <c r="L116754" s="208"/>
      <c r="M116754" s="209"/>
      <c r="N116754" s="209"/>
      <c r="O116754" s="209"/>
    </row>
    <row r="116755" spans="1:15" s="210" customFormat="1" x14ac:dyDescent="0.3">
      <c r="A116755" s="12"/>
      <c r="B116755" s="15"/>
      <c r="C116755" s="15"/>
      <c r="D116755" s="12"/>
      <c r="E116755" s="12"/>
      <c r="F116755" s="13"/>
      <c r="G116755" s="12"/>
      <c r="H116755" s="12"/>
      <c r="I116755" s="12"/>
      <c r="J116755" s="12"/>
      <c r="K116755" s="12"/>
      <c r="L116755" s="208"/>
      <c r="M116755" s="209"/>
      <c r="N116755" s="209"/>
      <c r="O116755" s="209"/>
    </row>
    <row r="116756" spans="1:15" s="210" customFormat="1" x14ac:dyDescent="0.3">
      <c r="A116756" s="12"/>
      <c r="B116756" s="15"/>
      <c r="C116756" s="15"/>
      <c r="D116756" s="12"/>
      <c r="E116756" s="12"/>
      <c r="F116756" s="13"/>
      <c r="G116756" s="12"/>
      <c r="H116756" s="12"/>
      <c r="I116756" s="12"/>
      <c r="J116756" s="12"/>
      <c r="K116756" s="12"/>
      <c r="L116756" s="208"/>
      <c r="M116756" s="209"/>
      <c r="N116756" s="209"/>
      <c r="O116756" s="209"/>
    </row>
    <row r="116757" spans="1:15" s="210" customFormat="1" x14ac:dyDescent="0.3">
      <c r="A116757" s="12"/>
      <c r="B116757" s="15"/>
      <c r="C116757" s="15"/>
      <c r="D116757" s="12"/>
      <c r="E116757" s="12"/>
      <c r="F116757" s="13"/>
      <c r="G116757" s="12"/>
      <c r="H116757" s="12"/>
      <c r="I116757" s="12"/>
      <c r="J116757" s="12"/>
      <c r="K116757" s="12"/>
      <c r="L116757" s="208"/>
      <c r="M116757" s="209"/>
      <c r="N116757" s="209"/>
      <c r="O116757" s="209"/>
    </row>
    <row r="116758" spans="1:15" s="210" customFormat="1" x14ac:dyDescent="0.3">
      <c r="A116758" s="12"/>
      <c r="B116758" s="15"/>
      <c r="C116758" s="15"/>
      <c r="D116758" s="12"/>
      <c r="E116758" s="12"/>
      <c r="F116758" s="13"/>
      <c r="G116758" s="12"/>
      <c r="H116758" s="12"/>
      <c r="I116758" s="12"/>
      <c r="J116758" s="12"/>
      <c r="K116758" s="12"/>
      <c r="L116758" s="208"/>
      <c r="M116758" s="209"/>
      <c r="N116758" s="209"/>
      <c r="O116758" s="209"/>
    </row>
    <row r="116759" spans="1:15" s="210" customFormat="1" x14ac:dyDescent="0.3">
      <c r="A116759" s="12"/>
      <c r="B116759" s="15"/>
      <c r="C116759" s="15"/>
      <c r="D116759" s="12"/>
      <c r="E116759" s="12"/>
      <c r="F116759" s="13"/>
      <c r="G116759" s="12"/>
      <c r="H116759" s="12"/>
      <c r="I116759" s="12"/>
      <c r="J116759" s="12"/>
      <c r="K116759" s="12"/>
      <c r="L116759" s="208"/>
      <c r="M116759" s="209"/>
      <c r="N116759" s="209"/>
      <c r="O116759" s="209"/>
    </row>
    <row r="116760" spans="1:15" s="210" customFormat="1" x14ac:dyDescent="0.3">
      <c r="A116760" s="12"/>
      <c r="B116760" s="15"/>
      <c r="C116760" s="15"/>
      <c r="D116760" s="12"/>
      <c r="E116760" s="12"/>
      <c r="F116760" s="13"/>
      <c r="G116760" s="12"/>
      <c r="H116760" s="12"/>
      <c r="I116760" s="12"/>
      <c r="J116760" s="12"/>
      <c r="K116760" s="12"/>
      <c r="L116760" s="208"/>
      <c r="M116760" s="209"/>
      <c r="N116760" s="209"/>
      <c r="O116760" s="209"/>
    </row>
    <row r="116761" spans="1:15" s="210" customFormat="1" x14ac:dyDescent="0.3">
      <c r="A116761" s="12"/>
      <c r="B116761" s="15"/>
      <c r="C116761" s="15"/>
      <c r="D116761" s="12"/>
      <c r="E116761" s="12"/>
      <c r="F116761" s="13"/>
      <c r="G116761" s="12"/>
      <c r="H116761" s="12"/>
      <c r="I116761" s="12"/>
      <c r="J116761" s="12"/>
      <c r="K116761" s="12"/>
      <c r="L116761" s="208"/>
      <c r="M116761" s="209"/>
      <c r="N116761" s="209"/>
      <c r="O116761" s="209"/>
    </row>
    <row r="116762" spans="1:15" s="210" customFormat="1" x14ac:dyDescent="0.3">
      <c r="A116762" s="12"/>
      <c r="B116762" s="15"/>
      <c r="C116762" s="15"/>
      <c r="D116762" s="12"/>
      <c r="E116762" s="12"/>
      <c r="F116762" s="13"/>
      <c r="G116762" s="12"/>
      <c r="H116762" s="12"/>
      <c r="I116762" s="12"/>
      <c r="J116762" s="12"/>
      <c r="K116762" s="12"/>
      <c r="L116762" s="208"/>
      <c r="M116762" s="209"/>
      <c r="N116762" s="209"/>
      <c r="O116762" s="209"/>
    </row>
    <row r="116763" spans="1:15" s="210" customFormat="1" x14ac:dyDescent="0.3">
      <c r="A116763" s="12"/>
      <c r="B116763" s="15"/>
      <c r="C116763" s="15"/>
      <c r="D116763" s="12"/>
      <c r="E116763" s="12"/>
      <c r="F116763" s="13"/>
      <c r="G116763" s="12"/>
      <c r="H116763" s="12"/>
      <c r="I116763" s="12"/>
      <c r="J116763" s="12"/>
      <c r="K116763" s="12"/>
      <c r="L116763" s="208"/>
      <c r="M116763" s="209"/>
      <c r="N116763" s="209"/>
      <c r="O116763" s="209"/>
    </row>
    <row r="116764" spans="1:15" s="210" customFormat="1" x14ac:dyDescent="0.3">
      <c r="A116764" s="12"/>
      <c r="B116764" s="15"/>
      <c r="C116764" s="15"/>
      <c r="D116764" s="12"/>
      <c r="E116764" s="12"/>
      <c r="F116764" s="13"/>
      <c r="G116764" s="12"/>
      <c r="H116764" s="12"/>
      <c r="I116764" s="12"/>
      <c r="J116764" s="12"/>
      <c r="K116764" s="12"/>
      <c r="L116764" s="208"/>
      <c r="M116764" s="209"/>
      <c r="N116764" s="209"/>
      <c r="O116764" s="209"/>
    </row>
    <row r="116765" spans="1:15" s="210" customFormat="1" x14ac:dyDescent="0.3">
      <c r="A116765" s="12"/>
      <c r="B116765" s="15"/>
      <c r="C116765" s="15"/>
      <c r="D116765" s="12"/>
      <c r="E116765" s="12"/>
      <c r="F116765" s="13"/>
      <c r="G116765" s="12"/>
      <c r="H116765" s="12"/>
      <c r="I116765" s="12"/>
      <c r="J116765" s="12"/>
      <c r="K116765" s="12"/>
      <c r="L116765" s="208"/>
      <c r="M116765" s="209"/>
      <c r="N116765" s="209"/>
      <c r="O116765" s="209"/>
    </row>
    <row r="116766" spans="1:15" s="210" customFormat="1" x14ac:dyDescent="0.3">
      <c r="A116766" s="12"/>
      <c r="B116766" s="15"/>
      <c r="C116766" s="15"/>
      <c r="D116766" s="12"/>
      <c r="E116766" s="12"/>
      <c r="F116766" s="13"/>
      <c r="G116766" s="12"/>
      <c r="H116766" s="12"/>
      <c r="I116766" s="12"/>
      <c r="J116766" s="12"/>
      <c r="K116766" s="12"/>
      <c r="L116766" s="208"/>
      <c r="M116766" s="209"/>
      <c r="N116766" s="209"/>
      <c r="O116766" s="209"/>
    </row>
    <row r="116767" spans="1:15" s="210" customFormat="1" x14ac:dyDescent="0.3">
      <c r="A116767" s="12"/>
      <c r="B116767" s="15"/>
      <c r="C116767" s="15"/>
      <c r="D116767" s="12"/>
      <c r="E116767" s="12"/>
      <c r="F116767" s="13"/>
      <c r="G116767" s="12"/>
      <c r="H116767" s="12"/>
      <c r="I116767" s="12"/>
      <c r="J116767" s="12"/>
      <c r="K116767" s="12"/>
      <c r="L116767" s="208"/>
      <c r="M116767" s="209"/>
      <c r="N116767" s="209"/>
      <c r="O116767" s="209"/>
    </row>
    <row r="116768" spans="1:15" s="210" customFormat="1" x14ac:dyDescent="0.3">
      <c r="A116768" s="12"/>
      <c r="B116768" s="15"/>
      <c r="C116768" s="15"/>
      <c r="D116768" s="12"/>
      <c r="E116768" s="12"/>
      <c r="F116768" s="13"/>
      <c r="G116768" s="12"/>
      <c r="H116768" s="12"/>
      <c r="I116768" s="12"/>
      <c r="J116768" s="12"/>
      <c r="K116768" s="12"/>
      <c r="L116768" s="208"/>
      <c r="M116768" s="209"/>
      <c r="N116768" s="209"/>
      <c r="O116768" s="209"/>
    </row>
    <row r="116769" spans="1:15" s="210" customFormat="1" x14ac:dyDescent="0.3">
      <c r="A116769" s="12"/>
      <c r="B116769" s="15"/>
      <c r="C116769" s="15"/>
      <c r="D116769" s="12"/>
      <c r="E116769" s="12"/>
      <c r="F116769" s="13"/>
      <c r="G116769" s="12"/>
      <c r="H116769" s="12"/>
      <c r="I116769" s="12"/>
      <c r="J116769" s="12"/>
      <c r="K116769" s="12"/>
      <c r="L116769" s="208"/>
      <c r="M116769" s="209"/>
      <c r="N116769" s="209"/>
      <c r="O116769" s="209"/>
    </row>
    <row r="116770" spans="1:15" s="210" customFormat="1" x14ac:dyDescent="0.3">
      <c r="A116770" s="12"/>
      <c r="B116770" s="15"/>
      <c r="C116770" s="15"/>
      <c r="D116770" s="12"/>
      <c r="E116770" s="12"/>
      <c r="F116770" s="13"/>
      <c r="G116770" s="12"/>
      <c r="H116770" s="12"/>
      <c r="I116770" s="12"/>
      <c r="J116770" s="12"/>
      <c r="K116770" s="12"/>
      <c r="L116770" s="208"/>
      <c r="M116770" s="209"/>
      <c r="N116770" s="209"/>
      <c r="O116770" s="209"/>
    </row>
    <row r="116771" spans="1:15" s="210" customFormat="1" x14ac:dyDescent="0.3">
      <c r="A116771" s="12"/>
      <c r="B116771" s="15"/>
      <c r="C116771" s="15"/>
      <c r="D116771" s="12"/>
      <c r="E116771" s="12"/>
      <c r="F116771" s="13"/>
      <c r="G116771" s="12"/>
      <c r="H116771" s="12"/>
      <c r="I116771" s="12"/>
      <c r="J116771" s="12"/>
      <c r="K116771" s="12"/>
      <c r="L116771" s="208"/>
      <c r="M116771" s="209"/>
      <c r="N116771" s="209"/>
      <c r="O116771" s="209"/>
    </row>
    <row r="116772" spans="1:15" s="210" customFormat="1" x14ac:dyDescent="0.3">
      <c r="A116772" s="12"/>
      <c r="B116772" s="15"/>
      <c r="C116772" s="15"/>
      <c r="D116772" s="12"/>
      <c r="E116772" s="12"/>
      <c r="F116772" s="13"/>
      <c r="G116772" s="12"/>
      <c r="H116772" s="12"/>
      <c r="I116772" s="12"/>
      <c r="J116772" s="12"/>
      <c r="K116772" s="12"/>
      <c r="L116772" s="208"/>
      <c r="M116772" s="209"/>
      <c r="N116772" s="209"/>
      <c r="O116772" s="209"/>
    </row>
    <row r="116773" spans="1:15" s="210" customFormat="1" x14ac:dyDescent="0.3">
      <c r="A116773" s="12"/>
      <c r="B116773" s="15"/>
      <c r="C116773" s="15"/>
      <c r="D116773" s="12"/>
      <c r="E116773" s="12"/>
      <c r="F116773" s="13"/>
      <c r="G116773" s="12"/>
      <c r="H116773" s="12"/>
      <c r="I116773" s="12"/>
      <c r="J116773" s="12"/>
      <c r="K116773" s="12"/>
      <c r="L116773" s="208"/>
      <c r="M116773" s="209"/>
      <c r="N116773" s="209"/>
      <c r="O116773" s="209"/>
    </row>
    <row r="116774" spans="1:15" s="210" customFormat="1" x14ac:dyDescent="0.3">
      <c r="A116774" s="12"/>
      <c r="B116774" s="15"/>
      <c r="C116774" s="15"/>
      <c r="D116774" s="12"/>
      <c r="E116774" s="12"/>
      <c r="F116774" s="13"/>
      <c r="G116774" s="12"/>
      <c r="H116774" s="12"/>
      <c r="I116774" s="12"/>
      <c r="J116774" s="12"/>
      <c r="K116774" s="12"/>
      <c r="L116774" s="208"/>
      <c r="M116774" s="209"/>
      <c r="N116774" s="209"/>
      <c r="O116774" s="209"/>
    </row>
    <row r="116775" spans="1:15" s="210" customFormat="1" x14ac:dyDescent="0.3">
      <c r="A116775" s="12"/>
      <c r="B116775" s="15"/>
      <c r="C116775" s="15"/>
      <c r="D116775" s="12"/>
      <c r="E116775" s="12"/>
      <c r="F116775" s="13"/>
      <c r="G116775" s="12"/>
      <c r="H116775" s="12"/>
      <c r="I116775" s="12"/>
      <c r="J116775" s="12"/>
      <c r="K116775" s="12"/>
      <c r="L116775" s="208"/>
      <c r="M116775" s="209"/>
      <c r="N116775" s="209"/>
      <c r="O116775" s="209"/>
    </row>
    <row r="116776" spans="1:15" s="210" customFormat="1" x14ac:dyDescent="0.3">
      <c r="A116776" s="12"/>
      <c r="B116776" s="15"/>
      <c r="C116776" s="15"/>
      <c r="D116776" s="12"/>
      <c r="E116776" s="12"/>
      <c r="F116776" s="13"/>
      <c r="G116776" s="12"/>
      <c r="H116776" s="12"/>
      <c r="I116776" s="12"/>
      <c r="J116776" s="12"/>
      <c r="K116776" s="12"/>
      <c r="L116776" s="208"/>
      <c r="M116776" s="209"/>
      <c r="N116776" s="209"/>
      <c r="O116776" s="209"/>
    </row>
    <row r="116777" spans="1:15" s="210" customFormat="1" x14ac:dyDescent="0.3">
      <c r="A116777" s="12"/>
      <c r="B116777" s="15"/>
      <c r="C116777" s="15"/>
      <c r="D116777" s="12"/>
      <c r="E116777" s="12"/>
      <c r="F116777" s="13"/>
      <c r="G116777" s="12"/>
      <c r="H116777" s="12"/>
      <c r="I116777" s="12"/>
      <c r="J116777" s="12"/>
      <c r="K116777" s="12"/>
      <c r="L116777" s="208"/>
      <c r="M116777" s="209"/>
      <c r="N116777" s="209"/>
      <c r="O116777" s="209"/>
    </row>
    <row r="116778" spans="1:15" s="210" customFormat="1" x14ac:dyDescent="0.3">
      <c r="A116778" s="12"/>
      <c r="B116778" s="15"/>
      <c r="C116778" s="15"/>
      <c r="D116778" s="12"/>
      <c r="E116778" s="12"/>
      <c r="F116778" s="13"/>
      <c r="G116778" s="12"/>
      <c r="H116778" s="12"/>
      <c r="I116778" s="12"/>
      <c r="J116778" s="12"/>
      <c r="K116778" s="12"/>
      <c r="L116778" s="208"/>
      <c r="M116778" s="209"/>
      <c r="N116778" s="209"/>
      <c r="O116778" s="209"/>
    </row>
    <row r="116779" spans="1:15" s="210" customFormat="1" x14ac:dyDescent="0.3">
      <c r="A116779" s="12"/>
      <c r="B116779" s="15"/>
      <c r="C116779" s="15"/>
      <c r="D116779" s="12"/>
      <c r="E116779" s="12"/>
      <c r="F116779" s="13"/>
      <c r="G116779" s="12"/>
      <c r="H116779" s="12"/>
      <c r="I116779" s="12"/>
      <c r="J116779" s="12"/>
      <c r="K116779" s="12"/>
      <c r="L116779" s="208"/>
      <c r="M116779" s="209"/>
      <c r="N116779" s="209"/>
      <c r="O116779" s="209"/>
    </row>
    <row r="116780" spans="1:15" s="210" customFormat="1" x14ac:dyDescent="0.3">
      <c r="A116780" s="12"/>
      <c r="B116780" s="15"/>
      <c r="C116780" s="15"/>
      <c r="D116780" s="12"/>
      <c r="E116780" s="12"/>
      <c r="F116780" s="13"/>
      <c r="G116780" s="12"/>
      <c r="H116780" s="12"/>
      <c r="I116780" s="12"/>
      <c r="J116780" s="12"/>
      <c r="K116780" s="12"/>
      <c r="L116780" s="208"/>
      <c r="M116780" s="209"/>
      <c r="N116780" s="209"/>
      <c r="O116780" s="209"/>
    </row>
    <row r="116781" spans="1:15" s="210" customFormat="1" x14ac:dyDescent="0.3">
      <c r="A116781" s="12"/>
      <c r="B116781" s="15"/>
      <c r="C116781" s="15"/>
      <c r="D116781" s="12"/>
      <c r="E116781" s="12"/>
      <c r="F116781" s="13"/>
      <c r="G116781" s="12"/>
      <c r="H116781" s="12"/>
      <c r="I116781" s="12"/>
      <c r="J116781" s="12"/>
      <c r="K116781" s="12"/>
      <c r="L116781" s="208"/>
      <c r="M116781" s="209"/>
      <c r="N116781" s="209"/>
      <c r="O116781" s="209"/>
    </row>
    <row r="116782" spans="1:15" s="210" customFormat="1" x14ac:dyDescent="0.3">
      <c r="A116782" s="12"/>
      <c r="B116782" s="15"/>
      <c r="C116782" s="15"/>
      <c r="D116782" s="12"/>
      <c r="E116782" s="12"/>
      <c r="F116782" s="13"/>
      <c r="G116782" s="12"/>
      <c r="H116782" s="12"/>
      <c r="I116782" s="12"/>
      <c r="J116782" s="12"/>
      <c r="K116782" s="12"/>
      <c r="L116782" s="208"/>
      <c r="M116782" s="209"/>
      <c r="N116782" s="209"/>
      <c r="O116782" s="209"/>
    </row>
    <row r="116783" spans="1:15" s="210" customFormat="1" x14ac:dyDescent="0.3">
      <c r="A116783" s="12"/>
      <c r="B116783" s="15"/>
      <c r="C116783" s="15"/>
      <c r="D116783" s="12"/>
      <c r="E116783" s="12"/>
      <c r="F116783" s="13"/>
      <c r="G116783" s="12"/>
      <c r="H116783" s="12"/>
      <c r="I116783" s="12"/>
      <c r="J116783" s="12"/>
      <c r="K116783" s="12"/>
      <c r="L116783" s="208"/>
      <c r="M116783" s="209"/>
      <c r="N116783" s="209"/>
      <c r="O116783" s="209"/>
    </row>
    <row r="116784" spans="1:15" s="210" customFormat="1" x14ac:dyDescent="0.3">
      <c r="A116784" s="12"/>
      <c r="B116784" s="15"/>
      <c r="C116784" s="15"/>
      <c r="D116784" s="12"/>
      <c r="E116784" s="12"/>
      <c r="F116784" s="13"/>
      <c r="G116784" s="12"/>
      <c r="H116784" s="12"/>
      <c r="I116784" s="12"/>
      <c r="J116784" s="12"/>
      <c r="K116784" s="12"/>
      <c r="L116784" s="208"/>
      <c r="M116784" s="209"/>
      <c r="N116784" s="209"/>
      <c r="O116784" s="209"/>
    </row>
    <row r="116785" spans="1:15" s="210" customFormat="1" x14ac:dyDescent="0.3">
      <c r="A116785" s="12"/>
      <c r="B116785" s="15"/>
      <c r="C116785" s="15"/>
      <c r="D116785" s="12"/>
      <c r="E116785" s="12"/>
      <c r="F116785" s="13"/>
      <c r="G116785" s="12"/>
      <c r="H116785" s="12"/>
      <c r="I116785" s="12"/>
      <c r="J116785" s="12"/>
      <c r="K116785" s="12"/>
      <c r="L116785" s="208"/>
      <c r="M116785" s="209"/>
      <c r="N116785" s="209"/>
      <c r="O116785" s="209"/>
    </row>
    <row r="116786" spans="1:15" s="210" customFormat="1" x14ac:dyDescent="0.3">
      <c r="A116786" s="12"/>
      <c r="B116786" s="15"/>
      <c r="C116786" s="15"/>
      <c r="D116786" s="12"/>
      <c r="E116786" s="12"/>
      <c r="F116786" s="13"/>
      <c r="G116786" s="12"/>
      <c r="H116786" s="12"/>
      <c r="I116786" s="12"/>
      <c r="J116786" s="12"/>
      <c r="K116786" s="12"/>
      <c r="L116786" s="208"/>
      <c r="M116786" s="209"/>
      <c r="N116786" s="209"/>
      <c r="O116786" s="209"/>
    </row>
    <row r="116787" spans="1:15" s="210" customFormat="1" x14ac:dyDescent="0.3">
      <c r="A116787" s="12"/>
      <c r="B116787" s="15"/>
      <c r="C116787" s="15"/>
      <c r="D116787" s="12"/>
      <c r="E116787" s="12"/>
      <c r="F116787" s="13"/>
      <c r="G116787" s="12"/>
      <c r="H116787" s="12"/>
      <c r="I116787" s="12"/>
      <c r="J116787" s="12"/>
      <c r="K116787" s="12"/>
      <c r="L116787" s="208"/>
      <c r="M116787" s="209"/>
      <c r="N116787" s="209"/>
      <c r="O116787" s="209"/>
    </row>
    <row r="116788" spans="1:15" s="210" customFormat="1" x14ac:dyDescent="0.3">
      <c r="A116788" s="12"/>
      <c r="B116788" s="15"/>
      <c r="C116788" s="15"/>
      <c r="D116788" s="12"/>
      <c r="E116788" s="12"/>
      <c r="F116788" s="13"/>
      <c r="G116788" s="12"/>
      <c r="H116788" s="12"/>
      <c r="I116788" s="12"/>
      <c r="J116788" s="12"/>
      <c r="K116788" s="12"/>
      <c r="L116788" s="208"/>
      <c r="M116788" s="209"/>
      <c r="N116788" s="209"/>
      <c r="O116788" s="209"/>
    </row>
    <row r="116789" spans="1:15" s="210" customFormat="1" x14ac:dyDescent="0.3">
      <c r="A116789" s="12"/>
      <c r="B116789" s="15"/>
      <c r="C116789" s="15"/>
      <c r="D116789" s="12"/>
      <c r="E116789" s="12"/>
      <c r="F116789" s="13"/>
      <c r="G116789" s="12"/>
      <c r="H116789" s="12"/>
      <c r="I116789" s="12"/>
      <c r="J116789" s="12"/>
      <c r="K116789" s="12"/>
      <c r="L116789" s="208"/>
      <c r="M116789" s="209"/>
      <c r="N116789" s="209"/>
      <c r="O116789" s="209"/>
    </row>
    <row r="116790" spans="1:15" s="210" customFormat="1" x14ac:dyDescent="0.3">
      <c r="A116790" s="12"/>
      <c r="B116790" s="15"/>
      <c r="C116790" s="15"/>
      <c r="D116790" s="12"/>
      <c r="E116790" s="12"/>
      <c r="F116790" s="13"/>
      <c r="G116790" s="12"/>
      <c r="H116790" s="12"/>
      <c r="I116790" s="12"/>
      <c r="J116790" s="12"/>
      <c r="K116790" s="12"/>
      <c r="L116790" s="208"/>
      <c r="M116790" s="209"/>
      <c r="N116790" s="209"/>
      <c r="O116790" s="209"/>
    </row>
    <row r="116791" spans="1:15" s="210" customFormat="1" x14ac:dyDescent="0.3">
      <c r="A116791" s="12"/>
      <c r="B116791" s="15"/>
      <c r="C116791" s="15"/>
      <c r="D116791" s="12"/>
      <c r="E116791" s="12"/>
      <c r="F116791" s="13"/>
      <c r="G116791" s="12"/>
      <c r="H116791" s="12"/>
      <c r="I116791" s="12"/>
      <c r="J116791" s="12"/>
      <c r="K116791" s="12"/>
      <c r="L116791" s="208"/>
      <c r="M116791" s="209"/>
      <c r="N116791" s="209"/>
      <c r="O116791" s="209"/>
    </row>
    <row r="116792" spans="1:15" s="210" customFormat="1" x14ac:dyDescent="0.3">
      <c r="A116792" s="12"/>
      <c r="B116792" s="15"/>
      <c r="C116792" s="15"/>
      <c r="D116792" s="12"/>
      <c r="E116792" s="12"/>
      <c r="F116792" s="13"/>
      <c r="G116792" s="12"/>
      <c r="H116792" s="12"/>
      <c r="I116792" s="12"/>
      <c r="J116792" s="12"/>
      <c r="K116792" s="12"/>
      <c r="L116792" s="208"/>
      <c r="M116792" s="209"/>
      <c r="N116792" s="209"/>
      <c r="O116792" s="209"/>
    </row>
    <row r="116793" spans="1:15" s="210" customFormat="1" x14ac:dyDescent="0.3">
      <c r="A116793" s="12"/>
      <c r="B116793" s="15"/>
      <c r="C116793" s="15"/>
      <c r="D116793" s="12"/>
      <c r="E116793" s="12"/>
      <c r="F116793" s="13"/>
      <c r="G116793" s="12"/>
      <c r="H116793" s="12"/>
      <c r="I116793" s="12"/>
      <c r="J116793" s="12"/>
      <c r="K116793" s="12"/>
      <c r="L116793" s="208"/>
      <c r="M116793" s="209"/>
      <c r="N116793" s="209"/>
      <c r="O116793" s="209"/>
    </row>
    <row r="116794" spans="1:15" s="210" customFormat="1" x14ac:dyDescent="0.3">
      <c r="A116794" s="12"/>
      <c r="B116794" s="15"/>
      <c r="C116794" s="15"/>
      <c r="D116794" s="12"/>
      <c r="E116794" s="12"/>
      <c r="F116794" s="13"/>
      <c r="G116794" s="12"/>
      <c r="H116794" s="12"/>
      <c r="I116794" s="12"/>
      <c r="J116794" s="12"/>
      <c r="K116794" s="12"/>
      <c r="L116794" s="208"/>
      <c r="M116794" s="209"/>
      <c r="N116794" s="209"/>
      <c r="O116794" s="209"/>
    </row>
    <row r="116795" spans="1:15" s="210" customFormat="1" x14ac:dyDescent="0.3">
      <c r="A116795" s="12"/>
      <c r="B116795" s="15"/>
      <c r="C116795" s="15"/>
      <c r="D116795" s="12"/>
      <c r="E116795" s="12"/>
      <c r="F116795" s="13"/>
      <c r="G116795" s="12"/>
      <c r="H116795" s="12"/>
      <c r="I116795" s="12"/>
      <c r="J116795" s="12"/>
      <c r="K116795" s="12"/>
      <c r="L116795" s="208"/>
      <c r="M116795" s="209"/>
      <c r="N116795" s="209"/>
      <c r="O116795" s="209"/>
    </row>
    <row r="116796" spans="1:15" s="210" customFormat="1" x14ac:dyDescent="0.3">
      <c r="A116796" s="12"/>
      <c r="B116796" s="15"/>
      <c r="C116796" s="15"/>
      <c r="D116796" s="12"/>
      <c r="E116796" s="12"/>
      <c r="F116796" s="13"/>
      <c r="G116796" s="12"/>
      <c r="H116796" s="12"/>
      <c r="I116796" s="12"/>
      <c r="J116796" s="12"/>
      <c r="K116796" s="12"/>
      <c r="L116796" s="208"/>
      <c r="M116796" s="209"/>
      <c r="N116796" s="209"/>
      <c r="O116796" s="209"/>
    </row>
    <row r="116797" spans="1:15" s="210" customFormat="1" x14ac:dyDescent="0.3">
      <c r="A116797" s="12"/>
      <c r="B116797" s="15"/>
      <c r="C116797" s="15"/>
      <c r="D116797" s="12"/>
      <c r="E116797" s="12"/>
      <c r="F116797" s="13"/>
      <c r="G116797" s="12"/>
      <c r="H116797" s="12"/>
      <c r="I116797" s="12"/>
      <c r="J116797" s="12"/>
      <c r="K116797" s="12"/>
      <c r="L116797" s="208"/>
      <c r="M116797" s="209"/>
      <c r="N116797" s="209"/>
      <c r="O116797" s="209"/>
    </row>
    <row r="116798" spans="1:15" s="210" customFormat="1" x14ac:dyDescent="0.3">
      <c r="A116798" s="12"/>
      <c r="B116798" s="15"/>
      <c r="C116798" s="15"/>
      <c r="D116798" s="12"/>
      <c r="E116798" s="12"/>
      <c r="F116798" s="13"/>
      <c r="G116798" s="12"/>
      <c r="H116798" s="12"/>
      <c r="I116798" s="12"/>
      <c r="J116798" s="12"/>
      <c r="K116798" s="12"/>
      <c r="L116798" s="208"/>
      <c r="M116798" s="209"/>
      <c r="N116798" s="209"/>
      <c r="O116798" s="209"/>
    </row>
    <row r="116799" spans="1:15" s="210" customFormat="1" x14ac:dyDescent="0.3">
      <c r="A116799" s="12"/>
      <c r="B116799" s="15"/>
      <c r="C116799" s="15"/>
      <c r="D116799" s="12"/>
      <c r="E116799" s="12"/>
      <c r="F116799" s="13"/>
      <c r="G116799" s="12"/>
      <c r="H116799" s="12"/>
      <c r="I116799" s="12"/>
      <c r="J116799" s="12"/>
      <c r="K116799" s="12"/>
      <c r="L116799" s="208"/>
      <c r="M116799" s="209"/>
      <c r="N116799" s="209"/>
      <c r="O116799" s="209"/>
    </row>
    <row r="116800" spans="1:15" s="210" customFormat="1" x14ac:dyDescent="0.3">
      <c r="A116800" s="12"/>
      <c r="B116800" s="15"/>
      <c r="C116800" s="15"/>
      <c r="D116800" s="12"/>
      <c r="E116800" s="12"/>
      <c r="F116800" s="13"/>
      <c r="G116800" s="12"/>
      <c r="H116800" s="12"/>
      <c r="I116800" s="12"/>
      <c r="J116800" s="12"/>
      <c r="K116800" s="12"/>
      <c r="L116800" s="208"/>
      <c r="M116800" s="209"/>
      <c r="N116800" s="209"/>
      <c r="O116800" s="209"/>
    </row>
    <row r="116801" spans="1:15" s="210" customFormat="1" x14ac:dyDescent="0.3">
      <c r="A116801" s="12"/>
      <c r="B116801" s="15"/>
      <c r="C116801" s="15"/>
      <c r="D116801" s="12"/>
      <c r="E116801" s="12"/>
      <c r="F116801" s="13"/>
      <c r="G116801" s="12"/>
      <c r="H116801" s="12"/>
      <c r="I116801" s="12"/>
      <c r="J116801" s="12"/>
      <c r="K116801" s="12"/>
      <c r="L116801" s="208"/>
      <c r="M116801" s="209"/>
      <c r="N116801" s="209"/>
      <c r="O116801" s="209"/>
    </row>
    <row r="116802" spans="1:15" s="210" customFormat="1" x14ac:dyDescent="0.3">
      <c r="A116802" s="12"/>
      <c r="B116802" s="15"/>
      <c r="C116802" s="15"/>
      <c r="D116802" s="12"/>
      <c r="E116802" s="12"/>
      <c r="F116802" s="13"/>
      <c r="G116802" s="12"/>
      <c r="H116802" s="12"/>
      <c r="I116802" s="12"/>
      <c r="J116802" s="12"/>
      <c r="K116802" s="12"/>
      <c r="L116802" s="208"/>
      <c r="M116802" s="209"/>
      <c r="N116802" s="209"/>
      <c r="O116802" s="209"/>
    </row>
    <row r="116803" spans="1:15" s="210" customFormat="1" x14ac:dyDescent="0.3">
      <c r="A116803" s="12"/>
      <c r="B116803" s="15"/>
      <c r="C116803" s="15"/>
      <c r="D116803" s="12"/>
      <c r="E116803" s="12"/>
      <c r="F116803" s="13"/>
      <c r="G116803" s="12"/>
      <c r="H116803" s="12"/>
      <c r="I116803" s="12"/>
      <c r="J116803" s="12"/>
      <c r="K116803" s="12"/>
      <c r="L116803" s="208"/>
      <c r="M116803" s="209"/>
      <c r="N116803" s="209"/>
      <c r="O116803" s="209"/>
    </row>
    <row r="116804" spans="1:15" s="210" customFormat="1" x14ac:dyDescent="0.3">
      <c r="A116804" s="12"/>
      <c r="B116804" s="15"/>
      <c r="C116804" s="15"/>
      <c r="D116804" s="12"/>
      <c r="E116804" s="12"/>
      <c r="F116804" s="13"/>
      <c r="G116804" s="12"/>
      <c r="H116804" s="12"/>
      <c r="I116804" s="12"/>
      <c r="J116804" s="12"/>
      <c r="K116804" s="12"/>
      <c r="L116804" s="208"/>
      <c r="M116804" s="209"/>
      <c r="N116804" s="209"/>
      <c r="O116804" s="209"/>
    </row>
    <row r="116805" spans="1:15" s="210" customFormat="1" x14ac:dyDescent="0.3">
      <c r="A116805" s="12"/>
      <c r="B116805" s="15"/>
      <c r="C116805" s="15"/>
      <c r="D116805" s="12"/>
      <c r="E116805" s="12"/>
      <c r="F116805" s="13"/>
      <c r="G116805" s="12"/>
      <c r="H116805" s="12"/>
      <c r="I116805" s="12"/>
      <c r="J116805" s="12"/>
      <c r="K116805" s="12"/>
      <c r="L116805" s="208"/>
      <c r="M116805" s="209"/>
      <c r="N116805" s="209"/>
      <c r="O116805" s="209"/>
    </row>
    <row r="116806" spans="1:15" s="210" customFormat="1" x14ac:dyDescent="0.3">
      <c r="A116806" s="12"/>
      <c r="B116806" s="15"/>
      <c r="C116806" s="15"/>
      <c r="D116806" s="12"/>
      <c r="E116806" s="12"/>
      <c r="F116806" s="13"/>
      <c r="G116806" s="12"/>
      <c r="H116806" s="12"/>
      <c r="I116806" s="12"/>
      <c r="J116806" s="12"/>
      <c r="K116806" s="12"/>
      <c r="L116806" s="208"/>
      <c r="M116806" s="209"/>
      <c r="N116806" s="209"/>
      <c r="O116806" s="209"/>
    </row>
    <row r="116807" spans="1:15" s="210" customFormat="1" x14ac:dyDescent="0.3">
      <c r="A116807" s="12"/>
      <c r="B116807" s="15"/>
      <c r="C116807" s="15"/>
      <c r="D116807" s="12"/>
      <c r="E116807" s="12"/>
      <c r="F116807" s="13"/>
      <c r="G116807" s="12"/>
      <c r="H116807" s="12"/>
      <c r="I116807" s="12"/>
      <c r="J116807" s="12"/>
      <c r="K116807" s="12"/>
      <c r="L116807" s="208"/>
      <c r="M116807" s="209"/>
      <c r="N116807" s="209"/>
      <c r="O116807" s="209"/>
    </row>
    <row r="116808" spans="1:15" s="210" customFormat="1" x14ac:dyDescent="0.3">
      <c r="A116808" s="12"/>
      <c r="B116808" s="15"/>
      <c r="C116808" s="15"/>
      <c r="D116808" s="12"/>
      <c r="E116808" s="12"/>
      <c r="F116808" s="13"/>
      <c r="G116808" s="12"/>
      <c r="H116808" s="12"/>
      <c r="I116808" s="12"/>
      <c r="J116808" s="12"/>
      <c r="K116808" s="12"/>
      <c r="L116808" s="208"/>
      <c r="M116808" s="209"/>
      <c r="N116808" s="209"/>
      <c r="O116808" s="209"/>
    </row>
    <row r="116809" spans="1:15" s="210" customFormat="1" x14ac:dyDescent="0.3">
      <c r="A116809" s="12"/>
      <c r="B116809" s="15"/>
      <c r="C116809" s="15"/>
      <c r="D116809" s="12"/>
      <c r="E116809" s="12"/>
      <c r="F116809" s="13"/>
      <c r="G116809" s="12"/>
      <c r="H116809" s="12"/>
      <c r="I116809" s="12"/>
      <c r="J116809" s="12"/>
      <c r="K116809" s="12"/>
      <c r="L116809" s="208"/>
      <c r="M116809" s="209"/>
      <c r="N116809" s="209"/>
      <c r="O116809" s="209"/>
    </row>
    <row r="116810" spans="1:15" s="210" customFormat="1" x14ac:dyDescent="0.3">
      <c r="A116810" s="12"/>
      <c r="B116810" s="15"/>
      <c r="C116810" s="15"/>
      <c r="D116810" s="12"/>
      <c r="E116810" s="12"/>
      <c r="F116810" s="13"/>
      <c r="G116810" s="12"/>
      <c r="H116810" s="12"/>
      <c r="I116810" s="12"/>
      <c r="J116810" s="12"/>
      <c r="K116810" s="12"/>
      <c r="L116810" s="208"/>
      <c r="M116810" s="209"/>
      <c r="N116810" s="209"/>
      <c r="O116810" s="209"/>
    </row>
    <row r="116811" spans="1:15" s="210" customFormat="1" x14ac:dyDescent="0.3">
      <c r="A116811" s="12"/>
      <c r="B116811" s="15"/>
      <c r="C116811" s="15"/>
      <c r="D116811" s="12"/>
      <c r="E116811" s="12"/>
      <c r="F116811" s="13"/>
      <c r="G116811" s="12"/>
      <c r="H116811" s="12"/>
      <c r="I116811" s="12"/>
      <c r="J116811" s="12"/>
      <c r="K116811" s="12"/>
      <c r="L116811" s="208"/>
      <c r="M116811" s="209"/>
      <c r="N116811" s="209"/>
      <c r="O116811" s="209"/>
    </row>
    <row r="116812" spans="1:15" s="210" customFormat="1" x14ac:dyDescent="0.3">
      <c r="A116812" s="12"/>
      <c r="B116812" s="15"/>
      <c r="C116812" s="15"/>
      <c r="D116812" s="12"/>
      <c r="E116812" s="12"/>
      <c r="F116812" s="13"/>
      <c r="G116812" s="12"/>
      <c r="H116812" s="12"/>
      <c r="I116812" s="12"/>
      <c r="J116812" s="12"/>
      <c r="K116812" s="12"/>
      <c r="L116812" s="208"/>
      <c r="M116812" s="209"/>
      <c r="N116812" s="209"/>
      <c r="O116812" s="209"/>
    </row>
    <row r="116813" spans="1:15" s="210" customFormat="1" x14ac:dyDescent="0.3">
      <c r="A116813" s="12"/>
      <c r="B116813" s="15"/>
      <c r="C116813" s="15"/>
      <c r="D116813" s="12"/>
      <c r="E116813" s="12"/>
      <c r="F116813" s="13"/>
      <c r="G116813" s="12"/>
      <c r="H116813" s="12"/>
      <c r="I116813" s="12"/>
      <c r="J116813" s="12"/>
      <c r="K116813" s="12"/>
      <c r="L116813" s="208"/>
      <c r="M116813" s="209"/>
      <c r="N116813" s="209"/>
      <c r="O116813" s="209"/>
    </row>
    <row r="116814" spans="1:15" s="210" customFormat="1" x14ac:dyDescent="0.3">
      <c r="A116814" s="12"/>
      <c r="B116814" s="15"/>
      <c r="C116814" s="15"/>
      <c r="D116814" s="12"/>
      <c r="E116814" s="12"/>
      <c r="F116814" s="13"/>
      <c r="G116814" s="12"/>
      <c r="H116814" s="12"/>
      <c r="I116814" s="12"/>
      <c r="J116814" s="12"/>
      <c r="K116814" s="12"/>
      <c r="L116814" s="208"/>
      <c r="M116814" s="209"/>
      <c r="N116814" s="209"/>
      <c r="O116814" s="209"/>
    </row>
    <row r="116815" spans="1:15" s="210" customFormat="1" x14ac:dyDescent="0.3">
      <c r="A116815" s="12"/>
      <c r="B116815" s="15"/>
      <c r="C116815" s="15"/>
      <c r="D116815" s="12"/>
      <c r="E116815" s="12"/>
      <c r="F116815" s="13"/>
      <c r="G116815" s="12"/>
      <c r="H116815" s="12"/>
      <c r="I116815" s="12"/>
      <c r="J116815" s="12"/>
      <c r="K116815" s="12"/>
      <c r="L116815" s="208"/>
      <c r="M116815" s="209"/>
      <c r="N116815" s="209"/>
      <c r="O116815" s="209"/>
    </row>
    <row r="116816" spans="1:15" s="210" customFormat="1" x14ac:dyDescent="0.3">
      <c r="A116816" s="12"/>
      <c r="B116816" s="15"/>
      <c r="C116816" s="15"/>
      <c r="D116816" s="12"/>
      <c r="E116816" s="12"/>
      <c r="F116816" s="13"/>
      <c r="G116816" s="12"/>
      <c r="H116816" s="12"/>
      <c r="I116816" s="12"/>
      <c r="J116816" s="12"/>
      <c r="K116816" s="12"/>
      <c r="L116816" s="208"/>
      <c r="M116816" s="209"/>
      <c r="N116816" s="209"/>
      <c r="O116816" s="209"/>
    </row>
    <row r="116817" spans="1:15" s="210" customFormat="1" x14ac:dyDescent="0.3">
      <c r="A116817" s="12"/>
      <c r="B116817" s="15"/>
      <c r="C116817" s="15"/>
      <c r="D116817" s="12"/>
      <c r="E116817" s="12"/>
      <c r="F116817" s="13"/>
      <c r="G116817" s="12"/>
      <c r="H116817" s="12"/>
      <c r="I116817" s="12"/>
      <c r="J116817" s="12"/>
      <c r="K116817" s="12"/>
      <c r="L116817" s="208"/>
      <c r="M116817" s="209"/>
      <c r="N116817" s="209"/>
      <c r="O116817" s="209"/>
    </row>
    <row r="116818" spans="1:15" s="210" customFormat="1" x14ac:dyDescent="0.3">
      <c r="A116818" s="12"/>
      <c r="B116818" s="15"/>
      <c r="C116818" s="15"/>
      <c r="D116818" s="12"/>
      <c r="E116818" s="12"/>
      <c r="F116818" s="13"/>
      <c r="G116818" s="12"/>
      <c r="H116818" s="12"/>
      <c r="I116818" s="12"/>
      <c r="J116818" s="12"/>
      <c r="K116818" s="12"/>
      <c r="L116818" s="208"/>
      <c r="M116818" s="209"/>
      <c r="N116818" s="209"/>
      <c r="O116818" s="209"/>
    </row>
    <row r="116819" spans="1:15" s="210" customFormat="1" x14ac:dyDescent="0.3">
      <c r="A116819" s="12"/>
      <c r="B116819" s="15"/>
      <c r="C116819" s="15"/>
      <c r="D116819" s="12"/>
      <c r="E116819" s="12"/>
      <c r="F116819" s="13"/>
      <c r="G116819" s="12"/>
      <c r="H116819" s="12"/>
      <c r="I116819" s="12"/>
      <c r="J116819" s="12"/>
      <c r="K116819" s="12"/>
      <c r="L116819" s="208"/>
      <c r="M116819" s="209"/>
      <c r="N116819" s="209"/>
      <c r="O116819" s="209"/>
    </row>
    <row r="116820" spans="1:15" s="210" customFormat="1" x14ac:dyDescent="0.3">
      <c r="A116820" s="12"/>
      <c r="B116820" s="15"/>
      <c r="C116820" s="15"/>
      <c r="D116820" s="12"/>
      <c r="E116820" s="12"/>
      <c r="F116820" s="13"/>
      <c r="G116820" s="12"/>
      <c r="H116820" s="12"/>
      <c r="I116820" s="12"/>
      <c r="J116820" s="12"/>
      <c r="K116820" s="12"/>
      <c r="L116820" s="208"/>
      <c r="M116820" s="209"/>
      <c r="N116820" s="209"/>
      <c r="O116820" s="209"/>
    </row>
    <row r="116821" spans="1:15" s="210" customFormat="1" x14ac:dyDescent="0.3">
      <c r="A116821" s="12"/>
      <c r="B116821" s="15"/>
      <c r="C116821" s="15"/>
      <c r="D116821" s="12"/>
      <c r="E116821" s="12"/>
      <c r="F116821" s="13"/>
      <c r="G116821" s="12"/>
      <c r="H116821" s="12"/>
      <c r="I116821" s="12"/>
      <c r="J116821" s="12"/>
      <c r="K116821" s="12"/>
      <c r="L116821" s="208"/>
      <c r="M116821" s="209"/>
      <c r="N116821" s="209"/>
      <c r="O116821" s="209"/>
    </row>
    <row r="116822" spans="1:15" s="210" customFormat="1" x14ac:dyDescent="0.3">
      <c r="A116822" s="12"/>
      <c r="B116822" s="15"/>
      <c r="C116822" s="15"/>
      <c r="D116822" s="12"/>
      <c r="E116822" s="12"/>
      <c r="F116822" s="13"/>
      <c r="G116822" s="12"/>
      <c r="H116822" s="12"/>
      <c r="I116822" s="12"/>
      <c r="J116822" s="12"/>
      <c r="K116822" s="12"/>
      <c r="L116822" s="208"/>
      <c r="M116822" s="209"/>
      <c r="N116822" s="209"/>
      <c r="O116822" s="209"/>
    </row>
    <row r="116823" spans="1:15" s="210" customFormat="1" x14ac:dyDescent="0.3">
      <c r="A116823" s="12"/>
      <c r="B116823" s="15"/>
      <c r="C116823" s="15"/>
      <c r="D116823" s="12"/>
      <c r="E116823" s="12"/>
      <c r="F116823" s="13"/>
      <c r="G116823" s="12"/>
      <c r="H116823" s="12"/>
      <c r="I116823" s="12"/>
      <c r="J116823" s="12"/>
      <c r="K116823" s="12"/>
      <c r="L116823" s="208"/>
      <c r="M116823" s="209"/>
      <c r="N116823" s="209"/>
      <c r="O116823" s="209"/>
    </row>
    <row r="116824" spans="1:15" s="210" customFormat="1" x14ac:dyDescent="0.3">
      <c r="A116824" s="12"/>
      <c r="B116824" s="15"/>
      <c r="C116824" s="15"/>
      <c r="D116824" s="12"/>
      <c r="E116824" s="12"/>
      <c r="F116824" s="13"/>
      <c r="G116824" s="12"/>
      <c r="H116824" s="12"/>
      <c r="I116824" s="12"/>
      <c r="J116824" s="12"/>
      <c r="K116824" s="12"/>
      <c r="L116824" s="208"/>
      <c r="M116824" s="209"/>
      <c r="N116824" s="209"/>
      <c r="O116824" s="209"/>
    </row>
    <row r="116825" spans="1:15" s="210" customFormat="1" x14ac:dyDescent="0.3">
      <c r="A116825" s="12"/>
      <c r="B116825" s="15"/>
      <c r="C116825" s="15"/>
      <c r="D116825" s="12"/>
      <c r="E116825" s="12"/>
      <c r="F116825" s="13"/>
      <c r="G116825" s="12"/>
      <c r="H116825" s="12"/>
      <c r="I116825" s="12"/>
      <c r="J116825" s="12"/>
      <c r="K116825" s="12"/>
      <c r="L116825" s="208"/>
      <c r="M116825" s="209"/>
      <c r="N116825" s="209"/>
      <c r="O116825" s="209"/>
    </row>
    <row r="116826" spans="1:15" s="210" customFormat="1" x14ac:dyDescent="0.3">
      <c r="A116826" s="12"/>
      <c r="B116826" s="15"/>
      <c r="C116826" s="15"/>
      <c r="D116826" s="12"/>
      <c r="E116826" s="12"/>
      <c r="F116826" s="13"/>
      <c r="G116826" s="12"/>
      <c r="H116826" s="12"/>
      <c r="I116826" s="12"/>
      <c r="J116826" s="12"/>
      <c r="K116826" s="12"/>
      <c r="L116826" s="208"/>
      <c r="M116826" s="209"/>
      <c r="N116826" s="209"/>
      <c r="O116826" s="209"/>
    </row>
    <row r="116827" spans="1:15" s="210" customFormat="1" x14ac:dyDescent="0.3">
      <c r="A116827" s="12"/>
      <c r="B116827" s="15"/>
      <c r="C116827" s="15"/>
      <c r="D116827" s="12"/>
      <c r="E116827" s="12"/>
      <c r="F116827" s="13"/>
      <c r="G116827" s="12"/>
      <c r="H116827" s="12"/>
      <c r="I116827" s="12"/>
      <c r="J116827" s="12"/>
      <c r="K116827" s="12"/>
      <c r="L116827" s="208"/>
      <c r="M116827" s="209"/>
      <c r="N116827" s="209"/>
      <c r="O116827" s="209"/>
    </row>
    <row r="116828" spans="1:15" s="210" customFormat="1" x14ac:dyDescent="0.3">
      <c r="A116828" s="12"/>
      <c r="B116828" s="15"/>
      <c r="C116828" s="15"/>
      <c r="D116828" s="12"/>
      <c r="E116828" s="12"/>
      <c r="F116828" s="13"/>
      <c r="G116828" s="12"/>
      <c r="H116828" s="12"/>
      <c r="I116828" s="12"/>
      <c r="J116828" s="12"/>
      <c r="K116828" s="12"/>
      <c r="L116828" s="208"/>
      <c r="M116828" s="209"/>
      <c r="N116828" s="209"/>
      <c r="O116828" s="209"/>
    </row>
    <row r="116829" spans="1:15" s="210" customFormat="1" x14ac:dyDescent="0.3">
      <c r="A116829" s="12"/>
      <c r="B116829" s="15"/>
      <c r="C116829" s="15"/>
      <c r="D116829" s="12"/>
      <c r="E116829" s="12"/>
      <c r="F116829" s="13"/>
      <c r="G116829" s="12"/>
      <c r="H116829" s="12"/>
      <c r="I116829" s="12"/>
      <c r="J116829" s="12"/>
      <c r="K116829" s="12"/>
      <c r="L116829" s="208"/>
      <c r="M116829" s="209"/>
      <c r="N116829" s="209"/>
      <c r="O116829" s="209"/>
    </row>
    <row r="116830" spans="1:15" s="210" customFormat="1" x14ac:dyDescent="0.3">
      <c r="A116830" s="12"/>
      <c r="B116830" s="15"/>
      <c r="C116830" s="15"/>
      <c r="D116830" s="12"/>
      <c r="E116830" s="12"/>
      <c r="F116830" s="13"/>
      <c r="G116830" s="12"/>
      <c r="H116830" s="12"/>
      <c r="I116830" s="12"/>
      <c r="J116830" s="12"/>
      <c r="K116830" s="12"/>
      <c r="L116830" s="208"/>
      <c r="M116830" s="209"/>
      <c r="N116830" s="209"/>
      <c r="O116830" s="209"/>
    </row>
    <row r="116831" spans="1:15" s="210" customFormat="1" x14ac:dyDescent="0.3">
      <c r="A116831" s="12"/>
      <c r="B116831" s="15"/>
      <c r="C116831" s="15"/>
      <c r="D116831" s="12"/>
      <c r="E116831" s="12"/>
      <c r="F116831" s="13"/>
      <c r="G116831" s="12"/>
      <c r="H116831" s="12"/>
      <c r="I116831" s="12"/>
      <c r="J116831" s="12"/>
      <c r="K116831" s="12"/>
      <c r="L116831" s="208"/>
      <c r="M116831" s="209"/>
      <c r="N116831" s="209"/>
      <c r="O116831" s="209"/>
    </row>
    <row r="116832" spans="1:15" s="210" customFormat="1" x14ac:dyDescent="0.3">
      <c r="A116832" s="12"/>
      <c r="B116832" s="15"/>
      <c r="C116832" s="15"/>
      <c r="D116832" s="12"/>
      <c r="E116832" s="12"/>
      <c r="F116832" s="13"/>
      <c r="G116832" s="12"/>
      <c r="H116832" s="12"/>
      <c r="I116832" s="12"/>
      <c r="J116832" s="12"/>
      <c r="K116832" s="12"/>
      <c r="L116832" s="208"/>
      <c r="M116832" s="209"/>
      <c r="N116832" s="209"/>
      <c r="O116832" s="209"/>
    </row>
    <row r="116833" spans="1:15" s="210" customFormat="1" x14ac:dyDescent="0.3">
      <c r="A116833" s="12"/>
      <c r="B116833" s="15"/>
      <c r="C116833" s="15"/>
      <c r="D116833" s="12"/>
      <c r="E116833" s="12"/>
      <c r="F116833" s="13"/>
      <c r="G116833" s="12"/>
      <c r="H116833" s="12"/>
      <c r="I116833" s="12"/>
      <c r="J116833" s="12"/>
      <c r="K116833" s="12"/>
      <c r="L116833" s="208"/>
      <c r="M116833" s="209"/>
      <c r="N116833" s="209"/>
      <c r="O116833" s="209"/>
    </row>
    <row r="116834" spans="1:15" s="210" customFormat="1" x14ac:dyDescent="0.3">
      <c r="A116834" s="12"/>
      <c r="B116834" s="15"/>
      <c r="C116834" s="15"/>
      <c r="D116834" s="12"/>
      <c r="E116834" s="12"/>
      <c r="F116834" s="13"/>
      <c r="G116834" s="12"/>
      <c r="H116834" s="12"/>
      <c r="I116834" s="12"/>
      <c r="J116834" s="12"/>
      <c r="K116834" s="12"/>
      <c r="L116834" s="208"/>
      <c r="M116834" s="209"/>
      <c r="N116834" s="209"/>
      <c r="O116834" s="209"/>
    </row>
    <row r="116835" spans="1:15" s="210" customFormat="1" x14ac:dyDescent="0.3">
      <c r="A116835" s="12"/>
      <c r="B116835" s="15"/>
      <c r="C116835" s="15"/>
      <c r="D116835" s="12"/>
      <c r="E116835" s="12"/>
      <c r="F116835" s="13"/>
      <c r="G116835" s="12"/>
      <c r="H116835" s="12"/>
      <c r="I116835" s="12"/>
      <c r="J116835" s="12"/>
      <c r="K116835" s="12"/>
      <c r="L116835" s="208"/>
      <c r="M116835" s="209"/>
      <c r="N116835" s="209"/>
      <c r="O116835" s="209"/>
    </row>
    <row r="116836" spans="1:15" s="210" customFormat="1" x14ac:dyDescent="0.3">
      <c r="A116836" s="12"/>
      <c r="B116836" s="15"/>
      <c r="C116836" s="15"/>
      <c r="D116836" s="12"/>
      <c r="E116836" s="12"/>
      <c r="F116836" s="13"/>
      <c r="G116836" s="12"/>
      <c r="H116836" s="12"/>
      <c r="I116836" s="12"/>
      <c r="J116836" s="12"/>
      <c r="K116836" s="12"/>
      <c r="L116836" s="208"/>
      <c r="M116836" s="209"/>
      <c r="N116836" s="209"/>
      <c r="O116836" s="209"/>
    </row>
    <row r="116837" spans="1:15" s="210" customFormat="1" x14ac:dyDescent="0.3">
      <c r="A116837" s="12"/>
      <c r="B116837" s="15"/>
      <c r="C116837" s="15"/>
      <c r="D116837" s="12"/>
      <c r="E116837" s="12"/>
      <c r="F116837" s="13"/>
      <c r="G116837" s="12"/>
      <c r="H116837" s="12"/>
      <c r="I116837" s="12"/>
      <c r="J116837" s="12"/>
      <c r="K116837" s="12"/>
      <c r="L116837" s="208"/>
      <c r="M116837" s="209"/>
      <c r="N116837" s="209"/>
      <c r="O116837" s="209"/>
    </row>
    <row r="116838" spans="1:15" s="210" customFormat="1" x14ac:dyDescent="0.3">
      <c r="A116838" s="12"/>
      <c r="B116838" s="15"/>
      <c r="C116838" s="15"/>
      <c r="D116838" s="12"/>
      <c r="E116838" s="12"/>
      <c r="F116838" s="13"/>
      <c r="G116838" s="12"/>
      <c r="H116838" s="12"/>
      <c r="I116838" s="12"/>
      <c r="J116838" s="12"/>
      <c r="K116838" s="12"/>
      <c r="L116838" s="208"/>
      <c r="M116838" s="209"/>
      <c r="N116838" s="209"/>
      <c r="O116838" s="209"/>
    </row>
    <row r="116839" spans="1:15" s="210" customFormat="1" x14ac:dyDescent="0.3">
      <c r="A116839" s="12"/>
      <c r="B116839" s="15"/>
      <c r="C116839" s="15"/>
      <c r="D116839" s="12"/>
      <c r="E116839" s="12"/>
      <c r="F116839" s="13"/>
      <c r="G116839" s="12"/>
      <c r="H116839" s="12"/>
      <c r="I116839" s="12"/>
      <c r="J116839" s="12"/>
      <c r="K116839" s="12"/>
      <c r="L116839" s="208"/>
      <c r="M116839" s="209"/>
      <c r="N116839" s="209"/>
      <c r="O116839" s="209"/>
    </row>
    <row r="116840" spans="1:15" s="210" customFormat="1" x14ac:dyDescent="0.3">
      <c r="A116840" s="12"/>
      <c r="B116840" s="15"/>
      <c r="C116840" s="15"/>
      <c r="D116840" s="12"/>
      <c r="E116840" s="12"/>
      <c r="F116840" s="13"/>
      <c r="G116840" s="12"/>
      <c r="H116840" s="12"/>
      <c r="I116840" s="12"/>
      <c r="J116840" s="12"/>
      <c r="K116840" s="12"/>
      <c r="L116840" s="208"/>
      <c r="M116840" s="209"/>
      <c r="N116840" s="209"/>
      <c r="O116840" s="209"/>
    </row>
    <row r="116841" spans="1:15" s="210" customFormat="1" x14ac:dyDescent="0.3">
      <c r="A116841" s="12"/>
      <c r="B116841" s="15"/>
      <c r="C116841" s="15"/>
      <c r="D116841" s="12"/>
      <c r="E116841" s="12"/>
      <c r="F116841" s="13"/>
      <c r="G116841" s="12"/>
      <c r="H116841" s="12"/>
      <c r="I116841" s="12"/>
      <c r="J116841" s="12"/>
      <c r="K116841" s="12"/>
      <c r="L116841" s="208"/>
      <c r="M116841" s="209"/>
      <c r="N116841" s="209"/>
      <c r="O116841" s="209"/>
    </row>
    <row r="116842" spans="1:15" s="210" customFormat="1" x14ac:dyDescent="0.3">
      <c r="A116842" s="12"/>
      <c r="B116842" s="15"/>
      <c r="C116842" s="15"/>
      <c r="D116842" s="12"/>
      <c r="E116842" s="12"/>
      <c r="F116842" s="13"/>
      <c r="G116842" s="12"/>
      <c r="H116842" s="12"/>
      <c r="I116842" s="12"/>
      <c r="J116842" s="12"/>
      <c r="K116842" s="12"/>
      <c r="L116842" s="208"/>
      <c r="M116842" s="209"/>
      <c r="N116842" s="209"/>
      <c r="O116842" s="209"/>
    </row>
    <row r="116843" spans="1:15" s="210" customFormat="1" x14ac:dyDescent="0.3">
      <c r="A116843" s="12"/>
      <c r="B116843" s="15"/>
      <c r="C116843" s="15"/>
      <c r="D116843" s="12"/>
      <c r="E116843" s="12"/>
      <c r="F116843" s="13"/>
      <c r="G116843" s="12"/>
      <c r="H116843" s="12"/>
      <c r="I116843" s="12"/>
      <c r="J116843" s="12"/>
      <c r="K116843" s="12"/>
      <c r="L116843" s="208"/>
      <c r="M116843" s="209"/>
      <c r="N116843" s="209"/>
      <c r="O116843" s="209"/>
    </row>
    <row r="116844" spans="1:15" s="210" customFormat="1" x14ac:dyDescent="0.3">
      <c r="A116844" s="12"/>
      <c r="B116844" s="15"/>
      <c r="C116844" s="15"/>
      <c r="D116844" s="12"/>
      <c r="E116844" s="12"/>
      <c r="F116844" s="13"/>
      <c r="G116844" s="12"/>
      <c r="H116844" s="12"/>
      <c r="I116844" s="12"/>
      <c r="J116844" s="12"/>
      <c r="K116844" s="12"/>
      <c r="L116844" s="208"/>
      <c r="M116844" s="209"/>
      <c r="N116844" s="209"/>
      <c r="O116844" s="209"/>
    </row>
    <row r="116845" spans="1:15" s="210" customFormat="1" x14ac:dyDescent="0.3">
      <c r="A116845" s="12"/>
      <c r="B116845" s="15"/>
      <c r="C116845" s="15"/>
      <c r="D116845" s="12"/>
      <c r="E116845" s="12"/>
      <c r="F116845" s="13"/>
      <c r="G116845" s="12"/>
      <c r="H116845" s="12"/>
      <c r="I116845" s="12"/>
      <c r="J116845" s="12"/>
      <c r="K116845" s="12"/>
      <c r="L116845" s="208"/>
      <c r="M116845" s="209"/>
      <c r="N116845" s="209"/>
      <c r="O116845" s="209"/>
    </row>
    <row r="116846" spans="1:15" s="210" customFormat="1" x14ac:dyDescent="0.3">
      <c r="A116846" s="12"/>
      <c r="B116846" s="15"/>
      <c r="C116846" s="15"/>
      <c r="D116846" s="12"/>
      <c r="E116846" s="12"/>
      <c r="F116846" s="13"/>
      <c r="G116846" s="12"/>
      <c r="H116846" s="12"/>
      <c r="I116846" s="12"/>
      <c r="J116846" s="12"/>
      <c r="K116846" s="12"/>
      <c r="L116846" s="208"/>
      <c r="M116846" s="209"/>
      <c r="N116846" s="209"/>
      <c r="O116846" s="209"/>
    </row>
    <row r="116847" spans="1:15" s="210" customFormat="1" x14ac:dyDescent="0.3">
      <c r="A116847" s="12"/>
      <c r="B116847" s="15"/>
      <c r="C116847" s="15"/>
      <c r="D116847" s="12"/>
      <c r="E116847" s="12"/>
      <c r="F116847" s="13"/>
      <c r="G116847" s="12"/>
      <c r="H116847" s="12"/>
      <c r="I116847" s="12"/>
      <c r="J116847" s="12"/>
      <c r="K116847" s="12"/>
      <c r="L116847" s="208"/>
      <c r="M116847" s="209"/>
      <c r="N116847" s="209"/>
      <c r="O116847" s="209"/>
    </row>
    <row r="116848" spans="1:15" s="210" customFormat="1" x14ac:dyDescent="0.3">
      <c r="A116848" s="12"/>
      <c r="B116848" s="15"/>
      <c r="C116848" s="15"/>
      <c r="D116848" s="12"/>
      <c r="E116848" s="12"/>
      <c r="F116848" s="13"/>
      <c r="G116848" s="12"/>
      <c r="H116848" s="12"/>
      <c r="I116848" s="12"/>
      <c r="J116848" s="12"/>
      <c r="K116848" s="12"/>
      <c r="L116848" s="208"/>
      <c r="M116848" s="209"/>
      <c r="N116848" s="209"/>
      <c r="O116848" s="209"/>
    </row>
    <row r="116849" spans="1:15" s="210" customFormat="1" x14ac:dyDescent="0.3">
      <c r="A116849" s="12"/>
      <c r="B116849" s="15"/>
      <c r="C116849" s="15"/>
      <c r="D116849" s="12"/>
      <c r="E116849" s="12"/>
      <c r="F116849" s="13"/>
      <c r="G116849" s="12"/>
      <c r="H116849" s="12"/>
      <c r="I116849" s="12"/>
      <c r="J116849" s="12"/>
      <c r="K116849" s="12"/>
      <c r="L116849" s="208"/>
      <c r="M116849" s="209"/>
      <c r="N116849" s="209"/>
      <c r="O116849" s="209"/>
    </row>
    <row r="116850" spans="1:15" s="210" customFormat="1" x14ac:dyDescent="0.3">
      <c r="A116850" s="12"/>
      <c r="B116850" s="15"/>
      <c r="C116850" s="15"/>
      <c r="D116850" s="12"/>
      <c r="E116850" s="12"/>
      <c r="F116850" s="13"/>
      <c r="G116850" s="12"/>
      <c r="H116850" s="12"/>
      <c r="I116850" s="12"/>
      <c r="J116850" s="12"/>
      <c r="K116850" s="12"/>
      <c r="L116850" s="208"/>
      <c r="M116850" s="209"/>
      <c r="N116850" s="209"/>
      <c r="O116850" s="209"/>
    </row>
    <row r="116851" spans="1:15" s="210" customFormat="1" x14ac:dyDescent="0.3">
      <c r="A116851" s="12"/>
      <c r="B116851" s="15"/>
      <c r="C116851" s="15"/>
      <c r="D116851" s="12"/>
      <c r="E116851" s="12"/>
      <c r="F116851" s="13"/>
      <c r="G116851" s="12"/>
      <c r="H116851" s="12"/>
      <c r="I116851" s="12"/>
      <c r="J116851" s="12"/>
      <c r="K116851" s="12"/>
      <c r="L116851" s="208"/>
      <c r="M116851" s="209"/>
      <c r="N116851" s="209"/>
      <c r="O116851" s="209"/>
    </row>
    <row r="116852" spans="1:15" s="210" customFormat="1" x14ac:dyDescent="0.3">
      <c r="A116852" s="12"/>
      <c r="B116852" s="15"/>
      <c r="C116852" s="15"/>
      <c r="D116852" s="12"/>
      <c r="E116852" s="12"/>
      <c r="F116852" s="13"/>
      <c r="G116852" s="12"/>
      <c r="H116852" s="12"/>
      <c r="I116852" s="12"/>
      <c r="J116852" s="12"/>
      <c r="K116852" s="12"/>
      <c r="L116852" s="208"/>
      <c r="M116852" s="209"/>
      <c r="N116852" s="209"/>
      <c r="O116852" s="209"/>
    </row>
    <row r="116853" spans="1:15" s="210" customFormat="1" x14ac:dyDescent="0.3">
      <c r="A116853" s="12"/>
      <c r="B116853" s="15"/>
      <c r="C116853" s="15"/>
      <c r="D116853" s="12"/>
      <c r="E116853" s="12"/>
      <c r="F116853" s="13"/>
      <c r="G116853" s="12"/>
      <c r="H116853" s="12"/>
      <c r="I116853" s="12"/>
      <c r="J116853" s="12"/>
      <c r="K116853" s="12"/>
      <c r="L116853" s="208"/>
      <c r="M116853" s="209"/>
      <c r="N116853" s="209"/>
      <c r="O116853" s="209"/>
    </row>
    <row r="116854" spans="1:15" s="210" customFormat="1" x14ac:dyDescent="0.3">
      <c r="A116854" s="12"/>
      <c r="B116854" s="15"/>
      <c r="C116854" s="15"/>
      <c r="D116854" s="12"/>
      <c r="E116854" s="12"/>
      <c r="F116854" s="13"/>
      <c r="G116854" s="12"/>
      <c r="H116854" s="12"/>
      <c r="I116854" s="12"/>
      <c r="J116854" s="12"/>
      <c r="K116854" s="12"/>
      <c r="L116854" s="208"/>
      <c r="M116854" s="209"/>
      <c r="N116854" s="209"/>
      <c r="O116854" s="209"/>
    </row>
    <row r="116855" spans="1:15" s="210" customFormat="1" x14ac:dyDescent="0.3">
      <c r="A116855" s="12"/>
      <c r="B116855" s="15"/>
      <c r="C116855" s="15"/>
      <c r="D116855" s="12"/>
      <c r="E116855" s="12"/>
      <c r="F116855" s="13"/>
      <c r="G116855" s="12"/>
      <c r="H116855" s="12"/>
      <c r="I116855" s="12"/>
      <c r="J116855" s="12"/>
      <c r="K116855" s="12"/>
      <c r="L116855" s="208"/>
      <c r="M116855" s="209"/>
      <c r="N116855" s="209"/>
      <c r="O116855" s="209"/>
    </row>
    <row r="116856" spans="1:15" s="210" customFormat="1" x14ac:dyDescent="0.3">
      <c r="A116856" s="12"/>
      <c r="B116856" s="15"/>
      <c r="C116856" s="15"/>
      <c r="D116856" s="12"/>
      <c r="E116856" s="12"/>
      <c r="F116856" s="13"/>
      <c r="G116856" s="12"/>
      <c r="H116856" s="12"/>
      <c r="I116856" s="12"/>
      <c r="J116856" s="12"/>
      <c r="K116856" s="12"/>
      <c r="L116856" s="208"/>
      <c r="M116856" s="209"/>
      <c r="N116856" s="209"/>
      <c r="O116856" s="209"/>
    </row>
    <row r="116857" spans="1:15" s="210" customFormat="1" x14ac:dyDescent="0.3">
      <c r="A116857" s="12"/>
      <c r="B116857" s="15"/>
      <c r="C116857" s="15"/>
      <c r="D116857" s="12"/>
      <c r="E116857" s="12"/>
      <c r="F116857" s="13"/>
      <c r="G116857" s="12"/>
      <c r="H116857" s="12"/>
      <c r="I116857" s="12"/>
      <c r="J116857" s="12"/>
      <c r="K116857" s="12"/>
      <c r="L116857" s="208"/>
      <c r="M116857" s="209"/>
      <c r="N116857" s="209"/>
      <c r="O116857" s="209"/>
    </row>
    <row r="116858" spans="1:15" s="210" customFormat="1" x14ac:dyDescent="0.3">
      <c r="A116858" s="12"/>
      <c r="B116858" s="15"/>
      <c r="C116858" s="15"/>
      <c r="D116858" s="12"/>
      <c r="E116858" s="12"/>
      <c r="F116858" s="13"/>
      <c r="G116858" s="12"/>
      <c r="H116858" s="12"/>
      <c r="I116858" s="12"/>
      <c r="J116858" s="12"/>
      <c r="K116858" s="12"/>
      <c r="L116858" s="208"/>
      <c r="M116858" s="209"/>
      <c r="N116858" s="209"/>
      <c r="O116858" s="209"/>
    </row>
    <row r="116859" spans="1:15" s="210" customFormat="1" x14ac:dyDescent="0.3">
      <c r="A116859" s="12"/>
      <c r="B116859" s="15"/>
      <c r="C116859" s="15"/>
      <c r="D116859" s="12"/>
      <c r="E116859" s="12"/>
      <c r="F116859" s="13"/>
      <c r="G116859" s="12"/>
      <c r="H116859" s="12"/>
      <c r="I116859" s="12"/>
      <c r="J116859" s="12"/>
      <c r="K116859" s="12"/>
      <c r="L116859" s="208"/>
      <c r="M116859" s="209"/>
      <c r="N116859" s="209"/>
      <c r="O116859" s="209"/>
    </row>
    <row r="116860" spans="1:15" s="210" customFormat="1" x14ac:dyDescent="0.3">
      <c r="A116860" s="12"/>
      <c r="B116860" s="15"/>
      <c r="C116860" s="15"/>
      <c r="D116860" s="12"/>
      <c r="E116860" s="12"/>
      <c r="F116860" s="13"/>
      <c r="G116860" s="12"/>
      <c r="H116860" s="12"/>
      <c r="I116860" s="12"/>
      <c r="J116860" s="12"/>
      <c r="K116860" s="12"/>
      <c r="L116860" s="208"/>
      <c r="M116860" s="209"/>
      <c r="N116860" s="209"/>
      <c r="O116860" s="209"/>
    </row>
    <row r="116861" spans="1:15" s="210" customFormat="1" x14ac:dyDescent="0.3">
      <c r="A116861" s="12"/>
      <c r="B116861" s="15"/>
      <c r="C116861" s="15"/>
      <c r="D116861" s="12"/>
      <c r="E116861" s="12"/>
      <c r="F116861" s="13"/>
      <c r="G116861" s="12"/>
      <c r="H116861" s="12"/>
      <c r="I116861" s="12"/>
      <c r="J116861" s="12"/>
      <c r="K116861" s="12"/>
      <c r="L116861" s="208"/>
      <c r="M116861" s="209"/>
      <c r="N116861" s="209"/>
      <c r="O116861" s="209"/>
    </row>
    <row r="116862" spans="1:15" s="210" customFormat="1" x14ac:dyDescent="0.3">
      <c r="A116862" s="12"/>
      <c r="B116862" s="15"/>
      <c r="C116862" s="15"/>
      <c r="D116862" s="12"/>
      <c r="E116862" s="12"/>
      <c r="F116862" s="13"/>
      <c r="G116862" s="12"/>
      <c r="H116862" s="12"/>
      <c r="I116862" s="12"/>
      <c r="J116862" s="12"/>
      <c r="K116862" s="12"/>
      <c r="L116862" s="208"/>
      <c r="M116862" s="209"/>
      <c r="N116862" s="209"/>
      <c r="O116862" s="209"/>
    </row>
    <row r="116863" spans="1:15" s="210" customFormat="1" x14ac:dyDescent="0.3">
      <c r="A116863" s="12"/>
      <c r="B116863" s="15"/>
      <c r="C116863" s="15"/>
      <c r="D116863" s="12"/>
      <c r="E116863" s="12"/>
      <c r="F116863" s="13"/>
      <c r="G116863" s="12"/>
      <c r="H116863" s="12"/>
      <c r="I116863" s="12"/>
      <c r="J116863" s="12"/>
      <c r="K116863" s="12"/>
      <c r="L116863" s="208"/>
      <c r="M116863" s="209"/>
      <c r="N116863" s="209"/>
      <c r="O116863" s="209"/>
    </row>
    <row r="116864" spans="1:15" s="210" customFormat="1" x14ac:dyDescent="0.3">
      <c r="A116864" s="12"/>
      <c r="B116864" s="15"/>
      <c r="C116864" s="15"/>
      <c r="D116864" s="12"/>
      <c r="E116864" s="12"/>
      <c r="F116864" s="13"/>
      <c r="G116864" s="12"/>
      <c r="H116864" s="12"/>
      <c r="I116864" s="12"/>
      <c r="J116864" s="12"/>
      <c r="K116864" s="12"/>
      <c r="L116864" s="208"/>
      <c r="M116864" s="209"/>
      <c r="N116864" s="209"/>
      <c r="O116864" s="209"/>
    </row>
    <row r="116865" spans="1:15" s="210" customFormat="1" x14ac:dyDescent="0.3">
      <c r="A116865" s="12"/>
      <c r="B116865" s="15"/>
      <c r="C116865" s="15"/>
      <c r="D116865" s="12"/>
      <c r="E116865" s="12"/>
      <c r="F116865" s="13"/>
      <c r="G116865" s="12"/>
      <c r="H116865" s="12"/>
      <c r="I116865" s="12"/>
      <c r="J116865" s="12"/>
      <c r="K116865" s="12"/>
      <c r="L116865" s="208"/>
      <c r="M116865" s="209"/>
      <c r="N116865" s="209"/>
      <c r="O116865" s="209"/>
    </row>
    <row r="116866" spans="1:15" s="210" customFormat="1" x14ac:dyDescent="0.3">
      <c r="A116866" s="12"/>
      <c r="B116866" s="15"/>
      <c r="C116866" s="15"/>
      <c r="D116866" s="12"/>
      <c r="E116866" s="12"/>
      <c r="F116866" s="13"/>
      <c r="G116866" s="12"/>
      <c r="H116866" s="12"/>
      <c r="I116866" s="12"/>
      <c r="J116866" s="12"/>
      <c r="K116866" s="12"/>
      <c r="L116866" s="208"/>
      <c r="M116866" s="209"/>
      <c r="N116866" s="209"/>
      <c r="O116866" s="209"/>
    </row>
    <row r="116867" spans="1:15" s="210" customFormat="1" x14ac:dyDescent="0.3">
      <c r="A116867" s="12"/>
      <c r="B116867" s="15"/>
      <c r="C116867" s="15"/>
      <c r="D116867" s="12"/>
      <c r="E116867" s="12"/>
      <c r="F116867" s="13"/>
      <c r="G116867" s="12"/>
      <c r="H116867" s="12"/>
      <c r="I116867" s="12"/>
      <c r="J116867" s="12"/>
      <c r="K116867" s="12"/>
      <c r="L116867" s="208"/>
      <c r="M116867" s="209"/>
      <c r="N116867" s="209"/>
      <c r="O116867" s="209"/>
    </row>
    <row r="116868" spans="1:15" s="210" customFormat="1" x14ac:dyDescent="0.3">
      <c r="A116868" s="12"/>
      <c r="B116868" s="15"/>
      <c r="C116868" s="15"/>
      <c r="D116868" s="12"/>
      <c r="E116868" s="12"/>
      <c r="F116868" s="13"/>
      <c r="G116868" s="12"/>
      <c r="H116868" s="12"/>
      <c r="I116868" s="12"/>
      <c r="J116868" s="12"/>
      <c r="K116868" s="12"/>
      <c r="L116868" s="208"/>
      <c r="M116868" s="209"/>
      <c r="N116868" s="209"/>
      <c r="O116868" s="209"/>
    </row>
    <row r="116869" spans="1:15" s="210" customFormat="1" x14ac:dyDescent="0.3">
      <c r="A116869" s="12"/>
      <c r="B116869" s="15"/>
      <c r="C116869" s="15"/>
      <c r="D116869" s="12"/>
      <c r="E116869" s="12"/>
      <c r="F116869" s="13"/>
      <c r="G116869" s="12"/>
      <c r="H116869" s="12"/>
      <c r="I116869" s="12"/>
      <c r="J116869" s="12"/>
      <c r="K116869" s="12"/>
      <c r="L116869" s="208"/>
      <c r="M116869" s="209"/>
      <c r="N116869" s="209"/>
      <c r="O116869" s="209"/>
    </row>
    <row r="116870" spans="1:15" s="210" customFormat="1" x14ac:dyDescent="0.3">
      <c r="A116870" s="12"/>
      <c r="B116870" s="15"/>
      <c r="C116870" s="15"/>
      <c r="D116870" s="12"/>
      <c r="E116870" s="12"/>
      <c r="F116870" s="13"/>
      <c r="G116870" s="12"/>
      <c r="H116870" s="12"/>
      <c r="I116870" s="12"/>
      <c r="J116870" s="12"/>
      <c r="K116870" s="12"/>
      <c r="L116870" s="208"/>
      <c r="M116870" s="209"/>
      <c r="N116870" s="209"/>
      <c r="O116870" s="209"/>
    </row>
    <row r="116871" spans="1:15" s="210" customFormat="1" x14ac:dyDescent="0.3">
      <c r="A116871" s="12"/>
      <c r="B116871" s="15"/>
      <c r="C116871" s="15"/>
      <c r="D116871" s="12"/>
      <c r="E116871" s="12"/>
      <c r="F116871" s="13"/>
      <c r="G116871" s="12"/>
      <c r="H116871" s="12"/>
      <c r="I116871" s="12"/>
      <c r="J116871" s="12"/>
      <c r="K116871" s="12"/>
      <c r="L116871" s="208"/>
      <c r="M116871" s="209"/>
      <c r="N116871" s="209"/>
      <c r="O116871" s="209"/>
    </row>
    <row r="116872" spans="1:15" s="210" customFormat="1" x14ac:dyDescent="0.3">
      <c r="A116872" s="12"/>
      <c r="B116872" s="15"/>
      <c r="C116872" s="15"/>
      <c r="D116872" s="12"/>
      <c r="E116872" s="12"/>
      <c r="F116872" s="13"/>
      <c r="G116872" s="12"/>
      <c r="H116872" s="12"/>
      <c r="I116872" s="12"/>
      <c r="J116872" s="12"/>
      <c r="K116872" s="12"/>
      <c r="L116872" s="208"/>
      <c r="M116872" s="209"/>
      <c r="N116872" s="209"/>
      <c r="O116872" s="209"/>
    </row>
    <row r="116873" spans="1:15" s="210" customFormat="1" x14ac:dyDescent="0.3">
      <c r="A116873" s="12"/>
      <c r="B116873" s="15"/>
      <c r="C116873" s="15"/>
      <c r="D116873" s="12"/>
      <c r="E116873" s="12"/>
      <c r="F116873" s="13"/>
      <c r="G116873" s="12"/>
      <c r="H116873" s="12"/>
      <c r="I116873" s="12"/>
      <c r="J116873" s="12"/>
      <c r="K116873" s="12"/>
      <c r="L116873" s="208"/>
      <c r="M116873" s="209"/>
      <c r="N116873" s="209"/>
      <c r="O116873" s="209"/>
    </row>
    <row r="116874" spans="1:15" s="210" customFormat="1" x14ac:dyDescent="0.3">
      <c r="A116874" s="12"/>
      <c r="B116874" s="15"/>
      <c r="C116874" s="15"/>
      <c r="D116874" s="12"/>
      <c r="E116874" s="12"/>
      <c r="F116874" s="13"/>
      <c r="G116874" s="12"/>
      <c r="H116874" s="12"/>
      <c r="I116874" s="12"/>
      <c r="J116874" s="12"/>
      <c r="K116874" s="12"/>
      <c r="L116874" s="208"/>
      <c r="M116874" s="209"/>
      <c r="N116874" s="209"/>
      <c r="O116874" s="209"/>
    </row>
    <row r="116875" spans="1:15" s="210" customFormat="1" x14ac:dyDescent="0.3">
      <c r="A116875" s="12"/>
      <c r="B116875" s="15"/>
      <c r="C116875" s="15"/>
      <c r="D116875" s="12"/>
      <c r="E116875" s="12"/>
      <c r="F116875" s="13"/>
      <c r="G116875" s="12"/>
      <c r="H116875" s="12"/>
      <c r="I116875" s="12"/>
      <c r="J116875" s="12"/>
      <c r="K116875" s="12"/>
      <c r="L116875" s="208"/>
      <c r="M116875" s="209"/>
      <c r="N116875" s="209"/>
      <c r="O116875" s="209"/>
    </row>
    <row r="116876" spans="1:15" s="210" customFormat="1" x14ac:dyDescent="0.3">
      <c r="A116876" s="12"/>
      <c r="B116876" s="15"/>
      <c r="C116876" s="15"/>
      <c r="D116876" s="12"/>
      <c r="E116876" s="12"/>
      <c r="F116876" s="13"/>
      <c r="G116876" s="12"/>
      <c r="H116876" s="12"/>
      <c r="I116876" s="12"/>
      <c r="J116876" s="12"/>
      <c r="K116876" s="12"/>
      <c r="L116876" s="208"/>
      <c r="M116876" s="209"/>
      <c r="N116876" s="209"/>
      <c r="O116876" s="209"/>
    </row>
    <row r="116877" spans="1:15" s="210" customFormat="1" x14ac:dyDescent="0.3">
      <c r="A116877" s="12"/>
      <c r="B116877" s="15"/>
      <c r="C116877" s="15"/>
      <c r="D116877" s="12"/>
      <c r="E116877" s="12"/>
      <c r="F116877" s="13"/>
      <c r="G116877" s="12"/>
      <c r="H116877" s="12"/>
      <c r="I116877" s="12"/>
      <c r="J116877" s="12"/>
      <c r="K116877" s="12"/>
      <c r="L116877" s="208"/>
      <c r="M116877" s="209"/>
      <c r="N116877" s="209"/>
      <c r="O116877" s="209"/>
    </row>
    <row r="116878" spans="1:15" s="210" customFormat="1" x14ac:dyDescent="0.3">
      <c r="A116878" s="12"/>
      <c r="B116878" s="15"/>
      <c r="C116878" s="15"/>
      <c r="D116878" s="12"/>
      <c r="E116878" s="12"/>
      <c r="F116878" s="13"/>
      <c r="G116878" s="12"/>
      <c r="H116878" s="12"/>
      <c r="I116878" s="12"/>
      <c r="J116878" s="12"/>
      <c r="K116878" s="12"/>
      <c r="L116878" s="208"/>
      <c r="M116878" s="209"/>
      <c r="N116878" s="209"/>
      <c r="O116878" s="209"/>
    </row>
    <row r="116879" spans="1:15" s="210" customFormat="1" x14ac:dyDescent="0.3">
      <c r="A116879" s="12"/>
      <c r="B116879" s="15"/>
      <c r="C116879" s="15"/>
      <c r="D116879" s="12"/>
      <c r="E116879" s="12"/>
      <c r="F116879" s="13"/>
      <c r="G116879" s="12"/>
      <c r="H116879" s="12"/>
      <c r="I116879" s="12"/>
      <c r="J116879" s="12"/>
      <c r="K116879" s="12"/>
      <c r="L116879" s="208"/>
      <c r="M116879" s="209"/>
      <c r="N116879" s="209"/>
      <c r="O116879" s="209"/>
    </row>
    <row r="116880" spans="1:15" s="210" customFormat="1" x14ac:dyDescent="0.3">
      <c r="A116880" s="12"/>
      <c r="B116880" s="15"/>
      <c r="C116880" s="15"/>
      <c r="D116880" s="12"/>
      <c r="E116880" s="12"/>
      <c r="F116880" s="13"/>
      <c r="G116880" s="12"/>
      <c r="H116880" s="12"/>
      <c r="I116880" s="12"/>
      <c r="J116880" s="12"/>
      <c r="K116880" s="12"/>
      <c r="L116880" s="208"/>
      <c r="M116880" s="209"/>
      <c r="N116880" s="209"/>
      <c r="O116880" s="209"/>
    </row>
    <row r="116881" spans="1:15" s="210" customFormat="1" x14ac:dyDescent="0.3">
      <c r="A116881" s="12"/>
      <c r="B116881" s="15"/>
      <c r="C116881" s="15"/>
      <c r="D116881" s="12"/>
      <c r="E116881" s="12"/>
      <c r="F116881" s="13"/>
      <c r="G116881" s="12"/>
      <c r="H116881" s="12"/>
      <c r="I116881" s="12"/>
      <c r="J116881" s="12"/>
      <c r="K116881" s="12"/>
      <c r="L116881" s="208"/>
      <c r="M116881" s="209"/>
      <c r="N116881" s="209"/>
      <c r="O116881" s="209"/>
    </row>
    <row r="116882" spans="1:15" s="210" customFormat="1" x14ac:dyDescent="0.3">
      <c r="A116882" s="12"/>
      <c r="B116882" s="15"/>
      <c r="C116882" s="15"/>
      <c r="D116882" s="12"/>
      <c r="E116882" s="12"/>
      <c r="F116882" s="13"/>
      <c r="G116882" s="12"/>
      <c r="H116882" s="12"/>
      <c r="I116882" s="12"/>
      <c r="J116882" s="12"/>
      <c r="K116882" s="12"/>
      <c r="L116882" s="208"/>
      <c r="M116882" s="209"/>
      <c r="N116882" s="209"/>
      <c r="O116882" s="209"/>
    </row>
    <row r="116883" spans="1:15" s="210" customFormat="1" x14ac:dyDescent="0.3">
      <c r="A116883" s="12"/>
      <c r="B116883" s="15"/>
      <c r="C116883" s="15"/>
      <c r="D116883" s="12"/>
      <c r="E116883" s="12"/>
      <c r="F116883" s="13"/>
      <c r="G116883" s="12"/>
      <c r="H116883" s="12"/>
      <c r="I116883" s="12"/>
      <c r="J116883" s="12"/>
      <c r="K116883" s="12"/>
      <c r="L116883" s="208"/>
      <c r="M116883" s="209"/>
      <c r="N116883" s="209"/>
      <c r="O116883" s="209"/>
    </row>
    <row r="116884" spans="1:15" s="210" customFormat="1" x14ac:dyDescent="0.3">
      <c r="A116884" s="12"/>
      <c r="B116884" s="15"/>
      <c r="C116884" s="15"/>
      <c r="D116884" s="12"/>
      <c r="E116884" s="12"/>
      <c r="F116884" s="13"/>
      <c r="G116884" s="12"/>
      <c r="H116884" s="12"/>
      <c r="I116884" s="12"/>
      <c r="J116884" s="12"/>
      <c r="K116884" s="12"/>
      <c r="L116884" s="208"/>
      <c r="M116884" s="209"/>
      <c r="N116884" s="209"/>
      <c r="O116884" s="209"/>
    </row>
    <row r="116885" spans="1:15" s="210" customFormat="1" x14ac:dyDescent="0.3">
      <c r="A116885" s="12"/>
      <c r="B116885" s="15"/>
      <c r="C116885" s="15"/>
      <c r="D116885" s="12"/>
      <c r="E116885" s="12"/>
      <c r="F116885" s="13"/>
      <c r="G116885" s="12"/>
      <c r="H116885" s="12"/>
      <c r="I116885" s="12"/>
      <c r="J116885" s="12"/>
      <c r="K116885" s="12"/>
      <c r="L116885" s="208"/>
      <c r="M116885" s="209"/>
      <c r="N116885" s="209"/>
      <c r="O116885" s="209"/>
    </row>
    <row r="116886" spans="1:15" s="210" customFormat="1" x14ac:dyDescent="0.3">
      <c r="A116886" s="12"/>
      <c r="B116886" s="15"/>
      <c r="C116886" s="15"/>
      <c r="D116886" s="12"/>
      <c r="E116886" s="12"/>
      <c r="F116886" s="13"/>
      <c r="G116886" s="12"/>
      <c r="H116886" s="12"/>
      <c r="I116886" s="12"/>
      <c r="J116886" s="12"/>
      <c r="K116886" s="12"/>
      <c r="L116886" s="208"/>
      <c r="M116886" s="209"/>
      <c r="N116886" s="209"/>
      <c r="O116886" s="209"/>
    </row>
    <row r="116887" spans="1:15" s="210" customFormat="1" x14ac:dyDescent="0.3">
      <c r="A116887" s="12"/>
      <c r="B116887" s="15"/>
      <c r="C116887" s="15"/>
      <c r="D116887" s="12"/>
      <c r="E116887" s="12"/>
      <c r="F116887" s="13"/>
      <c r="G116887" s="12"/>
      <c r="H116887" s="12"/>
      <c r="I116887" s="12"/>
      <c r="J116887" s="12"/>
      <c r="K116887" s="12"/>
      <c r="L116887" s="208"/>
      <c r="M116887" s="209"/>
      <c r="N116887" s="209"/>
      <c r="O116887" s="209"/>
    </row>
    <row r="116888" spans="1:15" s="210" customFormat="1" x14ac:dyDescent="0.3">
      <c r="A116888" s="12"/>
      <c r="B116888" s="15"/>
      <c r="C116888" s="15"/>
      <c r="D116888" s="12"/>
      <c r="E116888" s="12"/>
      <c r="F116888" s="13"/>
      <c r="G116888" s="12"/>
      <c r="H116888" s="12"/>
      <c r="I116888" s="12"/>
      <c r="J116888" s="12"/>
      <c r="K116888" s="12"/>
      <c r="L116888" s="208"/>
      <c r="M116888" s="209"/>
      <c r="N116888" s="209"/>
      <c r="O116888" s="209"/>
    </row>
    <row r="116889" spans="1:15" s="210" customFormat="1" x14ac:dyDescent="0.3">
      <c r="A116889" s="12"/>
      <c r="B116889" s="15"/>
      <c r="C116889" s="15"/>
      <c r="D116889" s="12"/>
      <c r="E116889" s="12"/>
      <c r="F116889" s="13"/>
      <c r="G116889" s="12"/>
      <c r="H116889" s="12"/>
      <c r="I116889" s="12"/>
      <c r="J116889" s="12"/>
      <c r="K116889" s="12"/>
      <c r="L116889" s="208"/>
      <c r="M116889" s="209"/>
      <c r="N116889" s="209"/>
      <c r="O116889" s="209"/>
    </row>
    <row r="116890" spans="1:15" s="210" customFormat="1" x14ac:dyDescent="0.3">
      <c r="A116890" s="12"/>
      <c r="B116890" s="15"/>
      <c r="C116890" s="15"/>
      <c r="D116890" s="12"/>
      <c r="E116890" s="12"/>
      <c r="F116890" s="13"/>
      <c r="G116890" s="12"/>
      <c r="H116890" s="12"/>
      <c r="I116890" s="12"/>
      <c r="J116890" s="12"/>
      <c r="K116890" s="12"/>
      <c r="L116890" s="208"/>
      <c r="M116890" s="209"/>
      <c r="N116890" s="209"/>
      <c r="O116890" s="209"/>
    </row>
    <row r="116891" spans="1:15" s="210" customFormat="1" x14ac:dyDescent="0.3">
      <c r="A116891" s="12"/>
      <c r="B116891" s="15"/>
      <c r="C116891" s="15"/>
      <c r="D116891" s="12"/>
      <c r="E116891" s="12"/>
      <c r="F116891" s="13"/>
      <c r="G116891" s="12"/>
      <c r="H116891" s="12"/>
      <c r="I116891" s="12"/>
      <c r="J116891" s="12"/>
      <c r="K116891" s="12"/>
      <c r="L116891" s="208"/>
      <c r="M116891" s="209"/>
      <c r="N116891" s="209"/>
      <c r="O116891" s="209"/>
    </row>
    <row r="116892" spans="1:15" s="210" customFormat="1" x14ac:dyDescent="0.3">
      <c r="A116892" s="12"/>
      <c r="B116892" s="15"/>
      <c r="C116892" s="15"/>
      <c r="D116892" s="12"/>
      <c r="E116892" s="12"/>
      <c r="F116892" s="13"/>
      <c r="G116892" s="12"/>
      <c r="H116892" s="12"/>
      <c r="I116892" s="12"/>
      <c r="J116892" s="12"/>
      <c r="K116892" s="12"/>
      <c r="L116892" s="208"/>
      <c r="M116892" s="209"/>
      <c r="N116892" s="209"/>
      <c r="O116892" s="209"/>
    </row>
    <row r="116893" spans="1:15" s="210" customFormat="1" x14ac:dyDescent="0.3">
      <c r="A116893" s="12"/>
      <c r="B116893" s="15"/>
      <c r="C116893" s="15"/>
      <c r="D116893" s="12"/>
      <c r="E116893" s="12"/>
      <c r="F116893" s="13"/>
      <c r="G116893" s="12"/>
      <c r="H116893" s="12"/>
      <c r="I116893" s="12"/>
      <c r="J116893" s="12"/>
      <c r="K116893" s="12"/>
      <c r="L116893" s="208"/>
      <c r="M116893" s="209"/>
      <c r="N116893" s="209"/>
      <c r="O116893" s="209"/>
    </row>
    <row r="116894" spans="1:15" s="210" customFormat="1" x14ac:dyDescent="0.3">
      <c r="A116894" s="12"/>
      <c r="B116894" s="15"/>
      <c r="C116894" s="15"/>
      <c r="D116894" s="12"/>
      <c r="E116894" s="12"/>
      <c r="F116894" s="13"/>
      <c r="G116894" s="12"/>
      <c r="H116894" s="12"/>
      <c r="I116894" s="12"/>
      <c r="J116894" s="12"/>
      <c r="K116894" s="12"/>
      <c r="L116894" s="208"/>
      <c r="M116894" s="209"/>
      <c r="N116894" s="209"/>
      <c r="O116894" s="209"/>
    </row>
    <row r="116895" spans="1:15" s="210" customFormat="1" x14ac:dyDescent="0.3">
      <c r="A116895" s="12"/>
      <c r="B116895" s="15"/>
      <c r="C116895" s="15"/>
      <c r="D116895" s="12"/>
      <c r="E116895" s="12"/>
      <c r="F116895" s="13"/>
      <c r="G116895" s="12"/>
      <c r="H116895" s="12"/>
      <c r="I116895" s="12"/>
      <c r="J116895" s="12"/>
      <c r="K116895" s="12"/>
      <c r="L116895" s="208"/>
      <c r="M116895" s="209"/>
      <c r="N116895" s="209"/>
      <c r="O116895" s="209"/>
    </row>
    <row r="116896" spans="1:15" s="210" customFormat="1" x14ac:dyDescent="0.3">
      <c r="A116896" s="12"/>
      <c r="B116896" s="15"/>
      <c r="C116896" s="15"/>
      <c r="D116896" s="12"/>
      <c r="E116896" s="12"/>
      <c r="F116896" s="13"/>
      <c r="G116896" s="12"/>
      <c r="H116896" s="12"/>
      <c r="I116896" s="12"/>
      <c r="J116896" s="12"/>
      <c r="K116896" s="12"/>
      <c r="L116896" s="208"/>
      <c r="M116896" s="209"/>
      <c r="N116896" s="209"/>
      <c r="O116896" s="209"/>
    </row>
    <row r="116897" spans="1:15" s="210" customFormat="1" x14ac:dyDescent="0.3">
      <c r="A116897" s="12"/>
      <c r="B116897" s="15"/>
      <c r="C116897" s="15"/>
      <c r="D116897" s="12"/>
      <c r="E116897" s="12"/>
      <c r="F116897" s="13"/>
      <c r="G116897" s="12"/>
      <c r="H116897" s="12"/>
      <c r="I116897" s="12"/>
      <c r="J116897" s="12"/>
      <c r="K116897" s="12"/>
      <c r="L116897" s="208"/>
      <c r="M116897" s="209"/>
      <c r="N116897" s="209"/>
      <c r="O116897" s="209"/>
    </row>
    <row r="116898" spans="1:15" s="210" customFormat="1" x14ac:dyDescent="0.3">
      <c r="A116898" s="12"/>
      <c r="B116898" s="15"/>
      <c r="C116898" s="15"/>
      <c r="D116898" s="12"/>
      <c r="E116898" s="12"/>
      <c r="F116898" s="13"/>
      <c r="G116898" s="12"/>
      <c r="H116898" s="12"/>
      <c r="I116898" s="12"/>
      <c r="J116898" s="12"/>
      <c r="K116898" s="12"/>
      <c r="L116898" s="208"/>
      <c r="M116898" s="209"/>
      <c r="N116898" s="209"/>
      <c r="O116898" s="209"/>
    </row>
    <row r="116899" spans="1:15" s="210" customFormat="1" x14ac:dyDescent="0.3">
      <c r="A116899" s="12"/>
      <c r="B116899" s="15"/>
      <c r="C116899" s="15"/>
      <c r="D116899" s="12"/>
      <c r="E116899" s="12"/>
      <c r="F116899" s="13"/>
      <c r="G116899" s="12"/>
      <c r="H116899" s="12"/>
      <c r="I116899" s="12"/>
      <c r="J116899" s="12"/>
      <c r="K116899" s="12"/>
      <c r="L116899" s="208"/>
      <c r="M116899" s="209"/>
      <c r="N116899" s="209"/>
      <c r="O116899" s="209"/>
    </row>
    <row r="116900" spans="1:15" s="210" customFormat="1" x14ac:dyDescent="0.3">
      <c r="A116900" s="12"/>
      <c r="B116900" s="15"/>
      <c r="C116900" s="15"/>
      <c r="D116900" s="12"/>
      <c r="E116900" s="12"/>
      <c r="F116900" s="13"/>
      <c r="G116900" s="12"/>
      <c r="H116900" s="12"/>
      <c r="I116900" s="12"/>
      <c r="J116900" s="12"/>
      <c r="K116900" s="12"/>
      <c r="L116900" s="208"/>
      <c r="M116900" s="209"/>
      <c r="N116900" s="209"/>
      <c r="O116900" s="209"/>
    </row>
    <row r="116901" spans="1:15" s="210" customFormat="1" x14ac:dyDescent="0.3">
      <c r="A116901" s="12"/>
      <c r="B116901" s="15"/>
      <c r="C116901" s="15"/>
      <c r="D116901" s="12"/>
      <c r="E116901" s="12"/>
      <c r="F116901" s="13"/>
      <c r="G116901" s="12"/>
      <c r="H116901" s="12"/>
      <c r="I116901" s="12"/>
      <c r="J116901" s="12"/>
      <c r="K116901" s="12"/>
      <c r="L116901" s="208"/>
      <c r="M116901" s="209"/>
      <c r="N116901" s="209"/>
      <c r="O116901" s="209"/>
    </row>
    <row r="116902" spans="1:15" s="210" customFormat="1" x14ac:dyDescent="0.3">
      <c r="A116902" s="12"/>
      <c r="B116902" s="15"/>
      <c r="C116902" s="15"/>
      <c r="D116902" s="12"/>
      <c r="E116902" s="12"/>
      <c r="F116902" s="13"/>
      <c r="G116902" s="12"/>
      <c r="H116902" s="12"/>
      <c r="I116902" s="12"/>
      <c r="J116902" s="12"/>
      <c r="K116902" s="12"/>
      <c r="L116902" s="208"/>
      <c r="M116902" s="209"/>
      <c r="N116902" s="209"/>
      <c r="O116902" s="209"/>
    </row>
    <row r="116903" spans="1:15" s="210" customFormat="1" x14ac:dyDescent="0.3">
      <c r="A116903" s="12"/>
      <c r="B116903" s="15"/>
      <c r="C116903" s="15"/>
      <c r="D116903" s="12"/>
      <c r="E116903" s="12"/>
      <c r="F116903" s="13"/>
      <c r="G116903" s="12"/>
      <c r="H116903" s="12"/>
      <c r="I116903" s="12"/>
      <c r="J116903" s="12"/>
      <c r="K116903" s="12"/>
      <c r="L116903" s="208"/>
      <c r="M116903" s="209"/>
      <c r="N116903" s="209"/>
      <c r="O116903" s="209"/>
    </row>
    <row r="116904" spans="1:15" s="210" customFormat="1" x14ac:dyDescent="0.3">
      <c r="A116904" s="12"/>
      <c r="B116904" s="15"/>
      <c r="C116904" s="15"/>
      <c r="D116904" s="12"/>
      <c r="E116904" s="12"/>
      <c r="F116904" s="13"/>
      <c r="G116904" s="12"/>
      <c r="H116904" s="12"/>
      <c r="I116904" s="12"/>
      <c r="J116904" s="12"/>
      <c r="K116904" s="12"/>
      <c r="L116904" s="208"/>
      <c r="M116904" s="209"/>
      <c r="N116904" s="209"/>
      <c r="O116904" s="209"/>
    </row>
    <row r="116905" spans="1:15" s="210" customFormat="1" x14ac:dyDescent="0.3">
      <c r="A116905" s="12"/>
      <c r="B116905" s="15"/>
      <c r="C116905" s="15"/>
      <c r="D116905" s="12"/>
      <c r="E116905" s="12"/>
      <c r="F116905" s="13"/>
      <c r="G116905" s="12"/>
      <c r="H116905" s="12"/>
      <c r="I116905" s="12"/>
      <c r="J116905" s="12"/>
      <c r="K116905" s="12"/>
      <c r="L116905" s="208"/>
      <c r="M116905" s="209"/>
      <c r="N116905" s="209"/>
      <c r="O116905" s="209"/>
    </row>
    <row r="116906" spans="1:15" s="210" customFormat="1" x14ac:dyDescent="0.3">
      <c r="A116906" s="12"/>
      <c r="B116906" s="15"/>
      <c r="C116906" s="15"/>
      <c r="D116906" s="12"/>
      <c r="E116906" s="12"/>
      <c r="F116906" s="13"/>
      <c r="G116906" s="12"/>
      <c r="H116906" s="12"/>
      <c r="I116906" s="12"/>
      <c r="J116906" s="12"/>
      <c r="K116906" s="12"/>
      <c r="L116906" s="208"/>
      <c r="M116906" s="209"/>
      <c r="N116906" s="209"/>
      <c r="O116906" s="209"/>
    </row>
    <row r="116907" spans="1:15" s="210" customFormat="1" x14ac:dyDescent="0.3">
      <c r="A116907" s="12"/>
      <c r="B116907" s="15"/>
      <c r="C116907" s="15"/>
      <c r="D116907" s="12"/>
      <c r="E116907" s="12"/>
      <c r="F116907" s="13"/>
      <c r="G116907" s="12"/>
      <c r="H116907" s="12"/>
      <c r="I116907" s="12"/>
      <c r="J116907" s="12"/>
      <c r="K116907" s="12"/>
      <c r="L116907" s="208"/>
      <c r="M116907" s="209"/>
      <c r="N116907" s="209"/>
      <c r="O116907" s="209"/>
    </row>
    <row r="116908" spans="1:15" s="210" customFormat="1" x14ac:dyDescent="0.3">
      <c r="A116908" s="12"/>
      <c r="B116908" s="15"/>
      <c r="C116908" s="15"/>
      <c r="D116908" s="12"/>
      <c r="E116908" s="12"/>
      <c r="F116908" s="13"/>
      <c r="G116908" s="12"/>
      <c r="H116908" s="12"/>
      <c r="I116908" s="12"/>
      <c r="J116908" s="12"/>
      <c r="K116908" s="12"/>
      <c r="L116908" s="208"/>
      <c r="M116908" s="209"/>
      <c r="N116908" s="209"/>
      <c r="O116908" s="209"/>
    </row>
    <row r="116909" spans="1:15" s="210" customFormat="1" x14ac:dyDescent="0.3">
      <c r="A116909" s="12"/>
      <c r="B116909" s="15"/>
      <c r="C116909" s="15"/>
      <c r="D116909" s="12"/>
      <c r="E116909" s="12"/>
      <c r="F116909" s="13"/>
      <c r="G116909" s="12"/>
      <c r="H116909" s="12"/>
      <c r="I116909" s="12"/>
      <c r="J116909" s="12"/>
      <c r="K116909" s="12"/>
      <c r="L116909" s="208"/>
      <c r="M116909" s="209"/>
      <c r="N116909" s="209"/>
      <c r="O116909" s="209"/>
    </row>
    <row r="116910" spans="1:15" s="210" customFormat="1" x14ac:dyDescent="0.3">
      <c r="A116910" s="12"/>
      <c r="B116910" s="15"/>
      <c r="C116910" s="15"/>
      <c r="D116910" s="12"/>
      <c r="E116910" s="12"/>
      <c r="F116910" s="13"/>
      <c r="G116910" s="12"/>
      <c r="H116910" s="12"/>
      <c r="I116910" s="12"/>
      <c r="J116910" s="12"/>
      <c r="K116910" s="12"/>
      <c r="L116910" s="208"/>
      <c r="M116910" s="209"/>
      <c r="N116910" s="209"/>
      <c r="O116910" s="209"/>
    </row>
    <row r="116911" spans="1:15" s="210" customFormat="1" x14ac:dyDescent="0.3">
      <c r="A116911" s="12"/>
      <c r="B116911" s="15"/>
      <c r="C116911" s="15"/>
      <c r="D116911" s="12"/>
      <c r="E116911" s="12"/>
      <c r="F116911" s="13"/>
      <c r="G116911" s="12"/>
      <c r="H116911" s="12"/>
      <c r="I116911" s="12"/>
      <c r="J116911" s="12"/>
      <c r="K116911" s="12"/>
      <c r="L116911" s="208"/>
      <c r="M116911" s="209"/>
      <c r="N116911" s="209"/>
      <c r="O116911" s="209"/>
    </row>
    <row r="116912" spans="1:15" s="210" customFormat="1" x14ac:dyDescent="0.3">
      <c r="A116912" s="12"/>
      <c r="B116912" s="15"/>
      <c r="C116912" s="15"/>
      <c r="D116912" s="12"/>
      <c r="E116912" s="12"/>
      <c r="F116912" s="13"/>
      <c r="G116912" s="12"/>
      <c r="H116912" s="12"/>
      <c r="I116912" s="12"/>
      <c r="J116912" s="12"/>
      <c r="K116912" s="12"/>
      <c r="L116912" s="208"/>
      <c r="M116912" s="209"/>
      <c r="N116912" s="209"/>
      <c r="O116912" s="209"/>
    </row>
    <row r="116913" spans="1:15" s="210" customFormat="1" x14ac:dyDescent="0.3">
      <c r="A116913" s="12"/>
      <c r="B116913" s="15"/>
      <c r="C116913" s="15"/>
      <c r="D116913" s="12"/>
      <c r="E116913" s="12"/>
      <c r="F116913" s="13"/>
      <c r="G116913" s="12"/>
      <c r="H116913" s="12"/>
      <c r="I116913" s="12"/>
      <c r="J116913" s="12"/>
      <c r="K116913" s="12"/>
      <c r="L116913" s="208"/>
      <c r="M116913" s="209"/>
      <c r="N116913" s="209"/>
      <c r="O116913" s="209"/>
    </row>
    <row r="116914" spans="1:15" s="210" customFormat="1" x14ac:dyDescent="0.3">
      <c r="A116914" s="12"/>
      <c r="B116914" s="15"/>
      <c r="C116914" s="15"/>
      <c r="D116914" s="12"/>
      <c r="E116914" s="12"/>
      <c r="F116914" s="13"/>
      <c r="G116914" s="12"/>
      <c r="H116914" s="12"/>
      <c r="I116914" s="12"/>
      <c r="J116914" s="12"/>
      <c r="K116914" s="12"/>
      <c r="L116914" s="208"/>
      <c r="M116914" s="209"/>
      <c r="N116914" s="209"/>
      <c r="O116914" s="209"/>
    </row>
    <row r="116915" spans="1:15" s="210" customFormat="1" x14ac:dyDescent="0.3">
      <c r="A116915" s="12"/>
      <c r="B116915" s="15"/>
      <c r="C116915" s="15"/>
      <c r="D116915" s="12"/>
      <c r="E116915" s="12"/>
      <c r="F116915" s="13"/>
      <c r="G116915" s="12"/>
      <c r="H116915" s="12"/>
      <c r="I116915" s="12"/>
      <c r="J116915" s="12"/>
      <c r="K116915" s="12"/>
      <c r="L116915" s="208"/>
      <c r="M116915" s="209"/>
      <c r="N116915" s="209"/>
      <c r="O116915" s="209"/>
    </row>
    <row r="116916" spans="1:15" s="210" customFormat="1" x14ac:dyDescent="0.3">
      <c r="A116916" s="12"/>
      <c r="B116916" s="15"/>
      <c r="C116916" s="15"/>
      <c r="D116916" s="12"/>
      <c r="E116916" s="12"/>
      <c r="F116916" s="13"/>
      <c r="G116916" s="12"/>
      <c r="H116916" s="12"/>
      <c r="I116916" s="12"/>
      <c r="J116916" s="12"/>
      <c r="K116916" s="12"/>
      <c r="L116916" s="208"/>
      <c r="M116916" s="209"/>
      <c r="N116916" s="209"/>
      <c r="O116916" s="209"/>
    </row>
    <row r="116917" spans="1:15" s="210" customFormat="1" x14ac:dyDescent="0.3">
      <c r="A116917" s="12"/>
      <c r="B116917" s="15"/>
      <c r="C116917" s="15"/>
      <c r="D116917" s="12"/>
      <c r="E116917" s="12"/>
      <c r="F116917" s="13"/>
      <c r="G116917" s="12"/>
      <c r="H116917" s="12"/>
      <c r="I116917" s="12"/>
      <c r="J116917" s="12"/>
      <c r="K116917" s="12"/>
      <c r="L116917" s="208"/>
      <c r="M116917" s="209"/>
      <c r="N116917" s="209"/>
      <c r="O116917" s="209"/>
    </row>
    <row r="116918" spans="1:15" s="210" customFormat="1" x14ac:dyDescent="0.3">
      <c r="A116918" s="12"/>
      <c r="B116918" s="15"/>
      <c r="C116918" s="15"/>
      <c r="D116918" s="12"/>
      <c r="E116918" s="12"/>
      <c r="F116918" s="13"/>
      <c r="G116918" s="12"/>
      <c r="H116918" s="12"/>
      <c r="I116918" s="12"/>
      <c r="J116918" s="12"/>
      <c r="K116918" s="12"/>
      <c r="L116918" s="208"/>
      <c r="M116918" s="209"/>
      <c r="N116918" s="209"/>
      <c r="O116918" s="209"/>
    </row>
    <row r="116919" spans="1:15" s="210" customFormat="1" x14ac:dyDescent="0.3">
      <c r="A116919" s="12"/>
      <c r="B116919" s="15"/>
      <c r="C116919" s="15"/>
      <c r="D116919" s="12"/>
      <c r="E116919" s="12"/>
      <c r="F116919" s="13"/>
      <c r="G116919" s="12"/>
      <c r="H116919" s="12"/>
      <c r="I116919" s="12"/>
      <c r="J116919" s="12"/>
      <c r="K116919" s="12"/>
      <c r="L116919" s="208"/>
      <c r="M116919" s="209"/>
      <c r="N116919" s="209"/>
      <c r="O116919" s="209"/>
    </row>
    <row r="116920" spans="1:15" s="210" customFormat="1" x14ac:dyDescent="0.3">
      <c r="A116920" s="12"/>
      <c r="B116920" s="15"/>
      <c r="C116920" s="15"/>
      <c r="D116920" s="12"/>
      <c r="E116920" s="12"/>
      <c r="F116920" s="13"/>
      <c r="G116920" s="12"/>
      <c r="H116920" s="12"/>
      <c r="I116920" s="12"/>
      <c r="J116920" s="12"/>
      <c r="K116920" s="12"/>
      <c r="L116920" s="208"/>
      <c r="M116920" s="209"/>
      <c r="N116920" s="209"/>
      <c r="O116920" s="209"/>
    </row>
    <row r="116921" spans="1:15" s="210" customFormat="1" x14ac:dyDescent="0.3">
      <c r="A116921" s="12"/>
      <c r="B116921" s="15"/>
      <c r="C116921" s="15"/>
      <c r="D116921" s="12"/>
      <c r="E116921" s="12"/>
      <c r="F116921" s="13"/>
      <c r="G116921" s="12"/>
      <c r="H116921" s="12"/>
      <c r="I116921" s="12"/>
      <c r="J116921" s="12"/>
      <c r="K116921" s="12"/>
      <c r="L116921" s="208"/>
      <c r="M116921" s="209"/>
      <c r="N116921" s="209"/>
      <c r="O116921" s="209"/>
    </row>
    <row r="116922" spans="1:15" s="210" customFormat="1" x14ac:dyDescent="0.3">
      <c r="A116922" s="12"/>
      <c r="B116922" s="15"/>
      <c r="C116922" s="15"/>
      <c r="D116922" s="12"/>
      <c r="E116922" s="12"/>
      <c r="F116922" s="13"/>
      <c r="G116922" s="12"/>
      <c r="H116922" s="12"/>
      <c r="I116922" s="12"/>
      <c r="J116922" s="12"/>
      <c r="K116922" s="12"/>
      <c r="L116922" s="208"/>
      <c r="M116922" s="209"/>
      <c r="N116922" s="209"/>
      <c r="O116922" s="209"/>
    </row>
    <row r="116923" spans="1:15" s="210" customFormat="1" x14ac:dyDescent="0.3">
      <c r="A116923" s="12"/>
      <c r="B116923" s="15"/>
      <c r="C116923" s="15"/>
      <c r="D116923" s="12"/>
      <c r="E116923" s="12"/>
      <c r="F116923" s="13"/>
      <c r="G116923" s="12"/>
      <c r="H116923" s="12"/>
      <c r="I116923" s="12"/>
      <c r="J116923" s="12"/>
      <c r="K116923" s="12"/>
      <c r="L116923" s="208"/>
      <c r="M116923" s="209"/>
      <c r="N116923" s="209"/>
      <c r="O116923" s="209"/>
    </row>
    <row r="116924" spans="1:15" s="210" customFormat="1" x14ac:dyDescent="0.3">
      <c r="A116924" s="12"/>
      <c r="B116924" s="15"/>
      <c r="C116924" s="15"/>
      <c r="D116924" s="12"/>
      <c r="E116924" s="12"/>
      <c r="F116924" s="13"/>
      <c r="G116924" s="12"/>
      <c r="H116924" s="12"/>
      <c r="I116924" s="12"/>
      <c r="J116924" s="12"/>
      <c r="K116924" s="12"/>
      <c r="L116924" s="208"/>
      <c r="M116924" s="209"/>
      <c r="N116924" s="209"/>
      <c r="O116924" s="209"/>
    </row>
    <row r="116925" spans="1:15" s="210" customFormat="1" x14ac:dyDescent="0.3">
      <c r="A116925" s="12"/>
      <c r="B116925" s="15"/>
      <c r="C116925" s="15"/>
      <c r="D116925" s="12"/>
      <c r="E116925" s="12"/>
      <c r="F116925" s="13"/>
      <c r="G116925" s="12"/>
      <c r="H116925" s="12"/>
      <c r="I116925" s="12"/>
      <c r="J116925" s="12"/>
      <c r="K116925" s="12"/>
      <c r="L116925" s="208"/>
      <c r="M116925" s="209"/>
      <c r="N116925" s="209"/>
      <c r="O116925" s="209"/>
    </row>
    <row r="116926" spans="1:15" s="210" customFormat="1" x14ac:dyDescent="0.3">
      <c r="A116926" s="12"/>
      <c r="B116926" s="15"/>
      <c r="C116926" s="15"/>
      <c r="D116926" s="12"/>
      <c r="E116926" s="12"/>
      <c r="F116926" s="13"/>
      <c r="G116926" s="12"/>
      <c r="H116926" s="12"/>
      <c r="I116926" s="12"/>
      <c r="J116926" s="12"/>
      <c r="K116926" s="12"/>
      <c r="L116926" s="208"/>
      <c r="M116926" s="209"/>
      <c r="N116926" s="209"/>
      <c r="O116926" s="209"/>
    </row>
    <row r="116927" spans="1:15" s="210" customFormat="1" x14ac:dyDescent="0.3">
      <c r="A116927" s="12"/>
      <c r="B116927" s="15"/>
      <c r="C116927" s="15"/>
      <c r="D116927" s="12"/>
      <c r="E116927" s="12"/>
      <c r="F116927" s="13"/>
      <c r="G116927" s="12"/>
      <c r="H116927" s="12"/>
      <c r="I116927" s="12"/>
      <c r="J116927" s="12"/>
      <c r="K116927" s="12"/>
      <c r="L116927" s="208"/>
      <c r="M116927" s="209"/>
      <c r="N116927" s="209"/>
      <c r="O116927" s="209"/>
    </row>
    <row r="116928" spans="1:15" s="210" customFormat="1" x14ac:dyDescent="0.3">
      <c r="A116928" s="12"/>
      <c r="B116928" s="15"/>
      <c r="C116928" s="15"/>
      <c r="D116928" s="12"/>
      <c r="E116928" s="12"/>
      <c r="F116928" s="13"/>
      <c r="G116928" s="12"/>
      <c r="H116928" s="12"/>
      <c r="I116928" s="12"/>
      <c r="J116928" s="12"/>
      <c r="K116928" s="12"/>
      <c r="L116928" s="208"/>
      <c r="M116928" s="209"/>
      <c r="N116928" s="209"/>
      <c r="O116928" s="209"/>
    </row>
    <row r="116929" spans="1:15" s="210" customFormat="1" x14ac:dyDescent="0.3">
      <c r="A116929" s="12"/>
      <c r="B116929" s="15"/>
      <c r="C116929" s="15"/>
      <c r="D116929" s="12"/>
      <c r="E116929" s="12"/>
      <c r="F116929" s="13"/>
      <c r="G116929" s="12"/>
      <c r="H116929" s="12"/>
      <c r="I116929" s="12"/>
      <c r="J116929" s="12"/>
      <c r="K116929" s="12"/>
      <c r="L116929" s="208"/>
      <c r="M116929" s="209"/>
      <c r="N116929" s="209"/>
      <c r="O116929" s="209"/>
    </row>
    <row r="116930" spans="1:15" s="210" customFormat="1" x14ac:dyDescent="0.3">
      <c r="A116930" s="12"/>
      <c r="B116930" s="15"/>
      <c r="C116930" s="15"/>
      <c r="D116930" s="12"/>
      <c r="E116930" s="12"/>
      <c r="F116930" s="13"/>
      <c r="G116930" s="12"/>
      <c r="H116930" s="12"/>
      <c r="I116930" s="12"/>
      <c r="J116930" s="12"/>
      <c r="K116930" s="12"/>
      <c r="L116930" s="208"/>
      <c r="M116930" s="209"/>
      <c r="N116930" s="209"/>
      <c r="O116930" s="209"/>
    </row>
    <row r="116931" spans="1:15" s="210" customFormat="1" x14ac:dyDescent="0.3">
      <c r="A116931" s="12"/>
      <c r="B116931" s="15"/>
      <c r="C116931" s="15"/>
      <c r="D116931" s="12"/>
      <c r="E116931" s="12"/>
      <c r="F116931" s="13"/>
      <c r="G116931" s="12"/>
      <c r="H116931" s="12"/>
      <c r="I116931" s="12"/>
      <c r="J116931" s="12"/>
      <c r="K116931" s="12"/>
      <c r="L116931" s="208"/>
      <c r="M116931" s="209"/>
      <c r="N116931" s="209"/>
      <c r="O116931" s="209"/>
    </row>
    <row r="116932" spans="1:15" s="210" customFormat="1" x14ac:dyDescent="0.3">
      <c r="A116932" s="12"/>
      <c r="B116932" s="15"/>
      <c r="C116932" s="15"/>
      <c r="D116932" s="12"/>
      <c r="E116932" s="12"/>
      <c r="F116932" s="13"/>
      <c r="G116932" s="12"/>
      <c r="H116932" s="12"/>
      <c r="I116932" s="12"/>
      <c r="J116932" s="12"/>
      <c r="K116932" s="12"/>
      <c r="L116932" s="208"/>
      <c r="M116932" s="209"/>
      <c r="N116932" s="209"/>
      <c r="O116932" s="209"/>
    </row>
    <row r="116933" spans="1:15" s="210" customFormat="1" x14ac:dyDescent="0.3">
      <c r="A116933" s="12"/>
      <c r="B116933" s="15"/>
      <c r="C116933" s="15"/>
      <c r="D116933" s="12"/>
      <c r="E116933" s="12"/>
      <c r="F116933" s="13"/>
      <c r="G116933" s="12"/>
      <c r="H116933" s="12"/>
      <c r="I116933" s="12"/>
      <c r="J116933" s="12"/>
      <c r="K116933" s="12"/>
      <c r="L116933" s="208"/>
      <c r="M116933" s="209"/>
      <c r="N116933" s="209"/>
      <c r="O116933" s="209"/>
    </row>
    <row r="116934" spans="1:15" s="210" customFormat="1" x14ac:dyDescent="0.3">
      <c r="A116934" s="12"/>
      <c r="B116934" s="15"/>
      <c r="C116934" s="15"/>
      <c r="D116934" s="12"/>
      <c r="E116934" s="12"/>
      <c r="F116934" s="13"/>
      <c r="G116934" s="12"/>
      <c r="H116934" s="12"/>
      <c r="I116934" s="12"/>
      <c r="J116934" s="12"/>
      <c r="K116934" s="12"/>
      <c r="L116934" s="208"/>
      <c r="M116934" s="209"/>
      <c r="N116934" s="209"/>
      <c r="O116934" s="209"/>
    </row>
    <row r="116935" spans="1:15" s="210" customFormat="1" x14ac:dyDescent="0.3">
      <c r="A116935" s="12"/>
      <c r="B116935" s="15"/>
      <c r="C116935" s="15"/>
      <c r="D116935" s="12"/>
      <c r="E116935" s="12"/>
      <c r="F116935" s="13"/>
      <c r="G116935" s="12"/>
      <c r="H116935" s="12"/>
      <c r="I116935" s="12"/>
      <c r="J116935" s="12"/>
      <c r="K116935" s="12"/>
      <c r="L116935" s="208"/>
      <c r="M116935" s="209"/>
      <c r="N116935" s="209"/>
      <c r="O116935" s="209"/>
    </row>
    <row r="116936" spans="1:15" s="210" customFormat="1" x14ac:dyDescent="0.3">
      <c r="A116936" s="12"/>
      <c r="B116936" s="15"/>
      <c r="C116936" s="15"/>
      <c r="D116936" s="12"/>
      <c r="E116936" s="12"/>
      <c r="F116936" s="13"/>
      <c r="G116936" s="12"/>
      <c r="H116936" s="12"/>
      <c r="I116936" s="12"/>
      <c r="J116936" s="12"/>
      <c r="K116936" s="12"/>
      <c r="L116936" s="208"/>
      <c r="M116936" s="209"/>
      <c r="N116936" s="209"/>
      <c r="O116936" s="209"/>
    </row>
    <row r="116937" spans="1:15" s="210" customFormat="1" x14ac:dyDescent="0.3">
      <c r="A116937" s="12"/>
      <c r="B116937" s="15"/>
      <c r="C116937" s="15"/>
      <c r="D116937" s="12"/>
      <c r="E116937" s="12"/>
      <c r="F116937" s="13"/>
      <c r="G116937" s="12"/>
      <c r="H116937" s="12"/>
      <c r="I116937" s="12"/>
      <c r="J116937" s="12"/>
      <c r="K116937" s="12"/>
      <c r="L116937" s="208"/>
      <c r="M116937" s="209"/>
      <c r="N116937" s="209"/>
      <c r="O116937" s="209"/>
    </row>
    <row r="116938" spans="1:15" s="210" customFormat="1" x14ac:dyDescent="0.3">
      <c r="A116938" s="12"/>
      <c r="B116938" s="15"/>
      <c r="C116938" s="15"/>
      <c r="D116938" s="12"/>
      <c r="E116938" s="12"/>
      <c r="F116938" s="13"/>
      <c r="G116938" s="12"/>
      <c r="H116938" s="12"/>
      <c r="I116938" s="12"/>
      <c r="J116938" s="12"/>
      <c r="K116938" s="12"/>
      <c r="L116938" s="208"/>
      <c r="M116938" s="209"/>
      <c r="N116938" s="209"/>
      <c r="O116938" s="209"/>
    </row>
    <row r="116939" spans="1:15" s="210" customFormat="1" x14ac:dyDescent="0.3">
      <c r="A116939" s="12"/>
      <c r="B116939" s="15"/>
      <c r="C116939" s="15"/>
      <c r="D116939" s="12"/>
      <c r="E116939" s="12"/>
      <c r="F116939" s="13"/>
      <c r="G116939" s="12"/>
      <c r="H116939" s="12"/>
      <c r="I116939" s="12"/>
      <c r="J116939" s="12"/>
      <c r="K116939" s="12"/>
      <c r="L116939" s="208"/>
      <c r="M116939" s="209"/>
      <c r="N116939" s="209"/>
      <c r="O116939" s="209"/>
    </row>
    <row r="116940" spans="1:15" s="210" customFormat="1" x14ac:dyDescent="0.3">
      <c r="A116940" s="12"/>
      <c r="B116940" s="15"/>
      <c r="C116940" s="15"/>
      <c r="D116940" s="12"/>
      <c r="E116940" s="12"/>
      <c r="F116940" s="13"/>
      <c r="G116940" s="12"/>
      <c r="H116940" s="12"/>
      <c r="I116940" s="12"/>
      <c r="J116940" s="12"/>
      <c r="K116940" s="12"/>
      <c r="L116940" s="208"/>
      <c r="M116940" s="209"/>
      <c r="N116940" s="209"/>
      <c r="O116940" s="209"/>
    </row>
    <row r="116941" spans="1:15" s="210" customFormat="1" x14ac:dyDescent="0.3">
      <c r="A116941" s="12"/>
      <c r="B116941" s="15"/>
      <c r="C116941" s="15"/>
      <c r="D116941" s="12"/>
      <c r="E116941" s="12"/>
      <c r="F116941" s="13"/>
      <c r="G116941" s="12"/>
      <c r="H116941" s="12"/>
      <c r="I116941" s="12"/>
      <c r="J116941" s="12"/>
      <c r="K116941" s="12"/>
      <c r="L116941" s="208"/>
      <c r="M116941" s="209"/>
      <c r="N116941" s="209"/>
      <c r="O116941" s="209"/>
    </row>
    <row r="116942" spans="1:15" s="210" customFormat="1" x14ac:dyDescent="0.3">
      <c r="A116942" s="12"/>
      <c r="B116942" s="15"/>
      <c r="C116942" s="15"/>
      <c r="D116942" s="12"/>
      <c r="E116942" s="12"/>
      <c r="F116942" s="13"/>
      <c r="G116942" s="12"/>
      <c r="H116942" s="12"/>
      <c r="I116942" s="12"/>
      <c r="J116942" s="12"/>
      <c r="K116942" s="12"/>
      <c r="L116942" s="208"/>
      <c r="M116942" s="209"/>
      <c r="N116942" s="209"/>
      <c r="O116942" s="209"/>
    </row>
    <row r="116943" spans="1:15" s="210" customFormat="1" x14ac:dyDescent="0.3">
      <c r="A116943" s="12"/>
      <c r="B116943" s="15"/>
      <c r="C116943" s="15"/>
      <c r="D116943" s="12"/>
      <c r="E116943" s="12"/>
      <c r="F116943" s="13"/>
      <c r="G116943" s="12"/>
      <c r="H116943" s="12"/>
      <c r="I116943" s="12"/>
      <c r="J116943" s="12"/>
      <c r="K116943" s="12"/>
      <c r="L116943" s="208"/>
      <c r="M116943" s="209"/>
      <c r="N116943" s="209"/>
      <c r="O116943" s="209"/>
    </row>
    <row r="116944" spans="1:15" s="210" customFormat="1" x14ac:dyDescent="0.3">
      <c r="A116944" s="12"/>
      <c r="B116944" s="15"/>
      <c r="C116944" s="15"/>
      <c r="D116944" s="12"/>
      <c r="E116944" s="12"/>
      <c r="F116944" s="13"/>
      <c r="G116944" s="12"/>
      <c r="H116944" s="12"/>
      <c r="I116944" s="12"/>
      <c r="J116944" s="12"/>
      <c r="K116944" s="12"/>
      <c r="L116944" s="208"/>
      <c r="M116944" s="209"/>
      <c r="N116944" s="209"/>
      <c r="O116944" s="209"/>
    </row>
    <row r="116945" spans="1:15" s="210" customFormat="1" x14ac:dyDescent="0.3">
      <c r="A116945" s="12"/>
      <c r="B116945" s="15"/>
      <c r="C116945" s="15"/>
      <c r="D116945" s="12"/>
      <c r="E116945" s="12"/>
      <c r="F116945" s="13"/>
      <c r="G116945" s="12"/>
      <c r="H116945" s="12"/>
      <c r="I116945" s="12"/>
      <c r="J116945" s="12"/>
      <c r="K116945" s="12"/>
      <c r="L116945" s="208"/>
      <c r="M116945" s="209"/>
      <c r="N116945" s="209"/>
      <c r="O116945" s="209"/>
    </row>
    <row r="116946" spans="1:15" s="210" customFormat="1" x14ac:dyDescent="0.3">
      <c r="A116946" s="12"/>
      <c r="B116946" s="15"/>
      <c r="C116946" s="15"/>
      <c r="D116946" s="12"/>
      <c r="E116946" s="12"/>
      <c r="F116946" s="13"/>
      <c r="G116946" s="12"/>
      <c r="H116946" s="12"/>
      <c r="I116946" s="12"/>
      <c r="J116946" s="12"/>
      <c r="K116946" s="12"/>
      <c r="L116946" s="208"/>
      <c r="M116946" s="209"/>
      <c r="N116946" s="209"/>
      <c r="O116946" s="209"/>
    </row>
    <row r="116947" spans="1:15" s="210" customFormat="1" x14ac:dyDescent="0.3">
      <c r="A116947" s="12"/>
      <c r="B116947" s="15"/>
      <c r="C116947" s="15"/>
      <c r="D116947" s="12"/>
      <c r="E116947" s="12"/>
      <c r="F116947" s="13"/>
      <c r="G116947" s="12"/>
      <c r="H116947" s="12"/>
      <c r="I116947" s="12"/>
      <c r="J116947" s="12"/>
      <c r="K116947" s="12"/>
      <c r="L116947" s="208"/>
      <c r="M116947" s="209"/>
      <c r="N116947" s="209"/>
      <c r="O116947" s="209"/>
    </row>
    <row r="116948" spans="1:15" s="210" customFormat="1" x14ac:dyDescent="0.3">
      <c r="A116948" s="12"/>
      <c r="B116948" s="15"/>
      <c r="C116948" s="15"/>
      <c r="D116948" s="12"/>
      <c r="E116948" s="12"/>
      <c r="F116948" s="13"/>
      <c r="G116948" s="12"/>
      <c r="H116948" s="12"/>
      <c r="I116948" s="12"/>
      <c r="J116948" s="12"/>
      <c r="K116948" s="12"/>
      <c r="L116948" s="208"/>
      <c r="M116948" s="209"/>
      <c r="N116948" s="209"/>
      <c r="O116948" s="209"/>
    </row>
    <row r="116949" spans="1:15" s="210" customFormat="1" x14ac:dyDescent="0.3">
      <c r="A116949" s="12"/>
      <c r="B116949" s="15"/>
      <c r="C116949" s="15"/>
      <c r="D116949" s="12"/>
      <c r="E116949" s="12"/>
      <c r="F116949" s="13"/>
      <c r="G116949" s="12"/>
      <c r="H116949" s="12"/>
      <c r="I116949" s="12"/>
      <c r="J116949" s="12"/>
      <c r="K116949" s="12"/>
      <c r="L116949" s="208"/>
      <c r="M116949" s="209"/>
      <c r="N116949" s="209"/>
      <c r="O116949" s="209"/>
    </row>
    <row r="116950" spans="1:15" s="210" customFormat="1" x14ac:dyDescent="0.3">
      <c r="A116950" s="12"/>
      <c r="B116950" s="15"/>
      <c r="C116950" s="15"/>
      <c r="D116950" s="12"/>
      <c r="E116950" s="12"/>
      <c r="F116950" s="13"/>
      <c r="G116950" s="12"/>
      <c r="H116950" s="12"/>
      <c r="I116950" s="12"/>
      <c r="J116950" s="12"/>
      <c r="K116950" s="12"/>
      <c r="L116950" s="208"/>
      <c r="M116950" s="209"/>
      <c r="N116950" s="209"/>
      <c r="O116950" s="209"/>
    </row>
    <row r="116951" spans="1:15" s="210" customFormat="1" x14ac:dyDescent="0.3">
      <c r="A116951" s="12"/>
      <c r="B116951" s="15"/>
      <c r="C116951" s="15"/>
      <c r="D116951" s="12"/>
      <c r="E116951" s="12"/>
      <c r="F116951" s="13"/>
      <c r="G116951" s="12"/>
      <c r="H116951" s="12"/>
      <c r="I116951" s="12"/>
      <c r="J116951" s="12"/>
      <c r="K116951" s="12"/>
      <c r="L116951" s="208"/>
      <c r="M116951" s="209"/>
      <c r="N116951" s="209"/>
      <c r="O116951" s="209"/>
    </row>
    <row r="116952" spans="1:15" s="210" customFormat="1" x14ac:dyDescent="0.3">
      <c r="A116952" s="12"/>
      <c r="B116952" s="15"/>
      <c r="C116952" s="15"/>
      <c r="D116952" s="12"/>
      <c r="E116952" s="12"/>
      <c r="F116952" s="13"/>
      <c r="G116952" s="12"/>
      <c r="H116952" s="12"/>
      <c r="I116952" s="12"/>
      <c r="J116952" s="12"/>
      <c r="K116952" s="12"/>
      <c r="L116952" s="208"/>
      <c r="M116952" s="209"/>
      <c r="N116952" s="209"/>
      <c r="O116952" s="209"/>
    </row>
    <row r="116953" spans="1:15" s="210" customFormat="1" x14ac:dyDescent="0.3">
      <c r="A116953" s="12"/>
      <c r="B116953" s="15"/>
      <c r="C116953" s="15"/>
      <c r="D116953" s="12"/>
      <c r="E116953" s="12"/>
      <c r="F116953" s="13"/>
      <c r="G116953" s="12"/>
      <c r="H116953" s="12"/>
      <c r="I116953" s="12"/>
      <c r="J116953" s="12"/>
      <c r="K116953" s="12"/>
      <c r="L116953" s="208"/>
      <c r="M116953" s="209"/>
      <c r="N116953" s="209"/>
      <c r="O116953" s="209"/>
    </row>
    <row r="116954" spans="1:15" s="210" customFormat="1" x14ac:dyDescent="0.3">
      <c r="A116954" s="12"/>
      <c r="B116954" s="15"/>
      <c r="C116954" s="15"/>
      <c r="D116954" s="12"/>
      <c r="E116954" s="12"/>
      <c r="F116954" s="13"/>
      <c r="G116954" s="12"/>
      <c r="H116954" s="12"/>
      <c r="I116954" s="12"/>
      <c r="J116954" s="12"/>
      <c r="K116954" s="12"/>
      <c r="L116954" s="208"/>
      <c r="M116954" s="209"/>
      <c r="N116954" s="209"/>
      <c r="O116954" s="209"/>
    </row>
    <row r="116955" spans="1:15" s="210" customFormat="1" x14ac:dyDescent="0.3">
      <c r="A116955" s="12"/>
      <c r="B116955" s="15"/>
      <c r="C116955" s="15"/>
      <c r="D116955" s="12"/>
      <c r="E116955" s="12"/>
      <c r="F116955" s="13"/>
      <c r="G116955" s="12"/>
      <c r="H116955" s="12"/>
      <c r="I116955" s="12"/>
      <c r="J116955" s="12"/>
      <c r="K116955" s="12"/>
      <c r="L116955" s="208"/>
      <c r="M116955" s="209"/>
      <c r="N116955" s="209"/>
      <c r="O116955" s="209"/>
    </row>
    <row r="116956" spans="1:15" s="210" customFormat="1" x14ac:dyDescent="0.3">
      <c r="A116956" s="12"/>
      <c r="B116956" s="15"/>
      <c r="C116956" s="15"/>
      <c r="D116956" s="12"/>
      <c r="E116956" s="12"/>
      <c r="F116956" s="13"/>
      <c r="G116956" s="12"/>
      <c r="H116956" s="12"/>
      <c r="I116956" s="12"/>
      <c r="J116956" s="12"/>
      <c r="K116956" s="12"/>
      <c r="L116956" s="208"/>
      <c r="M116956" s="209"/>
      <c r="N116956" s="209"/>
      <c r="O116956" s="209"/>
    </row>
    <row r="116957" spans="1:15" s="210" customFormat="1" x14ac:dyDescent="0.3">
      <c r="A116957" s="12"/>
      <c r="B116957" s="15"/>
      <c r="C116957" s="15"/>
      <c r="D116957" s="12"/>
      <c r="E116957" s="12"/>
      <c r="F116957" s="13"/>
      <c r="G116957" s="12"/>
      <c r="H116957" s="12"/>
      <c r="I116957" s="12"/>
      <c r="J116957" s="12"/>
      <c r="K116957" s="12"/>
      <c r="L116957" s="208"/>
      <c r="M116957" s="209"/>
      <c r="N116957" s="209"/>
      <c r="O116957" s="209"/>
    </row>
    <row r="116958" spans="1:15" s="210" customFormat="1" x14ac:dyDescent="0.3">
      <c r="A116958" s="12"/>
      <c r="B116958" s="15"/>
      <c r="C116958" s="15"/>
      <c r="D116958" s="12"/>
      <c r="E116958" s="12"/>
      <c r="F116958" s="13"/>
      <c r="G116958" s="12"/>
      <c r="H116958" s="12"/>
      <c r="I116958" s="12"/>
      <c r="J116958" s="12"/>
      <c r="K116958" s="12"/>
      <c r="L116958" s="208"/>
      <c r="M116958" s="209"/>
      <c r="N116958" s="209"/>
      <c r="O116958" s="209"/>
    </row>
    <row r="116959" spans="1:15" s="210" customFormat="1" x14ac:dyDescent="0.3">
      <c r="A116959" s="12"/>
      <c r="B116959" s="15"/>
      <c r="C116959" s="15"/>
      <c r="D116959" s="12"/>
      <c r="E116959" s="12"/>
      <c r="F116959" s="13"/>
      <c r="G116959" s="12"/>
      <c r="H116959" s="12"/>
      <c r="I116959" s="12"/>
      <c r="J116959" s="12"/>
      <c r="K116959" s="12"/>
      <c r="L116959" s="208"/>
      <c r="M116959" s="209"/>
      <c r="N116959" s="209"/>
      <c r="O116959" s="209"/>
    </row>
    <row r="116960" spans="1:15" s="210" customFormat="1" x14ac:dyDescent="0.3">
      <c r="A116960" s="12"/>
      <c r="B116960" s="15"/>
      <c r="C116960" s="15"/>
      <c r="D116960" s="12"/>
      <c r="E116960" s="12"/>
      <c r="F116960" s="13"/>
      <c r="G116960" s="12"/>
      <c r="H116960" s="12"/>
      <c r="I116960" s="12"/>
      <c r="J116960" s="12"/>
      <c r="K116960" s="12"/>
      <c r="L116960" s="208"/>
      <c r="M116960" s="209"/>
      <c r="N116960" s="209"/>
      <c r="O116960" s="209"/>
    </row>
    <row r="116961" spans="1:15" s="210" customFormat="1" x14ac:dyDescent="0.3">
      <c r="A116961" s="12"/>
      <c r="B116961" s="15"/>
      <c r="C116961" s="15"/>
      <c r="D116961" s="12"/>
      <c r="E116961" s="12"/>
      <c r="F116961" s="13"/>
      <c r="G116961" s="12"/>
      <c r="H116961" s="12"/>
      <c r="I116961" s="12"/>
      <c r="J116961" s="12"/>
      <c r="K116961" s="12"/>
      <c r="L116961" s="208"/>
      <c r="M116961" s="209"/>
      <c r="N116961" s="209"/>
      <c r="O116961" s="209"/>
    </row>
    <row r="116962" spans="1:15" s="210" customFormat="1" x14ac:dyDescent="0.3">
      <c r="A116962" s="12"/>
      <c r="B116962" s="15"/>
      <c r="C116962" s="15"/>
      <c r="D116962" s="12"/>
      <c r="E116962" s="12"/>
      <c r="F116962" s="13"/>
      <c r="G116962" s="12"/>
      <c r="H116962" s="12"/>
      <c r="I116962" s="12"/>
      <c r="J116962" s="12"/>
      <c r="K116962" s="12"/>
      <c r="L116962" s="208"/>
      <c r="M116962" s="209"/>
      <c r="N116962" s="209"/>
      <c r="O116962" s="209"/>
    </row>
    <row r="116963" spans="1:15" s="210" customFormat="1" x14ac:dyDescent="0.3">
      <c r="A116963" s="12"/>
      <c r="B116963" s="15"/>
      <c r="C116963" s="15"/>
      <c r="D116963" s="12"/>
      <c r="E116963" s="12"/>
      <c r="F116963" s="13"/>
      <c r="G116963" s="12"/>
      <c r="H116963" s="12"/>
      <c r="I116963" s="12"/>
      <c r="J116963" s="12"/>
      <c r="K116963" s="12"/>
      <c r="L116963" s="208"/>
      <c r="M116963" s="209"/>
      <c r="N116963" s="209"/>
      <c r="O116963" s="209"/>
    </row>
    <row r="116964" spans="1:15" s="210" customFormat="1" x14ac:dyDescent="0.3">
      <c r="A116964" s="12"/>
      <c r="B116964" s="15"/>
      <c r="C116964" s="15"/>
      <c r="D116964" s="12"/>
      <c r="E116964" s="12"/>
      <c r="F116964" s="13"/>
      <c r="G116964" s="12"/>
      <c r="H116964" s="12"/>
      <c r="I116964" s="12"/>
      <c r="J116964" s="12"/>
      <c r="K116964" s="12"/>
      <c r="L116964" s="208"/>
      <c r="M116964" s="209"/>
      <c r="N116964" s="209"/>
      <c r="O116964" s="209"/>
    </row>
    <row r="116965" spans="1:15" s="210" customFormat="1" x14ac:dyDescent="0.3">
      <c r="A116965" s="12"/>
      <c r="B116965" s="15"/>
      <c r="C116965" s="15"/>
      <c r="D116965" s="12"/>
      <c r="E116965" s="12"/>
      <c r="F116965" s="13"/>
      <c r="G116965" s="12"/>
      <c r="H116965" s="12"/>
      <c r="I116965" s="12"/>
      <c r="J116965" s="12"/>
      <c r="K116965" s="12"/>
      <c r="L116965" s="208"/>
      <c r="M116965" s="209"/>
      <c r="N116965" s="209"/>
      <c r="O116965" s="209"/>
    </row>
    <row r="116966" spans="1:15" s="210" customFormat="1" x14ac:dyDescent="0.3">
      <c r="A116966" s="12"/>
      <c r="B116966" s="15"/>
      <c r="C116966" s="15"/>
      <c r="D116966" s="12"/>
      <c r="E116966" s="12"/>
      <c r="F116966" s="13"/>
      <c r="G116966" s="12"/>
      <c r="H116966" s="12"/>
      <c r="I116966" s="12"/>
      <c r="J116966" s="12"/>
      <c r="K116966" s="12"/>
      <c r="L116966" s="208"/>
      <c r="M116966" s="209"/>
      <c r="N116966" s="209"/>
      <c r="O116966" s="209"/>
    </row>
    <row r="116967" spans="1:15" s="210" customFormat="1" x14ac:dyDescent="0.3">
      <c r="A116967" s="12"/>
      <c r="B116967" s="15"/>
      <c r="C116967" s="15"/>
      <c r="D116967" s="12"/>
      <c r="E116967" s="12"/>
      <c r="F116967" s="13"/>
      <c r="G116967" s="12"/>
      <c r="H116967" s="12"/>
      <c r="I116967" s="12"/>
      <c r="J116967" s="12"/>
      <c r="K116967" s="12"/>
      <c r="L116967" s="208"/>
      <c r="M116967" s="209"/>
      <c r="N116967" s="209"/>
      <c r="O116967" s="209"/>
    </row>
    <row r="116968" spans="1:15" s="210" customFormat="1" x14ac:dyDescent="0.3">
      <c r="A116968" s="12"/>
      <c r="B116968" s="15"/>
      <c r="C116968" s="15"/>
      <c r="D116968" s="12"/>
      <c r="E116968" s="12"/>
      <c r="F116968" s="13"/>
      <c r="G116968" s="12"/>
      <c r="H116968" s="12"/>
      <c r="I116968" s="12"/>
      <c r="J116968" s="12"/>
      <c r="K116968" s="12"/>
      <c r="L116968" s="208"/>
      <c r="M116968" s="209"/>
      <c r="N116968" s="209"/>
      <c r="O116968" s="209"/>
    </row>
    <row r="116969" spans="1:15" s="210" customFormat="1" x14ac:dyDescent="0.3">
      <c r="A116969" s="12"/>
      <c r="B116969" s="15"/>
      <c r="C116969" s="15"/>
      <c r="D116969" s="12"/>
      <c r="E116969" s="12"/>
      <c r="F116969" s="13"/>
      <c r="G116969" s="12"/>
      <c r="H116969" s="12"/>
      <c r="I116969" s="12"/>
      <c r="J116969" s="12"/>
      <c r="K116969" s="12"/>
      <c r="L116969" s="208"/>
      <c r="M116969" s="209"/>
      <c r="N116969" s="209"/>
      <c r="O116969" s="209"/>
    </row>
    <row r="116970" spans="1:15" s="210" customFormat="1" x14ac:dyDescent="0.3">
      <c r="A116970" s="12"/>
      <c r="B116970" s="15"/>
      <c r="C116970" s="15"/>
      <c r="D116970" s="12"/>
      <c r="E116970" s="12"/>
      <c r="F116970" s="13"/>
      <c r="G116970" s="12"/>
      <c r="H116970" s="12"/>
      <c r="I116970" s="12"/>
      <c r="J116970" s="12"/>
      <c r="K116970" s="12"/>
      <c r="L116970" s="208"/>
      <c r="M116970" s="209"/>
      <c r="N116970" s="209"/>
      <c r="O116970" s="209"/>
    </row>
    <row r="116971" spans="1:15" s="210" customFormat="1" x14ac:dyDescent="0.3">
      <c r="A116971" s="12"/>
      <c r="B116971" s="15"/>
      <c r="C116971" s="15"/>
      <c r="D116971" s="12"/>
      <c r="E116971" s="12"/>
      <c r="F116971" s="13"/>
      <c r="G116971" s="12"/>
      <c r="H116971" s="12"/>
      <c r="I116971" s="12"/>
      <c r="J116971" s="12"/>
      <c r="K116971" s="12"/>
      <c r="L116971" s="208"/>
      <c r="M116971" s="209"/>
      <c r="N116971" s="209"/>
      <c r="O116971" s="209"/>
    </row>
    <row r="116972" spans="1:15" s="210" customFormat="1" x14ac:dyDescent="0.3">
      <c r="A116972" s="12"/>
      <c r="B116972" s="15"/>
      <c r="C116972" s="15"/>
      <c r="D116972" s="12"/>
      <c r="E116972" s="12"/>
      <c r="F116972" s="13"/>
      <c r="G116972" s="12"/>
      <c r="H116972" s="12"/>
      <c r="I116972" s="12"/>
      <c r="J116972" s="12"/>
      <c r="K116972" s="12"/>
      <c r="L116972" s="208"/>
      <c r="M116972" s="209"/>
      <c r="N116972" s="209"/>
      <c r="O116972" s="209"/>
    </row>
    <row r="116973" spans="1:15" s="210" customFormat="1" x14ac:dyDescent="0.3">
      <c r="A116973" s="12"/>
      <c r="B116973" s="15"/>
      <c r="C116973" s="15"/>
      <c r="D116973" s="12"/>
      <c r="E116973" s="12"/>
      <c r="F116973" s="13"/>
      <c r="G116973" s="12"/>
      <c r="H116973" s="12"/>
      <c r="I116973" s="12"/>
      <c r="J116973" s="12"/>
      <c r="K116973" s="12"/>
      <c r="L116973" s="208"/>
      <c r="M116973" s="209"/>
      <c r="N116973" s="209"/>
      <c r="O116973" s="209"/>
    </row>
    <row r="116974" spans="1:15" s="210" customFormat="1" x14ac:dyDescent="0.3">
      <c r="A116974" s="12"/>
      <c r="B116974" s="15"/>
      <c r="C116974" s="15"/>
      <c r="D116974" s="12"/>
      <c r="E116974" s="12"/>
      <c r="F116974" s="13"/>
      <c r="G116974" s="12"/>
      <c r="H116974" s="12"/>
      <c r="I116974" s="12"/>
      <c r="J116974" s="12"/>
      <c r="K116974" s="12"/>
      <c r="L116974" s="208"/>
      <c r="M116974" s="209"/>
      <c r="N116974" s="209"/>
      <c r="O116974" s="209"/>
    </row>
    <row r="116975" spans="1:15" s="210" customFormat="1" x14ac:dyDescent="0.3">
      <c r="A116975" s="12"/>
      <c r="B116975" s="15"/>
      <c r="C116975" s="15"/>
      <c r="D116975" s="12"/>
      <c r="E116975" s="12"/>
      <c r="F116975" s="13"/>
      <c r="G116975" s="12"/>
      <c r="H116975" s="12"/>
      <c r="I116975" s="12"/>
      <c r="J116975" s="12"/>
      <c r="K116975" s="12"/>
      <c r="L116975" s="208"/>
      <c r="M116975" s="209"/>
      <c r="N116975" s="209"/>
      <c r="O116975" s="209"/>
    </row>
    <row r="116976" spans="1:15" s="210" customFormat="1" x14ac:dyDescent="0.3">
      <c r="A116976" s="12"/>
      <c r="B116976" s="15"/>
      <c r="C116976" s="15"/>
      <c r="D116976" s="12"/>
      <c r="E116976" s="12"/>
      <c r="F116976" s="13"/>
      <c r="G116976" s="12"/>
      <c r="H116976" s="12"/>
      <c r="I116976" s="12"/>
      <c r="J116976" s="12"/>
      <c r="K116976" s="12"/>
      <c r="L116976" s="208"/>
      <c r="M116976" s="209"/>
      <c r="N116976" s="209"/>
      <c r="O116976" s="209"/>
    </row>
    <row r="116977" spans="1:15" s="210" customFormat="1" x14ac:dyDescent="0.3">
      <c r="A116977" s="12"/>
      <c r="B116977" s="15"/>
      <c r="C116977" s="15"/>
      <c r="D116977" s="12"/>
      <c r="E116977" s="12"/>
      <c r="F116977" s="13"/>
      <c r="G116977" s="12"/>
      <c r="H116977" s="12"/>
      <c r="I116977" s="12"/>
      <c r="J116977" s="12"/>
      <c r="K116977" s="12"/>
      <c r="L116977" s="208"/>
      <c r="M116977" s="209"/>
      <c r="N116977" s="209"/>
      <c r="O116977" s="209"/>
    </row>
    <row r="116978" spans="1:15" s="210" customFormat="1" x14ac:dyDescent="0.3">
      <c r="A116978" s="12"/>
      <c r="B116978" s="15"/>
      <c r="C116978" s="15"/>
      <c r="D116978" s="12"/>
      <c r="E116978" s="12"/>
      <c r="F116978" s="13"/>
      <c r="G116978" s="12"/>
      <c r="H116978" s="12"/>
      <c r="I116978" s="12"/>
      <c r="J116978" s="12"/>
      <c r="K116978" s="12"/>
      <c r="L116978" s="208"/>
      <c r="M116978" s="209"/>
      <c r="N116978" s="209"/>
      <c r="O116978" s="209"/>
    </row>
    <row r="116979" spans="1:15" s="210" customFormat="1" x14ac:dyDescent="0.3">
      <c r="A116979" s="12"/>
      <c r="B116979" s="15"/>
      <c r="C116979" s="15"/>
      <c r="D116979" s="12"/>
      <c r="E116979" s="12"/>
      <c r="F116979" s="13"/>
      <c r="G116979" s="12"/>
      <c r="H116979" s="12"/>
      <c r="I116979" s="12"/>
      <c r="J116979" s="12"/>
      <c r="K116979" s="12"/>
      <c r="L116979" s="208"/>
      <c r="M116979" s="209"/>
      <c r="N116979" s="209"/>
      <c r="O116979" s="209"/>
    </row>
    <row r="116980" spans="1:15" s="210" customFormat="1" x14ac:dyDescent="0.3">
      <c r="A116980" s="12"/>
      <c r="B116980" s="15"/>
      <c r="C116980" s="15"/>
      <c r="D116980" s="12"/>
      <c r="E116980" s="12"/>
      <c r="F116980" s="13"/>
      <c r="G116980" s="12"/>
      <c r="H116980" s="12"/>
      <c r="I116980" s="12"/>
      <c r="J116980" s="12"/>
      <c r="K116980" s="12"/>
      <c r="L116980" s="208"/>
      <c r="M116980" s="209"/>
      <c r="N116980" s="209"/>
      <c r="O116980" s="209"/>
    </row>
    <row r="116981" spans="1:15" s="210" customFormat="1" x14ac:dyDescent="0.3">
      <c r="A116981" s="12"/>
      <c r="B116981" s="15"/>
      <c r="C116981" s="15"/>
      <c r="D116981" s="12"/>
      <c r="E116981" s="12"/>
      <c r="F116981" s="13"/>
      <c r="G116981" s="12"/>
      <c r="H116981" s="12"/>
      <c r="I116981" s="12"/>
      <c r="J116981" s="12"/>
      <c r="K116981" s="12"/>
      <c r="L116981" s="208"/>
      <c r="M116981" s="209"/>
      <c r="N116981" s="209"/>
      <c r="O116981" s="209"/>
    </row>
    <row r="116982" spans="1:15" s="210" customFormat="1" x14ac:dyDescent="0.3">
      <c r="A116982" s="12"/>
      <c r="B116982" s="15"/>
      <c r="C116982" s="15"/>
      <c r="D116982" s="12"/>
      <c r="E116982" s="12"/>
      <c r="F116982" s="13"/>
      <c r="G116982" s="12"/>
      <c r="H116982" s="12"/>
      <c r="I116982" s="12"/>
      <c r="J116982" s="12"/>
      <c r="K116982" s="12"/>
      <c r="L116982" s="208"/>
      <c r="M116982" s="209"/>
      <c r="N116982" s="209"/>
      <c r="O116982" s="209"/>
    </row>
    <row r="116983" spans="1:15" s="210" customFormat="1" x14ac:dyDescent="0.3">
      <c r="A116983" s="12"/>
      <c r="B116983" s="15"/>
      <c r="C116983" s="15"/>
      <c r="D116983" s="12"/>
      <c r="E116983" s="12"/>
      <c r="F116983" s="13"/>
      <c r="G116983" s="12"/>
      <c r="H116983" s="12"/>
      <c r="I116983" s="12"/>
      <c r="J116983" s="12"/>
      <c r="K116983" s="12"/>
      <c r="L116983" s="208"/>
      <c r="M116983" s="209"/>
      <c r="N116983" s="209"/>
      <c r="O116983" s="209"/>
    </row>
    <row r="116984" spans="1:15" s="210" customFormat="1" x14ac:dyDescent="0.3">
      <c r="A116984" s="12"/>
      <c r="B116984" s="15"/>
      <c r="C116984" s="15"/>
      <c r="D116984" s="12"/>
      <c r="E116984" s="12"/>
      <c r="F116984" s="13"/>
      <c r="G116984" s="12"/>
      <c r="H116984" s="12"/>
      <c r="I116984" s="12"/>
      <c r="J116984" s="12"/>
      <c r="K116984" s="12"/>
      <c r="L116984" s="208"/>
      <c r="M116984" s="209"/>
      <c r="N116984" s="209"/>
      <c r="O116984" s="209"/>
    </row>
    <row r="116985" spans="1:15" s="210" customFormat="1" x14ac:dyDescent="0.3">
      <c r="A116985" s="12"/>
      <c r="B116985" s="15"/>
      <c r="C116985" s="15"/>
      <c r="D116985" s="12"/>
      <c r="E116985" s="12"/>
      <c r="F116985" s="13"/>
      <c r="G116985" s="12"/>
      <c r="H116985" s="12"/>
      <c r="I116985" s="12"/>
      <c r="J116985" s="12"/>
      <c r="K116985" s="12"/>
      <c r="L116985" s="208"/>
      <c r="M116985" s="209"/>
      <c r="N116985" s="209"/>
      <c r="O116985" s="209"/>
    </row>
    <row r="116986" spans="1:15" s="210" customFormat="1" x14ac:dyDescent="0.3">
      <c r="A116986" s="12"/>
      <c r="B116986" s="15"/>
      <c r="C116986" s="15"/>
      <c r="D116986" s="12"/>
      <c r="E116986" s="12"/>
      <c r="F116986" s="13"/>
      <c r="G116986" s="12"/>
      <c r="H116986" s="12"/>
      <c r="I116986" s="12"/>
      <c r="J116986" s="12"/>
      <c r="K116986" s="12"/>
      <c r="L116986" s="208"/>
      <c r="M116986" s="209"/>
      <c r="N116986" s="209"/>
      <c r="O116986" s="209"/>
    </row>
    <row r="116987" spans="1:15" s="210" customFormat="1" x14ac:dyDescent="0.3">
      <c r="A116987" s="12"/>
      <c r="B116987" s="15"/>
      <c r="C116987" s="15"/>
      <c r="D116987" s="12"/>
      <c r="E116987" s="12"/>
      <c r="F116987" s="13"/>
      <c r="G116987" s="12"/>
      <c r="H116987" s="12"/>
      <c r="I116987" s="12"/>
      <c r="J116987" s="12"/>
      <c r="K116987" s="12"/>
      <c r="L116987" s="208"/>
      <c r="M116987" s="209"/>
      <c r="N116987" s="209"/>
      <c r="O116987" s="209"/>
    </row>
    <row r="116988" spans="1:15" s="210" customFormat="1" x14ac:dyDescent="0.3">
      <c r="A116988" s="12"/>
      <c r="B116988" s="15"/>
      <c r="C116988" s="15"/>
      <c r="D116988" s="12"/>
      <c r="E116988" s="12"/>
      <c r="F116988" s="13"/>
      <c r="G116988" s="12"/>
      <c r="H116988" s="12"/>
      <c r="I116988" s="12"/>
      <c r="J116988" s="12"/>
      <c r="K116988" s="12"/>
      <c r="L116988" s="208"/>
      <c r="M116988" s="209"/>
      <c r="N116988" s="209"/>
      <c r="O116988" s="209"/>
    </row>
    <row r="116989" spans="1:15" s="210" customFormat="1" x14ac:dyDescent="0.3">
      <c r="A116989" s="12"/>
      <c r="B116989" s="15"/>
      <c r="C116989" s="15"/>
      <c r="D116989" s="12"/>
      <c r="E116989" s="12"/>
      <c r="F116989" s="13"/>
      <c r="G116989" s="12"/>
      <c r="H116989" s="12"/>
      <c r="I116989" s="12"/>
      <c r="J116989" s="12"/>
      <c r="K116989" s="12"/>
      <c r="L116989" s="208"/>
      <c r="M116989" s="209"/>
      <c r="N116989" s="209"/>
      <c r="O116989" s="209"/>
    </row>
    <row r="116990" spans="1:15" s="210" customFormat="1" x14ac:dyDescent="0.3">
      <c r="A116990" s="12"/>
      <c r="B116990" s="15"/>
      <c r="C116990" s="15"/>
      <c r="D116990" s="12"/>
      <c r="E116990" s="12"/>
      <c r="F116990" s="13"/>
      <c r="G116990" s="12"/>
      <c r="H116990" s="12"/>
      <c r="I116990" s="12"/>
      <c r="J116990" s="12"/>
      <c r="K116990" s="12"/>
      <c r="L116990" s="208"/>
      <c r="M116990" s="209"/>
      <c r="N116990" s="209"/>
      <c r="O116990" s="209"/>
    </row>
    <row r="116991" spans="1:15" s="210" customFormat="1" x14ac:dyDescent="0.3">
      <c r="A116991" s="12"/>
      <c r="B116991" s="15"/>
      <c r="C116991" s="15"/>
      <c r="D116991" s="12"/>
      <c r="E116991" s="12"/>
      <c r="F116991" s="13"/>
      <c r="G116991" s="12"/>
      <c r="H116991" s="12"/>
      <c r="I116991" s="12"/>
      <c r="J116991" s="12"/>
      <c r="K116991" s="12"/>
      <c r="L116991" s="208"/>
      <c r="M116991" s="209"/>
      <c r="N116991" s="209"/>
      <c r="O116991" s="209"/>
    </row>
    <row r="116992" spans="1:15" s="210" customFormat="1" x14ac:dyDescent="0.3">
      <c r="A116992" s="12"/>
      <c r="B116992" s="15"/>
      <c r="C116992" s="15"/>
      <c r="D116992" s="12"/>
      <c r="E116992" s="12"/>
      <c r="F116992" s="13"/>
      <c r="G116992" s="12"/>
      <c r="H116992" s="12"/>
      <c r="I116992" s="12"/>
      <c r="J116992" s="12"/>
      <c r="K116992" s="12"/>
      <c r="L116992" s="208"/>
      <c r="M116992" s="209"/>
      <c r="N116992" s="209"/>
      <c r="O116992" s="209"/>
    </row>
    <row r="116993" spans="1:15" s="210" customFormat="1" x14ac:dyDescent="0.3">
      <c r="A116993" s="12"/>
      <c r="B116993" s="15"/>
      <c r="C116993" s="15"/>
      <c r="D116993" s="12"/>
      <c r="E116993" s="12"/>
      <c r="F116993" s="13"/>
      <c r="G116993" s="12"/>
      <c r="H116993" s="12"/>
      <c r="I116993" s="12"/>
      <c r="J116993" s="12"/>
      <c r="K116993" s="12"/>
      <c r="L116993" s="208"/>
      <c r="M116993" s="209"/>
      <c r="N116993" s="209"/>
      <c r="O116993" s="209"/>
    </row>
    <row r="116994" spans="1:15" s="210" customFormat="1" x14ac:dyDescent="0.3">
      <c r="A116994" s="12"/>
      <c r="B116994" s="15"/>
      <c r="C116994" s="15"/>
      <c r="D116994" s="12"/>
      <c r="E116994" s="12"/>
      <c r="F116994" s="13"/>
      <c r="G116994" s="12"/>
      <c r="H116994" s="12"/>
      <c r="I116994" s="12"/>
      <c r="J116994" s="12"/>
      <c r="K116994" s="12"/>
      <c r="L116994" s="208"/>
      <c r="M116994" s="209"/>
      <c r="N116994" s="209"/>
      <c r="O116994" s="209"/>
    </row>
    <row r="116995" spans="1:15" s="210" customFormat="1" x14ac:dyDescent="0.3">
      <c r="A116995" s="12"/>
      <c r="B116995" s="15"/>
      <c r="C116995" s="15"/>
      <c r="D116995" s="12"/>
      <c r="E116995" s="12"/>
      <c r="F116995" s="13"/>
      <c r="G116995" s="12"/>
      <c r="H116995" s="12"/>
      <c r="I116995" s="12"/>
      <c r="J116995" s="12"/>
      <c r="K116995" s="12"/>
      <c r="L116995" s="208"/>
      <c r="M116995" s="209"/>
      <c r="N116995" s="209"/>
      <c r="O116995" s="209"/>
    </row>
    <row r="116996" spans="1:15" s="210" customFormat="1" x14ac:dyDescent="0.3">
      <c r="A116996" s="12"/>
      <c r="B116996" s="15"/>
      <c r="C116996" s="15"/>
      <c r="D116996" s="12"/>
      <c r="E116996" s="12"/>
      <c r="F116996" s="13"/>
      <c r="G116996" s="12"/>
      <c r="H116996" s="12"/>
      <c r="I116996" s="12"/>
      <c r="J116996" s="12"/>
      <c r="K116996" s="12"/>
      <c r="L116996" s="208"/>
      <c r="M116996" s="209"/>
      <c r="N116996" s="209"/>
      <c r="O116996" s="209"/>
    </row>
    <row r="116997" spans="1:15" s="210" customFormat="1" x14ac:dyDescent="0.3">
      <c r="A116997" s="12"/>
      <c r="B116997" s="15"/>
      <c r="C116997" s="15"/>
      <c r="D116997" s="12"/>
      <c r="E116997" s="12"/>
      <c r="F116997" s="13"/>
      <c r="G116997" s="12"/>
      <c r="H116997" s="12"/>
      <c r="I116997" s="12"/>
      <c r="J116997" s="12"/>
      <c r="K116997" s="12"/>
      <c r="L116997" s="208"/>
      <c r="M116997" s="209"/>
      <c r="N116997" s="209"/>
      <c r="O116997" s="209"/>
    </row>
    <row r="116998" spans="1:15" s="210" customFormat="1" x14ac:dyDescent="0.3">
      <c r="A116998" s="12"/>
      <c r="B116998" s="15"/>
      <c r="C116998" s="15"/>
      <c r="D116998" s="12"/>
      <c r="E116998" s="12"/>
      <c r="F116998" s="13"/>
      <c r="G116998" s="12"/>
      <c r="H116998" s="12"/>
      <c r="I116998" s="12"/>
      <c r="J116998" s="12"/>
      <c r="K116998" s="12"/>
      <c r="L116998" s="208"/>
      <c r="M116998" s="209"/>
      <c r="N116998" s="209"/>
      <c r="O116998" s="209"/>
    </row>
    <row r="116999" spans="1:15" s="210" customFormat="1" x14ac:dyDescent="0.3">
      <c r="A116999" s="12"/>
      <c r="B116999" s="15"/>
      <c r="C116999" s="15"/>
      <c r="D116999" s="12"/>
      <c r="E116999" s="12"/>
      <c r="F116999" s="13"/>
      <c r="G116999" s="12"/>
      <c r="H116999" s="12"/>
      <c r="I116999" s="12"/>
      <c r="J116999" s="12"/>
      <c r="K116999" s="12"/>
      <c r="L116999" s="208"/>
      <c r="M116999" s="209"/>
      <c r="N116999" s="209"/>
      <c r="O116999" s="209"/>
    </row>
    <row r="117000" spans="1:15" s="210" customFormat="1" x14ac:dyDescent="0.3">
      <c r="A117000" s="12"/>
      <c r="B117000" s="15"/>
      <c r="C117000" s="15"/>
      <c r="D117000" s="12"/>
      <c r="E117000" s="12"/>
      <c r="F117000" s="13"/>
      <c r="G117000" s="12"/>
      <c r="H117000" s="12"/>
      <c r="I117000" s="12"/>
      <c r="J117000" s="12"/>
      <c r="K117000" s="12"/>
      <c r="L117000" s="208"/>
      <c r="M117000" s="209"/>
      <c r="N117000" s="209"/>
      <c r="O117000" s="209"/>
    </row>
    <row r="117001" spans="1:15" s="210" customFormat="1" x14ac:dyDescent="0.3">
      <c r="A117001" s="12"/>
      <c r="B117001" s="15"/>
      <c r="C117001" s="15"/>
      <c r="D117001" s="12"/>
      <c r="E117001" s="12"/>
      <c r="F117001" s="13"/>
      <c r="G117001" s="12"/>
      <c r="H117001" s="12"/>
      <c r="I117001" s="12"/>
      <c r="J117001" s="12"/>
      <c r="K117001" s="12"/>
      <c r="L117001" s="208"/>
      <c r="M117001" s="209"/>
      <c r="N117001" s="209"/>
      <c r="O117001" s="209"/>
    </row>
    <row r="117002" spans="1:15" s="210" customFormat="1" x14ac:dyDescent="0.3">
      <c r="A117002" s="12"/>
      <c r="B117002" s="15"/>
      <c r="C117002" s="15"/>
      <c r="D117002" s="12"/>
      <c r="E117002" s="12"/>
      <c r="F117002" s="13"/>
      <c r="G117002" s="12"/>
      <c r="H117002" s="12"/>
      <c r="I117002" s="12"/>
      <c r="J117002" s="12"/>
      <c r="K117002" s="12"/>
      <c r="L117002" s="208"/>
      <c r="M117002" s="209"/>
      <c r="N117002" s="209"/>
      <c r="O117002" s="209"/>
    </row>
    <row r="117003" spans="1:15" s="210" customFormat="1" x14ac:dyDescent="0.3">
      <c r="A117003" s="12"/>
      <c r="B117003" s="15"/>
      <c r="C117003" s="15"/>
      <c r="D117003" s="12"/>
      <c r="E117003" s="12"/>
      <c r="F117003" s="13"/>
      <c r="G117003" s="12"/>
      <c r="H117003" s="12"/>
      <c r="I117003" s="12"/>
      <c r="J117003" s="12"/>
      <c r="K117003" s="12"/>
      <c r="L117003" s="208"/>
      <c r="M117003" s="209"/>
      <c r="N117003" s="209"/>
      <c r="O117003" s="209"/>
    </row>
    <row r="117004" spans="1:15" s="210" customFormat="1" x14ac:dyDescent="0.3">
      <c r="A117004" s="12"/>
      <c r="B117004" s="15"/>
      <c r="C117004" s="15"/>
      <c r="D117004" s="12"/>
      <c r="E117004" s="12"/>
      <c r="F117004" s="13"/>
      <c r="G117004" s="12"/>
      <c r="H117004" s="12"/>
      <c r="I117004" s="12"/>
      <c r="J117004" s="12"/>
      <c r="K117004" s="12"/>
      <c r="L117004" s="208"/>
      <c r="M117004" s="209"/>
      <c r="N117004" s="209"/>
      <c r="O117004" s="209"/>
    </row>
    <row r="117005" spans="1:15" s="210" customFormat="1" x14ac:dyDescent="0.3">
      <c r="A117005" s="12"/>
      <c r="B117005" s="15"/>
      <c r="C117005" s="15"/>
      <c r="D117005" s="12"/>
      <c r="E117005" s="12"/>
      <c r="F117005" s="13"/>
      <c r="G117005" s="12"/>
      <c r="H117005" s="12"/>
      <c r="I117005" s="12"/>
      <c r="J117005" s="12"/>
      <c r="K117005" s="12"/>
      <c r="L117005" s="208"/>
      <c r="M117005" s="209"/>
      <c r="N117005" s="209"/>
      <c r="O117005" s="209"/>
    </row>
    <row r="117006" spans="1:15" s="210" customFormat="1" x14ac:dyDescent="0.3">
      <c r="A117006" s="12"/>
      <c r="B117006" s="15"/>
      <c r="C117006" s="15"/>
      <c r="D117006" s="12"/>
      <c r="E117006" s="12"/>
      <c r="F117006" s="13"/>
      <c r="G117006" s="12"/>
      <c r="H117006" s="12"/>
      <c r="I117006" s="12"/>
      <c r="J117006" s="12"/>
      <c r="K117006" s="12"/>
      <c r="L117006" s="208"/>
      <c r="M117006" s="209"/>
      <c r="N117006" s="209"/>
      <c r="O117006" s="209"/>
    </row>
    <row r="117007" spans="1:15" s="210" customFormat="1" x14ac:dyDescent="0.3">
      <c r="A117007" s="12"/>
      <c r="B117007" s="15"/>
      <c r="C117007" s="15"/>
      <c r="D117007" s="12"/>
      <c r="E117007" s="12"/>
      <c r="F117007" s="13"/>
      <c r="G117007" s="12"/>
      <c r="H117007" s="12"/>
      <c r="I117007" s="12"/>
      <c r="J117007" s="12"/>
      <c r="K117007" s="12"/>
      <c r="L117007" s="208"/>
      <c r="M117007" s="209"/>
      <c r="N117007" s="209"/>
      <c r="O117007" s="209"/>
    </row>
    <row r="117008" spans="1:15" s="210" customFormat="1" x14ac:dyDescent="0.3">
      <c r="A117008" s="12"/>
      <c r="B117008" s="15"/>
      <c r="C117008" s="15"/>
      <c r="D117008" s="12"/>
      <c r="E117008" s="12"/>
      <c r="F117008" s="13"/>
      <c r="G117008" s="12"/>
      <c r="H117008" s="12"/>
      <c r="I117008" s="12"/>
      <c r="J117008" s="12"/>
      <c r="K117008" s="12"/>
      <c r="L117008" s="208"/>
      <c r="M117008" s="209"/>
      <c r="N117008" s="209"/>
      <c r="O117008" s="209"/>
    </row>
    <row r="117009" spans="1:15" s="210" customFormat="1" x14ac:dyDescent="0.3">
      <c r="A117009" s="12"/>
      <c r="B117009" s="15"/>
      <c r="C117009" s="15"/>
      <c r="D117009" s="12"/>
      <c r="E117009" s="12"/>
      <c r="F117009" s="13"/>
      <c r="G117009" s="12"/>
      <c r="H117009" s="12"/>
      <c r="I117009" s="12"/>
      <c r="J117009" s="12"/>
      <c r="K117009" s="12"/>
      <c r="L117009" s="208"/>
      <c r="M117009" s="209"/>
      <c r="N117009" s="209"/>
      <c r="O117009" s="209"/>
    </row>
    <row r="117010" spans="1:15" s="210" customFormat="1" x14ac:dyDescent="0.3">
      <c r="A117010" s="12"/>
      <c r="B117010" s="15"/>
      <c r="C117010" s="15"/>
      <c r="D117010" s="12"/>
      <c r="E117010" s="12"/>
      <c r="F117010" s="13"/>
      <c r="G117010" s="12"/>
      <c r="H117010" s="12"/>
      <c r="I117010" s="12"/>
      <c r="J117010" s="12"/>
      <c r="K117010" s="12"/>
      <c r="L117010" s="208"/>
      <c r="M117010" s="209"/>
      <c r="N117010" s="209"/>
      <c r="O117010" s="209"/>
    </row>
    <row r="117011" spans="1:15" s="210" customFormat="1" x14ac:dyDescent="0.3">
      <c r="A117011" s="12"/>
      <c r="B117011" s="15"/>
      <c r="C117011" s="15"/>
      <c r="D117011" s="12"/>
      <c r="E117011" s="12"/>
      <c r="F117011" s="13"/>
      <c r="G117011" s="12"/>
      <c r="H117011" s="12"/>
      <c r="I117011" s="12"/>
      <c r="J117011" s="12"/>
      <c r="K117011" s="12"/>
      <c r="L117011" s="208"/>
      <c r="M117011" s="209"/>
      <c r="N117011" s="209"/>
      <c r="O117011" s="209"/>
    </row>
    <row r="117012" spans="1:15" s="210" customFormat="1" x14ac:dyDescent="0.3">
      <c r="A117012" s="12"/>
      <c r="B117012" s="15"/>
      <c r="C117012" s="15"/>
      <c r="D117012" s="12"/>
      <c r="E117012" s="12"/>
      <c r="F117012" s="13"/>
      <c r="G117012" s="12"/>
      <c r="H117012" s="12"/>
      <c r="I117012" s="12"/>
      <c r="J117012" s="12"/>
      <c r="K117012" s="12"/>
      <c r="L117012" s="208"/>
      <c r="M117012" s="209"/>
      <c r="N117012" s="209"/>
      <c r="O117012" s="209"/>
    </row>
    <row r="117013" spans="1:15" s="210" customFormat="1" x14ac:dyDescent="0.3">
      <c r="A117013" s="12"/>
      <c r="B117013" s="15"/>
      <c r="C117013" s="15"/>
      <c r="D117013" s="12"/>
      <c r="E117013" s="12"/>
      <c r="F117013" s="13"/>
      <c r="G117013" s="12"/>
      <c r="H117013" s="12"/>
      <c r="I117013" s="12"/>
      <c r="J117013" s="12"/>
      <c r="K117013" s="12"/>
      <c r="L117013" s="208"/>
      <c r="M117013" s="209"/>
      <c r="N117013" s="209"/>
      <c r="O117013" s="209"/>
    </row>
    <row r="117014" spans="1:15" s="210" customFormat="1" x14ac:dyDescent="0.3">
      <c r="A117014" s="12"/>
      <c r="B117014" s="15"/>
      <c r="C117014" s="15"/>
      <c r="D117014" s="12"/>
      <c r="E117014" s="12"/>
      <c r="F117014" s="13"/>
      <c r="G117014" s="12"/>
      <c r="H117014" s="12"/>
      <c r="I117014" s="12"/>
      <c r="J117014" s="12"/>
      <c r="K117014" s="12"/>
      <c r="L117014" s="208"/>
      <c r="M117014" s="209"/>
      <c r="N117014" s="209"/>
      <c r="O117014" s="209"/>
    </row>
    <row r="117015" spans="1:15" s="210" customFormat="1" x14ac:dyDescent="0.3">
      <c r="A117015" s="12"/>
      <c r="B117015" s="15"/>
      <c r="C117015" s="15"/>
      <c r="D117015" s="12"/>
      <c r="E117015" s="12"/>
      <c r="F117015" s="13"/>
      <c r="G117015" s="12"/>
      <c r="H117015" s="12"/>
      <c r="I117015" s="12"/>
      <c r="J117015" s="12"/>
      <c r="K117015" s="12"/>
      <c r="L117015" s="208"/>
      <c r="M117015" s="209"/>
      <c r="N117015" s="209"/>
      <c r="O117015" s="209"/>
    </row>
    <row r="117016" spans="1:15" s="210" customFormat="1" x14ac:dyDescent="0.3">
      <c r="A117016" s="12"/>
      <c r="B117016" s="15"/>
      <c r="C117016" s="15"/>
      <c r="D117016" s="12"/>
      <c r="E117016" s="12"/>
      <c r="F117016" s="13"/>
      <c r="G117016" s="12"/>
      <c r="H117016" s="12"/>
      <c r="I117016" s="12"/>
      <c r="J117016" s="12"/>
      <c r="K117016" s="12"/>
      <c r="L117016" s="208"/>
      <c r="M117016" s="209"/>
      <c r="N117016" s="209"/>
      <c r="O117016" s="209"/>
    </row>
    <row r="117017" spans="1:15" s="210" customFormat="1" x14ac:dyDescent="0.3">
      <c r="A117017" s="12"/>
      <c r="B117017" s="15"/>
      <c r="C117017" s="15"/>
      <c r="D117017" s="12"/>
      <c r="E117017" s="12"/>
      <c r="F117017" s="13"/>
      <c r="G117017" s="12"/>
      <c r="H117017" s="12"/>
      <c r="I117017" s="12"/>
      <c r="J117017" s="12"/>
      <c r="K117017" s="12"/>
      <c r="L117017" s="208"/>
      <c r="M117017" s="209"/>
      <c r="N117017" s="209"/>
      <c r="O117017" s="209"/>
    </row>
    <row r="117018" spans="1:15" s="210" customFormat="1" x14ac:dyDescent="0.3">
      <c r="A117018" s="12"/>
      <c r="B117018" s="15"/>
      <c r="C117018" s="15"/>
      <c r="D117018" s="12"/>
      <c r="E117018" s="12"/>
      <c r="F117018" s="13"/>
      <c r="G117018" s="12"/>
      <c r="H117018" s="12"/>
      <c r="I117018" s="12"/>
      <c r="J117018" s="12"/>
      <c r="K117018" s="12"/>
      <c r="L117018" s="208"/>
      <c r="M117018" s="209"/>
      <c r="N117018" s="209"/>
      <c r="O117018" s="209"/>
    </row>
    <row r="117019" spans="1:15" s="210" customFormat="1" x14ac:dyDescent="0.3">
      <c r="A117019" s="12"/>
      <c r="B117019" s="15"/>
      <c r="C117019" s="15"/>
      <c r="D117019" s="12"/>
      <c r="E117019" s="12"/>
      <c r="F117019" s="13"/>
      <c r="G117019" s="12"/>
      <c r="H117019" s="12"/>
      <c r="I117019" s="12"/>
      <c r="J117019" s="12"/>
      <c r="K117019" s="12"/>
      <c r="L117019" s="208"/>
      <c r="M117019" s="209"/>
      <c r="N117019" s="209"/>
      <c r="O117019" s="209"/>
    </row>
    <row r="117020" spans="1:15" s="210" customFormat="1" x14ac:dyDescent="0.3">
      <c r="A117020" s="12"/>
      <c r="B117020" s="15"/>
      <c r="C117020" s="15"/>
      <c r="D117020" s="12"/>
      <c r="E117020" s="12"/>
      <c r="F117020" s="13"/>
      <c r="G117020" s="12"/>
      <c r="H117020" s="12"/>
      <c r="I117020" s="12"/>
      <c r="J117020" s="12"/>
      <c r="K117020" s="12"/>
      <c r="L117020" s="208"/>
      <c r="M117020" s="209"/>
      <c r="N117020" s="209"/>
      <c r="O117020" s="209"/>
    </row>
    <row r="117021" spans="1:15" s="210" customFormat="1" x14ac:dyDescent="0.3">
      <c r="A117021" s="12"/>
      <c r="B117021" s="15"/>
      <c r="C117021" s="15"/>
      <c r="D117021" s="12"/>
      <c r="E117021" s="12"/>
      <c r="F117021" s="13"/>
      <c r="G117021" s="12"/>
      <c r="H117021" s="12"/>
      <c r="I117021" s="12"/>
      <c r="J117021" s="12"/>
      <c r="K117021" s="12"/>
      <c r="L117021" s="208"/>
      <c r="M117021" s="209"/>
      <c r="N117021" s="209"/>
      <c r="O117021" s="209"/>
    </row>
    <row r="117022" spans="1:15" s="210" customFormat="1" x14ac:dyDescent="0.3">
      <c r="A117022" s="12"/>
      <c r="B117022" s="15"/>
      <c r="C117022" s="15"/>
      <c r="D117022" s="12"/>
      <c r="E117022" s="12"/>
      <c r="F117022" s="13"/>
      <c r="G117022" s="12"/>
      <c r="H117022" s="12"/>
      <c r="I117022" s="12"/>
      <c r="J117022" s="12"/>
      <c r="K117022" s="12"/>
      <c r="L117022" s="208"/>
      <c r="M117022" s="209"/>
      <c r="N117022" s="209"/>
      <c r="O117022" s="209"/>
    </row>
    <row r="117023" spans="1:15" s="210" customFormat="1" x14ac:dyDescent="0.3">
      <c r="A117023" s="12"/>
      <c r="B117023" s="15"/>
      <c r="C117023" s="15"/>
      <c r="D117023" s="12"/>
      <c r="E117023" s="12"/>
      <c r="F117023" s="13"/>
      <c r="G117023" s="12"/>
      <c r="H117023" s="12"/>
      <c r="I117023" s="12"/>
      <c r="J117023" s="12"/>
      <c r="K117023" s="12"/>
      <c r="L117023" s="208"/>
      <c r="M117023" s="209"/>
      <c r="N117023" s="209"/>
      <c r="O117023" s="209"/>
    </row>
    <row r="117024" spans="1:15" s="210" customFormat="1" x14ac:dyDescent="0.3">
      <c r="A117024" s="12"/>
      <c r="B117024" s="15"/>
      <c r="C117024" s="15"/>
      <c r="D117024" s="12"/>
      <c r="E117024" s="12"/>
      <c r="F117024" s="13"/>
      <c r="G117024" s="12"/>
      <c r="H117024" s="12"/>
      <c r="I117024" s="12"/>
      <c r="J117024" s="12"/>
      <c r="K117024" s="12"/>
      <c r="L117024" s="208"/>
      <c r="M117024" s="209"/>
      <c r="N117024" s="209"/>
      <c r="O117024" s="209"/>
    </row>
    <row r="117025" spans="1:15" s="210" customFormat="1" x14ac:dyDescent="0.3">
      <c r="A117025" s="12"/>
      <c r="B117025" s="15"/>
      <c r="C117025" s="15"/>
      <c r="D117025" s="12"/>
      <c r="E117025" s="12"/>
      <c r="F117025" s="13"/>
      <c r="G117025" s="12"/>
      <c r="H117025" s="12"/>
      <c r="I117025" s="12"/>
      <c r="J117025" s="12"/>
      <c r="K117025" s="12"/>
      <c r="L117025" s="208"/>
      <c r="M117025" s="209"/>
      <c r="N117025" s="209"/>
      <c r="O117025" s="209"/>
    </row>
    <row r="117026" spans="1:15" s="210" customFormat="1" x14ac:dyDescent="0.3">
      <c r="A117026" s="12"/>
      <c r="B117026" s="15"/>
      <c r="C117026" s="15"/>
      <c r="D117026" s="12"/>
      <c r="E117026" s="12"/>
      <c r="F117026" s="13"/>
      <c r="G117026" s="12"/>
      <c r="H117026" s="12"/>
      <c r="I117026" s="12"/>
      <c r="J117026" s="12"/>
      <c r="K117026" s="12"/>
      <c r="L117026" s="208"/>
      <c r="M117026" s="209"/>
      <c r="N117026" s="209"/>
      <c r="O117026" s="209"/>
    </row>
    <row r="117027" spans="1:15" s="210" customFormat="1" x14ac:dyDescent="0.3">
      <c r="A117027" s="12"/>
      <c r="B117027" s="15"/>
      <c r="C117027" s="15"/>
      <c r="D117027" s="12"/>
      <c r="E117027" s="12"/>
      <c r="F117027" s="13"/>
      <c r="G117027" s="12"/>
      <c r="H117027" s="12"/>
      <c r="I117027" s="12"/>
      <c r="J117027" s="12"/>
      <c r="K117027" s="12"/>
      <c r="L117027" s="208"/>
      <c r="M117027" s="209"/>
      <c r="N117027" s="209"/>
      <c r="O117027" s="209"/>
    </row>
    <row r="117028" spans="1:15" s="210" customFormat="1" x14ac:dyDescent="0.3">
      <c r="A117028" s="12"/>
      <c r="B117028" s="15"/>
      <c r="C117028" s="15"/>
      <c r="D117028" s="12"/>
      <c r="E117028" s="12"/>
      <c r="F117028" s="13"/>
      <c r="G117028" s="12"/>
      <c r="H117028" s="12"/>
      <c r="I117028" s="12"/>
      <c r="J117028" s="12"/>
      <c r="K117028" s="12"/>
      <c r="L117028" s="208"/>
      <c r="M117028" s="209"/>
      <c r="N117028" s="209"/>
      <c r="O117028" s="209"/>
    </row>
    <row r="117029" spans="1:15" s="210" customFormat="1" x14ac:dyDescent="0.3">
      <c r="A117029" s="12"/>
      <c r="B117029" s="15"/>
      <c r="C117029" s="15"/>
      <c r="D117029" s="12"/>
      <c r="E117029" s="12"/>
      <c r="F117029" s="13"/>
      <c r="G117029" s="12"/>
      <c r="H117029" s="12"/>
      <c r="I117029" s="12"/>
      <c r="J117029" s="12"/>
      <c r="K117029" s="12"/>
      <c r="L117029" s="208"/>
      <c r="M117029" s="209"/>
      <c r="N117029" s="209"/>
      <c r="O117029" s="209"/>
    </row>
    <row r="117030" spans="1:15" s="210" customFormat="1" x14ac:dyDescent="0.3">
      <c r="A117030" s="12"/>
      <c r="B117030" s="15"/>
      <c r="C117030" s="15"/>
      <c r="D117030" s="12"/>
      <c r="E117030" s="12"/>
      <c r="F117030" s="13"/>
      <c r="G117030" s="12"/>
      <c r="H117030" s="12"/>
      <c r="I117030" s="12"/>
      <c r="J117030" s="12"/>
      <c r="K117030" s="12"/>
      <c r="L117030" s="208"/>
      <c r="M117030" s="209"/>
      <c r="N117030" s="209"/>
      <c r="O117030" s="209"/>
    </row>
    <row r="117031" spans="1:15" s="210" customFormat="1" x14ac:dyDescent="0.3">
      <c r="A117031" s="12"/>
      <c r="B117031" s="15"/>
      <c r="C117031" s="15"/>
      <c r="D117031" s="12"/>
      <c r="E117031" s="12"/>
      <c r="F117031" s="13"/>
      <c r="G117031" s="12"/>
      <c r="H117031" s="12"/>
      <c r="I117031" s="12"/>
      <c r="J117031" s="12"/>
      <c r="K117031" s="12"/>
      <c r="L117031" s="208"/>
      <c r="M117031" s="209"/>
      <c r="N117031" s="209"/>
      <c r="O117031" s="209"/>
    </row>
    <row r="117032" spans="1:15" s="210" customFormat="1" x14ac:dyDescent="0.3">
      <c r="A117032" s="12"/>
      <c r="B117032" s="15"/>
      <c r="C117032" s="15"/>
      <c r="D117032" s="12"/>
      <c r="E117032" s="12"/>
      <c r="F117032" s="13"/>
      <c r="G117032" s="12"/>
      <c r="H117032" s="12"/>
      <c r="I117032" s="12"/>
      <c r="J117032" s="12"/>
      <c r="K117032" s="12"/>
      <c r="L117032" s="208"/>
      <c r="M117032" s="209"/>
      <c r="N117032" s="209"/>
      <c r="O117032" s="209"/>
    </row>
    <row r="117033" spans="1:15" s="210" customFormat="1" x14ac:dyDescent="0.3">
      <c r="A117033" s="12"/>
      <c r="B117033" s="15"/>
      <c r="C117033" s="15"/>
      <c r="D117033" s="12"/>
      <c r="E117033" s="12"/>
      <c r="F117033" s="13"/>
      <c r="G117033" s="12"/>
      <c r="H117033" s="12"/>
      <c r="I117033" s="12"/>
      <c r="J117033" s="12"/>
      <c r="K117033" s="12"/>
      <c r="L117033" s="208"/>
      <c r="M117033" s="209"/>
      <c r="N117033" s="209"/>
      <c r="O117033" s="209"/>
    </row>
    <row r="117034" spans="1:15" s="210" customFormat="1" x14ac:dyDescent="0.3">
      <c r="A117034" s="12"/>
      <c r="B117034" s="15"/>
      <c r="C117034" s="15"/>
      <c r="D117034" s="12"/>
      <c r="E117034" s="12"/>
      <c r="F117034" s="13"/>
      <c r="G117034" s="12"/>
      <c r="H117034" s="12"/>
      <c r="I117034" s="12"/>
      <c r="J117034" s="12"/>
      <c r="K117034" s="12"/>
      <c r="L117034" s="208"/>
      <c r="M117034" s="209"/>
      <c r="N117034" s="209"/>
      <c r="O117034" s="209"/>
    </row>
    <row r="117035" spans="1:15" s="210" customFormat="1" x14ac:dyDescent="0.3">
      <c r="A117035" s="12"/>
      <c r="B117035" s="15"/>
      <c r="C117035" s="15"/>
      <c r="D117035" s="12"/>
      <c r="E117035" s="12"/>
      <c r="F117035" s="13"/>
      <c r="G117035" s="12"/>
      <c r="H117035" s="12"/>
      <c r="I117035" s="12"/>
      <c r="J117035" s="12"/>
      <c r="K117035" s="12"/>
      <c r="L117035" s="208"/>
      <c r="M117035" s="209"/>
      <c r="N117035" s="209"/>
      <c r="O117035" s="209"/>
    </row>
    <row r="117036" spans="1:15" s="210" customFormat="1" x14ac:dyDescent="0.3">
      <c r="A117036" s="12"/>
      <c r="B117036" s="15"/>
      <c r="C117036" s="15"/>
      <c r="D117036" s="12"/>
      <c r="E117036" s="12"/>
      <c r="F117036" s="13"/>
      <c r="G117036" s="12"/>
      <c r="H117036" s="12"/>
      <c r="I117036" s="12"/>
      <c r="J117036" s="12"/>
      <c r="K117036" s="12"/>
      <c r="L117036" s="208"/>
      <c r="M117036" s="209"/>
      <c r="N117036" s="209"/>
      <c r="O117036" s="209"/>
    </row>
    <row r="117037" spans="1:15" s="210" customFormat="1" x14ac:dyDescent="0.3">
      <c r="A117037" s="12"/>
      <c r="B117037" s="15"/>
      <c r="C117037" s="15"/>
      <c r="D117037" s="12"/>
      <c r="E117037" s="12"/>
      <c r="F117037" s="13"/>
      <c r="G117037" s="12"/>
      <c r="H117037" s="12"/>
      <c r="I117037" s="12"/>
      <c r="J117037" s="12"/>
      <c r="K117037" s="12"/>
      <c r="L117037" s="208"/>
      <c r="M117037" s="209"/>
      <c r="N117037" s="209"/>
      <c r="O117037" s="209"/>
    </row>
    <row r="117038" spans="1:15" s="210" customFormat="1" x14ac:dyDescent="0.3">
      <c r="A117038" s="12"/>
      <c r="B117038" s="15"/>
      <c r="C117038" s="15"/>
      <c r="D117038" s="12"/>
      <c r="E117038" s="12"/>
      <c r="F117038" s="13"/>
      <c r="G117038" s="12"/>
      <c r="H117038" s="12"/>
      <c r="I117038" s="12"/>
      <c r="J117038" s="12"/>
      <c r="K117038" s="12"/>
      <c r="L117038" s="208"/>
      <c r="M117038" s="209"/>
      <c r="N117038" s="209"/>
      <c r="O117038" s="209"/>
    </row>
    <row r="117039" spans="1:15" s="210" customFormat="1" x14ac:dyDescent="0.3">
      <c r="A117039" s="12"/>
      <c r="B117039" s="15"/>
      <c r="C117039" s="15"/>
      <c r="D117039" s="12"/>
      <c r="E117039" s="12"/>
      <c r="F117039" s="13"/>
      <c r="G117039" s="12"/>
      <c r="H117039" s="12"/>
      <c r="I117039" s="12"/>
      <c r="J117039" s="12"/>
      <c r="K117039" s="12"/>
      <c r="L117039" s="208"/>
      <c r="M117039" s="209"/>
      <c r="N117039" s="209"/>
      <c r="O117039" s="209"/>
    </row>
    <row r="117040" spans="1:15" s="210" customFormat="1" x14ac:dyDescent="0.3">
      <c r="A117040" s="12"/>
      <c r="B117040" s="15"/>
      <c r="C117040" s="15"/>
      <c r="D117040" s="12"/>
      <c r="E117040" s="12"/>
      <c r="F117040" s="13"/>
      <c r="G117040" s="12"/>
      <c r="H117040" s="12"/>
      <c r="I117040" s="12"/>
      <c r="J117040" s="12"/>
      <c r="K117040" s="12"/>
      <c r="L117040" s="208"/>
      <c r="M117040" s="209"/>
      <c r="N117040" s="209"/>
      <c r="O117040" s="209"/>
    </row>
    <row r="117041" spans="1:15" s="210" customFormat="1" x14ac:dyDescent="0.3">
      <c r="A117041" s="12"/>
      <c r="B117041" s="15"/>
      <c r="C117041" s="15"/>
      <c r="D117041" s="12"/>
      <c r="E117041" s="12"/>
      <c r="F117041" s="13"/>
      <c r="G117041" s="12"/>
      <c r="H117041" s="12"/>
      <c r="I117041" s="12"/>
      <c r="J117041" s="12"/>
      <c r="K117041" s="12"/>
      <c r="L117041" s="208"/>
      <c r="M117041" s="209"/>
      <c r="N117041" s="209"/>
      <c r="O117041" s="209"/>
    </row>
    <row r="117042" spans="1:15" s="210" customFormat="1" x14ac:dyDescent="0.3">
      <c r="A117042" s="12"/>
      <c r="B117042" s="15"/>
      <c r="C117042" s="15"/>
      <c r="D117042" s="12"/>
      <c r="E117042" s="12"/>
      <c r="F117042" s="13"/>
      <c r="G117042" s="12"/>
      <c r="H117042" s="12"/>
      <c r="I117042" s="12"/>
      <c r="J117042" s="12"/>
      <c r="K117042" s="12"/>
      <c r="L117042" s="208"/>
      <c r="M117042" s="209"/>
      <c r="N117042" s="209"/>
      <c r="O117042" s="209"/>
    </row>
    <row r="117043" spans="1:15" s="210" customFormat="1" x14ac:dyDescent="0.3">
      <c r="A117043" s="12"/>
      <c r="B117043" s="15"/>
      <c r="C117043" s="15"/>
      <c r="D117043" s="12"/>
      <c r="E117043" s="12"/>
      <c r="F117043" s="13"/>
      <c r="G117043" s="12"/>
      <c r="H117043" s="12"/>
      <c r="I117043" s="12"/>
      <c r="J117043" s="12"/>
      <c r="K117043" s="12"/>
      <c r="L117043" s="208"/>
      <c r="M117043" s="209"/>
      <c r="N117043" s="209"/>
      <c r="O117043" s="209"/>
    </row>
    <row r="117044" spans="1:15" s="210" customFormat="1" x14ac:dyDescent="0.3">
      <c r="A117044" s="12"/>
      <c r="B117044" s="15"/>
      <c r="C117044" s="15"/>
      <c r="D117044" s="12"/>
      <c r="E117044" s="12"/>
      <c r="F117044" s="13"/>
      <c r="G117044" s="12"/>
      <c r="H117044" s="12"/>
      <c r="I117044" s="12"/>
      <c r="J117044" s="12"/>
      <c r="K117044" s="12"/>
      <c r="L117044" s="208"/>
      <c r="M117044" s="209"/>
      <c r="N117044" s="209"/>
      <c r="O117044" s="209"/>
    </row>
    <row r="117045" spans="1:15" s="210" customFormat="1" x14ac:dyDescent="0.3">
      <c r="A117045" s="12"/>
      <c r="B117045" s="15"/>
      <c r="C117045" s="15"/>
      <c r="D117045" s="12"/>
      <c r="E117045" s="12"/>
      <c r="F117045" s="13"/>
      <c r="G117045" s="12"/>
      <c r="H117045" s="12"/>
      <c r="I117045" s="12"/>
      <c r="J117045" s="12"/>
      <c r="K117045" s="12"/>
      <c r="L117045" s="208"/>
      <c r="M117045" s="209"/>
      <c r="N117045" s="209"/>
      <c r="O117045" s="209"/>
    </row>
    <row r="117046" spans="1:15" s="210" customFormat="1" x14ac:dyDescent="0.3">
      <c r="A117046" s="12"/>
      <c r="B117046" s="15"/>
      <c r="C117046" s="15"/>
      <c r="D117046" s="12"/>
      <c r="E117046" s="12"/>
      <c r="F117046" s="13"/>
      <c r="G117046" s="12"/>
      <c r="H117046" s="12"/>
      <c r="I117046" s="12"/>
      <c r="J117046" s="12"/>
      <c r="K117046" s="12"/>
      <c r="L117046" s="208"/>
      <c r="M117046" s="209"/>
      <c r="N117046" s="209"/>
      <c r="O117046" s="209"/>
    </row>
    <row r="117047" spans="1:15" s="210" customFormat="1" x14ac:dyDescent="0.3">
      <c r="A117047" s="12"/>
      <c r="B117047" s="15"/>
      <c r="C117047" s="15"/>
      <c r="D117047" s="12"/>
      <c r="E117047" s="12"/>
      <c r="F117047" s="13"/>
      <c r="G117047" s="12"/>
      <c r="H117047" s="12"/>
      <c r="I117047" s="12"/>
      <c r="J117047" s="12"/>
      <c r="K117047" s="12"/>
      <c r="L117047" s="208"/>
      <c r="M117047" s="209"/>
      <c r="N117047" s="209"/>
      <c r="O117047" s="209"/>
    </row>
    <row r="117048" spans="1:15" s="210" customFormat="1" x14ac:dyDescent="0.3">
      <c r="A117048" s="12"/>
      <c r="B117048" s="15"/>
      <c r="C117048" s="15"/>
      <c r="D117048" s="12"/>
      <c r="E117048" s="12"/>
      <c r="F117048" s="13"/>
      <c r="G117048" s="12"/>
      <c r="H117048" s="12"/>
      <c r="I117048" s="12"/>
      <c r="J117048" s="12"/>
      <c r="K117048" s="12"/>
      <c r="L117048" s="208"/>
      <c r="M117048" s="209"/>
      <c r="N117048" s="209"/>
      <c r="O117048" s="209"/>
    </row>
    <row r="117049" spans="1:15" s="210" customFormat="1" x14ac:dyDescent="0.3">
      <c r="A117049" s="12"/>
      <c r="B117049" s="15"/>
      <c r="C117049" s="15"/>
      <c r="D117049" s="12"/>
      <c r="E117049" s="12"/>
      <c r="F117049" s="13"/>
      <c r="G117049" s="12"/>
      <c r="H117049" s="12"/>
      <c r="I117049" s="12"/>
      <c r="J117049" s="12"/>
      <c r="K117049" s="12"/>
      <c r="L117049" s="208"/>
      <c r="M117049" s="209"/>
      <c r="N117049" s="209"/>
      <c r="O117049" s="209"/>
    </row>
    <row r="117050" spans="1:15" s="210" customFormat="1" x14ac:dyDescent="0.3">
      <c r="A117050" s="12"/>
      <c r="B117050" s="15"/>
      <c r="C117050" s="15"/>
      <c r="D117050" s="12"/>
      <c r="E117050" s="12"/>
      <c r="F117050" s="13"/>
      <c r="G117050" s="12"/>
      <c r="H117050" s="12"/>
      <c r="I117050" s="12"/>
      <c r="J117050" s="12"/>
      <c r="K117050" s="12"/>
      <c r="L117050" s="208"/>
      <c r="M117050" s="209"/>
      <c r="N117050" s="209"/>
      <c r="O117050" s="209"/>
    </row>
    <row r="117051" spans="1:15" s="210" customFormat="1" x14ac:dyDescent="0.3">
      <c r="A117051" s="12"/>
      <c r="B117051" s="15"/>
      <c r="C117051" s="15"/>
      <c r="D117051" s="12"/>
      <c r="E117051" s="12"/>
      <c r="F117051" s="13"/>
      <c r="G117051" s="12"/>
      <c r="H117051" s="12"/>
      <c r="I117051" s="12"/>
      <c r="J117051" s="12"/>
      <c r="K117051" s="12"/>
      <c r="L117051" s="208"/>
      <c r="M117051" s="209"/>
      <c r="N117051" s="209"/>
      <c r="O117051" s="209"/>
    </row>
    <row r="117052" spans="1:15" s="210" customFormat="1" x14ac:dyDescent="0.3">
      <c r="A117052" s="12"/>
      <c r="B117052" s="15"/>
      <c r="C117052" s="15"/>
      <c r="D117052" s="12"/>
      <c r="E117052" s="12"/>
      <c r="F117052" s="13"/>
      <c r="G117052" s="12"/>
      <c r="H117052" s="12"/>
      <c r="I117052" s="12"/>
      <c r="J117052" s="12"/>
      <c r="K117052" s="12"/>
      <c r="L117052" s="208"/>
      <c r="M117052" s="209"/>
      <c r="N117052" s="209"/>
      <c r="O117052" s="209"/>
    </row>
    <row r="117053" spans="1:15" s="210" customFormat="1" x14ac:dyDescent="0.3">
      <c r="A117053" s="12"/>
      <c r="B117053" s="15"/>
      <c r="C117053" s="15"/>
      <c r="D117053" s="12"/>
      <c r="E117053" s="12"/>
      <c r="F117053" s="13"/>
      <c r="G117053" s="12"/>
      <c r="H117053" s="12"/>
      <c r="I117053" s="12"/>
      <c r="J117053" s="12"/>
      <c r="K117053" s="12"/>
      <c r="L117053" s="208"/>
      <c r="M117053" s="209"/>
      <c r="N117053" s="209"/>
      <c r="O117053" s="209"/>
    </row>
    <row r="117054" spans="1:15" s="210" customFormat="1" x14ac:dyDescent="0.3">
      <c r="A117054" s="12"/>
      <c r="B117054" s="15"/>
      <c r="C117054" s="15"/>
      <c r="D117054" s="12"/>
      <c r="E117054" s="12"/>
      <c r="F117054" s="13"/>
      <c r="G117054" s="12"/>
      <c r="H117054" s="12"/>
      <c r="I117054" s="12"/>
      <c r="J117054" s="12"/>
      <c r="K117054" s="12"/>
      <c r="L117054" s="208"/>
      <c r="M117054" s="209"/>
      <c r="N117054" s="209"/>
      <c r="O117054" s="209"/>
    </row>
    <row r="117055" spans="1:15" s="210" customFormat="1" x14ac:dyDescent="0.3">
      <c r="A117055" s="12"/>
      <c r="B117055" s="15"/>
      <c r="C117055" s="15"/>
      <c r="D117055" s="12"/>
      <c r="E117055" s="12"/>
      <c r="F117055" s="13"/>
      <c r="G117055" s="12"/>
      <c r="H117055" s="12"/>
      <c r="I117055" s="12"/>
      <c r="J117055" s="12"/>
      <c r="K117055" s="12"/>
      <c r="L117055" s="208"/>
      <c r="M117055" s="209"/>
      <c r="N117055" s="209"/>
      <c r="O117055" s="209"/>
    </row>
    <row r="117056" spans="1:15" s="210" customFormat="1" x14ac:dyDescent="0.3">
      <c r="A117056" s="12"/>
      <c r="B117056" s="15"/>
      <c r="C117056" s="15"/>
      <c r="D117056" s="12"/>
      <c r="E117056" s="12"/>
      <c r="F117056" s="13"/>
      <c r="G117056" s="12"/>
      <c r="H117056" s="12"/>
      <c r="I117056" s="12"/>
      <c r="J117056" s="12"/>
      <c r="K117056" s="12"/>
      <c r="L117056" s="208"/>
      <c r="M117056" s="209"/>
      <c r="N117056" s="209"/>
      <c r="O117056" s="209"/>
    </row>
    <row r="117057" spans="1:15" s="210" customFormat="1" x14ac:dyDescent="0.3">
      <c r="A117057" s="12"/>
      <c r="B117057" s="15"/>
      <c r="C117057" s="15"/>
      <c r="D117057" s="12"/>
      <c r="E117057" s="12"/>
      <c r="F117057" s="13"/>
      <c r="G117057" s="12"/>
      <c r="H117057" s="12"/>
      <c r="I117057" s="12"/>
      <c r="J117057" s="12"/>
      <c r="K117057" s="12"/>
      <c r="L117057" s="208"/>
      <c r="M117057" s="209"/>
      <c r="N117057" s="209"/>
      <c r="O117057" s="209"/>
    </row>
    <row r="117058" spans="1:15" s="210" customFormat="1" x14ac:dyDescent="0.3">
      <c r="A117058" s="12"/>
      <c r="B117058" s="15"/>
      <c r="C117058" s="15"/>
      <c r="D117058" s="12"/>
      <c r="E117058" s="12"/>
      <c r="F117058" s="13"/>
      <c r="G117058" s="12"/>
      <c r="H117058" s="12"/>
      <c r="I117058" s="12"/>
      <c r="J117058" s="12"/>
      <c r="K117058" s="12"/>
      <c r="L117058" s="208"/>
      <c r="M117058" s="209"/>
      <c r="N117058" s="209"/>
      <c r="O117058" s="209"/>
    </row>
    <row r="117059" spans="1:15" s="210" customFormat="1" x14ac:dyDescent="0.3">
      <c r="A117059" s="12"/>
      <c r="B117059" s="15"/>
      <c r="C117059" s="15"/>
      <c r="D117059" s="12"/>
      <c r="E117059" s="12"/>
      <c r="F117059" s="13"/>
      <c r="G117059" s="12"/>
      <c r="H117059" s="12"/>
      <c r="I117059" s="12"/>
      <c r="J117059" s="12"/>
      <c r="K117059" s="12"/>
      <c r="L117059" s="208"/>
      <c r="M117059" s="209"/>
      <c r="N117059" s="209"/>
      <c r="O117059" s="209"/>
    </row>
    <row r="117060" spans="1:15" s="210" customFormat="1" x14ac:dyDescent="0.3">
      <c r="A117060" s="12"/>
      <c r="B117060" s="15"/>
      <c r="C117060" s="15"/>
      <c r="D117060" s="12"/>
      <c r="E117060" s="12"/>
      <c r="F117060" s="13"/>
      <c r="G117060" s="12"/>
      <c r="H117060" s="12"/>
      <c r="I117060" s="12"/>
      <c r="J117060" s="12"/>
      <c r="K117060" s="12"/>
      <c r="L117060" s="208"/>
      <c r="M117060" s="209"/>
      <c r="N117060" s="209"/>
      <c r="O117060" s="209"/>
    </row>
    <row r="117061" spans="1:15" s="210" customFormat="1" x14ac:dyDescent="0.3">
      <c r="A117061" s="12"/>
      <c r="B117061" s="15"/>
      <c r="C117061" s="15"/>
      <c r="D117061" s="12"/>
      <c r="E117061" s="12"/>
      <c r="F117061" s="13"/>
      <c r="G117061" s="12"/>
      <c r="H117061" s="12"/>
      <c r="I117061" s="12"/>
      <c r="J117061" s="12"/>
      <c r="K117061" s="12"/>
      <c r="L117061" s="208"/>
      <c r="M117061" s="209"/>
      <c r="N117061" s="209"/>
      <c r="O117061" s="209"/>
    </row>
    <row r="117062" spans="1:15" s="210" customFormat="1" x14ac:dyDescent="0.3">
      <c r="A117062" s="12"/>
      <c r="B117062" s="15"/>
      <c r="C117062" s="15"/>
      <c r="D117062" s="12"/>
      <c r="E117062" s="12"/>
      <c r="F117062" s="13"/>
      <c r="G117062" s="12"/>
      <c r="H117062" s="12"/>
      <c r="I117062" s="12"/>
      <c r="J117062" s="12"/>
      <c r="K117062" s="12"/>
      <c r="L117062" s="208"/>
      <c r="M117062" s="209"/>
      <c r="N117062" s="209"/>
      <c r="O117062" s="209"/>
    </row>
    <row r="117063" spans="1:15" s="210" customFormat="1" x14ac:dyDescent="0.3">
      <c r="A117063" s="12"/>
      <c r="B117063" s="15"/>
      <c r="C117063" s="15"/>
      <c r="D117063" s="12"/>
      <c r="E117063" s="12"/>
      <c r="F117063" s="13"/>
      <c r="G117063" s="12"/>
      <c r="H117063" s="12"/>
      <c r="I117063" s="12"/>
      <c r="J117063" s="12"/>
      <c r="K117063" s="12"/>
      <c r="L117063" s="208"/>
      <c r="M117063" s="209"/>
      <c r="N117063" s="209"/>
      <c r="O117063" s="209"/>
    </row>
    <row r="117064" spans="1:15" s="210" customFormat="1" x14ac:dyDescent="0.3">
      <c r="A117064" s="12"/>
      <c r="B117064" s="15"/>
      <c r="C117064" s="15"/>
      <c r="D117064" s="12"/>
      <c r="E117064" s="12"/>
      <c r="F117064" s="13"/>
      <c r="G117064" s="12"/>
      <c r="H117064" s="12"/>
      <c r="I117064" s="12"/>
      <c r="J117064" s="12"/>
      <c r="K117064" s="12"/>
      <c r="L117064" s="208"/>
      <c r="M117064" s="209"/>
      <c r="N117064" s="209"/>
      <c r="O117064" s="209"/>
    </row>
    <row r="117065" spans="1:15" s="210" customFormat="1" x14ac:dyDescent="0.3">
      <c r="A117065" s="12"/>
      <c r="B117065" s="15"/>
      <c r="C117065" s="15"/>
      <c r="D117065" s="12"/>
      <c r="E117065" s="12"/>
      <c r="F117065" s="13"/>
      <c r="G117065" s="12"/>
      <c r="H117065" s="12"/>
      <c r="I117065" s="12"/>
      <c r="J117065" s="12"/>
      <c r="K117065" s="12"/>
      <c r="L117065" s="208"/>
      <c r="M117065" s="209"/>
      <c r="N117065" s="209"/>
      <c r="O117065" s="209"/>
    </row>
    <row r="117066" spans="1:15" s="210" customFormat="1" x14ac:dyDescent="0.3">
      <c r="A117066" s="12"/>
      <c r="B117066" s="15"/>
      <c r="C117066" s="15"/>
      <c r="D117066" s="12"/>
      <c r="E117066" s="12"/>
      <c r="F117066" s="13"/>
      <c r="G117066" s="12"/>
      <c r="H117066" s="12"/>
      <c r="I117066" s="12"/>
      <c r="J117066" s="12"/>
      <c r="K117066" s="12"/>
      <c r="L117066" s="208"/>
      <c r="M117066" s="209"/>
      <c r="N117066" s="209"/>
      <c r="O117066" s="209"/>
    </row>
    <row r="117067" spans="1:15" s="210" customFormat="1" x14ac:dyDescent="0.3">
      <c r="A117067" s="12"/>
      <c r="B117067" s="15"/>
      <c r="C117067" s="15"/>
      <c r="D117067" s="12"/>
      <c r="E117067" s="12"/>
      <c r="F117067" s="13"/>
      <c r="G117067" s="12"/>
      <c r="H117067" s="12"/>
      <c r="I117067" s="12"/>
      <c r="J117067" s="12"/>
      <c r="K117067" s="12"/>
      <c r="L117067" s="208"/>
      <c r="M117067" s="209"/>
      <c r="N117067" s="209"/>
      <c r="O117067" s="209"/>
    </row>
    <row r="117068" spans="1:15" s="210" customFormat="1" x14ac:dyDescent="0.3">
      <c r="A117068" s="12"/>
      <c r="B117068" s="15"/>
      <c r="C117068" s="15"/>
      <c r="D117068" s="12"/>
      <c r="E117068" s="12"/>
      <c r="F117068" s="13"/>
      <c r="G117068" s="12"/>
      <c r="H117068" s="12"/>
      <c r="I117068" s="12"/>
      <c r="J117068" s="12"/>
      <c r="K117068" s="12"/>
      <c r="L117068" s="208"/>
      <c r="M117068" s="209"/>
      <c r="N117068" s="209"/>
      <c r="O117068" s="209"/>
    </row>
    <row r="117069" spans="1:15" s="210" customFormat="1" x14ac:dyDescent="0.3">
      <c r="A117069" s="12"/>
      <c r="B117069" s="15"/>
      <c r="C117069" s="15"/>
      <c r="D117069" s="12"/>
      <c r="E117069" s="12"/>
      <c r="F117069" s="13"/>
      <c r="G117069" s="12"/>
      <c r="H117069" s="12"/>
      <c r="I117069" s="12"/>
      <c r="J117069" s="12"/>
      <c r="K117069" s="12"/>
      <c r="L117069" s="208"/>
      <c r="M117069" s="209"/>
      <c r="N117069" s="209"/>
      <c r="O117069" s="209"/>
    </row>
    <row r="117070" spans="1:15" s="210" customFormat="1" x14ac:dyDescent="0.3">
      <c r="A117070" s="12"/>
      <c r="B117070" s="15"/>
      <c r="C117070" s="15"/>
      <c r="D117070" s="12"/>
      <c r="E117070" s="12"/>
      <c r="F117070" s="13"/>
      <c r="G117070" s="12"/>
      <c r="H117070" s="12"/>
      <c r="I117070" s="12"/>
      <c r="J117070" s="12"/>
      <c r="K117070" s="12"/>
      <c r="L117070" s="208"/>
      <c r="M117070" s="209"/>
      <c r="N117070" s="209"/>
      <c r="O117070" s="209"/>
    </row>
    <row r="117071" spans="1:15" s="210" customFormat="1" x14ac:dyDescent="0.3">
      <c r="A117071" s="12"/>
      <c r="B117071" s="15"/>
      <c r="C117071" s="15"/>
      <c r="D117071" s="12"/>
      <c r="E117071" s="12"/>
      <c r="F117071" s="13"/>
      <c r="G117071" s="12"/>
      <c r="H117071" s="12"/>
      <c r="I117071" s="12"/>
      <c r="J117071" s="12"/>
      <c r="K117071" s="12"/>
      <c r="L117071" s="208"/>
      <c r="M117071" s="209"/>
      <c r="N117071" s="209"/>
      <c r="O117071" s="209"/>
    </row>
    <row r="117072" spans="1:15" s="210" customFormat="1" x14ac:dyDescent="0.3">
      <c r="A117072" s="12"/>
      <c r="B117072" s="15"/>
      <c r="C117072" s="15"/>
      <c r="D117072" s="12"/>
      <c r="E117072" s="12"/>
      <c r="F117072" s="13"/>
      <c r="G117072" s="12"/>
      <c r="H117072" s="12"/>
      <c r="I117072" s="12"/>
      <c r="J117072" s="12"/>
      <c r="K117072" s="12"/>
      <c r="L117072" s="208"/>
      <c r="M117072" s="209"/>
      <c r="N117072" s="209"/>
      <c r="O117072" s="209"/>
    </row>
    <row r="117073" spans="1:15" s="210" customFormat="1" x14ac:dyDescent="0.3">
      <c r="A117073" s="12"/>
      <c r="B117073" s="15"/>
      <c r="C117073" s="15"/>
      <c r="D117073" s="12"/>
      <c r="E117073" s="12"/>
      <c r="F117073" s="13"/>
      <c r="G117073" s="12"/>
      <c r="H117073" s="12"/>
      <c r="I117073" s="12"/>
      <c r="J117073" s="12"/>
      <c r="K117073" s="12"/>
      <c r="L117073" s="208"/>
      <c r="M117073" s="209"/>
      <c r="N117073" s="209"/>
      <c r="O117073" s="209"/>
    </row>
    <row r="117074" spans="1:15" s="210" customFormat="1" x14ac:dyDescent="0.3">
      <c r="A117074" s="12"/>
      <c r="B117074" s="15"/>
      <c r="C117074" s="15"/>
      <c r="D117074" s="12"/>
      <c r="E117074" s="12"/>
      <c r="F117074" s="13"/>
      <c r="G117074" s="12"/>
      <c r="H117074" s="12"/>
      <c r="I117074" s="12"/>
      <c r="J117074" s="12"/>
      <c r="K117074" s="12"/>
      <c r="L117074" s="208"/>
      <c r="M117074" s="209"/>
      <c r="N117074" s="209"/>
      <c r="O117074" s="209"/>
    </row>
    <row r="117075" spans="1:15" s="210" customFormat="1" x14ac:dyDescent="0.3">
      <c r="A117075" s="12"/>
      <c r="B117075" s="15"/>
      <c r="C117075" s="15"/>
      <c r="D117075" s="12"/>
      <c r="E117075" s="12"/>
      <c r="F117075" s="13"/>
      <c r="G117075" s="12"/>
      <c r="H117075" s="12"/>
      <c r="I117075" s="12"/>
      <c r="J117075" s="12"/>
      <c r="K117075" s="12"/>
      <c r="L117075" s="208"/>
      <c r="M117075" s="209"/>
      <c r="N117075" s="209"/>
      <c r="O117075" s="209"/>
    </row>
    <row r="117076" spans="1:15" s="210" customFormat="1" x14ac:dyDescent="0.3">
      <c r="A117076" s="12"/>
      <c r="B117076" s="15"/>
      <c r="C117076" s="15"/>
      <c r="D117076" s="12"/>
      <c r="E117076" s="12"/>
      <c r="F117076" s="13"/>
      <c r="G117076" s="12"/>
      <c r="H117076" s="12"/>
      <c r="I117076" s="12"/>
      <c r="J117076" s="12"/>
      <c r="K117076" s="12"/>
      <c r="L117076" s="208"/>
      <c r="M117076" s="209"/>
      <c r="N117076" s="209"/>
      <c r="O117076" s="209"/>
    </row>
    <row r="117077" spans="1:15" s="210" customFormat="1" x14ac:dyDescent="0.3">
      <c r="A117077" s="12"/>
      <c r="B117077" s="15"/>
      <c r="C117077" s="15"/>
      <c r="D117077" s="12"/>
      <c r="E117077" s="12"/>
      <c r="F117077" s="13"/>
      <c r="G117077" s="12"/>
      <c r="H117077" s="12"/>
      <c r="I117077" s="12"/>
      <c r="J117077" s="12"/>
      <c r="K117077" s="12"/>
      <c r="L117077" s="208"/>
      <c r="M117077" s="209"/>
      <c r="N117077" s="209"/>
      <c r="O117077" s="209"/>
    </row>
    <row r="117078" spans="1:15" s="210" customFormat="1" x14ac:dyDescent="0.3">
      <c r="A117078" s="12"/>
      <c r="B117078" s="15"/>
      <c r="C117078" s="15"/>
      <c r="D117078" s="12"/>
      <c r="E117078" s="12"/>
      <c r="F117078" s="13"/>
      <c r="G117078" s="12"/>
      <c r="H117078" s="12"/>
      <c r="I117078" s="12"/>
      <c r="J117078" s="12"/>
      <c r="K117078" s="12"/>
      <c r="L117078" s="208"/>
      <c r="M117078" s="209"/>
      <c r="N117078" s="209"/>
      <c r="O117078" s="209"/>
    </row>
    <row r="117079" spans="1:15" s="210" customFormat="1" x14ac:dyDescent="0.3">
      <c r="A117079" s="12"/>
      <c r="B117079" s="15"/>
      <c r="C117079" s="15"/>
      <c r="D117079" s="12"/>
      <c r="E117079" s="12"/>
      <c r="F117079" s="13"/>
      <c r="G117079" s="12"/>
      <c r="H117079" s="12"/>
      <c r="I117079" s="12"/>
      <c r="J117079" s="12"/>
      <c r="K117079" s="12"/>
      <c r="L117079" s="208"/>
      <c r="M117079" s="209"/>
      <c r="N117079" s="209"/>
      <c r="O117079" s="209"/>
    </row>
    <row r="117080" spans="1:15" s="210" customFormat="1" x14ac:dyDescent="0.3">
      <c r="A117080" s="12"/>
      <c r="B117080" s="15"/>
      <c r="C117080" s="15"/>
      <c r="D117080" s="12"/>
      <c r="E117080" s="12"/>
      <c r="F117080" s="13"/>
      <c r="G117080" s="12"/>
      <c r="H117080" s="12"/>
      <c r="I117080" s="12"/>
      <c r="J117080" s="12"/>
      <c r="K117080" s="12"/>
      <c r="L117080" s="208"/>
      <c r="M117080" s="209"/>
      <c r="N117080" s="209"/>
      <c r="O117080" s="209"/>
    </row>
    <row r="117081" spans="1:15" s="210" customFormat="1" x14ac:dyDescent="0.3">
      <c r="A117081" s="12"/>
      <c r="B117081" s="15"/>
      <c r="C117081" s="15"/>
      <c r="D117081" s="12"/>
      <c r="E117081" s="12"/>
      <c r="F117081" s="13"/>
      <c r="G117081" s="12"/>
      <c r="H117081" s="12"/>
      <c r="I117081" s="12"/>
      <c r="J117081" s="12"/>
      <c r="K117081" s="12"/>
      <c r="L117081" s="208"/>
      <c r="M117081" s="209"/>
      <c r="N117081" s="209"/>
      <c r="O117081" s="209"/>
    </row>
    <row r="117082" spans="1:15" s="210" customFormat="1" x14ac:dyDescent="0.3">
      <c r="A117082" s="12"/>
      <c r="B117082" s="15"/>
      <c r="C117082" s="15"/>
      <c r="D117082" s="12"/>
      <c r="E117082" s="12"/>
      <c r="F117082" s="13"/>
      <c r="G117082" s="12"/>
      <c r="H117082" s="12"/>
      <c r="I117082" s="12"/>
      <c r="J117082" s="12"/>
      <c r="K117082" s="12"/>
      <c r="L117082" s="208"/>
      <c r="M117082" s="209"/>
      <c r="N117082" s="209"/>
      <c r="O117082" s="209"/>
    </row>
    <row r="117083" spans="1:15" s="210" customFormat="1" x14ac:dyDescent="0.3">
      <c r="A117083" s="12"/>
      <c r="B117083" s="15"/>
      <c r="C117083" s="15"/>
      <c r="D117083" s="12"/>
      <c r="E117083" s="12"/>
      <c r="F117083" s="13"/>
      <c r="G117083" s="12"/>
      <c r="H117083" s="12"/>
      <c r="I117083" s="12"/>
      <c r="J117083" s="12"/>
      <c r="K117083" s="12"/>
      <c r="L117083" s="208"/>
      <c r="M117083" s="209"/>
      <c r="N117083" s="209"/>
      <c r="O117083" s="209"/>
    </row>
    <row r="117084" spans="1:15" s="210" customFormat="1" x14ac:dyDescent="0.3">
      <c r="A117084" s="12"/>
      <c r="B117084" s="15"/>
      <c r="C117084" s="15"/>
      <c r="D117084" s="12"/>
      <c r="E117084" s="12"/>
      <c r="F117084" s="13"/>
      <c r="G117084" s="12"/>
      <c r="H117084" s="12"/>
      <c r="I117084" s="12"/>
      <c r="J117084" s="12"/>
      <c r="K117084" s="12"/>
      <c r="L117084" s="208"/>
      <c r="M117084" s="209"/>
      <c r="N117084" s="209"/>
      <c r="O117084" s="209"/>
    </row>
    <row r="117085" spans="1:15" s="210" customFormat="1" x14ac:dyDescent="0.3">
      <c r="A117085" s="12"/>
      <c r="B117085" s="15"/>
      <c r="C117085" s="15"/>
      <c r="D117085" s="12"/>
      <c r="E117085" s="12"/>
      <c r="F117085" s="13"/>
      <c r="G117085" s="12"/>
      <c r="H117085" s="12"/>
      <c r="I117085" s="12"/>
      <c r="J117085" s="12"/>
      <c r="K117085" s="12"/>
      <c r="L117085" s="208"/>
      <c r="M117085" s="209"/>
      <c r="N117085" s="209"/>
      <c r="O117085" s="209"/>
    </row>
    <row r="117086" spans="1:15" s="210" customFormat="1" x14ac:dyDescent="0.3">
      <c r="A117086" s="12"/>
      <c r="B117086" s="15"/>
      <c r="C117086" s="15"/>
      <c r="D117086" s="12"/>
      <c r="E117086" s="12"/>
      <c r="F117086" s="13"/>
      <c r="G117086" s="12"/>
      <c r="H117086" s="12"/>
      <c r="I117086" s="12"/>
      <c r="J117086" s="12"/>
      <c r="K117086" s="12"/>
      <c r="L117086" s="208"/>
      <c r="M117086" s="209"/>
      <c r="N117086" s="209"/>
      <c r="O117086" s="209"/>
    </row>
    <row r="117087" spans="1:15" s="210" customFormat="1" x14ac:dyDescent="0.3">
      <c r="A117087" s="12"/>
      <c r="B117087" s="15"/>
      <c r="C117087" s="15"/>
      <c r="D117087" s="12"/>
      <c r="E117087" s="12"/>
      <c r="F117087" s="13"/>
      <c r="G117087" s="12"/>
      <c r="H117087" s="12"/>
      <c r="I117087" s="12"/>
      <c r="J117087" s="12"/>
      <c r="K117087" s="12"/>
      <c r="L117087" s="208"/>
      <c r="M117087" s="209"/>
      <c r="N117087" s="209"/>
      <c r="O117087" s="209"/>
    </row>
    <row r="117088" spans="1:15" s="210" customFormat="1" x14ac:dyDescent="0.3">
      <c r="A117088" s="12"/>
      <c r="B117088" s="15"/>
      <c r="C117088" s="15"/>
      <c r="D117088" s="12"/>
      <c r="E117088" s="12"/>
      <c r="F117088" s="13"/>
      <c r="G117088" s="12"/>
      <c r="H117088" s="12"/>
      <c r="I117088" s="12"/>
      <c r="J117088" s="12"/>
      <c r="K117088" s="12"/>
      <c r="L117088" s="208"/>
      <c r="M117088" s="209"/>
      <c r="N117088" s="209"/>
      <c r="O117088" s="209"/>
    </row>
    <row r="117089" spans="1:15" s="210" customFormat="1" x14ac:dyDescent="0.3">
      <c r="A117089" s="12"/>
      <c r="B117089" s="15"/>
      <c r="C117089" s="15"/>
      <c r="D117089" s="12"/>
      <c r="E117089" s="12"/>
      <c r="F117089" s="13"/>
      <c r="G117089" s="12"/>
      <c r="H117089" s="12"/>
      <c r="I117089" s="12"/>
      <c r="J117089" s="12"/>
      <c r="K117089" s="12"/>
      <c r="L117089" s="208"/>
      <c r="M117089" s="209"/>
      <c r="N117089" s="209"/>
      <c r="O117089" s="209"/>
    </row>
    <row r="117090" spans="1:15" s="210" customFormat="1" x14ac:dyDescent="0.3">
      <c r="A117090" s="12"/>
      <c r="B117090" s="15"/>
      <c r="C117090" s="15"/>
      <c r="D117090" s="12"/>
      <c r="E117090" s="12"/>
      <c r="F117090" s="13"/>
      <c r="G117090" s="12"/>
      <c r="H117090" s="12"/>
      <c r="I117090" s="12"/>
      <c r="J117090" s="12"/>
      <c r="K117090" s="12"/>
      <c r="L117090" s="208"/>
      <c r="M117090" s="209"/>
      <c r="N117090" s="209"/>
      <c r="O117090" s="209"/>
    </row>
    <row r="117091" spans="1:15" s="210" customFormat="1" x14ac:dyDescent="0.3">
      <c r="A117091" s="12"/>
      <c r="B117091" s="15"/>
      <c r="C117091" s="15"/>
      <c r="D117091" s="12"/>
      <c r="E117091" s="12"/>
      <c r="F117091" s="13"/>
      <c r="G117091" s="12"/>
      <c r="H117091" s="12"/>
      <c r="I117091" s="12"/>
      <c r="J117091" s="12"/>
      <c r="K117091" s="12"/>
      <c r="L117091" s="208"/>
      <c r="M117091" s="209"/>
      <c r="N117091" s="209"/>
      <c r="O117091" s="209"/>
    </row>
    <row r="117092" spans="1:15" s="210" customFormat="1" x14ac:dyDescent="0.3">
      <c r="A117092" s="12"/>
      <c r="B117092" s="15"/>
      <c r="C117092" s="15"/>
      <c r="D117092" s="12"/>
      <c r="E117092" s="12"/>
      <c r="F117092" s="13"/>
      <c r="G117092" s="12"/>
      <c r="H117092" s="12"/>
      <c r="I117092" s="12"/>
      <c r="J117092" s="12"/>
      <c r="K117092" s="12"/>
      <c r="L117092" s="208"/>
      <c r="M117092" s="209"/>
      <c r="N117092" s="209"/>
      <c r="O117092" s="209"/>
    </row>
    <row r="117093" spans="1:15" s="210" customFormat="1" x14ac:dyDescent="0.3">
      <c r="A117093" s="12"/>
      <c r="B117093" s="15"/>
      <c r="C117093" s="15"/>
      <c r="D117093" s="12"/>
      <c r="E117093" s="12"/>
      <c r="F117093" s="13"/>
      <c r="G117093" s="12"/>
      <c r="H117093" s="12"/>
      <c r="I117093" s="12"/>
      <c r="J117093" s="12"/>
      <c r="K117093" s="12"/>
      <c r="L117093" s="208"/>
      <c r="M117093" s="209"/>
      <c r="N117093" s="209"/>
      <c r="O117093" s="209"/>
    </row>
    <row r="117094" spans="1:15" s="210" customFormat="1" x14ac:dyDescent="0.3">
      <c r="A117094" s="12"/>
      <c r="B117094" s="15"/>
      <c r="C117094" s="15"/>
      <c r="D117094" s="12"/>
      <c r="E117094" s="12"/>
      <c r="F117094" s="13"/>
      <c r="G117094" s="12"/>
      <c r="H117094" s="12"/>
      <c r="I117094" s="12"/>
      <c r="J117094" s="12"/>
      <c r="K117094" s="12"/>
      <c r="L117094" s="208"/>
      <c r="M117094" s="209"/>
      <c r="N117094" s="209"/>
      <c r="O117094" s="209"/>
    </row>
    <row r="117095" spans="1:15" s="210" customFormat="1" x14ac:dyDescent="0.3">
      <c r="A117095" s="12"/>
      <c r="B117095" s="15"/>
      <c r="C117095" s="15"/>
      <c r="D117095" s="12"/>
      <c r="E117095" s="12"/>
      <c r="F117095" s="13"/>
      <c r="G117095" s="12"/>
      <c r="H117095" s="12"/>
      <c r="I117095" s="12"/>
      <c r="J117095" s="12"/>
      <c r="K117095" s="12"/>
      <c r="L117095" s="208"/>
      <c r="M117095" s="209"/>
      <c r="N117095" s="209"/>
      <c r="O117095" s="209"/>
    </row>
    <row r="117096" spans="1:15" s="210" customFormat="1" x14ac:dyDescent="0.3">
      <c r="A117096" s="12"/>
      <c r="B117096" s="15"/>
      <c r="C117096" s="15"/>
      <c r="D117096" s="12"/>
      <c r="E117096" s="12"/>
      <c r="F117096" s="13"/>
      <c r="G117096" s="12"/>
      <c r="H117096" s="12"/>
      <c r="I117096" s="12"/>
      <c r="J117096" s="12"/>
      <c r="K117096" s="12"/>
      <c r="L117096" s="208"/>
      <c r="M117096" s="209"/>
      <c r="N117096" s="209"/>
      <c r="O117096" s="209"/>
    </row>
    <row r="117097" spans="1:15" s="210" customFormat="1" x14ac:dyDescent="0.3">
      <c r="A117097" s="12"/>
      <c r="B117097" s="15"/>
      <c r="C117097" s="15"/>
      <c r="D117097" s="12"/>
      <c r="E117097" s="12"/>
      <c r="F117097" s="13"/>
      <c r="G117097" s="12"/>
      <c r="H117097" s="12"/>
      <c r="I117097" s="12"/>
      <c r="J117097" s="12"/>
      <c r="K117097" s="12"/>
      <c r="L117097" s="208"/>
      <c r="M117097" s="209"/>
      <c r="N117097" s="209"/>
      <c r="O117097" s="209"/>
    </row>
    <row r="117098" spans="1:15" s="210" customFormat="1" x14ac:dyDescent="0.3">
      <c r="A117098" s="12"/>
      <c r="B117098" s="15"/>
      <c r="C117098" s="15"/>
      <c r="D117098" s="12"/>
      <c r="E117098" s="12"/>
      <c r="F117098" s="13"/>
      <c r="G117098" s="12"/>
      <c r="H117098" s="12"/>
      <c r="I117098" s="12"/>
      <c r="J117098" s="12"/>
      <c r="K117098" s="12"/>
      <c r="L117098" s="208"/>
      <c r="M117098" s="209"/>
      <c r="N117098" s="209"/>
      <c r="O117098" s="209"/>
    </row>
    <row r="117099" spans="1:15" s="210" customFormat="1" x14ac:dyDescent="0.3">
      <c r="A117099" s="12"/>
      <c r="B117099" s="15"/>
      <c r="C117099" s="15"/>
      <c r="D117099" s="12"/>
      <c r="E117099" s="12"/>
      <c r="F117099" s="13"/>
      <c r="G117099" s="12"/>
      <c r="H117099" s="12"/>
      <c r="I117099" s="12"/>
      <c r="J117099" s="12"/>
      <c r="K117099" s="12"/>
      <c r="L117099" s="208"/>
      <c r="M117099" s="209"/>
      <c r="N117099" s="209"/>
      <c r="O117099" s="209"/>
    </row>
    <row r="117100" spans="1:15" s="210" customFormat="1" x14ac:dyDescent="0.3">
      <c r="A117100" s="12"/>
      <c r="B117100" s="15"/>
      <c r="C117100" s="15"/>
      <c r="D117100" s="12"/>
      <c r="E117100" s="12"/>
      <c r="F117100" s="13"/>
      <c r="G117100" s="12"/>
      <c r="H117100" s="12"/>
      <c r="I117100" s="12"/>
      <c r="J117100" s="12"/>
      <c r="K117100" s="12"/>
      <c r="L117100" s="208"/>
      <c r="M117100" s="209"/>
      <c r="N117100" s="209"/>
      <c r="O117100" s="209"/>
    </row>
    <row r="117101" spans="1:15" s="210" customFormat="1" x14ac:dyDescent="0.3">
      <c r="A117101" s="12"/>
      <c r="B117101" s="15"/>
      <c r="C117101" s="15"/>
      <c r="D117101" s="12"/>
      <c r="E117101" s="12"/>
      <c r="F117101" s="13"/>
      <c r="G117101" s="12"/>
      <c r="H117101" s="12"/>
      <c r="I117101" s="12"/>
      <c r="J117101" s="12"/>
      <c r="K117101" s="12"/>
      <c r="L117101" s="208"/>
      <c r="M117101" s="209"/>
      <c r="N117101" s="209"/>
      <c r="O117101" s="209"/>
    </row>
    <row r="117102" spans="1:15" s="210" customFormat="1" x14ac:dyDescent="0.3">
      <c r="A117102" s="12"/>
      <c r="B117102" s="15"/>
      <c r="C117102" s="15"/>
      <c r="D117102" s="12"/>
      <c r="E117102" s="12"/>
      <c r="F117102" s="13"/>
      <c r="G117102" s="12"/>
      <c r="H117102" s="12"/>
      <c r="I117102" s="12"/>
      <c r="J117102" s="12"/>
      <c r="K117102" s="12"/>
      <c r="L117102" s="208"/>
      <c r="M117102" s="209"/>
      <c r="N117102" s="209"/>
      <c r="O117102" s="209"/>
    </row>
    <row r="117103" spans="1:15" s="210" customFormat="1" x14ac:dyDescent="0.3">
      <c r="A117103" s="12"/>
      <c r="B117103" s="15"/>
      <c r="C117103" s="15"/>
      <c r="D117103" s="12"/>
      <c r="E117103" s="12"/>
      <c r="F117103" s="13"/>
      <c r="G117103" s="12"/>
      <c r="H117103" s="12"/>
      <c r="I117103" s="12"/>
      <c r="J117103" s="12"/>
      <c r="K117103" s="12"/>
      <c r="L117103" s="208"/>
      <c r="M117103" s="209"/>
      <c r="N117103" s="209"/>
      <c r="O117103" s="209"/>
    </row>
    <row r="117104" spans="1:15" s="210" customFormat="1" x14ac:dyDescent="0.3">
      <c r="A117104" s="12"/>
      <c r="B117104" s="15"/>
      <c r="C117104" s="15"/>
      <c r="D117104" s="12"/>
      <c r="E117104" s="12"/>
      <c r="F117104" s="13"/>
      <c r="G117104" s="12"/>
      <c r="H117104" s="12"/>
      <c r="I117104" s="12"/>
      <c r="J117104" s="12"/>
      <c r="K117104" s="12"/>
      <c r="L117104" s="208"/>
      <c r="M117104" s="209"/>
      <c r="N117104" s="209"/>
      <c r="O117104" s="209"/>
    </row>
    <row r="117105" spans="1:15" s="210" customFormat="1" x14ac:dyDescent="0.3">
      <c r="A117105" s="12"/>
      <c r="B117105" s="15"/>
      <c r="C117105" s="15"/>
      <c r="D117105" s="12"/>
      <c r="E117105" s="12"/>
      <c r="F117105" s="13"/>
      <c r="G117105" s="12"/>
      <c r="H117105" s="12"/>
      <c r="I117105" s="12"/>
      <c r="J117105" s="12"/>
      <c r="K117105" s="12"/>
      <c r="L117105" s="208"/>
      <c r="M117105" s="209"/>
      <c r="N117105" s="209"/>
      <c r="O117105" s="209"/>
    </row>
    <row r="117106" spans="1:15" s="210" customFormat="1" x14ac:dyDescent="0.3">
      <c r="A117106" s="12"/>
      <c r="B117106" s="15"/>
      <c r="C117106" s="15"/>
      <c r="D117106" s="12"/>
      <c r="E117106" s="12"/>
      <c r="F117106" s="13"/>
      <c r="G117106" s="12"/>
      <c r="H117106" s="12"/>
      <c r="I117106" s="12"/>
      <c r="J117106" s="12"/>
      <c r="K117106" s="12"/>
      <c r="L117106" s="208"/>
      <c r="M117106" s="209"/>
      <c r="N117106" s="209"/>
      <c r="O117106" s="209"/>
    </row>
    <row r="117107" spans="1:15" s="210" customFormat="1" x14ac:dyDescent="0.3">
      <c r="A117107" s="12"/>
      <c r="B117107" s="15"/>
      <c r="C117107" s="15"/>
      <c r="D117107" s="12"/>
      <c r="E117107" s="12"/>
      <c r="F117107" s="13"/>
      <c r="G117107" s="12"/>
      <c r="H117107" s="12"/>
      <c r="I117107" s="12"/>
      <c r="J117107" s="12"/>
      <c r="K117107" s="12"/>
      <c r="L117107" s="208"/>
      <c r="M117107" s="209"/>
      <c r="N117107" s="209"/>
      <c r="O117107" s="209"/>
    </row>
    <row r="117108" spans="1:15" s="210" customFormat="1" x14ac:dyDescent="0.3">
      <c r="A117108" s="12"/>
      <c r="B117108" s="15"/>
      <c r="C117108" s="15"/>
      <c r="D117108" s="12"/>
      <c r="E117108" s="12"/>
      <c r="F117108" s="13"/>
      <c r="G117108" s="12"/>
      <c r="H117108" s="12"/>
      <c r="I117108" s="12"/>
      <c r="J117108" s="12"/>
      <c r="K117108" s="12"/>
      <c r="L117108" s="208"/>
      <c r="M117108" s="209"/>
      <c r="N117108" s="209"/>
      <c r="O117108" s="209"/>
    </row>
    <row r="117109" spans="1:15" s="210" customFormat="1" x14ac:dyDescent="0.3">
      <c r="A117109" s="12"/>
      <c r="B117109" s="15"/>
      <c r="C117109" s="15"/>
      <c r="D117109" s="12"/>
      <c r="E117109" s="12"/>
      <c r="F117109" s="13"/>
      <c r="G117109" s="12"/>
      <c r="H117109" s="12"/>
      <c r="I117109" s="12"/>
      <c r="J117109" s="12"/>
      <c r="K117109" s="12"/>
      <c r="L117109" s="208"/>
      <c r="M117109" s="209"/>
      <c r="N117109" s="209"/>
      <c r="O117109" s="209"/>
    </row>
    <row r="117110" spans="1:15" s="210" customFormat="1" x14ac:dyDescent="0.3">
      <c r="A117110" s="12"/>
      <c r="B117110" s="15"/>
      <c r="C117110" s="15"/>
      <c r="D117110" s="12"/>
      <c r="E117110" s="12"/>
      <c r="F117110" s="13"/>
      <c r="G117110" s="12"/>
      <c r="H117110" s="12"/>
      <c r="I117110" s="12"/>
      <c r="J117110" s="12"/>
      <c r="K117110" s="12"/>
      <c r="L117110" s="208"/>
      <c r="M117110" s="209"/>
      <c r="N117110" s="209"/>
      <c r="O117110" s="209"/>
    </row>
    <row r="117111" spans="1:15" s="210" customFormat="1" x14ac:dyDescent="0.3">
      <c r="A117111" s="12"/>
      <c r="B117111" s="15"/>
      <c r="C117111" s="15"/>
      <c r="D117111" s="12"/>
      <c r="E117111" s="12"/>
      <c r="F117111" s="13"/>
      <c r="G117111" s="12"/>
      <c r="H117111" s="12"/>
      <c r="I117111" s="12"/>
      <c r="J117111" s="12"/>
      <c r="K117111" s="12"/>
      <c r="L117111" s="208"/>
      <c r="M117111" s="209"/>
      <c r="N117111" s="209"/>
      <c r="O117111" s="209"/>
    </row>
    <row r="117112" spans="1:15" s="210" customFormat="1" x14ac:dyDescent="0.3">
      <c r="A117112" s="12"/>
      <c r="B117112" s="15"/>
      <c r="C117112" s="15"/>
      <c r="D117112" s="12"/>
      <c r="E117112" s="12"/>
      <c r="F117112" s="13"/>
      <c r="G117112" s="12"/>
      <c r="H117112" s="12"/>
      <c r="I117112" s="12"/>
      <c r="J117112" s="12"/>
      <c r="K117112" s="12"/>
      <c r="L117112" s="208"/>
      <c r="M117112" s="209"/>
      <c r="N117112" s="209"/>
      <c r="O117112" s="209"/>
    </row>
    <row r="117113" spans="1:15" s="210" customFormat="1" x14ac:dyDescent="0.3">
      <c r="A117113" s="12"/>
      <c r="B117113" s="15"/>
      <c r="C117113" s="15"/>
      <c r="D117113" s="12"/>
      <c r="E117113" s="12"/>
      <c r="F117113" s="13"/>
      <c r="G117113" s="12"/>
      <c r="H117113" s="12"/>
      <c r="I117113" s="12"/>
      <c r="J117113" s="12"/>
      <c r="K117113" s="12"/>
      <c r="L117113" s="208"/>
      <c r="M117113" s="209"/>
      <c r="N117113" s="209"/>
      <c r="O117113" s="209"/>
    </row>
    <row r="117114" spans="1:15" s="210" customFormat="1" x14ac:dyDescent="0.3">
      <c r="A117114" s="12"/>
      <c r="B117114" s="15"/>
      <c r="C117114" s="15"/>
      <c r="D117114" s="12"/>
      <c r="E117114" s="12"/>
      <c r="F117114" s="13"/>
      <c r="G117114" s="12"/>
      <c r="H117114" s="12"/>
      <c r="I117114" s="12"/>
      <c r="J117114" s="12"/>
      <c r="K117114" s="12"/>
      <c r="L117114" s="208"/>
      <c r="M117114" s="209"/>
      <c r="N117114" s="209"/>
      <c r="O117114" s="209"/>
    </row>
    <row r="117115" spans="1:15" s="210" customFormat="1" x14ac:dyDescent="0.3">
      <c r="A117115" s="12"/>
      <c r="B117115" s="15"/>
      <c r="C117115" s="15"/>
      <c r="D117115" s="12"/>
      <c r="E117115" s="12"/>
      <c r="F117115" s="13"/>
      <c r="G117115" s="12"/>
      <c r="H117115" s="12"/>
      <c r="I117115" s="12"/>
      <c r="J117115" s="12"/>
      <c r="K117115" s="12"/>
      <c r="L117115" s="208"/>
      <c r="M117115" s="209"/>
      <c r="N117115" s="209"/>
      <c r="O117115" s="209"/>
    </row>
    <row r="117116" spans="1:15" s="210" customFormat="1" x14ac:dyDescent="0.3">
      <c r="A117116" s="12"/>
      <c r="B117116" s="15"/>
      <c r="C117116" s="15"/>
      <c r="D117116" s="12"/>
      <c r="E117116" s="12"/>
      <c r="F117116" s="13"/>
      <c r="G117116" s="12"/>
      <c r="H117116" s="12"/>
      <c r="I117116" s="12"/>
      <c r="J117116" s="12"/>
      <c r="K117116" s="12"/>
      <c r="L117116" s="208"/>
      <c r="M117116" s="209"/>
      <c r="N117116" s="209"/>
      <c r="O117116" s="209"/>
    </row>
    <row r="117117" spans="1:15" s="210" customFormat="1" x14ac:dyDescent="0.3">
      <c r="A117117" s="12"/>
      <c r="B117117" s="15"/>
      <c r="C117117" s="15"/>
      <c r="D117117" s="12"/>
      <c r="E117117" s="12"/>
      <c r="F117117" s="13"/>
      <c r="G117117" s="12"/>
      <c r="H117117" s="12"/>
      <c r="I117117" s="12"/>
      <c r="J117117" s="12"/>
      <c r="K117117" s="12"/>
      <c r="L117117" s="208"/>
      <c r="M117117" s="209"/>
      <c r="N117117" s="209"/>
      <c r="O117117" s="209"/>
    </row>
    <row r="117118" spans="1:15" s="210" customFormat="1" x14ac:dyDescent="0.3">
      <c r="A117118" s="12"/>
      <c r="B117118" s="15"/>
      <c r="C117118" s="15"/>
      <c r="D117118" s="12"/>
      <c r="E117118" s="12"/>
      <c r="F117118" s="13"/>
      <c r="G117118" s="12"/>
      <c r="H117118" s="12"/>
      <c r="I117118" s="12"/>
      <c r="J117118" s="12"/>
      <c r="K117118" s="12"/>
      <c r="L117118" s="208"/>
      <c r="M117118" s="209"/>
      <c r="N117118" s="209"/>
      <c r="O117118" s="209"/>
    </row>
    <row r="117119" spans="1:15" s="210" customFormat="1" x14ac:dyDescent="0.3">
      <c r="A117119" s="12"/>
      <c r="B117119" s="15"/>
      <c r="C117119" s="15"/>
      <c r="D117119" s="12"/>
      <c r="E117119" s="12"/>
      <c r="F117119" s="13"/>
      <c r="G117119" s="12"/>
      <c r="H117119" s="12"/>
      <c r="I117119" s="12"/>
      <c r="J117119" s="12"/>
      <c r="K117119" s="12"/>
      <c r="L117119" s="208"/>
      <c r="M117119" s="209"/>
      <c r="N117119" s="209"/>
      <c r="O117119" s="209"/>
    </row>
    <row r="117120" spans="1:15" s="210" customFormat="1" x14ac:dyDescent="0.3">
      <c r="A117120" s="12"/>
      <c r="B117120" s="15"/>
      <c r="C117120" s="15"/>
      <c r="D117120" s="12"/>
      <c r="E117120" s="12"/>
      <c r="F117120" s="13"/>
      <c r="G117120" s="12"/>
      <c r="H117120" s="12"/>
      <c r="I117120" s="12"/>
      <c r="J117120" s="12"/>
      <c r="K117120" s="12"/>
      <c r="L117120" s="208"/>
      <c r="M117120" s="209"/>
      <c r="N117120" s="209"/>
      <c r="O117120" s="209"/>
    </row>
    <row r="117121" spans="1:15" s="210" customFormat="1" x14ac:dyDescent="0.3">
      <c r="A117121" s="12"/>
      <c r="B117121" s="15"/>
      <c r="C117121" s="15"/>
      <c r="D117121" s="12"/>
      <c r="E117121" s="12"/>
      <c r="F117121" s="13"/>
      <c r="G117121" s="12"/>
      <c r="H117121" s="12"/>
      <c r="I117121" s="12"/>
      <c r="J117121" s="12"/>
      <c r="K117121" s="12"/>
      <c r="L117121" s="208"/>
      <c r="M117121" s="209"/>
      <c r="N117121" s="209"/>
      <c r="O117121" s="209"/>
    </row>
    <row r="117122" spans="1:15" s="210" customFormat="1" x14ac:dyDescent="0.3">
      <c r="A117122" s="12"/>
      <c r="B117122" s="15"/>
      <c r="C117122" s="15"/>
      <c r="D117122" s="12"/>
      <c r="E117122" s="12"/>
      <c r="F117122" s="13"/>
      <c r="G117122" s="12"/>
      <c r="H117122" s="12"/>
      <c r="I117122" s="12"/>
      <c r="J117122" s="12"/>
      <c r="K117122" s="12"/>
      <c r="L117122" s="208"/>
      <c r="M117122" s="209"/>
      <c r="N117122" s="209"/>
      <c r="O117122" s="209"/>
    </row>
    <row r="117123" spans="1:15" s="210" customFormat="1" x14ac:dyDescent="0.3">
      <c r="A117123" s="12"/>
      <c r="B117123" s="15"/>
      <c r="C117123" s="15"/>
      <c r="D117123" s="12"/>
      <c r="E117123" s="12"/>
      <c r="F117123" s="13"/>
      <c r="G117123" s="12"/>
      <c r="H117123" s="12"/>
      <c r="I117123" s="12"/>
      <c r="J117123" s="12"/>
      <c r="K117123" s="12"/>
      <c r="L117123" s="208"/>
      <c r="M117123" s="209"/>
      <c r="N117123" s="209"/>
      <c r="O117123" s="209"/>
    </row>
    <row r="117124" spans="1:15" s="210" customFormat="1" x14ac:dyDescent="0.3">
      <c r="A117124" s="12"/>
      <c r="B117124" s="15"/>
      <c r="C117124" s="15"/>
      <c r="D117124" s="12"/>
      <c r="E117124" s="12"/>
      <c r="F117124" s="13"/>
      <c r="G117124" s="12"/>
      <c r="H117124" s="12"/>
      <c r="I117124" s="12"/>
      <c r="J117124" s="12"/>
      <c r="K117124" s="12"/>
      <c r="L117124" s="208"/>
      <c r="M117124" s="209"/>
      <c r="N117124" s="209"/>
      <c r="O117124" s="209"/>
    </row>
    <row r="117125" spans="1:15" s="210" customFormat="1" x14ac:dyDescent="0.3">
      <c r="A117125" s="12"/>
      <c r="B117125" s="15"/>
      <c r="C117125" s="15"/>
      <c r="D117125" s="12"/>
      <c r="E117125" s="12"/>
      <c r="F117125" s="13"/>
      <c r="G117125" s="12"/>
      <c r="H117125" s="12"/>
      <c r="I117125" s="12"/>
      <c r="J117125" s="12"/>
      <c r="K117125" s="12"/>
      <c r="L117125" s="208"/>
      <c r="M117125" s="209"/>
      <c r="N117125" s="209"/>
      <c r="O117125" s="209"/>
    </row>
    <row r="117126" spans="1:15" s="210" customFormat="1" x14ac:dyDescent="0.3">
      <c r="A117126" s="12"/>
      <c r="B117126" s="15"/>
      <c r="C117126" s="15"/>
      <c r="D117126" s="12"/>
      <c r="E117126" s="12"/>
      <c r="F117126" s="13"/>
      <c r="G117126" s="12"/>
      <c r="H117126" s="12"/>
      <c r="I117126" s="12"/>
      <c r="J117126" s="12"/>
      <c r="K117126" s="12"/>
      <c r="L117126" s="208"/>
      <c r="M117126" s="209"/>
      <c r="N117126" s="209"/>
      <c r="O117126" s="209"/>
    </row>
    <row r="117127" spans="1:15" s="210" customFormat="1" x14ac:dyDescent="0.3">
      <c r="A117127" s="12"/>
      <c r="B117127" s="15"/>
      <c r="C117127" s="15"/>
      <c r="D117127" s="12"/>
      <c r="E117127" s="12"/>
      <c r="F117127" s="13"/>
      <c r="G117127" s="12"/>
      <c r="H117127" s="12"/>
      <c r="I117127" s="12"/>
      <c r="J117127" s="12"/>
      <c r="K117127" s="12"/>
      <c r="L117127" s="208"/>
      <c r="M117127" s="209"/>
      <c r="N117127" s="209"/>
      <c r="O117127" s="209"/>
    </row>
    <row r="117128" spans="1:15" s="210" customFormat="1" x14ac:dyDescent="0.3">
      <c r="A117128" s="12"/>
      <c r="B117128" s="15"/>
      <c r="C117128" s="15"/>
      <c r="D117128" s="12"/>
      <c r="E117128" s="12"/>
      <c r="F117128" s="13"/>
      <c r="G117128" s="12"/>
      <c r="H117128" s="12"/>
      <c r="I117128" s="12"/>
      <c r="J117128" s="12"/>
      <c r="K117128" s="12"/>
      <c r="L117128" s="208"/>
      <c r="M117128" s="209"/>
      <c r="N117128" s="209"/>
      <c r="O117128" s="209"/>
    </row>
    <row r="117129" spans="1:15" s="210" customFormat="1" x14ac:dyDescent="0.3">
      <c r="A117129" s="12"/>
      <c r="B117129" s="15"/>
      <c r="C117129" s="15"/>
      <c r="D117129" s="12"/>
      <c r="E117129" s="12"/>
      <c r="F117129" s="13"/>
      <c r="G117129" s="12"/>
      <c r="H117129" s="12"/>
      <c r="I117129" s="12"/>
      <c r="J117129" s="12"/>
      <c r="K117129" s="12"/>
      <c r="L117129" s="208"/>
      <c r="M117129" s="209"/>
      <c r="N117129" s="209"/>
      <c r="O117129" s="209"/>
    </row>
    <row r="117130" spans="1:15" s="210" customFormat="1" x14ac:dyDescent="0.3">
      <c r="A117130" s="12"/>
      <c r="B117130" s="15"/>
      <c r="C117130" s="15"/>
      <c r="D117130" s="12"/>
      <c r="E117130" s="12"/>
      <c r="F117130" s="13"/>
      <c r="G117130" s="12"/>
      <c r="H117130" s="12"/>
      <c r="I117130" s="12"/>
      <c r="J117130" s="12"/>
      <c r="K117130" s="12"/>
      <c r="L117130" s="208"/>
      <c r="M117130" s="209"/>
      <c r="N117130" s="209"/>
      <c r="O117130" s="209"/>
    </row>
    <row r="117131" spans="1:15" s="210" customFormat="1" x14ac:dyDescent="0.3">
      <c r="A117131" s="12"/>
      <c r="B117131" s="15"/>
      <c r="C117131" s="15"/>
      <c r="D117131" s="12"/>
      <c r="E117131" s="12"/>
      <c r="F117131" s="13"/>
      <c r="G117131" s="12"/>
      <c r="H117131" s="12"/>
      <c r="I117131" s="12"/>
      <c r="J117131" s="12"/>
      <c r="K117131" s="12"/>
      <c r="L117131" s="208"/>
      <c r="M117131" s="209"/>
      <c r="N117131" s="209"/>
      <c r="O117131" s="209"/>
    </row>
    <row r="117132" spans="1:15" s="210" customFormat="1" x14ac:dyDescent="0.3">
      <c r="A117132" s="12"/>
      <c r="B117132" s="15"/>
      <c r="C117132" s="15"/>
      <c r="D117132" s="12"/>
      <c r="E117132" s="12"/>
      <c r="F117132" s="13"/>
      <c r="G117132" s="12"/>
      <c r="H117132" s="12"/>
      <c r="I117132" s="12"/>
      <c r="J117132" s="12"/>
      <c r="K117132" s="12"/>
      <c r="L117132" s="208"/>
      <c r="M117132" s="209"/>
      <c r="N117132" s="209"/>
      <c r="O117132" s="209"/>
    </row>
    <row r="117133" spans="1:15" s="210" customFormat="1" x14ac:dyDescent="0.3">
      <c r="A117133" s="12"/>
      <c r="B117133" s="15"/>
      <c r="C117133" s="15"/>
      <c r="D117133" s="12"/>
      <c r="E117133" s="12"/>
      <c r="F117133" s="13"/>
      <c r="G117133" s="12"/>
      <c r="H117133" s="12"/>
      <c r="I117133" s="12"/>
      <c r="J117133" s="12"/>
      <c r="K117133" s="12"/>
      <c r="L117133" s="208"/>
      <c r="M117133" s="209"/>
      <c r="N117133" s="209"/>
      <c r="O117133" s="209"/>
    </row>
    <row r="117134" spans="1:15" s="210" customFormat="1" x14ac:dyDescent="0.3">
      <c r="A117134" s="12"/>
      <c r="B117134" s="15"/>
      <c r="C117134" s="15"/>
      <c r="D117134" s="12"/>
      <c r="E117134" s="12"/>
      <c r="F117134" s="13"/>
      <c r="G117134" s="12"/>
      <c r="H117134" s="12"/>
      <c r="I117134" s="12"/>
      <c r="J117134" s="12"/>
      <c r="K117134" s="12"/>
      <c r="L117134" s="208"/>
      <c r="M117134" s="209"/>
      <c r="N117134" s="209"/>
      <c r="O117134" s="209"/>
    </row>
    <row r="117135" spans="1:15" s="210" customFormat="1" x14ac:dyDescent="0.3">
      <c r="A117135" s="12"/>
      <c r="B117135" s="15"/>
      <c r="C117135" s="15"/>
      <c r="D117135" s="12"/>
      <c r="E117135" s="12"/>
      <c r="F117135" s="13"/>
      <c r="G117135" s="12"/>
      <c r="H117135" s="12"/>
      <c r="I117135" s="12"/>
      <c r="J117135" s="12"/>
      <c r="K117135" s="12"/>
      <c r="L117135" s="208"/>
      <c r="M117135" s="209"/>
      <c r="N117135" s="209"/>
      <c r="O117135" s="209"/>
    </row>
    <row r="117136" spans="1:15" s="210" customFormat="1" x14ac:dyDescent="0.3">
      <c r="A117136" s="12"/>
      <c r="B117136" s="15"/>
      <c r="C117136" s="15"/>
      <c r="D117136" s="12"/>
      <c r="E117136" s="12"/>
      <c r="F117136" s="13"/>
      <c r="G117136" s="12"/>
      <c r="H117136" s="12"/>
      <c r="I117136" s="12"/>
      <c r="J117136" s="12"/>
      <c r="K117136" s="12"/>
      <c r="L117136" s="208"/>
      <c r="M117136" s="209"/>
      <c r="N117136" s="209"/>
      <c r="O117136" s="209"/>
    </row>
    <row r="117137" spans="1:15" s="210" customFormat="1" x14ac:dyDescent="0.3">
      <c r="A117137" s="12"/>
      <c r="B117137" s="15"/>
      <c r="C117137" s="15"/>
      <c r="D117137" s="12"/>
      <c r="E117137" s="12"/>
      <c r="F117137" s="13"/>
      <c r="G117137" s="12"/>
      <c r="H117137" s="12"/>
      <c r="I117137" s="12"/>
      <c r="J117137" s="12"/>
      <c r="K117137" s="12"/>
      <c r="L117137" s="208"/>
      <c r="M117137" s="209"/>
      <c r="N117137" s="209"/>
      <c r="O117137" s="209"/>
    </row>
    <row r="117138" spans="1:15" s="210" customFormat="1" x14ac:dyDescent="0.3">
      <c r="A117138" s="12"/>
      <c r="B117138" s="15"/>
      <c r="C117138" s="15"/>
      <c r="D117138" s="12"/>
      <c r="E117138" s="12"/>
      <c r="F117138" s="13"/>
      <c r="G117138" s="12"/>
      <c r="H117138" s="12"/>
      <c r="I117138" s="12"/>
      <c r="J117138" s="12"/>
      <c r="K117138" s="12"/>
      <c r="L117138" s="208"/>
      <c r="M117138" s="209"/>
      <c r="N117138" s="209"/>
      <c r="O117138" s="209"/>
    </row>
    <row r="117139" spans="1:15" s="210" customFormat="1" x14ac:dyDescent="0.3">
      <c r="A117139" s="12"/>
      <c r="B117139" s="15"/>
      <c r="C117139" s="15"/>
      <c r="D117139" s="12"/>
      <c r="E117139" s="12"/>
      <c r="F117139" s="13"/>
      <c r="G117139" s="12"/>
      <c r="H117139" s="12"/>
      <c r="I117139" s="12"/>
      <c r="J117139" s="12"/>
      <c r="K117139" s="12"/>
      <c r="L117139" s="208"/>
      <c r="M117139" s="209"/>
      <c r="N117139" s="209"/>
      <c r="O117139" s="209"/>
    </row>
    <row r="117140" spans="1:15" s="210" customFormat="1" x14ac:dyDescent="0.3">
      <c r="A117140" s="12"/>
      <c r="B117140" s="15"/>
      <c r="C117140" s="15"/>
      <c r="D117140" s="12"/>
      <c r="E117140" s="12"/>
      <c r="F117140" s="13"/>
      <c r="G117140" s="12"/>
      <c r="H117140" s="12"/>
      <c r="I117140" s="12"/>
      <c r="J117140" s="12"/>
      <c r="K117140" s="12"/>
      <c r="L117140" s="208"/>
      <c r="M117140" s="209"/>
      <c r="N117140" s="209"/>
      <c r="O117140" s="209"/>
    </row>
    <row r="117141" spans="1:15" s="210" customFormat="1" x14ac:dyDescent="0.3">
      <c r="A117141" s="12"/>
      <c r="B117141" s="15"/>
      <c r="C117141" s="15"/>
      <c r="D117141" s="12"/>
      <c r="E117141" s="12"/>
      <c r="F117141" s="13"/>
      <c r="G117141" s="12"/>
      <c r="H117141" s="12"/>
      <c r="I117141" s="12"/>
      <c r="J117141" s="12"/>
      <c r="K117141" s="12"/>
      <c r="L117141" s="208"/>
      <c r="M117141" s="209"/>
      <c r="N117141" s="209"/>
      <c r="O117141" s="209"/>
    </row>
    <row r="117142" spans="1:15" s="210" customFormat="1" x14ac:dyDescent="0.3">
      <c r="A117142" s="12"/>
      <c r="B117142" s="15"/>
      <c r="C117142" s="15"/>
      <c r="D117142" s="12"/>
      <c r="E117142" s="12"/>
      <c r="F117142" s="13"/>
      <c r="G117142" s="12"/>
      <c r="H117142" s="12"/>
      <c r="I117142" s="12"/>
      <c r="J117142" s="12"/>
      <c r="K117142" s="12"/>
      <c r="L117142" s="208"/>
      <c r="M117142" s="209"/>
      <c r="N117142" s="209"/>
      <c r="O117142" s="209"/>
    </row>
    <row r="117143" spans="1:15" s="210" customFormat="1" x14ac:dyDescent="0.3">
      <c r="A117143" s="12"/>
      <c r="B117143" s="15"/>
      <c r="C117143" s="15"/>
      <c r="D117143" s="12"/>
      <c r="E117143" s="12"/>
      <c r="F117143" s="13"/>
      <c r="G117143" s="12"/>
      <c r="H117143" s="12"/>
      <c r="I117143" s="12"/>
      <c r="J117143" s="12"/>
      <c r="K117143" s="12"/>
      <c r="L117143" s="208"/>
      <c r="M117143" s="209"/>
      <c r="N117143" s="209"/>
      <c r="O117143" s="209"/>
    </row>
    <row r="117144" spans="1:15" s="210" customFormat="1" x14ac:dyDescent="0.3">
      <c r="A117144" s="12"/>
      <c r="B117144" s="15"/>
      <c r="C117144" s="15"/>
      <c r="D117144" s="12"/>
      <c r="E117144" s="12"/>
      <c r="F117144" s="13"/>
      <c r="G117144" s="12"/>
      <c r="H117144" s="12"/>
      <c r="I117144" s="12"/>
      <c r="J117144" s="12"/>
      <c r="K117144" s="12"/>
      <c r="L117144" s="208"/>
      <c r="M117144" s="209"/>
      <c r="N117144" s="209"/>
      <c r="O117144" s="209"/>
    </row>
    <row r="117145" spans="1:15" s="210" customFormat="1" x14ac:dyDescent="0.3">
      <c r="A117145" s="12"/>
      <c r="B117145" s="15"/>
      <c r="C117145" s="15"/>
      <c r="D117145" s="12"/>
      <c r="E117145" s="12"/>
      <c r="F117145" s="13"/>
      <c r="G117145" s="12"/>
      <c r="H117145" s="12"/>
      <c r="I117145" s="12"/>
      <c r="J117145" s="12"/>
      <c r="K117145" s="12"/>
      <c r="L117145" s="208"/>
      <c r="M117145" s="209"/>
      <c r="N117145" s="209"/>
      <c r="O117145" s="209"/>
    </row>
    <row r="117146" spans="1:15" s="210" customFormat="1" x14ac:dyDescent="0.3">
      <c r="A117146" s="12"/>
      <c r="B117146" s="15"/>
      <c r="C117146" s="15"/>
      <c r="D117146" s="12"/>
      <c r="E117146" s="12"/>
      <c r="F117146" s="13"/>
      <c r="G117146" s="12"/>
      <c r="H117146" s="12"/>
      <c r="I117146" s="12"/>
      <c r="J117146" s="12"/>
      <c r="K117146" s="12"/>
      <c r="L117146" s="208"/>
      <c r="M117146" s="209"/>
      <c r="N117146" s="209"/>
      <c r="O117146" s="209"/>
    </row>
    <row r="117147" spans="1:15" s="210" customFormat="1" x14ac:dyDescent="0.3">
      <c r="A117147" s="12"/>
      <c r="B117147" s="15"/>
      <c r="C117147" s="15"/>
      <c r="D117147" s="12"/>
      <c r="E117147" s="12"/>
      <c r="F117147" s="13"/>
      <c r="G117147" s="12"/>
      <c r="H117147" s="12"/>
      <c r="I117147" s="12"/>
      <c r="J117147" s="12"/>
      <c r="K117147" s="12"/>
      <c r="L117147" s="208"/>
      <c r="M117147" s="209"/>
      <c r="N117147" s="209"/>
      <c r="O117147" s="209"/>
    </row>
    <row r="117148" spans="1:15" s="210" customFormat="1" x14ac:dyDescent="0.3">
      <c r="A117148" s="12"/>
      <c r="B117148" s="15"/>
      <c r="C117148" s="15"/>
      <c r="D117148" s="12"/>
      <c r="E117148" s="12"/>
      <c r="F117148" s="13"/>
      <c r="G117148" s="12"/>
      <c r="H117148" s="12"/>
      <c r="I117148" s="12"/>
      <c r="J117148" s="12"/>
      <c r="K117148" s="12"/>
      <c r="L117148" s="208"/>
      <c r="M117148" s="209"/>
      <c r="N117148" s="209"/>
      <c r="O117148" s="209"/>
    </row>
    <row r="117149" spans="1:15" s="210" customFormat="1" x14ac:dyDescent="0.3">
      <c r="A117149" s="12"/>
      <c r="B117149" s="15"/>
      <c r="C117149" s="15"/>
      <c r="D117149" s="12"/>
      <c r="E117149" s="12"/>
      <c r="F117149" s="13"/>
      <c r="G117149" s="12"/>
      <c r="H117149" s="12"/>
      <c r="I117149" s="12"/>
      <c r="J117149" s="12"/>
      <c r="K117149" s="12"/>
      <c r="L117149" s="208"/>
      <c r="M117149" s="209"/>
      <c r="N117149" s="209"/>
      <c r="O117149" s="209"/>
    </row>
    <row r="117150" spans="1:15" s="210" customFormat="1" x14ac:dyDescent="0.3">
      <c r="A117150" s="12"/>
      <c r="B117150" s="15"/>
      <c r="C117150" s="15"/>
      <c r="D117150" s="12"/>
      <c r="E117150" s="12"/>
      <c r="F117150" s="13"/>
      <c r="G117150" s="12"/>
      <c r="H117150" s="12"/>
      <c r="I117150" s="12"/>
      <c r="J117150" s="12"/>
      <c r="K117150" s="12"/>
      <c r="L117150" s="208"/>
      <c r="M117150" s="209"/>
      <c r="N117150" s="209"/>
      <c r="O117150" s="209"/>
    </row>
    <row r="117151" spans="1:15" s="210" customFormat="1" x14ac:dyDescent="0.3">
      <c r="A117151" s="12"/>
      <c r="B117151" s="15"/>
      <c r="C117151" s="15"/>
      <c r="D117151" s="12"/>
      <c r="E117151" s="12"/>
      <c r="F117151" s="13"/>
      <c r="G117151" s="12"/>
      <c r="H117151" s="12"/>
      <c r="I117151" s="12"/>
      <c r="J117151" s="12"/>
      <c r="K117151" s="12"/>
      <c r="L117151" s="208"/>
      <c r="M117151" s="209"/>
      <c r="N117151" s="209"/>
      <c r="O117151" s="209"/>
    </row>
    <row r="117152" spans="1:15" s="210" customFormat="1" x14ac:dyDescent="0.3">
      <c r="A117152" s="12"/>
      <c r="B117152" s="15"/>
      <c r="C117152" s="15"/>
      <c r="D117152" s="12"/>
      <c r="E117152" s="12"/>
      <c r="F117152" s="13"/>
      <c r="G117152" s="12"/>
      <c r="H117152" s="12"/>
      <c r="I117152" s="12"/>
      <c r="J117152" s="12"/>
      <c r="K117152" s="12"/>
      <c r="L117152" s="208"/>
      <c r="M117152" s="209"/>
      <c r="N117152" s="209"/>
      <c r="O117152" s="209"/>
    </row>
    <row r="117153" spans="1:15" s="210" customFormat="1" x14ac:dyDescent="0.3">
      <c r="A117153" s="12"/>
      <c r="B117153" s="15"/>
      <c r="C117153" s="15"/>
      <c r="D117153" s="12"/>
      <c r="E117153" s="12"/>
      <c r="F117153" s="13"/>
      <c r="G117153" s="12"/>
      <c r="H117153" s="12"/>
      <c r="I117153" s="12"/>
      <c r="J117153" s="12"/>
      <c r="K117153" s="12"/>
      <c r="L117153" s="208"/>
      <c r="M117153" s="209"/>
      <c r="N117153" s="209"/>
      <c r="O117153" s="209"/>
    </row>
    <row r="117154" spans="1:15" s="210" customFormat="1" x14ac:dyDescent="0.3">
      <c r="A117154" s="12"/>
      <c r="B117154" s="15"/>
      <c r="C117154" s="15"/>
      <c r="D117154" s="12"/>
      <c r="E117154" s="12"/>
      <c r="F117154" s="13"/>
      <c r="G117154" s="12"/>
      <c r="H117154" s="12"/>
      <c r="I117154" s="12"/>
      <c r="J117154" s="12"/>
      <c r="K117154" s="12"/>
      <c r="L117154" s="208"/>
      <c r="M117154" s="209"/>
      <c r="N117154" s="209"/>
      <c r="O117154" s="209"/>
    </row>
    <row r="117155" spans="1:15" s="210" customFormat="1" x14ac:dyDescent="0.3">
      <c r="A117155" s="12"/>
      <c r="B117155" s="15"/>
      <c r="C117155" s="15"/>
      <c r="D117155" s="12"/>
      <c r="E117155" s="12"/>
      <c r="F117155" s="13"/>
      <c r="G117155" s="12"/>
      <c r="H117155" s="12"/>
      <c r="I117155" s="12"/>
      <c r="J117155" s="12"/>
      <c r="K117155" s="12"/>
      <c r="L117155" s="208"/>
      <c r="M117155" s="209"/>
      <c r="N117155" s="209"/>
      <c r="O117155" s="209"/>
    </row>
    <row r="117156" spans="1:15" s="210" customFormat="1" x14ac:dyDescent="0.3">
      <c r="A117156" s="12"/>
      <c r="B117156" s="15"/>
      <c r="C117156" s="15"/>
      <c r="D117156" s="12"/>
      <c r="E117156" s="12"/>
      <c r="F117156" s="13"/>
      <c r="G117156" s="12"/>
      <c r="H117156" s="12"/>
      <c r="I117156" s="12"/>
      <c r="J117156" s="12"/>
      <c r="K117156" s="12"/>
      <c r="L117156" s="208"/>
      <c r="M117156" s="209"/>
      <c r="N117156" s="209"/>
      <c r="O117156" s="209"/>
    </row>
    <row r="117157" spans="1:15" s="210" customFormat="1" x14ac:dyDescent="0.3">
      <c r="A117157" s="12"/>
      <c r="B117157" s="15"/>
      <c r="C117157" s="15"/>
      <c r="D117157" s="12"/>
      <c r="E117157" s="12"/>
      <c r="F117157" s="13"/>
      <c r="G117157" s="12"/>
      <c r="H117157" s="12"/>
      <c r="I117157" s="12"/>
      <c r="J117157" s="12"/>
      <c r="K117157" s="12"/>
      <c r="L117157" s="208"/>
      <c r="M117157" s="209"/>
      <c r="N117157" s="209"/>
      <c r="O117157" s="209"/>
    </row>
    <row r="117158" spans="1:15" s="210" customFormat="1" x14ac:dyDescent="0.3">
      <c r="A117158" s="12"/>
      <c r="B117158" s="15"/>
      <c r="C117158" s="15"/>
      <c r="D117158" s="12"/>
      <c r="E117158" s="12"/>
      <c r="F117158" s="13"/>
      <c r="G117158" s="12"/>
      <c r="H117158" s="12"/>
      <c r="I117158" s="12"/>
      <c r="J117158" s="12"/>
      <c r="K117158" s="12"/>
      <c r="L117158" s="208"/>
      <c r="M117158" s="209"/>
      <c r="N117158" s="209"/>
      <c r="O117158" s="209"/>
    </row>
    <row r="117159" spans="1:15" s="210" customFormat="1" x14ac:dyDescent="0.3">
      <c r="A117159" s="12"/>
      <c r="B117159" s="15"/>
      <c r="C117159" s="15"/>
      <c r="D117159" s="12"/>
      <c r="E117159" s="12"/>
      <c r="F117159" s="13"/>
      <c r="G117159" s="12"/>
      <c r="H117159" s="12"/>
      <c r="I117159" s="12"/>
      <c r="J117159" s="12"/>
      <c r="K117159" s="12"/>
      <c r="L117159" s="208"/>
      <c r="M117159" s="209"/>
      <c r="N117159" s="209"/>
      <c r="O117159" s="209"/>
    </row>
    <row r="117160" spans="1:15" s="210" customFormat="1" x14ac:dyDescent="0.3">
      <c r="A117160" s="12"/>
      <c r="B117160" s="15"/>
      <c r="C117160" s="15"/>
      <c r="D117160" s="12"/>
      <c r="E117160" s="12"/>
      <c r="F117160" s="13"/>
      <c r="G117160" s="12"/>
      <c r="H117160" s="12"/>
      <c r="I117160" s="12"/>
      <c r="J117160" s="12"/>
      <c r="K117160" s="12"/>
      <c r="L117160" s="208"/>
      <c r="M117160" s="209"/>
      <c r="N117160" s="209"/>
      <c r="O117160" s="209"/>
    </row>
    <row r="117161" spans="1:15" s="210" customFormat="1" x14ac:dyDescent="0.3">
      <c r="A117161" s="12"/>
      <c r="B117161" s="15"/>
      <c r="C117161" s="15"/>
      <c r="D117161" s="12"/>
      <c r="E117161" s="12"/>
      <c r="F117161" s="13"/>
      <c r="G117161" s="12"/>
      <c r="H117161" s="12"/>
      <c r="I117161" s="12"/>
      <c r="J117161" s="12"/>
      <c r="K117161" s="12"/>
      <c r="L117161" s="208"/>
      <c r="M117161" s="209"/>
      <c r="N117161" s="209"/>
      <c r="O117161" s="209"/>
    </row>
    <row r="117162" spans="1:15" s="210" customFormat="1" x14ac:dyDescent="0.3">
      <c r="A117162" s="12"/>
      <c r="B117162" s="15"/>
      <c r="C117162" s="15"/>
      <c r="D117162" s="12"/>
      <c r="E117162" s="12"/>
      <c r="F117162" s="13"/>
      <c r="G117162" s="12"/>
      <c r="H117162" s="12"/>
      <c r="I117162" s="12"/>
      <c r="J117162" s="12"/>
      <c r="K117162" s="12"/>
      <c r="L117162" s="208"/>
      <c r="M117162" s="209"/>
      <c r="N117162" s="209"/>
      <c r="O117162" s="209"/>
    </row>
    <row r="117163" spans="1:15" s="210" customFormat="1" x14ac:dyDescent="0.3">
      <c r="A117163" s="12"/>
      <c r="B117163" s="15"/>
      <c r="C117163" s="15"/>
      <c r="D117163" s="12"/>
      <c r="E117163" s="12"/>
      <c r="F117163" s="13"/>
      <c r="G117163" s="12"/>
      <c r="H117163" s="12"/>
      <c r="I117163" s="12"/>
      <c r="J117163" s="12"/>
      <c r="K117163" s="12"/>
      <c r="L117163" s="208"/>
      <c r="M117163" s="209"/>
      <c r="N117163" s="209"/>
      <c r="O117163" s="209"/>
    </row>
    <row r="117164" spans="1:15" s="210" customFormat="1" x14ac:dyDescent="0.3">
      <c r="A117164" s="12"/>
      <c r="B117164" s="15"/>
      <c r="C117164" s="15"/>
      <c r="D117164" s="12"/>
      <c r="E117164" s="12"/>
      <c r="F117164" s="13"/>
      <c r="G117164" s="12"/>
      <c r="H117164" s="12"/>
      <c r="I117164" s="12"/>
      <c r="J117164" s="12"/>
      <c r="K117164" s="12"/>
      <c r="L117164" s="208"/>
      <c r="M117164" s="209"/>
      <c r="N117164" s="209"/>
      <c r="O117164" s="209"/>
    </row>
    <row r="117165" spans="1:15" s="210" customFormat="1" x14ac:dyDescent="0.3">
      <c r="A117165" s="12"/>
      <c r="B117165" s="15"/>
      <c r="C117165" s="15"/>
      <c r="D117165" s="12"/>
      <c r="E117165" s="12"/>
      <c r="F117165" s="13"/>
      <c r="G117165" s="12"/>
      <c r="H117165" s="12"/>
      <c r="I117165" s="12"/>
      <c r="J117165" s="12"/>
      <c r="K117165" s="12"/>
      <c r="L117165" s="208"/>
      <c r="M117165" s="209"/>
      <c r="N117165" s="209"/>
      <c r="O117165" s="209"/>
    </row>
    <row r="117166" spans="1:15" s="210" customFormat="1" x14ac:dyDescent="0.3">
      <c r="A117166" s="12"/>
      <c r="B117166" s="15"/>
      <c r="C117166" s="15"/>
      <c r="D117166" s="12"/>
      <c r="E117166" s="12"/>
      <c r="F117166" s="13"/>
      <c r="G117166" s="12"/>
      <c r="H117166" s="12"/>
      <c r="I117166" s="12"/>
      <c r="J117166" s="12"/>
      <c r="K117166" s="12"/>
      <c r="L117166" s="208"/>
      <c r="M117166" s="209"/>
      <c r="N117166" s="209"/>
      <c r="O117166" s="209"/>
    </row>
    <row r="117167" spans="1:15" s="210" customFormat="1" x14ac:dyDescent="0.3">
      <c r="A117167" s="12"/>
      <c r="B117167" s="15"/>
      <c r="C117167" s="15"/>
      <c r="D117167" s="12"/>
      <c r="E117167" s="12"/>
      <c r="F117167" s="13"/>
      <c r="G117167" s="12"/>
      <c r="H117167" s="12"/>
      <c r="I117167" s="12"/>
      <c r="J117167" s="12"/>
      <c r="K117167" s="12"/>
      <c r="L117167" s="208"/>
      <c r="M117167" s="209"/>
      <c r="N117167" s="209"/>
      <c r="O117167" s="209"/>
    </row>
    <row r="117168" spans="1:15" s="210" customFormat="1" x14ac:dyDescent="0.3">
      <c r="A117168" s="12"/>
      <c r="B117168" s="15"/>
      <c r="C117168" s="15"/>
      <c r="D117168" s="12"/>
      <c r="E117168" s="12"/>
      <c r="F117168" s="13"/>
      <c r="G117168" s="12"/>
      <c r="H117168" s="12"/>
      <c r="I117168" s="12"/>
      <c r="J117168" s="12"/>
      <c r="K117168" s="12"/>
      <c r="L117168" s="208"/>
      <c r="M117168" s="209"/>
      <c r="N117168" s="209"/>
      <c r="O117168" s="209"/>
    </row>
    <row r="117169" spans="1:15" s="210" customFormat="1" x14ac:dyDescent="0.3">
      <c r="A117169" s="12"/>
      <c r="B117169" s="15"/>
      <c r="C117169" s="15"/>
      <c r="D117169" s="12"/>
      <c r="E117169" s="12"/>
      <c r="F117169" s="13"/>
      <c r="G117169" s="12"/>
      <c r="H117169" s="12"/>
      <c r="I117169" s="12"/>
      <c r="J117169" s="12"/>
      <c r="K117169" s="12"/>
      <c r="L117169" s="208"/>
      <c r="M117169" s="209"/>
      <c r="N117169" s="209"/>
      <c r="O117169" s="209"/>
    </row>
    <row r="117170" spans="1:15" s="210" customFormat="1" x14ac:dyDescent="0.3">
      <c r="A117170" s="12"/>
      <c r="B117170" s="15"/>
      <c r="C117170" s="15"/>
      <c r="D117170" s="12"/>
      <c r="E117170" s="12"/>
      <c r="F117170" s="13"/>
      <c r="G117170" s="12"/>
      <c r="H117170" s="12"/>
      <c r="I117170" s="12"/>
      <c r="J117170" s="12"/>
      <c r="K117170" s="12"/>
      <c r="L117170" s="208"/>
      <c r="M117170" s="209"/>
      <c r="N117170" s="209"/>
      <c r="O117170" s="209"/>
    </row>
    <row r="117171" spans="1:15" s="210" customFormat="1" x14ac:dyDescent="0.3">
      <c r="A117171" s="12"/>
      <c r="B117171" s="15"/>
      <c r="C117171" s="15"/>
      <c r="D117171" s="12"/>
      <c r="E117171" s="12"/>
      <c r="F117171" s="13"/>
      <c r="G117171" s="12"/>
      <c r="H117171" s="12"/>
      <c r="I117171" s="12"/>
      <c r="J117171" s="12"/>
      <c r="K117171" s="12"/>
      <c r="L117171" s="208"/>
      <c r="M117171" s="209"/>
      <c r="N117171" s="209"/>
      <c r="O117171" s="209"/>
    </row>
    <row r="117172" spans="1:15" s="210" customFormat="1" x14ac:dyDescent="0.3">
      <c r="A117172" s="12"/>
      <c r="B117172" s="15"/>
      <c r="C117172" s="15"/>
      <c r="D117172" s="12"/>
      <c r="E117172" s="12"/>
      <c r="F117172" s="13"/>
      <c r="G117172" s="12"/>
      <c r="H117172" s="12"/>
      <c r="I117172" s="12"/>
      <c r="J117172" s="12"/>
      <c r="K117172" s="12"/>
      <c r="L117172" s="208"/>
      <c r="M117172" s="209"/>
      <c r="N117172" s="209"/>
      <c r="O117172" s="209"/>
    </row>
    <row r="117173" spans="1:15" s="210" customFormat="1" x14ac:dyDescent="0.3">
      <c r="A117173" s="12"/>
      <c r="B117173" s="15"/>
      <c r="C117173" s="15"/>
      <c r="D117173" s="12"/>
      <c r="E117173" s="12"/>
      <c r="F117173" s="13"/>
      <c r="G117173" s="12"/>
      <c r="H117173" s="12"/>
      <c r="I117173" s="12"/>
      <c r="J117173" s="12"/>
      <c r="K117173" s="12"/>
      <c r="L117173" s="208"/>
      <c r="M117173" s="209"/>
      <c r="N117173" s="209"/>
      <c r="O117173" s="209"/>
    </row>
    <row r="117174" spans="1:15" s="210" customFormat="1" x14ac:dyDescent="0.3">
      <c r="A117174" s="12"/>
      <c r="B117174" s="15"/>
      <c r="C117174" s="15"/>
      <c r="D117174" s="12"/>
      <c r="E117174" s="12"/>
      <c r="F117174" s="13"/>
      <c r="G117174" s="12"/>
      <c r="H117174" s="12"/>
      <c r="I117174" s="12"/>
      <c r="J117174" s="12"/>
      <c r="K117174" s="12"/>
      <c r="L117174" s="208"/>
      <c r="M117174" s="209"/>
      <c r="N117174" s="209"/>
      <c r="O117174" s="209"/>
    </row>
    <row r="117175" spans="1:15" s="210" customFormat="1" x14ac:dyDescent="0.3">
      <c r="A117175" s="12"/>
      <c r="B117175" s="15"/>
      <c r="C117175" s="15"/>
      <c r="D117175" s="12"/>
      <c r="E117175" s="12"/>
      <c r="F117175" s="13"/>
      <c r="G117175" s="12"/>
      <c r="H117175" s="12"/>
      <c r="I117175" s="12"/>
      <c r="J117175" s="12"/>
      <c r="K117175" s="12"/>
      <c r="L117175" s="208"/>
      <c r="M117175" s="209"/>
      <c r="N117175" s="209"/>
      <c r="O117175" s="209"/>
    </row>
    <row r="117176" spans="1:15" s="210" customFormat="1" x14ac:dyDescent="0.3">
      <c r="A117176" s="12"/>
      <c r="B117176" s="15"/>
      <c r="C117176" s="15"/>
      <c r="D117176" s="12"/>
      <c r="E117176" s="12"/>
      <c r="F117176" s="13"/>
      <c r="G117176" s="12"/>
      <c r="H117176" s="12"/>
      <c r="I117176" s="12"/>
      <c r="J117176" s="12"/>
      <c r="K117176" s="12"/>
      <c r="L117176" s="208"/>
      <c r="M117176" s="209"/>
      <c r="N117176" s="209"/>
      <c r="O117176" s="209"/>
    </row>
    <row r="117177" spans="1:15" s="210" customFormat="1" x14ac:dyDescent="0.3">
      <c r="A117177" s="12"/>
      <c r="B117177" s="15"/>
      <c r="C117177" s="15"/>
      <c r="D117177" s="12"/>
      <c r="E117177" s="12"/>
      <c r="F117177" s="13"/>
      <c r="G117177" s="12"/>
      <c r="H117177" s="12"/>
      <c r="I117177" s="12"/>
      <c r="J117177" s="12"/>
      <c r="K117177" s="12"/>
      <c r="L117177" s="208"/>
      <c r="M117177" s="209"/>
      <c r="N117177" s="209"/>
      <c r="O117177" s="209"/>
    </row>
    <row r="117178" spans="1:15" s="210" customFormat="1" x14ac:dyDescent="0.3">
      <c r="A117178" s="12"/>
      <c r="B117178" s="15"/>
      <c r="C117178" s="15"/>
      <c r="D117178" s="12"/>
      <c r="E117178" s="12"/>
      <c r="F117178" s="13"/>
      <c r="G117178" s="12"/>
      <c r="H117178" s="12"/>
      <c r="I117178" s="12"/>
      <c r="J117178" s="12"/>
      <c r="K117178" s="12"/>
      <c r="L117178" s="208"/>
      <c r="M117178" s="209"/>
      <c r="N117178" s="209"/>
      <c r="O117178" s="209"/>
    </row>
    <row r="117179" spans="1:15" s="210" customFormat="1" x14ac:dyDescent="0.3">
      <c r="A117179" s="12"/>
      <c r="B117179" s="15"/>
      <c r="C117179" s="15"/>
      <c r="D117179" s="12"/>
      <c r="E117179" s="12"/>
      <c r="F117179" s="13"/>
      <c r="G117179" s="12"/>
      <c r="H117179" s="12"/>
      <c r="I117179" s="12"/>
      <c r="J117179" s="12"/>
      <c r="K117179" s="12"/>
      <c r="L117179" s="208"/>
      <c r="M117179" s="209"/>
      <c r="N117179" s="209"/>
      <c r="O117179" s="209"/>
    </row>
    <row r="117180" spans="1:15" s="210" customFormat="1" x14ac:dyDescent="0.3">
      <c r="A117180" s="12"/>
      <c r="B117180" s="15"/>
      <c r="C117180" s="15"/>
      <c r="D117180" s="12"/>
      <c r="E117180" s="12"/>
      <c r="F117180" s="13"/>
      <c r="G117180" s="12"/>
      <c r="H117180" s="12"/>
      <c r="I117180" s="12"/>
      <c r="J117180" s="12"/>
      <c r="K117180" s="12"/>
      <c r="L117180" s="208"/>
      <c r="M117180" s="209"/>
      <c r="N117180" s="209"/>
      <c r="O117180" s="209"/>
    </row>
    <row r="117181" spans="1:15" s="210" customFormat="1" x14ac:dyDescent="0.3">
      <c r="A117181" s="12"/>
      <c r="B117181" s="15"/>
      <c r="C117181" s="15"/>
      <c r="D117181" s="12"/>
      <c r="E117181" s="12"/>
      <c r="F117181" s="13"/>
      <c r="G117181" s="12"/>
      <c r="H117181" s="12"/>
      <c r="I117181" s="12"/>
      <c r="J117181" s="12"/>
      <c r="K117181" s="12"/>
      <c r="L117181" s="208"/>
      <c r="M117181" s="209"/>
      <c r="N117181" s="209"/>
      <c r="O117181" s="209"/>
    </row>
    <row r="117182" spans="1:15" s="210" customFormat="1" x14ac:dyDescent="0.3">
      <c r="A117182" s="12"/>
      <c r="B117182" s="15"/>
      <c r="C117182" s="15"/>
      <c r="D117182" s="12"/>
      <c r="E117182" s="12"/>
      <c r="F117182" s="13"/>
      <c r="G117182" s="12"/>
      <c r="H117182" s="12"/>
      <c r="I117182" s="12"/>
      <c r="J117182" s="12"/>
      <c r="K117182" s="12"/>
      <c r="L117182" s="208"/>
      <c r="M117182" s="209"/>
      <c r="N117182" s="209"/>
      <c r="O117182" s="209"/>
    </row>
    <row r="117183" spans="1:15" s="210" customFormat="1" x14ac:dyDescent="0.3">
      <c r="A117183" s="12"/>
      <c r="B117183" s="15"/>
      <c r="C117183" s="15"/>
      <c r="D117183" s="12"/>
      <c r="E117183" s="12"/>
      <c r="F117183" s="13"/>
      <c r="G117183" s="12"/>
      <c r="H117183" s="12"/>
      <c r="I117183" s="12"/>
      <c r="J117183" s="12"/>
      <c r="K117183" s="12"/>
      <c r="L117183" s="208"/>
      <c r="M117183" s="209"/>
      <c r="N117183" s="209"/>
      <c r="O117183" s="209"/>
    </row>
    <row r="117184" spans="1:15" s="210" customFormat="1" x14ac:dyDescent="0.3">
      <c r="A117184" s="12"/>
      <c r="B117184" s="15"/>
      <c r="C117184" s="15"/>
      <c r="D117184" s="12"/>
      <c r="E117184" s="12"/>
      <c r="F117184" s="13"/>
      <c r="G117184" s="12"/>
      <c r="H117184" s="12"/>
      <c r="I117184" s="12"/>
      <c r="J117184" s="12"/>
      <c r="K117184" s="12"/>
      <c r="L117184" s="208"/>
      <c r="M117184" s="209"/>
      <c r="N117184" s="209"/>
      <c r="O117184" s="209"/>
    </row>
    <row r="117185" spans="1:15" s="210" customFormat="1" x14ac:dyDescent="0.3">
      <c r="A117185" s="12"/>
      <c r="B117185" s="15"/>
      <c r="C117185" s="15"/>
      <c r="D117185" s="12"/>
      <c r="E117185" s="12"/>
      <c r="F117185" s="13"/>
      <c r="G117185" s="12"/>
      <c r="H117185" s="12"/>
      <c r="I117185" s="12"/>
      <c r="J117185" s="12"/>
      <c r="K117185" s="12"/>
      <c r="L117185" s="208"/>
      <c r="M117185" s="209"/>
      <c r="N117185" s="209"/>
      <c r="O117185" s="209"/>
    </row>
    <row r="117186" spans="1:15" s="210" customFormat="1" x14ac:dyDescent="0.3">
      <c r="A117186" s="12"/>
      <c r="B117186" s="15"/>
      <c r="C117186" s="15"/>
      <c r="D117186" s="12"/>
      <c r="E117186" s="12"/>
      <c r="F117186" s="13"/>
      <c r="G117186" s="12"/>
      <c r="H117186" s="12"/>
      <c r="I117186" s="12"/>
      <c r="J117186" s="12"/>
      <c r="K117186" s="12"/>
      <c r="L117186" s="208"/>
      <c r="M117186" s="209"/>
      <c r="N117186" s="209"/>
      <c r="O117186" s="209"/>
    </row>
    <row r="117187" spans="1:15" s="210" customFormat="1" x14ac:dyDescent="0.3">
      <c r="A117187" s="12"/>
      <c r="B117187" s="15"/>
      <c r="C117187" s="15"/>
      <c r="D117187" s="12"/>
      <c r="E117187" s="12"/>
      <c r="F117187" s="13"/>
      <c r="G117187" s="12"/>
      <c r="H117187" s="12"/>
      <c r="I117187" s="12"/>
      <c r="J117187" s="12"/>
      <c r="K117187" s="12"/>
      <c r="L117187" s="208"/>
      <c r="M117187" s="209"/>
      <c r="N117187" s="209"/>
      <c r="O117187" s="209"/>
    </row>
    <row r="117188" spans="1:15" s="210" customFormat="1" x14ac:dyDescent="0.3">
      <c r="A117188" s="12"/>
      <c r="B117188" s="15"/>
      <c r="C117188" s="15"/>
      <c r="D117188" s="12"/>
      <c r="E117188" s="12"/>
      <c r="F117188" s="13"/>
      <c r="G117188" s="12"/>
      <c r="H117188" s="12"/>
      <c r="I117188" s="12"/>
      <c r="J117188" s="12"/>
      <c r="K117188" s="12"/>
      <c r="L117188" s="208"/>
      <c r="M117188" s="209"/>
      <c r="N117188" s="209"/>
      <c r="O117188" s="209"/>
    </row>
    <row r="117189" spans="1:15" s="210" customFormat="1" x14ac:dyDescent="0.3">
      <c r="A117189" s="12"/>
      <c r="B117189" s="15"/>
      <c r="C117189" s="15"/>
      <c r="D117189" s="12"/>
      <c r="E117189" s="12"/>
      <c r="F117189" s="13"/>
      <c r="G117189" s="12"/>
      <c r="H117189" s="12"/>
      <c r="I117189" s="12"/>
      <c r="J117189" s="12"/>
      <c r="K117189" s="12"/>
      <c r="L117189" s="208"/>
      <c r="M117189" s="209"/>
      <c r="N117189" s="209"/>
      <c r="O117189" s="209"/>
    </row>
    <row r="117190" spans="1:15" s="210" customFormat="1" x14ac:dyDescent="0.3">
      <c r="A117190" s="12"/>
      <c r="B117190" s="15"/>
      <c r="C117190" s="15"/>
      <c r="D117190" s="12"/>
      <c r="E117190" s="12"/>
      <c r="F117190" s="13"/>
      <c r="G117190" s="12"/>
      <c r="H117190" s="12"/>
      <c r="I117190" s="12"/>
      <c r="J117190" s="12"/>
      <c r="K117190" s="12"/>
      <c r="L117190" s="208"/>
      <c r="M117190" s="209"/>
      <c r="N117190" s="209"/>
      <c r="O117190" s="209"/>
    </row>
    <row r="117191" spans="1:15" s="210" customFormat="1" x14ac:dyDescent="0.3">
      <c r="A117191" s="12"/>
      <c r="B117191" s="15"/>
      <c r="C117191" s="15"/>
      <c r="D117191" s="12"/>
      <c r="E117191" s="12"/>
      <c r="F117191" s="13"/>
      <c r="G117191" s="12"/>
      <c r="H117191" s="12"/>
      <c r="I117191" s="12"/>
      <c r="J117191" s="12"/>
      <c r="K117191" s="12"/>
      <c r="L117191" s="208"/>
      <c r="M117191" s="209"/>
      <c r="N117191" s="209"/>
      <c r="O117191" s="209"/>
    </row>
    <row r="117192" spans="1:15" s="210" customFormat="1" x14ac:dyDescent="0.3">
      <c r="A117192" s="12"/>
      <c r="B117192" s="15"/>
      <c r="C117192" s="15"/>
      <c r="D117192" s="12"/>
      <c r="E117192" s="12"/>
      <c r="F117192" s="13"/>
      <c r="G117192" s="12"/>
      <c r="H117192" s="12"/>
      <c r="I117192" s="12"/>
      <c r="J117192" s="12"/>
      <c r="K117192" s="12"/>
      <c r="L117192" s="208"/>
      <c r="M117192" s="209"/>
      <c r="N117192" s="209"/>
      <c r="O117192" s="209"/>
    </row>
    <row r="117193" spans="1:15" s="210" customFormat="1" x14ac:dyDescent="0.3">
      <c r="A117193" s="12"/>
      <c r="B117193" s="15"/>
      <c r="C117193" s="15"/>
      <c r="D117193" s="12"/>
      <c r="E117193" s="12"/>
      <c r="F117193" s="13"/>
      <c r="G117193" s="12"/>
      <c r="H117193" s="12"/>
      <c r="I117193" s="12"/>
      <c r="J117193" s="12"/>
      <c r="K117193" s="12"/>
      <c r="L117193" s="208"/>
      <c r="M117193" s="209"/>
      <c r="N117193" s="209"/>
      <c r="O117193" s="209"/>
    </row>
    <row r="117194" spans="1:15" s="210" customFormat="1" x14ac:dyDescent="0.3">
      <c r="A117194" s="12"/>
      <c r="B117194" s="15"/>
      <c r="C117194" s="15"/>
      <c r="D117194" s="12"/>
      <c r="E117194" s="12"/>
      <c r="F117194" s="13"/>
      <c r="G117194" s="12"/>
      <c r="H117194" s="12"/>
      <c r="I117194" s="12"/>
      <c r="J117194" s="12"/>
      <c r="K117194" s="12"/>
      <c r="L117194" s="208"/>
      <c r="M117194" s="209"/>
      <c r="N117194" s="209"/>
      <c r="O117194" s="209"/>
    </row>
    <row r="117195" spans="1:15" s="210" customFormat="1" x14ac:dyDescent="0.3">
      <c r="A117195" s="12"/>
      <c r="B117195" s="15"/>
      <c r="C117195" s="15"/>
      <c r="D117195" s="12"/>
      <c r="E117195" s="12"/>
      <c r="F117195" s="13"/>
      <c r="G117195" s="12"/>
      <c r="H117195" s="12"/>
      <c r="I117195" s="12"/>
      <c r="J117195" s="12"/>
      <c r="K117195" s="12"/>
      <c r="L117195" s="208"/>
      <c r="M117195" s="209"/>
      <c r="N117195" s="209"/>
      <c r="O117195" s="209"/>
    </row>
    <row r="117196" spans="1:15" s="210" customFormat="1" x14ac:dyDescent="0.3">
      <c r="A117196" s="12"/>
      <c r="B117196" s="15"/>
      <c r="C117196" s="15"/>
      <c r="D117196" s="12"/>
      <c r="E117196" s="12"/>
      <c r="F117196" s="13"/>
      <c r="G117196" s="12"/>
      <c r="H117196" s="12"/>
      <c r="I117196" s="12"/>
      <c r="J117196" s="12"/>
      <c r="K117196" s="12"/>
      <c r="L117196" s="208"/>
      <c r="M117196" s="209"/>
      <c r="N117196" s="209"/>
      <c r="O117196" s="209"/>
    </row>
    <row r="117197" spans="1:15" s="210" customFormat="1" x14ac:dyDescent="0.3">
      <c r="A117197" s="12"/>
      <c r="B117197" s="15"/>
      <c r="C117197" s="15"/>
      <c r="D117197" s="12"/>
      <c r="E117197" s="12"/>
      <c r="F117197" s="13"/>
      <c r="G117197" s="12"/>
      <c r="H117197" s="12"/>
      <c r="I117197" s="12"/>
      <c r="J117197" s="12"/>
      <c r="K117197" s="12"/>
      <c r="L117197" s="208"/>
      <c r="M117197" s="209"/>
      <c r="N117197" s="209"/>
      <c r="O117197" s="209"/>
    </row>
    <row r="117198" spans="1:15" s="210" customFormat="1" x14ac:dyDescent="0.3">
      <c r="A117198" s="12"/>
      <c r="B117198" s="15"/>
      <c r="C117198" s="15"/>
      <c r="D117198" s="12"/>
      <c r="E117198" s="12"/>
      <c r="F117198" s="13"/>
      <c r="G117198" s="12"/>
      <c r="H117198" s="12"/>
      <c r="I117198" s="12"/>
      <c r="J117198" s="12"/>
      <c r="K117198" s="12"/>
      <c r="L117198" s="208"/>
      <c r="M117198" s="209"/>
      <c r="N117198" s="209"/>
      <c r="O117198" s="209"/>
    </row>
    <row r="117199" spans="1:15" s="210" customFormat="1" x14ac:dyDescent="0.3">
      <c r="A117199" s="12"/>
      <c r="B117199" s="15"/>
      <c r="C117199" s="15"/>
      <c r="D117199" s="12"/>
      <c r="E117199" s="12"/>
      <c r="F117199" s="13"/>
      <c r="G117199" s="12"/>
      <c r="H117199" s="12"/>
      <c r="I117199" s="12"/>
      <c r="J117199" s="12"/>
      <c r="K117199" s="12"/>
      <c r="L117199" s="208"/>
      <c r="M117199" s="209"/>
      <c r="N117199" s="209"/>
      <c r="O117199" s="209"/>
    </row>
    <row r="117200" spans="1:15" s="210" customFormat="1" x14ac:dyDescent="0.3">
      <c r="A117200" s="12"/>
      <c r="B117200" s="15"/>
      <c r="C117200" s="15"/>
      <c r="D117200" s="12"/>
      <c r="E117200" s="12"/>
      <c r="F117200" s="13"/>
      <c r="G117200" s="12"/>
      <c r="H117200" s="12"/>
      <c r="I117200" s="12"/>
      <c r="J117200" s="12"/>
      <c r="K117200" s="12"/>
      <c r="L117200" s="208"/>
      <c r="M117200" s="209"/>
      <c r="N117200" s="209"/>
      <c r="O117200" s="209"/>
    </row>
    <row r="117201" spans="1:15" s="210" customFormat="1" x14ac:dyDescent="0.3">
      <c r="A117201" s="12"/>
      <c r="B117201" s="15"/>
      <c r="C117201" s="15"/>
      <c r="D117201" s="12"/>
      <c r="E117201" s="12"/>
      <c r="F117201" s="13"/>
      <c r="G117201" s="12"/>
      <c r="H117201" s="12"/>
      <c r="I117201" s="12"/>
      <c r="J117201" s="12"/>
      <c r="K117201" s="12"/>
      <c r="L117201" s="208"/>
      <c r="M117201" s="209"/>
      <c r="N117201" s="209"/>
      <c r="O117201" s="209"/>
    </row>
    <row r="117202" spans="1:15" s="210" customFormat="1" x14ac:dyDescent="0.3">
      <c r="A117202" s="12"/>
      <c r="B117202" s="15"/>
      <c r="C117202" s="15"/>
      <c r="D117202" s="12"/>
      <c r="E117202" s="12"/>
      <c r="F117202" s="13"/>
      <c r="G117202" s="12"/>
      <c r="H117202" s="12"/>
      <c r="I117202" s="12"/>
      <c r="J117202" s="12"/>
      <c r="K117202" s="12"/>
      <c r="L117202" s="208"/>
      <c r="M117202" s="209"/>
      <c r="N117202" s="209"/>
      <c r="O117202" s="209"/>
    </row>
    <row r="117203" spans="1:15" s="210" customFormat="1" x14ac:dyDescent="0.3">
      <c r="A117203" s="12"/>
      <c r="B117203" s="15"/>
      <c r="C117203" s="15"/>
      <c r="D117203" s="12"/>
      <c r="E117203" s="12"/>
      <c r="F117203" s="13"/>
      <c r="G117203" s="12"/>
      <c r="H117203" s="12"/>
      <c r="I117203" s="12"/>
      <c r="J117203" s="12"/>
      <c r="K117203" s="12"/>
      <c r="L117203" s="208"/>
      <c r="M117203" s="209"/>
      <c r="N117203" s="209"/>
      <c r="O117203" s="209"/>
    </row>
    <row r="117204" spans="1:15" s="210" customFormat="1" x14ac:dyDescent="0.3">
      <c r="A117204" s="12"/>
      <c r="B117204" s="15"/>
      <c r="C117204" s="15"/>
      <c r="D117204" s="12"/>
      <c r="E117204" s="12"/>
      <c r="F117204" s="13"/>
      <c r="G117204" s="12"/>
      <c r="H117204" s="12"/>
      <c r="I117204" s="12"/>
      <c r="J117204" s="12"/>
      <c r="K117204" s="12"/>
      <c r="L117204" s="208"/>
      <c r="M117204" s="209"/>
      <c r="N117204" s="209"/>
      <c r="O117204" s="209"/>
    </row>
    <row r="117205" spans="1:15" s="210" customFormat="1" x14ac:dyDescent="0.3">
      <c r="A117205" s="12"/>
      <c r="B117205" s="15"/>
      <c r="C117205" s="15"/>
      <c r="D117205" s="12"/>
      <c r="E117205" s="12"/>
      <c r="F117205" s="13"/>
      <c r="G117205" s="12"/>
      <c r="H117205" s="12"/>
      <c r="I117205" s="12"/>
      <c r="J117205" s="12"/>
      <c r="K117205" s="12"/>
      <c r="L117205" s="208"/>
      <c r="M117205" s="209"/>
      <c r="N117205" s="209"/>
      <c r="O117205" s="209"/>
    </row>
    <row r="117206" spans="1:15" s="210" customFormat="1" x14ac:dyDescent="0.3">
      <c r="A117206" s="12"/>
      <c r="B117206" s="15"/>
      <c r="C117206" s="15"/>
      <c r="D117206" s="12"/>
      <c r="E117206" s="12"/>
      <c r="F117206" s="13"/>
      <c r="G117206" s="12"/>
      <c r="H117206" s="12"/>
      <c r="I117206" s="12"/>
      <c r="J117206" s="12"/>
      <c r="K117206" s="12"/>
      <c r="L117206" s="208"/>
      <c r="M117206" s="209"/>
      <c r="N117206" s="209"/>
      <c r="O117206" s="209"/>
    </row>
    <row r="117207" spans="1:15" s="210" customFormat="1" x14ac:dyDescent="0.3">
      <c r="A117207" s="12"/>
      <c r="B117207" s="15"/>
      <c r="C117207" s="15"/>
      <c r="D117207" s="12"/>
      <c r="E117207" s="12"/>
      <c r="F117207" s="13"/>
      <c r="G117207" s="12"/>
      <c r="H117207" s="12"/>
      <c r="I117207" s="12"/>
      <c r="J117207" s="12"/>
      <c r="K117207" s="12"/>
      <c r="L117207" s="208"/>
      <c r="M117207" s="209"/>
      <c r="N117207" s="209"/>
      <c r="O117207" s="209"/>
    </row>
    <row r="117208" spans="1:15" s="210" customFormat="1" x14ac:dyDescent="0.3">
      <c r="A117208" s="12"/>
      <c r="B117208" s="15"/>
      <c r="C117208" s="15"/>
      <c r="D117208" s="12"/>
      <c r="E117208" s="12"/>
      <c r="F117208" s="13"/>
      <c r="G117208" s="12"/>
      <c r="H117208" s="12"/>
      <c r="I117208" s="12"/>
      <c r="J117208" s="12"/>
      <c r="K117208" s="12"/>
      <c r="L117208" s="208"/>
      <c r="M117208" s="209"/>
      <c r="N117208" s="209"/>
      <c r="O117208" s="209"/>
    </row>
    <row r="117209" spans="1:15" s="210" customFormat="1" x14ac:dyDescent="0.3">
      <c r="A117209" s="12"/>
      <c r="B117209" s="15"/>
      <c r="C117209" s="15"/>
      <c r="D117209" s="12"/>
      <c r="E117209" s="12"/>
      <c r="F117209" s="13"/>
      <c r="G117209" s="12"/>
      <c r="H117209" s="12"/>
      <c r="I117209" s="12"/>
      <c r="J117209" s="12"/>
      <c r="K117209" s="12"/>
      <c r="L117209" s="208"/>
      <c r="M117209" s="209"/>
      <c r="N117209" s="209"/>
      <c r="O117209" s="209"/>
    </row>
    <row r="117210" spans="1:15" s="210" customFormat="1" x14ac:dyDescent="0.3">
      <c r="A117210" s="12"/>
      <c r="B117210" s="15"/>
      <c r="C117210" s="15"/>
      <c r="D117210" s="12"/>
      <c r="E117210" s="12"/>
      <c r="F117210" s="13"/>
      <c r="G117210" s="12"/>
      <c r="H117210" s="12"/>
      <c r="I117210" s="12"/>
      <c r="J117210" s="12"/>
      <c r="K117210" s="12"/>
      <c r="L117210" s="208"/>
      <c r="M117210" s="209"/>
      <c r="N117210" s="209"/>
      <c r="O117210" s="209"/>
    </row>
    <row r="117211" spans="1:15" s="210" customFormat="1" x14ac:dyDescent="0.3">
      <c r="A117211" s="12"/>
      <c r="B117211" s="15"/>
      <c r="C117211" s="15"/>
      <c r="D117211" s="12"/>
      <c r="E117211" s="12"/>
      <c r="F117211" s="13"/>
      <c r="G117211" s="12"/>
      <c r="H117211" s="12"/>
      <c r="I117211" s="12"/>
      <c r="J117211" s="12"/>
      <c r="K117211" s="12"/>
      <c r="L117211" s="208"/>
      <c r="M117211" s="209"/>
      <c r="N117211" s="209"/>
      <c r="O117211" s="209"/>
    </row>
    <row r="117212" spans="1:15" s="210" customFormat="1" x14ac:dyDescent="0.3">
      <c r="A117212" s="12"/>
      <c r="B117212" s="15"/>
      <c r="C117212" s="15"/>
      <c r="D117212" s="12"/>
      <c r="E117212" s="12"/>
      <c r="F117212" s="13"/>
      <c r="G117212" s="12"/>
      <c r="H117212" s="12"/>
      <c r="I117212" s="12"/>
      <c r="J117212" s="12"/>
      <c r="K117212" s="12"/>
      <c r="L117212" s="208"/>
      <c r="M117212" s="209"/>
      <c r="N117212" s="209"/>
      <c r="O117212" s="209"/>
    </row>
    <row r="117213" spans="1:15" s="210" customFormat="1" x14ac:dyDescent="0.3">
      <c r="A117213" s="12"/>
      <c r="B117213" s="15"/>
      <c r="C117213" s="15"/>
      <c r="D117213" s="12"/>
      <c r="E117213" s="12"/>
      <c r="F117213" s="13"/>
      <c r="G117213" s="12"/>
      <c r="H117213" s="12"/>
      <c r="I117213" s="12"/>
      <c r="J117213" s="12"/>
      <c r="K117213" s="12"/>
      <c r="L117213" s="208"/>
      <c r="M117213" s="209"/>
      <c r="N117213" s="209"/>
      <c r="O117213" s="209"/>
    </row>
    <row r="117214" spans="1:15" s="210" customFormat="1" x14ac:dyDescent="0.3">
      <c r="A117214" s="12"/>
      <c r="B117214" s="15"/>
      <c r="C117214" s="15"/>
      <c r="D117214" s="12"/>
      <c r="E117214" s="12"/>
      <c r="F117214" s="13"/>
      <c r="G117214" s="12"/>
      <c r="H117214" s="12"/>
      <c r="I117214" s="12"/>
      <c r="J117214" s="12"/>
      <c r="K117214" s="12"/>
      <c r="L117214" s="208"/>
      <c r="M117214" s="209"/>
      <c r="N117214" s="209"/>
      <c r="O117214" s="209"/>
    </row>
    <row r="117215" spans="1:15" s="210" customFormat="1" x14ac:dyDescent="0.3">
      <c r="A117215" s="12"/>
      <c r="B117215" s="15"/>
      <c r="C117215" s="15"/>
      <c r="D117215" s="12"/>
      <c r="E117215" s="12"/>
      <c r="F117215" s="13"/>
      <c r="G117215" s="12"/>
      <c r="H117215" s="12"/>
      <c r="I117215" s="12"/>
      <c r="J117215" s="12"/>
      <c r="K117215" s="12"/>
      <c r="L117215" s="208"/>
      <c r="M117215" s="209"/>
      <c r="N117215" s="209"/>
      <c r="O117215" s="209"/>
    </row>
    <row r="117216" spans="1:15" s="210" customFormat="1" x14ac:dyDescent="0.3">
      <c r="A117216" s="12"/>
      <c r="B117216" s="15"/>
      <c r="C117216" s="15"/>
      <c r="D117216" s="12"/>
      <c r="E117216" s="12"/>
      <c r="F117216" s="13"/>
      <c r="G117216" s="12"/>
      <c r="H117216" s="12"/>
      <c r="I117216" s="12"/>
      <c r="J117216" s="12"/>
      <c r="K117216" s="12"/>
      <c r="L117216" s="208"/>
      <c r="M117216" s="209"/>
      <c r="N117216" s="209"/>
      <c r="O117216" s="209"/>
    </row>
    <row r="117217" spans="1:15" s="210" customFormat="1" x14ac:dyDescent="0.3">
      <c r="A117217" s="12"/>
      <c r="B117217" s="15"/>
      <c r="C117217" s="15"/>
      <c r="D117217" s="12"/>
      <c r="E117217" s="12"/>
      <c r="F117217" s="13"/>
      <c r="G117217" s="12"/>
      <c r="H117217" s="12"/>
      <c r="I117217" s="12"/>
      <c r="J117217" s="12"/>
      <c r="K117217" s="12"/>
      <c r="L117217" s="208"/>
      <c r="M117217" s="209"/>
      <c r="N117217" s="209"/>
      <c r="O117217" s="209"/>
    </row>
    <row r="117218" spans="1:15" s="210" customFormat="1" x14ac:dyDescent="0.3">
      <c r="A117218" s="12"/>
      <c r="B117218" s="15"/>
      <c r="C117218" s="15"/>
      <c r="D117218" s="12"/>
      <c r="E117218" s="12"/>
      <c r="F117218" s="13"/>
      <c r="G117218" s="12"/>
      <c r="H117218" s="12"/>
      <c r="I117218" s="12"/>
      <c r="J117218" s="12"/>
      <c r="K117218" s="12"/>
      <c r="L117218" s="208"/>
      <c r="M117218" s="209"/>
      <c r="N117218" s="209"/>
      <c r="O117218" s="209"/>
    </row>
    <row r="117219" spans="1:15" s="210" customFormat="1" x14ac:dyDescent="0.3">
      <c r="A117219" s="12"/>
      <c r="B117219" s="15"/>
      <c r="C117219" s="15"/>
      <c r="D117219" s="12"/>
      <c r="E117219" s="12"/>
      <c r="F117219" s="13"/>
      <c r="G117219" s="12"/>
      <c r="H117219" s="12"/>
      <c r="I117219" s="12"/>
      <c r="J117219" s="12"/>
      <c r="K117219" s="12"/>
      <c r="L117219" s="208"/>
      <c r="M117219" s="209"/>
      <c r="N117219" s="209"/>
      <c r="O117219" s="209"/>
    </row>
    <row r="117220" spans="1:15" s="210" customFormat="1" x14ac:dyDescent="0.3">
      <c r="A117220" s="12"/>
      <c r="B117220" s="15"/>
      <c r="C117220" s="15"/>
      <c r="D117220" s="12"/>
      <c r="E117220" s="12"/>
      <c r="F117220" s="13"/>
      <c r="G117220" s="12"/>
      <c r="H117220" s="12"/>
      <c r="I117220" s="12"/>
      <c r="J117220" s="12"/>
      <c r="K117220" s="12"/>
      <c r="L117220" s="208"/>
      <c r="M117220" s="209"/>
      <c r="N117220" s="209"/>
      <c r="O117220" s="209"/>
    </row>
    <row r="117221" spans="1:15" s="210" customFormat="1" x14ac:dyDescent="0.3">
      <c r="A117221" s="12"/>
      <c r="B117221" s="15"/>
      <c r="C117221" s="15"/>
      <c r="D117221" s="12"/>
      <c r="E117221" s="12"/>
      <c r="F117221" s="13"/>
      <c r="G117221" s="12"/>
      <c r="H117221" s="12"/>
      <c r="I117221" s="12"/>
      <c r="J117221" s="12"/>
      <c r="K117221" s="12"/>
      <c r="L117221" s="208"/>
      <c r="M117221" s="209"/>
      <c r="N117221" s="209"/>
      <c r="O117221" s="209"/>
    </row>
    <row r="117222" spans="1:15" s="210" customFormat="1" x14ac:dyDescent="0.3">
      <c r="A117222" s="12"/>
      <c r="B117222" s="15"/>
      <c r="C117222" s="15"/>
      <c r="D117222" s="12"/>
      <c r="E117222" s="12"/>
      <c r="F117222" s="13"/>
      <c r="G117222" s="12"/>
      <c r="H117222" s="12"/>
      <c r="I117222" s="12"/>
      <c r="J117222" s="12"/>
      <c r="K117222" s="12"/>
      <c r="L117222" s="208"/>
      <c r="M117222" s="209"/>
      <c r="N117222" s="209"/>
      <c r="O117222" s="209"/>
    </row>
    <row r="117223" spans="1:15" s="210" customFormat="1" x14ac:dyDescent="0.3">
      <c r="A117223" s="12"/>
      <c r="B117223" s="15"/>
      <c r="C117223" s="15"/>
      <c r="D117223" s="12"/>
      <c r="E117223" s="12"/>
      <c r="F117223" s="13"/>
      <c r="G117223" s="12"/>
      <c r="H117223" s="12"/>
      <c r="I117223" s="12"/>
      <c r="J117223" s="12"/>
      <c r="K117223" s="12"/>
      <c r="L117223" s="208"/>
      <c r="M117223" s="209"/>
      <c r="N117223" s="209"/>
      <c r="O117223" s="209"/>
    </row>
    <row r="117224" spans="1:15" s="210" customFormat="1" x14ac:dyDescent="0.3">
      <c r="A117224" s="12"/>
      <c r="B117224" s="15"/>
      <c r="C117224" s="15"/>
      <c r="D117224" s="12"/>
      <c r="E117224" s="12"/>
      <c r="F117224" s="13"/>
      <c r="G117224" s="12"/>
      <c r="H117224" s="12"/>
      <c r="I117224" s="12"/>
      <c r="J117224" s="12"/>
      <c r="K117224" s="12"/>
      <c r="L117224" s="208"/>
      <c r="M117224" s="209"/>
      <c r="N117224" s="209"/>
      <c r="O117224" s="209"/>
    </row>
    <row r="117225" spans="1:15" s="210" customFormat="1" x14ac:dyDescent="0.3">
      <c r="A117225" s="12"/>
      <c r="B117225" s="15"/>
      <c r="C117225" s="15"/>
      <c r="D117225" s="12"/>
      <c r="E117225" s="12"/>
      <c r="F117225" s="13"/>
      <c r="G117225" s="12"/>
      <c r="H117225" s="12"/>
      <c r="I117225" s="12"/>
      <c r="J117225" s="12"/>
      <c r="K117225" s="12"/>
      <c r="L117225" s="208"/>
      <c r="M117225" s="209"/>
      <c r="N117225" s="209"/>
      <c r="O117225" s="209"/>
    </row>
    <row r="117226" spans="1:15" s="210" customFormat="1" x14ac:dyDescent="0.3">
      <c r="A117226" s="12"/>
      <c r="B117226" s="15"/>
      <c r="C117226" s="15"/>
      <c r="D117226" s="12"/>
      <c r="E117226" s="12"/>
      <c r="F117226" s="13"/>
      <c r="G117226" s="12"/>
      <c r="H117226" s="12"/>
      <c r="I117226" s="12"/>
      <c r="J117226" s="12"/>
      <c r="K117226" s="12"/>
      <c r="L117226" s="208"/>
      <c r="M117226" s="209"/>
      <c r="N117226" s="209"/>
      <c r="O117226" s="209"/>
    </row>
    <row r="117227" spans="1:15" s="210" customFormat="1" x14ac:dyDescent="0.3">
      <c r="A117227" s="12"/>
      <c r="B117227" s="15"/>
      <c r="C117227" s="15"/>
      <c r="D117227" s="12"/>
      <c r="E117227" s="12"/>
      <c r="F117227" s="13"/>
      <c r="G117227" s="12"/>
      <c r="H117227" s="12"/>
      <c r="I117227" s="12"/>
      <c r="J117227" s="12"/>
      <c r="K117227" s="12"/>
      <c r="L117227" s="208"/>
      <c r="M117227" s="209"/>
      <c r="N117227" s="209"/>
      <c r="O117227" s="209"/>
    </row>
    <row r="117228" spans="1:15" s="210" customFormat="1" x14ac:dyDescent="0.3">
      <c r="A117228" s="12"/>
      <c r="B117228" s="15"/>
      <c r="C117228" s="15"/>
      <c r="D117228" s="12"/>
      <c r="E117228" s="12"/>
      <c r="F117228" s="13"/>
      <c r="G117228" s="12"/>
      <c r="H117228" s="12"/>
      <c r="I117228" s="12"/>
      <c r="J117228" s="12"/>
      <c r="K117228" s="12"/>
      <c r="L117228" s="208"/>
      <c r="M117228" s="209"/>
      <c r="N117228" s="209"/>
      <c r="O117228" s="209"/>
    </row>
    <row r="117229" spans="1:15" s="210" customFormat="1" x14ac:dyDescent="0.3">
      <c r="A117229" s="12"/>
      <c r="B117229" s="15"/>
      <c r="C117229" s="15"/>
      <c r="D117229" s="12"/>
      <c r="E117229" s="12"/>
      <c r="F117229" s="13"/>
      <c r="G117229" s="12"/>
      <c r="H117229" s="12"/>
      <c r="I117229" s="12"/>
      <c r="J117229" s="12"/>
      <c r="K117229" s="12"/>
      <c r="L117229" s="208"/>
      <c r="M117229" s="209"/>
      <c r="N117229" s="209"/>
      <c r="O117229" s="209"/>
    </row>
    <row r="117230" spans="1:15" s="210" customFormat="1" x14ac:dyDescent="0.3">
      <c r="A117230" s="12"/>
      <c r="B117230" s="15"/>
      <c r="C117230" s="15"/>
      <c r="D117230" s="12"/>
      <c r="E117230" s="12"/>
      <c r="F117230" s="13"/>
      <c r="G117230" s="12"/>
      <c r="H117230" s="12"/>
      <c r="I117230" s="12"/>
      <c r="J117230" s="12"/>
      <c r="K117230" s="12"/>
      <c r="L117230" s="208"/>
      <c r="M117230" s="209"/>
      <c r="N117230" s="209"/>
      <c r="O117230" s="209"/>
    </row>
    <row r="117231" spans="1:15" s="210" customFormat="1" x14ac:dyDescent="0.3">
      <c r="A117231" s="12"/>
      <c r="B117231" s="15"/>
      <c r="C117231" s="15"/>
      <c r="D117231" s="12"/>
      <c r="E117231" s="12"/>
      <c r="F117231" s="13"/>
      <c r="G117231" s="12"/>
      <c r="H117231" s="12"/>
      <c r="I117231" s="12"/>
      <c r="J117231" s="12"/>
      <c r="K117231" s="12"/>
      <c r="L117231" s="208"/>
      <c r="M117231" s="209"/>
      <c r="N117231" s="209"/>
      <c r="O117231" s="209"/>
    </row>
    <row r="117232" spans="1:15" s="210" customFormat="1" x14ac:dyDescent="0.3">
      <c r="A117232" s="12"/>
      <c r="B117232" s="15"/>
      <c r="C117232" s="15"/>
      <c r="D117232" s="12"/>
      <c r="E117232" s="12"/>
      <c r="F117232" s="13"/>
      <c r="G117232" s="12"/>
      <c r="H117232" s="12"/>
      <c r="I117232" s="12"/>
      <c r="J117232" s="12"/>
      <c r="K117232" s="12"/>
      <c r="L117232" s="208"/>
      <c r="M117232" s="209"/>
      <c r="N117232" s="209"/>
      <c r="O117232" s="209"/>
    </row>
    <row r="117233" spans="1:15" s="210" customFormat="1" x14ac:dyDescent="0.3">
      <c r="A117233" s="12"/>
      <c r="B117233" s="15"/>
      <c r="C117233" s="15"/>
      <c r="D117233" s="12"/>
      <c r="E117233" s="12"/>
      <c r="F117233" s="13"/>
      <c r="G117233" s="12"/>
      <c r="H117233" s="12"/>
      <c r="I117233" s="12"/>
      <c r="J117233" s="12"/>
      <c r="K117233" s="12"/>
      <c r="L117233" s="208"/>
      <c r="M117233" s="209"/>
      <c r="N117233" s="209"/>
      <c r="O117233" s="209"/>
    </row>
    <row r="117234" spans="1:15" s="210" customFormat="1" x14ac:dyDescent="0.3">
      <c r="A117234" s="12"/>
      <c r="B117234" s="15"/>
      <c r="C117234" s="15"/>
      <c r="D117234" s="12"/>
      <c r="E117234" s="12"/>
      <c r="F117234" s="13"/>
      <c r="G117234" s="12"/>
      <c r="H117234" s="12"/>
      <c r="I117234" s="12"/>
      <c r="J117234" s="12"/>
      <c r="K117234" s="12"/>
      <c r="L117234" s="208"/>
      <c r="M117234" s="209"/>
      <c r="N117234" s="209"/>
      <c r="O117234" s="209"/>
    </row>
    <row r="117235" spans="1:15" s="210" customFormat="1" x14ac:dyDescent="0.3">
      <c r="A117235" s="12"/>
      <c r="B117235" s="15"/>
      <c r="C117235" s="15"/>
      <c r="D117235" s="12"/>
      <c r="E117235" s="12"/>
      <c r="F117235" s="13"/>
      <c r="G117235" s="12"/>
      <c r="H117235" s="12"/>
      <c r="I117235" s="12"/>
      <c r="J117235" s="12"/>
      <c r="K117235" s="12"/>
      <c r="L117235" s="208"/>
      <c r="M117235" s="209"/>
      <c r="N117235" s="209"/>
      <c r="O117235" s="209"/>
    </row>
    <row r="117236" spans="1:15" s="210" customFormat="1" x14ac:dyDescent="0.3">
      <c r="A117236" s="12"/>
      <c r="B117236" s="15"/>
      <c r="C117236" s="15"/>
      <c r="D117236" s="12"/>
      <c r="E117236" s="12"/>
      <c r="F117236" s="13"/>
      <c r="G117236" s="12"/>
      <c r="H117236" s="12"/>
      <c r="I117236" s="12"/>
      <c r="J117236" s="12"/>
      <c r="K117236" s="12"/>
      <c r="L117236" s="208"/>
      <c r="M117236" s="209"/>
      <c r="N117236" s="209"/>
      <c r="O117236" s="209"/>
    </row>
    <row r="117237" spans="1:15" s="210" customFormat="1" x14ac:dyDescent="0.3">
      <c r="A117237" s="12"/>
      <c r="B117237" s="15"/>
      <c r="C117237" s="15"/>
      <c r="D117237" s="12"/>
      <c r="E117237" s="12"/>
      <c r="F117237" s="13"/>
      <c r="G117237" s="12"/>
      <c r="H117237" s="12"/>
      <c r="I117237" s="12"/>
      <c r="J117237" s="12"/>
      <c r="K117237" s="12"/>
      <c r="L117237" s="208"/>
      <c r="M117237" s="209"/>
      <c r="N117237" s="209"/>
      <c r="O117237" s="209"/>
    </row>
    <row r="117238" spans="1:15" s="210" customFormat="1" x14ac:dyDescent="0.3">
      <c r="A117238" s="12"/>
      <c r="B117238" s="15"/>
      <c r="C117238" s="15"/>
      <c r="D117238" s="12"/>
      <c r="E117238" s="12"/>
      <c r="F117238" s="13"/>
      <c r="G117238" s="12"/>
      <c r="H117238" s="12"/>
      <c r="I117238" s="12"/>
      <c r="J117238" s="12"/>
      <c r="K117238" s="12"/>
      <c r="L117238" s="208"/>
      <c r="M117238" s="209"/>
      <c r="N117238" s="209"/>
      <c r="O117238" s="209"/>
    </row>
    <row r="117239" spans="1:15" s="210" customFormat="1" x14ac:dyDescent="0.3">
      <c r="A117239" s="12"/>
      <c r="B117239" s="15"/>
      <c r="C117239" s="15"/>
      <c r="D117239" s="12"/>
      <c r="E117239" s="12"/>
      <c r="F117239" s="13"/>
      <c r="G117239" s="12"/>
      <c r="H117239" s="12"/>
      <c r="I117239" s="12"/>
      <c r="J117239" s="12"/>
      <c r="K117239" s="12"/>
      <c r="L117239" s="208"/>
      <c r="M117239" s="209"/>
      <c r="N117239" s="209"/>
      <c r="O117239" s="209"/>
    </row>
    <row r="117240" spans="1:15" s="210" customFormat="1" x14ac:dyDescent="0.3">
      <c r="A117240" s="12"/>
      <c r="B117240" s="15"/>
      <c r="C117240" s="15"/>
      <c r="D117240" s="12"/>
      <c r="E117240" s="12"/>
      <c r="F117240" s="13"/>
      <c r="G117240" s="12"/>
      <c r="H117240" s="12"/>
      <c r="I117240" s="12"/>
      <c r="J117240" s="12"/>
      <c r="K117240" s="12"/>
      <c r="L117240" s="208"/>
      <c r="M117240" s="209"/>
      <c r="N117240" s="209"/>
      <c r="O117240" s="209"/>
    </row>
    <row r="117241" spans="1:15" s="210" customFormat="1" x14ac:dyDescent="0.3">
      <c r="A117241" s="12"/>
      <c r="B117241" s="15"/>
      <c r="C117241" s="15"/>
      <c r="D117241" s="12"/>
      <c r="E117241" s="12"/>
      <c r="F117241" s="13"/>
      <c r="G117241" s="12"/>
      <c r="H117241" s="12"/>
      <c r="I117241" s="12"/>
      <c r="J117241" s="12"/>
      <c r="K117241" s="12"/>
      <c r="L117241" s="208"/>
      <c r="M117241" s="209"/>
      <c r="N117241" s="209"/>
      <c r="O117241" s="209"/>
    </row>
    <row r="117242" spans="1:15" s="210" customFormat="1" x14ac:dyDescent="0.3">
      <c r="A117242" s="12"/>
      <c r="B117242" s="15"/>
      <c r="C117242" s="15"/>
      <c r="D117242" s="12"/>
      <c r="E117242" s="12"/>
      <c r="F117242" s="13"/>
      <c r="G117242" s="12"/>
      <c r="H117242" s="12"/>
      <c r="I117242" s="12"/>
      <c r="J117242" s="12"/>
      <c r="K117242" s="12"/>
      <c r="L117242" s="208"/>
      <c r="M117242" s="209"/>
      <c r="N117242" s="209"/>
      <c r="O117242" s="209"/>
    </row>
    <row r="117243" spans="1:15" s="210" customFormat="1" x14ac:dyDescent="0.3">
      <c r="A117243" s="12"/>
      <c r="B117243" s="15"/>
      <c r="C117243" s="15"/>
      <c r="D117243" s="12"/>
      <c r="E117243" s="12"/>
      <c r="F117243" s="13"/>
      <c r="G117243" s="12"/>
      <c r="H117243" s="12"/>
      <c r="I117243" s="12"/>
      <c r="J117243" s="12"/>
      <c r="K117243" s="12"/>
      <c r="L117243" s="208"/>
      <c r="M117243" s="209"/>
      <c r="N117243" s="209"/>
      <c r="O117243" s="209"/>
    </row>
    <row r="117244" spans="1:15" s="210" customFormat="1" x14ac:dyDescent="0.3">
      <c r="A117244" s="12"/>
      <c r="B117244" s="15"/>
      <c r="C117244" s="15"/>
      <c r="D117244" s="12"/>
      <c r="E117244" s="12"/>
      <c r="F117244" s="13"/>
      <c r="G117244" s="12"/>
      <c r="H117244" s="12"/>
      <c r="I117244" s="12"/>
      <c r="J117244" s="12"/>
      <c r="K117244" s="12"/>
      <c r="L117244" s="208"/>
      <c r="M117244" s="209"/>
      <c r="N117244" s="209"/>
      <c r="O117244" s="209"/>
    </row>
    <row r="117245" spans="1:15" s="210" customFormat="1" x14ac:dyDescent="0.3">
      <c r="A117245" s="12"/>
      <c r="B117245" s="15"/>
      <c r="C117245" s="15"/>
      <c r="D117245" s="12"/>
      <c r="E117245" s="12"/>
      <c r="F117245" s="13"/>
      <c r="G117245" s="12"/>
      <c r="H117245" s="12"/>
      <c r="I117245" s="12"/>
      <c r="J117245" s="12"/>
      <c r="K117245" s="12"/>
      <c r="L117245" s="208"/>
      <c r="M117245" s="209"/>
      <c r="N117245" s="209"/>
      <c r="O117245" s="209"/>
    </row>
    <row r="117246" spans="1:15" s="210" customFormat="1" x14ac:dyDescent="0.3">
      <c r="A117246" s="12"/>
      <c r="B117246" s="15"/>
      <c r="C117246" s="15"/>
      <c r="D117246" s="12"/>
      <c r="E117246" s="12"/>
      <c r="F117246" s="13"/>
      <c r="G117246" s="12"/>
      <c r="H117246" s="12"/>
      <c r="I117246" s="12"/>
      <c r="J117246" s="12"/>
      <c r="K117246" s="12"/>
      <c r="L117246" s="208"/>
      <c r="M117246" s="209"/>
      <c r="N117246" s="209"/>
      <c r="O117246" s="209"/>
    </row>
    <row r="117247" spans="1:15" s="210" customFormat="1" x14ac:dyDescent="0.3">
      <c r="A117247" s="12"/>
      <c r="B117247" s="15"/>
      <c r="C117247" s="15"/>
      <c r="D117247" s="12"/>
      <c r="E117247" s="12"/>
      <c r="F117247" s="13"/>
      <c r="G117247" s="12"/>
      <c r="H117247" s="12"/>
      <c r="I117247" s="12"/>
      <c r="J117247" s="12"/>
      <c r="K117247" s="12"/>
      <c r="L117247" s="208"/>
      <c r="M117247" s="209"/>
      <c r="N117247" s="209"/>
      <c r="O117247" s="209"/>
    </row>
    <row r="117248" spans="1:15" s="210" customFormat="1" x14ac:dyDescent="0.3">
      <c r="A117248" s="12"/>
      <c r="B117248" s="15"/>
      <c r="C117248" s="15"/>
      <c r="D117248" s="12"/>
      <c r="E117248" s="12"/>
      <c r="F117248" s="13"/>
      <c r="G117248" s="12"/>
      <c r="H117248" s="12"/>
      <c r="I117248" s="12"/>
      <c r="J117248" s="12"/>
      <c r="K117248" s="12"/>
      <c r="L117248" s="208"/>
      <c r="M117248" s="209"/>
      <c r="N117248" s="209"/>
      <c r="O117248" s="209"/>
    </row>
    <row r="117249" spans="1:15" s="210" customFormat="1" x14ac:dyDescent="0.3">
      <c r="A117249" s="12"/>
      <c r="B117249" s="15"/>
      <c r="C117249" s="15"/>
      <c r="D117249" s="12"/>
      <c r="E117249" s="12"/>
      <c r="F117249" s="13"/>
      <c r="G117249" s="12"/>
      <c r="H117249" s="12"/>
      <c r="I117249" s="12"/>
      <c r="J117249" s="12"/>
      <c r="K117249" s="12"/>
      <c r="L117249" s="208"/>
      <c r="M117249" s="209"/>
      <c r="N117249" s="209"/>
      <c r="O117249" s="209"/>
    </row>
    <row r="117250" spans="1:15" s="210" customFormat="1" x14ac:dyDescent="0.3">
      <c r="A117250" s="12"/>
      <c r="B117250" s="15"/>
      <c r="C117250" s="15"/>
      <c r="D117250" s="12"/>
      <c r="E117250" s="12"/>
      <c r="F117250" s="13"/>
      <c r="G117250" s="12"/>
      <c r="H117250" s="12"/>
      <c r="I117250" s="12"/>
      <c r="J117250" s="12"/>
      <c r="K117250" s="12"/>
      <c r="L117250" s="208"/>
      <c r="M117250" s="209"/>
      <c r="N117250" s="209"/>
      <c r="O117250" s="209"/>
    </row>
    <row r="117251" spans="1:15" s="210" customFormat="1" x14ac:dyDescent="0.3">
      <c r="A117251" s="12"/>
      <c r="B117251" s="15"/>
      <c r="C117251" s="15"/>
      <c r="D117251" s="12"/>
      <c r="E117251" s="12"/>
      <c r="F117251" s="13"/>
      <c r="G117251" s="12"/>
      <c r="H117251" s="12"/>
      <c r="I117251" s="12"/>
      <c r="J117251" s="12"/>
      <c r="K117251" s="12"/>
      <c r="L117251" s="208"/>
      <c r="M117251" s="209"/>
      <c r="N117251" s="209"/>
      <c r="O117251" s="209"/>
    </row>
    <row r="117252" spans="1:15" s="210" customFormat="1" x14ac:dyDescent="0.3">
      <c r="A117252" s="12"/>
      <c r="B117252" s="15"/>
      <c r="C117252" s="15"/>
      <c r="D117252" s="12"/>
      <c r="E117252" s="12"/>
      <c r="F117252" s="13"/>
      <c r="G117252" s="12"/>
      <c r="H117252" s="12"/>
      <c r="I117252" s="12"/>
      <c r="J117252" s="12"/>
      <c r="K117252" s="12"/>
      <c r="L117252" s="208"/>
      <c r="M117252" s="209"/>
      <c r="N117252" s="209"/>
      <c r="O117252" s="209"/>
    </row>
    <row r="117253" spans="1:15" s="210" customFormat="1" x14ac:dyDescent="0.3">
      <c r="A117253" s="12"/>
      <c r="B117253" s="15"/>
      <c r="C117253" s="15"/>
      <c r="D117253" s="12"/>
      <c r="E117253" s="12"/>
      <c r="F117253" s="13"/>
      <c r="G117253" s="12"/>
      <c r="H117253" s="12"/>
      <c r="I117253" s="12"/>
      <c r="J117253" s="12"/>
      <c r="K117253" s="12"/>
      <c r="L117253" s="208"/>
      <c r="M117253" s="209"/>
      <c r="N117253" s="209"/>
      <c r="O117253" s="209"/>
    </row>
    <row r="117254" spans="1:15" s="210" customFormat="1" x14ac:dyDescent="0.3">
      <c r="A117254" s="12"/>
      <c r="B117254" s="15"/>
      <c r="C117254" s="15"/>
      <c r="D117254" s="12"/>
      <c r="E117254" s="12"/>
      <c r="F117254" s="13"/>
      <c r="G117254" s="12"/>
      <c r="H117254" s="12"/>
      <c r="I117254" s="12"/>
      <c r="J117254" s="12"/>
      <c r="K117254" s="12"/>
      <c r="L117254" s="208"/>
      <c r="M117254" s="209"/>
      <c r="N117254" s="209"/>
      <c r="O117254" s="209"/>
    </row>
    <row r="117255" spans="1:15" s="210" customFormat="1" x14ac:dyDescent="0.3">
      <c r="A117255" s="12"/>
      <c r="B117255" s="15"/>
      <c r="C117255" s="15"/>
      <c r="D117255" s="12"/>
      <c r="E117255" s="12"/>
      <c r="F117255" s="13"/>
      <c r="G117255" s="12"/>
      <c r="H117255" s="12"/>
      <c r="I117255" s="12"/>
      <c r="J117255" s="12"/>
      <c r="K117255" s="12"/>
      <c r="L117255" s="208"/>
      <c r="M117255" s="209"/>
      <c r="N117255" s="209"/>
      <c r="O117255" s="209"/>
    </row>
    <row r="117256" spans="1:15" s="210" customFormat="1" x14ac:dyDescent="0.3">
      <c r="A117256" s="12"/>
      <c r="B117256" s="15"/>
      <c r="C117256" s="15"/>
      <c r="D117256" s="12"/>
      <c r="E117256" s="12"/>
      <c r="F117256" s="13"/>
      <c r="G117256" s="12"/>
      <c r="H117256" s="12"/>
      <c r="I117256" s="12"/>
      <c r="J117256" s="12"/>
      <c r="K117256" s="12"/>
      <c r="L117256" s="208"/>
      <c r="M117256" s="209"/>
      <c r="N117256" s="209"/>
      <c r="O117256" s="209"/>
    </row>
    <row r="117257" spans="1:15" s="210" customFormat="1" x14ac:dyDescent="0.3">
      <c r="A117257" s="12"/>
      <c r="B117257" s="15"/>
      <c r="C117257" s="15"/>
      <c r="D117257" s="12"/>
      <c r="E117257" s="12"/>
      <c r="F117257" s="13"/>
      <c r="G117257" s="12"/>
      <c r="H117257" s="12"/>
      <c r="I117257" s="12"/>
      <c r="J117257" s="12"/>
      <c r="K117257" s="12"/>
      <c r="L117257" s="208"/>
      <c r="M117257" s="209"/>
      <c r="N117257" s="209"/>
      <c r="O117257" s="209"/>
    </row>
    <row r="117258" spans="1:15" s="210" customFormat="1" x14ac:dyDescent="0.3">
      <c r="A117258" s="12"/>
      <c r="B117258" s="15"/>
      <c r="C117258" s="15"/>
      <c r="D117258" s="12"/>
      <c r="E117258" s="12"/>
      <c r="F117258" s="13"/>
      <c r="G117258" s="12"/>
      <c r="H117258" s="12"/>
      <c r="I117258" s="12"/>
      <c r="J117258" s="12"/>
      <c r="K117258" s="12"/>
      <c r="L117258" s="208"/>
      <c r="M117258" s="209"/>
      <c r="N117258" s="209"/>
      <c r="O117258" s="209"/>
    </row>
    <row r="117259" spans="1:15" s="210" customFormat="1" x14ac:dyDescent="0.3">
      <c r="A117259" s="12"/>
      <c r="B117259" s="15"/>
      <c r="C117259" s="15"/>
      <c r="D117259" s="12"/>
      <c r="E117259" s="12"/>
      <c r="F117259" s="13"/>
      <c r="G117259" s="12"/>
      <c r="H117259" s="12"/>
      <c r="I117259" s="12"/>
      <c r="J117259" s="12"/>
      <c r="K117259" s="12"/>
      <c r="L117259" s="208"/>
      <c r="M117259" s="209"/>
      <c r="N117259" s="209"/>
      <c r="O117259" s="209"/>
    </row>
    <row r="117260" spans="1:15" s="210" customFormat="1" x14ac:dyDescent="0.3">
      <c r="A117260" s="12"/>
      <c r="B117260" s="15"/>
      <c r="C117260" s="15"/>
      <c r="D117260" s="12"/>
      <c r="E117260" s="12"/>
      <c r="F117260" s="13"/>
      <c r="G117260" s="12"/>
      <c r="H117260" s="12"/>
      <c r="I117260" s="12"/>
      <c r="J117260" s="12"/>
      <c r="K117260" s="12"/>
      <c r="L117260" s="208"/>
      <c r="M117260" s="209"/>
      <c r="N117260" s="209"/>
      <c r="O117260" s="209"/>
    </row>
    <row r="117261" spans="1:15" s="210" customFormat="1" x14ac:dyDescent="0.3">
      <c r="A117261" s="12"/>
      <c r="B117261" s="15"/>
      <c r="C117261" s="15"/>
      <c r="D117261" s="12"/>
      <c r="E117261" s="12"/>
      <c r="F117261" s="13"/>
      <c r="G117261" s="12"/>
      <c r="H117261" s="12"/>
      <c r="I117261" s="12"/>
      <c r="J117261" s="12"/>
      <c r="K117261" s="12"/>
      <c r="L117261" s="208"/>
      <c r="M117261" s="209"/>
      <c r="N117261" s="209"/>
      <c r="O117261" s="209"/>
    </row>
    <row r="117262" spans="1:15" s="210" customFormat="1" x14ac:dyDescent="0.3">
      <c r="A117262" s="12"/>
      <c r="B117262" s="15"/>
      <c r="C117262" s="15"/>
      <c r="D117262" s="12"/>
      <c r="E117262" s="12"/>
      <c r="F117262" s="13"/>
      <c r="G117262" s="12"/>
      <c r="H117262" s="12"/>
      <c r="I117262" s="12"/>
      <c r="J117262" s="12"/>
      <c r="K117262" s="12"/>
      <c r="L117262" s="208"/>
      <c r="M117262" s="209"/>
      <c r="N117262" s="209"/>
      <c r="O117262" s="209"/>
    </row>
    <row r="117263" spans="1:15" s="210" customFormat="1" x14ac:dyDescent="0.3">
      <c r="A117263" s="12"/>
      <c r="B117263" s="15"/>
      <c r="C117263" s="15"/>
      <c r="D117263" s="12"/>
      <c r="E117263" s="12"/>
      <c r="F117263" s="13"/>
      <c r="G117263" s="12"/>
      <c r="H117263" s="12"/>
      <c r="I117263" s="12"/>
      <c r="J117263" s="12"/>
      <c r="K117263" s="12"/>
      <c r="L117263" s="208"/>
      <c r="M117263" s="209"/>
      <c r="N117263" s="209"/>
      <c r="O117263" s="209"/>
    </row>
    <row r="117264" spans="1:15" s="210" customFormat="1" x14ac:dyDescent="0.3">
      <c r="A117264" s="12"/>
      <c r="B117264" s="15"/>
      <c r="C117264" s="15"/>
      <c r="D117264" s="12"/>
      <c r="E117264" s="12"/>
      <c r="F117264" s="13"/>
      <c r="G117264" s="12"/>
      <c r="H117264" s="12"/>
      <c r="I117264" s="12"/>
      <c r="J117264" s="12"/>
      <c r="K117264" s="12"/>
      <c r="L117264" s="208"/>
      <c r="M117264" s="209"/>
      <c r="N117264" s="209"/>
      <c r="O117264" s="209"/>
    </row>
    <row r="117265" spans="1:15" s="210" customFormat="1" x14ac:dyDescent="0.3">
      <c r="A117265" s="12"/>
      <c r="B117265" s="15"/>
      <c r="C117265" s="15"/>
      <c r="D117265" s="12"/>
      <c r="E117265" s="12"/>
      <c r="F117265" s="13"/>
      <c r="G117265" s="12"/>
      <c r="H117265" s="12"/>
      <c r="I117265" s="12"/>
      <c r="J117265" s="12"/>
      <c r="K117265" s="12"/>
      <c r="L117265" s="208"/>
      <c r="M117265" s="209"/>
      <c r="N117265" s="209"/>
      <c r="O117265" s="209"/>
    </row>
    <row r="117266" spans="1:15" s="210" customFormat="1" x14ac:dyDescent="0.3">
      <c r="A117266" s="12"/>
      <c r="B117266" s="15"/>
      <c r="C117266" s="15"/>
      <c r="D117266" s="12"/>
      <c r="E117266" s="12"/>
      <c r="F117266" s="13"/>
      <c r="G117266" s="12"/>
      <c r="H117266" s="12"/>
      <c r="I117266" s="12"/>
      <c r="J117266" s="12"/>
      <c r="K117266" s="12"/>
      <c r="L117266" s="208"/>
      <c r="M117266" s="209"/>
      <c r="N117266" s="209"/>
      <c r="O117266" s="209"/>
    </row>
    <row r="117267" spans="1:15" s="210" customFormat="1" x14ac:dyDescent="0.3">
      <c r="A117267" s="12"/>
      <c r="B117267" s="15"/>
      <c r="C117267" s="15"/>
      <c r="D117267" s="12"/>
      <c r="E117267" s="12"/>
      <c r="F117267" s="13"/>
      <c r="G117267" s="12"/>
      <c r="H117267" s="12"/>
      <c r="I117267" s="12"/>
      <c r="J117267" s="12"/>
      <c r="K117267" s="12"/>
      <c r="L117267" s="208"/>
      <c r="M117267" s="209"/>
      <c r="N117267" s="209"/>
      <c r="O117267" s="209"/>
    </row>
    <row r="117268" spans="1:15" s="210" customFormat="1" x14ac:dyDescent="0.3">
      <c r="A117268" s="12"/>
      <c r="B117268" s="15"/>
      <c r="C117268" s="15"/>
      <c r="D117268" s="12"/>
      <c r="E117268" s="12"/>
      <c r="F117268" s="13"/>
      <c r="G117268" s="12"/>
      <c r="H117268" s="12"/>
      <c r="I117268" s="12"/>
      <c r="J117268" s="12"/>
      <c r="K117268" s="12"/>
      <c r="L117268" s="208"/>
      <c r="M117268" s="209"/>
      <c r="N117268" s="209"/>
      <c r="O117268" s="209"/>
    </row>
    <row r="117269" spans="1:15" s="210" customFormat="1" x14ac:dyDescent="0.3">
      <c r="A117269" s="12"/>
      <c r="B117269" s="15"/>
      <c r="C117269" s="15"/>
      <c r="D117269" s="12"/>
      <c r="E117269" s="12"/>
      <c r="F117269" s="13"/>
      <c r="G117269" s="12"/>
      <c r="H117269" s="12"/>
      <c r="I117269" s="12"/>
      <c r="J117269" s="12"/>
      <c r="K117269" s="12"/>
      <c r="L117269" s="208"/>
      <c r="M117269" s="209"/>
      <c r="N117269" s="209"/>
      <c r="O117269" s="209"/>
    </row>
    <row r="117270" spans="1:15" s="210" customFormat="1" x14ac:dyDescent="0.3">
      <c r="A117270" s="12"/>
      <c r="B117270" s="15"/>
      <c r="C117270" s="15"/>
      <c r="D117270" s="12"/>
      <c r="E117270" s="12"/>
      <c r="F117270" s="13"/>
      <c r="G117270" s="12"/>
      <c r="H117270" s="12"/>
      <c r="I117270" s="12"/>
      <c r="J117270" s="12"/>
      <c r="K117270" s="12"/>
      <c r="L117270" s="208"/>
      <c r="M117270" s="209"/>
      <c r="N117270" s="209"/>
      <c r="O117270" s="209"/>
    </row>
    <row r="117271" spans="1:15" s="210" customFormat="1" x14ac:dyDescent="0.3">
      <c r="A117271" s="12"/>
      <c r="B117271" s="15"/>
      <c r="C117271" s="15"/>
      <c r="D117271" s="12"/>
      <c r="E117271" s="12"/>
      <c r="F117271" s="13"/>
      <c r="G117271" s="12"/>
      <c r="H117271" s="12"/>
      <c r="I117271" s="12"/>
      <c r="J117271" s="12"/>
      <c r="K117271" s="12"/>
      <c r="L117271" s="208"/>
      <c r="M117271" s="209"/>
      <c r="N117271" s="209"/>
      <c r="O117271" s="209"/>
    </row>
    <row r="117272" spans="1:15" s="210" customFormat="1" x14ac:dyDescent="0.3">
      <c r="A117272" s="12"/>
      <c r="B117272" s="15"/>
      <c r="C117272" s="15"/>
      <c r="D117272" s="12"/>
      <c r="E117272" s="12"/>
      <c r="F117272" s="13"/>
      <c r="G117272" s="12"/>
      <c r="H117272" s="12"/>
      <c r="I117272" s="12"/>
      <c r="J117272" s="12"/>
      <c r="K117272" s="12"/>
      <c r="L117272" s="208"/>
      <c r="M117272" s="209"/>
      <c r="N117272" s="209"/>
      <c r="O117272" s="209"/>
    </row>
    <row r="117273" spans="1:15" s="210" customFormat="1" x14ac:dyDescent="0.3">
      <c r="A117273" s="12"/>
      <c r="B117273" s="15"/>
      <c r="C117273" s="15"/>
      <c r="D117273" s="12"/>
      <c r="E117273" s="12"/>
      <c r="F117273" s="13"/>
      <c r="G117273" s="12"/>
      <c r="H117273" s="12"/>
      <c r="I117273" s="12"/>
      <c r="J117273" s="12"/>
      <c r="K117273" s="12"/>
      <c r="L117273" s="208"/>
      <c r="M117273" s="209"/>
      <c r="N117273" s="209"/>
      <c r="O117273" s="209"/>
    </row>
    <row r="117274" spans="1:15" s="210" customFormat="1" x14ac:dyDescent="0.3">
      <c r="A117274" s="12"/>
      <c r="B117274" s="15"/>
      <c r="C117274" s="15"/>
      <c r="D117274" s="12"/>
      <c r="E117274" s="12"/>
      <c r="F117274" s="13"/>
      <c r="G117274" s="12"/>
      <c r="H117274" s="12"/>
      <c r="I117274" s="12"/>
      <c r="J117274" s="12"/>
      <c r="K117274" s="12"/>
      <c r="L117274" s="208"/>
      <c r="M117274" s="209"/>
      <c r="N117274" s="209"/>
      <c r="O117274" s="209"/>
    </row>
    <row r="117275" spans="1:15" s="210" customFormat="1" x14ac:dyDescent="0.3">
      <c r="A117275" s="12"/>
      <c r="B117275" s="15"/>
      <c r="C117275" s="15"/>
      <c r="D117275" s="12"/>
      <c r="E117275" s="12"/>
      <c r="F117275" s="13"/>
      <c r="G117275" s="12"/>
      <c r="H117275" s="12"/>
      <c r="I117275" s="12"/>
      <c r="J117275" s="12"/>
      <c r="K117275" s="12"/>
      <c r="L117275" s="208"/>
      <c r="M117275" s="209"/>
      <c r="N117275" s="209"/>
      <c r="O117275" s="209"/>
    </row>
    <row r="117276" spans="1:15" s="210" customFormat="1" x14ac:dyDescent="0.3">
      <c r="A117276" s="12"/>
      <c r="B117276" s="15"/>
      <c r="C117276" s="15"/>
      <c r="D117276" s="12"/>
      <c r="E117276" s="12"/>
      <c r="F117276" s="13"/>
      <c r="G117276" s="12"/>
      <c r="H117276" s="12"/>
      <c r="I117276" s="12"/>
      <c r="J117276" s="12"/>
      <c r="K117276" s="12"/>
      <c r="L117276" s="208"/>
      <c r="M117276" s="209"/>
      <c r="N117276" s="209"/>
      <c r="O117276" s="209"/>
    </row>
    <row r="117277" spans="1:15" s="210" customFormat="1" x14ac:dyDescent="0.3">
      <c r="A117277" s="12"/>
      <c r="B117277" s="15"/>
      <c r="C117277" s="15"/>
      <c r="D117277" s="12"/>
      <c r="E117277" s="12"/>
      <c r="F117277" s="13"/>
      <c r="G117277" s="12"/>
      <c r="H117277" s="12"/>
      <c r="I117277" s="12"/>
      <c r="J117277" s="12"/>
      <c r="K117277" s="12"/>
      <c r="L117277" s="208"/>
      <c r="M117277" s="209"/>
      <c r="N117277" s="209"/>
      <c r="O117277" s="209"/>
    </row>
    <row r="117278" spans="1:15" s="210" customFormat="1" x14ac:dyDescent="0.3">
      <c r="A117278" s="12"/>
      <c r="B117278" s="15"/>
      <c r="C117278" s="15"/>
      <c r="D117278" s="12"/>
      <c r="E117278" s="12"/>
      <c r="F117278" s="13"/>
      <c r="G117278" s="12"/>
      <c r="H117278" s="12"/>
      <c r="I117278" s="12"/>
      <c r="J117278" s="12"/>
      <c r="K117278" s="12"/>
      <c r="L117278" s="208"/>
      <c r="M117278" s="209"/>
      <c r="N117278" s="209"/>
      <c r="O117278" s="209"/>
    </row>
    <row r="117279" spans="1:15" s="210" customFormat="1" x14ac:dyDescent="0.3">
      <c r="A117279" s="12"/>
      <c r="B117279" s="15"/>
      <c r="C117279" s="15"/>
      <c r="D117279" s="12"/>
      <c r="E117279" s="12"/>
      <c r="F117279" s="13"/>
      <c r="G117279" s="12"/>
      <c r="H117279" s="12"/>
      <c r="I117279" s="12"/>
      <c r="J117279" s="12"/>
      <c r="K117279" s="12"/>
      <c r="L117279" s="208"/>
      <c r="M117279" s="209"/>
      <c r="N117279" s="209"/>
      <c r="O117279" s="209"/>
    </row>
    <row r="117280" spans="1:15" s="210" customFormat="1" x14ac:dyDescent="0.3">
      <c r="A117280" s="12"/>
      <c r="B117280" s="15"/>
      <c r="C117280" s="15"/>
      <c r="D117280" s="12"/>
      <c r="E117280" s="12"/>
      <c r="F117280" s="13"/>
      <c r="G117280" s="12"/>
      <c r="H117280" s="12"/>
      <c r="I117280" s="12"/>
      <c r="J117280" s="12"/>
      <c r="K117280" s="12"/>
      <c r="L117280" s="208"/>
      <c r="M117280" s="209"/>
      <c r="N117280" s="209"/>
      <c r="O117280" s="209"/>
    </row>
    <row r="117281" spans="1:15" s="210" customFormat="1" x14ac:dyDescent="0.3">
      <c r="A117281" s="12"/>
      <c r="B117281" s="15"/>
      <c r="C117281" s="15"/>
      <c r="D117281" s="12"/>
      <c r="E117281" s="12"/>
      <c r="F117281" s="13"/>
      <c r="G117281" s="12"/>
      <c r="H117281" s="12"/>
      <c r="I117281" s="12"/>
      <c r="J117281" s="12"/>
      <c r="K117281" s="12"/>
      <c r="L117281" s="208"/>
      <c r="M117281" s="209"/>
      <c r="N117281" s="209"/>
      <c r="O117281" s="209"/>
    </row>
    <row r="117282" spans="1:15" s="210" customFormat="1" x14ac:dyDescent="0.3">
      <c r="A117282" s="12"/>
      <c r="B117282" s="15"/>
      <c r="C117282" s="15"/>
      <c r="D117282" s="12"/>
      <c r="E117282" s="12"/>
      <c r="F117282" s="13"/>
      <c r="G117282" s="12"/>
      <c r="H117282" s="12"/>
      <c r="I117282" s="12"/>
      <c r="J117282" s="12"/>
      <c r="K117282" s="12"/>
      <c r="L117282" s="208"/>
      <c r="M117282" s="209"/>
      <c r="N117282" s="209"/>
      <c r="O117282" s="209"/>
    </row>
    <row r="117283" spans="1:15" s="210" customFormat="1" x14ac:dyDescent="0.3">
      <c r="A117283" s="12"/>
      <c r="B117283" s="15"/>
      <c r="C117283" s="15"/>
      <c r="D117283" s="12"/>
      <c r="E117283" s="12"/>
      <c r="F117283" s="13"/>
      <c r="G117283" s="12"/>
      <c r="H117283" s="12"/>
      <c r="I117283" s="12"/>
      <c r="J117283" s="12"/>
      <c r="K117283" s="12"/>
      <c r="L117283" s="208"/>
      <c r="M117283" s="209"/>
      <c r="N117283" s="209"/>
      <c r="O117283" s="209"/>
    </row>
    <row r="117284" spans="1:15" s="210" customFormat="1" x14ac:dyDescent="0.3">
      <c r="A117284" s="12"/>
      <c r="B117284" s="15"/>
      <c r="C117284" s="15"/>
      <c r="D117284" s="12"/>
      <c r="E117284" s="12"/>
      <c r="F117284" s="13"/>
      <c r="G117284" s="12"/>
      <c r="H117284" s="12"/>
      <c r="I117284" s="12"/>
      <c r="J117284" s="12"/>
      <c r="K117284" s="12"/>
      <c r="L117284" s="208"/>
      <c r="M117284" s="209"/>
      <c r="N117284" s="209"/>
      <c r="O117284" s="209"/>
    </row>
    <row r="117285" spans="1:15" s="210" customFormat="1" x14ac:dyDescent="0.3">
      <c r="A117285" s="12"/>
      <c r="B117285" s="15"/>
      <c r="C117285" s="15"/>
      <c r="D117285" s="12"/>
      <c r="E117285" s="12"/>
      <c r="F117285" s="13"/>
      <c r="G117285" s="12"/>
      <c r="H117285" s="12"/>
      <c r="I117285" s="12"/>
      <c r="J117285" s="12"/>
      <c r="K117285" s="12"/>
      <c r="L117285" s="208"/>
      <c r="M117285" s="209"/>
      <c r="N117285" s="209"/>
      <c r="O117285" s="209"/>
    </row>
    <row r="117286" spans="1:15" s="210" customFormat="1" x14ac:dyDescent="0.3">
      <c r="A117286" s="12"/>
      <c r="B117286" s="15"/>
      <c r="C117286" s="15"/>
      <c r="D117286" s="12"/>
      <c r="E117286" s="12"/>
      <c r="F117286" s="13"/>
      <c r="G117286" s="12"/>
      <c r="H117286" s="12"/>
      <c r="I117286" s="12"/>
      <c r="J117286" s="12"/>
      <c r="K117286" s="12"/>
      <c r="L117286" s="208"/>
      <c r="M117286" s="209"/>
      <c r="N117286" s="209"/>
      <c r="O117286" s="209"/>
    </row>
    <row r="117287" spans="1:15" s="210" customFormat="1" x14ac:dyDescent="0.3">
      <c r="A117287" s="12"/>
      <c r="B117287" s="15"/>
      <c r="C117287" s="15"/>
      <c r="D117287" s="12"/>
      <c r="E117287" s="12"/>
      <c r="F117287" s="13"/>
      <c r="G117287" s="12"/>
      <c r="H117287" s="12"/>
      <c r="I117287" s="12"/>
      <c r="J117287" s="12"/>
      <c r="K117287" s="12"/>
      <c r="L117287" s="208"/>
      <c r="M117287" s="209"/>
      <c r="N117287" s="209"/>
      <c r="O117287" s="209"/>
    </row>
    <row r="117288" spans="1:15" s="210" customFormat="1" x14ac:dyDescent="0.3">
      <c r="A117288" s="12"/>
      <c r="B117288" s="15"/>
      <c r="C117288" s="15"/>
      <c r="D117288" s="12"/>
      <c r="E117288" s="12"/>
      <c r="F117288" s="13"/>
      <c r="G117288" s="12"/>
      <c r="H117288" s="12"/>
      <c r="I117288" s="12"/>
      <c r="J117288" s="12"/>
      <c r="K117288" s="12"/>
      <c r="L117288" s="208"/>
      <c r="M117288" s="209"/>
      <c r="N117288" s="209"/>
      <c r="O117288" s="209"/>
    </row>
    <row r="117289" spans="1:15" s="210" customFormat="1" x14ac:dyDescent="0.3">
      <c r="A117289" s="12"/>
      <c r="B117289" s="15"/>
      <c r="C117289" s="15"/>
      <c r="D117289" s="12"/>
      <c r="E117289" s="12"/>
      <c r="F117289" s="13"/>
      <c r="G117289" s="12"/>
      <c r="H117289" s="12"/>
      <c r="I117289" s="12"/>
      <c r="J117289" s="12"/>
      <c r="K117289" s="12"/>
      <c r="L117289" s="208"/>
      <c r="M117289" s="209"/>
      <c r="N117289" s="209"/>
      <c r="O117289" s="209"/>
    </row>
    <row r="117290" spans="1:15" s="210" customFormat="1" x14ac:dyDescent="0.3">
      <c r="A117290" s="12"/>
      <c r="B117290" s="15"/>
      <c r="C117290" s="15"/>
      <c r="D117290" s="12"/>
      <c r="E117290" s="12"/>
      <c r="F117290" s="13"/>
      <c r="G117290" s="12"/>
      <c r="H117290" s="12"/>
      <c r="I117290" s="12"/>
      <c r="J117290" s="12"/>
      <c r="K117290" s="12"/>
      <c r="L117290" s="208"/>
      <c r="M117290" s="209"/>
      <c r="N117290" s="209"/>
      <c r="O117290" s="209"/>
    </row>
    <row r="117291" spans="1:15" s="210" customFormat="1" x14ac:dyDescent="0.3">
      <c r="A117291" s="12"/>
      <c r="B117291" s="15"/>
      <c r="C117291" s="15"/>
      <c r="D117291" s="12"/>
      <c r="E117291" s="12"/>
      <c r="F117291" s="13"/>
      <c r="G117291" s="12"/>
      <c r="H117291" s="12"/>
      <c r="I117291" s="12"/>
      <c r="J117291" s="12"/>
      <c r="K117291" s="12"/>
      <c r="L117291" s="208"/>
      <c r="M117291" s="209"/>
      <c r="N117291" s="209"/>
      <c r="O117291" s="209"/>
    </row>
    <row r="117292" spans="1:15" s="210" customFormat="1" x14ac:dyDescent="0.3">
      <c r="A117292" s="12"/>
      <c r="B117292" s="15"/>
      <c r="C117292" s="15"/>
      <c r="D117292" s="12"/>
      <c r="E117292" s="12"/>
      <c r="F117292" s="13"/>
      <c r="G117292" s="12"/>
      <c r="H117292" s="12"/>
      <c r="I117292" s="12"/>
      <c r="J117292" s="12"/>
      <c r="K117292" s="12"/>
      <c r="L117292" s="208"/>
      <c r="M117292" s="209"/>
      <c r="N117292" s="209"/>
      <c r="O117292" s="209"/>
    </row>
    <row r="117293" spans="1:15" s="210" customFormat="1" x14ac:dyDescent="0.3">
      <c r="A117293" s="12"/>
      <c r="B117293" s="15"/>
      <c r="C117293" s="15"/>
      <c r="D117293" s="12"/>
      <c r="E117293" s="12"/>
      <c r="F117293" s="13"/>
      <c r="G117293" s="12"/>
      <c r="H117293" s="12"/>
      <c r="I117293" s="12"/>
      <c r="J117293" s="12"/>
      <c r="K117293" s="12"/>
      <c r="L117293" s="208"/>
      <c r="M117293" s="209"/>
      <c r="N117293" s="209"/>
      <c r="O117293" s="209"/>
    </row>
    <row r="117294" spans="1:15" s="210" customFormat="1" x14ac:dyDescent="0.3">
      <c r="A117294" s="12"/>
      <c r="B117294" s="15"/>
      <c r="C117294" s="15"/>
      <c r="D117294" s="12"/>
      <c r="E117294" s="12"/>
      <c r="F117294" s="13"/>
      <c r="G117294" s="12"/>
      <c r="H117294" s="12"/>
      <c r="I117294" s="12"/>
      <c r="J117294" s="12"/>
      <c r="K117294" s="12"/>
      <c r="L117294" s="208"/>
      <c r="M117294" s="209"/>
      <c r="N117294" s="209"/>
      <c r="O117294" s="209"/>
    </row>
    <row r="117295" spans="1:15" s="210" customFormat="1" x14ac:dyDescent="0.3">
      <c r="A117295" s="12"/>
      <c r="B117295" s="15"/>
      <c r="C117295" s="15"/>
      <c r="D117295" s="12"/>
      <c r="E117295" s="12"/>
      <c r="F117295" s="13"/>
      <c r="G117295" s="12"/>
      <c r="H117295" s="12"/>
      <c r="I117295" s="12"/>
      <c r="J117295" s="12"/>
      <c r="K117295" s="12"/>
      <c r="L117295" s="208"/>
      <c r="M117295" s="209"/>
      <c r="N117295" s="209"/>
      <c r="O117295" s="209"/>
    </row>
    <row r="117296" spans="1:15" s="210" customFormat="1" x14ac:dyDescent="0.3">
      <c r="A117296" s="12"/>
      <c r="B117296" s="15"/>
      <c r="C117296" s="15"/>
      <c r="D117296" s="12"/>
      <c r="E117296" s="12"/>
      <c r="F117296" s="13"/>
      <c r="G117296" s="12"/>
      <c r="H117296" s="12"/>
      <c r="I117296" s="12"/>
      <c r="J117296" s="12"/>
      <c r="K117296" s="12"/>
      <c r="L117296" s="208"/>
      <c r="M117296" s="209"/>
      <c r="N117296" s="209"/>
      <c r="O117296" s="209"/>
    </row>
    <row r="117297" spans="1:15" s="210" customFormat="1" x14ac:dyDescent="0.3">
      <c r="A117297" s="12"/>
      <c r="B117297" s="15"/>
      <c r="C117297" s="15"/>
      <c r="D117297" s="12"/>
      <c r="E117297" s="12"/>
      <c r="F117297" s="13"/>
      <c r="G117297" s="12"/>
      <c r="H117297" s="12"/>
      <c r="I117297" s="12"/>
      <c r="J117297" s="12"/>
      <c r="K117297" s="12"/>
      <c r="L117297" s="208"/>
      <c r="M117297" s="209"/>
      <c r="N117297" s="209"/>
      <c r="O117297" s="209"/>
    </row>
    <row r="117298" spans="1:15" s="210" customFormat="1" x14ac:dyDescent="0.3">
      <c r="A117298" s="12"/>
      <c r="B117298" s="15"/>
      <c r="C117298" s="15"/>
      <c r="D117298" s="12"/>
      <c r="E117298" s="12"/>
      <c r="F117298" s="13"/>
      <c r="G117298" s="12"/>
      <c r="H117298" s="12"/>
      <c r="I117298" s="12"/>
      <c r="J117298" s="12"/>
      <c r="K117298" s="12"/>
      <c r="L117298" s="208"/>
      <c r="M117298" s="209"/>
      <c r="N117298" s="209"/>
      <c r="O117298" s="209"/>
    </row>
    <row r="117299" spans="1:15" s="210" customFormat="1" x14ac:dyDescent="0.3">
      <c r="A117299" s="12"/>
      <c r="B117299" s="15"/>
      <c r="C117299" s="15"/>
      <c r="D117299" s="12"/>
      <c r="E117299" s="12"/>
      <c r="F117299" s="13"/>
      <c r="G117299" s="12"/>
      <c r="H117299" s="12"/>
      <c r="I117299" s="12"/>
      <c r="J117299" s="12"/>
      <c r="K117299" s="12"/>
      <c r="L117299" s="208"/>
      <c r="M117299" s="209"/>
      <c r="N117299" s="209"/>
      <c r="O117299" s="209"/>
    </row>
    <row r="117300" spans="1:15" s="210" customFormat="1" x14ac:dyDescent="0.3">
      <c r="A117300" s="12"/>
      <c r="B117300" s="15"/>
      <c r="C117300" s="15"/>
      <c r="D117300" s="12"/>
      <c r="E117300" s="12"/>
      <c r="F117300" s="13"/>
      <c r="G117300" s="12"/>
      <c r="H117300" s="12"/>
      <c r="I117300" s="12"/>
      <c r="J117300" s="12"/>
      <c r="K117300" s="12"/>
      <c r="L117300" s="208"/>
      <c r="M117300" s="209"/>
      <c r="N117300" s="209"/>
      <c r="O117300" s="209"/>
    </row>
    <row r="117301" spans="1:15" s="210" customFormat="1" x14ac:dyDescent="0.3">
      <c r="A117301" s="12"/>
      <c r="B117301" s="15"/>
      <c r="C117301" s="15"/>
      <c r="D117301" s="12"/>
      <c r="E117301" s="12"/>
      <c r="F117301" s="13"/>
      <c r="G117301" s="12"/>
      <c r="H117301" s="12"/>
      <c r="I117301" s="12"/>
      <c r="J117301" s="12"/>
      <c r="K117301" s="12"/>
      <c r="L117301" s="208"/>
      <c r="M117301" s="209"/>
      <c r="N117301" s="209"/>
      <c r="O117301" s="209"/>
    </row>
    <row r="117302" spans="1:15" s="210" customFormat="1" x14ac:dyDescent="0.3">
      <c r="A117302" s="12"/>
      <c r="B117302" s="15"/>
      <c r="C117302" s="15"/>
      <c r="D117302" s="12"/>
      <c r="E117302" s="12"/>
      <c r="F117302" s="13"/>
      <c r="G117302" s="12"/>
      <c r="H117302" s="12"/>
      <c r="I117302" s="12"/>
      <c r="J117302" s="12"/>
      <c r="K117302" s="12"/>
      <c r="L117302" s="208"/>
      <c r="M117302" s="209"/>
      <c r="N117302" s="209"/>
      <c r="O117302" s="209"/>
    </row>
    <row r="117303" spans="1:15" s="210" customFormat="1" x14ac:dyDescent="0.3">
      <c r="A117303" s="12"/>
      <c r="B117303" s="15"/>
      <c r="C117303" s="15"/>
      <c r="D117303" s="12"/>
      <c r="E117303" s="12"/>
      <c r="F117303" s="13"/>
      <c r="G117303" s="12"/>
      <c r="H117303" s="12"/>
      <c r="I117303" s="12"/>
      <c r="J117303" s="12"/>
      <c r="K117303" s="12"/>
      <c r="L117303" s="208"/>
      <c r="M117303" s="209"/>
      <c r="N117303" s="209"/>
      <c r="O117303" s="209"/>
    </row>
    <row r="117304" spans="1:15" s="210" customFormat="1" x14ac:dyDescent="0.3">
      <c r="A117304" s="12"/>
      <c r="B117304" s="15"/>
      <c r="C117304" s="15"/>
      <c r="D117304" s="12"/>
      <c r="E117304" s="12"/>
      <c r="F117304" s="13"/>
      <c r="G117304" s="12"/>
      <c r="H117304" s="12"/>
      <c r="I117304" s="12"/>
      <c r="J117304" s="12"/>
      <c r="K117304" s="12"/>
      <c r="L117304" s="208"/>
      <c r="M117304" s="209"/>
      <c r="N117304" s="209"/>
      <c r="O117304" s="209"/>
    </row>
    <row r="117305" spans="1:15" s="210" customFormat="1" x14ac:dyDescent="0.3">
      <c r="A117305" s="12"/>
      <c r="B117305" s="15"/>
      <c r="C117305" s="15"/>
      <c r="D117305" s="12"/>
      <c r="E117305" s="12"/>
      <c r="F117305" s="13"/>
      <c r="G117305" s="12"/>
      <c r="H117305" s="12"/>
      <c r="I117305" s="12"/>
      <c r="J117305" s="12"/>
      <c r="K117305" s="12"/>
      <c r="L117305" s="208"/>
      <c r="M117305" s="209"/>
      <c r="N117305" s="209"/>
      <c r="O117305" s="209"/>
    </row>
    <row r="117306" spans="1:15" s="210" customFormat="1" x14ac:dyDescent="0.3">
      <c r="A117306" s="12"/>
      <c r="B117306" s="15"/>
      <c r="C117306" s="15"/>
      <c r="D117306" s="12"/>
      <c r="E117306" s="12"/>
      <c r="F117306" s="13"/>
      <c r="G117306" s="12"/>
      <c r="H117306" s="12"/>
      <c r="I117306" s="12"/>
      <c r="J117306" s="12"/>
      <c r="K117306" s="12"/>
      <c r="L117306" s="208"/>
      <c r="M117306" s="209"/>
      <c r="N117306" s="209"/>
      <c r="O117306" s="209"/>
    </row>
    <row r="117307" spans="1:15" s="210" customFormat="1" x14ac:dyDescent="0.3">
      <c r="A117307" s="12"/>
      <c r="B117307" s="15"/>
      <c r="C117307" s="15"/>
      <c r="D117307" s="12"/>
      <c r="E117307" s="12"/>
      <c r="F117307" s="13"/>
      <c r="G117307" s="12"/>
      <c r="H117307" s="12"/>
      <c r="I117307" s="12"/>
      <c r="J117307" s="12"/>
      <c r="K117307" s="12"/>
      <c r="L117307" s="208"/>
      <c r="M117307" s="209"/>
      <c r="N117307" s="209"/>
      <c r="O117307" s="209"/>
    </row>
    <row r="117308" spans="1:15" s="210" customFormat="1" x14ac:dyDescent="0.3">
      <c r="A117308" s="12"/>
      <c r="B117308" s="15"/>
      <c r="C117308" s="15"/>
      <c r="D117308" s="12"/>
      <c r="E117308" s="12"/>
      <c r="F117308" s="13"/>
      <c r="G117308" s="12"/>
      <c r="H117308" s="12"/>
      <c r="I117308" s="12"/>
      <c r="J117308" s="12"/>
      <c r="K117308" s="12"/>
      <c r="L117308" s="208"/>
      <c r="M117308" s="209"/>
      <c r="N117308" s="209"/>
      <c r="O117308" s="209"/>
    </row>
    <row r="117309" spans="1:15" s="210" customFormat="1" x14ac:dyDescent="0.3">
      <c r="A117309" s="12"/>
      <c r="B117309" s="15"/>
      <c r="C117309" s="15"/>
      <c r="D117309" s="12"/>
      <c r="E117309" s="12"/>
      <c r="F117309" s="13"/>
      <c r="G117309" s="12"/>
      <c r="H117309" s="12"/>
      <c r="I117309" s="12"/>
      <c r="J117309" s="12"/>
      <c r="K117309" s="12"/>
      <c r="L117309" s="208"/>
      <c r="M117309" s="209"/>
      <c r="N117309" s="209"/>
      <c r="O117309" s="209"/>
    </row>
    <row r="117310" spans="1:15" s="210" customFormat="1" x14ac:dyDescent="0.3">
      <c r="A117310" s="12"/>
      <c r="B117310" s="15"/>
      <c r="C117310" s="15"/>
      <c r="D117310" s="12"/>
      <c r="E117310" s="12"/>
      <c r="F117310" s="13"/>
      <c r="G117310" s="12"/>
      <c r="H117310" s="12"/>
      <c r="I117310" s="12"/>
      <c r="J117310" s="12"/>
      <c r="K117310" s="12"/>
      <c r="L117310" s="208"/>
      <c r="M117310" s="209"/>
      <c r="N117310" s="209"/>
      <c r="O117310" s="209"/>
    </row>
    <row r="117311" spans="1:15" s="210" customFormat="1" x14ac:dyDescent="0.3">
      <c r="A117311" s="12"/>
      <c r="B117311" s="15"/>
      <c r="C117311" s="15"/>
      <c r="D117311" s="12"/>
      <c r="E117311" s="12"/>
      <c r="F117311" s="13"/>
      <c r="G117311" s="12"/>
      <c r="H117311" s="12"/>
      <c r="I117311" s="12"/>
      <c r="J117311" s="12"/>
      <c r="K117311" s="12"/>
      <c r="L117311" s="208"/>
      <c r="M117311" s="209"/>
      <c r="N117311" s="209"/>
      <c r="O117311" s="209"/>
    </row>
    <row r="117312" spans="1:15" s="210" customFormat="1" x14ac:dyDescent="0.3">
      <c r="A117312" s="12"/>
      <c r="B117312" s="15"/>
      <c r="C117312" s="15"/>
      <c r="D117312" s="12"/>
      <c r="E117312" s="12"/>
      <c r="F117312" s="13"/>
      <c r="G117312" s="12"/>
      <c r="H117312" s="12"/>
      <c r="I117312" s="12"/>
      <c r="J117312" s="12"/>
      <c r="K117312" s="12"/>
      <c r="L117312" s="208"/>
      <c r="M117312" s="209"/>
      <c r="N117312" s="209"/>
      <c r="O117312" s="209"/>
    </row>
    <row r="117313" spans="1:15" s="210" customFormat="1" x14ac:dyDescent="0.3">
      <c r="A117313" s="12"/>
      <c r="B117313" s="15"/>
      <c r="C117313" s="15"/>
      <c r="D117313" s="12"/>
      <c r="E117313" s="12"/>
      <c r="F117313" s="13"/>
      <c r="G117313" s="12"/>
      <c r="H117313" s="12"/>
      <c r="I117313" s="12"/>
      <c r="J117313" s="12"/>
      <c r="K117313" s="12"/>
      <c r="L117313" s="208"/>
      <c r="M117313" s="209"/>
      <c r="N117313" s="209"/>
      <c r="O117313" s="209"/>
    </row>
    <row r="117314" spans="1:15" s="210" customFormat="1" x14ac:dyDescent="0.3">
      <c r="A117314" s="12"/>
      <c r="B117314" s="15"/>
      <c r="C117314" s="15"/>
      <c r="D117314" s="12"/>
      <c r="E117314" s="12"/>
      <c r="F117314" s="13"/>
      <c r="G117314" s="12"/>
      <c r="H117314" s="12"/>
      <c r="I117314" s="12"/>
      <c r="J117314" s="12"/>
      <c r="K117314" s="12"/>
      <c r="L117314" s="208"/>
      <c r="M117314" s="209"/>
      <c r="N117314" s="209"/>
      <c r="O117314" s="209"/>
    </row>
    <row r="117315" spans="1:15" s="210" customFormat="1" x14ac:dyDescent="0.3">
      <c r="A117315" s="12"/>
      <c r="B117315" s="15"/>
      <c r="C117315" s="15"/>
      <c r="D117315" s="12"/>
      <c r="E117315" s="12"/>
      <c r="F117315" s="13"/>
      <c r="G117315" s="12"/>
      <c r="H117315" s="12"/>
      <c r="I117315" s="12"/>
      <c r="J117315" s="12"/>
      <c r="K117315" s="12"/>
      <c r="L117315" s="208"/>
      <c r="M117315" s="209"/>
      <c r="N117315" s="209"/>
      <c r="O117315" s="209"/>
    </row>
    <row r="117316" spans="1:15" s="210" customFormat="1" x14ac:dyDescent="0.3">
      <c r="A117316" s="12"/>
      <c r="B117316" s="15"/>
      <c r="C117316" s="15"/>
      <c r="D117316" s="12"/>
      <c r="E117316" s="12"/>
      <c r="F117316" s="13"/>
      <c r="G117316" s="12"/>
      <c r="H117316" s="12"/>
      <c r="I117316" s="12"/>
      <c r="J117316" s="12"/>
      <c r="K117316" s="12"/>
      <c r="L117316" s="208"/>
      <c r="M117316" s="209"/>
      <c r="N117316" s="209"/>
      <c r="O117316" s="209"/>
    </row>
    <row r="117317" spans="1:15" s="210" customFormat="1" x14ac:dyDescent="0.3">
      <c r="A117317" s="12"/>
      <c r="B117317" s="15"/>
      <c r="C117317" s="15"/>
      <c r="D117317" s="12"/>
      <c r="E117317" s="12"/>
      <c r="F117317" s="13"/>
      <c r="G117317" s="12"/>
      <c r="H117317" s="12"/>
      <c r="I117317" s="12"/>
      <c r="J117317" s="12"/>
      <c r="K117317" s="12"/>
      <c r="L117317" s="208"/>
      <c r="M117317" s="209"/>
      <c r="N117317" s="209"/>
      <c r="O117317" s="209"/>
    </row>
    <row r="117318" spans="1:15" s="210" customFormat="1" x14ac:dyDescent="0.3">
      <c r="A117318" s="12"/>
      <c r="B117318" s="15"/>
      <c r="C117318" s="15"/>
      <c r="D117318" s="12"/>
      <c r="E117318" s="12"/>
      <c r="F117318" s="13"/>
      <c r="G117318" s="12"/>
      <c r="H117318" s="12"/>
      <c r="I117318" s="12"/>
      <c r="J117318" s="12"/>
      <c r="K117318" s="12"/>
      <c r="L117318" s="208"/>
      <c r="M117318" s="209"/>
      <c r="N117318" s="209"/>
      <c r="O117318" s="209"/>
    </row>
    <row r="117319" spans="1:15" s="210" customFormat="1" x14ac:dyDescent="0.3">
      <c r="A117319" s="12"/>
      <c r="B117319" s="15"/>
      <c r="C117319" s="15"/>
      <c r="D117319" s="12"/>
      <c r="E117319" s="12"/>
      <c r="F117319" s="13"/>
      <c r="G117319" s="12"/>
      <c r="H117319" s="12"/>
      <c r="I117319" s="12"/>
      <c r="J117319" s="12"/>
      <c r="K117319" s="12"/>
      <c r="L117319" s="208"/>
      <c r="M117319" s="209"/>
      <c r="N117319" s="209"/>
      <c r="O117319" s="209"/>
    </row>
    <row r="117320" spans="1:15" s="210" customFormat="1" x14ac:dyDescent="0.3">
      <c r="A117320" s="12"/>
      <c r="B117320" s="15"/>
      <c r="C117320" s="15"/>
      <c r="D117320" s="12"/>
      <c r="E117320" s="12"/>
      <c r="F117320" s="13"/>
      <c r="G117320" s="12"/>
      <c r="H117320" s="12"/>
      <c r="I117320" s="12"/>
      <c r="J117320" s="12"/>
      <c r="K117320" s="12"/>
      <c r="L117320" s="208"/>
      <c r="M117320" s="209"/>
      <c r="N117320" s="209"/>
      <c r="O117320" s="209"/>
    </row>
    <row r="117321" spans="1:15" s="210" customFormat="1" x14ac:dyDescent="0.3">
      <c r="A117321" s="12"/>
      <c r="B117321" s="15"/>
      <c r="C117321" s="15"/>
      <c r="D117321" s="12"/>
      <c r="E117321" s="12"/>
      <c r="F117321" s="13"/>
      <c r="G117321" s="12"/>
      <c r="H117321" s="12"/>
      <c r="I117321" s="12"/>
      <c r="J117321" s="12"/>
      <c r="K117321" s="12"/>
      <c r="L117321" s="208"/>
      <c r="M117321" s="209"/>
      <c r="N117321" s="209"/>
      <c r="O117321" s="209"/>
    </row>
    <row r="117322" spans="1:15" s="210" customFormat="1" x14ac:dyDescent="0.3">
      <c r="A117322" s="12"/>
      <c r="B117322" s="15"/>
      <c r="C117322" s="15"/>
      <c r="D117322" s="12"/>
      <c r="E117322" s="12"/>
      <c r="F117322" s="13"/>
      <c r="G117322" s="12"/>
      <c r="H117322" s="12"/>
      <c r="I117322" s="12"/>
      <c r="J117322" s="12"/>
      <c r="K117322" s="12"/>
      <c r="L117322" s="208"/>
      <c r="M117322" s="209"/>
      <c r="N117322" s="209"/>
      <c r="O117322" s="209"/>
    </row>
    <row r="117323" spans="1:15" s="210" customFormat="1" x14ac:dyDescent="0.3">
      <c r="A117323" s="12"/>
      <c r="B117323" s="15"/>
      <c r="C117323" s="15"/>
      <c r="D117323" s="12"/>
      <c r="E117323" s="12"/>
      <c r="F117323" s="13"/>
      <c r="G117323" s="12"/>
      <c r="H117323" s="12"/>
      <c r="I117323" s="12"/>
      <c r="J117323" s="12"/>
      <c r="K117323" s="12"/>
      <c r="L117323" s="208"/>
      <c r="M117323" s="209"/>
      <c r="N117323" s="209"/>
      <c r="O117323" s="209"/>
    </row>
    <row r="117324" spans="1:15" s="210" customFormat="1" x14ac:dyDescent="0.3">
      <c r="A117324" s="12"/>
      <c r="B117324" s="15"/>
      <c r="C117324" s="15"/>
      <c r="D117324" s="12"/>
      <c r="E117324" s="12"/>
      <c r="F117324" s="13"/>
      <c r="G117324" s="12"/>
      <c r="H117324" s="12"/>
      <c r="I117324" s="12"/>
      <c r="J117324" s="12"/>
      <c r="K117324" s="12"/>
      <c r="L117324" s="208"/>
      <c r="M117324" s="209"/>
      <c r="N117324" s="209"/>
      <c r="O117324" s="209"/>
    </row>
    <row r="117325" spans="1:15" s="210" customFormat="1" x14ac:dyDescent="0.3">
      <c r="A117325" s="12"/>
      <c r="B117325" s="15"/>
      <c r="C117325" s="15"/>
      <c r="D117325" s="12"/>
      <c r="E117325" s="12"/>
      <c r="F117325" s="13"/>
      <c r="G117325" s="12"/>
      <c r="H117325" s="12"/>
      <c r="I117325" s="12"/>
      <c r="J117325" s="12"/>
      <c r="K117325" s="12"/>
      <c r="L117325" s="208"/>
      <c r="M117325" s="209"/>
      <c r="N117325" s="209"/>
      <c r="O117325" s="209"/>
    </row>
    <row r="117326" spans="1:15" s="210" customFormat="1" x14ac:dyDescent="0.3">
      <c r="A117326" s="12"/>
      <c r="B117326" s="15"/>
      <c r="C117326" s="15"/>
      <c r="D117326" s="12"/>
      <c r="E117326" s="12"/>
      <c r="F117326" s="13"/>
      <c r="G117326" s="12"/>
      <c r="H117326" s="12"/>
      <c r="I117326" s="12"/>
      <c r="J117326" s="12"/>
      <c r="K117326" s="12"/>
      <c r="L117326" s="208"/>
      <c r="M117326" s="209"/>
      <c r="N117326" s="209"/>
      <c r="O117326" s="209"/>
    </row>
    <row r="117327" spans="1:15" s="210" customFormat="1" x14ac:dyDescent="0.3">
      <c r="A117327" s="12"/>
      <c r="B117327" s="15"/>
      <c r="C117327" s="15"/>
      <c r="D117327" s="12"/>
      <c r="E117327" s="12"/>
      <c r="F117327" s="13"/>
      <c r="G117327" s="12"/>
      <c r="H117327" s="12"/>
      <c r="I117327" s="12"/>
      <c r="J117327" s="12"/>
      <c r="K117327" s="12"/>
      <c r="L117327" s="208"/>
      <c r="M117327" s="209"/>
      <c r="N117327" s="209"/>
      <c r="O117327" s="209"/>
    </row>
    <row r="117328" spans="1:15" s="210" customFormat="1" x14ac:dyDescent="0.3">
      <c r="A117328" s="12"/>
      <c r="B117328" s="15"/>
      <c r="C117328" s="15"/>
      <c r="D117328" s="12"/>
      <c r="E117328" s="12"/>
      <c r="F117328" s="13"/>
      <c r="G117328" s="12"/>
      <c r="H117328" s="12"/>
      <c r="I117328" s="12"/>
      <c r="J117328" s="12"/>
      <c r="K117328" s="12"/>
      <c r="L117328" s="208"/>
      <c r="M117328" s="209"/>
      <c r="N117328" s="209"/>
      <c r="O117328" s="209"/>
    </row>
    <row r="117329" spans="1:15" s="210" customFormat="1" x14ac:dyDescent="0.3">
      <c r="A117329" s="12"/>
      <c r="B117329" s="15"/>
      <c r="C117329" s="15"/>
      <c r="D117329" s="12"/>
      <c r="E117329" s="12"/>
      <c r="F117329" s="13"/>
      <c r="G117329" s="12"/>
      <c r="H117329" s="12"/>
      <c r="I117329" s="12"/>
      <c r="J117329" s="12"/>
      <c r="K117329" s="12"/>
      <c r="L117329" s="208"/>
      <c r="M117329" s="209"/>
      <c r="N117329" s="209"/>
      <c r="O117329" s="209"/>
    </row>
    <row r="117330" spans="1:15" s="210" customFormat="1" x14ac:dyDescent="0.3">
      <c r="A117330" s="12"/>
      <c r="B117330" s="15"/>
      <c r="C117330" s="15"/>
      <c r="D117330" s="12"/>
      <c r="E117330" s="12"/>
      <c r="F117330" s="13"/>
      <c r="G117330" s="12"/>
      <c r="H117330" s="12"/>
      <c r="I117330" s="12"/>
      <c r="J117330" s="12"/>
      <c r="K117330" s="12"/>
      <c r="L117330" s="208"/>
      <c r="M117330" s="209"/>
      <c r="N117330" s="209"/>
      <c r="O117330" s="209"/>
    </row>
    <row r="117331" spans="1:15" s="210" customFormat="1" x14ac:dyDescent="0.3">
      <c r="A117331" s="12"/>
      <c r="B117331" s="15"/>
      <c r="C117331" s="15"/>
      <c r="D117331" s="12"/>
      <c r="E117331" s="12"/>
      <c r="F117331" s="13"/>
      <c r="G117331" s="12"/>
      <c r="H117331" s="12"/>
      <c r="I117331" s="12"/>
      <c r="J117331" s="12"/>
      <c r="K117331" s="12"/>
      <c r="L117331" s="208"/>
      <c r="M117331" s="209"/>
      <c r="N117331" s="209"/>
      <c r="O117331" s="209"/>
    </row>
    <row r="117332" spans="1:15" s="210" customFormat="1" x14ac:dyDescent="0.3">
      <c r="A117332" s="12"/>
      <c r="B117332" s="15"/>
      <c r="C117332" s="15"/>
      <c r="D117332" s="12"/>
      <c r="E117332" s="12"/>
      <c r="F117332" s="13"/>
      <c r="G117332" s="12"/>
      <c r="H117332" s="12"/>
      <c r="I117332" s="12"/>
      <c r="J117332" s="12"/>
      <c r="K117332" s="12"/>
      <c r="L117332" s="208"/>
      <c r="M117332" s="209"/>
      <c r="N117332" s="209"/>
      <c r="O117332" s="209"/>
    </row>
    <row r="117333" spans="1:15" s="210" customFormat="1" x14ac:dyDescent="0.3">
      <c r="A117333" s="12"/>
      <c r="B117333" s="15"/>
      <c r="C117333" s="15"/>
      <c r="D117333" s="12"/>
      <c r="E117333" s="12"/>
      <c r="F117333" s="13"/>
      <c r="G117333" s="12"/>
      <c r="H117333" s="12"/>
      <c r="I117333" s="12"/>
      <c r="J117333" s="12"/>
      <c r="K117333" s="12"/>
      <c r="L117333" s="208"/>
      <c r="M117333" s="209"/>
      <c r="N117333" s="209"/>
      <c r="O117333" s="209"/>
    </row>
    <row r="117334" spans="1:15" s="210" customFormat="1" x14ac:dyDescent="0.3">
      <c r="A117334" s="12"/>
      <c r="B117334" s="15"/>
      <c r="C117334" s="15"/>
      <c r="D117334" s="12"/>
      <c r="E117334" s="12"/>
      <c r="F117334" s="13"/>
      <c r="G117334" s="12"/>
      <c r="H117334" s="12"/>
      <c r="I117334" s="12"/>
      <c r="J117334" s="12"/>
      <c r="K117334" s="12"/>
      <c r="L117334" s="208"/>
      <c r="M117334" s="209"/>
      <c r="N117334" s="209"/>
      <c r="O117334" s="209"/>
    </row>
    <row r="117335" spans="1:15" s="210" customFormat="1" x14ac:dyDescent="0.3">
      <c r="A117335" s="12"/>
      <c r="B117335" s="15"/>
      <c r="C117335" s="15"/>
      <c r="D117335" s="12"/>
      <c r="E117335" s="12"/>
      <c r="F117335" s="13"/>
      <c r="G117335" s="12"/>
      <c r="H117335" s="12"/>
      <c r="I117335" s="12"/>
      <c r="J117335" s="12"/>
      <c r="K117335" s="12"/>
      <c r="L117335" s="208"/>
      <c r="M117335" s="209"/>
      <c r="N117335" s="209"/>
      <c r="O117335" s="209"/>
    </row>
    <row r="117336" spans="1:15" s="210" customFormat="1" x14ac:dyDescent="0.3">
      <c r="A117336" s="12"/>
      <c r="B117336" s="15"/>
      <c r="C117336" s="15"/>
      <c r="D117336" s="12"/>
      <c r="E117336" s="12"/>
      <c r="F117336" s="13"/>
      <c r="G117336" s="12"/>
      <c r="H117336" s="12"/>
      <c r="I117336" s="12"/>
      <c r="J117336" s="12"/>
      <c r="K117336" s="12"/>
      <c r="L117336" s="208"/>
      <c r="M117336" s="209"/>
      <c r="N117336" s="209"/>
      <c r="O117336" s="209"/>
    </row>
    <row r="117337" spans="1:15" s="210" customFormat="1" x14ac:dyDescent="0.3">
      <c r="A117337" s="12"/>
      <c r="B117337" s="15"/>
      <c r="C117337" s="15"/>
      <c r="D117337" s="12"/>
      <c r="E117337" s="12"/>
      <c r="F117337" s="13"/>
      <c r="G117337" s="12"/>
      <c r="H117337" s="12"/>
      <c r="I117337" s="12"/>
      <c r="J117337" s="12"/>
      <c r="K117337" s="12"/>
      <c r="L117337" s="208"/>
      <c r="M117337" s="209"/>
      <c r="N117337" s="209"/>
      <c r="O117337" s="209"/>
    </row>
    <row r="117338" spans="1:15" s="210" customFormat="1" x14ac:dyDescent="0.3">
      <c r="A117338" s="12"/>
      <c r="B117338" s="15"/>
      <c r="C117338" s="15"/>
      <c r="D117338" s="12"/>
      <c r="E117338" s="12"/>
      <c r="F117338" s="13"/>
      <c r="G117338" s="12"/>
      <c r="H117338" s="12"/>
      <c r="I117338" s="12"/>
      <c r="J117338" s="12"/>
      <c r="K117338" s="12"/>
      <c r="L117338" s="208"/>
      <c r="M117338" s="209"/>
      <c r="N117338" s="209"/>
      <c r="O117338" s="209"/>
    </row>
    <row r="117339" spans="1:15" s="210" customFormat="1" x14ac:dyDescent="0.3">
      <c r="A117339" s="12"/>
      <c r="B117339" s="15"/>
      <c r="C117339" s="15"/>
      <c r="D117339" s="12"/>
      <c r="E117339" s="12"/>
      <c r="F117339" s="13"/>
      <c r="G117339" s="12"/>
      <c r="H117339" s="12"/>
      <c r="I117339" s="12"/>
      <c r="J117339" s="12"/>
      <c r="K117339" s="12"/>
      <c r="L117339" s="208"/>
      <c r="M117339" s="209"/>
      <c r="N117339" s="209"/>
      <c r="O117339" s="209"/>
    </row>
    <row r="117340" spans="1:15" s="210" customFormat="1" x14ac:dyDescent="0.3">
      <c r="A117340" s="12"/>
      <c r="B117340" s="15"/>
      <c r="C117340" s="15"/>
      <c r="D117340" s="12"/>
      <c r="E117340" s="12"/>
      <c r="F117340" s="13"/>
      <c r="G117340" s="12"/>
      <c r="H117340" s="12"/>
      <c r="I117340" s="12"/>
      <c r="J117340" s="12"/>
      <c r="K117340" s="12"/>
      <c r="L117340" s="208"/>
      <c r="M117340" s="209"/>
      <c r="N117340" s="209"/>
      <c r="O117340" s="209"/>
    </row>
    <row r="117341" spans="1:15" s="210" customFormat="1" x14ac:dyDescent="0.3">
      <c r="A117341" s="12"/>
      <c r="B117341" s="15"/>
      <c r="C117341" s="15"/>
      <c r="D117341" s="12"/>
      <c r="E117341" s="12"/>
      <c r="F117341" s="13"/>
      <c r="G117341" s="12"/>
      <c r="H117341" s="12"/>
      <c r="I117341" s="12"/>
      <c r="J117341" s="12"/>
      <c r="K117341" s="12"/>
      <c r="L117341" s="208"/>
      <c r="M117341" s="209"/>
      <c r="N117341" s="209"/>
      <c r="O117341" s="209"/>
    </row>
    <row r="117342" spans="1:15" s="210" customFormat="1" x14ac:dyDescent="0.3">
      <c r="A117342" s="12"/>
      <c r="B117342" s="15"/>
      <c r="C117342" s="15"/>
      <c r="D117342" s="12"/>
      <c r="E117342" s="12"/>
      <c r="F117342" s="13"/>
      <c r="G117342" s="12"/>
      <c r="H117342" s="12"/>
      <c r="I117342" s="12"/>
      <c r="J117342" s="12"/>
      <c r="K117342" s="12"/>
      <c r="L117342" s="208"/>
      <c r="M117342" s="209"/>
      <c r="N117342" s="209"/>
      <c r="O117342" s="209"/>
    </row>
    <row r="117343" spans="1:15" s="210" customFormat="1" x14ac:dyDescent="0.3">
      <c r="A117343" s="12"/>
      <c r="B117343" s="15"/>
      <c r="C117343" s="15"/>
      <c r="D117343" s="12"/>
      <c r="E117343" s="12"/>
      <c r="F117343" s="13"/>
      <c r="G117343" s="12"/>
      <c r="H117343" s="12"/>
      <c r="I117343" s="12"/>
      <c r="J117343" s="12"/>
      <c r="K117343" s="12"/>
      <c r="L117343" s="208"/>
      <c r="M117343" s="209"/>
      <c r="N117343" s="209"/>
      <c r="O117343" s="209"/>
    </row>
    <row r="117344" spans="1:15" s="210" customFormat="1" x14ac:dyDescent="0.3">
      <c r="A117344" s="12"/>
      <c r="B117344" s="15"/>
      <c r="C117344" s="15"/>
      <c r="D117344" s="12"/>
      <c r="E117344" s="12"/>
      <c r="F117344" s="13"/>
      <c r="G117344" s="12"/>
      <c r="H117344" s="12"/>
      <c r="I117344" s="12"/>
      <c r="J117344" s="12"/>
      <c r="K117344" s="12"/>
      <c r="L117344" s="208"/>
      <c r="M117344" s="209"/>
      <c r="N117344" s="209"/>
      <c r="O117344" s="209"/>
    </row>
    <row r="117345" spans="1:15" s="210" customFormat="1" x14ac:dyDescent="0.3">
      <c r="A117345" s="12"/>
      <c r="B117345" s="15"/>
      <c r="C117345" s="15"/>
      <c r="D117345" s="12"/>
      <c r="E117345" s="12"/>
      <c r="F117345" s="13"/>
      <c r="G117345" s="12"/>
      <c r="H117345" s="12"/>
      <c r="I117345" s="12"/>
      <c r="J117345" s="12"/>
      <c r="K117345" s="12"/>
      <c r="L117345" s="208"/>
      <c r="M117345" s="209"/>
      <c r="N117345" s="209"/>
      <c r="O117345" s="209"/>
    </row>
    <row r="117346" spans="1:15" s="210" customFormat="1" x14ac:dyDescent="0.3">
      <c r="A117346" s="12"/>
      <c r="B117346" s="15"/>
      <c r="C117346" s="15"/>
      <c r="D117346" s="12"/>
      <c r="E117346" s="12"/>
      <c r="F117346" s="13"/>
      <c r="G117346" s="12"/>
      <c r="H117346" s="12"/>
      <c r="I117346" s="12"/>
      <c r="J117346" s="12"/>
      <c r="K117346" s="12"/>
      <c r="L117346" s="208"/>
      <c r="M117346" s="209"/>
      <c r="N117346" s="209"/>
      <c r="O117346" s="209"/>
    </row>
    <row r="117347" spans="1:15" s="210" customFormat="1" x14ac:dyDescent="0.3">
      <c r="A117347" s="12"/>
      <c r="B117347" s="15"/>
      <c r="C117347" s="15"/>
      <c r="D117347" s="12"/>
      <c r="E117347" s="12"/>
      <c r="F117347" s="13"/>
      <c r="G117347" s="12"/>
      <c r="H117347" s="12"/>
      <c r="I117347" s="12"/>
      <c r="J117347" s="12"/>
      <c r="K117347" s="12"/>
      <c r="L117347" s="208"/>
      <c r="M117347" s="209"/>
      <c r="N117347" s="209"/>
      <c r="O117347" s="209"/>
    </row>
    <row r="117348" spans="1:15" s="210" customFormat="1" x14ac:dyDescent="0.3">
      <c r="A117348" s="12"/>
      <c r="B117348" s="15"/>
      <c r="C117348" s="15"/>
      <c r="D117348" s="12"/>
      <c r="E117348" s="12"/>
      <c r="F117348" s="13"/>
      <c r="G117348" s="12"/>
      <c r="H117348" s="12"/>
      <c r="I117348" s="12"/>
      <c r="J117348" s="12"/>
      <c r="K117348" s="12"/>
      <c r="L117348" s="208"/>
      <c r="M117348" s="209"/>
      <c r="N117348" s="209"/>
      <c r="O117348" s="209"/>
    </row>
    <row r="117349" spans="1:15" s="210" customFormat="1" x14ac:dyDescent="0.3">
      <c r="A117349" s="12"/>
      <c r="B117349" s="15"/>
      <c r="C117349" s="15"/>
      <c r="D117349" s="12"/>
      <c r="E117349" s="12"/>
      <c r="F117349" s="13"/>
      <c r="G117349" s="12"/>
      <c r="H117349" s="12"/>
      <c r="I117349" s="12"/>
      <c r="J117349" s="12"/>
      <c r="K117349" s="12"/>
      <c r="L117349" s="208"/>
      <c r="M117349" s="209"/>
      <c r="N117349" s="209"/>
      <c r="O117349" s="209"/>
    </row>
    <row r="117350" spans="1:15" s="210" customFormat="1" x14ac:dyDescent="0.3">
      <c r="A117350" s="12"/>
      <c r="B117350" s="15"/>
      <c r="C117350" s="15"/>
      <c r="D117350" s="12"/>
      <c r="E117350" s="12"/>
      <c r="F117350" s="13"/>
      <c r="G117350" s="12"/>
      <c r="H117350" s="12"/>
      <c r="I117350" s="12"/>
      <c r="J117350" s="12"/>
      <c r="K117350" s="12"/>
      <c r="L117350" s="208"/>
      <c r="M117350" s="209"/>
      <c r="N117350" s="209"/>
      <c r="O117350" s="209"/>
    </row>
    <row r="117351" spans="1:15" s="210" customFormat="1" x14ac:dyDescent="0.3">
      <c r="A117351" s="12"/>
      <c r="B117351" s="15"/>
      <c r="C117351" s="15"/>
      <c r="D117351" s="12"/>
      <c r="E117351" s="12"/>
      <c r="F117351" s="13"/>
      <c r="G117351" s="12"/>
      <c r="H117351" s="12"/>
      <c r="I117351" s="12"/>
      <c r="J117351" s="12"/>
      <c r="K117351" s="12"/>
      <c r="L117351" s="208"/>
      <c r="M117351" s="209"/>
      <c r="N117351" s="209"/>
      <c r="O117351" s="209"/>
    </row>
    <row r="117352" spans="1:15" s="210" customFormat="1" x14ac:dyDescent="0.3">
      <c r="A117352" s="12"/>
      <c r="B117352" s="15"/>
      <c r="C117352" s="15"/>
      <c r="D117352" s="12"/>
      <c r="E117352" s="12"/>
      <c r="F117352" s="13"/>
      <c r="G117352" s="12"/>
      <c r="H117352" s="12"/>
      <c r="I117352" s="12"/>
      <c r="J117352" s="12"/>
      <c r="K117352" s="12"/>
      <c r="L117352" s="208"/>
      <c r="M117352" s="209"/>
      <c r="N117352" s="209"/>
      <c r="O117352" s="209"/>
    </row>
    <row r="117353" spans="1:15" s="210" customFormat="1" x14ac:dyDescent="0.3">
      <c r="A117353" s="12"/>
      <c r="B117353" s="15"/>
      <c r="C117353" s="15"/>
      <c r="D117353" s="12"/>
      <c r="E117353" s="12"/>
      <c r="F117353" s="13"/>
      <c r="G117353" s="12"/>
      <c r="H117353" s="12"/>
      <c r="I117353" s="12"/>
      <c r="J117353" s="12"/>
      <c r="K117353" s="12"/>
      <c r="L117353" s="208"/>
      <c r="M117353" s="209"/>
      <c r="N117353" s="209"/>
      <c r="O117353" s="209"/>
    </row>
    <row r="117354" spans="1:15" s="210" customFormat="1" x14ac:dyDescent="0.3">
      <c r="A117354" s="12"/>
      <c r="B117354" s="15"/>
      <c r="C117354" s="15"/>
      <c r="D117354" s="12"/>
      <c r="E117354" s="12"/>
      <c r="F117354" s="13"/>
      <c r="G117354" s="12"/>
      <c r="H117354" s="12"/>
      <c r="I117354" s="12"/>
      <c r="J117354" s="12"/>
      <c r="K117354" s="12"/>
      <c r="L117354" s="208"/>
      <c r="M117354" s="209"/>
      <c r="N117354" s="209"/>
      <c r="O117354" s="209"/>
    </row>
    <row r="117355" spans="1:15" s="210" customFormat="1" x14ac:dyDescent="0.3">
      <c r="A117355" s="12"/>
      <c r="B117355" s="15"/>
      <c r="C117355" s="15"/>
      <c r="D117355" s="12"/>
      <c r="E117355" s="12"/>
      <c r="F117355" s="13"/>
      <c r="G117355" s="12"/>
      <c r="H117355" s="12"/>
      <c r="I117355" s="12"/>
      <c r="J117355" s="12"/>
      <c r="K117355" s="12"/>
      <c r="L117355" s="208"/>
      <c r="M117355" s="209"/>
      <c r="N117355" s="209"/>
      <c r="O117355" s="209"/>
    </row>
    <row r="117356" spans="1:15" s="210" customFormat="1" x14ac:dyDescent="0.3">
      <c r="A117356" s="12"/>
      <c r="B117356" s="15"/>
      <c r="C117356" s="15"/>
      <c r="D117356" s="12"/>
      <c r="E117356" s="12"/>
      <c r="F117356" s="13"/>
      <c r="G117356" s="12"/>
      <c r="H117356" s="12"/>
      <c r="I117356" s="12"/>
      <c r="J117356" s="12"/>
      <c r="K117356" s="12"/>
      <c r="L117356" s="208"/>
      <c r="M117356" s="209"/>
      <c r="N117356" s="209"/>
      <c r="O117356" s="209"/>
    </row>
    <row r="117357" spans="1:15" s="210" customFormat="1" x14ac:dyDescent="0.3">
      <c r="A117357" s="12"/>
      <c r="B117357" s="15"/>
      <c r="C117357" s="15"/>
      <c r="D117357" s="12"/>
      <c r="E117357" s="12"/>
      <c r="F117357" s="13"/>
      <c r="G117357" s="12"/>
      <c r="H117357" s="12"/>
      <c r="I117357" s="12"/>
      <c r="J117357" s="12"/>
      <c r="K117357" s="12"/>
      <c r="L117357" s="208"/>
      <c r="M117357" s="209"/>
      <c r="N117357" s="209"/>
      <c r="O117357" s="209"/>
    </row>
    <row r="117358" spans="1:15" s="210" customFormat="1" x14ac:dyDescent="0.3">
      <c r="A117358" s="12"/>
      <c r="B117358" s="15"/>
      <c r="C117358" s="15"/>
      <c r="D117358" s="12"/>
      <c r="E117358" s="12"/>
      <c r="F117358" s="13"/>
      <c r="G117358" s="12"/>
      <c r="H117358" s="12"/>
      <c r="I117358" s="12"/>
      <c r="J117358" s="12"/>
      <c r="K117358" s="12"/>
      <c r="L117358" s="208"/>
      <c r="M117358" s="209"/>
      <c r="N117358" s="209"/>
      <c r="O117358" s="209"/>
    </row>
    <row r="117359" spans="1:15" s="210" customFormat="1" x14ac:dyDescent="0.3">
      <c r="A117359" s="12"/>
      <c r="B117359" s="15"/>
      <c r="C117359" s="15"/>
      <c r="D117359" s="12"/>
      <c r="E117359" s="12"/>
      <c r="F117359" s="13"/>
      <c r="G117359" s="12"/>
      <c r="H117359" s="12"/>
      <c r="I117359" s="12"/>
      <c r="J117359" s="12"/>
      <c r="K117359" s="12"/>
      <c r="L117359" s="208"/>
      <c r="M117359" s="209"/>
      <c r="N117359" s="209"/>
      <c r="O117359" s="209"/>
    </row>
    <row r="117360" spans="1:15" s="210" customFormat="1" x14ac:dyDescent="0.3">
      <c r="A117360" s="12"/>
      <c r="B117360" s="15"/>
      <c r="C117360" s="15"/>
      <c r="D117360" s="12"/>
      <c r="E117360" s="12"/>
      <c r="F117360" s="13"/>
      <c r="G117360" s="12"/>
      <c r="H117360" s="12"/>
      <c r="I117360" s="12"/>
      <c r="J117360" s="12"/>
      <c r="K117360" s="12"/>
      <c r="L117360" s="208"/>
      <c r="M117360" s="209"/>
      <c r="N117360" s="209"/>
      <c r="O117360" s="209"/>
    </row>
    <row r="117361" spans="1:15" s="210" customFormat="1" x14ac:dyDescent="0.3">
      <c r="A117361" s="12"/>
      <c r="B117361" s="15"/>
      <c r="C117361" s="15"/>
      <c r="D117361" s="12"/>
      <c r="E117361" s="12"/>
      <c r="F117361" s="13"/>
      <c r="G117361" s="12"/>
      <c r="H117361" s="12"/>
      <c r="I117361" s="12"/>
      <c r="J117361" s="12"/>
      <c r="K117361" s="12"/>
      <c r="L117361" s="208"/>
      <c r="M117361" s="209"/>
      <c r="N117361" s="209"/>
      <c r="O117361" s="209"/>
    </row>
    <row r="117362" spans="1:15" s="210" customFormat="1" x14ac:dyDescent="0.3">
      <c r="A117362" s="12"/>
      <c r="B117362" s="15"/>
      <c r="C117362" s="15"/>
      <c r="D117362" s="12"/>
      <c r="E117362" s="12"/>
      <c r="F117362" s="13"/>
      <c r="G117362" s="12"/>
      <c r="H117362" s="12"/>
      <c r="I117362" s="12"/>
      <c r="J117362" s="12"/>
      <c r="K117362" s="12"/>
      <c r="L117362" s="208"/>
      <c r="M117362" s="209"/>
      <c r="N117362" s="209"/>
      <c r="O117362" s="209"/>
    </row>
    <row r="117363" spans="1:15" s="210" customFormat="1" x14ac:dyDescent="0.3">
      <c r="A117363" s="12"/>
      <c r="B117363" s="15"/>
      <c r="C117363" s="15"/>
      <c r="D117363" s="12"/>
      <c r="E117363" s="12"/>
      <c r="F117363" s="13"/>
      <c r="G117363" s="12"/>
      <c r="H117363" s="12"/>
      <c r="I117363" s="12"/>
      <c r="J117363" s="12"/>
      <c r="K117363" s="12"/>
      <c r="L117363" s="208"/>
      <c r="M117363" s="209"/>
      <c r="N117363" s="209"/>
      <c r="O117363" s="209"/>
    </row>
    <row r="117364" spans="1:15" s="210" customFormat="1" x14ac:dyDescent="0.3">
      <c r="A117364" s="12"/>
      <c r="B117364" s="15"/>
      <c r="C117364" s="15"/>
      <c r="D117364" s="12"/>
      <c r="E117364" s="12"/>
      <c r="F117364" s="13"/>
      <c r="G117364" s="12"/>
      <c r="H117364" s="12"/>
      <c r="I117364" s="12"/>
      <c r="J117364" s="12"/>
      <c r="K117364" s="12"/>
      <c r="L117364" s="208"/>
      <c r="M117364" s="209"/>
      <c r="N117364" s="209"/>
      <c r="O117364" s="209"/>
    </row>
    <row r="117365" spans="1:15" s="210" customFormat="1" x14ac:dyDescent="0.3">
      <c r="A117365" s="12"/>
      <c r="B117365" s="15"/>
      <c r="C117365" s="15"/>
      <c r="D117365" s="12"/>
      <c r="E117365" s="12"/>
      <c r="F117365" s="13"/>
      <c r="G117365" s="12"/>
      <c r="H117365" s="12"/>
      <c r="I117365" s="12"/>
      <c r="J117365" s="12"/>
      <c r="K117365" s="12"/>
      <c r="L117365" s="208"/>
      <c r="M117365" s="209"/>
      <c r="N117365" s="209"/>
      <c r="O117365" s="209"/>
    </row>
    <row r="117366" spans="1:15" s="210" customFormat="1" x14ac:dyDescent="0.3">
      <c r="A117366" s="12"/>
      <c r="B117366" s="15"/>
      <c r="C117366" s="15"/>
      <c r="D117366" s="12"/>
      <c r="E117366" s="12"/>
      <c r="F117366" s="13"/>
      <c r="G117366" s="12"/>
      <c r="H117366" s="12"/>
      <c r="I117366" s="12"/>
      <c r="J117366" s="12"/>
      <c r="K117366" s="12"/>
      <c r="L117366" s="208"/>
      <c r="M117366" s="209"/>
      <c r="N117366" s="209"/>
      <c r="O117366" s="209"/>
    </row>
    <row r="117367" spans="1:15" s="210" customFormat="1" x14ac:dyDescent="0.3">
      <c r="A117367" s="12"/>
      <c r="B117367" s="15"/>
      <c r="C117367" s="15"/>
      <c r="D117367" s="12"/>
      <c r="E117367" s="12"/>
      <c r="F117367" s="13"/>
      <c r="G117367" s="12"/>
      <c r="H117367" s="12"/>
      <c r="I117367" s="12"/>
      <c r="J117367" s="12"/>
      <c r="K117367" s="12"/>
      <c r="L117367" s="208"/>
      <c r="M117367" s="209"/>
      <c r="N117367" s="209"/>
      <c r="O117367" s="209"/>
    </row>
    <row r="117368" spans="1:15" s="210" customFormat="1" x14ac:dyDescent="0.3">
      <c r="A117368" s="12"/>
      <c r="B117368" s="15"/>
      <c r="C117368" s="15"/>
      <c r="D117368" s="12"/>
      <c r="E117368" s="12"/>
      <c r="F117368" s="13"/>
      <c r="G117368" s="12"/>
      <c r="H117368" s="12"/>
      <c r="I117368" s="12"/>
      <c r="J117368" s="12"/>
      <c r="K117368" s="12"/>
      <c r="L117368" s="208"/>
      <c r="M117368" s="209"/>
      <c r="N117368" s="209"/>
      <c r="O117368" s="209"/>
    </row>
    <row r="117369" spans="1:15" s="210" customFormat="1" x14ac:dyDescent="0.3">
      <c r="A117369" s="12"/>
      <c r="B117369" s="15"/>
      <c r="C117369" s="15"/>
      <c r="D117369" s="12"/>
      <c r="E117369" s="12"/>
      <c r="F117369" s="13"/>
      <c r="G117369" s="12"/>
      <c r="H117369" s="12"/>
      <c r="I117369" s="12"/>
      <c r="J117369" s="12"/>
      <c r="K117369" s="12"/>
      <c r="L117369" s="208"/>
      <c r="M117369" s="209"/>
      <c r="N117369" s="209"/>
      <c r="O117369" s="209"/>
    </row>
    <row r="117370" spans="1:15" s="210" customFormat="1" x14ac:dyDescent="0.3">
      <c r="A117370" s="12"/>
      <c r="B117370" s="15"/>
      <c r="C117370" s="15"/>
      <c r="D117370" s="12"/>
      <c r="E117370" s="12"/>
      <c r="F117370" s="13"/>
      <c r="G117370" s="12"/>
      <c r="H117370" s="12"/>
      <c r="I117370" s="12"/>
      <c r="J117370" s="12"/>
      <c r="K117370" s="12"/>
      <c r="L117370" s="208"/>
      <c r="M117370" s="209"/>
      <c r="N117370" s="209"/>
      <c r="O117370" s="209"/>
    </row>
    <row r="117371" spans="1:15" s="210" customFormat="1" x14ac:dyDescent="0.3">
      <c r="A117371" s="12"/>
      <c r="B117371" s="15"/>
      <c r="C117371" s="15"/>
      <c r="D117371" s="12"/>
      <c r="E117371" s="12"/>
      <c r="F117371" s="13"/>
      <c r="G117371" s="12"/>
      <c r="H117371" s="12"/>
      <c r="I117371" s="12"/>
      <c r="J117371" s="12"/>
      <c r="K117371" s="12"/>
      <c r="L117371" s="208"/>
      <c r="M117371" s="209"/>
      <c r="N117371" s="209"/>
      <c r="O117371" s="209"/>
    </row>
    <row r="117372" spans="1:15" s="210" customFormat="1" x14ac:dyDescent="0.3">
      <c r="A117372" s="12"/>
      <c r="B117372" s="15"/>
      <c r="C117372" s="15"/>
      <c r="D117372" s="12"/>
      <c r="E117372" s="12"/>
      <c r="F117372" s="13"/>
      <c r="G117372" s="12"/>
      <c r="H117372" s="12"/>
      <c r="I117372" s="12"/>
      <c r="J117372" s="12"/>
      <c r="K117372" s="12"/>
      <c r="L117372" s="208"/>
      <c r="M117372" s="209"/>
      <c r="N117372" s="209"/>
      <c r="O117372" s="209"/>
    </row>
    <row r="117373" spans="1:15" s="210" customFormat="1" x14ac:dyDescent="0.3">
      <c r="A117373" s="12"/>
      <c r="B117373" s="15"/>
      <c r="C117373" s="15"/>
      <c r="D117373" s="12"/>
      <c r="E117373" s="12"/>
      <c r="F117373" s="13"/>
      <c r="G117373" s="12"/>
      <c r="H117373" s="12"/>
      <c r="I117373" s="12"/>
      <c r="J117373" s="12"/>
      <c r="K117373" s="12"/>
      <c r="L117373" s="208"/>
      <c r="M117373" s="209"/>
      <c r="N117373" s="209"/>
      <c r="O117373" s="209"/>
    </row>
    <row r="117374" spans="1:15" s="210" customFormat="1" x14ac:dyDescent="0.3">
      <c r="A117374" s="12"/>
      <c r="B117374" s="15"/>
      <c r="C117374" s="15"/>
      <c r="D117374" s="12"/>
      <c r="E117374" s="12"/>
      <c r="F117374" s="13"/>
      <c r="G117374" s="12"/>
      <c r="H117374" s="12"/>
      <c r="I117374" s="12"/>
      <c r="J117374" s="12"/>
      <c r="K117374" s="12"/>
      <c r="L117374" s="208"/>
      <c r="M117374" s="209"/>
      <c r="N117374" s="209"/>
      <c r="O117374" s="209"/>
    </row>
    <row r="117375" spans="1:15" s="210" customFormat="1" x14ac:dyDescent="0.3">
      <c r="A117375" s="12"/>
      <c r="B117375" s="15"/>
      <c r="C117375" s="15"/>
      <c r="D117375" s="12"/>
      <c r="E117375" s="12"/>
      <c r="F117375" s="13"/>
      <c r="G117375" s="12"/>
      <c r="H117375" s="12"/>
      <c r="I117375" s="12"/>
      <c r="J117375" s="12"/>
      <c r="K117375" s="12"/>
      <c r="L117375" s="208"/>
      <c r="M117375" s="209"/>
      <c r="N117375" s="209"/>
      <c r="O117375" s="209"/>
    </row>
    <row r="117376" spans="1:15" s="210" customFormat="1" x14ac:dyDescent="0.3">
      <c r="A117376" s="12"/>
      <c r="B117376" s="15"/>
      <c r="C117376" s="15"/>
      <c r="D117376" s="12"/>
      <c r="E117376" s="12"/>
      <c r="F117376" s="13"/>
      <c r="G117376" s="12"/>
      <c r="H117376" s="12"/>
      <c r="I117376" s="12"/>
      <c r="J117376" s="12"/>
      <c r="K117376" s="12"/>
      <c r="L117376" s="208"/>
      <c r="M117376" s="209"/>
      <c r="N117376" s="209"/>
      <c r="O117376" s="209"/>
    </row>
    <row r="117377" spans="1:15" s="210" customFormat="1" x14ac:dyDescent="0.3">
      <c r="A117377" s="12"/>
      <c r="B117377" s="15"/>
      <c r="C117377" s="15"/>
      <c r="D117377" s="12"/>
      <c r="E117377" s="12"/>
      <c r="F117377" s="13"/>
      <c r="G117377" s="12"/>
      <c r="H117377" s="12"/>
      <c r="I117377" s="12"/>
      <c r="J117377" s="12"/>
      <c r="K117377" s="12"/>
      <c r="L117377" s="208"/>
      <c r="M117377" s="209"/>
      <c r="N117377" s="209"/>
      <c r="O117377" s="209"/>
    </row>
    <row r="117378" spans="1:15" s="210" customFormat="1" x14ac:dyDescent="0.3">
      <c r="A117378" s="12"/>
      <c r="B117378" s="15"/>
      <c r="C117378" s="15"/>
      <c r="D117378" s="12"/>
      <c r="E117378" s="12"/>
      <c r="F117378" s="13"/>
      <c r="G117378" s="12"/>
      <c r="H117378" s="12"/>
      <c r="I117378" s="12"/>
      <c r="J117378" s="12"/>
      <c r="K117378" s="12"/>
      <c r="L117378" s="208"/>
      <c r="M117378" s="209"/>
      <c r="N117378" s="209"/>
      <c r="O117378" s="209"/>
    </row>
    <row r="117379" spans="1:15" s="210" customFormat="1" x14ac:dyDescent="0.3">
      <c r="A117379" s="12"/>
      <c r="B117379" s="15"/>
      <c r="C117379" s="15"/>
      <c r="D117379" s="12"/>
      <c r="E117379" s="12"/>
      <c r="F117379" s="13"/>
      <c r="G117379" s="12"/>
      <c r="H117379" s="12"/>
      <c r="I117379" s="12"/>
      <c r="J117379" s="12"/>
      <c r="K117379" s="12"/>
      <c r="L117379" s="208"/>
      <c r="M117379" s="209"/>
      <c r="N117379" s="209"/>
      <c r="O117379" s="209"/>
    </row>
    <row r="117380" spans="1:15" s="210" customFormat="1" x14ac:dyDescent="0.3">
      <c r="A117380" s="12"/>
      <c r="B117380" s="15"/>
      <c r="C117380" s="15"/>
      <c r="D117380" s="12"/>
      <c r="E117380" s="12"/>
      <c r="F117380" s="13"/>
      <c r="G117380" s="12"/>
      <c r="H117380" s="12"/>
      <c r="I117380" s="12"/>
      <c r="J117380" s="12"/>
      <c r="K117380" s="12"/>
      <c r="L117380" s="208"/>
      <c r="M117380" s="209"/>
      <c r="N117380" s="209"/>
      <c r="O117380" s="209"/>
    </row>
    <row r="117381" spans="1:15" s="210" customFormat="1" x14ac:dyDescent="0.3">
      <c r="A117381" s="12"/>
      <c r="B117381" s="15"/>
      <c r="C117381" s="15"/>
      <c r="D117381" s="12"/>
      <c r="E117381" s="12"/>
      <c r="F117381" s="13"/>
      <c r="G117381" s="12"/>
      <c r="H117381" s="12"/>
      <c r="I117381" s="12"/>
      <c r="J117381" s="12"/>
      <c r="K117381" s="12"/>
      <c r="L117381" s="208"/>
      <c r="M117381" s="209"/>
      <c r="N117381" s="209"/>
      <c r="O117381" s="209"/>
    </row>
    <row r="117382" spans="1:15" s="210" customFormat="1" x14ac:dyDescent="0.3">
      <c r="A117382" s="12"/>
      <c r="B117382" s="15"/>
      <c r="C117382" s="15"/>
      <c r="D117382" s="12"/>
      <c r="E117382" s="12"/>
      <c r="F117382" s="13"/>
      <c r="G117382" s="12"/>
      <c r="H117382" s="12"/>
      <c r="I117382" s="12"/>
      <c r="J117382" s="12"/>
      <c r="K117382" s="12"/>
      <c r="L117382" s="208"/>
      <c r="M117382" s="209"/>
      <c r="N117382" s="209"/>
      <c r="O117382" s="209"/>
    </row>
    <row r="117383" spans="1:15" s="210" customFormat="1" x14ac:dyDescent="0.3">
      <c r="A117383" s="12"/>
      <c r="B117383" s="15"/>
      <c r="C117383" s="15"/>
      <c r="D117383" s="12"/>
      <c r="E117383" s="12"/>
      <c r="F117383" s="13"/>
      <c r="G117383" s="12"/>
      <c r="H117383" s="12"/>
      <c r="I117383" s="12"/>
      <c r="J117383" s="12"/>
      <c r="K117383" s="12"/>
      <c r="L117383" s="208"/>
      <c r="M117383" s="209"/>
      <c r="N117383" s="209"/>
      <c r="O117383" s="209"/>
    </row>
    <row r="117384" spans="1:15" s="210" customFormat="1" x14ac:dyDescent="0.3">
      <c r="A117384" s="12"/>
      <c r="B117384" s="15"/>
      <c r="C117384" s="15"/>
      <c r="D117384" s="12"/>
      <c r="E117384" s="12"/>
      <c r="F117384" s="13"/>
      <c r="G117384" s="12"/>
      <c r="H117384" s="12"/>
      <c r="I117384" s="12"/>
      <c r="J117384" s="12"/>
      <c r="K117384" s="12"/>
      <c r="L117384" s="208"/>
      <c r="M117384" s="209"/>
      <c r="N117384" s="209"/>
      <c r="O117384" s="209"/>
    </row>
    <row r="117385" spans="1:15" s="210" customFormat="1" x14ac:dyDescent="0.3">
      <c r="A117385" s="12"/>
      <c r="B117385" s="15"/>
      <c r="C117385" s="15"/>
      <c r="D117385" s="12"/>
      <c r="E117385" s="12"/>
      <c r="F117385" s="13"/>
      <c r="G117385" s="12"/>
      <c r="H117385" s="12"/>
      <c r="I117385" s="12"/>
      <c r="J117385" s="12"/>
      <c r="K117385" s="12"/>
      <c r="L117385" s="208"/>
      <c r="M117385" s="209"/>
      <c r="N117385" s="209"/>
      <c r="O117385" s="209"/>
    </row>
    <row r="117386" spans="1:15" s="210" customFormat="1" x14ac:dyDescent="0.3">
      <c r="A117386" s="12"/>
      <c r="B117386" s="15"/>
      <c r="C117386" s="15"/>
      <c r="D117386" s="12"/>
      <c r="E117386" s="12"/>
      <c r="F117386" s="13"/>
      <c r="G117386" s="12"/>
      <c r="H117386" s="12"/>
      <c r="I117386" s="12"/>
      <c r="J117386" s="12"/>
      <c r="K117386" s="12"/>
      <c r="L117386" s="208"/>
      <c r="M117386" s="209"/>
      <c r="N117386" s="209"/>
      <c r="O117386" s="209"/>
    </row>
    <row r="117387" spans="1:15" s="210" customFormat="1" x14ac:dyDescent="0.3">
      <c r="A117387" s="12"/>
      <c r="B117387" s="15"/>
      <c r="C117387" s="15"/>
      <c r="D117387" s="12"/>
      <c r="E117387" s="12"/>
      <c r="F117387" s="13"/>
      <c r="G117387" s="12"/>
      <c r="H117387" s="12"/>
      <c r="I117387" s="12"/>
      <c r="J117387" s="12"/>
      <c r="K117387" s="12"/>
      <c r="L117387" s="208"/>
      <c r="M117387" s="209"/>
      <c r="N117387" s="209"/>
      <c r="O117387" s="209"/>
    </row>
    <row r="117388" spans="1:15" s="210" customFormat="1" x14ac:dyDescent="0.3">
      <c r="A117388" s="12"/>
      <c r="B117388" s="15"/>
      <c r="C117388" s="15"/>
      <c r="D117388" s="12"/>
      <c r="E117388" s="12"/>
      <c r="F117388" s="13"/>
      <c r="G117388" s="12"/>
      <c r="H117388" s="12"/>
      <c r="I117388" s="12"/>
      <c r="J117388" s="12"/>
      <c r="K117388" s="12"/>
      <c r="L117388" s="208"/>
      <c r="M117388" s="209"/>
      <c r="N117388" s="209"/>
      <c r="O117388" s="209"/>
    </row>
    <row r="117389" spans="1:15" s="210" customFormat="1" x14ac:dyDescent="0.3">
      <c r="A117389" s="12"/>
      <c r="B117389" s="15"/>
      <c r="C117389" s="15"/>
      <c r="D117389" s="12"/>
      <c r="E117389" s="12"/>
      <c r="F117389" s="13"/>
      <c r="G117389" s="12"/>
      <c r="H117389" s="12"/>
      <c r="I117389" s="12"/>
      <c r="J117389" s="12"/>
      <c r="K117389" s="12"/>
      <c r="L117389" s="208"/>
      <c r="M117389" s="209"/>
      <c r="N117389" s="209"/>
      <c r="O117389" s="209"/>
    </row>
    <row r="117390" spans="1:15" s="210" customFormat="1" x14ac:dyDescent="0.3">
      <c r="A117390" s="12"/>
      <c r="B117390" s="15"/>
      <c r="C117390" s="15"/>
      <c r="D117390" s="12"/>
      <c r="E117390" s="12"/>
      <c r="F117390" s="13"/>
      <c r="G117390" s="12"/>
      <c r="H117390" s="12"/>
      <c r="I117390" s="12"/>
      <c r="J117390" s="12"/>
      <c r="K117390" s="12"/>
      <c r="L117390" s="208"/>
      <c r="M117390" s="209"/>
      <c r="N117390" s="209"/>
      <c r="O117390" s="209"/>
    </row>
    <row r="117391" spans="1:15" s="210" customFormat="1" x14ac:dyDescent="0.3">
      <c r="A117391" s="12"/>
      <c r="B117391" s="15"/>
      <c r="C117391" s="15"/>
      <c r="D117391" s="12"/>
      <c r="E117391" s="12"/>
      <c r="F117391" s="13"/>
      <c r="G117391" s="12"/>
      <c r="H117391" s="12"/>
      <c r="I117391" s="12"/>
      <c r="J117391" s="12"/>
      <c r="K117391" s="12"/>
      <c r="L117391" s="208"/>
      <c r="M117391" s="209"/>
      <c r="N117391" s="209"/>
      <c r="O117391" s="209"/>
    </row>
    <row r="117392" spans="1:15" s="210" customFormat="1" x14ac:dyDescent="0.3">
      <c r="A117392" s="12"/>
      <c r="B117392" s="15"/>
      <c r="C117392" s="15"/>
      <c r="D117392" s="12"/>
      <c r="E117392" s="12"/>
      <c r="F117392" s="13"/>
      <c r="G117392" s="12"/>
      <c r="H117392" s="12"/>
      <c r="I117392" s="12"/>
      <c r="J117392" s="12"/>
      <c r="K117392" s="12"/>
      <c r="L117392" s="208"/>
      <c r="M117392" s="209"/>
      <c r="N117392" s="209"/>
      <c r="O117392" s="209"/>
    </row>
    <row r="117393" spans="1:15" s="210" customFormat="1" x14ac:dyDescent="0.3">
      <c r="A117393" s="12"/>
      <c r="B117393" s="15"/>
      <c r="C117393" s="15"/>
      <c r="D117393" s="12"/>
      <c r="E117393" s="12"/>
      <c r="F117393" s="13"/>
      <c r="G117393" s="12"/>
      <c r="H117393" s="12"/>
      <c r="I117393" s="12"/>
      <c r="J117393" s="12"/>
      <c r="K117393" s="12"/>
      <c r="L117393" s="208"/>
      <c r="M117393" s="209"/>
      <c r="N117393" s="209"/>
      <c r="O117393" s="209"/>
    </row>
    <row r="117394" spans="1:15" s="210" customFormat="1" x14ac:dyDescent="0.3">
      <c r="A117394" s="12"/>
      <c r="B117394" s="15"/>
      <c r="C117394" s="15"/>
      <c r="D117394" s="12"/>
      <c r="E117394" s="12"/>
      <c r="F117394" s="13"/>
      <c r="G117394" s="12"/>
      <c r="H117394" s="12"/>
      <c r="I117394" s="12"/>
      <c r="J117394" s="12"/>
      <c r="K117394" s="12"/>
      <c r="L117394" s="208"/>
      <c r="M117394" s="209"/>
      <c r="N117394" s="209"/>
      <c r="O117394" s="209"/>
    </row>
    <row r="117395" spans="1:15" s="210" customFormat="1" x14ac:dyDescent="0.3">
      <c r="A117395" s="12"/>
      <c r="B117395" s="15"/>
      <c r="C117395" s="15"/>
      <c r="D117395" s="12"/>
      <c r="E117395" s="12"/>
      <c r="F117395" s="13"/>
      <c r="G117395" s="12"/>
      <c r="H117395" s="12"/>
      <c r="I117395" s="12"/>
      <c r="J117395" s="12"/>
      <c r="K117395" s="12"/>
      <c r="L117395" s="208"/>
      <c r="M117395" s="209"/>
      <c r="N117395" s="209"/>
      <c r="O117395" s="209"/>
    </row>
    <row r="117396" spans="1:15" s="210" customFormat="1" x14ac:dyDescent="0.3">
      <c r="A117396" s="12"/>
      <c r="B117396" s="15"/>
      <c r="C117396" s="15"/>
      <c r="D117396" s="12"/>
      <c r="E117396" s="12"/>
      <c r="F117396" s="13"/>
      <c r="G117396" s="12"/>
      <c r="H117396" s="12"/>
      <c r="I117396" s="12"/>
      <c r="J117396" s="12"/>
      <c r="K117396" s="12"/>
      <c r="L117396" s="208"/>
      <c r="M117396" s="209"/>
      <c r="N117396" s="209"/>
      <c r="O117396" s="209"/>
    </row>
    <row r="117397" spans="1:15" s="210" customFormat="1" x14ac:dyDescent="0.3">
      <c r="A117397" s="12"/>
      <c r="B117397" s="15"/>
      <c r="C117397" s="15"/>
      <c r="D117397" s="12"/>
      <c r="E117397" s="12"/>
      <c r="F117397" s="13"/>
      <c r="G117397" s="12"/>
      <c r="H117397" s="12"/>
      <c r="I117397" s="12"/>
      <c r="J117397" s="12"/>
      <c r="K117397" s="12"/>
      <c r="L117397" s="208"/>
      <c r="M117397" s="209"/>
      <c r="N117397" s="209"/>
      <c r="O117397" s="209"/>
    </row>
    <row r="117398" spans="1:15" s="210" customFormat="1" x14ac:dyDescent="0.3">
      <c r="A117398" s="12"/>
      <c r="B117398" s="15"/>
      <c r="C117398" s="15"/>
      <c r="D117398" s="12"/>
      <c r="E117398" s="12"/>
      <c r="F117398" s="13"/>
      <c r="G117398" s="12"/>
      <c r="H117398" s="12"/>
      <c r="I117398" s="12"/>
      <c r="J117398" s="12"/>
      <c r="K117398" s="12"/>
      <c r="L117398" s="208"/>
      <c r="M117398" s="209"/>
      <c r="N117398" s="209"/>
      <c r="O117398" s="209"/>
    </row>
    <row r="117399" spans="1:15" s="210" customFormat="1" x14ac:dyDescent="0.3">
      <c r="A117399" s="12"/>
      <c r="B117399" s="15"/>
      <c r="C117399" s="15"/>
      <c r="D117399" s="12"/>
      <c r="E117399" s="12"/>
      <c r="F117399" s="13"/>
      <c r="G117399" s="12"/>
      <c r="H117399" s="12"/>
      <c r="I117399" s="12"/>
      <c r="J117399" s="12"/>
      <c r="K117399" s="12"/>
      <c r="L117399" s="208"/>
      <c r="M117399" s="209"/>
      <c r="N117399" s="209"/>
      <c r="O117399" s="209"/>
    </row>
    <row r="117400" spans="1:15" s="210" customFormat="1" x14ac:dyDescent="0.3">
      <c r="A117400" s="12"/>
      <c r="B117400" s="15"/>
      <c r="C117400" s="15"/>
      <c r="D117400" s="12"/>
      <c r="E117400" s="12"/>
      <c r="F117400" s="13"/>
      <c r="G117400" s="12"/>
      <c r="H117400" s="12"/>
      <c r="I117400" s="12"/>
      <c r="J117400" s="12"/>
      <c r="K117400" s="12"/>
      <c r="L117400" s="208"/>
      <c r="M117400" s="209"/>
      <c r="N117400" s="209"/>
      <c r="O117400" s="209"/>
    </row>
    <row r="117401" spans="1:15" s="210" customFormat="1" x14ac:dyDescent="0.3">
      <c r="A117401" s="12"/>
      <c r="B117401" s="15"/>
      <c r="C117401" s="15"/>
      <c r="D117401" s="12"/>
      <c r="E117401" s="12"/>
      <c r="F117401" s="13"/>
      <c r="G117401" s="12"/>
      <c r="H117401" s="12"/>
      <c r="I117401" s="12"/>
      <c r="J117401" s="12"/>
      <c r="K117401" s="12"/>
      <c r="L117401" s="208"/>
      <c r="M117401" s="209"/>
      <c r="N117401" s="209"/>
      <c r="O117401" s="209"/>
    </row>
    <row r="117402" spans="1:15" s="210" customFormat="1" x14ac:dyDescent="0.3">
      <c r="A117402" s="12"/>
      <c r="B117402" s="15"/>
      <c r="C117402" s="15"/>
      <c r="D117402" s="12"/>
      <c r="E117402" s="12"/>
      <c r="F117402" s="13"/>
      <c r="G117402" s="12"/>
      <c r="H117402" s="12"/>
      <c r="I117402" s="12"/>
      <c r="J117402" s="12"/>
      <c r="K117402" s="12"/>
      <c r="L117402" s="208"/>
      <c r="M117402" s="209"/>
      <c r="N117402" s="209"/>
      <c r="O117402" s="209"/>
    </row>
    <row r="117403" spans="1:15" s="210" customFormat="1" x14ac:dyDescent="0.3">
      <c r="A117403" s="12"/>
      <c r="B117403" s="15"/>
      <c r="C117403" s="15"/>
      <c r="D117403" s="12"/>
      <c r="E117403" s="12"/>
      <c r="F117403" s="13"/>
      <c r="G117403" s="12"/>
      <c r="H117403" s="12"/>
      <c r="I117403" s="12"/>
      <c r="J117403" s="12"/>
      <c r="K117403" s="12"/>
      <c r="L117403" s="208"/>
      <c r="M117403" s="209"/>
      <c r="N117403" s="209"/>
      <c r="O117403" s="209"/>
    </row>
    <row r="117404" spans="1:15" s="210" customFormat="1" x14ac:dyDescent="0.3">
      <c r="A117404" s="12"/>
      <c r="B117404" s="15"/>
      <c r="C117404" s="15"/>
      <c r="D117404" s="12"/>
      <c r="E117404" s="12"/>
      <c r="F117404" s="13"/>
      <c r="G117404" s="12"/>
      <c r="H117404" s="12"/>
      <c r="I117404" s="12"/>
      <c r="J117404" s="12"/>
      <c r="K117404" s="12"/>
      <c r="L117404" s="208"/>
      <c r="M117404" s="209"/>
      <c r="N117404" s="209"/>
      <c r="O117404" s="209"/>
    </row>
    <row r="117405" spans="1:15" s="210" customFormat="1" x14ac:dyDescent="0.3">
      <c r="A117405" s="12"/>
      <c r="B117405" s="15"/>
      <c r="C117405" s="15"/>
      <c r="D117405" s="12"/>
      <c r="E117405" s="12"/>
      <c r="F117405" s="13"/>
      <c r="G117405" s="12"/>
      <c r="H117405" s="12"/>
      <c r="I117405" s="12"/>
      <c r="J117405" s="12"/>
      <c r="K117405" s="12"/>
      <c r="L117405" s="208"/>
      <c r="M117405" s="209"/>
      <c r="N117405" s="209"/>
      <c r="O117405" s="209"/>
    </row>
    <row r="117406" spans="1:15" s="210" customFormat="1" x14ac:dyDescent="0.3">
      <c r="A117406" s="12"/>
      <c r="B117406" s="15"/>
      <c r="C117406" s="15"/>
      <c r="D117406" s="12"/>
      <c r="E117406" s="12"/>
      <c r="F117406" s="13"/>
      <c r="G117406" s="12"/>
      <c r="H117406" s="12"/>
      <c r="I117406" s="12"/>
      <c r="J117406" s="12"/>
      <c r="K117406" s="12"/>
      <c r="L117406" s="208"/>
      <c r="M117406" s="209"/>
      <c r="N117406" s="209"/>
      <c r="O117406" s="209"/>
    </row>
    <row r="117407" spans="1:15" s="210" customFormat="1" x14ac:dyDescent="0.3">
      <c r="A117407" s="12"/>
      <c r="B117407" s="15"/>
      <c r="C117407" s="15"/>
      <c r="D117407" s="12"/>
      <c r="E117407" s="12"/>
      <c r="F117407" s="13"/>
      <c r="G117407" s="12"/>
      <c r="H117407" s="12"/>
      <c r="I117407" s="12"/>
      <c r="J117407" s="12"/>
      <c r="K117407" s="12"/>
      <c r="L117407" s="208"/>
      <c r="M117407" s="209"/>
      <c r="N117407" s="209"/>
      <c r="O117407" s="209"/>
    </row>
    <row r="117408" spans="1:15" s="210" customFormat="1" x14ac:dyDescent="0.3">
      <c r="A117408" s="12"/>
      <c r="B117408" s="15"/>
      <c r="C117408" s="15"/>
      <c r="D117408" s="12"/>
      <c r="E117408" s="12"/>
      <c r="F117408" s="13"/>
      <c r="G117408" s="12"/>
      <c r="H117408" s="12"/>
      <c r="I117408" s="12"/>
      <c r="J117408" s="12"/>
      <c r="K117408" s="12"/>
      <c r="L117408" s="208"/>
      <c r="M117408" s="209"/>
      <c r="N117408" s="209"/>
      <c r="O117408" s="209"/>
    </row>
    <row r="117409" spans="1:15" s="210" customFormat="1" x14ac:dyDescent="0.3">
      <c r="A117409" s="12"/>
      <c r="B117409" s="15"/>
      <c r="C117409" s="15"/>
      <c r="D117409" s="12"/>
      <c r="E117409" s="12"/>
      <c r="F117409" s="13"/>
      <c r="G117409" s="12"/>
      <c r="H117409" s="12"/>
      <c r="I117409" s="12"/>
      <c r="J117409" s="12"/>
      <c r="K117409" s="12"/>
      <c r="L117409" s="208"/>
      <c r="M117409" s="209"/>
      <c r="N117409" s="209"/>
      <c r="O117409" s="209"/>
    </row>
    <row r="117410" spans="1:15" s="210" customFormat="1" x14ac:dyDescent="0.3">
      <c r="A117410" s="12"/>
      <c r="B117410" s="15"/>
      <c r="C117410" s="15"/>
      <c r="D117410" s="12"/>
      <c r="E117410" s="12"/>
      <c r="F117410" s="13"/>
      <c r="G117410" s="12"/>
      <c r="H117410" s="12"/>
      <c r="I117410" s="12"/>
      <c r="J117410" s="12"/>
      <c r="K117410" s="12"/>
      <c r="L117410" s="208"/>
      <c r="M117410" s="209"/>
      <c r="N117410" s="209"/>
      <c r="O117410" s="209"/>
    </row>
    <row r="117411" spans="1:15" s="210" customFormat="1" x14ac:dyDescent="0.3">
      <c r="A117411" s="12"/>
      <c r="B117411" s="15"/>
      <c r="C117411" s="15"/>
      <c r="D117411" s="12"/>
      <c r="E117411" s="12"/>
      <c r="F117411" s="13"/>
      <c r="G117411" s="12"/>
      <c r="H117411" s="12"/>
      <c r="I117411" s="12"/>
      <c r="J117411" s="12"/>
      <c r="K117411" s="12"/>
      <c r="L117411" s="208"/>
      <c r="M117411" s="209"/>
      <c r="N117411" s="209"/>
      <c r="O117411" s="209"/>
    </row>
    <row r="117412" spans="1:15" s="210" customFormat="1" x14ac:dyDescent="0.3">
      <c r="A117412" s="12"/>
      <c r="B117412" s="15"/>
      <c r="C117412" s="15"/>
      <c r="D117412" s="12"/>
      <c r="E117412" s="12"/>
      <c r="F117412" s="13"/>
      <c r="G117412" s="12"/>
      <c r="H117412" s="12"/>
      <c r="I117412" s="12"/>
      <c r="J117412" s="12"/>
      <c r="K117412" s="12"/>
      <c r="L117412" s="208"/>
      <c r="M117412" s="209"/>
      <c r="N117412" s="209"/>
      <c r="O117412" s="209"/>
    </row>
    <row r="117413" spans="1:15" s="210" customFormat="1" x14ac:dyDescent="0.3">
      <c r="A117413" s="12"/>
      <c r="B117413" s="15"/>
      <c r="C117413" s="15"/>
      <c r="D117413" s="12"/>
      <c r="E117413" s="12"/>
      <c r="F117413" s="13"/>
      <c r="G117413" s="12"/>
      <c r="H117413" s="12"/>
      <c r="I117413" s="12"/>
      <c r="J117413" s="12"/>
      <c r="K117413" s="12"/>
      <c r="L117413" s="208"/>
      <c r="M117413" s="209"/>
      <c r="N117413" s="209"/>
      <c r="O117413" s="209"/>
    </row>
    <row r="117414" spans="1:15" s="210" customFormat="1" x14ac:dyDescent="0.3">
      <c r="A117414" s="12"/>
      <c r="B117414" s="15"/>
      <c r="C117414" s="15"/>
      <c r="D117414" s="12"/>
      <c r="E117414" s="12"/>
      <c r="F117414" s="13"/>
      <c r="G117414" s="12"/>
      <c r="H117414" s="12"/>
      <c r="I117414" s="12"/>
      <c r="J117414" s="12"/>
      <c r="K117414" s="12"/>
      <c r="L117414" s="208"/>
      <c r="M117414" s="209"/>
      <c r="N117414" s="209"/>
      <c r="O117414" s="209"/>
    </row>
    <row r="117415" spans="1:15" s="210" customFormat="1" x14ac:dyDescent="0.3">
      <c r="A117415" s="12"/>
      <c r="B117415" s="15"/>
      <c r="C117415" s="15"/>
      <c r="D117415" s="12"/>
      <c r="E117415" s="12"/>
      <c r="F117415" s="13"/>
      <c r="G117415" s="12"/>
      <c r="H117415" s="12"/>
      <c r="I117415" s="12"/>
      <c r="J117415" s="12"/>
      <c r="K117415" s="12"/>
      <c r="L117415" s="208"/>
      <c r="M117415" s="209"/>
      <c r="N117415" s="209"/>
      <c r="O117415" s="209"/>
    </row>
    <row r="117416" spans="1:15" s="210" customFormat="1" x14ac:dyDescent="0.3">
      <c r="A117416" s="12"/>
      <c r="B117416" s="15"/>
      <c r="C117416" s="15"/>
      <c r="D117416" s="12"/>
      <c r="E117416" s="12"/>
      <c r="F117416" s="13"/>
      <c r="G117416" s="12"/>
      <c r="H117416" s="12"/>
      <c r="I117416" s="12"/>
      <c r="J117416" s="12"/>
      <c r="K117416" s="12"/>
      <c r="L117416" s="208"/>
      <c r="M117416" s="209"/>
      <c r="N117416" s="209"/>
      <c r="O117416" s="209"/>
    </row>
    <row r="117417" spans="1:15" s="210" customFormat="1" x14ac:dyDescent="0.3">
      <c r="A117417" s="12"/>
      <c r="B117417" s="15"/>
      <c r="C117417" s="15"/>
      <c r="D117417" s="12"/>
      <c r="E117417" s="12"/>
      <c r="F117417" s="13"/>
      <c r="G117417" s="12"/>
      <c r="H117417" s="12"/>
      <c r="I117417" s="12"/>
      <c r="J117417" s="12"/>
      <c r="K117417" s="12"/>
      <c r="L117417" s="208"/>
      <c r="M117417" s="209"/>
      <c r="N117417" s="209"/>
      <c r="O117417" s="209"/>
    </row>
    <row r="117418" spans="1:15" s="210" customFormat="1" x14ac:dyDescent="0.3">
      <c r="A117418" s="12"/>
      <c r="B117418" s="15"/>
      <c r="C117418" s="15"/>
      <c r="D117418" s="12"/>
      <c r="E117418" s="12"/>
      <c r="F117418" s="13"/>
      <c r="G117418" s="12"/>
      <c r="H117418" s="12"/>
      <c r="I117418" s="12"/>
      <c r="J117418" s="12"/>
      <c r="K117418" s="12"/>
      <c r="L117418" s="208"/>
      <c r="M117418" s="209"/>
      <c r="N117418" s="209"/>
      <c r="O117418" s="209"/>
    </row>
    <row r="117419" spans="1:15" s="210" customFormat="1" x14ac:dyDescent="0.3">
      <c r="A117419" s="12"/>
      <c r="B117419" s="15"/>
      <c r="C117419" s="15"/>
      <c r="D117419" s="12"/>
      <c r="E117419" s="12"/>
      <c r="F117419" s="13"/>
      <c r="G117419" s="12"/>
      <c r="H117419" s="12"/>
      <c r="I117419" s="12"/>
      <c r="J117419" s="12"/>
      <c r="K117419" s="12"/>
      <c r="L117419" s="208"/>
      <c r="M117419" s="209"/>
      <c r="N117419" s="209"/>
      <c r="O117419" s="209"/>
    </row>
    <row r="117420" spans="1:15" s="210" customFormat="1" x14ac:dyDescent="0.3">
      <c r="A117420" s="12"/>
      <c r="B117420" s="15"/>
      <c r="C117420" s="15"/>
      <c r="D117420" s="12"/>
      <c r="E117420" s="12"/>
      <c r="F117420" s="13"/>
      <c r="G117420" s="12"/>
      <c r="H117420" s="12"/>
      <c r="I117420" s="12"/>
      <c r="J117420" s="12"/>
      <c r="K117420" s="12"/>
      <c r="L117420" s="208"/>
      <c r="M117420" s="209"/>
      <c r="N117420" s="209"/>
      <c r="O117420" s="209"/>
    </row>
    <row r="117421" spans="1:15" s="210" customFormat="1" x14ac:dyDescent="0.3">
      <c r="A117421" s="12"/>
      <c r="B117421" s="15"/>
      <c r="C117421" s="15"/>
      <c r="D117421" s="12"/>
      <c r="E117421" s="12"/>
      <c r="F117421" s="13"/>
      <c r="G117421" s="12"/>
      <c r="H117421" s="12"/>
      <c r="I117421" s="12"/>
      <c r="J117421" s="12"/>
      <c r="K117421" s="12"/>
      <c r="L117421" s="208"/>
      <c r="M117421" s="209"/>
      <c r="N117421" s="209"/>
      <c r="O117421" s="209"/>
    </row>
    <row r="117422" spans="1:15" s="210" customFormat="1" x14ac:dyDescent="0.3">
      <c r="A117422" s="12"/>
      <c r="B117422" s="15"/>
      <c r="C117422" s="15"/>
      <c r="D117422" s="12"/>
      <c r="E117422" s="12"/>
      <c r="F117422" s="13"/>
      <c r="G117422" s="12"/>
      <c r="H117422" s="12"/>
      <c r="I117422" s="12"/>
      <c r="J117422" s="12"/>
      <c r="K117422" s="12"/>
      <c r="L117422" s="208"/>
      <c r="M117422" s="209"/>
      <c r="N117422" s="209"/>
      <c r="O117422" s="209"/>
    </row>
    <row r="117423" spans="1:15" s="210" customFormat="1" x14ac:dyDescent="0.3">
      <c r="A117423" s="12"/>
      <c r="B117423" s="15"/>
      <c r="C117423" s="15"/>
      <c r="D117423" s="12"/>
      <c r="E117423" s="12"/>
      <c r="F117423" s="13"/>
      <c r="G117423" s="12"/>
      <c r="H117423" s="12"/>
      <c r="I117423" s="12"/>
      <c r="J117423" s="12"/>
      <c r="K117423" s="12"/>
      <c r="L117423" s="208"/>
      <c r="M117423" s="209"/>
      <c r="N117423" s="209"/>
      <c r="O117423" s="209"/>
    </row>
    <row r="117424" spans="1:15" s="210" customFormat="1" x14ac:dyDescent="0.3">
      <c r="A117424" s="12"/>
      <c r="B117424" s="15"/>
      <c r="C117424" s="15"/>
      <c r="D117424" s="12"/>
      <c r="E117424" s="12"/>
      <c r="F117424" s="13"/>
      <c r="G117424" s="12"/>
      <c r="H117424" s="12"/>
      <c r="I117424" s="12"/>
      <c r="J117424" s="12"/>
      <c r="K117424" s="12"/>
      <c r="L117424" s="208"/>
      <c r="M117424" s="209"/>
      <c r="N117424" s="209"/>
      <c r="O117424" s="209"/>
    </row>
    <row r="117425" spans="1:15" s="210" customFormat="1" x14ac:dyDescent="0.3">
      <c r="A117425" s="12"/>
      <c r="B117425" s="15"/>
      <c r="C117425" s="15"/>
      <c r="D117425" s="12"/>
      <c r="E117425" s="12"/>
      <c r="F117425" s="13"/>
      <c r="G117425" s="12"/>
      <c r="H117425" s="12"/>
      <c r="I117425" s="12"/>
      <c r="J117425" s="12"/>
      <c r="K117425" s="12"/>
      <c r="L117425" s="208"/>
      <c r="M117425" s="209"/>
      <c r="N117425" s="209"/>
      <c r="O117425" s="209"/>
    </row>
    <row r="117426" spans="1:15" s="210" customFormat="1" x14ac:dyDescent="0.3">
      <c r="A117426" s="12"/>
      <c r="B117426" s="15"/>
      <c r="C117426" s="15"/>
      <c r="D117426" s="12"/>
      <c r="E117426" s="12"/>
      <c r="F117426" s="13"/>
      <c r="G117426" s="12"/>
      <c r="H117426" s="12"/>
      <c r="I117426" s="12"/>
      <c r="J117426" s="12"/>
      <c r="K117426" s="12"/>
      <c r="L117426" s="208"/>
      <c r="M117426" s="209"/>
      <c r="N117426" s="209"/>
      <c r="O117426" s="209"/>
    </row>
    <row r="117427" spans="1:15" s="210" customFormat="1" x14ac:dyDescent="0.3">
      <c r="A117427" s="12"/>
      <c r="B117427" s="15"/>
      <c r="C117427" s="15"/>
      <c r="D117427" s="12"/>
      <c r="E117427" s="12"/>
      <c r="F117427" s="13"/>
      <c r="G117427" s="12"/>
      <c r="H117427" s="12"/>
      <c r="I117427" s="12"/>
      <c r="J117427" s="12"/>
      <c r="K117427" s="12"/>
      <c r="L117427" s="208"/>
      <c r="M117427" s="209"/>
      <c r="N117427" s="209"/>
      <c r="O117427" s="209"/>
    </row>
    <row r="117428" spans="1:15" s="210" customFormat="1" x14ac:dyDescent="0.3">
      <c r="A117428" s="12"/>
      <c r="B117428" s="15"/>
      <c r="C117428" s="15"/>
      <c r="D117428" s="12"/>
      <c r="E117428" s="12"/>
      <c r="F117428" s="13"/>
      <c r="G117428" s="12"/>
      <c r="H117428" s="12"/>
      <c r="I117428" s="12"/>
      <c r="J117428" s="12"/>
      <c r="K117428" s="12"/>
      <c r="L117428" s="208"/>
      <c r="M117428" s="209"/>
      <c r="N117428" s="209"/>
      <c r="O117428" s="209"/>
    </row>
    <row r="117429" spans="1:15" s="210" customFormat="1" x14ac:dyDescent="0.3">
      <c r="A117429" s="12"/>
      <c r="B117429" s="15"/>
      <c r="C117429" s="15"/>
      <c r="D117429" s="12"/>
      <c r="E117429" s="12"/>
      <c r="F117429" s="13"/>
      <c r="G117429" s="12"/>
      <c r="H117429" s="12"/>
      <c r="I117429" s="12"/>
      <c r="J117429" s="12"/>
      <c r="K117429" s="12"/>
      <c r="L117429" s="208"/>
      <c r="M117429" s="209"/>
      <c r="N117429" s="209"/>
      <c r="O117429" s="209"/>
    </row>
    <row r="117430" spans="1:15" s="210" customFormat="1" x14ac:dyDescent="0.3">
      <c r="A117430" s="12"/>
      <c r="B117430" s="15"/>
      <c r="C117430" s="15"/>
      <c r="D117430" s="12"/>
      <c r="E117430" s="12"/>
      <c r="F117430" s="13"/>
      <c r="G117430" s="12"/>
      <c r="H117430" s="12"/>
      <c r="I117430" s="12"/>
      <c r="J117430" s="12"/>
      <c r="K117430" s="12"/>
      <c r="L117430" s="208"/>
      <c r="M117430" s="209"/>
      <c r="N117430" s="209"/>
      <c r="O117430" s="209"/>
    </row>
    <row r="117431" spans="1:15" s="210" customFormat="1" x14ac:dyDescent="0.3">
      <c r="A117431" s="12"/>
      <c r="B117431" s="15"/>
      <c r="C117431" s="15"/>
      <c r="D117431" s="12"/>
      <c r="E117431" s="12"/>
      <c r="F117431" s="13"/>
      <c r="G117431" s="12"/>
      <c r="H117431" s="12"/>
      <c r="I117431" s="12"/>
      <c r="J117431" s="12"/>
      <c r="K117431" s="12"/>
      <c r="L117431" s="208"/>
      <c r="M117431" s="209"/>
      <c r="N117431" s="209"/>
      <c r="O117431" s="209"/>
    </row>
    <row r="117432" spans="1:15" s="210" customFormat="1" x14ac:dyDescent="0.3">
      <c r="A117432" s="12"/>
      <c r="B117432" s="15"/>
      <c r="C117432" s="15"/>
      <c r="D117432" s="12"/>
      <c r="E117432" s="12"/>
      <c r="F117432" s="13"/>
      <c r="G117432" s="12"/>
      <c r="H117432" s="12"/>
      <c r="I117432" s="12"/>
      <c r="J117432" s="12"/>
      <c r="K117432" s="12"/>
      <c r="L117432" s="208"/>
      <c r="M117432" s="209"/>
      <c r="N117432" s="209"/>
      <c r="O117432" s="209"/>
    </row>
    <row r="117433" spans="1:15" s="210" customFormat="1" x14ac:dyDescent="0.3">
      <c r="A117433" s="12"/>
      <c r="B117433" s="15"/>
      <c r="C117433" s="15"/>
      <c r="D117433" s="12"/>
      <c r="E117433" s="12"/>
      <c r="F117433" s="13"/>
      <c r="G117433" s="12"/>
      <c r="H117433" s="12"/>
      <c r="I117433" s="12"/>
      <c r="J117433" s="12"/>
      <c r="K117433" s="12"/>
      <c r="L117433" s="208"/>
      <c r="M117433" s="209"/>
      <c r="N117433" s="209"/>
      <c r="O117433" s="209"/>
    </row>
    <row r="117434" spans="1:15" s="210" customFormat="1" x14ac:dyDescent="0.3">
      <c r="A117434" s="12"/>
      <c r="B117434" s="15"/>
      <c r="C117434" s="15"/>
      <c r="D117434" s="12"/>
      <c r="E117434" s="12"/>
      <c r="F117434" s="13"/>
      <c r="G117434" s="12"/>
      <c r="H117434" s="12"/>
      <c r="I117434" s="12"/>
      <c r="J117434" s="12"/>
      <c r="K117434" s="12"/>
      <c r="L117434" s="208"/>
      <c r="M117434" s="209"/>
      <c r="N117434" s="209"/>
      <c r="O117434" s="209"/>
    </row>
    <row r="117435" spans="1:15" s="210" customFormat="1" x14ac:dyDescent="0.3">
      <c r="A117435" s="12"/>
      <c r="B117435" s="15"/>
      <c r="C117435" s="15"/>
      <c r="D117435" s="12"/>
      <c r="E117435" s="12"/>
      <c r="F117435" s="13"/>
      <c r="G117435" s="12"/>
      <c r="H117435" s="12"/>
      <c r="I117435" s="12"/>
      <c r="J117435" s="12"/>
      <c r="K117435" s="12"/>
      <c r="L117435" s="208"/>
      <c r="M117435" s="209"/>
      <c r="N117435" s="209"/>
      <c r="O117435" s="209"/>
    </row>
    <row r="117436" spans="1:15" s="210" customFormat="1" x14ac:dyDescent="0.3">
      <c r="A117436" s="12"/>
      <c r="B117436" s="15"/>
      <c r="C117436" s="15"/>
      <c r="D117436" s="12"/>
      <c r="E117436" s="12"/>
      <c r="F117436" s="13"/>
      <c r="G117436" s="12"/>
      <c r="H117436" s="12"/>
      <c r="I117436" s="12"/>
      <c r="J117436" s="12"/>
      <c r="K117436" s="12"/>
      <c r="L117436" s="208"/>
      <c r="M117436" s="209"/>
      <c r="N117436" s="209"/>
      <c r="O117436" s="209"/>
    </row>
    <row r="117437" spans="1:15" s="210" customFormat="1" x14ac:dyDescent="0.3">
      <c r="A117437" s="12"/>
      <c r="B117437" s="15"/>
      <c r="C117437" s="15"/>
      <c r="D117437" s="12"/>
      <c r="E117437" s="12"/>
      <c r="F117437" s="13"/>
      <c r="G117437" s="12"/>
      <c r="H117437" s="12"/>
      <c r="I117437" s="12"/>
      <c r="J117437" s="12"/>
      <c r="K117437" s="12"/>
      <c r="L117437" s="208"/>
      <c r="M117437" s="209"/>
      <c r="N117437" s="209"/>
      <c r="O117437" s="209"/>
    </row>
    <row r="117438" spans="1:15" s="210" customFormat="1" x14ac:dyDescent="0.3">
      <c r="A117438" s="12"/>
      <c r="B117438" s="15"/>
      <c r="C117438" s="15"/>
      <c r="D117438" s="12"/>
      <c r="E117438" s="12"/>
      <c r="F117438" s="13"/>
      <c r="G117438" s="12"/>
      <c r="H117438" s="12"/>
      <c r="I117438" s="12"/>
      <c r="J117438" s="12"/>
      <c r="K117438" s="12"/>
      <c r="L117438" s="208"/>
      <c r="M117438" s="209"/>
      <c r="N117438" s="209"/>
      <c r="O117438" s="209"/>
    </row>
    <row r="117439" spans="1:15" s="210" customFormat="1" x14ac:dyDescent="0.3">
      <c r="A117439" s="12"/>
      <c r="B117439" s="15"/>
      <c r="C117439" s="15"/>
      <c r="D117439" s="12"/>
      <c r="E117439" s="12"/>
      <c r="F117439" s="13"/>
      <c r="G117439" s="12"/>
      <c r="H117439" s="12"/>
      <c r="I117439" s="12"/>
      <c r="J117439" s="12"/>
      <c r="K117439" s="12"/>
      <c r="L117439" s="208"/>
      <c r="M117439" s="209"/>
      <c r="N117439" s="209"/>
      <c r="O117439" s="209"/>
    </row>
    <row r="117440" spans="1:15" s="210" customFormat="1" x14ac:dyDescent="0.3">
      <c r="A117440" s="12"/>
      <c r="B117440" s="15"/>
      <c r="C117440" s="15"/>
      <c r="D117440" s="12"/>
      <c r="E117440" s="12"/>
      <c r="F117440" s="13"/>
      <c r="G117440" s="12"/>
      <c r="H117440" s="12"/>
      <c r="I117440" s="12"/>
      <c r="J117440" s="12"/>
      <c r="K117440" s="12"/>
      <c r="L117440" s="208"/>
      <c r="M117440" s="209"/>
      <c r="N117440" s="209"/>
      <c r="O117440" s="209"/>
    </row>
    <row r="117441" spans="1:15" s="210" customFormat="1" x14ac:dyDescent="0.3">
      <c r="A117441" s="12"/>
      <c r="B117441" s="15"/>
      <c r="C117441" s="15"/>
      <c r="D117441" s="12"/>
      <c r="E117441" s="12"/>
      <c r="F117441" s="13"/>
      <c r="G117441" s="12"/>
      <c r="H117441" s="12"/>
      <c r="I117441" s="12"/>
      <c r="J117441" s="12"/>
      <c r="K117441" s="12"/>
      <c r="L117441" s="208"/>
      <c r="M117441" s="209"/>
      <c r="N117441" s="209"/>
      <c r="O117441" s="209"/>
    </row>
    <row r="117442" spans="1:15" s="210" customFormat="1" x14ac:dyDescent="0.3">
      <c r="A117442" s="12"/>
      <c r="B117442" s="15"/>
      <c r="C117442" s="15"/>
      <c r="D117442" s="12"/>
      <c r="E117442" s="12"/>
      <c r="F117442" s="13"/>
      <c r="G117442" s="12"/>
      <c r="H117442" s="12"/>
      <c r="I117442" s="12"/>
      <c r="J117442" s="12"/>
      <c r="K117442" s="12"/>
      <c r="L117442" s="208"/>
      <c r="M117442" s="209"/>
      <c r="N117442" s="209"/>
      <c r="O117442" s="209"/>
    </row>
    <row r="117443" spans="1:15" s="210" customFormat="1" x14ac:dyDescent="0.3">
      <c r="A117443" s="12"/>
      <c r="B117443" s="15"/>
      <c r="C117443" s="15"/>
      <c r="D117443" s="12"/>
      <c r="E117443" s="12"/>
      <c r="F117443" s="13"/>
      <c r="G117443" s="12"/>
      <c r="H117443" s="12"/>
      <c r="I117443" s="12"/>
      <c r="J117443" s="12"/>
      <c r="K117443" s="12"/>
      <c r="L117443" s="208"/>
      <c r="M117443" s="209"/>
      <c r="N117443" s="209"/>
      <c r="O117443" s="209"/>
    </row>
    <row r="117444" spans="1:15" s="210" customFormat="1" x14ac:dyDescent="0.3">
      <c r="A117444" s="12"/>
      <c r="B117444" s="15"/>
      <c r="C117444" s="15"/>
      <c r="D117444" s="12"/>
      <c r="E117444" s="12"/>
      <c r="F117444" s="13"/>
      <c r="G117444" s="12"/>
      <c r="H117444" s="12"/>
      <c r="I117444" s="12"/>
      <c r="J117444" s="12"/>
      <c r="K117444" s="12"/>
      <c r="L117444" s="208"/>
      <c r="M117444" s="209"/>
      <c r="N117444" s="209"/>
      <c r="O117444" s="209"/>
    </row>
    <row r="117445" spans="1:15" s="210" customFormat="1" x14ac:dyDescent="0.3">
      <c r="A117445" s="12"/>
      <c r="B117445" s="15"/>
      <c r="C117445" s="15"/>
      <c r="D117445" s="12"/>
      <c r="E117445" s="12"/>
      <c r="F117445" s="13"/>
      <c r="G117445" s="12"/>
      <c r="H117445" s="12"/>
      <c r="I117445" s="12"/>
      <c r="J117445" s="12"/>
      <c r="K117445" s="12"/>
      <c r="L117445" s="208"/>
      <c r="M117445" s="209"/>
      <c r="N117445" s="209"/>
      <c r="O117445" s="209"/>
    </row>
    <row r="117446" spans="1:15" s="210" customFormat="1" x14ac:dyDescent="0.3">
      <c r="A117446" s="12"/>
      <c r="B117446" s="15"/>
      <c r="C117446" s="15"/>
      <c r="D117446" s="12"/>
      <c r="E117446" s="12"/>
      <c r="F117446" s="13"/>
      <c r="G117446" s="12"/>
      <c r="H117446" s="12"/>
      <c r="I117446" s="12"/>
      <c r="J117446" s="12"/>
      <c r="K117446" s="12"/>
      <c r="L117446" s="208"/>
      <c r="M117446" s="209"/>
      <c r="N117446" s="209"/>
      <c r="O117446" s="209"/>
    </row>
    <row r="117447" spans="1:15" s="210" customFormat="1" x14ac:dyDescent="0.3">
      <c r="A117447" s="12"/>
      <c r="B117447" s="15"/>
      <c r="C117447" s="15"/>
      <c r="D117447" s="12"/>
      <c r="E117447" s="12"/>
      <c r="F117447" s="13"/>
      <c r="G117447" s="12"/>
      <c r="H117447" s="12"/>
      <c r="I117447" s="12"/>
      <c r="J117447" s="12"/>
      <c r="K117447" s="12"/>
      <c r="L117447" s="208"/>
      <c r="M117447" s="209"/>
      <c r="N117447" s="209"/>
      <c r="O117447" s="209"/>
    </row>
    <row r="117448" spans="1:15" s="210" customFormat="1" x14ac:dyDescent="0.3">
      <c r="A117448" s="12"/>
      <c r="B117448" s="15"/>
      <c r="C117448" s="15"/>
      <c r="D117448" s="12"/>
      <c r="E117448" s="12"/>
      <c r="F117448" s="13"/>
      <c r="G117448" s="12"/>
      <c r="H117448" s="12"/>
      <c r="I117448" s="12"/>
      <c r="J117448" s="12"/>
      <c r="K117448" s="12"/>
      <c r="L117448" s="208"/>
      <c r="M117448" s="209"/>
      <c r="N117448" s="209"/>
      <c r="O117448" s="209"/>
    </row>
    <row r="117449" spans="1:15" s="210" customFormat="1" x14ac:dyDescent="0.3">
      <c r="A117449" s="12"/>
      <c r="B117449" s="15"/>
      <c r="C117449" s="15"/>
      <c r="D117449" s="12"/>
      <c r="E117449" s="12"/>
      <c r="F117449" s="13"/>
      <c r="G117449" s="12"/>
      <c r="H117449" s="12"/>
      <c r="I117449" s="12"/>
      <c r="J117449" s="12"/>
      <c r="K117449" s="12"/>
      <c r="L117449" s="208"/>
      <c r="M117449" s="209"/>
      <c r="N117449" s="209"/>
      <c r="O117449" s="209"/>
    </row>
    <row r="117450" spans="1:15" s="210" customFormat="1" x14ac:dyDescent="0.3">
      <c r="A117450" s="12"/>
      <c r="B117450" s="15"/>
      <c r="C117450" s="15"/>
      <c r="D117450" s="12"/>
      <c r="E117450" s="12"/>
      <c r="F117450" s="13"/>
      <c r="G117450" s="12"/>
      <c r="H117450" s="12"/>
      <c r="I117450" s="12"/>
      <c r="J117450" s="12"/>
      <c r="K117450" s="12"/>
      <c r="L117450" s="208"/>
      <c r="M117450" s="209"/>
      <c r="N117450" s="209"/>
      <c r="O117450" s="209"/>
    </row>
    <row r="117451" spans="1:15" s="210" customFormat="1" x14ac:dyDescent="0.3">
      <c r="A117451" s="12"/>
      <c r="B117451" s="15"/>
      <c r="C117451" s="15"/>
      <c r="D117451" s="12"/>
      <c r="E117451" s="12"/>
      <c r="F117451" s="13"/>
      <c r="G117451" s="12"/>
      <c r="H117451" s="12"/>
      <c r="I117451" s="12"/>
      <c r="J117451" s="12"/>
      <c r="K117451" s="12"/>
      <c r="L117451" s="208"/>
      <c r="M117451" s="209"/>
      <c r="N117451" s="209"/>
      <c r="O117451" s="209"/>
    </row>
    <row r="117452" spans="1:15" s="210" customFormat="1" x14ac:dyDescent="0.3">
      <c r="A117452" s="12"/>
      <c r="B117452" s="15"/>
      <c r="C117452" s="15"/>
      <c r="D117452" s="12"/>
      <c r="E117452" s="12"/>
      <c r="F117452" s="13"/>
      <c r="G117452" s="12"/>
      <c r="H117452" s="12"/>
      <c r="I117452" s="12"/>
      <c r="J117452" s="12"/>
      <c r="K117452" s="12"/>
      <c r="L117452" s="208"/>
      <c r="M117452" s="209"/>
      <c r="N117452" s="209"/>
      <c r="O117452" s="209"/>
    </row>
    <row r="117453" spans="1:15" s="210" customFormat="1" x14ac:dyDescent="0.3">
      <c r="A117453" s="12"/>
      <c r="B117453" s="15"/>
      <c r="C117453" s="15"/>
      <c r="D117453" s="12"/>
      <c r="E117453" s="12"/>
      <c r="F117453" s="13"/>
      <c r="G117453" s="12"/>
      <c r="H117453" s="12"/>
      <c r="I117453" s="12"/>
      <c r="J117453" s="12"/>
      <c r="K117453" s="12"/>
      <c r="L117453" s="208"/>
      <c r="M117453" s="209"/>
      <c r="N117453" s="209"/>
      <c r="O117453" s="209"/>
    </row>
    <row r="117454" spans="1:15" s="210" customFormat="1" x14ac:dyDescent="0.3">
      <c r="A117454" s="12"/>
      <c r="B117454" s="15"/>
      <c r="C117454" s="15"/>
      <c r="D117454" s="12"/>
      <c r="E117454" s="12"/>
      <c r="F117454" s="13"/>
      <c r="G117454" s="12"/>
      <c r="H117454" s="12"/>
      <c r="I117454" s="12"/>
      <c r="J117454" s="12"/>
      <c r="K117454" s="12"/>
      <c r="L117454" s="208"/>
      <c r="M117454" s="209"/>
      <c r="N117454" s="209"/>
      <c r="O117454" s="209"/>
    </row>
    <row r="117455" spans="1:15" s="210" customFormat="1" x14ac:dyDescent="0.3">
      <c r="A117455" s="12"/>
      <c r="B117455" s="15"/>
      <c r="C117455" s="15"/>
      <c r="D117455" s="12"/>
      <c r="E117455" s="12"/>
      <c r="F117455" s="13"/>
      <c r="G117455" s="12"/>
      <c r="H117455" s="12"/>
      <c r="I117455" s="12"/>
      <c r="J117455" s="12"/>
      <c r="K117455" s="12"/>
      <c r="L117455" s="208"/>
      <c r="M117455" s="209"/>
      <c r="N117455" s="209"/>
      <c r="O117455" s="209"/>
    </row>
    <row r="117456" spans="1:15" s="210" customFormat="1" x14ac:dyDescent="0.3">
      <c r="A117456" s="12"/>
      <c r="B117456" s="15"/>
      <c r="C117456" s="15"/>
      <c r="D117456" s="12"/>
      <c r="E117456" s="12"/>
      <c r="F117456" s="13"/>
      <c r="G117456" s="12"/>
      <c r="H117456" s="12"/>
      <c r="I117456" s="12"/>
      <c r="J117456" s="12"/>
      <c r="K117456" s="12"/>
      <c r="L117456" s="208"/>
      <c r="M117456" s="209"/>
      <c r="N117456" s="209"/>
      <c r="O117456" s="209"/>
    </row>
    <row r="117457" spans="1:15" s="210" customFormat="1" x14ac:dyDescent="0.3">
      <c r="A117457" s="12"/>
      <c r="B117457" s="15"/>
      <c r="C117457" s="15"/>
      <c r="D117457" s="12"/>
      <c r="E117457" s="12"/>
      <c r="F117457" s="13"/>
      <c r="G117457" s="12"/>
      <c r="H117457" s="12"/>
      <c r="I117457" s="12"/>
      <c r="J117457" s="12"/>
      <c r="K117457" s="12"/>
      <c r="L117457" s="208"/>
      <c r="M117457" s="209"/>
      <c r="N117457" s="209"/>
      <c r="O117457" s="209"/>
    </row>
    <row r="117458" spans="1:15" s="210" customFormat="1" x14ac:dyDescent="0.3">
      <c r="A117458" s="12"/>
      <c r="B117458" s="15"/>
      <c r="C117458" s="15"/>
      <c r="D117458" s="12"/>
      <c r="E117458" s="12"/>
      <c r="F117458" s="13"/>
      <c r="G117458" s="12"/>
      <c r="H117458" s="12"/>
      <c r="I117458" s="12"/>
      <c r="J117458" s="12"/>
      <c r="K117458" s="12"/>
      <c r="L117458" s="208"/>
      <c r="M117458" s="209"/>
      <c r="N117458" s="209"/>
      <c r="O117458" s="209"/>
    </row>
    <row r="117459" spans="1:15" s="210" customFormat="1" x14ac:dyDescent="0.3">
      <c r="A117459" s="12"/>
      <c r="B117459" s="15"/>
      <c r="C117459" s="15"/>
      <c r="D117459" s="12"/>
      <c r="E117459" s="12"/>
      <c r="F117459" s="13"/>
      <c r="G117459" s="12"/>
      <c r="H117459" s="12"/>
      <c r="I117459" s="12"/>
      <c r="J117459" s="12"/>
      <c r="K117459" s="12"/>
      <c r="L117459" s="208"/>
      <c r="M117459" s="209"/>
      <c r="N117459" s="209"/>
      <c r="O117459" s="209"/>
    </row>
    <row r="117460" spans="1:15" s="210" customFormat="1" x14ac:dyDescent="0.3">
      <c r="A117460" s="12"/>
      <c r="B117460" s="15"/>
      <c r="C117460" s="15"/>
      <c r="D117460" s="12"/>
      <c r="E117460" s="12"/>
      <c r="F117460" s="13"/>
      <c r="G117460" s="12"/>
      <c r="H117460" s="12"/>
      <c r="I117460" s="12"/>
      <c r="J117460" s="12"/>
      <c r="K117460" s="12"/>
      <c r="L117460" s="208"/>
      <c r="M117460" s="209"/>
      <c r="N117460" s="209"/>
      <c r="O117460" s="209"/>
    </row>
    <row r="117461" spans="1:15" s="210" customFormat="1" x14ac:dyDescent="0.3">
      <c r="A117461" s="12"/>
      <c r="B117461" s="15"/>
      <c r="C117461" s="15"/>
      <c r="D117461" s="12"/>
      <c r="E117461" s="12"/>
      <c r="F117461" s="13"/>
      <c r="G117461" s="12"/>
      <c r="H117461" s="12"/>
      <c r="I117461" s="12"/>
      <c r="J117461" s="12"/>
      <c r="K117461" s="12"/>
      <c r="L117461" s="208"/>
      <c r="M117461" s="209"/>
      <c r="N117461" s="209"/>
      <c r="O117461" s="209"/>
    </row>
    <row r="117462" spans="1:15" s="210" customFormat="1" x14ac:dyDescent="0.3">
      <c r="A117462" s="12"/>
      <c r="B117462" s="15"/>
      <c r="C117462" s="15"/>
      <c r="D117462" s="12"/>
      <c r="E117462" s="12"/>
      <c r="F117462" s="13"/>
      <c r="G117462" s="12"/>
      <c r="H117462" s="12"/>
      <c r="I117462" s="12"/>
      <c r="J117462" s="12"/>
      <c r="K117462" s="12"/>
      <c r="L117462" s="208"/>
      <c r="M117462" s="209"/>
      <c r="N117462" s="209"/>
      <c r="O117462" s="209"/>
    </row>
    <row r="117463" spans="1:15" s="210" customFormat="1" x14ac:dyDescent="0.3">
      <c r="A117463" s="12"/>
      <c r="B117463" s="15"/>
      <c r="C117463" s="15"/>
      <c r="D117463" s="12"/>
      <c r="E117463" s="12"/>
      <c r="F117463" s="13"/>
      <c r="G117463" s="12"/>
      <c r="H117463" s="12"/>
      <c r="I117463" s="12"/>
      <c r="J117463" s="12"/>
      <c r="K117463" s="12"/>
      <c r="L117463" s="208"/>
      <c r="M117463" s="209"/>
      <c r="N117463" s="209"/>
      <c r="O117463" s="209"/>
    </row>
    <row r="117464" spans="1:15" s="210" customFormat="1" x14ac:dyDescent="0.3">
      <c r="A117464" s="12"/>
      <c r="B117464" s="15"/>
      <c r="C117464" s="15"/>
      <c r="D117464" s="12"/>
      <c r="E117464" s="12"/>
      <c r="F117464" s="13"/>
      <c r="G117464" s="12"/>
      <c r="H117464" s="12"/>
      <c r="I117464" s="12"/>
      <c r="J117464" s="12"/>
      <c r="K117464" s="12"/>
      <c r="L117464" s="208"/>
      <c r="M117464" s="209"/>
      <c r="N117464" s="209"/>
      <c r="O117464" s="209"/>
    </row>
    <row r="117465" spans="1:15" s="210" customFormat="1" x14ac:dyDescent="0.3">
      <c r="A117465" s="12"/>
      <c r="B117465" s="15"/>
      <c r="C117465" s="15"/>
      <c r="D117465" s="12"/>
      <c r="E117465" s="12"/>
      <c r="F117465" s="13"/>
      <c r="G117465" s="12"/>
      <c r="H117465" s="12"/>
      <c r="I117465" s="12"/>
      <c r="J117465" s="12"/>
      <c r="K117465" s="12"/>
      <c r="L117465" s="208"/>
      <c r="M117465" s="209"/>
      <c r="N117465" s="209"/>
      <c r="O117465" s="209"/>
    </row>
    <row r="117466" spans="1:15" s="210" customFormat="1" x14ac:dyDescent="0.3">
      <c r="A117466" s="12"/>
      <c r="B117466" s="15"/>
      <c r="C117466" s="15"/>
      <c r="D117466" s="12"/>
      <c r="E117466" s="12"/>
      <c r="F117466" s="13"/>
      <c r="G117466" s="12"/>
      <c r="H117466" s="12"/>
      <c r="I117466" s="12"/>
      <c r="J117466" s="12"/>
      <c r="K117466" s="12"/>
      <c r="L117466" s="208"/>
      <c r="M117466" s="209"/>
      <c r="N117466" s="209"/>
      <c r="O117466" s="209"/>
    </row>
    <row r="117467" spans="1:15" s="210" customFormat="1" x14ac:dyDescent="0.3">
      <c r="A117467" s="12"/>
      <c r="B117467" s="15"/>
      <c r="C117467" s="15"/>
      <c r="D117467" s="12"/>
      <c r="E117467" s="12"/>
      <c r="F117467" s="13"/>
      <c r="G117467" s="12"/>
      <c r="H117467" s="12"/>
      <c r="I117467" s="12"/>
      <c r="J117467" s="12"/>
      <c r="K117467" s="12"/>
      <c r="L117467" s="208"/>
      <c r="M117467" s="209"/>
      <c r="N117467" s="209"/>
      <c r="O117467" s="209"/>
    </row>
    <row r="117468" spans="1:15" s="210" customFormat="1" x14ac:dyDescent="0.3">
      <c r="A117468" s="12"/>
      <c r="B117468" s="15"/>
      <c r="C117468" s="15"/>
      <c r="D117468" s="12"/>
      <c r="E117468" s="12"/>
      <c r="F117468" s="13"/>
      <c r="G117468" s="12"/>
      <c r="H117468" s="12"/>
      <c r="I117468" s="12"/>
      <c r="J117468" s="12"/>
      <c r="K117468" s="12"/>
      <c r="L117468" s="208"/>
      <c r="M117468" s="209"/>
      <c r="N117468" s="209"/>
      <c r="O117468" s="209"/>
    </row>
    <row r="117469" spans="1:15" s="210" customFormat="1" x14ac:dyDescent="0.3">
      <c r="A117469" s="12"/>
      <c r="B117469" s="15"/>
      <c r="C117469" s="15"/>
      <c r="D117469" s="12"/>
      <c r="E117469" s="12"/>
      <c r="F117469" s="13"/>
      <c r="G117469" s="12"/>
      <c r="H117469" s="12"/>
      <c r="I117469" s="12"/>
      <c r="J117469" s="12"/>
      <c r="K117469" s="12"/>
      <c r="L117469" s="208"/>
      <c r="M117469" s="209"/>
      <c r="N117469" s="209"/>
      <c r="O117469" s="209"/>
    </row>
    <row r="117470" spans="1:15" s="210" customFormat="1" x14ac:dyDescent="0.3">
      <c r="A117470" s="12"/>
      <c r="B117470" s="15"/>
      <c r="C117470" s="15"/>
      <c r="D117470" s="12"/>
      <c r="E117470" s="12"/>
      <c r="F117470" s="13"/>
      <c r="G117470" s="12"/>
      <c r="H117470" s="12"/>
      <c r="I117470" s="12"/>
      <c r="J117470" s="12"/>
      <c r="K117470" s="12"/>
      <c r="L117470" s="208"/>
      <c r="M117470" s="209"/>
      <c r="N117470" s="209"/>
      <c r="O117470" s="209"/>
    </row>
    <row r="117471" spans="1:15" s="210" customFormat="1" x14ac:dyDescent="0.3">
      <c r="A117471" s="12"/>
      <c r="B117471" s="15"/>
      <c r="C117471" s="15"/>
      <c r="D117471" s="12"/>
      <c r="E117471" s="12"/>
      <c r="F117471" s="13"/>
      <c r="G117471" s="12"/>
      <c r="H117471" s="12"/>
      <c r="I117471" s="12"/>
      <c r="J117471" s="12"/>
      <c r="K117471" s="12"/>
      <c r="L117471" s="208"/>
      <c r="M117471" s="209"/>
      <c r="N117471" s="209"/>
      <c r="O117471" s="209"/>
    </row>
    <row r="117472" spans="1:15" s="210" customFormat="1" x14ac:dyDescent="0.3">
      <c r="A117472" s="12"/>
      <c r="B117472" s="15"/>
      <c r="C117472" s="15"/>
      <c r="D117472" s="12"/>
      <c r="E117472" s="12"/>
      <c r="F117472" s="13"/>
      <c r="G117472" s="12"/>
      <c r="H117472" s="12"/>
      <c r="I117472" s="12"/>
      <c r="J117472" s="12"/>
      <c r="K117472" s="12"/>
      <c r="L117472" s="208"/>
      <c r="M117472" s="209"/>
      <c r="N117472" s="209"/>
      <c r="O117472" s="209"/>
    </row>
    <row r="117473" spans="1:15" s="210" customFormat="1" x14ac:dyDescent="0.3">
      <c r="A117473" s="12"/>
      <c r="B117473" s="15"/>
      <c r="C117473" s="15"/>
      <c r="D117473" s="12"/>
      <c r="E117473" s="12"/>
      <c r="F117473" s="13"/>
      <c r="G117473" s="12"/>
      <c r="H117473" s="12"/>
      <c r="I117473" s="12"/>
      <c r="J117473" s="12"/>
      <c r="K117473" s="12"/>
      <c r="L117473" s="208"/>
      <c r="M117473" s="209"/>
      <c r="N117473" s="209"/>
      <c r="O117473" s="209"/>
    </row>
    <row r="117474" spans="1:15" s="210" customFormat="1" x14ac:dyDescent="0.3">
      <c r="A117474" s="12"/>
      <c r="B117474" s="15"/>
      <c r="C117474" s="15"/>
      <c r="D117474" s="12"/>
      <c r="E117474" s="12"/>
      <c r="F117474" s="13"/>
      <c r="G117474" s="12"/>
      <c r="H117474" s="12"/>
      <c r="I117474" s="12"/>
      <c r="J117474" s="12"/>
      <c r="K117474" s="12"/>
      <c r="L117474" s="208"/>
      <c r="M117474" s="209"/>
      <c r="N117474" s="209"/>
      <c r="O117474" s="209"/>
    </row>
    <row r="117475" spans="1:15" s="210" customFormat="1" x14ac:dyDescent="0.3">
      <c r="A117475" s="12"/>
      <c r="B117475" s="15"/>
      <c r="C117475" s="15"/>
      <c r="D117475" s="12"/>
      <c r="E117475" s="12"/>
      <c r="F117475" s="13"/>
      <c r="G117475" s="12"/>
      <c r="H117475" s="12"/>
      <c r="I117475" s="12"/>
      <c r="J117475" s="12"/>
      <c r="K117475" s="12"/>
      <c r="L117475" s="208"/>
      <c r="M117475" s="209"/>
      <c r="N117475" s="209"/>
      <c r="O117475" s="209"/>
    </row>
    <row r="117476" spans="1:15" s="210" customFormat="1" x14ac:dyDescent="0.3">
      <c r="A117476" s="12"/>
      <c r="B117476" s="15"/>
      <c r="C117476" s="15"/>
      <c r="D117476" s="12"/>
      <c r="E117476" s="12"/>
      <c r="F117476" s="13"/>
      <c r="G117476" s="12"/>
      <c r="H117476" s="12"/>
      <c r="I117476" s="12"/>
      <c r="J117476" s="12"/>
      <c r="K117476" s="12"/>
      <c r="L117476" s="208"/>
      <c r="M117476" s="209"/>
      <c r="N117476" s="209"/>
      <c r="O117476" s="209"/>
    </row>
    <row r="117477" spans="1:15" s="210" customFormat="1" x14ac:dyDescent="0.3">
      <c r="A117477" s="12"/>
      <c r="B117477" s="15"/>
      <c r="C117477" s="15"/>
      <c r="D117477" s="12"/>
      <c r="E117477" s="12"/>
      <c r="F117477" s="13"/>
      <c r="G117477" s="12"/>
      <c r="H117477" s="12"/>
      <c r="I117477" s="12"/>
      <c r="J117477" s="12"/>
      <c r="K117477" s="12"/>
      <c r="L117477" s="208"/>
      <c r="M117477" s="209"/>
      <c r="N117477" s="209"/>
      <c r="O117477" s="209"/>
    </row>
    <row r="117478" spans="1:15" s="210" customFormat="1" x14ac:dyDescent="0.3">
      <c r="A117478" s="12"/>
      <c r="B117478" s="15"/>
      <c r="C117478" s="15"/>
      <c r="D117478" s="12"/>
      <c r="E117478" s="12"/>
      <c r="F117478" s="13"/>
      <c r="G117478" s="12"/>
      <c r="H117478" s="12"/>
      <c r="I117478" s="12"/>
      <c r="J117478" s="12"/>
      <c r="K117478" s="12"/>
      <c r="L117478" s="208"/>
      <c r="M117478" s="209"/>
      <c r="N117478" s="209"/>
      <c r="O117478" s="209"/>
    </row>
    <row r="117479" spans="1:15" s="210" customFormat="1" x14ac:dyDescent="0.3">
      <c r="A117479" s="12"/>
      <c r="B117479" s="15"/>
      <c r="C117479" s="15"/>
      <c r="D117479" s="12"/>
      <c r="E117479" s="12"/>
      <c r="F117479" s="13"/>
      <c r="G117479" s="12"/>
      <c r="H117479" s="12"/>
      <c r="I117479" s="12"/>
      <c r="J117479" s="12"/>
      <c r="K117479" s="12"/>
      <c r="L117479" s="208"/>
      <c r="M117479" s="209"/>
      <c r="N117479" s="209"/>
      <c r="O117479" s="209"/>
    </row>
    <row r="117480" spans="1:15" s="210" customFormat="1" x14ac:dyDescent="0.3">
      <c r="A117480" s="12"/>
      <c r="B117480" s="15"/>
      <c r="C117480" s="15"/>
      <c r="D117480" s="12"/>
      <c r="E117480" s="12"/>
      <c r="F117480" s="13"/>
      <c r="G117480" s="12"/>
      <c r="H117480" s="12"/>
      <c r="I117480" s="12"/>
      <c r="J117480" s="12"/>
      <c r="K117480" s="12"/>
      <c r="L117480" s="208"/>
      <c r="M117480" s="209"/>
      <c r="N117480" s="209"/>
      <c r="O117480" s="209"/>
    </row>
    <row r="117481" spans="1:15" s="210" customFormat="1" x14ac:dyDescent="0.3">
      <c r="A117481" s="12"/>
      <c r="B117481" s="15"/>
      <c r="C117481" s="15"/>
      <c r="D117481" s="12"/>
      <c r="E117481" s="12"/>
      <c r="F117481" s="13"/>
      <c r="G117481" s="12"/>
      <c r="H117481" s="12"/>
      <c r="I117481" s="12"/>
      <c r="J117481" s="12"/>
      <c r="K117481" s="12"/>
      <c r="L117481" s="208"/>
      <c r="M117481" s="209"/>
      <c r="N117481" s="209"/>
      <c r="O117481" s="209"/>
    </row>
    <row r="117482" spans="1:15" s="210" customFormat="1" x14ac:dyDescent="0.3">
      <c r="A117482" s="12"/>
      <c r="B117482" s="15"/>
      <c r="C117482" s="15"/>
      <c r="D117482" s="12"/>
      <c r="E117482" s="12"/>
      <c r="F117482" s="13"/>
      <c r="G117482" s="12"/>
      <c r="H117482" s="12"/>
      <c r="I117482" s="12"/>
      <c r="J117482" s="12"/>
      <c r="K117482" s="12"/>
      <c r="L117482" s="208"/>
      <c r="M117482" s="209"/>
      <c r="N117482" s="209"/>
      <c r="O117482" s="209"/>
    </row>
    <row r="117483" spans="1:15" s="210" customFormat="1" x14ac:dyDescent="0.3">
      <c r="A117483" s="12"/>
      <c r="B117483" s="15"/>
      <c r="C117483" s="15"/>
      <c r="D117483" s="12"/>
      <c r="E117483" s="12"/>
      <c r="F117483" s="13"/>
      <c r="G117483" s="12"/>
      <c r="H117483" s="12"/>
      <c r="I117483" s="12"/>
      <c r="J117483" s="12"/>
      <c r="K117483" s="12"/>
      <c r="L117483" s="208"/>
      <c r="M117483" s="209"/>
      <c r="N117483" s="209"/>
      <c r="O117483" s="209"/>
    </row>
    <row r="117484" spans="1:15" s="210" customFormat="1" x14ac:dyDescent="0.3">
      <c r="A117484" s="12"/>
      <c r="B117484" s="15"/>
      <c r="C117484" s="15"/>
      <c r="D117484" s="12"/>
      <c r="E117484" s="12"/>
      <c r="F117484" s="13"/>
      <c r="G117484" s="12"/>
      <c r="H117484" s="12"/>
      <c r="I117484" s="12"/>
      <c r="J117484" s="12"/>
      <c r="K117484" s="12"/>
      <c r="L117484" s="208"/>
      <c r="M117484" s="209"/>
      <c r="N117484" s="209"/>
      <c r="O117484" s="209"/>
    </row>
    <row r="117485" spans="1:15" s="210" customFormat="1" x14ac:dyDescent="0.3">
      <c r="A117485" s="12"/>
      <c r="B117485" s="15"/>
      <c r="C117485" s="15"/>
      <c r="D117485" s="12"/>
      <c r="E117485" s="12"/>
      <c r="F117485" s="13"/>
      <c r="G117485" s="12"/>
      <c r="H117485" s="12"/>
      <c r="I117485" s="12"/>
      <c r="J117485" s="12"/>
      <c r="K117485" s="12"/>
      <c r="L117485" s="208"/>
      <c r="M117485" s="209"/>
      <c r="N117485" s="209"/>
      <c r="O117485" s="209"/>
    </row>
    <row r="117486" spans="1:15" s="210" customFormat="1" x14ac:dyDescent="0.3">
      <c r="A117486" s="12"/>
      <c r="B117486" s="15"/>
      <c r="C117486" s="15"/>
      <c r="D117486" s="12"/>
      <c r="E117486" s="12"/>
      <c r="F117486" s="13"/>
      <c r="G117486" s="12"/>
      <c r="H117486" s="12"/>
      <c r="I117486" s="12"/>
      <c r="J117486" s="12"/>
      <c r="K117486" s="12"/>
      <c r="L117486" s="208"/>
      <c r="M117486" s="209"/>
      <c r="N117486" s="209"/>
      <c r="O117486" s="209"/>
    </row>
    <row r="117487" spans="1:15" s="210" customFormat="1" x14ac:dyDescent="0.3">
      <c r="A117487" s="12"/>
      <c r="B117487" s="15"/>
      <c r="C117487" s="15"/>
      <c r="D117487" s="12"/>
      <c r="E117487" s="12"/>
      <c r="F117487" s="13"/>
      <c r="G117487" s="12"/>
      <c r="H117487" s="12"/>
      <c r="I117487" s="12"/>
      <c r="J117487" s="12"/>
      <c r="K117487" s="12"/>
      <c r="L117487" s="208"/>
      <c r="M117487" s="209"/>
      <c r="N117487" s="209"/>
      <c r="O117487" s="209"/>
    </row>
    <row r="117488" spans="1:15" s="210" customFormat="1" x14ac:dyDescent="0.3">
      <c r="A117488" s="12"/>
      <c r="B117488" s="15"/>
      <c r="C117488" s="15"/>
      <c r="D117488" s="12"/>
      <c r="E117488" s="12"/>
      <c r="F117488" s="13"/>
      <c r="G117488" s="12"/>
      <c r="H117488" s="12"/>
      <c r="I117488" s="12"/>
      <c r="J117488" s="12"/>
      <c r="K117488" s="12"/>
      <c r="L117488" s="208"/>
      <c r="M117488" s="209"/>
      <c r="N117488" s="209"/>
      <c r="O117488" s="209"/>
    </row>
    <row r="117489" spans="1:15" s="210" customFormat="1" x14ac:dyDescent="0.3">
      <c r="A117489" s="12"/>
      <c r="B117489" s="15"/>
      <c r="C117489" s="15"/>
      <c r="D117489" s="12"/>
      <c r="E117489" s="12"/>
      <c r="F117489" s="13"/>
      <c r="G117489" s="12"/>
      <c r="H117489" s="12"/>
      <c r="I117489" s="12"/>
      <c r="J117489" s="12"/>
      <c r="K117489" s="12"/>
      <c r="L117489" s="208"/>
      <c r="M117489" s="209"/>
      <c r="N117489" s="209"/>
      <c r="O117489" s="209"/>
    </row>
    <row r="117490" spans="1:15" s="210" customFormat="1" x14ac:dyDescent="0.3">
      <c r="A117490" s="12"/>
      <c r="B117490" s="15"/>
      <c r="C117490" s="15"/>
      <c r="D117490" s="12"/>
      <c r="E117490" s="12"/>
      <c r="F117490" s="13"/>
      <c r="G117490" s="12"/>
      <c r="H117490" s="12"/>
      <c r="I117490" s="12"/>
      <c r="J117490" s="12"/>
      <c r="K117490" s="12"/>
      <c r="L117490" s="208"/>
      <c r="M117490" s="209"/>
      <c r="N117490" s="209"/>
      <c r="O117490" s="209"/>
    </row>
    <row r="117491" spans="1:15" s="210" customFormat="1" x14ac:dyDescent="0.3">
      <c r="A117491" s="12"/>
      <c r="B117491" s="15"/>
      <c r="C117491" s="15"/>
      <c r="D117491" s="12"/>
      <c r="E117491" s="12"/>
      <c r="F117491" s="13"/>
      <c r="G117491" s="12"/>
      <c r="H117491" s="12"/>
      <c r="I117491" s="12"/>
      <c r="J117491" s="12"/>
      <c r="K117491" s="12"/>
      <c r="L117491" s="208"/>
      <c r="M117491" s="209"/>
      <c r="N117491" s="209"/>
      <c r="O117491" s="209"/>
    </row>
    <row r="117492" spans="1:15" s="210" customFormat="1" x14ac:dyDescent="0.3">
      <c r="A117492" s="12"/>
      <c r="B117492" s="15"/>
      <c r="C117492" s="15"/>
      <c r="D117492" s="12"/>
      <c r="E117492" s="12"/>
      <c r="F117492" s="13"/>
      <c r="G117492" s="12"/>
      <c r="H117492" s="12"/>
      <c r="I117492" s="12"/>
      <c r="J117492" s="12"/>
      <c r="K117492" s="12"/>
      <c r="L117492" s="208"/>
      <c r="M117492" s="209"/>
      <c r="N117492" s="209"/>
      <c r="O117492" s="209"/>
    </row>
    <row r="117493" spans="1:15" s="210" customFormat="1" x14ac:dyDescent="0.3">
      <c r="A117493" s="12"/>
      <c r="B117493" s="15"/>
      <c r="C117493" s="15"/>
      <c r="D117493" s="12"/>
      <c r="E117493" s="12"/>
      <c r="F117493" s="13"/>
      <c r="G117493" s="12"/>
      <c r="H117493" s="12"/>
      <c r="I117493" s="12"/>
      <c r="J117493" s="12"/>
      <c r="K117493" s="12"/>
      <c r="L117493" s="208"/>
      <c r="M117493" s="209"/>
      <c r="N117493" s="209"/>
      <c r="O117493" s="209"/>
    </row>
    <row r="117494" spans="1:15" s="210" customFormat="1" x14ac:dyDescent="0.3">
      <c r="A117494" s="12"/>
      <c r="B117494" s="15"/>
      <c r="C117494" s="15"/>
      <c r="D117494" s="12"/>
      <c r="E117494" s="12"/>
      <c r="F117494" s="13"/>
      <c r="G117494" s="12"/>
      <c r="H117494" s="12"/>
      <c r="I117494" s="12"/>
      <c r="J117494" s="12"/>
      <c r="K117494" s="12"/>
      <c r="L117494" s="208"/>
      <c r="M117494" s="209"/>
      <c r="N117494" s="209"/>
      <c r="O117494" s="209"/>
    </row>
    <row r="117495" spans="1:15" s="210" customFormat="1" x14ac:dyDescent="0.3">
      <c r="A117495" s="12"/>
      <c r="B117495" s="15"/>
      <c r="C117495" s="15"/>
      <c r="D117495" s="12"/>
      <c r="E117495" s="12"/>
      <c r="F117495" s="13"/>
      <c r="G117495" s="12"/>
      <c r="H117495" s="12"/>
      <c r="I117495" s="12"/>
      <c r="J117495" s="12"/>
      <c r="K117495" s="12"/>
      <c r="L117495" s="208"/>
      <c r="M117495" s="209"/>
      <c r="N117495" s="209"/>
      <c r="O117495" s="209"/>
    </row>
    <row r="117496" spans="1:15" s="210" customFormat="1" x14ac:dyDescent="0.3">
      <c r="A117496" s="12"/>
      <c r="B117496" s="15"/>
      <c r="C117496" s="15"/>
      <c r="D117496" s="12"/>
      <c r="E117496" s="12"/>
      <c r="F117496" s="13"/>
      <c r="G117496" s="12"/>
      <c r="H117496" s="12"/>
      <c r="I117496" s="12"/>
      <c r="J117496" s="12"/>
      <c r="K117496" s="12"/>
      <c r="L117496" s="208"/>
      <c r="M117496" s="209"/>
      <c r="N117496" s="209"/>
      <c r="O117496" s="209"/>
    </row>
    <row r="117497" spans="1:15" s="210" customFormat="1" x14ac:dyDescent="0.3">
      <c r="A117497" s="12"/>
      <c r="B117497" s="15"/>
      <c r="C117497" s="15"/>
      <c r="D117497" s="12"/>
      <c r="E117497" s="12"/>
      <c r="F117497" s="13"/>
      <c r="G117497" s="12"/>
      <c r="H117497" s="12"/>
      <c r="I117497" s="12"/>
      <c r="J117497" s="12"/>
      <c r="K117497" s="12"/>
      <c r="L117497" s="208"/>
      <c r="M117497" s="209"/>
      <c r="N117497" s="209"/>
      <c r="O117497" s="209"/>
    </row>
    <row r="117498" spans="1:15" s="210" customFormat="1" x14ac:dyDescent="0.3">
      <c r="A117498" s="12"/>
      <c r="B117498" s="15"/>
      <c r="C117498" s="15"/>
      <c r="D117498" s="12"/>
      <c r="E117498" s="12"/>
      <c r="F117498" s="13"/>
      <c r="G117498" s="12"/>
      <c r="H117498" s="12"/>
      <c r="I117498" s="12"/>
      <c r="J117498" s="12"/>
      <c r="K117498" s="12"/>
      <c r="L117498" s="208"/>
      <c r="M117498" s="209"/>
      <c r="N117498" s="209"/>
      <c r="O117498" s="209"/>
    </row>
    <row r="117499" spans="1:15" s="210" customFormat="1" x14ac:dyDescent="0.3">
      <c r="A117499" s="12"/>
      <c r="B117499" s="15"/>
      <c r="C117499" s="15"/>
      <c r="D117499" s="12"/>
      <c r="E117499" s="12"/>
      <c r="F117499" s="13"/>
      <c r="G117499" s="12"/>
      <c r="H117499" s="12"/>
      <c r="I117499" s="12"/>
      <c r="J117499" s="12"/>
      <c r="K117499" s="12"/>
      <c r="L117499" s="208"/>
      <c r="M117499" s="209"/>
      <c r="N117499" s="209"/>
      <c r="O117499" s="209"/>
    </row>
    <row r="117500" spans="1:15" s="210" customFormat="1" x14ac:dyDescent="0.3">
      <c r="A117500" s="12"/>
      <c r="B117500" s="15"/>
      <c r="C117500" s="15"/>
      <c r="D117500" s="12"/>
      <c r="E117500" s="12"/>
      <c r="F117500" s="13"/>
      <c r="G117500" s="12"/>
      <c r="H117500" s="12"/>
      <c r="I117500" s="12"/>
      <c r="J117500" s="12"/>
      <c r="K117500" s="12"/>
      <c r="L117500" s="208"/>
      <c r="M117500" s="209"/>
      <c r="N117500" s="209"/>
      <c r="O117500" s="209"/>
    </row>
    <row r="117501" spans="1:15" s="210" customFormat="1" x14ac:dyDescent="0.3">
      <c r="A117501" s="12"/>
      <c r="B117501" s="15"/>
      <c r="C117501" s="15"/>
      <c r="D117501" s="12"/>
      <c r="E117501" s="12"/>
      <c r="F117501" s="13"/>
      <c r="G117501" s="12"/>
      <c r="H117501" s="12"/>
      <c r="I117501" s="12"/>
      <c r="J117501" s="12"/>
      <c r="K117501" s="12"/>
      <c r="L117501" s="208"/>
      <c r="M117501" s="209"/>
      <c r="N117501" s="209"/>
      <c r="O117501" s="209"/>
    </row>
    <row r="117502" spans="1:15" s="210" customFormat="1" x14ac:dyDescent="0.3">
      <c r="A117502" s="12"/>
      <c r="B117502" s="15"/>
      <c r="C117502" s="15"/>
      <c r="D117502" s="12"/>
      <c r="E117502" s="12"/>
      <c r="F117502" s="13"/>
      <c r="G117502" s="12"/>
      <c r="H117502" s="12"/>
      <c r="I117502" s="12"/>
      <c r="J117502" s="12"/>
      <c r="K117502" s="12"/>
      <c r="L117502" s="208"/>
      <c r="M117502" s="209"/>
      <c r="N117502" s="209"/>
      <c r="O117502" s="209"/>
    </row>
    <row r="117503" spans="1:15" s="210" customFormat="1" x14ac:dyDescent="0.3">
      <c r="A117503" s="12"/>
      <c r="B117503" s="15"/>
      <c r="C117503" s="15"/>
      <c r="D117503" s="12"/>
      <c r="E117503" s="12"/>
      <c r="F117503" s="13"/>
      <c r="G117503" s="12"/>
      <c r="H117503" s="12"/>
      <c r="I117503" s="12"/>
      <c r="J117503" s="12"/>
      <c r="K117503" s="12"/>
      <c r="L117503" s="208"/>
      <c r="M117503" s="209"/>
      <c r="N117503" s="209"/>
      <c r="O117503" s="209"/>
    </row>
    <row r="117504" spans="1:15" s="210" customFormat="1" x14ac:dyDescent="0.3">
      <c r="A117504" s="12"/>
      <c r="B117504" s="15"/>
      <c r="C117504" s="15"/>
      <c r="D117504" s="12"/>
      <c r="E117504" s="12"/>
      <c r="F117504" s="13"/>
      <c r="G117504" s="12"/>
      <c r="H117504" s="12"/>
      <c r="I117504" s="12"/>
      <c r="J117504" s="12"/>
      <c r="K117504" s="12"/>
      <c r="L117504" s="208"/>
      <c r="M117504" s="209"/>
      <c r="N117504" s="209"/>
      <c r="O117504" s="209"/>
    </row>
    <row r="117505" spans="1:15" s="210" customFormat="1" x14ac:dyDescent="0.3">
      <c r="A117505" s="12"/>
      <c r="B117505" s="15"/>
      <c r="C117505" s="15"/>
      <c r="D117505" s="12"/>
      <c r="E117505" s="12"/>
      <c r="F117505" s="13"/>
      <c r="G117505" s="12"/>
      <c r="H117505" s="12"/>
      <c r="I117505" s="12"/>
      <c r="J117505" s="12"/>
      <c r="K117505" s="12"/>
      <c r="L117505" s="208"/>
      <c r="M117505" s="209"/>
      <c r="N117505" s="209"/>
      <c r="O117505" s="209"/>
    </row>
    <row r="117506" spans="1:15" s="210" customFormat="1" x14ac:dyDescent="0.3">
      <c r="A117506" s="12"/>
      <c r="B117506" s="15"/>
      <c r="C117506" s="15"/>
      <c r="D117506" s="12"/>
      <c r="E117506" s="12"/>
      <c r="F117506" s="13"/>
      <c r="G117506" s="12"/>
      <c r="H117506" s="12"/>
      <c r="I117506" s="12"/>
      <c r="J117506" s="12"/>
      <c r="K117506" s="12"/>
      <c r="L117506" s="208"/>
      <c r="M117506" s="209"/>
      <c r="N117506" s="209"/>
      <c r="O117506" s="209"/>
    </row>
    <row r="117507" spans="1:15" s="210" customFormat="1" x14ac:dyDescent="0.3">
      <c r="A117507" s="12"/>
      <c r="B117507" s="15"/>
      <c r="C117507" s="15"/>
      <c r="D117507" s="12"/>
      <c r="E117507" s="12"/>
      <c r="F117507" s="13"/>
      <c r="G117507" s="12"/>
      <c r="H117507" s="12"/>
      <c r="I117507" s="12"/>
      <c r="J117507" s="12"/>
      <c r="K117507" s="12"/>
      <c r="L117507" s="208"/>
      <c r="M117507" s="209"/>
      <c r="N117507" s="209"/>
      <c r="O117507" s="209"/>
    </row>
    <row r="117508" spans="1:15" s="210" customFormat="1" x14ac:dyDescent="0.3">
      <c r="A117508" s="12"/>
      <c r="B117508" s="15"/>
      <c r="C117508" s="15"/>
      <c r="D117508" s="12"/>
      <c r="E117508" s="12"/>
      <c r="F117508" s="13"/>
      <c r="G117508" s="12"/>
      <c r="H117508" s="12"/>
      <c r="I117508" s="12"/>
      <c r="J117508" s="12"/>
      <c r="K117508" s="12"/>
      <c r="L117508" s="208"/>
      <c r="M117508" s="209"/>
      <c r="N117508" s="209"/>
      <c r="O117508" s="209"/>
    </row>
    <row r="117509" spans="1:15" s="210" customFormat="1" x14ac:dyDescent="0.3">
      <c r="A117509" s="12"/>
      <c r="B117509" s="15"/>
      <c r="C117509" s="15"/>
      <c r="D117509" s="12"/>
      <c r="E117509" s="12"/>
      <c r="F117509" s="13"/>
      <c r="G117509" s="12"/>
      <c r="H117509" s="12"/>
      <c r="I117509" s="12"/>
      <c r="J117509" s="12"/>
      <c r="K117509" s="12"/>
      <c r="L117509" s="208"/>
      <c r="M117509" s="209"/>
      <c r="N117509" s="209"/>
      <c r="O117509" s="209"/>
    </row>
    <row r="117510" spans="1:15" s="210" customFormat="1" x14ac:dyDescent="0.3">
      <c r="A117510" s="12"/>
      <c r="B117510" s="15"/>
      <c r="C117510" s="15"/>
      <c r="D117510" s="12"/>
      <c r="E117510" s="12"/>
      <c r="F117510" s="13"/>
      <c r="G117510" s="12"/>
      <c r="H117510" s="12"/>
      <c r="I117510" s="12"/>
      <c r="J117510" s="12"/>
      <c r="K117510" s="12"/>
      <c r="L117510" s="208"/>
      <c r="M117510" s="209"/>
      <c r="N117510" s="209"/>
      <c r="O117510" s="209"/>
    </row>
    <row r="117511" spans="1:15" s="210" customFormat="1" x14ac:dyDescent="0.3">
      <c r="A117511" s="12"/>
      <c r="B117511" s="15"/>
      <c r="C117511" s="15"/>
      <c r="D117511" s="12"/>
      <c r="E117511" s="12"/>
      <c r="F117511" s="13"/>
      <c r="G117511" s="12"/>
      <c r="H117511" s="12"/>
      <c r="I117511" s="12"/>
      <c r="J117511" s="12"/>
      <c r="K117511" s="12"/>
      <c r="L117511" s="208"/>
      <c r="M117511" s="209"/>
      <c r="N117511" s="209"/>
      <c r="O117511" s="209"/>
    </row>
    <row r="117512" spans="1:15" s="210" customFormat="1" x14ac:dyDescent="0.3">
      <c r="A117512" s="12"/>
      <c r="B117512" s="15"/>
      <c r="C117512" s="15"/>
      <c r="D117512" s="12"/>
      <c r="E117512" s="12"/>
      <c r="F117512" s="13"/>
      <c r="G117512" s="12"/>
      <c r="H117512" s="12"/>
      <c r="I117512" s="12"/>
      <c r="J117512" s="12"/>
      <c r="K117512" s="12"/>
      <c r="L117512" s="208"/>
      <c r="M117512" s="209"/>
      <c r="N117512" s="209"/>
      <c r="O117512" s="209"/>
    </row>
    <row r="117513" spans="1:15" s="210" customFormat="1" x14ac:dyDescent="0.3">
      <c r="A117513" s="12"/>
      <c r="B117513" s="15"/>
      <c r="C117513" s="15"/>
      <c r="D117513" s="12"/>
      <c r="E117513" s="12"/>
      <c r="F117513" s="13"/>
      <c r="G117513" s="12"/>
      <c r="H117513" s="12"/>
      <c r="I117513" s="12"/>
      <c r="J117513" s="12"/>
      <c r="K117513" s="12"/>
      <c r="L117513" s="208"/>
      <c r="M117513" s="209"/>
      <c r="N117513" s="209"/>
      <c r="O117513" s="209"/>
    </row>
    <row r="117514" spans="1:15" s="210" customFormat="1" x14ac:dyDescent="0.3">
      <c r="A117514" s="12"/>
      <c r="B117514" s="15"/>
      <c r="C117514" s="15"/>
      <c r="D117514" s="12"/>
      <c r="E117514" s="12"/>
      <c r="F117514" s="13"/>
      <c r="G117514" s="12"/>
      <c r="H117514" s="12"/>
      <c r="I117514" s="12"/>
      <c r="J117514" s="12"/>
      <c r="K117514" s="12"/>
      <c r="L117514" s="208"/>
      <c r="M117514" s="209"/>
      <c r="N117514" s="209"/>
      <c r="O117514" s="209"/>
    </row>
    <row r="117515" spans="1:15" s="210" customFormat="1" x14ac:dyDescent="0.3">
      <c r="A117515" s="12"/>
      <c r="B117515" s="15"/>
      <c r="C117515" s="15"/>
      <c r="D117515" s="12"/>
      <c r="E117515" s="12"/>
      <c r="F117515" s="13"/>
      <c r="G117515" s="12"/>
      <c r="H117515" s="12"/>
      <c r="I117515" s="12"/>
      <c r="J117515" s="12"/>
      <c r="K117515" s="12"/>
      <c r="L117515" s="208"/>
      <c r="M117515" s="209"/>
      <c r="N117515" s="209"/>
      <c r="O117515" s="209"/>
    </row>
    <row r="117516" spans="1:15" s="210" customFormat="1" x14ac:dyDescent="0.3">
      <c r="A117516" s="12"/>
      <c r="B117516" s="15"/>
      <c r="C117516" s="15"/>
      <c r="D117516" s="12"/>
      <c r="E117516" s="12"/>
      <c r="F117516" s="13"/>
      <c r="G117516" s="12"/>
      <c r="H117516" s="12"/>
      <c r="I117516" s="12"/>
      <c r="J117516" s="12"/>
      <c r="K117516" s="12"/>
      <c r="L117516" s="208"/>
      <c r="M117516" s="209"/>
      <c r="N117516" s="209"/>
      <c r="O117516" s="209"/>
    </row>
    <row r="117517" spans="1:15" s="210" customFormat="1" x14ac:dyDescent="0.3">
      <c r="A117517" s="12"/>
      <c r="B117517" s="15"/>
      <c r="C117517" s="15"/>
      <c r="D117517" s="12"/>
      <c r="E117517" s="12"/>
      <c r="F117517" s="13"/>
      <c r="G117517" s="12"/>
      <c r="H117517" s="12"/>
      <c r="I117517" s="12"/>
      <c r="J117517" s="12"/>
      <c r="K117517" s="12"/>
      <c r="L117517" s="208"/>
      <c r="M117517" s="209"/>
      <c r="N117517" s="209"/>
      <c r="O117517" s="209"/>
    </row>
    <row r="117518" spans="1:15" s="210" customFormat="1" x14ac:dyDescent="0.3">
      <c r="A117518" s="12"/>
      <c r="B117518" s="15"/>
      <c r="C117518" s="15"/>
      <c r="D117518" s="12"/>
      <c r="E117518" s="12"/>
      <c r="F117518" s="13"/>
      <c r="G117518" s="12"/>
      <c r="H117518" s="12"/>
      <c r="I117518" s="12"/>
      <c r="J117518" s="12"/>
      <c r="K117518" s="12"/>
      <c r="L117518" s="208"/>
      <c r="M117518" s="209"/>
      <c r="N117518" s="209"/>
      <c r="O117518" s="209"/>
    </row>
    <row r="117519" spans="1:15" s="210" customFormat="1" x14ac:dyDescent="0.3">
      <c r="A117519" s="12"/>
      <c r="B117519" s="15"/>
      <c r="C117519" s="15"/>
      <c r="D117519" s="12"/>
      <c r="E117519" s="12"/>
      <c r="F117519" s="13"/>
      <c r="G117519" s="12"/>
      <c r="H117519" s="12"/>
      <c r="I117519" s="12"/>
      <c r="J117519" s="12"/>
      <c r="K117519" s="12"/>
      <c r="L117519" s="208"/>
      <c r="M117519" s="209"/>
      <c r="N117519" s="209"/>
      <c r="O117519" s="209"/>
    </row>
    <row r="117520" spans="1:15" s="210" customFormat="1" x14ac:dyDescent="0.3">
      <c r="A117520" s="12"/>
      <c r="B117520" s="15"/>
      <c r="C117520" s="15"/>
      <c r="D117520" s="12"/>
      <c r="E117520" s="12"/>
      <c r="F117520" s="13"/>
      <c r="G117520" s="12"/>
      <c r="H117520" s="12"/>
      <c r="I117520" s="12"/>
      <c r="J117520" s="12"/>
      <c r="K117520" s="12"/>
      <c r="L117520" s="208"/>
      <c r="M117520" s="209"/>
      <c r="N117520" s="209"/>
      <c r="O117520" s="209"/>
    </row>
    <row r="117521" spans="1:15" s="210" customFormat="1" x14ac:dyDescent="0.3">
      <c r="A117521" s="12"/>
      <c r="B117521" s="15"/>
      <c r="C117521" s="15"/>
      <c r="D117521" s="12"/>
      <c r="E117521" s="12"/>
      <c r="F117521" s="13"/>
      <c r="G117521" s="12"/>
      <c r="H117521" s="12"/>
      <c r="I117521" s="12"/>
      <c r="J117521" s="12"/>
      <c r="K117521" s="12"/>
      <c r="L117521" s="208"/>
      <c r="M117521" s="209"/>
      <c r="N117521" s="209"/>
      <c r="O117521" s="209"/>
    </row>
    <row r="117522" spans="1:15" s="210" customFormat="1" x14ac:dyDescent="0.3">
      <c r="A117522" s="12"/>
      <c r="B117522" s="15"/>
      <c r="C117522" s="15"/>
      <c r="D117522" s="12"/>
      <c r="E117522" s="12"/>
      <c r="F117522" s="13"/>
      <c r="G117522" s="12"/>
      <c r="H117522" s="12"/>
      <c r="I117522" s="12"/>
      <c r="J117522" s="12"/>
      <c r="K117522" s="12"/>
      <c r="L117522" s="208"/>
      <c r="M117522" s="209"/>
      <c r="N117522" s="209"/>
      <c r="O117522" s="209"/>
    </row>
    <row r="117523" spans="1:15" s="210" customFormat="1" x14ac:dyDescent="0.3">
      <c r="A117523" s="12"/>
      <c r="B117523" s="15"/>
      <c r="C117523" s="15"/>
      <c r="D117523" s="12"/>
      <c r="E117523" s="12"/>
      <c r="F117523" s="13"/>
      <c r="G117523" s="12"/>
      <c r="H117523" s="12"/>
      <c r="I117523" s="12"/>
      <c r="J117523" s="12"/>
      <c r="K117523" s="12"/>
      <c r="L117523" s="208"/>
      <c r="M117523" s="209"/>
      <c r="N117523" s="209"/>
      <c r="O117523" s="209"/>
    </row>
    <row r="117524" spans="1:15" s="210" customFormat="1" x14ac:dyDescent="0.3">
      <c r="A117524" s="12"/>
      <c r="B117524" s="15"/>
      <c r="C117524" s="15"/>
      <c r="D117524" s="12"/>
      <c r="E117524" s="12"/>
      <c r="F117524" s="13"/>
      <c r="G117524" s="12"/>
      <c r="H117524" s="12"/>
      <c r="I117524" s="12"/>
      <c r="J117524" s="12"/>
      <c r="K117524" s="12"/>
      <c r="L117524" s="208"/>
      <c r="M117524" s="209"/>
      <c r="N117524" s="209"/>
      <c r="O117524" s="209"/>
    </row>
    <row r="117525" spans="1:15" s="210" customFormat="1" x14ac:dyDescent="0.3">
      <c r="A117525" s="12"/>
      <c r="B117525" s="15"/>
      <c r="C117525" s="15"/>
      <c r="D117525" s="12"/>
      <c r="E117525" s="12"/>
      <c r="F117525" s="13"/>
      <c r="G117525" s="12"/>
      <c r="H117525" s="12"/>
      <c r="I117525" s="12"/>
      <c r="J117525" s="12"/>
      <c r="K117525" s="12"/>
      <c r="L117525" s="208"/>
      <c r="M117525" s="209"/>
      <c r="N117525" s="209"/>
      <c r="O117525" s="209"/>
    </row>
    <row r="117526" spans="1:15" s="210" customFormat="1" x14ac:dyDescent="0.3">
      <c r="A117526" s="12"/>
      <c r="B117526" s="15"/>
      <c r="C117526" s="15"/>
      <c r="D117526" s="12"/>
      <c r="E117526" s="12"/>
      <c r="F117526" s="13"/>
      <c r="G117526" s="12"/>
      <c r="H117526" s="12"/>
      <c r="I117526" s="12"/>
      <c r="J117526" s="12"/>
      <c r="K117526" s="12"/>
      <c r="L117526" s="208"/>
      <c r="M117526" s="209"/>
      <c r="N117526" s="209"/>
      <c r="O117526" s="209"/>
    </row>
    <row r="117527" spans="1:15" s="210" customFormat="1" x14ac:dyDescent="0.3">
      <c r="A117527" s="12"/>
      <c r="B117527" s="15"/>
      <c r="C117527" s="15"/>
      <c r="D117527" s="12"/>
      <c r="E117527" s="12"/>
      <c r="F117527" s="13"/>
      <c r="G117527" s="12"/>
      <c r="H117527" s="12"/>
      <c r="I117527" s="12"/>
      <c r="J117527" s="12"/>
      <c r="K117527" s="12"/>
      <c r="L117527" s="208"/>
      <c r="M117527" s="209"/>
      <c r="N117527" s="209"/>
      <c r="O117527" s="209"/>
    </row>
    <row r="117528" spans="1:15" s="210" customFormat="1" x14ac:dyDescent="0.3">
      <c r="A117528" s="12"/>
      <c r="B117528" s="15"/>
      <c r="C117528" s="15"/>
      <c r="D117528" s="12"/>
      <c r="E117528" s="12"/>
      <c r="F117528" s="13"/>
      <c r="G117528" s="12"/>
      <c r="H117528" s="12"/>
      <c r="I117528" s="12"/>
      <c r="J117528" s="12"/>
      <c r="K117528" s="12"/>
      <c r="L117528" s="208"/>
      <c r="M117528" s="209"/>
      <c r="N117528" s="209"/>
      <c r="O117528" s="209"/>
    </row>
    <row r="117529" spans="1:15" s="210" customFormat="1" x14ac:dyDescent="0.3">
      <c r="A117529" s="12"/>
      <c r="B117529" s="15"/>
      <c r="C117529" s="15"/>
      <c r="D117529" s="12"/>
      <c r="E117529" s="12"/>
      <c r="F117529" s="13"/>
      <c r="G117529" s="12"/>
      <c r="H117529" s="12"/>
      <c r="I117529" s="12"/>
      <c r="J117529" s="12"/>
      <c r="K117529" s="12"/>
      <c r="L117529" s="208"/>
      <c r="M117529" s="209"/>
      <c r="N117529" s="209"/>
      <c r="O117529" s="209"/>
    </row>
    <row r="117530" spans="1:15" s="210" customFormat="1" x14ac:dyDescent="0.3">
      <c r="A117530" s="12"/>
      <c r="B117530" s="15"/>
      <c r="C117530" s="15"/>
      <c r="D117530" s="12"/>
      <c r="E117530" s="12"/>
      <c r="F117530" s="13"/>
      <c r="G117530" s="12"/>
      <c r="H117530" s="12"/>
      <c r="I117530" s="12"/>
      <c r="J117530" s="12"/>
      <c r="K117530" s="12"/>
      <c r="L117530" s="208"/>
      <c r="M117530" s="209"/>
      <c r="N117530" s="209"/>
      <c r="O117530" s="209"/>
    </row>
    <row r="117531" spans="1:15" s="210" customFormat="1" x14ac:dyDescent="0.3">
      <c r="A117531" s="12"/>
      <c r="B117531" s="15"/>
      <c r="C117531" s="15"/>
      <c r="D117531" s="12"/>
      <c r="E117531" s="12"/>
      <c r="F117531" s="13"/>
      <c r="G117531" s="12"/>
      <c r="H117531" s="12"/>
      <c r="I117531" s="12"/>
      <c r="J117531" s="12"/>
      <c r="K117531" s="12"/>
      <c r="L117531" s="208"/>
      <c r="M117531" s="209"/>
      <c r="N117531" s="209"/>
      <c r="O117531" s="209"/>
    </row>
    <row r="117532" spans="1:15" s="210" customFormat="1" x14ac:dyDescent="0.3">
      <c r="A117532" s="12"/>
      <c r="B117532" s="15"/>
      <c r="C117532" s="15"/>
      <c r="D117532" s="12"/>
      <c r="E117532" s="12"/>
      <c r="F117532" s="13"/>
      <c r="G117532" s="12"/>
      <c r="H117532" s="12"/>
      <c r="I117532" s="12"/>
      <c r="J117532" s="12"/>
      <c r="K117532" s="12"/>
      <c r="L117532" s="208"/>
      <c r="M117532" s="209"/>
      <c r="N117532" s="209"/>
      <c r="O117532" s="209"/>
    </row>
    <row r="117533" spans="1:15" s="210" customFormat="1" x14ac:dyDescent="0.3">
      <c r="A117533" s="12"/>
      <c r="B117533" s="15"/>
      <c r="C117533" s="15"/>
      <c r="D117533" s="12"/>
      <c r="E117533" s="12"/>
      <c r="F117533" s="13"/>
      <c r="G117533" s="12"/>
      <c r="H117533" s="12"/>
      <c r="I117533" s="12"/>
      <c r="J117533" s="12"/>
      <c r="K117533" s="12"/>
      <c r="L117533" s="208"/>
      <c r="M117533" s="209"/>
      <c r="N117533" s="209"/>
      <c r="O117533" s="209"/>
    </row>
    <row r="117534" spans="1:15" s="210" customFormat="1" x14ac:dyDescent="0.3">
      <c r="A117534" s="12"/>
      <c r="B117534" s="15"/>
      <c r="C117534" s="15"/>
      <c r="D117534" s="12"/>
      <c r="E117534" s="12"/>
      <c r="F117534" s="13"/>
      <c r="G117534" s="12"/>
      <c r="H117534" s="12"/>
      <c r="I117534" s="12"/>
      <c r="J117534" s="12"/>
      <c r="K117534" s="12"/>
      <c r="L117534" s="208"/>
      <c r="M117534" s="209"/>
      <c r="N117534" s="209"/>
      <c r="O117534" s="209"/>
    </row>
    <row r="117535" spans="1:15" s="210" customFormat="1" x14ac:dyDescent="0.3">
      <c r="A117535" s="12"/>
      <c r="B117535" s="15"/>
      <c r="C117535" s="15"/>
      <c r="D117535" s="12"/>
      <c r="E117535" s="12"/>
      <c r="F117535" s="13"/>
      <c r="G117535" s="12"/>
      <c r="H117535" s="12"/>
      <c r="I117535" s="12"/>
      <c r="J117535" s="12"/>
      <c r="K117535" s="12"/>
      <c r="L117535" s="208"/>
      <c r="M117535" s="209"/>
      <c r="N117535" s="209"/>
      <c r="O117535" s="209"/>
    </row>
    <row r="117536" spans="1:15" s="210" customFormat="1" x14ac:dyDescent="0.3">
      <c r="A117536" s="12"/>
      <c r="B117536" s="15"/>
      <c r="C117536" s="15"/>
      <c r="D117536" s="12"/>
      <c r="E117536" s="12"/>
      <c r="F117536" s="13"/>
      <c r="G117536" s="12"/>
      <c r="H117536" s="12"/>
      <c r="I117536" s="12"/>
      <c r="J117536" s="12"/>
      <c r="K117536" s="12"/>
      <c r="L117536" s="208"/>
      <c r="M117536" s="209"/>
      <c r="N117536" s="209"/>
      <c r="O117536" s="209"/>
    </row>
    <row r="117537" spans="1:15" s="210" customFormat="1" x14ac:dyDescent="0.3">
      <c r="A117537" s="12"/>
      <c r="B117537" s="15"/>
      <c r="C117537" s="15"/>
      <c r="D117537" s="12"/>
      <c r="E117537" s="12"/>
      <c r="F117537" s="13"/>
      <c r="G117537" s="12"/>
      <c r="H117537" s="12"/>
      <c r="I117537" s="12"/>
      <c r="J117537" s="12"/>
      <c r="K117537" s="12"/>
      <c r="L117537" s="208"/>
      <c r="M117537" s="209"/>
      <c r="N117537" s="209"/>
      <c r="O117537" s="209"/>
    </row>
    <row r="117538" spans="1:15" s="210" customFormat="1" x14ac:dyDescent="0.3">
      <c r="A117538" s="12"/>
      <c r="B117538" s="15"/>
      <c r="C117538" s="15"/>
      <c r="D117538" s="12"/>
      <c r="E117538" s="12"/>
      <c r="F117538" s="13"/>
      <c r="G117538" s="12"/>
      <c r="H117538" s="12"/>
      <c r="I117538" s="12"/>
      <c r="J117538" s="12"/>
      <c r="K117538" s="12"/>
      <c r="L117538" s="208"/>
      <c r="M117538" s="209"/>
      <c r="N117538" s="209"/>
      <c r="O117538" s="209"/>
    </row>
    <row r="117539" spans="1:15" s="210" customFormat="1" x14ac:dyDescent="0.3">
      <c r="A117539" s="12"/>
      <c r="B117539" s="15"/>
      <c r="C117539" s="15"/>
      <c r="D117539" s="12"/>
      <c r="E117539" s="12"/>
      <c r="F117539" s="13"/>
      <c r="G117539" s="12"/>
      <c r="H117539" s="12"/>
      <c r="I117539" s="12"/>
      <c r="J117539" s="12"/>
      <c r="K117539" s="12"/>
      <c r="L117539" s="208"/>
      <c r="M117539" s="209"/>
      <c r="N117539" s="209"/>
      <c r="O117539" s="209"/>
    </row>
    <row r="117540" spans="1:15" s="210" customFormat="1" x14ac:dyDescent="0.3">
      <c r="A117540" s="12"/>
      <c r="B117540" s="15"/>
      <c r="C117540" s="15"/>
      <c r="D117540" s="12"/>
      <c r="E117540" s="12"/>
      <c r="F117540" s="13"/>
      <c r="G117540" s="12"/>
      <c r="H117540" s="12"/>
      <c r="I117540" s="12"/>
      <c r="J117540" s="12"/>
      <c r="K117540" s="12"/>
      <c r="L117540" s="208"/>
      <c r="M117540" s="209"/>
      <c r="N117540" s="209"/>
      <c r="O117540" s="209"/>
    </row>
    <row r="117541" spans="1:15" s="210" customFormat="1" x14ac:dyDescent="0.3">
      <c r="A117541" s="12"/>
      <c r="B117541" s="15"/>
      <c r="C117541" s="15"/>
      <c r="D117541" s="12"/>
      <c r="E117541" s="12"/>
      <c r="F117541" s="13"/>
      <c r="G117541" s="12"/>
      <c r="H117541" s="12"/>
      <c r="I117541" s="12"/>
      <c r="J117541" s="12"/>
      <c r="K117541" s="12"/>
      <c r="L117541" s="208"/>
      <c r="M117541" s="209"/>
      <c r="N117541" s="209"/>
      <c r="O117541" s="209"/>
    </row>
    <row r="117542" spans="1:15" s="210" customFormat="1" x14ac:dyDescent="0.3">
      <c r="A117542" s="12"/>
      <c r="B117542" s="15"/>
      <c r="C117542" s="15"/>
      <c r="D117542" s="12"/>
      <c r="E117542" s="12"/>
      <c r="F117542" s="13"/>
      <c r="G117542" s="12"/>
      <c r="H117542" s="12"/>
      <c r="I117542" s="12"/>
      <c r="J117542" s="12"/>
      <c r="K117542" s="12"/>
      <c r="L117542" s="208"/>
      <c r="M117542" s="209"/>
      <c r="N117542" s="209"/>
      <c r="O117542" s="209"/>
    </row>
    <row r="117543" spans="1:15" s="210" customFormat="1" x14ac:dyDescent="0.3">
      <c r="A117543" s="12"/>
      <c r="B117543" s="15"/>
      <c r="C117543" s="15"/>
      <c r="D117543" s="12"/>
      <c r="E117543" s="12"/>
      <c r="F117543" s="13"/>
      <c r="G117543" s="12"/>
      <c r="H117543" s="12"/>
      <c r="I117543" s="12"/>
      <c r="J117543" s="12"/>
      <c r="K117543" s="12"/>
      <c r="L117543" s="208"/>
      <c r="M117543" s="209"/>
      <c r="N117543" s="209"/>
      <c r="O117543" s="209"/>
    </row>
    <row r="117544" spans="1:15" s="210" customFormat="1" x14ac:dyDescent="0.3">
      <c r="A117544" s="12"/>
      <c r="B117544" s="15"/>
      <c r="C117544" s="15"/>
      <c r="D117544" s="12"/>
      <c r="E117544" s="12"/>
      <c r="F117544" s="13"/>
      <c r="G117544" s="12"/>
      <c r="H117544" s="12"/>
      <c r="I117544" s="12"/>
      <c r="J117544" s="12"/>
      <c r="K117544" s="12"/>
      <c r="L117544" s="208"/>
      <c r="M117544" s="209"/>
      <c r="N117544" s="209"/>
      <c r="O117544" s="209"/>
    </row>
    <row r="117545" spans="1:15" s="210" customFormat="1" x14ac:dyDescent="0.3">
      <c r="A117545" s="12"/>
      <c r="B117545" s="15"/>
      <c r="C117545" s="15"/>
      <c r="D117545" s="12"/>
      <c r="E117545" s="12"/>
      <c r="F117545" s="13"/>
      <c r="G117545" s="12"/>
      <c r="H117545" s="12"/>
      <c r="I117545" s="12"/>
      <c r="J117545" s="12"/>
      <c r="K117545" s="12"/>
      <c r="L117545" s="208"/>
      <c r="M117545" s="209"/>
      <c r="N117545" s="209"/>
      <c r="O117545" s="209"/>
    </row>
    <row r="117546" spans="1:15" s="210" customFormat="1" x14ac:dyDescent="0.3">
      <c r="A117546" s="12"/>
      <c r="B117546" s="15"/>
      <c r="C117546" s="15"/>
      <c r="D117546" s="12"/>
      <c r="E117546" s="12"/>
      <c r="F117546" s="13"/>
      <c r="G117546" s="12"/>
      <c r="H117546" s="12"/>
      <c r="I117546" s="12"/>
      <c r="J117546" s="12"/>
      <c r="K117546" s="12"/>
      <c r="L117546" s="208"/>
      <c r="M117546" s="209"/>
      <c r="N117546" s="209"/>
      <c r="O117546" s="209"/>
    </row>
    <row r="117547" spans="1:15" s="210" customFormat="1" x14ac:dyDescent="0.3">
      <c r="A117547" s="12"/>
      <c r="B117547" s="15"/>
      <c r="C117547" s="15"/>
      <c r="D117547" s="12"/>
      <c r="E117547" s="12"/>
      <c r="F117547" s="13"/>
      <c r="G117547" s="12"/>
      <c r="H117547" s="12"/>
      <c r="I117547" s="12"/>
      <c r="J117547" s="12"/>
      <c r="K117547" s="12"/>
      <c r="L117547" s="208"/>
      <c r="M117547" s="209"/>
      <c r="N117547" s="209"/>
      <c r="O117547" s="209"/>
    </row>
    <row r="117548" spans="1:15" s="210" customFormat="1" x14ac:dyDescent="0.3">
      <c r="A117548" s="12"/>
      <c r="B117548" s="15"/>
      <c r="C117548" s="15"/>
      <c r="D117548" s="12"/>
      <c r="E117548" s="12"/>
      <c r="F117548" s="13"/>
      <c r="G117548" s="12"/>
      <c r="H117548" s="12"/>
      <c r="I117548" s="12"/>
      <c r="J117548" s="12"/>
      <c r="K117548" s="12"/>
      <c r="L117548" s="208"/>
      <c r="M117548" s="209"/>
      <c r="N117548" s="209"/>
      <c r="O117548" s="209"/>
    </row>
    <row r="117549" spans="1:15" s="210" customFormat="1" x14ac:dyDescent="0.3">
      <c r="A117549" s="12"/>
      <c r="B117549" s="15"/>
      <c r="C117549" s="15"/>
      <c r="D117549" s="12"/>
      <c r="E117549" s="12"/>
      <c r="F117549" s="13"/>
      <c r="G117549" s="12"/>
      <c r="H117549" s="12"/>
      <c r="I117549" s="12"/>
      <c r="J117549" s="12"/>
      <c r="K117549" s="12"/>
      <c r="L117549" s="208"/>
      <c r="M117549" s="209"/>
      <c r="N117549" s="209"/>
      <c r="O117549" s="209"/>
    </row>
    <row r="117550" spans="1:15" s="210" customFormat="1" x14ac:dyDescent="0.3">
      <c r="A117550" s="12"/>
      <c r="B117550" s="15"/>
      <c r="C117550" s="15"/>
      <c r="D117550" s="12"/>
      <c r="E117550" s="12"/>
      <c r="F117550" s="13"/>
      <c r="G117550" s="12"/>
      <c r="H117550" s="12"/>
      <c r="I117550" s="12"/>
      <c r="J117550" s="12"/>
      <c r="K117550" s="12"/>
      <c r="L117550" s="208"/>
      <c r="M117550" s="209"/>
      <c r="N117550" s="209"/>
      <c r="O117550" s="209"/>
    </row>
    <row r="117551" spans="1:15" s="210" customFormat="1" x14ac:dyDescent="0.3">
      <c r="A117551" s="12"/>
      <c r="B117551" s="15"/>
      <c r="C117551" s="15"/>
      <c r="D117551" s="12"/>
      <c r="E117551" s="12"/>
      <c r="F117551" s="13"/>
      <c r="G117551" s="12"/>
      <c r="H117551" s="12"/>
      <c r="I117551" s="12"/>
      <c r="J117551" s="12"/>
      <c r="K117551" s="12"/>
      <c r="L117551" s="208"/>
      <c r="M117551" s="209"/>
      <c r="N117551" s="209"/>
      <c r="O117551" s="209"/>
    </row>
    <row r="117552" spans="1:15" s="210" customFormat="1" x14ac:dyDescent="0.3">
      <c r="A117552" s="12"/>
      <c r="B117552" s="15"/>
      <c r="C117552" s="15"/>
      <c r="D117552" s="12"/>
      <c r="E117552" s="12"/>
      <c r="F117552" s="13"/>
      <c r="G117552" s="12"/>
      <c r="H117552" s="12"/>
      <c r="I117552" s="12"/>
      <c r="J117552" s="12"/>
      <c r="K117552" s="12"/>
      <c r="L117552" s="208"/>
      <c r="M117552" s="209"/>
      <c r="N117552" s="209"/>
      <c r="O117552" s="209"/>
    </row>
    <row r="117553" spans="1:15" s="210" customFormat="1" x14ac:dyDescent="0.3">
      <c r="A117553" s="12"/>
      <c r="B117553" s="15"/>
      <c r="C117553" s="15"/>
      <c r="D117553" s="12"/>
      <c r="E117553" s="12"/>
      <c r="F117553" s="13"/>
      <c r="G117553" s="12"/>
      <c r="H117553" s="12"/>
      <c r="I117553" s="12"/>
      <c r="J117553" s="12"/>
      <c r="K117553" s="12"/>
      <c r="L117553" s="208"/>
      <c r="M117553" s="209"/>
      <c r="N117553" s="209"/>
      <c r="O117553" s="209"/>
    </row>
    <row r="117554" spans="1:15" s="210" customFormat="1" x14ac:dyDescent="0.3">
      <c r="A117554" s="12"/>
      <c r="B117554" s="15"/>
      <c r="C117554" s="15"/>
      <c r="D117554" s="12"/>
      <c r="E117554" s="12"/>
      <c r="F117554" s="13"/>
      <c r="G117554" s="12"/>
      <c r="H117554" s="12"/>
      <c r="I117554" s="12"/>
      <c r="J117554" s="12"/>
      <c r="K117554" s="12"/>
      <c r="L117554" s="208"/>
      <c r="M117554" s="209"/>
      <c r="N117554" s="209"/>
      <c r="O117554" s="209"/>
    </row>
    <row r="117555" spans="1:15" s="210" customFormat="1" x14ac:dyDescent="0.3">
      <c r="A117555" s="12"/>
      <c r="B117555" s="15"/>
      <c r="C117555" s="15"/>
      <c r="D117555" s="12"/>
      <c r="E117555" s="12"/>
      <c r="F117555" s="13"/>
      <c r="G117555" s="12"/>
      <c r="H117555" s="12"/>
      <c r="I117555" s="12"/>
      <c r="J117555" s="12"/>
      <c r="K117555" s="12"/>
      <c r="L117555" s="208"/>
      <c r="M117555" s="209"/>
      <c r="N117555" s="209"/>
      <c r="O117555" s="209"/>
    </row>
    <row r="117556" spans="1:15" s="210" customFormat="1" x14ac:dyDescent="0.3">
      <c r="A117556" s="12"/>
      <c r="B117556" s="15"/>
      <c r="C117556" s="15"/>
      <c r="D117556" s="12"/>
      <c r="E117556" s="12"/>
      <c r="F117556" s="13"/>
      <c r="G117556" s="12"/>
      <c r="H117556" s="12"/>
      <c r="I117556" s="12"/>
      <c r="J117556" s="12"/>
      <c r="K117556" s="12"/>
      <c r="L117556" s="208"/>
      <c r="M117556" s="209"/>
      <c r="N117556" s="209"/>
      <c r="O117556" s="209"/>
    </row>
    <row r="117557" spans="1:15" s="210" customFormat="1" x14ac:dyDescent="0.3">
      <c r="A117557" s="12"/>
      <c r="B117557" s="15"/>
      <c r="C117557" s="15"/>
      <c r="D117557" s="12"/>
      <c r="E117557" s="12"/>
      <c r="F117557" s="13"/>
      <c r="G117557" s="12"/>
      <c r="H117557" s="12"/>
      <c r="I117557" s="12"/>
      <c r="J117557" s="12"/>
      <c r="K117557" s="12"/>
      <c r="L117557" s="208"/>
      <c r="M117557" s="209"/>
      <c r="N117557" s="209"/>
      <c r="O117557" s="209"/>
    </row>
    <row r="117558" spans="1:15" s="210" customFormat="1" x14ac:dyDescent="0.3">
      <c r="A117558" s="12"/>
      <c r="B117558" s="15"/>
      <c r="C117558" s="15"/>
      <c r="D117558" s="12"/>
      <c r="E117558" s="12"/>
      <c r="F117558" s="13"/>
      <c r="G117558" s="12"/>
      <c r="H117558" s="12"/>
      <c r="I117558" s="12"/>
      <c r="J117558" s="12"/>
      <c r="K117558" s="12"/>
      <c r="L117558" s="208"/>
      <c r="M117558" s="209"/>
      <c r="N117558" s="209"/>
      <c r="O117558" s="209"/>
    </row>
    <row r="117559" spans="1:15" s="210" customFormat="1" x14ac:dyDescent="0.3">
      <c r="A117559" s="12"/>
      <c r="B117559" s="15"/>
      <c r="C117559" s="15"/>
      <c r="D117559" s="12"/>
      <c r="E117559" s="12"/>
      <c r="F117559" s="13"/>
      <c r="G117559" s="12"/>
      <c r="H117559" s="12"/>
      <c r="I117559" s="12"/>
      <c r="J117559" s="12"/>
      <c r="K117559" s="12"/>
      <c r="L117559" s="208"/>
      <c r="M117559" s="209"/>
      <c r="N117559" s="209"/>
      <c r="O117559" s="209"/>
    </row>
    <row r="117560" spans="1:15" s="210" customFormat="1" x14ac:dyDescent="0.3">
      <c r="A117560" s="12"/>
      <c r="B117560" s="15"/>
      <c r="C117560" s="15"/>
      <c r="D117560" s="12"/>
      <c r="E117560" s="12"/>
      <c r="F117560" s="13"/>
      <c r="G117560" s="12"/>
      <c r="H117560" s="12"/>
      <c r="I117560" s="12"/>
      <c r="J117560" s="12"/>
      <c r="K117560" s="12"/>
      <c r="L117560" s="208"/>
      <c r="M117560" s="209"/>
      <c r="N117560" s="209"/>
      <c r="O117560" s="209"/>
    </row>
    <row r="117561" spans="1:15" s="210" customFormat="1" x14ac:dyDescent="0.3">
      <c r="A117561" s="12"/>
      <c r="B117561" s="15"/>
      <c r="C117561" s="15"/>
      <c r="D117561" s="12"/>
      <c r="E117561" s="12"/>
      <c r="F117561" s="13"/>
      <c r="G117561" s="12"/>
      <c r="H117561" s="12"/>
      <c r="I117561" s="12"/>
      <c r="J117561" s="12"/>
      <c r="K117561" s="12"/>
      <c r="L117561" s="208"/>
      <c r="M117561" s="209"/>
      <c r="N117561" s="209"/>
      <c r="O117561" s="209"/>
    </row>
    <row r="117562" spans="1:15" s="210" customFormat="1" x14ac:dyDescent="0.3">
      <c r="A117562" s="12"/>
      <c r="B117562" s="15"/>
      <c r="C117562" s="15"/>
      <c r="D117562" s="12"/>
      <c r="E117562" s="12"/>
      <c r="F117562" s="13"/>
      <c r="G117562" s="12"/>
      <c r="H117562" s="12"/>
      <c r="I117562" s="12"/>
      <c r="J117562" s="12"/>
      <c r="K117562" s="12"/>
      <c r="L117562" s="208"/>
      <c r="M117562" s="209"/>
      <c r="N117562" s="209"/>
      <c r="O117562" s="209"/>
    </row>
    <row r="117563" spans="1:15" s="210" customFormat="1" x14ac:dyDescent="0.3">
      <c r="A117563" s="12"/>
      <c r="B117563" s="15"/>
      <c r="C117563" s="15"/>
      <c r="D117563" s="12"/>
      <c r="E117563" s="12"/>
      <c r="F117563" s="13"/>
      <c r="G117563" s="12"/>
      <c r="H117563" s="12"/>
      <c r="I117563" s="12"/>
      <c r="J117563" s="12"/>
      <c r="K117563" s="12"/>
      <c r="L117563" s="208"/>
      <c r="M117563" s="209"/>
      <c r="N117563" s="209"/>
      <c r="O117563" s="209"/>
    </row>
    <row r="117564" spans="1:15" s="210" customFormat="1" x14ac:dyDescent="0.3">
      <c r="A117564" s="12"/>
      <c r="B117564" s="15"/>
      <c r="C117564" s="15"/>
      <c r="D117564" s="12"/>
      <c r="E117564" s="12"/>
      <c r="F117564" s="13"/>
      <c r="G117564" s="12"/>
      <c r="H117564" s="12"/>
      <c r="I117564" s="12"/>
      <c r="J117564" s="12"/>
      <c r="K117564" s="12"/>
      <c r="L117564" s="208"/>
      <c r="M117564" s="209"/>
      <c r="N117564" s="209"/>
      <c r="O117564" s="209"/>
    </row>
    <row r="117565" spans="1:15" s="210" customFormat="1" x14ac:dyDescent="0.3">
      <c r="A117565" s="12"/>
      <c r="B117565" s="15"/>
      <c r="C117565" s="15"/>
      <c r="D117565" s="12"/>
      <c r="E117565" s="12"/>
      <c r="F117565" s="13"/>
      <c r="G117565" s="12"/>
      <c r="H117565" s="12"/>
      <c r="I117565" s="12"/>
      <c r="J117565" s="12"/>
      <c r="K117565" s="12"/>
      <c r="L117565" s="208"/>
      <c r="M117565" s="209"/>
      <c r="N117565" s="209"/>
      <c r="O117565" s="209"/>
    </row>
    <row r="117566" spans="1:15" s="210" customFormat="1" x14ac:dyDescent="0.3">
      <c r="A117566" s="12"/>
      <c r="B117566" s="15"/>
      <c r="C117566" s="15"/>
      <c r="D117566" s="12"/>
      <c r="E117566" s="12"/>
      <c r="F117566" s="13"/>
      <c r="G117566" s="12"/>
      <c r="H117566" s="12"/>
      <c r="I117566" s="12"/>
      <c r="J117566" s="12"/>
      <c r="K117566" s="12"/>
      <c r="L117566" s="208"/>
      <c r="M117566" s="209"/>
      <c r="N117566" s="209"/>
      <c r="O117566" s="209"/>
    </row>
    <row r="117567" spans="1:15" s="210" customFormat="1" x14ac:dyDescent="0.3">
      <c r="A117567" s="12"/>
      <c r="B117567" s="15"/>
      <c r="C117567" s="15"/>
      <c r="D117567" s="12"/>
      <c r="E117567" s="12"/>
      <c r="F117567" s="13"/>
      <c r="G117567" s="12"/>
      <c r="H117567" s="12"/>
      <c r="I117567" s="12"/>
      <c r="J117567" s="12"/>
      <c r="K117567" s="12"/>
      <c r="L117567" s="208"/>
      <c r="M117567" s="209"/>
      <c r="N117567" s="209"/>
      <c r="O117567" s="209"/>
    </row>
    <row r="117568" spans="1:15" s="210" customFormat="1" x14ac:dyDescent="0.3">
      <c r="A117568" s="12"/>
      <c r="B117568" s="15"/>
      <c r="C117568" s="15"/>
      <c r="D117568" s="12"/>
      <c r="E117568" s="12"/>
      <c r="F117568" s="13"/>
      <c r="G117568" s="12"/>
      <c r="H117568" s="12"/>
      <c r="I117568" s="12"/>
      <c r="J117568" s="12"/>
      <c r="K117568" s="12"/>
      <c r="L117568" s="208"/>
      <c r="M117568" s="209"/>
      <c r="N117568" s="209"/>
      <c r="O117568" s="209"/>
    </row>
    <row r="117569" spans="1:15" s="210" customFormat="1" x14ac:dyDescent="0.3">
      <c r="A117569" s="12"/>
      <c r="B117569" s="15"/>
      <c r="C117569" s="15"/>
      <c r="D117569" s="12"/>
      <c r="E117569" s="12"/>
      <c r="F117569" s="13"/>
      <c r="G117569" s="12"/>
      <c r="H117569" s="12"/>
      <c r="I117569" s="12"/>
      <c r="J117569" s="12"/>
      <c r="K117569" s="12"/>
      <c r="L117569" s="208"/>
      <c r="M117569" s="209"/>
      <c r="N117569" s="209"/>
      <c r="O117569" s="209"/>
    </row>
    <row r="117570" spans="1:15" s="210" customFormat="1" x14ac:dyDescent="0.3">
      <c r="A117570" s="12"/>
      <c r="B117570" s="15"/>
      <c r="C117570" s="15"/>
      <c r="D117570" s="12"/>
      <c r="E117570" s="12"/>
      <c r="F117570" s="13"/>
      <c r="G117570" s="12"/>
      <c r="H117570" s="12"/>
      <c r="I117570" s="12"/>
      <c r="J117570" s="12"/>
      <c r="K117570" s="12"/>
      <c r="L117570" s="208"/>
      <c r="M117570" s="209"/>
      <c r="N117570" s="209"/>
      <c r="O117570" s="209"/>
    </row>
    <row r="117571" spans="1:15" s="210" customFormat="1" x14ac:dyDescent="0.3">
      <c r="A117571" s="12"/>
      <c r="B117571" s="15"/>
      <c r="C117571" s="15"/>
      <c r="D117571" s="12"/>
      <c r="E117571" s="12"/>
      <c r="F117571" s="13"/>
      <c r="G117571" s="12"/>
      <c r="H117571" s="12"/>
      <c r="I117571" s="12"/>
      <c r="J117571" s="12"/>
      <c r="K117571" s="12"/>
      <c r="L117571" s="208"/>
      <c r="M117571" s="209"/>
      <c r="N117571" s="209"/>
      <c r="O117571" s="209"/>
    </row>
    <row r="117572" spans="1:15" s="210" customFormat="1" x14ac:dyDescent="0.3">
      <c r="A117572" s="12"/>
      <c r="B117572" s="15"/>
      <c r="C117572" s="15"/>
      <c r="D117572" s="12"/>
      <c r="E117572" s="12"/>
      <c r="F117572" s="13"/>
      <c r="G117572" s="12"/>
      <c r="H117572" s="12"/>
      <c r="I117572" s="12"/>
      <c r="J117572" s="12"/>
      <c r="K117572" s="12"/>
      <c r="L117572" s="208"/>
      <c r="M117572" s="209"/>
      <c r="N117572" s="209"/>
      <c r="O117572" s="209"/>
    </row>
    <row r="117573" spans="1:15" s="210" customFormat="1" x14ac:dyDescent="0.3">
      <c r="A117573" s="12"/>
      <c r="B117573" s="15"/>
      <c r="C117573" s="15"/>
      <c r="D117573" s="12"/>
      <c r="E117573" s="12"/>
      <c r="F117573" s="13"/>
      <c r="G117573" s="12"/>
      <c r="H117573" s="12"/>
      <c r="I117573" s="12"/>
      <c r="J117573" s="12"/>
      <c r="K117573" s="12"/>
      <c r="L117573" s="208"/>
      <c r="M117573" s="209"/>
      <c r="N117573" s="209"/>
      <c r="O117573" s="209"/>
    </row>
    <row r="117574" spans="1:15" s="210" customFormat="1" x14ac:dyDescent="0.3">
      <c r="A117574" s="12"/>
      <c r="B117574" s="15"/>
      <c r="C117574" s="15"/>
      <c r="D117574" s="12"/>
      <c r="E117574" s="12"/>
      <c r="F117574" s="13"/>
      <c r="G117574" s="12"/>
      <c r="H117574" s="12"/>
      <c r="I117574" s="12"/>
      <c r="J117574" s="12"/>
      <c r="K117574" s="12"/>
      <c r="L117574" s="208"/>
      <c r="M117574" s="209"/>
      <c r="N117574" s="209"/>
      <c r="O117574" s="209"/>
    </row>
    <row r="117575" spans="1:15" s="210" customFormat="1" x14ac:dyDescent="0.3">
      <c r="A117575" s="12"/>
      <c r="B117575" s="15"/>
      <c r="C117575" s="15"/>
      <c r="D117575" s="12"/>
      <c r="E117575" s="12"/>
      <c r="F117575" s="13"/>
      <c r="G117575" s="12"/>
      <c r="H117575" s="12"/>
      <c r="I117575" s="12"/>
      <c r="J117575" s="12"/>
      <c r="K117575" s="12"/>
      <c r="L117575" s="208"/>
      <c r="M117575" s="209"/>
      <c r="N117575" s="209"/>
      <c r="O117575" s="209"/>
    </row>
    <row r="117576" spans="1:15" s="210" customFormat="1" x14ac:dyDescent="0.3">
      <c r="A117576" s="12"/>
      <c r="B117576" s="15"/>
      <c r="C117576" s="15"/>
      <c r="D117576" s="12"/>
      <c r="E117576" s="12"/>
      <c r="F117576" s="13"/>
      <c r="G117576" s="12"/>
      <c r="H117576" s="12"/>
      <c r="I117576" s="12"/>
      <c r="J117576" s="12"/>
      <c r="K117576" s="12"/>
      <c r="L117576" s="208"/>
      <c r="M117576" s="209"/>
      <c r="N117576" s="209"/>
      <c r="O117576" s="209"/>
    </row>
    <row r="117577" spans="1:15" s="210" customFormat="1" x14ac:dyDescent="0.3">
      <c r="A117577" s="12"/>
      <c r="B117577" s="15"/>
      <c r="C117577" s="15"/>
      <c r="D117577" s="12"/>
      <c r="E117577" s="12"/>
      <c r="F117577" s="13"/>
      <c r="G117577" s="12"/>
      <c r="H117577" s="12"/>
      <c r="I117577" s="12"/>
      <c r="J117577" s="12"/>
      <c r="K117577" s="12"/>
      <c r="L117577" s="208"/>
      <c r="M117577" s="209"/>
      <c r="N117577" s="209"/>
      <c r="O117577" s="209"/>
    </row>
    <row r="117578" spans="1:15" s="210" customFormat="1" x14ac:dyDescent="0.3">
      <c r="A117578" s="12"/>
      <c r="B117578" s="15"/>
      <c r="C117578" s="15"/>
      <c r="D117578" s="12"/>
      <c r="E117578" s="12"/>
      <c r="F117578" s="13"/>
      <c r="G117578" s="12"/>
      <c r="H117578" s="12"/>
      <c r="I117578" s="12"/>
      <c r="J117578" s="12"/>
      <c r="K117578" s="12"/>
      <c r="L117578" s="208"/>
      <c r="M117578" s="209"/>
      <c r="N117578" s="209"/>
      <c r="O117578" s="209"/>
    </row>
    <row r="117579" spans="1:15" s="210" customFormat="1" x14ac:dyDescent="0.3">
      <c r="A117579" s="12"/>
      <c r="B117579" s="15"/>
      <c r="C117579" s="15"/>
      <c r="D117579" s="12"/>
      <c r="E117579" s="12"/>
      <c r="F117579" s="13"/>
      <c r="G117579" s="12"/>
      <c r="H117579" s="12"/>
      <c r="I117579" s="12"/>
      <c r="J117579" s="12"/>
      <c r="K117579" s="12"/>
      <c r="L117579" s="208"/>
      <c r="M117579" s="209"/>
      <c r="N117579" s="209"/>
      <c r="O117579" s="209"/>
    </row>
    <row r="117580" spans="1:15" s="210" customFormat="1" x14ac:dyDescent="0.3">
      <c r="A117580" s="12"/>
      <c r="B117580" s="15"/>
      <c r="C117580" s="15"/>
      <c r="D117580" s="12"/>
      <c r="E117580" s="12"/>
      <c r="F117580" s="13"/>
      <c r="G117580" s="12"/>
      <c r="H117580" s="12"/>
      <c r="I117580" s="12"/>
      <c r="J117580" s="12"/>
      <c r="K117580" s="12"/>
      <c r="L117580" s="208"/>
      <c r="M117580" s="209"/>
      <c r="N117580" s="209"/>
      <c r="O117580" s="209"/>
    </row>
    <row r="117581" spans="1:15" s="210" customFormat="1" x14ac:dyDescent="0.3">
      <c r="A117581" s="12"/>
      <c r="B117581" s="15"/>
      <c r="C117581" s="15"/>
      <c r="D117581" s="12"/>
      <c r="E117581" s="12"/>
      <c r="F117581" s="13"/>
      <c r="G117581" s="12"/>
      <c r="H117581" s="12"/>
      <c r="I117581" s="12"/>
      <c r="J117581" s="12"/>
      <c r="K117581" s="12"/>
      <c r="L117581" s="208"/>
      <c r="M117581" s="209"/>
      <c r="N117581" s="209"/>
      <c r="O117581" s="209"/>
    </row>
    <row r="117582" spans="1:15" s="210" customFormat="1" x14ac:dyDescent="0.3">
      <c r="A117582" s="12"/>
      <c r="B117582" s="15"/>
      <c r="C117582" s="15"/>
      <c r="D117582" s="12"/>
      <c r="E117582" s="12"/>
      <c r="F117582" s="13"/>
      <c r="G117582" s="12"/>
      <c r="H117582" s="12"/>
      <c r="I117582" s="12"/>
      <c r="J117582" s="12"/>
      <c r="K117582" s="12"/>
      <c r="L117582" s="208"/>
      <c r="M117582" s="209"/>
      <c r="N117582" s="209"/>
      <c r="O117582" s="209"/>
    </row>
    <row r="117583" spans="1:15" s="210" customFormat="1" x14ac:dyDescent="0.3">
      <c r="A117583" s="12"/>
      <c r="B117583" s="15"/>
      <c r="C117583" s="15"/>
      <c r="D117583" s="12"/>
      <c r="E117583" s="12"/>
      <c r="F117583" s="13"/>
      <c r="G117583" s="12"/>
      <c r="H117583" s="12"/>
      <c r="I117583" s="12"/>
      <c r="J117583" s="12"/>
      <c r="K117583" s="12"/>
      <c r="L117583" s="208"/>
      <c r="M117583" s="209"/>
      <c r="N117583" s="209"/>
      <c r="O117583" s="209"/>
    </row>
    <row r="117584" spans="1:15" s="210" customFormat="1" x14ac:dyDescent="0.3">
      <c r="A117584" s="12"/>
      <c r="B117584" s="15"/>
      <c r="C117584" s="15"/>
      <c r="D117584" s="12"/>
      <c r="E117584" s="12"/>
      <c r="F117584" s="13"/>
      <c r="G117584" s="12"/>
      <c r="H117584" s="12"/>
      <c r="I117584" s="12"/>
      <c r="J117584" s="12"/>
      <c r="K117584" s="12"/>
      <c r="L117584" s="208"/>
      <c r="M117584" s="209"/>
      <c r="N117584" s="209"/>
      <c r="O117584" s="209"/>
    </row>
    <row r="117585" spans="1:15" s="210" customFormat="1" x14ac:dyDescent="0.3">
      <c r="A117585" s="12"/>
      <c r="B117585" s="15"/>
      <c r="C117585" s="15"/>
      <c r="D117585" s="12"/>
      <c r="E117585" s="12"/>
      <c r="F117585" s="13"/>
      <c r="G117585" s="12"/>
      <c r="H117585" s="12"/>
      <c r="I117585" s="12"/>
      <c r="J117585" s="12"/>
      <c r="K117585" s="12"/>
      <c r="L117585" s="208"/>
      <c r="M117585" s="209"/>
      <c r="N117585" s="209"/>
      <c r="O117585" s="209"/>
    </row>
    <row r="117586" spans="1:15" s="210" customFormat="1" x14ac:dyDescent="0.3">
      <c r="A117586" s="12"/>
      <c r="B117586" s="15"/>
      <c r="C117586" s="15"/>
      <c r="D117586" s="12"/>
      <c r="E117586" s="12"/>
      <c r="F117586" s="13"/>
      <c r="G117586" s="12"/>
      <c r="H117586" s="12"/>
      <c r="I117586" s="12"/>
      <c r="J117586" s="12"/>
      <c r="K117586" s="12"/>
      <c r="L117586" s="208"/>
      <c r="M117586" s="209"/>
      <c r="N117586" s="209"/>
      <c r="O117586" s="209"/>
    </row>
    <row r="117587" spans="1:15" s="210" customFormat="1" x14ac:dyDescent="0.3">
      <c r="A117587" s="12"/>
      <c r="B117587" s="15"/>
      <c r="C117587" s="15"/>
      <c r="D117587" s="12"/>
      <c r="E117587" s="12"/>
      <c r="F117587" s="13"/>
      <c r="G117587" s="12"/>
      <c r="H117587" s="12"/>
      <c r="I117587" s="12"/>
      <c r="J117587" s="12"/>
      <c r="K117587" s="12"/>
      <c r="L117587" s="208"/>
      <c r="M117587" s="209"/>
      <c r="N117587" s="209"/>
      <c r="O117587" s="209"/>
    </row>
    <row r="117588" spans="1:15" s="210" customFormat="1" x14ac:dyDescent="0.3">
      <c r="A117588" s="12"/>
      <c r="B117588" s="15"/>
      <c r="C117588" s="15"/>
      <c r="D117588" s="12"/>
      <c r="E117588" s="12"/>
      <c r="F117588" s="13"/>
      <c r="G117588" s="12"/>
      <c r="H117588" s="12"/>
      <c r="I117588" s="12"/>
      <c r="J117588" s="12"/>
      <c r="K117588" s="12"/>
      <c r="L117588" s="208"/>
      <c r="M117588" s="209"/>
      <c r="N117588" s="209"/>
      <c r="O117588" s="209"/>
    </row>
    <row r="117589" spans="1:15" s="210" customFormat="1" x14ac:dyDescent="0.3">
      <c r="A117589" s="12"/>
      <c r="B117589" s="15"/>
      <c r="C117589" s="15"/>
      <c r="D117589" s="12"/>
      <c r="E117589" s="12"/>
      <c r="F117589" s="13"/>
      <c r="G117589" s="12"/>
      <c r="H117589" s="12"/>
      <c r="I117589" s="12"/>
      <c r="J117589" s="12"/>
      <c r="K117589" s="12"/>
      <c r="L117589" s="208"/>
      <c r="M117589" s="209"/>
      <c r="N117589" s="209"/>
      <c r="O117589" s="209"/>
    </row>
    <row r="117590" spans="1:15" s="210" customFormat="1" x14ac:dyDescent="0.3">
      <c r="A117590" s="12"/>
      <c r="B117590" s="15"/>
      <c r="C117590" s="15"/>
      <c r="D117590" s="12"/>
      <c r="E117590" s="12"/>
      <c r="F117590" s="13"/>
      <c r="G117590" s="12"/>
      <c r="H117590" s="12"/>
      <c r="I117590" s="12"/>
      <c r="J117590" s="12"/>
      <c r="K117590" s="12"/>
      <c r="L117590" s="208"/>
      <c r="M117590" s="209"/>
      <c r="N117590" s="209"/>
      <c r="O117590" s="209"/>
    </row>
    <row r="117591" spans="1:15" s="210" customFormat="1" x14ac:dyDescent="0.3">
      <c r="A117591" s="12"/>
      <c r="B117591" s="15"/>
      <c r="C117591" s="15"/>
      <c r="D117591" s="12"/>
      <c r="E117591" s="12"/>
      <c r="F117591" s="13"/>
      <c r="G117591" s="12"/>
      <c r="H117591" s="12"/>
      <c r="I117591" s="12"/>
      <c r="J117591" s="12"/>
      <c r="K117591" s="12"/>
      <c r="L117591" s="208"/>
      <c r="M117591" s="209"/>
      <c r="N117591" s="209"/>
      <c r="O117591" s="209"/>
    </row>
    <row r="117592" spans="1:15" s="210" customFormat="1" x14ac:dyDescent="0.3">
      <c r="A117592" s="12"/>
      <c r="B117592" s="15"/>
      <c r="C117592" s="15"/>
      <c r="D117592" s="12"/>
      <c r="E117592" s="12"/>
      <c r="F117592" s="13"/>
      <c r="G117592" s="12"/>
      <c r="H117592" s="12"/>
      <c r="I117592" s="12"/>
      <c r="J117592" s="12"/>
      <c r="K117592" s="12"/>
      <c r="L117592" s="208"/>
      <c r="M117592" s="209"/>
      <c r="N117592" s="209"/>
      <c r="O117592" s="209"/>
    </row>
    <row r="117593" spans="1:15" s="210" customFormat="1" x14ac:dyDescent="0.3">
      <c r="A117593" s="12"/>
      <c r="B117593" s="15"/>
      <c r="C117593" s="15"/>
      <c r="D117593" s="12"/>
      <c r="E117593" s="12"/>
      <c r="F117593" s="13"/>
      <c r="G117593" s="12"/>
      <c r="H117593" s="12"/>
      <c r="I117593" s="12"/>
      <c r="J117593" s="12"/>
      <c r="K117593" s="12"/>
      <c r="L117593" s="208"/>
      <c r="M117593" s="209"/>
      <c r="N117593" s="209"/>
      <c r="O117593" s="209"/>
    </row>
    <row r="117594" spans="1:15" s="210" customFormat="1" x14ac:dyDescent="0.3">
      <c r="A117594" s="12"/>
      <c r="B117594" s="15"/>
      <c r="C117594" s="15"/>
      <c r="D117594" s="12"/>
      <c r="E117594" s="12"/>
      <c r="F117594" s="13"/>
      <c r="G117594" s="12"/>
      <c r="H117594" s="12"/>
      <c r="I117594" s="12"/>
      <c r="J117594" s="12"/>
      <c r="K117594" s="12"/>
      <c r="L117594" s="208"/>
      <c r="M117594" s="209"/>
      <c r="N117594" s="209"/>
      <c r="O117594" s="209"/>
    </row>
    <row r="117595" spans="1:15" s="210" customFormat="1" x14ac:dyDescent="0.3">
      <c r="A117595" s="12"/>
      <c r="B117595" s="15"/>
      <c r="C117595" s="15"/>
      <c r="D117595" s="12"/>
      <c r="E117595" s="12"/>
      <c r="F117595" s="13"/>
      <c r="G117595" s="12"/>
      <c r="H117595" s="12"/>
      <c r="I117595" s="12"/>
      <c r="J117595" s="12"/>
      <c r="K117595" s="12"/>
      <c r="L117595" s="208"/>
      <c r="M117595" s="209"/>
      <c r="N117595" s="209"/>
      <c r="O117595" s="209"/>
    </row>
    <row r="117596" spans="1:15" s="210" customFormat="1" x14ac:dyDescent="0.3">
      <c r="A117596" s="12"/>
      <c r="B117596" s="15"/>
      <c r="C117596" s="15"/>
      <c r="D117596" s="12"/>
      <c r="E117596" s="12"/>
      <c r="F117596" s="13"/>
      <c r="G117596" s="12"/>
      <c r="H117596" s="12"/>
      <c r="I117596" s="12"/>
      <c r="J117596" s="12"/>
      <c r="K117596" s="12"/>
      <c r="L117596" s="208"/>
      <c r="M117596" s="209"/>
      <c r="N117596" s="209"/>
      <c r="O117596" s="209"/>
    </row>
    <row r="117597" spans="1:15" s="210" customFormat="1" x14ac:dyDescent="0.3">
      <c r="A117597" s="12"/>
      <c r="B117597" s="15"/>
      <c r="C117597" s="15"/>
      <c r="D117597" s="12"/>
      <c r="E117597" s="12"/>
      <c r="F117597" s="13"/>
      <c r="G117597" s="12"/>
      <c r="H117597" s="12"/>
      <c r="I117597" s="12"/>
      <c r="J117597" s="12"/>
      <c r="K117597" s="12"/>
      <c r="L117597" s="208"/>
      <c r="M117597" s="209"/>
      <c r="N117597" s="209"/>
      <c r="O117597" s="209"/>
    </row>
    <row r="117598" spans="1:15" s="210" customFormat="1" x14ac:dyDescent="0.3">
      <c r="A117598" s="12"/>
      <c r="B117598" s="15"/>
      <c r="C117598" s="15"/>
      <c r="D117598" s="12"/>
      <c r="E117598" s="12"/>
      <c r="F117598" s="13"/>
      <c r="G117598" s="12"/>
      <c r="H117598" s="12"/>
      <c r="I117598" s="12"/>
      <c r="J117598" s="12"/>
      <c r="K117598" s="12"/>
      <c r="L117598" s="208"/>
      <c r="M117598" s="209"/>
      <c r="N117598" s="209"/>
      <c r="O117598" s="209"/>
    </row>
    <row r="117599" spans="1:15" s="210" customFormat="1" x14ac:dyDescent="0.3">
      <c r="A117599" s="12"/>
      <c r="B117599" s="15"/>
      <c r="C117599" s="15"/>
      <c r="D117599" s="12"/>
      <c r="E117599" s="12"/>
      <c r="F117599" s="13"/>
      <c r="G117599" s="12"/>
      <c r="H117599" s="12"/>
      <c r="I117599" s="12"/>
      <c r="J117599" s="12"/>
      <c r="K117599" s="12"/>
      <c r="L117599" s="208"/>
      <c r="M117599" s="209"/>
      <c r="N117599" s="209"/>
      <c r="O117599" s="209"/>
    </row>
    <row r="117600" spans="1:15" s="210" customFormat="1" x14ac:dyDescent="0.3">
      <c r="A117600" s="12"/>
      <c r="B117600" s="15"/>
      <c r="C117600" s="15"/>
      <c r="D117600" s="12"/>
      <c r="E117600" s="12"/>
      <c r="F117600" s="13"/>
      <c r="G117600" s="12"/>
      <c r="H117600" s="12"/>
      <c r="I117600" s="12"/>
      <c r="J117600" s="12"/>
      <c r="K117600" s="12"/>
      <c r="L117600" s="208"/>
      <c r="M117600" s="209"/>
      <c r="N117600" s="209"/>
      <c r="O117600" s="209"/>
    </row>
    <row r="117601" spans="1:15" s="210" customFormat="1" x14ac:dyDescent="0.3">
      <c r="A117601" s="12"/>
      <c r="B117601" s="15"/>
      <c r="C117601" s="15"/>
      <c r="D117601" s="12"/>
      <c r="E117601" s="12"/>
      <c r="F117601" s="13"/>
      <c r="G117601" s="12"/>
      <c r="H117601" s="12"/>
      <c r="I117601" s="12"/>
      <c r="J117601" s="12"/>
      <c r="K117601" s="12"/>
      <c r="L117601" s="208"/>
      <c r="M117601" s="209"/>
      <c r="N117601" s="209"/>
      <c r="O117601" s="209"/>
    </row>
    <row r="117602" spans="1:15" s="210" customFormat="1" x14ac:dyDescent="0.3">
      <c r="A117602" s="12"/>
      <c r="B117602" s="15"/>
      <c r="C117602" s="15"/>
      <c r="D117602" s="12"/>
      <c r="E117602" s="12"/>
      <c r="F117602" s="13"/>
      <c r="G117602" s="12"/>
      <c r="H117602" s="12"/>
      <c r="I117602" s="12"/>
      <c r="J117602" s="12"/>
      <c r="K117602" s="12"/>
      <c r="L117602" s="208"/>
      <c r="M117602" s="209"/>
      <c r="N117602" s="209"/>
      <c r="O117602" s="209"/>
    </row>
    <row r="117603" spans="1:15" s="210" customFormat="1" x14ac:dyDescent="0.3">
      <c r="A117603" s="12"/>
      <c r="B117603" s="15"/>
      <c r="C117603" s="15"/>
      <c r="D117603" s="12"/>
      <c r="E117603" s="12"/>
      <c r="F117603" s="13"/>
      <c r="G117603" s="12"/>
      <c r="H117603" s="12"/>
      <c r="I117603" s="12"/>
      <c r="J117603" s="12"/>
      <c r="K117603" s="12"/>
      <c r="L117603" s="208"/>
      <c r="M117603" s="209"/>
      <c r="N117603" s="209"/>
      <c r="O117603" s="209"/>
    </row>
    <row r="117604" spans="1:15" s="210" customFormat="1" x14ac:dyDescent="0.3">
      <c r="A117604" s="12"/>
      <c r="B117604" s="15"/>
      <c r="C117604" s="15"/>
      <c r="D117604" s="12"/>
      <c r="E117604" s="12"/>
      <c r="F117604" s="13"/>
      <c r="G117604" s="12"/>
      <c r="H117604" s="12"/>
      <c r="I117604" s="12"/>
      <c r="J117604" s="12"/>
      <c r="K117604" s="12"/>
      <c r="L117604" s="208"/>
      <c r="M117604" s="209"/>
      <c r="N117604" s="209"/>
      <c r="O117604" s="209"/>
    </row>
    <row r="117605" spans="1:15" s="210" customFormat="1" x14ac:dyDescent="0.3">
      <c r="A117605" s="12"/>
      <c r="B117605" s="15"/>
      <c r="C117605" s="15"/>
      <c r="D117605" s="12"/>
      <c r="E117605" s="12"/>
      <c r="F117605" s="13"/>
      <c r="G117605" s="12"/>
      <c r="H117605" s="12"/>
      <c r="I117605" s="12"/>
      <c r="J117605" s="12"/>
      <c r="K117605" s="12"/>
      <c r="L117605" s="208"/>
      <c r="M117605" s="209"/>
      <c r="N117605" s="209"/>
      <c r="O117605" s="209"/>
    </row>
    <row r="117606" spans="1:15" s="210" customFormat="1" x14ac:dyDescent="0.3">
      <c r="A117606" s="12"/>
      <c r="B117606" s="15"/>
      <c r="C117606" s="15"/>
      <c r="D117606" s="12"/>
      <c r="E117606" s="12"/>
      <c r="F117606" s="13"/>
      <c r="G117606" s="12"/>
      <c r="H117606" s="12"/>
      <c r="I117606" s="12"/>
      <c r="J117606" s="12"/>
      <c r="K117606" s="12"/>
      <c r="L117606" s="208"/>
      <c r="M117606" s="209"/>
      <c r="N117606" s="209"/>
      <c r="O117606" s="209"/>
    </row>
    <row r="117607" spans="1:15" s="210" customFormat="1" x14ac:dyDescent="0.3">
      <c r="A117607" s="12"/>
      <c r="B117607" s="15"/>
      <c r="C117607" s="15"/>
      <c r="D117607" s="12"/>
      <c r="E117607" s="12"/>
      <c r="F117607" s="13"/>
      <c r="G117607" s="12"/>
      <c r="H117607" s="12"/>
      <c r="I117607" s="12"/>
      <c r="J117607" s="12"/>
      <c r="K117607" s="12"/>
      <c r="L117607" s="208"/>
      <c r="M117607" s="209"/>
      <c r="N117607" s="209"/>
      <c r="O117607" s="209"/>
    </row>
    <row r="117608" spans="1:15" s="210" customFormat="1" x14ac:dyDescent="0.3">
      <c r="A117608" s="12"/>
      <c r="B117608" s="15"/>
      <c r="C117608" s="15"/>
      <c r="D117608" s="12"/>
      <c r="E117608" s="12"/>
      <c r="F117608" s="13"/>
      <c r="G117608" s="12"/>
      <c r="H117608" s="12"/>
      <c r="I117608" s="12"/>
      <c r="J117608" s="12"/>
      <c r="K117608" s="12"/>
      <c r="L117608" s="208"/>
      <c r="M117608" s="209"/>
      <c r="N117608" s="209"/>
      <c r="O117608" s="209"/>
    </row>
    <row r="117609" spans="1:15" s="210" customFormat="1" x14ac:dyDescent="0.3">
      <c r="A117609" s="12"/>
      <c r="B117609" s="15"/>
      <c r="C117609" s="15"/>
      <c r="D117609" s="12"/>
      <c r="E117609" s="12"/>
      <c r="F117609" s="13"/>
      <c r="G117609" s="12"/>
      <c r="H117609" s="12"/>
      <c r="I117609" s="12"/>
      <c r="J117609" s="12"/>
      <c r="K117609" s="12"/>
      <c r="L117609" s="208"/>
      <c r="M117609" s="209"/>
      <c r="N117609" s="209"/>
      <c r="O117609" s="209"/>
    </row>
    <row r="117610" spans="1:15" s="210" customFormat="1" x14ac:dyDescent="0.3">
      <c r="A117610" s="12"/>
      <c r="B117610" s="15"/>
      <c r="C117610" s="15"/>
      <c r="D117610" s="12"/>
      <c r="E117610" s="12"/>
      <c r="F117610" s="13"/>
      <c r="G117610" s="12"/>
      <c r="H117610" s="12"/>
      <c r="I117610" s="12"/>
      <c r="J117610" s="12"/>
      <c r="K117610" s="12"/>
      <c r="L117610" s="208"/>
      <c r="M117610" s="209"/>
      <c r="N117610" s="209"/>
      <c r="O117610" s="209"/>
    </row>
    <row r="117611" spans="1:15" s="210" customFormat="1" x14ac:dyDescent="0.3">
      <c r="A117611" s="12"/>
      <c r="B117611" s="15"/>
      <c r="C117611" s="15"/>
      <c r="D117611" s="12"/>
      <c r="E117611" s="12"/>
      <c r="F117611" s="13"/>
      <c r="G117611" s="12"/>
      <c r="H117611" s="12"/>
      <c r="I117611" s="12"/>
      <c r="J117611" s="12"/>
      <c r="K117611" s="12"/>
      <c r="L117611" s="208"/>
      <c r="M117611" s="209"/>
      <c r="N117611" s="209"/>
      <c r="O117611" s="209"/>
    </row>
    <row r="117612" spans="1:15" s="210" customFormat="1" x14ac:dyDescent="0.3">
      <c r="A117612" s="12"/>
      <c r="B117612" s="15"/>
      <c r="C117612" s="15"/>
      <c r="D117612" s="12"/>
      <c r="E117612" s="12"/>
      <c r="F117612" s="13"/>
      <c r="G117612" s="12"/>
      <c r="H117612" s="12"/>
      <c r="I117612" s="12"/>
      <c r="J117612" s="12"/>
      <c r="K117612" s="12"/>
      <c r="L117612" s="208"/>
      <c r="M117612" s="209"/>
      <c r="N117612" s="209"/>
      <c r="O117612" s="209"/>
    </row>
    <row r="117613" spans="1:15" s="210" customFormat="1" x14ac:dyDescent="0.3">
      <c r="A117613" s="12"/>
      <c r="B117613" s="15"/>
      <c r="C117613" s="15"/>
      <c r="D117613" s="12"/>
      <c r="E117613" s="12"/>
      <c r="F117613" s="13"/>
      <c r="G117613" s="12"/>
      <c r="H117613" s="12"/>
      <c r="I117613" s="12"/>
      <c r="J117613" s="12"/>
      <c r="K117613" s="12"/>
      <c r="L117613" s="208"/>
      <c r="M117613" s="209"/>
      <c r="N117613" s="209"/>
      <c r="O117613" s="209"/>
    </row>
    <row r="117614" spans="1:15" s="210" customFormat="1" x14ac:dyDescent="0.3">
      <c r="A117614" s="12"/>
      <c r="B117614" s="15"/>
      <c r="C117614" s="15"/>
      <c r="D117614" s="12"/>
      <c r="E117614" s="12"/>
      <c r="F117614" s="13"/>
      <c r="G117614" s="12"/>
      <c r="H117614" s="12"/>
      <c r="I117614" s="12"/>
      <c r="J117614" s="12"/>
      <c r="K117614" s="12"/>
      <c r="L117614" s="208"/>
      <c r="M117614" s="209"/>
      <c r="N117614" s="209"/>
      <c r="O117614" s="209"/>
    </row>
    <row r="117615" spans="1:15" s="210" customFormat="1" x14ac:dyDescent="0.3">
      <c r="A117615" s="12"/>
      <c r="B117615" s="15"/>
      <c r="C117615" s="15"/>
      <c r="D117615" s="12"/>
      <c r="E117615" s="12"/>
      <c r="F117615" s="13"/>
      <c r="G117615" s="12"/>
      <c r="H117615" s="12"/>
      <c r="I117615" s="12"/>
      <c r="J117615" s="12"/>
      <c r="K117615" s="12"/>
      <c r="L117615" s="208"/>
      <c r="M117615" s="209"/>
      <c r="N117615" s="209"/>
      <c r="O117615" s="209"/>
    </row>
    <row r="117616" spans="1:15" s="210" customFormat="1" x14ac:dyDescent="0.3">
      <c r="A117616" s="12"/>
      <c r="B117616" s="15"/>
      <c r="C117616" s="15"/>
      <c r="D117616" s="12"/>
      <c r="E117616" s="12"/>
      <c r="F117616" s="13"/>
      <c r="G117616" s="12"/>
      <c r="H117616" s="12"/>
      <c r="I117616" s="12"/>
      <c r="J117616" s="12"/>
      <c r="K117616" s="12"/>
      <c r="L117616" s="208"/>
      <c r="M117616" s="209"/>
      <c r="N117616" s="209"/>
      <c r="O117616" s="209"/>
    </row>
    <row r="117617" spans="1:15" s="210" customFormat="1" x14ac:dyDescent="0.3">
      <c r="A117617" s="12"/>
      <c r="B117617" s="15"/>
      <c r="C117617" s="15"/>
      <c r="D117617" s="12"/>
      <c r="E117617" s="12"/>
      <c r="F117617" s="13"/>
      <c r="G117617" s="12"/>
      <c r="H117617" s="12"/>
      <c r="I117617" s="12"/>
      <c r="J117617" s="12"/>
      <c r="K117617" s="12"/>
      <c r="L117617" s="208"/>
      <c r="M117617" s="209"/>
      <c r="N117617" s="209"/>
      <c r="O117617" s="209"/>
    </row>
    <row r="117618" spans="1:15" s="210" customFormat="1" x14ac:dyDescent="0.3">
      <c r="A117618" s="12"/>
      <c r="B117618" s="15"/>
      <c r="C117618" s="15"/>
      <c r="D117618" s="12"/>
      <c r="E117618" s="12"/>
      <c r="F117618" s="13"/>
      <c r="G117618" s="12"/>
      <c r="H117618" s="12"/>
      <c r="I117618" s="12"/>
      <c r="J117618" s="12"/>
      <c r="K117618" s="12"/>
      <c r="L117618" s="208"/>
      <c r="M117618" s="209"/>
      <c r="N117618" s="209"/>
      <c r="O117618" s="209"/>
    </row>
    <row r="117619" spans="1:15" s="210" customFormat="1" x14ac:dyDescent="0.3">
      <c r="A117619" s="12"/>
      <c r="B117619" s="15"/>
      <c r="C117619" s="15"/>
      <c r="D117619" s="12"/>
      <c r="E117619" s="12"/>
      <c r="F117619" s="13"/>
      <c r="G117619" s="12"/>
      <c r="H117619" s="12"/>
      <c r="I117619" s="12"/>
      <c r="J117619" s="12"/>
      <c r="K117619" s="12"/>
      <c r="L117619" s="208"/>
      <c r="M117619" s="209"/>
      <c r="N117619" s="209"/>
      <c r="O117619" s="209"/>
    </row>
    <row r="117620" spans="1:15" s="210" customFormat="1" x14ac:dyDescent="0.3">
      <c r="A117620" s="12"/>
      <c r="B117620" s="15"/>
      <c r="C117620" s="15"/>
      <c r="D117620" s="12"/>
      <c r="E117620" s="12"/>
      <c r="F117620" s="13"/>
      <c r="G117620" s="12"/>
      <c r="H117620" s="12"/>
      <c r="I117620" s="12"/>
      <c r="J117620" s="12"/>
      <c r="K117620" s="12"/>
      <c r="L117620" s="208"/>
      <c r="M117620" s="209"/>
      <c r="N117620" s="209"/>
      <c r="O117620" s="209"/>
    </row>
    <row r="117621" spans="1:15" s="210" customFormat="1" x14ac:dyDescent="0.3">
      <c r="A117621" s="12"/>
      <c r="B117621" s="15"/>
      <c r="C117621" s="15"/>
      <c r="D117621" s="12"/>
      <c r="E117621" s="12"/>
      <c r="F117621" s="13"/>
      <c r="G117621" s="12"/>
      <c r="H117621" s="12"/>
      <c r="I117621" s="12"/>
      <c r="J117621" s="12"/>
      <c r="K117621" s="12"/>
      <c r="L117621" s="208"/>
      <c r="M117621" s="209"/>
      <c r="N117621" s="209"/>
      <c r="O117621" s="209"/>
    </row>
    <row r="117622" spans="1:15" s="210" customFormat="1" x14ac:dyDescent="0.3">
      <c r="A117622" s="12"/>
      <c r="B117622" s="15"/>
      <c r="C117622" s="15"/>
      <c r="D117622" s="12"/>
      <c r="E117622" s="12"/>
      <c r="F117622" s="13"/>
      <c r="G117622" s="12"/>
      <c r="H117622" s="12"/>
      <c r="I117622" s="12"/>
      <c r="J117622" s="12"/>
      <c r="K117622" s="12"/>
      <c r="L117622" s="208"/>
      <c r="M117622" s="209"/>
      <c r="N117622" s="209"/>
      <c r="O117622" s="209"/>
    </row>
    <row r="117623" spans="1:15" s="210" customFormat="1" x14ac:dyDescent="0.3">
      <c r="A117623" s="12"/>
      <c r="B117623" s="15"/>
      <c r="C117623" s="15"/>
      <c r="D117623" s="12"/>
      <c r="E117623" s="12"/>
      <c r="F117623" s="13"/>
      <c r="G117623" s="12"/>
      <c r="H117623" s="12"/>
      <c r="I117623" s="12"/>
      <c r="J117623" s="12"/>
      <c r="K117623" s="12"/>
      <c r="L117623" s="208"/>
      <c r="M117623" s="209"/>
      <c r="N117623" s="209"/>
      <c r="O117623" s="209"/>
    </row>
    <row r="117624" spans="1:15" s="210" customFormat="1" x14ac:dyDescent="0.3">
      <c r="A117624" s="12"/>
      <c r="B117624" s="15"/>
      <c r="C117624" s="15"/>
      <c r="D117624" s="12"/>
      <c r="E117624" s="12"/>
      <c r="F117624" s="13"/>
      <c r="G117624" s="12"/>
      <c r="H117624" s="12"/>
      <c r="I117624" s="12"/>
      <c r="J117624" s="12"/>
      <c r="K117624" s="12"/>
      <c r="L117624" s="208"/>
      <c r="M117624" s="209"/>
      <c r="N117624" s="209"/>
      <c r="O117624" s="209"/>
    </row>
    <row r="117625" spans="1:15" s="210" customFormat="1" x14ac:dyDescent="0.3">
      <c r="A117625" s="12"/>
      <c r="B117625" s="15"/>
      <c r="C117625" s="15"/>
      <c r="D117625" s="12"/>
      <c r="E117625" s="12"/>
      <c r="F117625" s="13"/>
      <c r="G117625" s="12"/>
      <c r="H117625" s="12"/>
      <c r="I117625" s="12"/>
      <c r="J117625" s="12"/>
      <c r="K117625" s="12"/>
      <c r="L117625" s="208"/>
      <c r="M117625" s="209"/>
      <c r="N117625" s="209"/>
      <c r="O117625" s="209"/>
    </row>
    <row r="117626" spans="1:15" s="210" customFormat="1" x14ac:dyDescent="0.3">
      <c r="A117626" s="12"/>
      <c r="B117626" s="15"/>
      <c r="C117626" s="15"/>
      <c r="D117626" s="12"/>
      <c r="E117626" s="12"/>
      <c r="F117626" s="13"/>
      <c r="G117626" s="12"/>
      <c r="H117626" s="12"/>
      <c r="I117626" s="12"/>
      <c r="J117626" s="12"/>
      <c r="K117626" s="12"/>
      <c r="L117626" s="208"/>
      <c r="M117626" s="209"/>
      <c r="N117626" s="209"/>
      <c r="O117626" s="209"/>
    </row>
    <row r="117627" spans="1:15" s="210" customFormat="1" x14ac:dyDescent="0.3">
      <c r="A117627" s="12"/>
      <c r="B117627" s="15"/>
      <c r="C117627" s="15"/>
      <c r="D117627" s="12"/>
      <c r="E117627" s="12"/>
      <c r="F117627" s="13"/>
      <c r="G117627" s="12"/>
      <c r="H117627" s="12"/>
      <c r="I117627" s="12"/>
      <c r="J117627" s="12"/>
      <c r="K117627" s="12"/>
      <c r="L117627" s="208"/>
      <c r="M117627" s="209"/>
      <c r="N117627" s="209"/>
      <c r="O117627" s="209"/>
    </row>
    <row r="117628" spans="1:15" s="210" customFormat="1" x14ac:dyDescent="0.3">
      <c r="A117628" s="12"/>
      <c r="B117628" s="15"/>
      <c r="C117628" s="15"/>
      <c r="D117628" s="12"/>
      <c r="E117628" s="12"/>
      <c r="F117628" s="13"/>
      <c r="G117628" s="12"/>
      <c r="H117628" s="12"/>
      <c r="I117628" s="12"/>
      <c r="J117628" s="12"/>
      <c r="K117628" s="12"/>
      <c r="L117628" s="208"/>
      <c r="M117628" s="209"/>
      <c r="N117628" s="209"/>
      <c r="O117628" s="209"/>
    </row>
    <row r="117629" spans="1:15" s="210" customFormat="1" x14ac:dyDescent="0.3">
      <c r="A117629" s="12"/>
      <c r="B117629" s="15"/>
      <c r="C117629" s="15"/>
      <c r="D117629" s="12"/>
      <c r="E117629" s="12"/>
      <c r="F117629" s="13"/>
      <c r="G117629" s="12"/>
      <c r="H117629" s="12"/>
      <c r="I117629" s="12"/>
      <c r="J117629" s="12"/>
      <c r="K117629" s="12"/>
      <c r="L117629" s="208"/>
      <c r="M117629" s="209"/>
      <c r="N117629" s="209"/>
      <c r="O117629" s="209"/>
    </row>
    <row r="117630" spans="1:15" s="210" customFormat="1" x14ac:dyDescent="0.3">
      <c r="A117630" s="12"/>
      <c r="B117630" s="15"/>
      <c r="C117630" s="15"/>
      <c r="D117630" s="12"/>
      <c r="E117630" s="12"/>
      <c r="F117630" s="13"/>
      <c r="G117630" s="12"/>
      <c r="H117630" s="12"/>
      <c r="I117630" s="12"/>
      <c r="J117630" s="12"/>
      <c r="K117630" s="12"/>
      <c r="L117630" s="208"/>
      <c r="M117630" s="209"/>
      <c r="N117630" s="209"/>
      <c r="O117630" s="209"/>
    </row>
    <row r="117631" spans="1:15" s="210" customFormat="1" x14ac:dyDescent="0.3">
      <c r="A117631" s="12"/>
      <c r="B117631" s="15"/>
      <c r="C117631" s="15"/>
      <c r="D117631" s="12"/>
      <c r="E117631" s="12"/>
      <c r="F117631" s="13"/>
      <c r="G117631" s="12"/>
      <c r="H117631" s="12"/>
      <c r="I117631" s="12"/>
      <c r="J117631" s="12"/>
      <c r="K117631" s="12"/>
      <c r="L117631" s="208"/>
      <c r="M117631" s="209"/>
      <c r="N117631" s="209"/>
      <c r="O117631" s="209"/>
    </row>
    <row r="117632" spans="1:15" s="210" customFormat="1" x14ac:dyDescent="0.3">
      <c r="A117632" s="12"/>
      <c r="B117632" s="15"/>
      <c r="C117632" s="15"/>
      <c r="D117632" s="12"/>
      <c r="E117632" s="12"/>
      <c r="F117632" s="13"/>
      <c r="G117632" s="12"/>
      <c r="H117632" s="12"/>
      <c r="I117632" s="12"/>
      <c r="J117632" s="12"/>
      <c r="K117632" s="12"/>
      <c r="L117632" s="208"/>
      <c r="M117632" s="209"/>
      <c r="N117632" s="209"/>
      <c r="O117632" s="209"/>
    </row>
    <row r="117633" spans="1:15" s="210" customFormat="1" x14ac:dyDescent="0.3">
      <c r="A117633" s="12"/>
      <c r="B117633" s="15"/>
      <c r="C117633" s="15"/>
      <c r="D117633" s="12"/>
      <c r="E117633" s="12"/>
      <c r="F117633" s="13"/>
      <c r="G117633" s="12"/>
      <c r="H117633" s="12"/>
      <c r="I117633" s="12"/>
      <c r="J117633" s="12"/>
      <c r="K117633" s="12"/>
      <c r="L117633" s="208"/>
      <c r="M117633" s="209"/>
      <c r="N117633" s="209"/>
      <c r="O117633" s="209"/>
    </row>
    <row r="117634" spans="1:15" s="210" customFormat="1" x14ac:dyDescent="0.3">
      <c r="A117634" s="12"/>
      <c r="B117634" s="15"/>
      <c r="C117634" s="15"/>
      <c r="D117634" s="12"/>
      <c r="E117634" s="12"/>
      <c r="F117634" s="13"/>
      <c r="G117634" s="12"/>
      <c r="H117634" s="12"/>
      <c r="I117634" s="12"/>
      <c r="J117634" s="12"/>
      <c r="K117634" s="12"/>
      <c r="L117634" s="208"/>
      <c r="M117634" s="209"/>
      <c r="N117634" s="209"/>
      <c r="O117634" s="209"/>
    </row>
    <row r="117635" spans="1:15" s="210" customFormat="1" x14ac:dyDescent="0.3">
      <c r="A117635" s="12"/>
      <c r="B117635" s="15"/>
      <c r="C117635" s="15"/>
      <c r="D117635" s="12"/>
      <c r="E117635" s="12"/>
      <c r="F117635" s="13"/>
      <c r="G117635" s="12"/>
      <c r="H117635" s="12"/>
      <c r="I117635" s="12"/>
      <c r="J117635" s="12"/>
      <c r="K117635" s="12"/>
      <c r="L117635" s="208"/>
      <c r="M117635" s="209"/>
      <c r="N117635" s="209"/>
      <c r="O117635" s="209"/>
    </row>
    <row r="117636" spans="1:15" s="210" customFormat="1" x14ac:dyDescent="0.3">
      <c r="A117636" s="12"/>
      <c r="B117636" s="15"/>
      <c r="C117636" s="15"/>
      <c r="D117636" s="12"/>
      <c r="E117636" s="12"/>
      <c r="F117636" s="13"/>
      <c r="G117636" s="12"/>
      <c r="H117636" s="12"/>
      <c r="I117636" s="12"/>
      <c r="J117636" s="12"/>
      <c r="K117636" s="12"/>
      <c r="L117636" s="208"/>
      <c r="M117636" s="209"/>
      <c r="N117636" s="209"/>
      <c r="O117636" s="209"/>
    </row>
    <row r="117637" spans="1:15" s="210" customFormat="1" x14ac:dyDescent="0.3">
      <c r="A117637" s="12"/>
      <c r="B117637" s="15"/>
      <c r="C117637" s="15"/>
      <c r="D117637" s="12"/>
      <c r="E117637" s="12"/>
      <c r="F117637" s="13"/>
      <c r="G117637" s="12"/>
      <c r="H117637" s="12"/>
      <c r="I117637" s="12"/>
      <c r="J117637" s="12"/>
      <c r="K117637" s="12"/>
      <c r="L117637" s="208"/>
      <c r="M117637" s="209"/>
      <c r="N117637" s="209"/>
      <c r="O117637" s="209"/>
    </row>
    <row r="117638" spans="1:15" s="210" customFormat="1" x14ac:dyDescent="0.3">
      <c r="A117638" s="12"/>
      <c r="B117638" s="15"/>
      <c r="C117638" s="15"/>
      <c r="D117638" s="12"/>
      <c r="E117638" s="12"/>
      <c r="F117638" s="13"/>
      <c r="G117638" s="12"/>
      <c r="H117638" s="12"/>
      <c r="I117638" s="12"/>
      <c r="J117638" s="12"/>
      <c r="K117638" s="12"/>
      <c r="L117638" s="208"/>
      <c r="M117638" s="209"/>
      <c r="N117638" s="209"/>
      <c r="O117638" s="209"/>
    </row>
    <row r="117639" spans="1:15" s="210" customFormat="1" x14ac:dyDescent="0.3">
      <c r="A117639" s="12"/>
      <c r="B117639" s="15"/>
      <c r="C117639" s="15"/>
      <c r="D117639" s="12"/>
      <c r="E117639" s="12"/>
      <c r="F117639" s="13"/>
      <c r="G117639" s="12"/>
      <c r="H117639" s="12"/>
      <c r="I117639" s="12"/>
      <c r="J117639" s="12"/>
      <c r="K117639" s="12"/>
      <c r="L117639" s="208"/>
      <c r="M117639" s="209"/>
      <c r="N117639" s="209"/>
      <c r="O117639" s="209"/>
    </row>
    <row r="117640" spans="1:15" s="210" customFormat="1" x14ac:dyDescent="0.3">
      <c r="A117640" s="12"/>
      <c r="B117640" s="15"/>
      <c r="C117640" s="15"/>
      <c r="D117640" s="12"/>
      <c r="E117640" s="12"/>
      <c r="F117640" s="13"/>
      <c r="G117640" s="12"/>
      <c r="H117640" s="12"/>
      <c r="I117640" s="12"/>
      <c r="J117640" s="12"/>
      <c r="K117640" s="12"/>
      <c r="L117640" s="208"/>
      <c r="M117640" s="209"/>
      <c r="N117640" s="209"/>
      <c r="O117640" s="209"/>
    </row>
    <row r="117641" spans="1:15" s="210" customFormat="1" x14ac:dyDescent="0.3">
      <c r="A117641" s="12"/>
      <c r="B117641" s="15"/>
      <c r="C117641" s="15"/>
      <c r="D117641" s="12"/>
      <c r="E117641" s="12"/>
      <c r="F117641" s="13"/>
      <c r="G117641" s="12"/>
      <c r="H117641" s="12"/>
      <c r="I117641" s="12"/>
      <c r="J117641" s="12"/>
      <c r="K117641" s="12"/>
      <c r="L117641" s="208"/>
      <c r="M117641" s="209"/>
      <c r="N117641" s="209"/>
      <c r="O117641" s="209"/>
    </row>
    <row r="117642" spans="1:15" s="210" customFormat="1" x14ac:dyDescent="0.3">
      <c r="A117642" s="12"/>
      <c r="B117642" s="15"/>
      <c r="C117642" s="15"/>
      <c r="D117642" s="12"/>
      <c r="E117642" s="12"/>
      <c r="F117642" s="13"/>
      <c r="G117642" s="12"/>
      <c r="H117642" s="12"/>
      <c r="I117642" s="12"/>
      <c r="J117642" s="12"/>
      <c r="K117642" s="12"/>
      <c r="L117642" s="208"/>
      <c r="M117642" s="209"/>
      <c r="N117642" s="209"/>
      <c r="O117642" s="209"/>
    </row>
    <row r="117643" spans="1:15" s="210" customFormat="1" x14ac:dyDescent="0.3">
      <c r="A117643" s="12"/>
      <c r="B117643" s="15"/>
      <c r="C117643" s="15"/>
      <c r="D117643" s="12"/>
      <c r="E117643" s="12"/>
      <c r="F117643" s="13"/>
      <c r="G117643" s="12"/>
      <c r="H117643" s="12"/>
      <c r="I117643" s="12"/>
      <c r="J117643" s="12"/>
      <c r="K117643" s="12"/>
      <c r="L117643" s="208"/>
      <c r="M117643" s="209"/>
      <c r="N117643" s="209"/>
      <c r="O117643" s="209"/>
    </row>
    <row r="117644" spans="1:15" s="210" customFormat="1" x14ac:dyDescent="0.3">
      <c r="A117644" s="12"/>
      <c r="B117644" s="15"/>
      <c r="C117644" s="15"/>
      <c r="D117644" s="12"/>
      <c r="E117644" s="12"/>
      <c r="F117644" s="13"/>
      <c r="G117644" s="12"/>
      <c r="H117644" s="12"/>
      <c r="I117644" s="12"/>
      <c r="J117644" s="12"/>
      <c r="K117644" s="12"/>
      <c r="L117644" s="208"/>
      <c r="M117644" s="209"/>
      <c r="N117644" s="209"/>
      <c r="O117644" s="209"/>
    </row>
    <row r="117645" spans="1:15" s="210" customFormat="1" x14ac:dyDescent="0.3">
      <c r="A117645" s="12"/>
      <c r="B117645" s="15"/>
      <c r="C117645" s="15"/>
      <c r="D117645" s="12"/>
      <c r="E117645" s="12"/>
      <c r="F117645" s="13"/>
      <c r="G117645" s="12"/>
      <c r="H117645" s="12"/>
      <c r="I117645" s="12"/>
      <c r="J117645" s="12"/>
      <c r="K117645" s="12"/>
      <c r="L117645" s="208"/>
      <c r="M117645" s="209"/>
      <c r="N117645" s="209"/>
      <c r="O117645" s="209"/>
    </row>
    <row r="117646" spans="1:15" s="210" customFormat="1" x14ac:dyDescent="0.3">
      <c r="A117646" s="12"/>
      <c r="B117646" s="15"/>
      <c r="C117646" s="15"/>
      <c r="D117646" s="12"/>
      <c r="E117646" s="12"/>
      <c r="F117646" s="13"/>
      <c r="G117646" s="12"/>
      <c r="H117646" s="12"/>
      <c r="I117646" s="12"/>
      <c r="J117646" s="12"/>
      <c r="K117646" s="12"/>
      <c r="L117646" s="208"/>
      <c r="M117646" s="209"/>
      <c r="N117646" s="209"/>
      <c r="O117646" s="209"/>
    </row>
    <row r="117647" spans="1:15" s="210" customFormat="1" x14ac:dyDescent="0.3">
      <c r="A117647" s="12"/>
      <c r="B117647" s="15"/>
      <c r="C117647" s="15"/>
      <c r="D117647" s="12"/>
      <c r="E117647" s="12"/>
      <c r="F117647" s="13"/>
      <c r="G117647" s="12"/>
      <c r="H117647" s="12"/>
      <c r="I117647" s="12"/>
      <c r="J117647" s="12"/>
      <c r="K117647" s="12"/>
      <c r="L117647" s="208"/>
      <c r="M117647" s="209"/>
      <c r="N117647" s="209"/>
      <c r="O117647" s="209"/>
    </row>
    <row r="117648" spans="1:15" s="210" customFormat="1" x14ac:dyDescent="0.3">
      <c r="A117648" s="12"/>
      <c r="B117648" s="15"/>
      <c r="C117648" s="15"/>
      <c r="D117648" s="12"/>
      <c r="E117648" s="12"/>
      <c r="F117648" s="13"/>
      <c r="G117648" s="12"/>
      <c r="H117648" s="12"/>
      <c r="I117648" s="12"/>
      <c r="J117648" s="12"/>
      <c r="K117648" s="12"/>
      <c r="L117648" s="208"/>
      <c r="M117648" s="209"/>
      <c r="N117648" s="209"/>
      <c r="O117648" s="209"/>
    </row>
    <row r="117649" spans="1:15" s="210" customFormat="1" x14ac:dyDescent="0.3">
      <c r="A117649" s="12"/>
      <c r="B117649" s="15"/>
      <c r="C117649" s="15"/>
      <c r="D117649" s="12"/>
      <c r="E117649" s="12"/>
      <c r="F117649" s="13"/>
      <c r="G117649" s="12"/>
      <c r="H117649" s="12"/>
      <c r="I117649" s="12"/>
      <c r="J117649" s="12"/>
      <c r="K117649" s="12"/>
      <c r="L117649" s="208"/>
      <c r="M117649" s="209"/>
      <c r="N117649" s="209"/>
      <c r="O117649" s="209"/>
    </row>
    <row r="117650" spans="1:15" s="210" customFormat="1" x14ac:dyDescent="0.3">
      <c r="A117650" s="12"/>
      <c r="B117650" s="15"/>
      <c r="C117650" s="15"/>
      <c r="D117650" s="12"/>
      <c r="E117650" s="12"/>
      <c r="F117650" s="13"/>
      <c r="G117650" s="12"/>
      <c r="H117650" s="12"/>
      <c r="I117650" s="12"/>
      <c r="J117650" s="12"/>
      <c r="K117650" s="12"/>
      <c r="L117650" s="208"/>
      <c r="M117650" s="209"/>
      <c r="N117650" s="209"/>
      <c r="O117650" s="209"/>
    </row>
    <row r="117651" spans="1:15" s="210" customFormat="1" x14ac:dyDescent="0.3">
      <c r="A117651" s="12"/>
      <c r="B117651" s="15"/>
      <c r="C117651" s="15"/>
      <c r="D117651" s="12"/>
      <c r="E117651" s="12"/>
      <c r="F117651" s="13"/>
      <c r="G117651" s="12"/>
      <c r="H117651" s="12"/>
      <c r="I117651" s="12"/>
      <c r="J117651" s="12"/>
      <c r="K117651" s="12"/>
      <c r="L117651" s="208"/>
      <c r="M117651" s="209"/>
      <c r="N117651" s="209"/>
      <c r="O117651" s="209"/>
    </row>
    <row r="117652" spans="1:15" s="210" customFormat="1" x14ac:dyDescent="0.3">
      <c r="A117652" s="12"/>
      <c r="B117652" s="15"/>
      <c r="C117652" s="15"/>
      <c r="D117652" s="12"/>
      <c r="E117652" s="12"/>
      <c r="F117652" s="13"/>
      <c r="G117652" s="12"/>
      <c r="H117652" s="12"/>
      <c r="I117652" s="12"/>
      <c r="J117652" s="12"/>
      <c r="K117652" s="12"/>
      <c r="L117652" s="208"/>
      <c r="M117652" s="209"/>
      <c r="N117652" s="209"/>
      <c r="O117652" s="209"/>
    </row>
    <row r="117653" spans="1:15" s="210" customFormat="1" x14ac:dyDescent="0.3">
      <c r="A117653" s="12"/>
      <c r="B117653" s="15"/>
      <c r="C117653" s="15"/>
      <c r="D117653" s="12"/>
      <c r="E117653" s="12"/>
      <c r="F117653" s="13"/>
      <c r="G117653" s="12"/>
      <c r="H117653" s="12"/>
      <c r="I117653" s="12"/>
      <c r="J117653" s="12"/>
      <c r="K117653" s="12"/>
      <c r="L117653" s="208"/>
      <c r="M117653" s="209"/>
      <c r="N117653" s="209"/>
      <c r="O117653" s="209"/>
    </row>
    <row r="117654" spans="1:15" s="210" customFormat="1" x14ac:dyDescent="0.3">
      <c r="A117654" s="12"/>
      <c r="B117654" s="15"/>
      <c r="C117654" s="15"/>
      <c r="D117654" s="12"/>
      <c r="E117654" s="12"/>
      <c r="F117654" s="13"/>
      <c r="G117654" s="12"/>
      <c r="H117654" s="12"/>
      <c r="I117654" s="12"/>
      <c r="J117654" s="12"/>
      <c r="K117654" s="12"/>
      <c r="L117654" s="208"/>
      <c r="M117654" s="209"/>
      <c r="N117654" s="209"/>
      <c r="O117654" s="209"/>
    </row>
    <row r="117655" spans="1:15" s="210" customFormat="1" x14ac:dyDescent="0.3">
      <c r="A117655" s="12"/>
      <c r="B117655" s="15"/>
      <c r="C117655" s="15"/>
      <c r="D117655" s="12"/>
      <c r="E117655" s="12"/>
      <c r="F117655" s="13"/>
      <c r="G117655" s="12"/>
      <c r="H117655" s="12"/>
      <c r="I117655" s="12"/>
      <c r="J117655" s="12"/>
      <c r="K117655" s="12"/>
      <c r="L117655" s="208"/>
      <c r="M117655" s="209"/>
      <c r="N117655" s="209"/>
      <c r="O117655" s="209"/>
    </row>
    <row r="117656" spans="1:15" s="210" customFormat="1" x14ac:dyDescent="0.3">
      <c r="A117656" s="12"/>
      <c r="B117656" s="15"/>
      <c r="C117656" s="15"/>
      <c r="D117656" s="12"/>
      <c r="E117656" s="12"/>
      <c r="F117656" s="13"/>
      <c r="G117656" s="12"/>
      <c r="H117656" s="12"/>
      <c r="I117656" s="12"/>
      <c r="J117656" s="12"/>
      <c r="K117656" s="12"/>
      <c r="L117656" s="208"/>
      <c r="M117656" s="209"/>
      <c r="N117656" s="209"/>
      <c r="O117656" s="209"/>
    </row>
    <row r="117657" spans="1:15" s="210" customFormat="1" x14ac:dyDescent="0.3">
      <c r="A117657" s="12"/>
      <c r="B117657" s="15"/>
      <c r="C117657" s="15"/>
      <c r="D117657" s="12"/>
      <c r="E117657" s="12"/>
      <c r="F117657" s="13"/>
      <c r="G117657" s="12"/>
      <c r="H117657" s="12"/>
      <c r="I117657" s="12"/>
      <c r="J117657" s="12"/>
      <c r="K117657" s="12"/>
      <c r="L117657" s="208"/>
      <c r="M117657" s="209"/>
      <c r="N117657" s="209"/>
      <c r="O117657" s="209"/>
    </row>
    <row r="117658" spans="1:15" s="210" customFormat="1" x14ac:dyDescent="0.3">
      <c r="A117658" s="12"/>
      <c r="B117658" s="15"/>
      <c r="C117658" s="15"/>
      <c r="D117658" s="12"/>
      <c r="E117658" s="12"/>
      <c r="F117658" s="13"/>
      <c r="G117658" s="12"/>
      <c r="H117658" s="12"/>
      <c r="I117658" s="12"/>
      <c r="J117658" s="12"/>
      <c r="K117658" s="12"/>
      <c r="L117658" s="208"/>
      <c r="M117658" s="209"/>
      <c r="N117658" s="209"/>
      <c r="O117658" s="209"/>
    </row>
    <row r="117659" spans="1:15" s="210" customFormat="1" x14ac:dyDescent="0.3">
      <c r="A117659" s="12"/>
      <c r="B117659" s="15"/>
      <c r="C117659" s="15"/>
      <c r="D117659" s="12"/>
      <c r="E117659" s="12"/>
      <c r="F117659" s="13"/>
      <c r="G117659" s="12"/>
      <c r="H117659" s="12"/>
      <c r="I117659" s="12"/>
      <c r="J117659" s="12"/>
      <c r="K117659" s="12"/>
      <c r="L117659" s="208"/>
      <c r="M117659" s="209"/>
      <c r="N117659" s="209"/>
      <c r="O117659" s="209"/>
    </row>
    <row r="117660" spans="1:15" s="210" customFormat="1" x14ac:dyDescent="0.3">
      <c r="A117660" s="12"/>
      <c r="B117660" s="15"/>
      <c r="C117660" s="15"/>
      <c r="D117660" s="12"/>
      <c r="E117660" s="12"/>
      <c r="F117660" s="13"/>
      <c r="G117660" s="12"/>
      <c r="H117660" s="12"/>
      <c r="I117660" s="12"/>
      <c r="J117660" s="12"/>
      <c r="K117660" s="12"/>
      <c r="L117660" s="208"/>
      <c r="M117660" s="209"/>
      <c r="N117660" s="209"/>
      <c r="O117660" s="209"/>
    </row>
    <row r="117661" spans="1:15" s="210" customFormat="1" x14ac:dyDescent="0.3">
      <c r="A117661" s="12"/>
      <c r="B117661" s="15"/>
      <c r="C117661" s="15"/>
      <c r="D117661" s="12"/>
      <c r="E117661" s="12"/>
      <c r="F117661" s="13"/>
      <c r="G117661" s="12"/>
      <c r="H117661" s="12"/>
      <c r="I117661" s="12"/>
      <c r="J117661" s="12"/>
      <c r="K117661" s="12"/>
      <c r="L117661" s="208"/>
      <c r="M117661" s="209"/>
      <c r="N117661" s="209"/>
      <c r="O117661" s="209"/>
    </row>
    <row r="117662" spans="1:15" s="210" customFormat="1" x14ac:dyDescent="0.3">
      <c r="A117662" s="12"/>
      <c r="B117662" s="15"/>
      <c r="C117662" s="15"/>
      <c r="D117662" s="12"/>
      <c r="E117662" s="12"/>
      <c r="F117662" s="13"/>
      <c r="G117662" s="12"/>
      <c r="H117662" s="12"/>
      <c r="I117662" s="12"/>
      <c r="J117662" s="12"/>
      <c r="K117662" s="12"/>
      <c r="L117662" s="208"/>
      <c r="M117662" s="209"/>
      <c r="N117662" s="209"/>
      <c r="O117662" s="209"/>
    </row>
    <row r="117663" spans="1:15" s="210" customFormat="1" x14ac:dyDescent="0.3">
      <c r="A117663" s="12"/>
      <c r="B117663" s="15"/>
      <c r="C117663" s="15"/>
      <c r="D117663" s="12"/>
      <c r="E117663" s="12"/>
      <c r="F117663" s="13"/>
      <c r="G117663" s="12"/>
      <c r="H117663" s="12"/>
      <c r="I117663" s="12"/>
      <c r="J117663" s="12"/>
      <c r="K117663" s="12"/>
      <c r="L117663" s="208"/>
      <c r="M117663" s="209"/>
      <c r="N117663" s="209"/>
      <c r="O117663" s="209"/>
    </row>
    <row r="117664" spans="1:15" s="210" customFormat="1" x14ac:dyDescent="0.3">
      <c r="A117664" s="12"/>
      <c r="B117664" s="15"/>
      <c r="C117664" s="15"/>
      <c r="D117664" s="12"/>
      <c r="E117664" s="12"/>
      <c r="F117664" s="13"/>
      <c r="G117664" s="12"/>
      <c r="H117664" s="12"/>
      <c r="I117664" s="12"/>
      <c r="J117664" s="12"/>
      <c r="K117664" s="12"/>
      <c r="L117664" s="208"/>
      <c r="M117664" s="209"/>
      <c r="N117664" s="209"/>
      <c r="O117664" s="209"/>
    </row>
    <row r="117665" spans="1:15" s="210" customFormat="1" x14ac:dyDescent="0.3">
      <c r="A117665" s="12"/>
      <c r="B117665" s="15"/>
      <c r="C117665" s="15"/>
      <c r="D117665" s="12"/>
      <c r="E117665" s="12"/>
      <c r="F117665" s="13"/>
      <c r="G117665" s="12"/>
      <c r="H117665" s="12"/>
      <c r="I117665" s="12"/>
      <c r="J117665" s="12"/>
      <c r="K117665" s="12"/>
      <c r="L117665" s="208"/>
      <c r="M117665" s="209"/>
      <c r="N117665" s="209"/>
      <c r="O117665" s="209"/>
    </row>
    <row r="117666" spans="1:15" s="210" customFormat="1" x14ac:dyDescent="0.3">
      <c r="A117666" s="12"/>
      <c r="B117666" s="15"/>
      <c r="C117666" s="15"/>
      <c r="D117666" s="12"/>
      <c r="E117666" s="12"/>
      <c r="F117666" s="13"/>
      <c r="G117666" s="12"/>
      <c r="H117666" s="12"/>
      <c r="I117666" s="12"/>
      <c r="J117666" s="12"/>
      <c r="K117666" s="12"/>
      <c r="L117666" s="208"/>
      <c r="M117666" s="209"/>
      <c r="N117666" s="209"/>
      <c r="O117666" s="209"/>
    </row>
    <row r="117667" spans="1:15" s="210" customFormat="1" x14ac:dyDescent="0.3">
      <c r="A117667" s="12"/>
      <c r="B117667" s="15"/>
      <c r="C117667" s="15"/>
      <c r="D117667" s="12"/>
      <c r="E117667" s="12"/>
      <c r="F117667" s="13"/>
      <c r="G117667" s="12"/>
      <c r="H117667" s="12"/>
      <c r="I117667" s="12"/>
      <c r="J117667" s="12"/>
      <c r="K117667" s="12"/>
      <c r="L117667" s="208"/>
      <c r="M117667" s="209"/>
      <c r="N117667" s="209"/>
      <c r="O117667" s="209"/>
    </row>
    <row r="117668" spans="1:15" s="210" customFormat="1" x14ac:dyDescent="0.3">
      <c r="A117668" s="12"/>
      <c r="B117668" s="15"/>
      <c r="C117668" s="15"/>
      <c r="D117668" s="12"/>
      <c r="E117668" s="12"/>
      <c r="F117668" s="13"/>
      <c r="G117668" s="12"/>
      <c r="H117668" s="12"/>
      <c r="I117668" s="12"/>
      <c r="J117668" s="12"/>
      <c r="K117668" s="12"/>
      <c r="L117668" s="208"/>
      <c r="M117668" s="209"/>
      <c r="N117668" s="209"/>
      <c r="O117668" s="209"/>
    </row>
    <row r="117669" spans="1:15" s="210" customFormat="1" x14ac:dyDescent="0.3">
      <c r="A117669" s="12"/>
      <c r="B117669" s="15"/>
      <c r="C117669" s="15"/>
      <c r="D117669" s="12"/>
      <c r="E117669" s="12"/>
      <c r="F117669" s="13"/>
      <c r="G117669" s="12"/>
      <c r="H117669" s="12"/>
      <c r="I117669" s="12"/>
      <c r="J117669" s="12"/>
      <c r="K117669" s="12"/>
      <c r="L117669" s="208"/>
      <c r="M117669" s="209"/>
      <c r="N117669" s="209"/>
      <c r="O117669" s="209"/>
    </row>
    <row r="117670" spans="1:15" s="210" customFormat="1" x14ac:dyDescent="0.3">
      <c r="A117670" s="12"/>
      <c r="B117670" s="15"/>
      <c r="C117670" s="15"/>
      <c r="D117670" s="12"/>
      <c r="E117670" s="12"/>
      <c r="F117670" s="13"/>
      <c r="G117670" s="12"/>
      <c r="H117670" s="12"/>
      <c r="I117670" s="12"/>
      <c r="J117670" s="12"/>
      <c r="K117670" s="12"/>
      <c r="L117670" s="208"/>
      <c r="M117670" s="209"/>
      <c r="N117670" s="209"/>
      <c r="O117670" s="209"/>
    </row>
    <row r="117671" spans="1:15" s="210" customFormat="1" x14ac:dyDescent="0.3">
      <c r="A117671" s="12"/>
      <c r="B117671" s="15"/>
      <c r="C117671" s="15"/>
      <c r="D117671" s="12"/>
      <c r="E117671" s="12"/>
      <c r="F117671" s="13"/>
      <c r="G117671" s="12"/>
      <c r="H117671" s="12"/>
      <c r="I117671" s="12"/>
      <c r="J117671" s="12"/>
      <c r="K117671" s="12"/>
      <c r="L117671" s="208"/>
      <c r="M117671" s="209"/>
      <c r="N117671" s="209"/>
      <c r="O117671" s="209"/>
    </row>
    <row r="117672" spans="1:15" s="210" customFormat="1" x14ac:dyDescent="0.3">
      <c r="A117672" s="12"/>
      <c r="B117672" s="15"/>
      <c r="C117672" s="15"/>
      <c r="D117672" s="12"/>
      <c r="E117672" s="12"/>
      <c r="F117672" s="13"/>
      <c r="G117672" s="12"/>
      <c r="H117672" s="12"/>
      <c r="I117672" s="12"/>
      <c r="J117672" s="12"/>
      <c r="K117672" s="12"/>
      <c r="L117672" s="208"/>
      <c r="M117672" s="209"/>
      <c r="N117672" s="209"/>
      <c r="O117672" s="209"/>
    </row>
    <row r="117673" spans="1:15" s="210" customFormat="1" x14ac:dyDescent="0.3">
      <c r="A117673" s="12"/>
      <c r="B117673" s="15"/>
      <c r="C117673" s="15"/>
      <c r="D117673" s="12"/>
      <c r="E117673" s="12"/>
      <c r="F117673" s="13"/>
      <c r="G117673" s="12"/>
      <c r="H117673" s="12"/>
      <c r="I117673" s="12"/>
      <c r="J117673" s="12"/>
      <c r="K117673" s="12"/>
      <c r="L117673" s="208"/>
      <c r="M117673" s="209"/>
      <c r="N117673" s="209"/>
      <c r="O117673" s="209"/>
    </row>
    <row r="117674" spans="1:15" s="210" customFormat="1" x14ac:dyDescent="0.3">
      <c r="A117674" s="12"/>
      <c r="B117674" s="15"/>
      <c r="C117674" s="15"/>
      <c r="D117674" s="12"/>
      <c r="E117674" s="12"/>
      <c r="F117674" s="13"/>
      <c r="G117674" s="12"/>
      <c r="H117674" s="12"/>
      <c r="I117674" s="12"/>
      <c r="J117674" s="12"/>
      <c r="K117674" s="12"/>
      <c r="L117674" s="208"/>
      <c r="M117674" s="209"/>
      <c r="N117674" s="209"/>
      <c r="O117674" s="209"/>
    </row>
    <row r="117675" spans="1:15" s="210" customFormat="1" x14ac:dyDescent="0.3">
      <c r="A117675" s="12"/>
      <c r="B117675" s="15"/>
      <c r="C117675" s="15"/>
      <c r="D117675" s="12"/>
      <c r="E117675" s="12"/>
      <c r="F117675" s="13"/>
      <c r="G117675" s="12"/>
      <c r="H117675" s="12"/>
      <c r="I117675" s="12"/>
      <c r="J117675" s="12"/>
      <c r="K117675" s="12"/>
      <c r="L117675" s="208"/>
      <c r="M117675" s="209"/>
      <c r="N117675" s="209"/>
      <c r="O117675" s="209"/>
    </row>
    <row r="117676" spans="1:15" s="210" customFormat="1" x14ac:dyDescent="0.3">
      <c r="A117676" s="12"/>
      <c r="B117676" s="15"/>
      <c r="C117676" s="15"/>
      <c r="D117676" s="12"/>
      <c r="E117676" s="12"/>
      <c r="F117676" s="13"/>
      <c r="G117676" s="12"/>
      <c r="H117676" s="12"/>
      <c r="I117676" s="12"/>
      <c r="J117676" s="12"/>
      <c r="K117676" s="12"/>
      <c r="L117676" s="208"/>
      <c r="M117676" s="209"/>
      <c r="N117676" s="209"/>
      <c r="O117676" s="209"/>
    </row>
    <row r="117677" spans="1:15" s="210" customFormat="1" x14ac:dyDescent="0.3">
      <c r="A117677" s="12"/>
      <c r="B117677" s="15"/>
      <c r="C117677" s="15"/>
      <c r="D117677" s="12"/>
      <c r="E117677" s="12"/>
      <c r="F117677" s="13"/>
      <c r="G117677" s="12"/>
      <c r="H117677" s="12"/>
      <c r="I117677" s="12"/>
      <c r="J117677" s="12"/>
      <c r="K117677" s="12"/>
      <c r="L117677" s="208"/>
      <c r="M117677" s="209"/>
      <c r="N117677" s="209"/>
      <c r="O117677" s="209"/>
    </row>
    <row r="117678" spans="1:15" s="210" customFormat="1" x14ac:dyDescent="0.3">
      <c r="A117678" s="12"/>
      <c r="B117678" s="15"/>
      <c r="C117678" s="15"/>
      <c r="D117678" s="12"/>
      <c r="E117678" s="12"/>
      <c r="F117678" s="13"/>
      <c r="G117678" s="12"/>
      <c r="H117678" s="12"/>
      <c r="I117678" s="12"/>
      <c r="J117678" s="12"/>
      <c r="K117678" s="12"/>
      <c r="L117678" s="208"/>
      <c r="M117678" s="209"/>
      <c r="N117678" s="209"/>
      <c r="O117678" s="209"/>
    </row>
    <row r="117679" spans="1:15" s="210" customFormat="1" x14ac:dyDescent="0.3">
      <c r="A117679" s="12"/>
      <c r="B117679" s="15"/>
      <c r="C117679" s="15"/>
      <c r="D117679" s="12"/>
      <c r="E117679" s="12"/>
      <c r="F117679" s="13"/>
      <c r="G117679" s="12"/>
      <c r="H117679" s="12"/>
      <c r="I117679" s="12"/>
      <c r="J117679" s="12"/>
      <c r="K117679" s="12"/>
      <c r="L117679" s="208"/>
      <c r="M117679" s="209"/>
      <c r="N117679" s="209"/>
      <c r="O117679" s="209"/>
    </row>
    <row r="117680" spans="1:15" s="210" customFormat="1" x14ac:dyDescent="0.3">
      <c r="A117680" s="12"/>
      <c r="B117680" s="15"/>
      <c r="C117680" s="15"/>
      <c r="D117680" s="12"/>
      <c r="E117680" s="12"/>
      <c r="F117680" s="13"/>
      <c r="G117680" s="12"/>
      <c r="H117680" s="12"/>
      <c r="I117680" s="12"/>
      <c r="J117680" s="12"/>
      <c r="K117680" s="12"/>
      <c r="L117680" s="208"/>
      <c r="M117680" s="209"/>
      <c r="N117680" s="209"/>
      <c r="O117680" s="209"/>
    </row>
    <row r="117681" spans="1:15" s="210" customFormat="1" x14ac:dyDescent="0.3">
      <c r="A117681" s="12"/>
      <c r="B117681" s="15"/>
      <c r="C117681" s="15"/>
      <c r="D117681" s="12"/>
      <c r="E117681" s="12"/>
      <c r="F117681" s="13"/>
      <c r="G117681" s="12"/>
      <c r="H117681" s="12"/>
      <c r="I117681" s="12"/>
      <c r="J117681" s="12"/>
      <c r="K117681" s="12"/>
      <c r="L117681" s="208"/>
      <c r="M117681" s="209"/>
      <c r="N117681" s="209"/>
      <c r="O117681" s="209"/>
    </row>
    <row r="117682" spans="1:15" s="210" customFormat="1" x14ac:dyDescent="0.3">
      <c r="A117682" s="12"/>
      <c r="B117682" s="15"/>
      <c r="C117682" s="15"/>
      <c r="D117682" s="12"/>
      <c r="E117682" s="12"/>
      <c r="F117682" s="13"/>
      <c r="G117682" s="12"/>
      <c r="H117682" s="12"/>
      <c r="I117682" s="12"/>
      <c r="J117682" s="12"/>
      <c r="K117682" s="12"/>
      <c r="L117682" s="208"/>
      <c r="M117682" s="209"/>
      <c r="N117682" s="209"/>
      <c r="O117682" s="209"/>
    </row>
    <row r="117683" spans="1:15" s="210" customFormat="1" x14ac:dyDescent="0.3">
      <c r="A117683" s="12"/>
      <c r="B117683" s="15"/>
      <c r="C117683" s="15"/>
      <c r="D117683" s="12"/>
      <c r="E117683" s="12"/>
      <c r="F117683" s="13"/>
      <c r="G117683" s="12"/>
      <c r="H117683" s="12"/>
      <c r="I117683" s="12"/>
      <c r="J117683" s="12"/>
      <c r="K117683" s="12"/>
      <c r="L117683" s="208"/>
      <c r="M117683" s="209"/>
      <c r="N117683" s="209"/>
      <c r="O117683" s="209"/>
    </row>
    <row r="117684" spans="1:15" s="210" customFormat="1" x14ac:dyDescent="0.3">
      <c r="A117684" s="12"/>
      <c r="B117684" s="15"/>
      <c r="C117684" s="15"/>
      <c r="D117684" s="12"/>
      <c r="E117684" s="12"/>
      <c r="F117684" s="13"/>
      <c r="G117684" s="12"/>
      <c r="H117684" s="12"/>
      <c r="I117684" s="12"/>
      <c r="J117684" s="12"/>
      <c r="K117684" s="12"/>
      <c r="L117684" s="208"/>
      <c r="M117684" s="209"/>
      <c r="N117684" s="209"/>
      <c r="O117684" s="209"/>
    </row>
    <row r="117685" spans="1:15" s="210" customFormat="1" x14ac:dyDescent="0.3">
      <c r="A117685" s="12"/>
      <c r="B117685" s="15"/>
      <c r="C117685" s="15"/>
      <c r="D117685" s="12"/>
      <c r="E117685" s="12"/>
      <c r="F117685" s="13"/>
      <c r="G117685" s="12"/>
      <c r="H117685" s="12"/>
      <c r="I117685" s="12"/>
      <c r="J117685" s="12"/>
      <c r="K117685" s="12"/>
      <c r="L117685" s="208"/>
      <c r="M117685" s="209"/>
      <c r="N117685" s="209"/>
      <c r="O117685" s="209"/>
    </row>
    <row r="117686" spans="1:15" s="210" customFormat="1" x14ac:dyDescent="0.3">
      <c r="A117686" s="12"/>
      <c r="B117686" s="15"/>
      <c r="C117686" s="15"/>
      <c r="D117686" s="12"/>
      <c r="E117686" s="12"/>
      <c r="F117686" s="13"/>
      <c r="G117686" s="12"/>
      <c r="H117686" s="12"/>
      <c r="I117686" s="12"/>
      <c r="J117686" s="12"/>
      <c r="K117686" s="12"/>
      <c r="L117686" s="208"/>
      <c r="M117686" s="209"/>
      <c r="N117686" s="209"/>
      <c r="O117686" s="209"/>
    </row>
    <row r="117687" spans="1:15" s="210" customFormat="1" x14ac:dyDescent="0.3">
      <c r="A117687" s="12"/>
      <c r="B117687" s="15"/>
      <c r="C117687" s="15"/>
      <c r="D117687" s="12"/>
      <c r="E117687" s="12"/>
      <c r="F117687" s="13"/>
      <c r="G117687" s="12"/>
      <c r="H117687" s="12"/>
      <c r="I117687" s="12"/>
      <c r="J117687" s="12"/>
      <c r="K117687" s="12"/>
      <c r="L117687" s="208"/>
      <c r="M117687" s="209"/>
      <c r="N117687" s="209"/>
      <c r="O117687" s="209"/>
    </row>
    <row r="117688" spans="1:15" s="210" customFormat="1" x14ac:dyDescent="0.3">
      <c r="A117688" s="12"/>
      <c r="B117688" s="15"/>
      <c r="C117688" s="15"/>
      <c r="D117688" s="12"/>
      <c r="E117688" s="12"/>
      <c r="F117688" s="13"/>
      <c r="G117688" s="12"/>
      <c r="H117688" s="12"/>
      <c r="I117688" s="12"/>
      <c r="J117688" s="12"/>
      <c r="K117688" s="12"/>
      <c r="L117688" s="208"/>
      <c r="M117688" s="209"/>
      <c r="N117688" s="209"/>
      <c r="O117688" s="209"/>
    </row>
    <row r="117689" spans="1:15" s="210" customFormat="1" x14ac:dyDescent="0.3">
      <c r="A117689" s="12"/>
      <c r="B117689" s="15"/>
      <c r="C117689" s="15"/>
      <c r="D117689" s="12"/>
      <c r="E117689" s="12"/>
      <c r="F117689" s="13"/>
      <c r="G117689" s="12"/>
      <c r="H117689" s="12"/>
      <c r="I117689" s="12"/>
      <c r="J117689" s="12"/>
      <c r="K117689" s="12"/>
      <c r="L117689" s="208"/>
      <c r="M117689" s="209"/>
      <c r="N117689" s="209"/>
      <c r="O117689" s="209"/>
    </row>
    <row r="117690" spans="1:15" s="210" customFormat="1" x14ac:dyDescent="0.3">
      <c r="A117690" s="12"/>
      <c r="B117690" s="15"/>
      <c r="C117690" s="15"/>
      <c r="D117690" s="12"/>
      <c r="E117690" s="12"/>
      <c r="F117690" s="13"/>
      <c r="G117690" s="12"/>
      <c r="H117690" s="12"/>
      <c r="I117690" s="12"/>
      <c r="J117690" s="12"/>
      <c r="K117690" s="12"/>
      <c r="L117690" s="208"/>
      <c r="M117690" s="209"/>
      <c r="N117690" s="209"/>
      <c r="O117690" s="209"/>
    </row>
    <row r="117691" spans="1:15" s="210" customFormat="1" x14ac:dyDescent="0.3">
      <c r="A117691" s="12"/>
      <c r="B117691" s="15"/>
      <c r="C117691" s="15"/>
      <c r="D117691" s="12"/>
      <c r="E117691" s="12"/>
      <c r="F117691" s="13"/>
      <c r="G117691" s="12"/>
      <c r="H117691" s="12"/>
      <c r="I117691" s="12"/>
      <c r="J117691" s="12"/>
      <c r="K117691" s="12"/>
      <c r="L117691" s="208"/>
      <c r="M117691" s="209"/>
      <c r="N117691" s="209"/>
      <c r="O117691" s="209"/>
    </row>
    <row r="117692" spans="1:15" s="210" customFormat="1" x14ac:dyDescent="0.3">
      <c r="A117692" s="12"/>
      <c r="B117692" s="15"/>
      <c r="C117692" s="15"/>
      <c r="D117692" s="12"/>
      <c r="E117692" s="12"/>
      <c r="F117692" s="13"/>
      <c r="G117692" s="12"/>
      <c r="H117692" s="12"/>
      <c r="I117692" s="12"/>
      <c r="J117692" s="12"/>
      <c r="K117692" s="12"/>
      <c r="L117692" s="208"/>
      <c r="M117692" s="209"/>
      <c r="N117692" s="209"/>
      <c r="O117692" s="209"/>
    </row>
    <row r="117693" spans="1:15" s="210" customFormat="1" x14ac:dyDescent="0.3">
      <c r="A117693" s="12"/>
      <c r="B117693" s="15"/>
      <c r="C117693" s="15"/>
      <c r="D117693" s="12"/>
      <c r="E117693" s="12"/>
      <c r="F117693" s="13"/>
      <c r="G117693" s="12"/>
      <c r="H117693" s="12"/>
      <c r="I117693" s="12"/>
      <c r="J117693" s="12"/>
      <c r="K117693" s="12"/>
      <c r="L117693" s="208"/>
      <c r="M117693" s="209"/>
      <c r="N117693" s="209"/>
      <c r="O117693" s="209"/>
    </row>
    <row r="117694" spans="1:15" s="210" customFormat="1" x14ac:dyDescent="0.3">
      <c r="A117694" s="12"/>
      <c r="B117694" s="15"/>
      <c r="C117694" s="15"/>
      <c r="D117694" s="12"/>
      <c r="E117694" s="12"/>
      <c r="F117694" s="13"/>
      <c r="G117694" s="12"/>
      <c r="H117694" s="12"/>
      <c r="I117694" s="12"/>
      <c r="J117694" s="12"/>
      <c r="K117694" s="12"/>
      <c r="L117694" s="208"/>
      <c r="M117694" s="209"/>
      <c r="N117694" s="209"/>
      <c r="O117694" s="209"/>
    </row>
    <row r="117695" spans="1:15" s="210" customFormat="1" x14ac:dyDescent="0.3">
      <c r="A117695" s="12"/>
      <c r="B117695" s="15"/>
      <c r="C117695" s="15"/>
      <c r="D117695" s="12"/>
      <c r="E117695" s="12"/>
      <c r="F117695" s="13"/>
      <c r="G117695" s="12"/>
      <c r="H117695" s="12"/>
      <c r="I117695" s="12"/>
      <c r="J117695" s="12"/>
      <c r="K117695" s="12"/>
      <c r="L117695" s="208"/>
      <c r="M117695" s="209"/>
      <c r="N117695" s="209"/>
      <c r="O117695" s="209"/>
    </row>
    <row r="117696" spans="1:15" s="210" customFormat="1" x14ac:dyDescent="0.3">
      <c r="A117696" s="12"/>
      <c r="B117696" s="15"/>
      <c r="C117696" s="15"/>
      <c r="D117696" s="12"/>
      <c r="E117696" s="12"/>
      <c r="F117696" s="13"/>
      <c r="G117696" s="12"/>
      <c r="H117696" s="12"/>
      <c r="I117696" s="12"/>
      <c r="J117696" s="12"/>
      <c r="K117696" s="12"/>
      <c r="L117696" s="208"/>
      <c r="M117696" s="209"/>
      <c r="N117696" s="209"/>
      <c r="O117696" s="209"/>
    </row>
    <row r="117697" spans="1:15" s="210" customFormat="1" x14ac:dyDescent="0.3">
      <c r="A117697" s="12"/>
      <c r="B117697" s="15"/>
      <c r="C117697" s="15"/>
      <c r="D117697" s="12"/>
      <c r="E117697" s="12"/>
      <c r="F117697" s="13"/>
      <c r="G117697" s="12"/>
      <c r="H117697" s="12"/>
      <c r="I117697" s="12"/>
      <c r="J117697" s="12"/>
      <c r="K117697" s="12"/>
      <c r="L117697" s="208"/>
      <c r="M117697" s="209"/>
      <c r="N117697" s="209"/>
      <c r="O117697" s="209"/>
    </row>
    <row r="117698" spans="1:15" s="210" customFormat="1" x14ac:dyDescent="0.3">
      <c r="A117698" s="12"/>
      <c r="B117698" s="15"/>
      <c r="C117698" s="15"/>
      <c r="D117698" s="12"/>
      <c r="E117698" s="12"/>
      <c r="F117698" s="13"/>
      <c r="G117698" s="12"/>
      <c r="H117698" s="12"/>
      <c r="I117698" s="12"/>
      <c r="J117698" s="12"/>
      <c r="K117698" s="12"/>
      <c r="L117698" s="208"/>
      <c r="M117698" s="209"/>
      <c r="N117698" s="209"/>
      <c r="O117698" s="209"/>
    </row>
    <row r="117699" spans="1:15" s="210" customFormat="1" x14ac:dyDescent="0.3">
      <c r="A117699" s="12"/>
      <c r="B117699" s="15"/>
      <c r="C117699" s="15"/>
      <c r="D117699" s="12"/>
      <c r="E117699" s="12"/>
      <c r="F117699" s="13"/>
      <c r="G117699" s="12"/>
      <c r="H117699" s="12"/>
      <c r="I117699" s="12"/>
      <c r="J117699" s="12"/>
      <c r="K117699" s="12"/>
      <c r="L117699" s="208"/>
      <c r="M117699" s="209"/>
      <c r="N117699" s="209"/>
      <c r="O117699" s="209"/>
    </row>
    <row r="117700" spans="1:15" s="210" customFormat="1" x14ac:dyDescent="0.3">
      <c r="A117700" s="12"/>
      <c r="B117700" s="15"/>
      <c r="C117700" s="15"/>
      <c r="D117700" s="12"/>
      <c r="E117700" s="12"/>
      <c r="F117700" s="13"/>
      <c r="G117700" s="12"/>
      <c r="H117700" s="12"/>
      <c r="I117700" s="12"/>
      <c r="J117700" s="12"/>
      <c r="K117700" s="12"/>
      <c r="L117700" s="208"/>
      <c r="M117700" s="209"/>
      <c r="N117700" s="209"/>
      <c r="O117700" s="209"/>
    </row>
    <row r="117701" spans="1:15" s="210" customFormat="1" x14ac:dyDescent="0.3">
      <c r="A117701" s="12"/>
      <c r="B117701" s="15"/>
      <c r="C117701" s="15"/>
      <c r="D117701" s="12"/>
      <c r="E117701" s="12"/>
      <c r="F117701" s="13"/>
      <c r="G117701" s="12"/>
      <c r="H117701" s="12"/>
      <c r="I117701" s="12"/>
      <c r="J117701" s="12"/>
      <c r="K117701" s="12"/>
      <c r="L117701" s="208"/>
      <c r="M117701" s="209"/>
      <c r="N117701" s="209"/>
      <c r="O117701" s="209"/>
    </row>
    <row r="117702" spans="1:15" s="210" customFormat="1" x14ac:dyDescent="0.3">
      <c r="A117702" s="12"/>
      <c r="B117702" s="15"/>
      <c r="C117702" s="15"/>
      <c r="D117702" s="12"/>
      <c r="E117702" s="12"/>
      <c r="F117702" s="13"/>
      <c r="G117702" s="12"/>
      <c r="H117702" s="12"/>
      <c r="I117702" s="12"/>
      <c r="J117702" s="12"/>
      <c r="K117702" s="12"/>
      <c r="L117702" s="208"/>
      <c r="M117702" s="209"/>
      <c r="N117702" s="209"/>
      <c r="O117702" s="209"/>
    </row>
    <row r="117703" spans="1:15" s="210" customFormat="1" x14ac:dyDescent="0.3">
      <c r="A117703" s="12"/>
      <c r="B117703" s="15"/>
      <c r="C117703" s="15"/>
      <c r="D117703" s="12"/>
      <c r="E117703" s="12"/>
      <c r="F117703" s="13"/>
      <c r="G117703" s="12"/>
      <c r="H117703" s="12"/>
      <c r="I117703" s="12"/>
      <c r="J117703" s="12"/>
      <c r="K117703" s="12"/>
      <c r="L117703" s="208"/>
      <c r="M117703" s="209"/>
      <c r="N117703" s="209"/>
      <c r="O117703" s="209"/>
    </row>
    <row r="117704" spans="1:15" s="210" customFormat="1" x14ac:dyDescent="0.3">
      <c r="A117704" s="12"/>
      <c r="B117704" s="15"/>
      <c r="C117704" s="15"/>
      <c r="D117704" s="12"/>
      <c r="E117704" s="12"/>
      <c r="F117704" s="13"/>
      <c r="G117704" s="12"/>
      <c r="H117704" s="12"/>
      <c r="I117704" s="12"/>
      <c r="J117704" s="12"/>
      <c r="K117704" s="12"/>
      <c r="L117704" s="208"/>
      <c r="M117704" s="209"/>
      <c r="N117704" s="209"/>
      <c r="O117704" s="209"/>
    </row>
    <row r="117705" spans="1:15" s="210" customFormat="1" x14ac:dyDescent="0.3">
      <c r="A117705" s="12"/>
      <c r="B117705" s="15"/>
      <c r="C117705" s="15"/>
      <c r="D117705" s="12"/>
      <c r="E117705" s="12"/>
      <c r="F117705" s="13"/>
      <c r="G117705" s="12"/>
      <c r="H117705" s="12"/>
      <c r="I117705" s="12"/>
      <c r="J117705" s="12"/>
      <c r="K117705" s="12"/>
      <c r="L117705" s="208"/>
      <c r="M117705" s="209"/>
      <c r="N117705" s="209"/>
      <c r="O117705" s="209"/>
    </row>
    <row r="117706" spans="1:15" s="210" customFormat="1" x14ac:dyDescent="0.3">
      <c r="A117706" s="12"/>
      <c r="B117706" s="15"/>
      <c r="C117706" s="15"/>
      <c r="D117706" s="12"/>
      <c r="E117706" s="12"/>
      <c r="F117706" s="13"/>
      <c r="G117706" s="12"/>
      <c r="H117706" s="12"/>
      <c r="I117706" s="12"/>
      <c r="J117706" s="12"/>
      <c r="K117706" s="12"/>
      <c r="L117706" s="208"/>
      <c r="M117706" s="209"/>
      <c r="N117706" s="209"/>
      <c r="O117706" s="209"/>
    </row>
    <row r="117707" spans="1:15" s="210" customFormat="1" x14ac:dyDescent="0.3">
      <c r="A117707" s="12"/>
      <c r="B117707" s="15"/>
      <c r="C117707" s="15"/>
      <c r="D117707" s="12"/>
      <c r="E117707" s="12"/>
      <c r="F117707" s="13"/>
      <c r="G117707" s="12"/>
      <c r="H117707" s="12"/>
      <c r="I117707" s="12"/>
      <c r="J117707" s="12"/>
      <c r="K117707" s="12"/>
      <c r="L117707" s="208"/>
      <c r="M117707" s="209"/>
      <c r="N117707" s="209"/>
      <c r="O117707" s="209"/>
    </row>
    <row r="117708" spans="1:15" s="210" customFormat="1" x14ac:dyDescent="0.3">
      <c r="A117708" s="12"/>
      <c r="B117708" s="15"/>
      <c r="C117708" s="15"/>
      <c r="D117708" s="12"/>
      <c r="E117708" s="12"/>
      <c r="F117708" s="13"/>
      <c r="G117708" s="12"/>
      <c r="H117708" s="12"/>
      <c r="I117708" s="12"/>
      <c r="J117708" s="12"/>
      <c r="K117708" s="12"/>
      <c r="L117708" s="208"/>
      <c r="M117708" s="209"/>
      <c r="N117708" s="209"/>
      <c r="O117708" s="209"/>
    </row>
    <row r="117709" spans="1:15" s="210" customFormat="1" x14ac:dyDescent="0.3">
      <c r="A117709" s="12"/>
      <c r="B117709" s="15"/>
      <c r="C117709" s="15"/>
      <c r="D117709" s="12"/>
      <c r="E117709" s="12"/>
      <c r="F117709" s="13"/>
      <c r="G117709" s="12"/>
      <c r="H117709" s="12"/>
      <c r="I117709" s="12"/>
      <c r="J117709" s="12"/>
      <c r="K117709" s="12"/>
      <c r="L117709" s="208"/>
      <c r="M117709" s="209"/>
      <c r="N117709" s="209"/>
      <c r="O117709" s="209"/>
    </row>
    <row r="117710" spans="1:15" s="210" customFormat="1" x14ac:dyDescent="0.3">
      <c r="A117710" s="12"/>
      <c r="B117710" s="15"/>
      <c r="C117710" s="15"/>
      <c r="D117710" s="12"/>
      <c r="E117710" s="12"/>
      <c r="F117710" s="13"/>
      <c r="G117710" s="12"/>
      <c r="H117710" s="12"/>
      <c r="I117710" s="12"/>
      <c r="J117710" s="12"/>
      <c r="K117710" s="12"/>
      <c r="L117710" s="208"/>
      <c r="M117710" s="209"/>
      <c r="N117710" s="209"/>
      <c r="O117710" s="209"/>
    </row>
    <row r="117711" spans="1:15" s="210" customFormat="1" x14ac:dyDescent="0.3">
      <c r="A117711" s="12"/>
      <c r="B117711" s="15"/>
      <c r="C117711" s="15"/>
      <c r="D117711" s="12"/>
      <c r="E117711" s="12"/>
      <c r="F117711" s="13"/>
      <c r="G117711" s="12"/>
      <c r="H117711" s="12"/>
      <c r="I117711" s="12"/>
      <c r="J117711" s="12"/>
      <c r="K117711" s="12"/>
      <c r="L117711" s="208"/>
      <c r="M117711" s="209"/>
      <c r="N117711" s="209"/>
      <c r="O117711" s="209"/>
    </row>
    <row r="117712" spans="1:15" s="210" customFormat="1" x14ac:dyDescent="0.3">
      <c r="A117712" s="12"/>
      <c r="B117712" s="15"/>
      <c r="C117712" s="15"/>
      <c r="D117712" s="12"/>
      <c r="E117712" s="12"/>
      <c r="F117712" s="13"/>
      <c r="G117712" s="12"/>
      <c r="H117712" s="12"/>
      <c r="I117712" s="12"/>
      <c r="J117712" s="12"/>
      <c r="K117712" s="12"/>
      <c r="L117712" s="208"/>
      <c r="M117712" s="209"/>
      <c r="N117712" s="209"/>
      <c r="O117712" s="209"/>
    </row>
    <row r="117713" spans="1:15" s="210" customFormat="1" x14ac:dyDescent="0.3">
      <c r="A117713" s="12"/>
      <c r="B117713" s="15"/>
      <c r="C117713" s="15"/>
      <c r="D117713" s="12"/>
      <c r="E117713" s="12"/>
      <c r="F117713" s="13"/>
      <c r="G117713" s="12"/>
      <c r="H117713" s="12"/>
      <c r="I117713" s="12"/>
      <c r="J117713" s="12"/>
      <c r="K117713" s="12"/>
      <c r="L117713" s="208"/>
      <c r="M117713" s="209"/>
      <c r="N117713" s="209"/>
      <c r="O117713" s="209"/>
    </row>
    <row r="117714" spans="1:15" s="210" customFormat="1" x14ac:dyDescent="0.3">
      <c r="A117714" s="12"/>
      <c r="B117714" s="15"/>
      <c r="C117714" s="15"/>
      <c r="D117714" s="12"/>
      <c r="E117714" s="12"/>
      <c r="F117714" s="13"/>
      <c r="G117714" s="12"/>
      <c r="H117714" s="12"/>
      <c r="I117714" s="12"/>
      <c r="J117714" s="12"/>
      <c r="K117714" s="12"/>
      <c r="L117714" s="208"/>
      <c r="M117714" s="209"/>
      <c r="N117714" s="209"/>
      <c r="O117714" s="209"/>
    </row>
    <row r="117715" spans="1:15" s="210" customFormat="1" x14ac:dyDescent="0.3">
      <c r="A117715" s="12"/>
      <c r="B117715" s="15"/>
      <c r="C117715" s="15"/>
      <c r="D117715" s="12"/>
      <c r="E117715" s="12"/>
      <c r="F117715" s="13"/>
      <c r="G117715" s="12"/>
      <c r="H117715" s="12"/>
      <c r="I117715" s="12"/>
      <c r="J117715" s="12"/>
      <c r="K117715" s="12"/>
      <c r="L117715" s="208"/>
      <c r="M117715" s="209"/>
      <c r="N117715" s="209"/>
      <c r="O117715" s="209"/>
    </row>
    <row r="117716" spans="1:15" s="210" customFormat="1" x14ac:dyDescent="0.3">
      <c r="A117716" s="12"/>
      <c r="B117716" s="15"/>
      <c r="C117716" s="15"/>
      <c r="D117716" s="12"/>
      <c r="E117716" s="12"/>
      <c r="F117716" s="13"/>
      <c r="G117716" s="12"/>
      <c r="H117716" s="12"/>
      <c r="I117716" s="12"/>
      <c r="J117716" s="12"/>
      <c r="K117716" s="12"/>
      <c r="L117716" s="208"/>
      <c r="M117716" s="209"/>
      <c r="N117716" s="209"/>
      <c r="O117716" s="209"/>
    </row>
    <row r="117717" spans="1:15" s="210" customFormat="1" x14ac:dyDescent="0.3">
      <c r="A117717" s="12"/>
      <c r="B117717" s="15"/>
      <c r="C117717" s="15"/>
      <c r="D117717" s="12"/>
      <c r="E117717" s="12"/>
      <c r="F117717" s="13"/>
      <c r="G117717" s="12"/>
      <c r="H117717" s="12"/>
      <c r="I117717" s="12"/>
      <c r="J117717" s="12"/>
      <c r="K117717" s="12"/>
      <c r="L117717" s="208"/>
      <c r="M117717" s="209"/>
      <c r="N117717" s="209"/>
      <c r="O117717" s="209"/>
    </row>
    <row r="117718" spans="1:15" s="210" customFormat="1" x14ac:dyDescent="0.3">
      <c r="A117718" s="12"/>
      <c r="B117718" s="15"/>
      <c r="C117718" s="15"/>
      <c r="D117718" s="12"/>
      <c r="E117718" s="12"/>
      <c r="F117718" s="13"/>
      <c r="G117718" s="12"/>
      <c r="H117718" s="12"/>
      <c r="I117718" s="12"/>
      <c r="J117718" s="12"/>
      <c r="K117718" s="12"/>
      <c r="L117718" s="208"/>
      <c r="M117718" s="209"/>
      <c r="N117718" s="209"/>
      <c r="O117718" s="209"/>
    </row>
    <row r="117719" spans="1:15" s="210" customFormat="1" x14ac:dyDescent="0.3">
      <c r="A117719" s="12"/>
      <c r="B117719" s="15"/>
      <c r="C117719" s="15"/>
      <c r="D117719" s="12"/>
      <c r="E117719" s="12"/>
      <c r="F117719" s="13"/>
      <c r="G117719" s="12"/>
      <c r="H117719" s="12"/>
      <c r="I117719" s="12"/>
      <c r="J117719" s="12"/>
      <c r="K117719" s="12"/>
      <c r="L117719" s="208"/>
      <c r="M117719" s="209"/>
      <c r="N117719" s="209"/>
      <c r="O117719" s="209"/>
    </row>
    <row r="117720" spans="1:15" s="210" customFormat="1" x14ac:dyDescent="0.3">
      <c r="A117720" s="12"/>
      <c r="B117720" s="15"/>
      <c r="C117720" s="15"/>
      <c r="D117720" s="12"/>
      <c r="E117720" s="12"/>
      <c r="F117720" s="13"/>
      <c r="G117720" s="12"/>
      <c r="H117720" s="12"/>
      <c r="I117720" s="12"/>
      <c r="J117720" s="12"/>
      <c r="K117720" s="12"/>
      <c r="L117720" s="208"/>
      <c r="M117720" s="209"/>
      <c r="N117720" s="209"/>
      <c r="O117720" s="209"/>
    </row>
    <row r="117721" spans="1:15" s="210" customFormat="1" x14ac:dyDescent="0.3">
      <c r="A117721" s="12"/>
      <c r="B117721" s="15"/>
      <c r="C117721" s="15"/>
      <c r="D117721" s="12"/>
      <c r="E117721" s="12"/>
      <c r="F117721" s="13"/>
      <c r="G117721" s="12"/>
      <c r="H117721" s="12"/>
      <c r="I117721" s="12"/>
      <c r="J117721" s="12"/>
      <c r="K117721" s="12"/>
      <c r="L117721" s="208"/>
      <c r="M117721" s="209"/>
      <c r="N117721" s="209"/>
      <c r="O117721" s="209"/>
    </row>
    <row r="117722" spans="1:15" s="210" customFormat="1" x14ac:dyDescent="0.3">
      <c r="A117722" s="12"/>
      <c r="B117722" s="15"/>
      <c r="C117722" s="15"/>
      <c r="D117722" s="12"/>
      <c r="E117722" s="12"/>
      <c r="F117722" s="13"/>
      <c r="G117722" s="12"/>
      <c r="H117722" s="12"/>
      <c r="I117722" s="12"/>
      <c r="J117722" s="12"/>
      <c r="K117722" s="12"/>
      <c r="L117722" s="208"/>
      <c r="M117722" s="209"/>
      <c r="N117722" s="209"/>
      <c r="O117722" s="209"/>
    </row>
    <row r="117723" spans="1:15" s="210" customFormat="1" x14ac:dyDescent="0.3">
      <c r="A117723" s="12"/>
      <c r="B117723" s="15"/>
      <c r="C117723" s="15"/>
      <c r="D117723" s="12"/>
      <c r="E117723" s="12"/>
      <c r="F117723" s="13"/>
      <c r="G117723" s="12"/>
      <c r="H117723" s="12"/>
      <c r="I117723" s="12"/>
      <c r="J117723" s="12"/>
      <c r="K117723" s="12"/>
      <c r="L117723" s="208"/>
      <c r="M117723" s="209"/>
      <c r="N117723" s="209"/>
      <c r="O117723" s="209"/>
    </row>
    <row r="117724" spans="1:15" s="210" customFormat="1" x14ac:dyDescent="0.3">
      <c r="A117724" s="12"/>
      <c r="B117724" s="15"/>
      <c r="C117724" s="15"/>
      <c r="D117724" s="12"/>
      <c r="E117724" s="12"/>
      <c r="F117724" s="13"/>
      <c r="G117724" s="12"/>
      <c r="H117724" s="12"/>
      <c r="I117724" s="12"/>
      <c r="J117724" s="12"/>
      <c r="K117724" s="12"/>
      <c r="L117724" s="208"/>
      <c r="M117724" s="209"/>
      <c r="N117724" s="209"/>
      <c r="O117724" s="209"/>
    </row>
    <row r="117725" spans="1:15" s="210" customFormat="1" x14ac:dyDescent="0.3">
      <c r="A117725" s="12"/>
      <c r="B117725" s="15"/>
      <c r="C117725" s="15"/>
      <c r="D117725" s="12"/>
      <c r="E117725" s="12"/>
      <c r="F117725" s="13"/>
      <c r="G117725" s="12"/>
      <c r="H117725" s="12"/>
      <c r="I117725" s="12"/>
      <c r="J117725" s="12"/>
      <c r="K117725" s="12"/>
      <c r="L117725" s="208"/>
      <c r="M117725" s="209"/>
      <c r="N117725" s="209"/>
      <c r="O117725" s="209"/>
    </row>
    <row r="117726" spans="1:15" s="210" customFormat="1" x14ac:dyDescent="0.3">
      <c r="A117726" s="12"/>
      <c r="B117726" s="15"/>
      <c r="C117726" s="15"/>
      <c r="D117726" s="12"/>
      <c r="E117726" s="12"/>
      <c r="F117726" s="13"/>
      <c r="G117726" s="12"/>
      <c r="H117726" s="12"/>
      <c r="I117726" s="12"/>
      <c r="J117726" s="12"/>
      <c r="K117726" s="12"/>
      <c r="L117726" s="208"/>
      <c r="M117726" s="209"/>
      <c r="N117726" s="209"/>
      <c r="O117726" s="209"/>
    </row>
    <row r="117727" spans="1:15" s="210" customFormat="1" x14ac:dyDescent="0.3">
      <c r="A117727" s="12"/>
      <c r="B117727" s="15"/>
      <c r="C117727" s="15"/>
      <c r="D117727" s="12"/>
      <c r="E117727" s="12"/>
      <c r="F117727" s="13"/>
      <c r="G117727" s="12"/>
      <c r="H117727" s="12"/>
      <c r="I117727" s="12"/>
      <c r="J117727" s="12"/>
      <c r="K117727" s="12"/>
      <c r="L117727" s="208"/>
      <c r="M117727" s="209"/>
      <c r="N117727" s="209"/>
      <c r="O117727" s="209"/>
    </row>
    <row r="117728" spans="1:15" s="210" customFormat="1" x14ac:dyDescent="0.3">
      <c r="A117728" s="12"/>
      <c r="B117728" s="15"/>
      <c r="C117728" s="15"/>
      <c r="D117728" s="12"/>
      <c r="E117728" s="12"/>
      <c r="F117728" s="13"/>
      <c r="G117728" s="12"/>
      <c r="H117728" s="12"/>
      <c r="I117728" s="12"/>
      <c r="J117728" s="12"/>
      <c r="K117728" s="12"/>
      <c r="L117728" s="208"/>
      <c r="M117728" s="209"/>
      <c r="N117728" s="209"/>
      <c r="O117728" s="209"/>
    </row>
    <row r="117729" spans="1:15" s="210" customFormat="1" x14ac:dyDescent="0.3">
      <c r="A117729" s="12"/>
      <c r="B117729" s="15"/>
      <c r="C117729" s="15"/>
      <c r="D117729" s="12"/>
      <c r="E117729" s="12"/>
      <c r="F117729" s="13"/>
      <c r="G117729" s="12"/>
      <c r="H117729" s="12"/>
      <c r="I117729" s="12"/>
      <c r="J117729" s="12"/>
      <c r="K117729" s="12"/>
      <c r="L117729" s="208"/>
      <c r="M117729" s="209"/>
      <c r="N117729" s="209"/>
      <c r="O117729" s="209"/>
    </row>
    <row r="117730" spans="1:15" s="210" customFormat="1" x14ac:dyDescent="0.3">
      <c r="A117730" s="12"/>
      <c r="B117730" s="15"/>
      <c r="C117730" s="15"/>
      <c r="D117730" s="12"/>
      <c r="E117730" s="12"/>
      <c r="F117730" s="13"/>
      <c r="G117730" s="12"/>
      <c r="H117730" s="12"/>
      <c r="I117730" s="12"/>
      <c r="J117730" s="12"/>
      <c r="K117730" s="12"/>
      <c r="L117730" s="208"/>
      <c r="M117730" s="209"/>
      <c r="N117730" s="209"/>
      <c r="O117730" s="209"/>
    </row>
    <row r="117731" spans="1:15" s="210" customFormat="1" x14ac:dyDescent="0.3">
      <c r="A117731" s="12"/>
      <c r="B117731" s="15"/>
      <c r="C117731" s="15"/>
      <c r="D117731" s="12"/>
      <c r="E117731" s="12"/>
      <c r="F117731" s="13"/>
      <c r="G117731" s="12"/>
      <c r="H117731" s="12"/>
      <c r="I117731" s="12"/>
      <c r="J117731" s="12"/>
      <c r="K117731" s="12"/>
      <c r="L117731" s="208"/>
      <c r="M117731" s="209"/>
      <c r="N117731" s="209"/>
      <c r="O117731" s="209"/>
    </row>
    <row r="117732" spans="1:15" s="210" customFormat="1" x14ac:dyDescent="0.3">
      <c r="A117732" s="12"/>
      <c r="B117732" s="15"/>
      <c r="C117732" s="15"/>
      <c r="D117732" s="12"/>
      <c r="E117732" s="12"/>
      <c r="F117732" s="13"/>
      <c r="G117732" s="12"/>
      <c r="H117732" s="12"/>
      <c r="I117732" s="12"/>
      <c r="J117732" s="12"/>
      <c r="K117732" s="12"/>
      <c r="L117732" s="208"/>
      <c r="M117732" s="209"/>
      <c r="N117732" s="209"/>
      <c r="O117732" s="209"/>
    </row>
    <row r="117733" spans="1:15" s="210" customFormat="1" x14ac:dyDescent="0.3">
      <c r="A117733" s="12"/>
      <c r="B117733" s="15"/>
      <c r="C117733" s="15"/>
      <c r="D117733" s="12"/>
      <c r="E117733" s="12"/>
      <c r="F117733" s="13"/>
      <c r="G117733" s="12"/>
      <c r="H117733" s="12"/>
      <c r="I117733" s="12"/>
      <c r="J117733" s="12"/>
      <c r="K117733" s="12"/>
      <c r="L117733" s="208"/>
      <c r="M117733" s="209"/>
      <c r="N117733" s="209"/>
      <c r="O117733" s="209"/>
    </row>
    <row r="117734" spans="1:15" s="210" customFormat="1" x14ac:dyDescent="0.3">
      <c r="A117734" s="12"/>
      <c r="B117734" s="15"/>
      <c r="C117734" s="15"/>
      <c r="D117734" s="12"/>
      <c r="E117734" s="12"/>
      <c r="F117734" s="13"/>
      <c r="G117734" s="12"/>
      <c r="H117734" s="12"/>
      <c r="I117734" s="12"/>
      <c r="J117734" s="12"/>
      <c r="K117734" s="12"/>
      <c r="L117734" s="208"/>
      <c r="M117734" s="209"/>
      <c r="N117734" s="209"/>
      <c r="O117734" s="209"/>
    </row>
    <row r="117735" spans="1:15" s="210" customFormat="1" x14ac:dyDescent="0.3">
      <c r="A117735" s="12"/>
      <c r="B117735" s="15"/>
      <c r="C117735" s="15"/>
      <c r="D117735" s="12"/>
      <c r="E117735" s="12"/>
      <c r="F117735" s="13"/>
      <c r="G117735" s="12"/>
      <c r="H117735" s="12"/>
      <c r="I117735" s="12"/>
      <c r="J117735" s="12"/>
      <c r="K117735" s="12"/>
      <c r="L117735" s="208"/>
      <c r="M117735" s="209"/>
      <c r="N117735" s="209"/>
      <c r="O117735" s="209"/>
    </row>
    <row r="117736" spans="1:15" s="210" customFormat="1" x14ac:dyDescent="0.3">
      <c r="A117736" s="12"/>
      <c r="B117736" s="15"/>
      <c r="C117736" s="15"/>
      <c r="D117736" s="12"/>
      <c r="E117736" s="12"/>
      <c r="F117736" s="13"/>
      <c r="G117736" s="12"/>
      <c r="H117736" s="12"/>
      <c r="I117736" s="12"/>
      <c r="J117736" s="12"/>
      <c r="K117736" s="12"/>
      <c r="L117736" s="208"/>
      <c r="M117736" s="209"/>
      <c r="N117736" s="209"/>
      <c r="O117736" s="209"/>
    </row>
    <row r="117737" spans="1:15" s="210" customFormat="1" x14ac:dyDescent="0.3">
      <c r="A117737" s="12"/>
      <c r="B117737" s="15"/>
      <c r="C117737" s="15"/>
      <c r="D117737" s="12"/>
      <c r="E117737" s="12"/>
      <c r="F117737" s="13"/>
      <c r="G117737" s="12"/>
      <c r="H117737" s="12"/>
      <c r="I117737" s="12"/>
      <c r="J117737" s="12"/>
      <c r="K117737" s="12"/>
      <c r="L117737" s="208"/>
      <c r="M117737" s="209"/>
      <c r="N117737" s="209"/>
      <c r="O117737" s="209"/>
    </row>
    <row r="117738" spans="1:15" s="210" customFormat="1" x14ac:dyDescent="0.3">
      <c r="A117738" s="12"/>
      <c r="B117738" s="15"/>
      <c r="C117738" s="15"/>
      <c r="D117738" s="12"/>
      <c r="E117738" s="12"/>
      <c r="F117738" s="13"/>
      <c r="G117738" s="12"/>
      <c r="H117738" s="12"/>
      <c r="I117738" s="12"/>
      <c r="J117738" s="12"/>
      <c r="K117738" s="12"/>
      <c r="L117738" s="208"/>
      <c r="M117738" s="209"/>
      <c r="N117738" s="209"/>
      <c r="O117738" s="209"/>
    </row>
    <row r="117739" spans="1:15" s="210" customFormat="1" x14ac:dyDescent="0.3">
      <c r="A117739" s="12"/>
      <c r="B117739" s="15"/>
      <c r="C117739" s="15"/>
      <c r="D117739" s="12"/>
      <c r="E117739" s="12"/>
      <c r="F117739" s="13"/>
      <c r="G117739" s="12"/>
      <c r="H117739" s="12"/>
      <c r="I117739" s="12"/>
      <c r="J117739" s="12"/>
      <c r="K117739" s="12"/>
      <c r="L117739" s="208"/>
      <c r="M117739" s="209"/>
      <c r="N117739" s="209"/>
      <c r="O117739" s="209"/>
    </row>
    <row r="117740" spans="1:15" s="210" customFormat="1" x14ac:dyDescent="0.3">
      <c r="A117740" s="12"/>
      <c r="B117740" s="15"/>
      <c r="C117740" s="15"/>
      <c r="D117740" s="12"/>
      <c r="E117740" s="12"/>
      <c r="F117740" s="13"/>
      <c r="G117740" s="12"/>
      <c r="H117740" s="12"/>
      <c r="I117740" s="12"/>
      <c r="J117740" s="12"/>
      <c r="K117740" s="12"/>
      <c r="L117740" s="208"/>
      <c r="M117740" s="209"/>
      <c r="N117740" s="209"/>
      <c r="O117740" s="209"/>
    </row>
    <row r="117741" spans="1:15" s="210" customFormat="1" x14ac:dyDescent="0.3">
      <c r="A117741" s="12"/>
      <c r="B117741" s="15"/>
      <c r="C117741" s="15"/>
      <c r="D117741" s="12"/>
      <c r="E117741" s="12"/>
      <c r="F117741" s="13"/>
      <c r="G117741" s="12"/>
      <c r="H117741" s="12"/>
      <c r="I117741" s="12"/>
      <c r="J117741" s="12"/>
      <c r="K117741" s="12"/>
      <c r="L117741" s="208"/>
      <c r="M117741" s="209"/>
      <c r="N117741" s="209"/>
      <c r="O117741" s="209"/>
    </row>
    <row r="117742" spans="1:15" s="210" customFormat="1" x14ac:dyDescent="0.3">
      <c r="A117742" s="12"/>
      <c r="B117742" s="15"/>
      <c r="C117742" s="15"/>
      <c r="D117742" s="12"/>
      <c r="E117742" s="12"/>
      <c r="F117742" s="13"/>
      <c r="G117742" s="12"/>
      <c r="H117742" s="12"/>
      <c r="I117742" s="12"/>
      <c r="J117742" s="12"/>
      <c r="K117742" s="12"/>
      <c r="L117742" s="208"/>
      <c r="M117742" s="209"/>
      <c r="N117742" s="209"/>
      <c r="O117742" s="209"/>
    </row>
    <row r="117743" spans="1:15" s="210" customFormat="1" x14ac:dyDescent="0.3">
      <c r="A117743" s="12"/>
      <c r="B117743" s="15"/>
      <c r="C117743" s="15"/>
      <c r="D117743" s="12"/>
      <c r="E117743" s="12"/>
      <c r="F117743" s="13"/>
      <c r="G117743" s="12"/>
      <c r="H117743" s="12"/>
      <c r="I117743" s="12"/>
      <c r="J117743" s="12"/>
      <c r="K117743" s="12"/>
      <c r="L117743" s="208"/>
      <c r="M117743" s="209"/>
      <c r="N117743" s="209"/>
      <c r="O117743" s="209"/>
    </row>
    <row r="117744" spans="1:15" s="210" customFormat="1" x14ac:dyDescent="0.3">
      <c r="A117744" s="12"/>
      <c r="B117744" s="15"/>
      <c r="C117744" s="15"/>
      <c r="D117744" s="12"/>
      <c r="E117744" s="12"/>
      <c r="F117744" s="13"/>
      <c r="G117744" s="12"/>
      <c r="H117744" s="12"/>
      <c r="I117744" s="12"/>
      <c r="J117744" s="12"/>
      <c r="K117744" s="12"/>
      <c r="L117744" s="208"/>
      <c r="M117744" s="209"/>
      <c r="N117744" s="209"/>
      <c r="O117744" s="209"/>
    </row>
    <row r="117745" spans="1:15" s="210" customFormat="1" x14ac:dyDescent="0.3">
      <c r="A117745" s="12"/>
      <c r="B117745" s="15"/>
      <c r="C117745" s="15"/>
      <c r="D117745" s="12"/>
      <c r="E117745" s="12"/>
      <c r="F117745" s="13"/>
      <c r="G117745" s="12"/>
      <c r="H117745" s="12"/>
      <c r="I117745" s="12"/>
      <c r="J117745" s="12"/>
      <c r="K117745" s="12"/>
      <c r="L117745" s="208"/>
      <c r="M117745" s="209"/>
      <c r="N117745" s="209"/>
      <c r="O117745" s="209"/>
    </row>
    <row r="117746" spans="1:15" s="210" customFormat="1" x14ac:dyDescent="0.3">
      <c r="A117746" s="12"/>
      <c r="B117746" s="15"/>
      <c r="C117746" s="15"/>
      <c r="D117746" s="12"/>
      <c r="E117746" s="12"/>
      <c r="F117746" s="13"/>
      <c r="G117746" s="12"/>
      <c r="H117746" s="12"/>
      <c r="I117746" s="12"/>
      <c r="J117746" s="12"/>
      <c r="K117746" s="12"/>
      <c r="L117746" s="208"/>
      <c r="M117746" s="209"/>
      <c r="N117746" s="209"/>
      <c r="O117746" s="209"/>
    </row>
    <row r="117747" spans="1:15" s="210" customFormat="1" x14ac:dyDescent="0.3">
      <c r="A117747" s="12"/>
      <c r="B117747" s="15"/>
      <c r="C117747" s="15"/>
      <c r="D117747" s="12"/>
      <c r="E117747" s="12"/>
      <c r="F117747" s="13"/>
      <c r="G117747" s="12"/>
      <c r="H117747" s="12"/>
      <c r="I117747" s="12"/>
      <c r="J117747" s="12"/>
      <c r="K117747" s="12"/>
      <c r="L117747" s="208"/>
      <c r="M117747" s="209"/>
      <c r="N117747" s="209"/>
      <c r="O117747" s="209"/>
    </row>
    <row r="117748" spans="1:15" s="210" customFormat="1" x14ac:dyDescent="0.3">
      <c r="A117748" s="12"/>
      <c r="B117748" s="15"/>
      <c r="C117748" s="15"/>
      <c r="D117748" s="12"/>
      <c r="E117748" s="12"/>
      <c r="F117748" s="13"/>
      <c r="G117748" s="12"/>
      <c r="H117748" s="12"/>
      <c r="I117748" s="12"/>
      <c r="J117748" s="12"/>
      <c r="K117748" s="12"/>
      <c r="L117748" s="208"/>
      <c r="M117748" s="209"/>
      <c r="N117748" s="209"/>
      <c r="O117748" s="209"/>
    </row>
    <row r="117749" spans="1:15" s="210" customFormat="1" x14ac:dyDescent="0.3">
      <c r="A117749" s="12"/>
      <c r="B117749" s="15"/>
      <c r="C117749" s="15"/>
      <c r="D117749" s="12"/>
      <c r="E117749" s="12"/>
      <c r="F117749" s="13"/>
      <c r="G117749" s="12"/>
      <c r="H117749" s="12"/>
      <c r="I117749" s="12"/>
      <c r="J117749" s="12"/>
      <c r="K117749" s="12"/>
      <c r="L117749" s="208"/>
      <c r="M117749" s="209"/>
      <c r="N117749" s="209"/>
      <c r="O117749" s="209"/>
    </row>
    <row r="117750" spans="1:15" s="210" customFormat="1" x14ac:dyDescent="0.3">
      <c r="A117750" s="12"/>
      <c r="B117750" s="15"/>
      <c r="C117750" s="15"/>
      <c r="D117750" s="12"/>
      <c r="E117750" s="12"/>
      <c r="F117750" s="13"/>
      <c r="G117750" s="12"/>
      <c r="H117750" s="12"/>
      <c r="I117750" s="12"/>
      <c r="J117750" s="12"/>
      <c r="K117750" s="12"/>
      <c r="L117750" s="208"/>
      <c r="M117750" s="209"/>
      <c r="N117750" s="209"/>
      <c r="O117750" s="209"/>
    </row>
    <row r="117751" spans="1:15" s="210" customFormat="1" x14ac:dyDescent="0.3">
      <c r="A117751" s="12"/>
      <c r="B117751" s="15"/>
      <c r="C117751" s="15"/>
      <c r="D117751" s="12"/>
      <c r="E117751" s="12"/>
      <c r="F117751" s="13"/>
      <c r="G117751" s="12"/>
      <c r="H117751" s="12"/>
      <c r="I117751" s="12"/>
      <c r="J117751" s="12"/>
      <c r="K117751" s="12"/>
      <c r="L117751" s="208"/>
      <c r="M117751" s="209"/>
      <c r="N117751" s="209"/>
      <c r="O117751" s="209"/>
    </row>
    <row r="117752" spans="1:15" s="210" customFormat="1" x14ac:dyDescent="0.3">
      <c r="A117752" s="12"/>
      <c r="B117752" s="15"/>
      <c r="C117752" s="15"/>
      <c r="D117752" s="12"/>
      <c r="E117752" s="12"/>
      <c r="F117752" s="13"/>
      <c r="G117752" s="12"/>
      <c r="H117752" s="12"/>
      <c r="I117752" s="12"/>
      <c r="J117752" s="12"/>
      <c r="K117752" s="12"/>
      <c r="L117752" s="208"/>
      <c r="M117752" s="209"/>
      <c r="N117752" s="209"/>
      <c r="O117752" s="209"/>
    </row>
    <row r="117753" spans="1:15" s="210" customFormat="1" x14ac:dyDescent="0.3">
      <c r="A117753" s="12"/>
      <c r="B117753" s="15"/>
      <c r="C117753" s="15"/>
      <c r="D117753" s="12"/>
      <c r="E117753" s="12"/>
      <c r="F117753" s="13"/>
      <c r="G117753" s="12"/>
      <c r="H117753" s="12"/>
      <c r="I117753" s="12"/>
      <c r="J117753" s="12"/>
      <c r="K117753" s="12"/>
      <c r="L117753" s="208"/>
      <c r="M117753" s="209"/>
      <c r="N117753" s="209"/>
      <c r="O117753" s="209"/>
    </row>
    <row r="117754" spans="1:15" s="210" customFormat="1" x14ac:dyDescent="0.3">
      <c r="A117754" s="12"/>
      <c r="B117754" s="15"/>
      <c r="C117754" s="15"/>
      <c r="D117754" s="12"/>
      <c r="E117754" s="12"/>
      <c r="F117754" s="13"/>
      <c r="G117754" s="12"/>
      <c r="H117754" s="12"/>
      <c r="I117754" s="12"/>
      <c r="J117754" s="12"/>
      <c r="K117754" s="12"/>
      <c r="L117754" s="208"/>
      <c r="M117754" s="209"/>
      <c r="N117754" s="209"/>
      <c r="O117754" s="209"/>
    </row>
    <row r="117755" spans="1:15" s="210" customFormat="1" x14ac:dyDescent="0.3">
      <c r="A117755" s="12"/>
      <c r="B117755" s="15"/>
      <c r="C117755" s="15"/>
      <c r="D117755" s="12"/>
      <c r="E117755" s="12"/>
      <c r="F117755" s="13"/>
      <c r="G117755" s="12"/>
      <c r="H117755" s="12"/>
      <c r="I117755" s="12"/>
      <c r="J117755" s="12"/>
      <c r="K117755" s="12"/>
      <c r="L117755" s="208"/>
      <c r="M117755" s="209"/>
      <c r="N117755" s="209"/>
      <c r="O117755" s="209"/>
    </row>
    <row r="117756" spans="1:15" s="210" customFormat="1" x14ac:dyDescent="0.3">
      <c r="A117756" s="12"/>
      <c r="B117756" s="15"/>
      <c r="C117756" s="15"/>
      <c r="D117756" s="12"/>
      <c r="E117756" s="12"/>
      <c r="F117756" s="13"/>
      <c r="G117756" s="12"/>
      <c r="H117756" s="12"/>
      <c r="I117756" s="12"/>
      <c r="J117756" s="12"/>
      <c r="K117756" s="12"/>
      <c r="L117756" s="208"/>
      <c r="M117756" s="209"/>
      <c r="N117756" s="209"/>
      <c r="O117756" s="209"/>
    </row>
    <row r="117757" spans="1:15" s="210" customFormat="1" x14ac:dyDescent="0.3">
      <c r="A117757" s="12"/>
      <c r="B117757" s="15"/>
      <c r="C117757" s="15"/>
      <c r="D117757" s="12"/>
      <c r="E117757" s="12"/>
      <c r="F117757" s="13"/>
      <c r="G117757" s="12"/>
      <c r="H117757" s="12"/>
      <c r="I117757" s="12"/>
      <c r="J117757" s="12"/>
      <c r="K117757" s="12"/>
      <c r="L117757" s="208"/>
      <c r="M117757" s="209"/>
      <c r="N117757" s="209"/>
      <c r="O117757" s="209"/>
    </row>
    <row r="117758" spans="1:15" s="210" customFormat="1" x14ac:dyDescent="0.3">
      <c r="A117758" s="12"/>
      <c r="B117758" s="15"/>
      <c r="C117758" s="15"/>
      <c r="D117758" s="12"/>
      <c r="E117758" s="12"/>
      <c r="F117758" s="13"/>
      <c r="G117758" s="12"/>
      <c r="H117758" s="12"/>
      <c r="I117758" s="12"/>
      <c r="J117758" s="12"/>
      <c r="K117758" s="12"/>
      <c r="L117758" s="208"/>
      <c r="M117758" s="209"/>
      <c r="N117758" s="209"/>
      <c r="O117758" s="209"/>
    </row>
    <row r="117759" spans="1:15" s="210" customFormat="1" x14ac:dyDescent="0.3">
      <c r="A117759" s="12"/>
      <c r="B117759" s="15"/>
      <c r="C117759" s="15"/>
      <c r="D117759" s="12"/>
      <c r="E117759" s="12"/>
      <c r="F117759" s="13"/>
      <c r="G117759" s="12"/>
      <c r="H117759" s="12"/>
      <c r="I117759" s="12"/>
      <c r="J117759" s="12"/>
      <c r="K117759" s="12"/>
      <c r="L117759" s="208"/>
      <c r="M117759" s="209"/>
      <c r="N117759" s="209"/>
      <c r="O117759" s="209"/>
    </row>
    <row r="117760" spans="1:15" s="210" customFormat="1" x14ac:dyDescent="0.3">
      <c r="A117760" s="12"/>
      <c r="B117760" s="15"/>
      <c r="C117760" s="15"/>
      <c r="D117760" s="12"/>
      <c r="E117760" s="12"/>
      <c r="F117760" s="13"/>
      <c r="G117760" s="12"/>
      <c r="H117760" s="12"/>
      <c r="I117760" s="12"/>
      <c r="J117760" s="12"/>
      <c r="K117760" s="12"/>
      <c r="L117760" s="208"/>
      <c r="M117760" s="209"/>
      <c r="N117760" s="209"/>
      <c r="O117760" s="209"/>
    </row>
    <row r="117761" spans="1:15" s="210" customFormat="1" x14ac:dyDescent="0.3">
      <c r="A117761" s="12"/>
      <c r="B117761" s="15"/>
      <c r="C117761" s="15"/>
      <c r="D117761" s="12"/>
      <c r="E117761" s="12"/>
      <c r="F117761" s="13"/>
      <c r="G117761" s="12"/>
      <c r="H117761" s="12"/>
      <c r="I117761" s="12"/>
      <c r="J117761" s="12"/>
      <c r="K117761" s="12"/>
      <c r="L117761" s="208"/>
      <c r="M117761" s="209"/>
      <c r="N117761" s="209"/>
      <c r="O117761" s="209"/>
    </row>
    <row r="117762" spans="1:15" s="210" customFormat="1" x14ac:dyDescent="0.3">
      <c r="A117762" s="12"/>
      <c r="B117762" s="15"/>
      <c r="C117762" s="15"/>
      <c r="D117762" s="12"/>
      <c r="E117762" s="12"/>
      <c r="F117762" s="13"/>
      <c r="G117762" s="12"/>
      <c r="H117762" s="12"/>
      <c r="I117762" s="12"/>
      <c r="J117762" s="12"/>
      <c r="K117762" s="12"/>
      <c r="L117762" s="208"/>
      <c r="M117762" s="209"/>
      <c r="N117762" s="209"/>
      <c r="O117762" s="209"/>
    </row>
    <row r="117763" spans="1:15" s="210" customFormat="1" x14ac:dyDescent="0.3">
      <c r="A117763" s="12"/>
      <c r="B117763" s="15"/>
      <c r="C117763" s="15"/>
      <c r="D117763" s="12"/>
      <c r="E117763" s="12"/>
      <c r="F117763" s="13"/>
      <c r="G117763" s="12"/>
      <c r="H117763" s="12"/>
      <c r="I117763" s="12"/>
      <c r="J117763" s="12"/>
      <c r="K117763" s="12"/>
      <c r="L117763" s="208"/>
      <c r="M117763" s="209"/>
      <c r="N117763" s="209"/>
      <c r="O117763" s="209"/>
    </row>
    <row r="117764" spans="1:15" s="210" customFormat="1" x14ac:dyDescent="0.3">
      <c r="A117764" s="12"/>
      <c r="B117764" s="15"/>
      <c r="C117764" s="15"/>
      <c r="D117764" s="12"/>
      <c r="E117764" s="12"/>
      <c r="F117764" s="13"/>
      <c r="G117764" s="12"/>
      <c r="H117764" s="12"/>
      <c r="I117764" s="12"/>
      <c r="J117764" s="12"/>
      <c r="K117764" s="12"/>
      <c r="L117764" s="208"/>
      <c r="M117764" s="209"/>
      <c r="N117764" s="209"/>
      <c r="O117764" s="209"/>
    </row>
    <row r="117765" spans="1:15" s="210" customFormat="1" x14ac:dyDescent="0.3">
      <c r="A117765" s="12"/>
      <c r="B117765" s="15"/>
      <c r="C117765" s="15"/>
      <c r="D117765" s="12"/>
      <c r="E117765" s="12"/>
      <c r="F117765" s="13"/>
      <c r="G117765" s="12"/>
      <c r="H117765" s="12"/>
      <c r="I117765" s="12"/>
      <c r="J117765" s="12"/>
      <c r="K117765" s="12"/>
      <c r="L117765" s="208"/>
      <c r="M117765" s="209"/>
      <c r="N117765" s="209"/>
      <c r="O117765" s="209"/>
    </row>
    <row r="117766" spans="1:15" s="210" customFormat="1" x14ac:dyDescent="0.3">
      <c r="A117766" s="12"/>
      <c r="B117766" s="15"/>
      <c r="C117766" s="15"/>
      <c r="D117766" s="12"/>
      <c r="E117766" s="12"/>
      <c r="F117766" s="13"/>
      <c r="G117766" s="12"/>
      <c r="H117766" s="12"/>
      <c r="I117766" s="12"/>
      <c r="J117766" s="12"/>
      <c r="K117766" s="12"/>
      <c r="L117766" s="208"/>
      <c r="M117766" s="209"/>
      <c r="N117766" s="209"/>
      <c r="O117766" s="209"/>
    </row>
    <row r="117767" spans="1:15" s="210" customFormat="1" x14ac:dyDescent="0.3">
      <c r="A117767" s="12"/>
      <c r="B117767" s="15"/>
      <c r="C117767" s="15"/>
      <c r="D117767" s="12"/>
      <c r="E117767" s="12"/>
      <c r="F117767" s="13"/>
      <c r="G117767" s="12"/>
      <c r="H117767" s="12"/>
      <c r="I117767" s="12"/>
      <c r="J117767" s="12"/>
      <c r="K117767" s="12"/>
      <c r="L117767" s="208"/>
      <c r="M117767" s="209"/>
      <c r="N117767" s="209"/>
      <c r="O117767" s="209"/>
    </row>
    <row r="117768" spans="1:15" s="210" customFormat="1" x14ac:dyDescent="0.3">
      <c r="A117768" s="12"/>
      <c r="B117768" s="15"/>
      <c r="C117768" s="15"/>
      <c r="D117768" s="12"/>
      <c r="E117768" s="12"/>
      <c r="F117768" s="13"/>
      <c r="G117768" s="12"/>
      <c r="H117768" s="12"/>
      <c r="I117768" s="12"/>
      <c r="J117768" s="12"/>
      <c r="K117768" s="12"/>
      <c r="L117768" s="208"/>
      <c r="M117768" s="209"/>
      <c r="N117768" s="209"/>
      <c r="O117768" s="209"/>
    </row>
    <row r="117769" spans="1:15" s="210" customFormat="1" x14ac:dyDescent="0.3">
      <c r="A117769" s="12"/>
      <c r="B117769" s="15"/>
      <c r="C117769" s="15"/>
      <c r="D117769" s="12"/>
      <c r="E117769" s="12"/>
      <c r="F117769" s="13"/>
      <c r="G117769" s="12"/>
      <c r="H117769" s="12"/>
      <c r="I117769" s="12"/>
      <c r="J117769" s="12"/>
      <c r="K117769" s="12"/>
      <c r="L117769" s="208"/>
      <c r="M117769" s="209"/>
      <c r="N117769" s="209"/>
      <c r="O117769" s="209"/>
    </row>
    <row r="117770" spans="1:15" s="210" customFormat="1" x14ac:dyDescent="0.3">
      <c r="A117770" s="12"/>
      <c r="B117770" s="15"/>
      <c r="C117770" s="15"/>
      <c r="D117770" s="12"/>
      <c r="E117770" s="12"/>
      <c r="F117770" s="13"/>
      <c r="G117770" s="12"/>
      <c r="H117770" s="12"/>
      <c r="I117770" s="12"/>
      <c r="J117770" s="12"/>
      <c r="K117770" s="12"/>
      <c r="L117770" s="208"/>
      <c r="M117770" s="209"/>
      <c r="N117770" s="209"/>
      <c r="O117770" s="209"/>
    </row>
    <row r="117771" spans="1:15" s="210" customFormat="1" x14ac:dyDescent="0.3">
      <c r="A117771" s="12"/>
      <c r="B117771" s="15"/>
      <c r="C117771" s="15"/>
      <c r="D117771" s="12"/>
      <c r="E117771" s="12"/>
      <c r="F117771" s="13"/>
      <c r="G117771" s="12"/>
      <c r="H117771" s="12"/>
      <c r="I117771" s="12"/>
      <c r="J117771" s="12"/>
      <c r="K117771" s="12"/>
      <c r="L117771" s="208"/>
      <c r="M117771" s="209"/>
      <c r="N117771" s="209"/>
      <c r="O117771" s="209"/>
    </row>
    <row r="117772" spans="1:15" s="210" customFormat="1" x14ac:dyDescent="0.3">
      <c r="A117772" s="12"/>
      <c r="B117772" s="15"/>
      <c r="C117772" s="15"/>
      <c r="D117772" s="12"/>
      <c r="E117772" s="12"/>
      <c r="F117772" s="13"/>
      <c r="G117772" s="12"/>
      <c r="H117772" s="12"/>
      <c r="I117772" s="12"/>
      <c r="J117772" s="12"/>
      <c r="K117772" s="12"/>
      <c r="L117772" s="208"/>
      <c r="M117772" s="209"/>
      <c r="N117772" s="209"/>
      <c r="O117772" s="209"/>
    </row>
    <row r="117773" spans="1:15" s="210" customFormat="1" x14ac:dyDescent="0.3">
      <c r="A117773" s="12"/>
      <c r="B117773" s="15"/>
      <c r="C117773" s="15"/>
      <c r="D117773" s="12"/>
      <c r="E117773" s="12"/>
      <c r="F117773" s="13"/>
      <c r="G117773" s="12"/>
      <c r="H117773" s="12"/>
      <c r="I117773" s="12"/>
      <c r="J117773" s="12"/>
      <c r="K117773" s="12"/>
      <c r="L117773" s="208"/>
      <c r="M117773" s="209"/>
      <c r="N117773" s="209"/>
      <c r="O117773" s="209"/>
    </row>
    <row r="117774" spans="1:15" s="210" customFormat="1" x14ac:dyDescent="0.3">
      <c r="A117774" s="12"/>
      <c r="B117774" s="15"/>
      <c r="C117774" s="15"/>
      <c r="D117774" s="12"/>
      <c r="E117774" s="12"/>
      <c r="F117774" s="13"/>
      <c r="G117774" s="12"/>
      <c r="H117774" s="12"/>
      <c r="I117774" s="12"/>
      <c r="J117774" s="12"/>
      <c r="K117774" s="12"/>
      <c r="L117774" s="208"/>
      <c r="M117774" s="209"/>
      <c r="N117774" s="209"/>
      <c r="O117774" s="209"/>
    </row>
    <row r="117775" spans="1:15" s="210" customFormat="1" x14ac:dyDescent="0.3">
      <c r="A117775" s="12"/>
      <c r="B117775" s="15"/>
      <c r="C117775" s="15"/>
      <c r="D117775" s="12"/>
      <c r="E117775" s="12"/>
      <c r="F117775" s="13"/>
      <c r="G117775" s="12"/>
      <c r="H117775" s="12"/>
      <c r="I117775" s="12"/>
      <c r="J117775" s="12"/>
      <c r="K117775" s="12"/>
      <c r="L117775" s="208"/>
      <c r="M117775" s="209"/>
      <c r="N117775" s="209"/>
      <c r="O117775" s="209"/>
    </row>
    <row r="117776" spans="1:15" s="210" customFormat="1" x14ac:dyDescent="0.3">
      <c r="A117776" s="12"/>
      <c r="B117776" s="15"/>
      <c r="C117776" s="15"/>
      <c r="D117776" s="12"/>
      <c r="E117776" s="12"/>
      <c r="F117776" s="13"/>
      <c r="G117776" s="12"/>
      <c r="H117776" s="12"/>
      <c r="I117776" s="12"/>
      <c r="J117776" s="12"/>
      <c r="K117776" s="12"/>
      <c r="L117776" s="208"/>
      <c r="M117776" s="209"/>
      <c r="N117776" s="209"/>
      <c r="O117776" s="209"/>
    </row>
    <row r="117777" spans="1:15" s="210" customFormat="1" x14ac:dyDescent="0.3">
      <c r="A117777" s="12"/>
      <c r="B117777" s="15"/>
      <c r="C117777" s="15"/>
      <c r="D117777" s="12"/>
      <c r="E117777" s="12"/>
      <c r="F117777" s="13"/>
      <c r="G117777" s="12"/>
      <c r="H117777" s="12"/>
      <c r="I117777" s="12"/>
      <c r="J117777" s="12"/>
      <c r="K117777" s="12"/>
      <c r="L117777" s="208"/>
      <c r="M117777" s="209"/>
      <c r="N117777" s="209"/>
      <c r="O117777" s="209"/>
    </row>
    <row r="117778" spans="1:15" s="210" customFormat="1" x14ac:dyDescent="0.3">
      <c r="A117778" s="12"/>
      <c r="B117778" s="15"/>
      <c r="C117778" s="15"/>
      <c r="D117778" s="12"/>
      <c r="E117778" s="12"/>
      <c r="F117778" s="13"/>
      <c r="G117778" s="12"/>
      <c r="H117778" s="12"/>
      <c r="I117778" s="12"/>
      <c r="J117778" s="12"/>
      <c r="K117778" s="12"/>
      <c r="L117778" s="208"/>
      <c r="M117778" s="209"/>
      <c r="N117778" s="209"/>
      <c r="O117778" s="209"/>
    </row>
    <row r="117779" spans="1:15" s="210" customFormat="1" x14ac:dyDescent="0.3">
      <c r="A117779" s="12"/>
      <c r="B117779" s="15"/>
      <c r="C117779" s="15"/>
      <c r="D117779" s="12"/>
      <c r="E117779" s="12"/>
      <c r="F117779" s="13"/>
      <c r="G117779" s="12"/>
      <c r="H117779" s="12"/>
      <c r="I117779" s="12"/>
      <c r="J117779" s="12"/>
      <c r="K117779" s="12"/>
      <c r="L117779" s="208"/>
      <c r="M117779" s="209"/>
      <c r="N117779" s="209"/>
      <c r="O117779" s="209"/>
    </row>
    <row r="117780" spans="1:15" s="210" customFormat="1" x14ac:dyDescent="0.3">
      <c r="A117780" s="12"/>
      <c r="B117780" s="15"/>
      <c r="C117780" s="15"/>
      <c r="D117780" s="12"/>
      <c r="E117780" s="12"/>
      <c r="F117780" s="13"/>
      <c r="G117780" s="12"/>
      <c r="H117780" s="12"/>
      <c r="I117780" s="12"/>
      <c r="J117780" s="12"/>
      <c r="K117780" s="12"/>
      <c r="L117780" s="208"/>
      <c r="M117780" s="209"/>
      <c r="N117780" s="209"/>
      <c r="O117780" s="209"/>
    </row>
    <row r="117781" spans="1:15" s="210" customFormat="1" x14ac:dyDescent="0.3">
      <c r="A117781" s="12"/>
      <c r="B117781" s="15"/>
      <c r="C117781" s="15"/>
      <c r="D117781" s="12"/>
      <c r="E117781" s="12"/>
      <c r="F117781" s="13"/>
      <c r="G117781" s="12"/>
      <c r="H117781" s="12"/>
      <c r="I117781" s="12"/>
      <c r="J117781" s="12"/>
      <c r="K117781" s="12"/>
      <c r="L117781" s="208"/>
      <c r="M117781" s="209"/>
      <c r="N117781" s="209"/>
      <c r="O117781" s="209"/>
    </row>
    <row r="117782" spans="1:15" s="210" customFormat="1" x14ac:dyDescent="0.3">
      <c r="A117782" s="12"/>
      <c r="B117782" s="15"/>
      <c r="C117782" s="15"/>
      <c r="D117782" s="12"/>
      <c r="E117782" s="12"/>
      <c r="F117782" s="13"/>
      <c r="G117782" s="12"/>
      <c r="H117782" s="12"/>
      <c r="I117782" s="12"/>
      <c r="J117782" s="12"/>
      <c r="K117782" s="12"/>
      <c r="L117782" s="208"/>
      <c r="M117782" s="209"/>
      <c r="N117782" s="209"/>
      <c r="O117782" s="209"/>
    </row>
    <row r="117783" spans="1:15" s="210" customFormat="1" x14ac:dyDescent="0.3">
      <c r="A117783" s="12"/>
      <c r="B117783" s="15"/>
      <c r="C117783" s="15"/>
      <c r="D117783" s="12"/>
      <c r="E117783" s="12"/>
      <c r="F117783" s="13"/>
      <c r="G117783" s="12"/>
      <c r="H117783" s="12"/>
      <c r="I117783" s="12"/>
      <c r="J117783" s="12"/>
      <c r="K117783" s="12"/>
      <c r="L117783" s="208"/>
      <c r="M117783" s="209"/>
      <c r="N117783" s="209"/>
      <c r="O117783" s="209"/>
    </row>
    <row r="117784" spans="1:15" s="210" customFormat="1" x14ac:dyDescent="0.3">
      <c r="A117784" s="12"/>
      <c r="B117784" s="15"/>
      <c r="C117784" s="15"/>
      <c r="D117784" s="12"/>
      <c r="E117784" s="12"/>
      <c r="F117784" s="13"/>
      <c r="G117784" s="12"/>
      <c r="H117784" s="12"/>
      <c r="I117784" s="12"/>
      <c r="J117784" s="12"/>
      <c r="K117784" s="12"/>
      <c r="L117784" s="208"/>
      <c r="M117784" s="209"/>
      <c r="N117784" s="209"/>
      <c r="O117784" s="209"/>
    </row>
    <row r="117785" spans="1:15" s="210" customFormat="1" x14ac:dyDescent="0.3">
      <c r="A117785" s="12"/>
      <c r="B117785" s="15"/>
      <c r="C117785" s="15"/>
      <c r="D117785" s="12"/>
      <c r="E117785" s="12"/>
      <c r="F117785" s="13"/>
      <c r="G117785" s="12"/>
      <c r="H117785" s="12"/>
      <c r="I117785" s="12"/>
      <c r="J117785" s="12"/>
      <c r="K117785" s="12"/>
      <c r="L117785" s="208"/>
      <c r="M117785" s="209"/>
      <c r="N117785" s="209"/>
      <c r="O117785" s="209"/>
    </row>
    <row r="117786" spans="1:15" s="210" customFormat="1" x14ac:dyDescent="0.3">
      <c r="A117786" s="12"/>
      <c r="B117786" s="15"/>
      <c r="C117786" s="15"/>
      <c r="D117786" s="12"/>
      <c r="E117786" s="12"/>
      <c r="F117786" s="13"/>
      <c r="G117786" s="12"/>
      <c r="H117786" s="12"/>
      <c r="I117786" s="12"/>
      <c r="J117786" s="12"/>
      <c r="K117786" s="12"/>
      <c r="L117786" s="208"/>
      <c r="M117786" s="209"/>
      <c r="N117786" s="209"/>
      <c r="O117786" s="209"/>
    </row>
    <row r="117787" spans="1:15" s="210" customFormat="1" x14ac:dyDescent="0.3">
      <c r="A117787" s="12"/>
      <c r="B117787" s="15"/>
      <c r="C117787" s="15"/>
      <c r="D117787" s="12"/>
      <c r="E117787" s="12"/>
      <c r="F117787" s="13"/>
      <c r="G117787" s="12"/>
      <c r="H117787" s="12"/>
      <c r="I117787" s="12"/>
      <c r="J117787" s="12"/>
      <c r="K117787" s="12"/>
      <c r="L117787" s="208"/>
      <c r="M117787" s="209"/>
      <c r="N117787" s="209"/>
      <c r="O117787" s="209"/>
    </row>
    <row r="117788" spans="1:15" s="210" customFormat="1" x14ac:dyDescent="0.3">
      <c r="A117788" s="12"/>
      <c r="B117788" s="15"/>
      <c r="C117788" s="15"/>
      <c r="D117788" s="12"/>
      <c r="E117788" s="12"/>
      <c r="F117788" s="13"/>
      <c r="G117788" s="12"/>
      <c r="H117788" s="12"/>
      <c r="I117788" s="12"/>
      <c r="J117788" s="12"/>
      <c r="K117788" s="12"/>
      <c r="L117788" s="208"/>
      <c r="M117788" s="209"/>
      <c r="N117788" s="209"/>
      <c r="O117788" s="209"/>
    </row>
    <row r="117789" spans="1:15" s="210" customFormat="1" x14ac:dyDescent="0.3">
      <c r="A117789" s="12"/>
      <c r="B117789" s="15"/>
      <c r="C117789" s="15"/>
      <c r="D117789" s="12"/>
      <c r="E117789" s="12"/>
      <c r="F117789" s="13"/>
      <c r="G117789" s="12"/>
      <c r="H117789" s="12"/>
      <c r="I117789" s="12"/>
      <c r="J117789" s="12"/>
      <c r="K117789" s="12"/>
      <c r="L117789" s="208"/>
      <c r="M117789" s="209"/>
      <c r="N117789" s="209"/>
      <c r="O117789" s="209"/>
    </row>
    <row r="117790" spans="1:15" s="210" customFormat="1" x14ac:dyDescent="0.3">
      <c r="A117790" s="12"/>
      <c r="B117790" s="15"/>
      <c r="C117790" s="15"/>
      <c r="D117790" s="12"/>
      <c r="E117790" s="12"/>
      <c r="F117790" s="13"/>
      <c r="G117790" s="12"/>
      <c r="H117790" s="12"/>
      <c r="I117790" s="12"/>
      <c r="J117790" s="12"/>
      <c r="K117790" s="12"/>
      <c r="L117790" s="208"/>
      <c r="M117790" s="209"/>
      <c r="N117790" s="209"/>
      <c r="O117790" s="209"/>
    </row>
    <row r="117791" spans="1:15" s="210" customFormat="1" x14ac:dyDescent="0.3">
      <c r="A117791" s="12"/>
      <c r="B117791" s="15"/>
      <c r="C117791" s="15"/>
      <c r="D117791" s="12"/>
      <c r="E117791" s="12"/>
      <c r="F117791" s="13"/>
      <c r="G117791" s="12"/>
      <c r="H117791" s="12"/>
      <c r="I117791" s="12"/>
      <c r="J117791" s="12"/>
      <c r="K117791" s="12"/>
      <c r="L117791" s="208"/>
      <c r="M117791" s="209"/>
      <c r="N117791" s="209"/>
      <c r="O117791" s="209"/>
    </row>
    <row r="117792" spans="1:15" s="210" customFormat="1" x14ac:dyDescent="0.3">
      <c r="A117792" s="12"/>
      <c r="B117792" s="15"/>
      <c r="C117792" s="15"/>
      <c r="D117792" s="12"/>
      <c r="E117792" s="12"/>
      <c r="F117792" s="13"/>
      <c r="G117792" s="12"/>
      <c r="H117792" s="12"/>
      <c r="I117792" s="12"/>
      <c r="J117792" s="12"/>
      <c r="K117792" s="12"/>
      <c r="L117792" s="208"/>
      <c r="M117792" s="209"/>
      <c r="N117792" s="209"/>
      <c r="O117792" s="209"/>
    </row>
    <row r="117793" spans="1:15" s="210" customFormat="1" x14ac:dyDescent="0.3">
      <c r="A117793" s="12"/>
      <c r="B117793" s="15"/>
      <c r="C117793" s="15"/>
      <c r="D117793" s="12"/>
      <c r="E117793" s="12"/>
      <c r="F117793" s="13"/>
      <c r="G117793" s="12"/>
      <c r="H117793" s="12"/>
      <c r="I117793" s="12"/>
      <c r="J117793" s="12"/>
      <c r="K117793" s="12"/>
      <c r="L117793" s="208"/>
      <c r="M117793" s="209"/>
      <c r="N117793" s="209"/>
      <c r="O117793" s="209"/>
    </row>
    <row r="117794" spans="1:15" s="210" customFormat="1" x14ac:dyDescent="0.3">
      <c r="A117794" s="12"/>
      <c r="B117794" s="15"/>
      <c r="C117794" s="15"/>
      <c r="D117794" s="12"/>
      <c r="E117794" s="12"/>
      <c r="F117794" s="13"/>
      <c r="G117794" s="12"/>
      <c r="H117794" s="12"/>
      <c r="I117794" s="12"/>
      <c r="J117794" s="12"/>
      <c r="K117794" s="12"/>
      <c r="L117794" s="208"/>
      <c r="M117794" s="209"/>
      <c r="N117794" s="209"/>
      <c r="O117794" s="209"/>
    </row>
    <row r="117795" spans="1:15" s="210" customFormat="1" x14ac:dyDescent="0.3">
      <c r="A117795" s="12"/>
      <c r="B117795" s="15"/>
      <c r="C117795" s="15"/>
      <c r="D117795" s="12"/>
      <c r="E117795" s="12"/>
      <c r="F117795" s="13"/>
      <c r="G117795" s="12"/>
      <c r="H117795" s="12"/>
      <c r="I117795" s="12"/>
      <c r="J117795" s="12"/>
      <c r="K117795" s="12"/>
      <c r="L117795" s="208"/>
      <c r="M117795" s="209"/>
      <c r="N117795" s="209"/>
      <c r="O117795" s="209"/>
    </row>
    <row r="117796" spans="1:15" s="210" customFormat="1" x14ac:dyDescent="0.3">
      <c r="A117796" s="12"/>
      <c r="B117796" s="15"/>
      <c r="C117796" s="15"/>
      <c r="D117796" s="12"/>
      <c r="E117796" s="12"/>
      <c r="F117796" s="13"/>
      <c r="G117796" s="12"/>
      <c r="H117796" s="12"/>
      <c r="I117796" s="12"/>
      <c r="J117796" s="12"/>
      <c r="K117796" s="12"/>
      <c r="L117796" s="208"/>
      <c r="M117796" s="209"/>
      <c r="N117796" s="209"/>
      <c r="O117796" s="209"/>
    </row>
    <row r="117797" spans="1:15" s="210" customFormat="1" x14ac:dyDescent="0.3">
      <c r="A117797" s="12"/>
      <c r="B117797" s="15"/>
      <c r="C117797" s="15"/>
      <c r="D117797" s="12"/>
      <c r="E117797" s="12"/>
      <c r="F117797" s="13"/>
      <c r="G117797" s="12"/>
      <c r="H117797" s="12"/>
      <c r="I117797" s="12"/>
      <c r="J117797" s="12"/>
      <c r="K117797" s="12"/>
      <c r="L117797" s="208"/>
      <c r="M117797" s="209"/>
      <c r="N117797" s="209"/>
      <c r="O117797" s="209"/>
    </row>
    <row r="117798" spans="1:15" s="210" customFormat="1" x14ac:dyDescent="0.3">
      <c r="A117798" s="12"/>
      <c r="B117798" s="15"/>
      <c r="C117798" s="15"/>
      <c r="D117798" s="12"/>
      <c r="E117798" s="12"/>
      <c r="F117798" s="13"/>
      <c r="G117798" s="12"/>
      <c r="H117798" s="12"/>
      <c r="I117798" s="12"/>
      <c r="J117798" s="12"/>
      <c r="K117798" s="12"/>
      <c r="L117798" s="208"/>
      <c r="M117798" s="209"/>
      <c r="N117798" s="209"/>
      <c r="O117798" s="209"/>
    </row>
    <row r="117799" spans="1:15" s="210" customFormat="1" x14ac:dyDescent="0.3">
      <c r="A117799" s="12"/>
      <c r="B117799" s="15"/>
      <c r="C117799" s="15"/>
      <c r="D117799" s="12"/>
      <c r="E117799" s="12"/>
      <c r="F117799" s="13"/>
      <c r="G117799" s="12"/>
      <c r="H117799" s="12"/>
      <c r="I117799" s="12"/>
      <c r="J117799" s="12"/>
      <c r="K117799" s="12"/>
      <c r="L117799" s="208"/>
      <c r="M117799" s="209"/>
      <c r="N117799" s="209"/>
      <c r="O117799" s="209"/>
    </row>
    <row r="117800" spans="1:15" s="210" customFormat="1" x14ac:dyDescent="0.3">
      <c r="A117800" s="12"/>
      <c r="B117800" s="15"/>
      <c r="C117800" s="15"/>
      <c r="D117800" s="12"/>
      <c r="E117800" s="12"/>
      <c r="F117800" s="13"/>
      <c r="G117800" s="12"/>
      <c r="H117800" s="12"/>
      <c r="I117800" s="12"/>
      <c r="J117800" s="12"/>
      <c r="K117800" s="12"/>
      <c r="L117800" s="208"/>
      <c r="M117800" s="209"/>
      <c r="N117800" s="209"/>
      <c r="O117800" s="209"/>
    </row>
    <row r="117801" spans="1:15" s="210" customFormat="1" x14ac:dyDescent="0.3">
      <c r="A117801" s="12"/>
      <c r="B117801" s="15"/>
      <c r="C117801" s="15"/>
      <c r="D117801" s="12"/>
      <c r="E117801" s="12"/>
      <c r="F117801" s="13"/>
      <c r="G117801" s="12"/>
      <c r="H117801" s="12"/>
      <c r="I117801" s="12"/>
      <c r="J117801" s="12"/>
      <c r="K117801" s="12"/>
      <c r="L117801" s="208"/>
      <c r="M117801" s="209"/>
      <c r="N117801" s="209"/>
      <c r="O117801" s="209"/>
    </row>
    <row r="117802" spans="1:15" s="210" customFormat="1" x14ac:dyDescent="0.3">
      <c r="A117802" s="12"/>
      <c r="B117802" s="15"/>
      <c r="C117802" s="15"/>
      <c r="D117802" s="12"/>
      <c r="E117802" s="12"/>
      <c r="F117802" s="13"/>
      <c r="G117802" s="12"/>
      <c r="H117802" s="12"/>
      <c r="I117802" s="12"/>
      <c r="J117802" s="12"/>
      <c r="K117802" s="12"/>
      <c r="L117802" s="208"/>
      <c r="M117802" s="209"/>
      <c r="N117802" s="209"/>
      <c r="O117802" s="209"/>
    </row>
    <row r="117803" spans="1:15" s="210" customFormat="1" x14ac:dyDescent="0.3">
      <c r="A117803" s="12"/>
      <c r="B117803" s="15"/>
      <c r="C117803" s="15"/>
      <c r="D117803" s="12"/>
      <c r="E117803" s="12"/>
      <c r="F117803" s="13"/>
      <c r="G117803" s="12"/>
      <c r="H117803" s="12"/>
      <c r="I117803" s="12"/>
      <c r="J117803" s="12"/>
      <c r="K117803" s="12"/>
      <c r="L117803" s="208"/>
      <c r="M117803" s="209"/>
      <c r="N117803" s="209"/>
      <c r="O117803" s="209"/>
    </row>
    <row r="117804" spans="1:15" s="210" customFormat="1" x14ac:dyDescent="0.3">
      <c r="A117804" s="12"/>
      <c r="B117804" s="15"/>
      <c r="C117804" s="15"/>
      <c r="D117804" s="12"/>
      <c r="E117804" s="12"/>
      <c r="F117804" s="13"/>
      <c r="G117804" s="12"/>
      <c r="H117804" s="12"/>
      <c r="I117804" s="12"/>
      <c r="J117804" s="12"/>
      <c r="K117804" s="12"/>
      <c r="L117804" s="208"/>
      <c r="M117804" s="209"/>
      <c r="N117804" s="209"/>
      <c r="O117804" s="209"/>
    </row>
    <row r="117805" spans="1:15" s="210" customFormat="1" x14ac:dyDescent="0.3">
      <c r="A117805" s="12"/>
      <c r="B117805" s="15"/>
      <c r="C117805" s="15"/>
      <c r="D117805" s="12"/>
      <c r="E117805" s="12"/>
      <c r="F117805" s="13"/>
      <c r="G117805" s="12"/>
      <c r="H117805" s="12"/>
      <c r="I117805" s="12"/>
      <c r="J117805" s="12"/>
      <c r="K117805" s="12"/>
      <c r="L117805" s="208"/>
      <c r="M117805" s="209"/>
      <c r="N117805" s="209"/>
      <c r="O117805" s="209"/>
    </row>
    <row r="117806" spans="1:15" s="210" customFormat="1" x14ac:dyDescent="0.3">
      <c r="A117806" s="12"/>
      <c r="B117806" s="15"/>
      <c r="C117806" s="15"/>
      <c r="D117806" s="12"/>
      <c r="E117806" s="12"/>
      <c r="F117806" s="13"/>
      <c r="G117806" s="12"/>
      <c r="H117806" s="12"/>
      <c r="I117806" s="12"/>
      <c r="J117806" s="12"/>
      <c r="K117806" s="12"/>
      <c r="L117806" s="208"/>
      <c r="M117806" s="209"/>
      <c r="N117806" s="209"/>
      <c r="O117806" s="209"/>
    </row>
    <row r="117807" spans="1:15" s="210" customFormat="1" x14ac:dyDescent="0.3">
      <c r="A117807" s="12"/>
      <c r="B117807" s="15"/>
      <c r="C117807" s="15"/>
      <c r="D117807" s="12"/>
      <c r="E117807" s="12"/>
      <c r="F117807" s="13"/>
      <c r="G117807" s="12"/>
      <c r="H117807" s="12"/>
      <c r="I117807" s="12"/>
      <c r="J117807" s="12"/>
      <c r="K117807" s="12"/>
      <c r="L117807" s="208"/>
      <c r="M117807" s="209"/>
      <c r="N117807" s="209"/>
      <c r="O117807" s="209"/>
    </row>
    <row r="117808" spans="1:15" s="210" customFormat="1" x14ac:dyDescent="0.3">
      <c r="A117808" s="12"/>
      <c r="B117808" s="15"/>
      <c r="C117808" s="15"/>
      <c r="D117808" s="12"/>
      <c r="E117808" s="12"/>
      <c r="F117808" s="13"/>
      <c r="G117808" s="12"/>
      <c r="H117808" s="12"/>
      <c r="I117808" s="12"/>
      <c r="J117808" s="12"/>
      <c r="K117808" s="12"/>
      <c r="L117808" s="208"/>
      <c r="M117808" s="209"/>
      <c r="N117808" s="209"/>
      <c r="O117808" s="209"/>
    </row>
    <row r="117809" spans="1:15" s="210" customFormat="1" x14ac:dyDescent="0.3">
      <c r="A117809" s="12"/>
      <c r="B117809" s="15"/>
      <c r="C117809" s="15"/>
      <c r="D117809" s="12"/>
      <c r="E117809" s="12"/>
      <c r="F117809" s="13"/>
      <c r="G117809" s="12"/>
      <c r="H117809" s="12"/>
      <c r="I117809" s="12"/>
      <c r="J117809" s="12"/>
      <c r="K117809" s="12"/>
      <c r="L117809" s="208"/>
      <c r="M117809" s="209"/>
      <c r="N117809" s="209"/>
      <c r="O117809" s="209"/>
    </row>
    <row r="117810" spans="1:15" s="210" customFormat="1" x14ac:dyDescent="0.3">
      <c r="A117810" s="12"/>
      <c r="B117810" s="15"/>
      <c r="C117810" s="15"/>
      <c r="D117810" s="12"/>
      <c r="E117810" s="12"/>
      <c r="F117810" s="13"/>
      <c r="G117810" s="12"/>
      <c r="H117810" s="12"/>
      <c r="I117810" s="12"/>
      <c r="J117810" s="12"/>
      <c r="K117810" s="12"/>
      <c r="L117810" s="208"/>
      <c r="M117810" s="209"/>
      <c r="N117810" s="209"/>
      <c r="O117810" s="209"/>
    </row>
    <row r="117811" spans="1:15" s="210" customFormat="1" x14ac:dyDescent="0.3">
      <c r="A117811" s="12"/>
      <c r="B117811" s="15"/>
      <c r="C117811" s="15"/>
      <c r="D117811" s="12"/>
      <c r="E117811" s="12"/>
      <c r="F117811" s="13"/>
      <c r="G117811" s="12"/>
      <c r="H117811" s="12"/>
      <c r="I117811" s="12"/>
      <c r="J117811" s="12"/>
      <c r="K117811" s="12"/>
      <c r="L117811" s="208"/>
      <c r="M117811" s="209"/>
      <c r="N117811" s="209"/>
      <c r="O117811" s="209"/>
    </row>
    <row r="117812" spans="1:15" s="210" customFormat="1" x14ac:dyDescent="0.3">
      <c r="A117812" s="12"/>
      <c r="B117812" s="15"/>
      <c r="C117812" s="15"/>
      <c r="D117812" s="12"/>
      <c r="E117812" s="12"/>
      <c r="F117812" s="13"/>
      <c r="G117812" s="12"/>
      <c r="H117812" s="12"/>
      <c r="I117812" s="12"/>
      <c r="J117812" s="12"/>
      <c r="K117812" s="12"/>
      <c r="L117812" s="208"/>
      <c r="M117812" s="209"/>
      <c r="N117812" s="209"/>
      <c r="O117812" s="209"/>
    </row>
    <row r="117813" spans="1:15" s="210" customFormat="1" x14ac:dyDescent="0.3">
      <c r="A117813" s="12"/>
      <c r="B117813" s="15"/>
      <c r="C117813" s="15"/>
      <c r="D117813" s="12"/>
      <c r="E117813" s="12"/>
      <c r="F117813" s="13"/>
      <c r="G117813" s="12"/>
      <c r="H117813" s="12"/>
      <c r="I117813" s="12"/>
      <c r="J117813" s="12"/>
      <c r="K117813" s="12"/>
      <c r="L117813" s="208"/>
      <c r="M117813" s="209"/>
      <c r="N117813" s="209"/>
      <c r="O117813" s="209"/>
    </row>
    <row r="117814" spans="1:15" s="210" customFormat="1" x14ac:dyDescent="0.3">
      <c r="A117814" s="12"/>
      <c r="B117814" s="15"/>
      <c r="C117814" s="15"/>
      <c r="D117814" s="12"/>
      <c r="E117814" s="12"/>
      <c r="F117814" s="13"/>
      <c r="G117814" s="12"/>
      <c r="H117814" s="12"/>
      <c r="I117814" s="12"/>
      <c r="J117814" s="12"/>
      <c r="K117814" s="12"/>
      <c r="L117814" s="208"/>
      <c r="M117814" s="209"/>
      <c r="N117814" s="209"/>
      <c r="O117814" s="209"/>
    </row>
    <row r="117815" spans="1:15" s="210" customFormat="1" x14ac:dyDescent="0.3">
      <c r="A117815" s="12"/>
      <c r="B117815" s="15"/>
      <c r="C117815" s="15"/>
      <c r="D117815" s="12"/>
      <c r="E117815" s="12"/>
      <c r="F117815" s="13"/>
      <c r="G117815" s="12"/>
      <c r="H117815" s="12"/>
      <c r="I117815" s="12"/>
      <c r="J117815" s="12"/>
      <c r="K117815" s="12"/>
      <c r="L117815" s="208"/>
      <c r="M117815" s="209"/>
      <c r="N117815" s="209"/>
      <c r="O117815" s="209"/>
    </row>
    <row r="117816" spans="1:15" s="210" customFormat="1" x14ac:dyDescent="0.3">
      <c r="A117816" s="12"/>
      <c r="B117816" s="15"/>
      <c r="C117816" s="15"/>
      <c r="D117816" s="12"/>
      <c r="E117816" s="12"/>
      <c r="F117816" s="13"/>
      <c r="G117816" s="12"/>
      <c r="H117816" s="12"/>
      <c r="I117816" s="12"/>
      <c r="J117816" s="12"/>
      <c r="K117816" s="12"/>
      <c r="L117816" s="208"/>
      <c r="M117816" s="209"/>
      <c r="N117816" s="209"/>
      <c r="O117816" s="209"/>
    </row>
    <row r="117817" spans="1:15" s="210" customFormat="1" x14ac:dyDescent="0.3">
      <c r="A117817" s="12"/>
      <c r="B117817" s="15"/>
      <c r="C117817" s="15"/>
      <c r="D117817" s="12"/>
      <c r="E117817" s="12"/>
      <c r="F117817" s="13"/>
      <c r="G117817" s="12"/>
      <c r="H117817" s="12"/>
      <c r="I117817" s="12"/>
      <c r="J117817" s="12"/>
      <c r="K117817" s="12"/>
      <c r="L117817" s="208"/>
      <c r="M117817" s="209"/>
      <c r="N117817" s="209"/>
      <c r="O117817" s="209"/>
    </row>
    <row r="117818" spans="1:15" s="210" customFormat="1" x14ac:dyDescent="0.3">
      <c r="A117818" s="12"/>
      <c r="B117818" s="15"/>
      <c r="C117818" s="15"/>
      <c r="D117818" s="12"/>
      <c r="E117818" s="12"/>
      <c r="F117818" s="13"/>
      <c r="G117818" s="12"/>
      <c r="H117818" s="12"/>
      <c r="I117818" s="12"/>
      <c r="J117818" s="12"/>
      <c r="K117818" s="12"/>
      <c r="L117818" s="208"/>
      <c r="M117818" s="209"/>
      <c r="N117818" s="209"/>
      <c r="O117818" s="209"/>
    </row>
    <row r="117819" spans="1:15" s="210" customFormat="1" x14ac:dyDescent="0.3">
      <c r="A117819" s="12"/>
      <c r="B117819" s="15"/>
      <c r="C117819" s="15"/>
      <c r="D117819" s="12"/>
      <c r="E117819" s="12"/>
      <c r="F117819" s="13"/>
      <c r="G117819" s="12"/>
      <c r="H117819" s="12"/>
      <c r="I117819" s="12"/>
      <c r="J117819" s="12"/>
      <c r="K117819" s="12"/>
      <c r="L117819" s="208"/>
      <c r="M117819" s="209"/>
      <c r="N117819" s="209"/>
      <c r="O117819" s="209"/>
    </row>
    <row r="117820" spans="1:15" s="210" customFormat="1" x14ac:dyDescent="0.3">
      <c r="A117820" s="12"/>
      <c r="B117820" s="15"/>
      <c r="C117820" s="15"/>
      <c r="D117820" s="12"/>
      <c r="E117820" s="12"/>
      <c r="F117820" s="13"/>
      <c r="G117820" s="12"/>
      <c r="H117820" s="12"/>
      <c r="I117820" s="12"/>
      <c r="J117820" s="12"/>
      <c r="K117820" s="12"/>
      <c r="L117820" s="208"/>
      <c r="M117820" s="209"/>
      <c r="N117820" s="209"/>
      <c r="O117820" s="209"/>
    </row>
    <row r="117821" spans="1:15" s="210" customFormat="1" x14ac:dyDescent="0.3">
      <c r="A117821" s="12"/>
      <c r="B117821" s="15"/>
      <c r="C117821" s="15"/>
      <c r="D117821" s="12"/>
      <c r="E117821" s="12"/>
      <c r="F117821" s="13"/>
      <c r="G117821" s="12"/>
      <c r="H117821" s="12"/>
      <c r="I117821" s="12"/>
      <c r="J117821" s="12"/>
      <c r="K117821" s="12"/>
      <c r="L117821" s="208"/>
      <c r="M117821" s="209"/>
      <c r="N117821" s="209"/>
      <c r="O117821" s="209"/>
    </row>
    <row r="117822" spans="1:15" s="210" customFormat="1" x14ac:dyDescent="0.3">
      <c r="A117822" s="12"/>
      <c r="B117822" s="15"/>
      <c r="C117822" s="15"/>
      <c r="D117822" s="12"/>
      <c r="E117822" s="12"/>
      <c r="F117822" s="13"/>
      <c r="G117822" s="12"/>
      <c r="H117822" s="12"/>
      <c r="I117822" s="12"/>
      <c r="J117822" s="12"/>
      <c r="K117822" s="12"/>
      <c r="L117822" s="208"/>
      <c r="M117822" s="209"/>
      <c r="N117822" s="209"/>
      <c r="O117822" s="209"/>
    </row>
    <row r="117823" spans="1:15" s="210" customFormat="1" x14ac:dyDescent="0.3">
      <c r="A117823" s="12"/>
      <c r="B117823" s="15"/>
      <c r="C117823" s="15"/>
      <c r="D117823" s="12"/>
      <c r="E117823" s="12"/>
      <c r="F117823" s="13"/>
      <c r="G117823" s="12"/>
      <c r="H117823" s="12"/>
      <c r="I117823" s="12"/>
      <c r="J117823" s="12"/>
      <c r="K117823" s="12"/>
      <c r="L117823" s="208"/>
      <c r="M117823" s="209"/>
      <c r="N117823" s="209"/>
      <c r="O117823" s="209"/>
    </row>
    <row r="117824" spans="1:15" s="210" customFormat="1" x14ac:dyDescent="0.3">
      <c r="A117824" s="12"/>
      <c r="B117824" s="15"/>
      <c r="C117824" s="15"/>
      <c r="D117824" s="12"/>
      <c r="E117824" s="12"/>
      <c r="F117824" s="13"/>
      <c r="G117824" s="12"/>
      <c r="H117824" s="12"/>
      <c r="I117824" s="12"/>
      <c r="J117824" s="12"/>
      <c r="K117824" s="12"/>
      <c r="L117824" s="208"/>
      <c r="M117824" s="209"/>
      <c r="N117824" s="209"/>
      <c r="O117824" s="209"/>
    </row>
    <row r="117825" spans="1:15" s="210" customFormat="1" x14ac:dyDescent="0.3">
      <c r="A117825" s="12"/>
      <c r="B117825" s="15"/>
      <c r="C117825" s="15"/>
      <c r="D117825" s="12"/>
      <c r="E117825" s="12"/>
      <c r="F117825" s="13"/>
      <c r="G117825" s="12"/>
      <c r="H117825" s="12"/>
      <c r="I117825" s="12"/>
      <c r="J117825" s="12"/>
      <c r="K117825" s="12"/>
      <c r="L117825" s="208"/>
      <c r="M117825" s="209"/>
      <c r="N117825" s="209"/>
      <c r="O117825" s="209"/>
    </row>
    <row r="117826" spans="1:15" s="210" customFormat="1" x14ac:dyDescent="0.3">
      <c r="A117826" s="12"/>
      <c r="B117826" s="15"/>
      <c r="C117826" s="15"/>
      <c r="D117826" s="12"/>
      <c r="E117826" s="12"/>
      <c r="F117826" s="13"/>
      <c r="G117826" s="12"/>
      <c r="H117826" s="12"/>
      <c r="I117826" s="12"/>
      <c r="J117826" s="12"/>
      <c r="K117826" s="12"/>
      <c r="L117826" s="208"/>
      <c r="M117826" s="209"/>
      <c r="N117826" s="209"/>
      <c r="O117826" s="209"/>
    </row>
    <row r="117827" spans="1:15" s="210" customFormat="1" x14ac:dyDescent="0.3">
      <c r="A117827" s="12"/>
      <c r="B117827" s="15"/>
      <c r="C117827" s="15"/>
      <c r="D117827" s="12"/>
      <c r="E117827" s="12"/>
      <c r="F117827" s="13"/>
      <c r="G117827" s="12"/>
      <c r="H117827" s="12"/>
      <c r="I117827" s="12"/>
      <c r="J117827" s="12"/>
      <c r="K117827" s="12"/>
      <c r="L117827" s="208"/>
      <c r="M117827" s="209"/>
      <c r="N117827" s="209"/>
      <c r="O117827" s="209"/>
    </row>
    <row r="117828" spans="1:15" s="210" customFormat="1" x14ac:dyDescent="0.3">
      <c r="A117828" s="12"/>
      <c r="B117828" s="15"/>
      <c r="C117828" s="15"/>
      <c r="D117828" s="12"/>
      <c r="E117828" s="12"/>
      <c r="F117828" s="13"/>
      <c r="G117828" s="12"/>
      <c r="H117828" s="12"/>
      <c r="I117828" s="12"/>
      <c r="J117828" s="12"/>
      <c r="K117828" s="12"/>
      <c r="L117828" s="208"/>
      <c r="M117828" s="209"/>
      <c r="N117828" s="209"/>
      <c r="O117828" s="209"/>
    </row>
    <row r="117829" spans="1:15" s="210" customFormat="1" x14ac:dyDescent="0.3">
      <c r="A117829" s="12"/>
      <c r="B117829" s="15"/>
      <c r="C117829" s="15"/>
      <c r="D117829" s="12"/>
      <c r="E117829" s="12"/>
      <c r="F117829" s="13"/>
      <c r="G117829" s="12"/>
      <c r="H117829" s="12"/>
      <c r="I117829" s="12"/>
      <c r="J117829" s="12"/>
      <c r="K117829" s="12"/>
      <c r="L117829" s="208"/>
      <c r="M117829" s="209"/>
      <c r="N117829" s="209"/>
      <c r="O117829" s="209"/>
    </row>
    <row r="117830" spans="1:15" s="210" customFormat="1" x14ac:dyDescent="0.3">
      <c r="A117830" s="12"/>
      <c r="B117830" s="15"/>
      <c r="C117830" s="15"/>
      <c r="D117830" s="12"/>
      <c r="E117830" s="12"/>
      <c r="F117830" s="13"/>
      <c r="G117830" s="12"/>
      <c r="H117830" s="12"/>
      <c r="I117830" s="12"/>
      <c r="J117830" s="12"/>
      <c r="K117830" s="12"/>
      <c r="L117830" s="208"/>
      <c r="M117830" s="209"/>
      <c r="N117830" s="209"/>
      <c r="O117830" s="209"/>
    </row>
    <row r="117831" spans="1:15" s="210" customFormat="1" x14ac:dyDescent="0.3">
      <c r="A117831" s="12"/>
      <c r="B117831" s="15"/>
      <c r="C117831" s="15"/>
      <c r="D117831" s="12"/>
      <c r="E117831" s="12"/>
      <c r="F117831" s="13"/>
      <c r="G117831" s="12"/>
      <c r="H117831" s="12"/>
      <c r="I117831" s="12"/>
      <c r="J117831" s="12"/>
      <c r="K117831" s="12"/>
      <c r="L117831" s="208"/>
      <c r="M117831" s="209"/>
      <c r="N117831" s="209"/>
      <c r="O117831" s="209"/>
    </row>
    <row r="117832" spans="1:15" s="210" customFormat="1" x14ac:dyDescent="0.3">
      <c r="A117832" s="12"/>
      <c r="B117832" s="15"/>
      <c r="C117832" s="15"/>
      <c r="D117832" s="12"/>
      <c r="E117832" s="12"/>
      <c r="F117832" s="13"/>
      <c r="G117832" s="12"/>
      <c r="H117832" s="12"/>
      <c r="I117832" s="12"/>
      <c r="J117832" s="12"/>
      <c r="K117832" s="12"/>
      <c r="L117832" s="208"/>
      <c r="M117832" s="209"/>
      <c r="N117832" s="209"/>
      <c r="O117832" s="209"/>
    </row>
    <row r="117833" spans="1:15" s="210" customFormat="1" x14ac:dyDescent="0.3">
      <c r="A117833" s="12"/>
      <c r="B117833" s="15"/>
      <c r="C117833" s="15"/>
      <c r="D117833" s="12"/>
      <c r="E117833" s="12"/>
      <c r="F117833" s="13"/>
      <c r="G117833" s="12"/>
      <c r="H117833" s="12"/>
      <c r="I117833" s="12"/>
      <c r="J117833" s="12"/>
      <c r="K117833" s="12"/>
      <c r="L117833" s="208"/>
      <c r="M117833" s="209"/>
      <c r="N117833" s="209"/>
      <c r="O117833" s="209"/>
    </row>
    <row r="117834" spans="1:15" s="210" customFormat="1" x14ac:dyDescent="0.3">
      <c r="A117834" s="12"/>
      <c r="B117834" s="15"/>
      <c r="C117834" s="15"/>
      <c r="D117834" s="12"/>
      <c r="E117834" s="12"/>
      <c r="F117834" s="13"/>
      <c r="G117834" s="12"/>
      <c r="H117834" s="12"/>
      <c r="I117834" s="12"/>
      <c r="J117834" s="12"/>
      <c r="K117834" s="12"/>
      <c r="L117834" s="208"/>
      <c r="M117834" s="209"/>
      <c r="N117834" s="209"/>
      <c r="O117834" s="209"/>
    </row>
    <row r="117835" spans="1:15" s="210" customFormat="1" x14ac:dyDescent="0.3">
      <c r="A117835" s="12"/>
      <c r="B117835" s="15"/>
      <c r="C117835" s="15"/>
      <c r="D117835" s="12"/>
      <c r="E117835" s="12"/>
      <c r="F117835" s="13"/>
      <c r="G117835" s="12"/>
      <c r="H117835" s="12"/>
      <c r="I117835" s="12"/>
      <c r="J117835" s="12"/>
      <c r="K117835" s="12"/>
      <c r="L117835" s="208"/>
      <c r="M117835" s="209"/>
      <c r="N117835" s="209"/>
      <c r="O117835" s="209"/>
    </row>
    <row r="117836" spans="1:15" s="210" customFormat="1" x14ac:dyDescent="0.3">
      <c r="A117836" s="12"/>
      <c r="B117836" s="15"/>
      <c r="C117836" s="15"/>
      <c r="D117836" s="12"/>
      <c r="E117836" s="12"/>
      <c r="F117836" s="13"/>
      <c r="G117836" s="12"/>
      <c r="H117836" s="12"/>
      <c r="I117836" s="12"/>
      <c r="J117836" s="12"/>
      <c r="K117836" s="12"/>
      <c r="L117836" s="208"/>
      <c r="M117836" s="209"/>
      <c r="N117836" s="209"/>
      <c r="O117836" s="209"/>
    </row>
    <row r="117837" spans="1:15" s="210" customFormat="1" x14ac:dyDescent="0.3">
      <c r="A117837" s="12"/>
      <c r="B117837" s="15"/>
      <c r="C117837" s="15"/>
      <c r="D117837" s="12"/>
      <c r="E117837" s="12"/>
      <c r="F117837" s="13"/>
      <c r="G117837" s="12"/>
      <c r="H117837" s="12"/>
      <c r="I117837" s="12"/>
      <c r="J117837" s="12"/>
      <c r="K117837" s="12"/>
      <c r="L117837" s="208"/>
      <c r="M117837" s="209"/>
      <c r="N117837" s="209"/>
      <c r="O117837" s="209"/>
    </row>
    <row r="117838" spans="1:15" s="210" customFormat="1" x14ac:dyDescent="0.3">
      <c r="A117838" s="12"/>
      <c r="B117838" s="15"/>
      <c r="C117838" s="15"/>
      <c r="D117838" s="12"/>
      <c r="E117838" s="12"/>
      <c r="F117838" s="13"/>
      <c r="G117838" s="12"/>
      <c r="H117838" s="12"/>
      <c r="I117838" s="12"/>
      <c r="J117838" s="12"/>
      <c r="K117838" s="12"/>
      <c r="L117838" s="208"/>
      <c r="M117838" s="209"/>
      <c r="N117838" s="209"/>
      <c r="O117838" s="209"/>
    </row>
    <row r="117839" spans="1:15" s="210" customFormat="1" x14ac:dyDescent="0.3">
      <c r="A117839" s="12"/>
      <c r="B117839" s="15"/>
      <c r="C117839" s="15"/>
      <c r="D117839" s="12"/>
      <c r="E117839" s="12"/>
      <c r="F117839" s="13"/>
      <c r="G117839" s="12"/>
      <c r="H117839" s="12"/>
      <c r="I117839" s="12"/>
      <c r="J117839" s="12"/>
      <c r="K117839" s="12"/>
      <c r="L117839" s="208"/>
      <c r="M117839" s="209"/>
      <c r="N117839" s="209"/>
      <c r="O117839" s="209"/>
    </row>
    <row r="117840" spans="1:15" s="210" customFormat="1" x14ac:dyDescent="0.3">
      <c r="A117840" s="12"/>
      <c r="B117840" s="15"/>
      <c r="C117840" s="15"/>
      <c r="D117840" s="12"/>
      <c r="E117840" s="12"/>
      <c r="F117840" s="13"/>
      <c r="G117840" s="12"/>
      <c r="H117840" s="12"/>
      <c r="I117840" s="12"/>
      <c r="J117840" s="12"/>
      <c r="K117840" s="12"/>
      <c r="L117840" s="208"/>
      <c r="M117840" s="209"/>
      <c r="N117840" s="209"/>
      <c r="O117840" s="209"/>
    </row>
    <row r="117841" spans="1:15" s="210" customFormat="1" x14ac:dyDescent="0.3">
      <c r="A117841" s="12"/>
      <c r="B117841" s="15"/>
      <c r="C117841" s="15"/>
      <c r="D117841" s="12"/>
      <c r="E117841" s="12"/>
      <c r="F117841" s="13"/>
      <c r="G117841" s="12"/>
      <c r="H117841" s="12"/>
      <c r="I117841" s="12"/>
      <c r="J117841" s="12"/>
      <c r="K117841" s="12"/>
      <c r="L117841" s="208"/>
      <c r="M117841" s="209"/>
      <c r="N117841" s="209"/>
      <c r="O117841" s="209"/>
    </row>
    <row r="117842" spans="1:15" s="210" customFormat="1" x14ac:dyDescent="0.3">
      <c r="A117842" s="12"/>
      <c r="B117842" s="15"/>
      <c r="C117842" s="15"/>
      <c r="D117842" s="12"/>
      <c r="E117842" s="12"/>
      <c r="F117842" s="13"/>
      <c r="G117842" s="12"/>
      <c r="H117842" s="12"/>
      <c r="I117842" s="12"/>
      <c r="J117842" s="12"/>
      <c r="K117842" s="12"/>
      <c r="L117842" s="208"/>
      <c r="M117842" s="209"/>
      <c r="N117842" s="209"/>
      <c r="O117842" s="209"/>
    </row>
    <row r="117843" spans="1:15" s="210" customFormat="1" x14ac:dyDescent="0.3">
      <c r="A117843" s="12"/>
      <c r="B117843" s="15"/>
      <c r="C117843" s="15"/>
      <c r="D117843" s="12"/>
      <c r="E117843" s="12"/>
      <c r="F117843" s="13"/>
      <c r="G117843" s="12"/>
      <c r="H117843" s="12"/>
      <c r="I117843" s="12"/>
      <c r="J117843" s="12"/>
      <c r="K117843" s="12"/>
      <c r="L117843" s="208"/>
      <c r="M117843" s="209"/>
      <c r="N117843" s="209"/>
      <c r="O117843" s="209"/>
    </row>
    <row r="117844" spans="1:15" s="210" customFormat="1" x14ac:dyDescent="0.3">
      <c r="A117844" s="12"/>
      <c r="B117844" s="15"/>
      <c r="C117844" s="15"/>
      <c r="D117844" s="12"/>
      <c r="E117844" s="12"/>
      <c r="F117844" s="13"/>
      <c r="G117844" s="12"/>
      <c r="H117844" s="12"/>
      <c r="I117844" s="12"/>
      <c r="J117844" s="12"/>
      <c r="K117844" s="12"/>
      <c r="L117844" s="208"/>
      <c r="M117844" s="209"/>
      <c r="N117844" s="209"/>
      <c r="O117844" s="209"/>
    </row>
    <row r="117845" spans="1:15" s="210" customFormat="1" x14ac:dyDescent="0.3">
      <c r="A117845" s="12"/>
      <c r="B117845" s="15"/>
      <c r="C117845" s="15"/>
      <c r="D117845" s="12"/>
      <c r="E117845" s="12"/>
      <c r="F117845" s="13"/>
      <c r="G117845" s="12"/>
      <c r="H117845" s="12"/>
      <c r="I117845" s="12"/>
      <c r="J117845" s="12"/>
      <c r="K117845" s="12"/>
      <c r="L117845" s="208"/>
      <c r="M117845" s="209"/>
      <c r="N117845" s="209"/>
      <c r="O117845" s="209"/>
    </row>
    <row r="117846" spans="1:15" s="210" customFormat="1" x14ac:dyDescent="0.3">
      <c r="A117846" s="12"/>
      <c r="B117846" s="15"/>
      <c r="C117846" s="15"/>
      <c r="D117846" s="12"/>
      <c r="E117846" s="12"/>
      <c r="F117846" s="13"/>
      <c r="G117846" s="12"/>
      <c r="H117846" s="12"/>
      <c r="I117846" s="12"/>
      <c r="J117846" s="12"/>
      <c r="K117846" s="12"/>
      <c r="L117846" s="208"/>
      <c r="M117846" s="209"/>
      <c r="N117846" s="209"/>
      <c r="O117846" s="209"/>
    </row>
    <row r="117847" spans="1:15" s="210" customFormat="1" x14ac:dyDescent="0.3">
      <c r="A117847" s="12"/>
      <c r="B117847" s="15"/>
      <c r="C117847" s="15"/>
      <c r="D117847" s="12"/>
      <c r="E117847" s="12"/>
      <c r="F117847" s="13"/>
      <c r="G117847" s="12"/>
      <c r="H117847" s="12"/>
      <c r="I117847" s="12"/>
      <c r="J117847" s="12"/>
      <c r="K117847" s="12"/>
      <c r="L117847" s="208"/>
      <c r="M117847" s="209"/>
      <c r="N117847" s="209"/>
      <c r="O117847" s="209"/>
    </row>
    <row r="117848" spans="1:15" s="210" customFormat="1" x14ac:dyDescent="0.3">
      <c r="A117848" s="12"/>
      <c r="B117848" s="15"/>
      <c r="C117848" s="15"/>
      <c r="D117848" s="12"/>
      <c r="E117848" s="12"/>
      <c r="F117848" s="13"/>
      <c r="G117848" s="12"/>
      <c r="H117848" s="12"/>
      <c r="I117848" s="12"/>
      <c r="J117848" s="12"/>
      <c r="K117848" s="12"/>
      <c r="L117848" s="208"/>
      <c r="M117848" s="209"/>
      <c r="N117848" s="209"/>
      <c r="O117848" s="209"/>
    </row>
    <row r="117849" spans="1:15" s="210" customFormat="1" x14ac:dyDescent="0.3">
      <c r="A117849" s="12"/>
      <c r="B117849" s="15"/>
      <c r="C117849" s="15"/>
      <c r="D117849" s="12"/>
      <c r="E117849" s="12"/>
      <c r="F117849" s="13"/>
      <c r="G117849" s="12"/>
      <c r="H117849" s="12"/>
      <c r="I117849" s="12"/>
      <c r="J117849" s="12"/>
      <c r="K117849" s="12"/>
      <c r="L117849" s="208"/>
      <c r="M117849" s="209"/>
      <c r="N117849" s="209"/>
      <c r="O117849" s="209"/>
    </row>
    <row r="117850" spans="1:15" s="210" customFormat="1" x14ac:dyDescent="0.3">
      <c r="A117850" s="12"/>
      <c r="B117850" s="15"/>
      <c r="C117850" s="15"/>
      <c r="D117850" s="12"/>
      <c r="E117850" s="12"/>
      <c r="F117850" s="13"/>
      <c r="G117850" s="12"/>
      <c r="H117850" s="12"/>
      <c r="I117850" s="12"/>
      <c r="J117850" s="12"/>
      <c r="K117850" s="12"/>
      <c r="L117850" s="208"/>
      <c r="M117850" s="209"/>
      <c r="N117850" s="209"/>
      <c r="O117850" s="209"/>
    </row>
    <row r="117851" spans="1:15" s="210" customFormat="1" x14ac:dyDescent="0.3">
      <c r="A117851" s="12"/>
      <c r="B117851" s="15"/>
      <c r="C117851" s="15"/>
      <c r="D117851" s="12"/>
      <c r="E117851" s="12"/>
      <c r="F117851" s="13"/>
      <c r="G117851" s="12"/>
      <c r="H117851" s="12"/>
      <c r="I117851" s="12"/>
      <c r="J117851" s="12"/>
      <c r="K117851" s="12"/>
      <c r="L117851" s="208"/>
      <c r="M117851" s="209"/>
      <c r="N117851" s="209"/>
      <c r="O117851" s="209"/>
    </row>
    <row r="117852" spans="1:15" s="210" customFormat="1" x14ac:dyDescent="0.3">
      <c r="A117852" s="12"/>
      <c r="B117852" s="15"/>
      <c r="C117852" s="15"/>
      <c r="D117852" s="12"/>
      <c r="E117852" s="12"/>
      <c r="F117852" s="13"/>
      <c r="G117852" s="12"/>
      <c r="H117852" s="12"/>
      <c r="I117852" s="12"/>
      <c r="J117852" s="12"/>
      <c r="K117852" s="12"/>
      <c r="L117852" s="208"/>
      <c r="M117852" s="209"/>
      <c r="N117852" s="209"/>
      <c r="O117852" s="209"/>
    </row>
    <row r="117853" spans="1:15" s="210" customFormat="1" x14ac:dyDescent="0.3">
      <c r="A117853" s="12"/>
      <c r="B117853" s="15"/>
      <c r="C117853" s="15"/>
      <c r="D117853" s="12"/>
      <c r="E117853" s="12"/>
      <c r="F117853" s="13"/>
      <c r="G117853" s="12"/>
      <c r="H117853" s="12"/>
      <c r="I117853" s="12"/>
      <c r="J117853" s="12"/>
      <c r="K117853" s="12"/>
      <c r="L117853" s="208"/>
      <c r="M117853" s="209"/>
      <c r="N117853" s="209"/>
      <c r="O117853" s="209"/>
    </row>
    <row r="117854" spans="1:15" s="210" customFormat="1" x14ac:dyDescent="0.3">
      <c r="A117854" s="12"/>
      <c r="B117854" s="15"/>
      <c r="C117854" s="15"/>
      <c r="D117854" s="12"/>
      <c r="E117854" s="12"/>
      <c r="F117854" s="13"/>
      <c r="G117854" s="12"/>
      <c r="H117854" s="12"/>
      <c r="I117854" s="12"/>
      <c r="J117854" s="12"/>
      <c r="K117854" s="12"/>
      <c r="L117854" s="208"/>
      <c r="M117854" s="209"/>
      <c r="N117854" s="209"/>
      <c r="O117854" s="209"/>
    </row>
    <row r="117855" spans="1:15" s="210" customFormat="1" x14ac:dyDescent="0.3">
      <c r="A117855" s="12"/>
      <c r="B117855" s="15"/>
      <c r="C117855" s="15"/>
      <c r="D117855" s="12"/>
      <c r="E117855" s="12"/>
      <c r="F117855" s="13"/>
      <c r="G117855" s="12"/>
      <c r="H117855" s="12"/>
      <c r="I117855" s="12"/>
      <c r="J117855" s="12"/>
      <c r="K117855" s="12"/>
      <c r="L117855" s="208"/>
      <c r="M117855" s="209"/>
      <c r="N117855" s="209"/>
      <c r="O117855" s="209"/>
    </row>
    <row r="117856" spans="1:15" s="210" customFormat="1" x14ac:dyDescent="0.3">
      <c r="A117856" s="12"/>
      <c r="B117856" s="15"/>
      <c r="C117856" s="15"/>
      <c r="D117856" s="12"/>
      <c r="E117856" s="12"/>
      <c r="F117856" s="13"/>
      <c r="G117856" s="12"/>
      <c r="H117856" s="12"/>
      <c r="I117856" s="12"/>
      <c r="J117856" s="12"/>
      <c r="K117856" s="12"/>
      <c r="L117856" s="208"/>
      <c r="M117856" s="209"/>
      <c r="N117856" s="209"/>
      <c r="O117856" s="209"/>
    </row>
    <row r="117857" spans="1:15" s="210" customFormat="1" x14ac:dyDescent="0.3">
      <c r="A117857" s="12"/>
      <c r="B117857" s="15"/>
      <c r="C117857" s="15"/>
      <c r="D117857" s="12"/>
      <c r="E117857" s="12"/>
      <c r="F117857" s="13"/>
      <c r="G117857" s="12"/>
      <c r="H117857" s="12"/>
      <c r="I117857" s="12"/>
      <c r="J117857" s="12"/>
      <c r="K117857" s="12"/>
      <c r="L117857" s="208"/>
      <c r="M117857" s="209"/>
      <c r="N117857" s="209"/>
      <c r="O117857" s="209"/>
    </row>
    <row r="117858" spans="1:15" s="210" customFormat="1" x14ac:dyDescent="0.3">
      <c r="A117858" s="12"/>
      <c r="B117858" s="15"/>
      <c r="C117858" s="15"/>
      <c r="D117858" s="12"/>
      <c r="E117858" s="12"/>
      <c r="F117858" s="13"/>
      <c r="G117858" s="12"/>
      <c r="H117858" s="12"/>
      <c r="I117858" s="12"/>
      <c r="J117858" s="12"/>
      <c r="K117858" s="12"/>
      <c r="L117858" s="208"/>
      <c r="M117858" s="209"/>
      <c r="N117858" s="209"/>
      <c r="O117858" s="209"/>
    </row>
    <row r="117859" spans="1:15" s="210" customFormat="1" x14ac:dyDescent="0.3">
      <c r="A117859" s="12"/>
      <c r="B117859" s="15"/>
      <c r="C117859" s="15"/>
      <c r="D117859" s="12"/>
      <c r="E117859" s="12"/>
      <c r="F117859" s="13"/>
      <c r="G117859" s="12"/>
      <c r="H117859" s="12"/>
      <c r="I117859" s="12"/>
      <c r="J117859" s="12"/>
      <c r="K117859" s="12"/>
      <c r="L117859" s="208"/>
      <c r="M117859" s="209"/>
      <c r="N117859" s="209"/>
      <c r="O117859" s="209"/>
    </row>
    <row r="117860" spans="1:15" s="210" customFormat="1" x14ac:dyDescent="0.3">
      <c r="A117860" s="12"/>
      <c r="B117860" s="15"/>
      <c r="C117860" s="15"/>
      <c r="D117860" s="12"/>
      <c r="E117860" s="12"/>
      <c r="F117860" s="13"/>
      <c r="G117860" s="12"/>
      <c r="H117860" s="12"/>
      <c r="I117860" s="12"/>
      <c r="J117860" s="12"/>
      <c r="K117860" s="12"/>
      <c r="L117860" s="208"/>
      <c r="M117860" s="209"/>
      <c r="N117860" s="209"/>
      <c r="O117860" s="209"/>
    </row>
    <row r="117861" spans="1:15" s="210" customFormat="1" x14ac:dyDescent="0.3">
      <c r="A117861" s="12"/>
      <c r="B117861" s="15"/>
      <c r="C117861" s="15"/>
      <c r="D117861" s="12"/>
      <c r="E117861" s="12"/>
      <c r="F117861" s="13"/>
      <c r="G117861" s="12"/>
      <c r="H117861" s="12"/>
      <c r="I117861" s="12"/>
      <c r="J117861" s="12"/>
      <c r="K117861" s="12"/>
      <c r="L117861" s="208"/>
      <c r="M117861" s="209"/>
      <c r="N117861" s="209"/>
      <c r="O117861" s="209"/>
    </row>
    <row r="117862" spans="1:15" s="210" customFormat="1" x14ac:dyDescent="0.3">
      <c r="A117862" s="12"/>
      <c r="B117862" s="15"/>
      <c r="C117862" s="15"/>
      <c r="D117862" s="12"/>
      <c r="E117862" s="12"/>
      <c r="F117862" s="13"/>
      <c r="G117862" s="12"/>
      <c r="H117862" s="12"/>
      <c r="I117862" s="12"/>
      <c r="J117862" s="12"/>
      <c r="K117862" s="12"/>
      <c r="L117862" s="208"/>
      <c r="M117862" s="209"/>
      <c r="N117862" s="209"/>
      <c r="O117862" s="209"/>
    </row>
    <row r="117863" spans="1:15" s="210" customFormat="1" x14ac:dyDescent="0.3">
      <c r="A117863" s="12"/>
      <c r="B117863" s="15"/>
      <c r="C117863" s="15"/>
      <c r="D117863" s="12"/>
      <c r="E117863" s="12"/>
      <c r="F117863" s="13"/>
      <c r="G117863" s="12"/>
      <c r="H117863" s="12"/>
      <c r="I117863" s="12"/>
      <c r="J117863" s="12"/>
      <c r="K117863" s="12"/>
      <c r="L117863" s="208"/>
      <c r="M117863" s="209"/>
      <c r="N117863" s="209"/>
      <c r="O117863" s="209"/>
    </row>
    <row r="117864" spans="1:15" s="210" customFormat="1" x14ac:dyDescent="0.3">
      <c r="A117864" s="12"/>
      <c r="B117864" s="15"/>
      <c r="C117864" s="15"/>
      <c r="D117864" s="12"/>
      <c r="E117864" s="12"/>
      <c r="F117864" s="13"/>
      <c r="G117864" s="12"/>
      <c r="H117864" s="12"/>
      <c r="I117864" s="12"/>
      <c r="J117864" s="12"/>
      <c r="K117864" s="12"/>
      <c r="L117864" s="208"/>
      <c r="M117864" s="209"/>
      <c r="N117864" s="209"/>
      <c r="O117864" s="209"/>
    </row>
    <row r="117865" spans="1:15" s="210" customFormat="1" x14ac:dyDescent="0.3">
      <c r="A117865" s="12"/>
      <c r="B117865" s="15"/>
      <c r="C117865" s="15"/>
      <c r="D117865" s="12"/>
      <c r="E117865" s="12"/>
      <c r="F117865" s="13"/>
      <c r="G117865" s="12"/>
      <c r="H117865" s="12"/>
      <c r="I117865" s="12"/>
      <c r="J117865" s="12"/>
      <c r="K117865" s="12"/>
      <c r="L117865" s="208"/>
      <c r="M117865" s="209"/>
      <c r="N117865" s="209"/>
      <c r="O117865" s="209"/>
    </row>
    <row r="117866" spans="1:15" s="210" customFormat="1" x14ac:dyDescent="0.3">
      <c r="A117866" s="12"/>
      <c r="B117866" s="15"/>
      <c r="C117866" s="15"/>
      <c r="D117866" s="12"/>
      <c r="E117866" s="12"/>
      <c r="F117866" s="13"/>
      <c r="G117866" s="12"/>
      <c r="H117866" s="12"/>
      <c r="I117866" s="12"/>
      <c r="J117866" s="12"/>
      <c r="K117866" s="12"/>
      <c r="L117866" s="208"/>
      <c r="M117866" s="209"/>
      <c r="N117866" s="209"/>
      <c r="O117866" s="209"/>
    </row>
    <row r="117867" spans="1:15" s="210" customFormat="1" x14ac:dyDescent="0.3">
      <c r="A117867" s="12"/>
      <c r="B117867" s="15"/>
      <c r="C117867" s="15"/>
      <c r="D117867" s="12"/>
      <c r="E117867" s="12"/>
      <c r="F117867" s="13"/>
      <c r="G117867" s="12"/>
      <c r="H117867" s="12"/>
      <c r="I117867" s="12"/>
      <c r="J117867" s="12"/>
      <c r="K117867" s="12"/>
      <c r="L117867" s="208"/>
      <c r="M117867" s="209"/>
      <c r="N117867" s="209"/>
      <c r="O117867" s="209"/>
    </row>
    <row r="117868" spans="1:15" s="210" customFormat="1" x14ac:dyDescent="0.3">
      <c r="A117868" s="12"/>
      <c r="B117868" s="15"/>
      <c r="C117868" s="15"/>
      <c r="D117868" s="12"/>
      <c r="E117868" s="12"/>
      <c r="F117868" s="13"/>
      <c r="G117868" s="12"/>
      <c r="H117868" s="12"/>
      <c r="I117868" s="12"/>
      <c r="J117868" s="12"/>
      <c r="K117868" s="12"/>
      <c r="L117868" s="208"/>
      <c r="M117868" s="209"/>
      <c r="N117868" s="209"/>
      <c r="O117868" s="209"/>
    </row>
    <row r="117869" spans="1:15" s="210" customFormat="1" x14ac:dyDescent="0.3">
      <c r="A117869" s="12"/>
      <c r="B117869" s="15"/>
      <c r="C117869" s="15"/>
      <c r="D117869" s="12"/>
      <c r="E117869" s="12"/>
      <c r="F117869" s="13"/>
      <c r="G117869" s="12"/>
      <c r="H117869" s="12"/>
      <c r="I117869" s="12"/>
      <c r="J117869" s="12"/>
      <c r="K117869" s="12"/>
      <c r="L117869" s="208"/>
      <c r="M117869" s="209"/>
      <c r="N117869" s="209"/>
      <c r="O117869" s="209"/>
    </row>
    <row r="117870" spans="1:15" s="210" customFormat="1" x14ac:dyDescent="0.3">
      <c r="A117870" s="12"/>
      <c r="B117870" s="15"/>
      <c r="C117870" s="15"/>
      <c r="D117870" s="12"/>
      <c r="E117870" s="12"/>
      <c r="F117870" s="13"/>
      <c r="G117870" s="12"/>
      <c r="H117870" s="12"/>
      <c r="I117870" s="12"/>
      <c r="J117870" s="12"/>
      <c r="K117870" s="12"/>
      <c r="L117870" s="208"/>
      <c r="M117870" s="209"/>
      <c r="N117870" s="209"/>
      <c r="O117870" s="209"/>
    </row>
    <row r="117871" spans="1:15" s="210" customFormat="1" x14ac:dyDescent="0.3">
      <c r="A117871" s="12"/>
      <c r="B117871" s="15"/>
      <c r="C117871" s="15"/>
      <c r="D117871" s="12"/>
      <c r="E117871" s="12"/>
      <c r="F117871" s="13"/>
      <c r="G117871" s="12"/>
      <c r="H117871" s="12"/>
      <c r="I117871" s="12"/>
      <c r="J117871" s="12"/>
      <c r="K117871" s="12"/>
      <c r="L117871" s="208"/>
      <c r="M117871" s="209"/>
      <c r="N117871" s="209"/>
      <c r="O117871" s="209"/>
    </row>
    <row r="117872" spans="1:15" s="210" customFormat="1" x14ac:dyDescent="0.3">
      <c r="A117872" s="12"/>
      <c r="B117872" s="15"/>
      <c r="C117872" s="15"/>
      <c r="D117872" s="12"/>
      <c r="E117872" s="12"/>
      <c r="F117872" s="13"/>
      <c r="G117872" s="12"/>
      <c r="H117872" s="12"/>
      <c r="I117872" s="12"/>
      <c r="J117872" s="12"/>
      <c r="K117872" s="12"/>
      <c r="L117872" s="208"/>
      <c r="M117872" s="209"/>
      <c r="N117872" s="209"/>
      <c r="O117872" s="209"/>
    </row>
    <row r="117873" spans="1:15" s="210" customFormat="1" x14ac:dyDescent="0.3">
      <c r="A117873" s="12"/>
      <c r="B117873" s="15"/>
      <c r="C117873" s="15"/>
      <c r="D117873" s="12"/>
      <c r="E117873" s="12"/>
      <c r="F117873" s="13"/>
      <c r="G117873" s="12"/>
      <c r="H117873" s="12"/>
      <c r="I117873" s="12"/>
      <c r="J117873" s="12"/>
      <c r="K117873" s="12"/>
      <c r="L117873" s="208"/>
      <c r="M117873" s="209"/>
      <c r="N117873" s="209"/>
      <c r="O117873" s="209"/>
    </row>
    <row r="117874" spans="1:15" s="210" customFormat="1" x14ac:dyDescent="0.3">
      <c r="A117874" s="12"/>
      <c r="B117874" s="15"/>
      <c r="C117874" s="15"/>
      <c r="D117874" s="12"/>
      <c r="E117874" s="12"/>
      <c r="F117874" s="13"/>
      <c r="G117874" s="12"/>
      <c r="H117874" s="12"/>
      <c r="I117874" s="12"/>
      <c r="J117874" s="12"/>
      <c r="K117874" s="12"/>
      <c r="L117874" s="208"/>
      <c r="M117874" s="209"/>
      <c r="N117874" s="209"/>
      <c r="O117874" s="209"/>
    </row>
    <row r="117875" spans="1:15" s="210" customFormat="1" x14ac:dyDescent="0.3">
      <c r="A117875" s="12"/>
      <c r="B117875" s="15"/>
      <c r="C117875" s="15"/>
      <c r="D117875" s="12"/>
      <c r="E117875" s="12"/>
      <c r="F117875" s="13"/>
      <c r="G117875" s="12"/>
      <c r="H117875" s="12"/>
      <c r="I117875" s="12"/>
      <c r="J117875" s="12"/>
      <c r="K117875" s="12"/>
      <c r="L117875" s="208"/>
      <c r="M117875" s="209"/>
      <c r="N117875" s="209"/>
      <c r="O117875" s="209"/>
    </row>
    <row r="117876" spans="1:15" s="210" customFormat="1" x14ac:dyDescent="0.3">
      <c r="A117876" s="12"/>
      <c r="B117876" s="15"/>
      <c r="C117876" s="15"/>
      <c r="D117876" s="12"/>
      <c r="E117876" s="12"/>
      <c r="F117876" s="13"/>
      <c r="G117876" s="12"/>
      <c r="H117876" s="12"/>
      <c r="I117876" s="12"/>
      <c r="J117876" s="12"/>
      <c r="K117876" s="12"/>
      <c r="L117876" s="208"/>
      <c r="M117876" s="209"/>
      <c r="N117876" s="209"/>
      <c r="O117876" s="209"/>
    </row>
    <row r="117877" spans="1:15" s="210" customFormat="1" x14ac:dyDescent="0.3">
      <c r="A117877" s="12"/>
      <c r="B117877" s="15"/>
      <c r="C117877" s="15"/>
      <c r="D117877" s="12"/>
      <c r="E117877" s="12"/>
      <c r="F117877" s="13"/>
      <c r="G117877" s="12"/>
      <c r="H117877" s="12"/>
      <c r="I117877" s="12"/>
      <c r="J117877" s="12"/>
      <c r="K117877" s="12"/>
      <c r="L117877" s="208"/>
      <c r="M117877" s="209"/>
      <c r="N117877" s="209"/>
      <c r="O117877" s="209"/>
    </row>
    <row r="117878" spans="1:15" s="210" customFormat="1" x14ac:dyDescent="0.3">
      <c r="A117878" s="12"/>
      <c r="B117878" s="15"/>
      <c r="C117878" s="15"/>
      <c r="D117878" s="12"/>
      <c r="E117878" s="12"/>
      <c r="F117878" s="13"/>
      <c r="G117878" s="12"/>
      <c r="H117878" s="12"/>
      <c r="I117878" s="12"/>
      <c r="J117878" s="12"/>
      <c r="K117878" s="12"/>
      <c r="L117878" s="208"/>
      <c r="M117878" s="209"/>
      <c r="N117878" s="209"/>
      <c r="O117878" s="209"/>
    </row>
    <row r="117879" spans="1:15" s="210" customFormat="1" x14ac:dyDescent="0.3">
      <c r="A117879" s="12"/>
      <c r="B117879" s="15"/>
      <c r="C117879" s="15"/>
      <c r="D117879" s="12"/>
      <c r="E117879" s="12"/>
      <c r="F117879" s="13"/>
      <c r="G117879" s="12"/>
      <c r="H117879" s="12"/>
      <c r="I117879" s="12"/>
      <c r="J117879" s="12"/>
      <c r="K117879" s="12"/>
      <c r="L117879" s="208"/>
      <c r="M117879" s="209"/>
      <c r="N117879" s="209"/>
      <c r="O117879" s="209"/>
    </row>
    <row r="117880" spans="1:15" s="210" customFormat="1" x14ac:dyDescent="0.3">
      <c r="A117880" s="12"/>
      <c r="B117880" s="15"/>
      <c r="C117880" s="15"/>
      <c r="D117880" s="12"/>
      <c r="E117880" s="12"/>
      <c r="F117880" s="13"/>
      <c r="G117880" s="12"/>
      <c r="H117880" s="12"/>
      <c r="I117880" s="12"/>
      <c r="J117880" s="12"/>
      <c r="K117880" s="12"/>
      <c r="L117880" s="208"/>
      <c r="M117880" s="209"/>
      <c r="N117880" s="209"/>
      <c r="O117880" s="209"/>
    </row>
    <row r="117881" spans="1:15" s="210" customFormat="1" x14ac:dyDescent="0.3">
      <c r="A117881" s="12"/>
      <c r="B117881" s="15"/>
      <c r="C117881" s="15"/>
      <c r="D117881" s="12"/>
      <c r="E117881" s="12"/>
      <c r="F117881" s="13"/>
      <c r="G117881" s="12"/>
      <c r="H117881" s="12"/>
      <c r="I117881" s="12"/>
      <c r="J117881" s="12"/>
      <c r="K117881" s="12"/>
      <c r="L117881" s="208"/>
      <c r="M117881" s="209"/>
      <c r="N117881" s="209"/>
      <c r="O117881" s="209"/>
    </row>
    <row r="117882" spans="1:15" s="210" customFormat="1" x14ac:dyDescent="0.3">
      <c r="A117882" s="12"/>
      <c r="B117882" s="15"/>
      <c r="C117882" s="15"/>
      <c r="D117882" s="12"/>
      <c r="E117882" s="12"/>
      <c r="F117882" s="13"/>
      <c r="G117882" s="12"/>
      <c r="H117882" s="12"/>
      <c r="I117882" s="12"/>
      <c r="J117882" s="12"/>
      <c r="K117882" s="12"/>
      <c r="L117882" s="208"/>
      <c r="M117882" s="209"/>
      <c r="N117882" s="209"/>
      <c r="O117882" s="209"/>
    </row>
    <row r="117883" spans="1:15" s="210" customFormat="1" x14ac:dyDescent="0.3">
      <c r="A117883" s="12"/>
      <c r="B117883" s="15"/>
      <c r="C117883" s="15"/>
      <c r="D117883" s="12"/>
      <c r="E117883" s="12"/>
      <c r="F117883" s="13"/>
      <c r="G117883" s="12"/>
      <c r="H117883" s="12"/>
      <c r="I117883" s="12"/>
      <c r="J117883" s="12"/>
      <c r="K117883" s="12"/>
      <c r="L117883" s="208"/>
      <c r="M117883" s="209"/>
      <c r="N117883" s="209"/>
      <c r="O117883" s="209"/>
    </row>
    <row r="117884" spans="1:15" s="210" customFormat="1" x14ac:dyDescent="0.3">
      <c r="A117884" s="12"/>
      <c r="B117884" s="15"/>
      <c r="C117884" s="15"/>
      <c r="D117884" s="12"/>
      <c r="E117884" s="12"/>
      <c r="F117884" s="13"/>
      <c r="G117884" s="12"/>
      <c r="H117884" s="12"/>
      <c r="I117884" s="12"/>
      <c r="J117884" s="12"/>
      <c r="K117884" s="12"/>
      <c r="L117884" s="208"/>
      <c r="M117884" s="209"/>
      <c r="N117884" s="209"/>
      <c r="O117884" s="209"/>
    </row>
    <row r="117885" spans="1:15" s="210" customFormat="1" x14ac:dyDescent="0.3">
      <c r="A117885" s="12"/>
      <c r="B117885" s="15"/>
      <c r="C117885" s="15"/>
      <c r="D117885" s="12"/>
      <c r="E117885" s="12"/>
      <c r="F117885" s="13"/>
      <c r="G117885" s="12"/>
      <c r="H117885" s="12"/>
      <c r="I117885" s="12"/>
      <c r="J117885" s="12"/>
      <c r="K117885" s="12"/>
      <c r="L117885" s="208"/>
      <c r="M117885" s="209"/>
      <c r="N117885" s="209"/>
      <c r="O117885" s="209"/>
    </row>
    <row r="117886" spans="1:15" s="210" customFormat="1" x14ac:dyDescent="0.3">
      <c r="A117886" s="12"/>
      <c r="B117886" s="15"/>
      <c r="C117886" s="15"/>
      <c r="D117886" s="12"/>
      <c r="E117886" s="12"/>
      <c r="F117886" s="13"/>
      <c r="G117886" s="12"/>
      <c r="H117886" s="12"/>
      <c r="I117886" s="12"/>
      <c r="J117886" s="12"/>
      <c r="K117886" s="12"/>
      <c r="L117886" s="208"/>
      <c r="M117886" s="209"/>
      <c r="N117886" s="209"/>
      <c r="O117886" s="209"/>
    </row>
    <row r="117887" spans="1:15" s="210" customFormat="1" x14ac:dyDescent="0.3">
      <c r="A117887" s="12"/>
      <c r="B117887" s="15"/>
      <c r="C117887" s="15"/>
      <c r="D117887" s="12"/>
      <c r="E117887" s="12"/>
      <c r="F117887" s="13"/>
      <c r="G117887" s="12"/>
      <c r="H117887" s="12"/>
      <c r="I117887" s="12"/>
      <c r="J117887" s="12"/>
      <c r="K117887" s="12"/>
      <c r="L117887" s="208"/>
      <c r="M117887" s="209"/>
      <c r="N117887" s="209"/>
      <c r="O117887" s="209"/>
    </row>
    <row r="117888" spans="1:15" s="210" customFormat="1" x14ac:dyDescent="0.3">
      <c r="A117888" s="12"/>
      <c r="B117888" s="15"/>
      <c r="C117888" s="15"/>
      <c r="D117888" s="12"/>
      <c r="E117888" s="12"/>
      <c r="F117888" s="13"/>
      <c r="G117888" s="12"/>
      <c r="H117888" s="12"/>
      <c r="I117888" s="12"/>
      <c r="J117888" s="12"/>
      <c r="K117888" s="12"/>
      <c r="L117888" s="208"/>
      <c r="M117888" s="209"/>
      <c r="N117888" s="209"/>
      <c r="O117888" s="209"/>
    </row>
    <row r="117889" spans="1:15" s="210" customFormat="1" x14ac:dyDescent="0.3">
      <c r="A117889" s="12"/>
      <c r="B117889" s="15"/>
      <c r="C117889" s="15"/>
      <c r="D117889" s="12"/>
      <c r="E117889" s="12"/>
      <c r="F117889" s="13"/>
      <c r="G117889" s="12"/>
      <c r="H117889" s="12"/>
      <c r="I117889" s="12"/>
      <c r="J117889" s="12"/>
      <c r="K117889" s="12"/>
      <c r="L117889" s="208"/>
      <c r="M117889" s="209"/>
      <c r="N117889" s="209"/>
      <c r="O117889" s="209"/>
    </row>
    <row r="117890" spans="1:15" s="210" customFormat="1" x14ac:dyDescent="0.3">
      <c r="A117890" s="12"/>
      <c r="B117890" s="15"/>
      <c r="C117890" s="15"/>
      <c r="D117890" s="12"/>
      <c r="E117890" s="12"/>
      <c r="F117890" s="13"/>
      <c r="G117890" s="12"/>
      <c r="H117890" s="12"/>
      <c r="I117890" s="12"/>
      <c r="J117890" s="12"/>
      <c r="K117890" s="12"/>
      <c r="L117890" s="208"/>
      <c r="M117890" s="209"/>
      <c r="N117890" s="209"/>
      <c r="O117890" s="209"/>
    </row>
    <row r="117891" spans="1:15" s="210" customFormat="1" x14ac:dyDescent="0.3">
      <c r="A117891" s="12"/>
      <c r="B117891" s="15"/>
      <c r="C117891" s="15"/>
      <c r="D117891" s="12"/>
      <c r="E117891" s="12"/>
      <c r="F117891" s="13"/>
      <c r="G117891" s="12"/>
      <c r="H117891" s="12"/>
      <c r="I117891" s="12"/>
      <c r="J117891" s="12"/>
      <c r="K117891" s="12"/>
      <c r="L117891" s="208"/>
      <c r="M117891" s="209"/>
      <c r="N117891" s="209"/>
      <c r="O117891" s="209"/>
    </row>
    <row r="117892" spans="1:15" s="210" customFormat="1" x14ac:dyDescent="0.3">
      <c r="A117892" s="12"/>
      <c r="B117892" s="15"/>
      <c r="C117892" s="15"/>
      <c r="D117892" s="12"/>
      <c r="E117892" s="12"/>
      <c r="F117892" s="13"/>
      <c r="G117892" s="12"/>
      <c r="H117892" s="12"/>
      <c r="I117892" s="12"/>
      <c r="J117892" s="12"/>
      <c r="K117892" s="12"/>
      <c r="L117892" s="208"/>
      <c r="M117892" s="209"/>
      <c r="N117892" s="209"/>
      <c r="O117892" s="209"/>
    </row>
    <row r="117893" spans="1:15" s="210" customFormat="1" x14ac:dyDescent="0.3">
      <c r="A117893" s="12"/>
      <c r="B117893" s="15"/>
      <c r="C117893" s="15"/>
      <c r="D117893" s="12"/>
      <c r="E117893" s="12"/>
      <c r="F117893" s="13"/>
      <c r="G117893" s="12"/>
      <c r="H117893" s="12"/>
      <c r="I117893" s="12"/>
      <c r="J117893" s="12"/>
      <c r="K117893" s="12"/>
      <c r="L117893" s="208"/>
      <c r="M117893" s="209"/>
      <c r="N117893" s="209"/>
      <c r="O117893" s="209"/>
    </row>
    <row r="117894" spans="1:15" s="210" customFormat="1" x14ac:dyDescent="0.3">
      <c r="A117894" s="12"/>
      <c r="B117894" s="15"/>
      <c r="C117894" s="15"/>
      <c r="D117894" s="12"/>
      <c r="E117894" s="12"/>
      <c r="F117894" s="13"/>
      <c r="G117894" s="12"/>
      <c r="H117894" s="12"/>
      <c r="I117894" s="12"/>
      <c r="J117894" s="12"/>
      <c r="K117894" s="12"/>
      <c r="L117894" s="208"/>
      <c r="M117894" s="209"/>
      <c r="N117894" s="209"/>
      <c r="O117894" s="209"/>
    </row>
    <row r="117895" spans="1:15" s="210" customFormat="1" x14ac:dyDescent="0.3">
      <c r="A117895" s="12"/>
      <c r="B117895" s="15"/>
      <c r="C117895" s="15"/>
      <c r="D117895" s="12"/>
      <c r="E117895" s="12"/>
      <c r="F117895" s="13"/>
      <c r="G117895" s="12"/>
      <c r="H117895" s="12"/>
      <c r="I117895" s="12"/>
      <c r="J117895" s="12"/>
      <c r="K117895" s="12"/>
      <c r="L117895" s="208"/>
      <c r="M117895" s="209"/>
      <c r="N117895" s="209"/>
      <c r="O117895" s="209"/>
    </row>
    <row r="117896" spans="1:15" s="210" customFormat="1" x14ac:dyDescent="0.3">
      <c r="A117896" s="12"/>
      <c r="B117896" s="15"/>
      <c r="C117896" s="15"/>
      <c r="D117896" s="12"/>
      <c r="E117896" s="12"/>
      <c r="F117896" s="13"/>
      <c r="G117896" s="12"/>
      <c r="H117896" s="12"/>
      <c r="I117896" s="12"/>
      <c r="J117896" s="12"/>
      <c r="K117896" s="12"/>
      <c r="L117896" s="208"/>
      <c r="M117896" s="209"/>
      <c r="N117896" s="209"/>
      <c r="O117896" s="209"/>
    </row>
    <row r="117897" spans="1:15" s="210" customFormat="1" x14ac:dyDescent="0.3">
      <c r="A117897" s="12"/>
      <c r="B117897" s="15"/>
      <c r="C117897" s="15"/>
      <c r="D117897" s="12"/>
      <c r="E117897" s="12"/>
      <c r="F117897" s="13"/>
      <c r="G117897" s="12"/>
      <c r="H117897" s="12"/>
      <c r="I117897" s="12"/>
      <c r="J117897" s="12"/>
      <c r="K117897" s="12"/>
      <c r="L117897" s="208"/>
      <c r="M117897" s="209"/>
      <c r="N117897" s="209"/>
      <c r="O117897" s="209"/>
    </row>
    <row r="117898" spans="1:15" s="210" customFormat="1" x14ac:dyDescent="0.3">
      <c r="A117898" s="12"/>
      <c r="B117898" s="15"/>
      <c r="C117898" s="15"/>
      <c r="D117898" s="12"/>
      <c r="E117898" s="12"/>
      <c r="F117898" s="13"/>
      <c r="G117898" s="12"/>
      <c r="H117898" s="12"/>
      <c r="I117898" s="12"/>
      <c r="J117898" s="12"/>
      <c r="K117898" s="12"/>
      <c r="L117898" s="208"/>
      <c r="M117898" s="209"/>
      <c r="N117898" s="209"/>
      <c r="O117898" s="209"/>
    </row>
    <row r="117899" spans="1:15" s="210" customFormat="1" x14ac:dyDescent="0.3">
      <c r="A117899" s="12"/>
      <c r="B117899" s="15"/>
      <c r="C117899" s="15"/>
      <c r="D117899" s="12"/>
      <c r="E117899" s="12"/>
      <c r="F117899" s="13"/>
      <c r="G117899" s="12"/>
      <c r="H117899" s="12"/>
      <c r="I117899" s="12"/>
      <c r="J117899" s="12"/>
      <c r="K117899" s="12"/>
      <c r="L117899" s="208"/>
      <c r="M117899" s="209"/>
      <c r="N117899" s="209"/>
      <c r="O117899" s="209"/>
    </row>
    <row r="117900" spans="1:15" s="210" customFormat="1" x14ac:dyDescent="0.3">
      <c r="A117900" s="12"/>
      <c r="B117900" s="15"/>
      <c r="C117900" s="15"/>
      <c r="D117900" s="12"/>
      <c r="E117900" s="12"/>
      <c r="F117900" s="13"/>
      <c r="G117900" s="12"/>
      <c r="H117900" s="12"/>
      <c r="I117900" s="12"/>
      <c r="J117900" s="12"/>
      <c r="K117900" s="12"/>
      <c r="L117900" s="208"/>
      <c r="M117900" s="209"/>
      <c r="N117900" s="209"/>
      <c r="O117900" s="209"/>
    </row>
    <row r="117901" spans="1:15" s="210" customFormat="1" x14ac:dyDescent="0.3">
      <c r="A117901" s="12"/>
      <c r="B117901" s="15"/>
      <c r="C117901" s="15"/>
      <c r="D117901" s="12"/>
      <c r="E117901" s="12"/>
      <c r="F117901" s="13"/>
      <c r="G117901" s="12"/>
      <c r="H117901" s="12"/>
      <c r="I117901" s="12"/>
      <c r="J117901" s="12"/>
      <c r="K117901" s="12"/>
      <c r="L117901" s="208"/>
      <c r="M117901" s="209"/>
      <c r="N117901" s="209"/>
      <c r="O117901" s="209"/>
    </row>
    <row r="117902" spans="1:15" s="210" customFormat="1" x14ac:dyDescent="0.3">
      <c r="A117902" s="12"/>
      <c r="B117902" s="15"/>
      <c r="C117902" s="15"/>
      <c r="D117902" s="12"/>
      <c r="E117902" s="12"/>
      <c r="F117902" s="13"/>
      <c r="G117902" s="12"/>
      <c r="H117902" s="12"/>
      <c r="I117902" s="12"/>
      <c r="J117902" s="12"/>
      <c r="K117902" s="12"/>
      <c r="L117902" s="208"/>
      <c r="M117902" s="209"/>
      <c r="N117902" s="209"/>
      <c r="O117902" s="209"/>
    </row>
    <row r="117903" spans="1:15" s="210" customFormat="1" x14ac:dyDescent="0.3">
      <c r="A117903" s="12"/>
      <c r="B117903" s="15"/>
      <c r="C117903" s="15"/>
      <c r="D117903" s="12"/>
      <c r="E117903" s="12"/>
      <c r="F117903" s="13"/>
      <c r="G117903" s="12"/>
      <c r="H117903" s="12"/>
      <c r="I117903" s="12"/>
      <c r="J117903" s="12"/>
      <c r="K117903" s="12"/>
      <c r="L117903" s="208"/>
      <c r="M117903" s="209"/>
      <c r="N117903" s="209"/>
      <c r="O117903" s="209"/>
    </row>
    <row r="117904" spans="1:15" s="210" customFormat="1" x14ac:dyDescent="0.3">
      <c r="A117904" s="12"/>
      <c r="B117904" s="15"/>
      <c r="C117904" s="15"/>
      <c r="D117904" s="12"/>
      <c r="E117904" s="12"/>
      <c r="F117904" s="13"/>
      <c r="G117904" s="12"/>
      <c r="H117904" s="12"/>
      <c r="I117904" s="12"/>
      <c r="J117904" s="12"/>
      <c r="K117904" s="12"/>
      <c r="L117904" s="208"/>
      <c r="M117904" s="209"/>
      <c r="N117904" s="209"/>
      <c r="O117904" s="209"/>
    </row>
    <row r="117905" spans="1:15" s="210" customFormat="1" x14ac:dyDescent="0.3">
      <c r="A117905" s="12"/>
      <c r="B117905" s="15"/>
      <c r="C117905" s="15"/>
      <c r="D117905" s="12"/>
      <c r="E117905" s="12"/>
      <c r="F117905" s="13"/>
      <c r="G117905" s="12"/>
      <c r="H117905" s="12"/>
      <c r="I117905" s="12"/>
      <c r="J117905" s="12"/>
      <c r="K117905" s="12"/>
      <c r="L117905" s="208"/>
      <c r="M117905" s="209"/>
      <c r="N117905" s="209"/>
      <c r="O117905" s="209"/>
    </row>
    <row r="117906" spans="1:15" s="210" customFormat="1" x14ac:dyDescent="0.3">
      <c r="A117906" s="12"/>
      <c r="B117906" s="15"/>
      <c r="C117906" s="15"/>
      <c r="D117906" s="12"/>
      <c r="E117906" s="12"/>
      <c r="F117906" s="13"/>
      <c r="G117906" s="12"/>
      <c r="H117906" s="12"/>
      <c r="I117906" s="12"/>
      <c r="J117906" s="12"/>
      <c r="K117906" s="12"/>
      <c r="L117906" s="208"/>
      <c r="M117906" s="209"/>
      <c r="N117906" s="209"/>
      <c r="O117906" s="209"/>
    </row>
    <row r="117907" spans="1:15" s="210" customFormat="1" x14ac:dyDescent="0.3">
      <c r="A117907" s="12"/>
      <c r="B117907" s="15"/>
      <c r="C117907" s="15"/>
      <c r="D117907" s="12"/>
      <c r="E117907" s="12"/>
      <c r="F117907" s="13"/>
      <c r="G117907" s="12"/>
      <c r="H117907" s="12"/>
      <c r="I117907" s="12"/>
      <c r="J117907" s="12"/>
      <c r="K117907" s="12"/>
      <c r="L117907" s="208"/>
      <c r="M117907" s="209"/>
      <c r="N117907" s="209"/>
      <c r="O117907" s="209"/>
    </row>
    <row r="117908" spans="1:15" s="210" customFormat="1" x14ac:dyDescent="0.3">
      <c r="A117908" s="12"/>
      <c r="B117908" s="15"/>
      <c r="C117908" s="15"/>
      <c r="D117908" s="12"/>
      <c r="E117908" s="12"/>
      <c r="F117908" s="13"/>
      <c r="G117908" s="12"/>
      <c r="H117908" s="12"/>
      <c r="I117908" s="12"/>
      <c r="J117908" s="12"/>
      <c r="K117908" s="12"/>
      <c r="L117908" s="208"/>
      <c r="M117908" s="209"/>
      <c r="N117908" s="209"/>
      <c r="O117908" s="209"/>
    </row>
    <row r="117909" spans="1:15" s="210" customFormat="1" x14ac:dyDescent="0.3">
      <c r="A117909" s="12"/>
      <c r="B117909" s="15"/>
      <c r="C117909" s="15"/>
      <c r="D117909" s="12"/>
      <c r="E117909" s="12"/>
      <c r="F117909" s="13"/>
      <c r="G117909" s="12"/>
      <c r="H117909" s="12"/>
      <c r="I117909" s="12"/>
      <c r="J117909" s="12"/>
      <c r="K117909" s="12"/>
      <c r="L117909" s="208"/>
      <c r="M117909" s="209"/>
      <c r="N117909" s="209"/>
      <c r="O117909" s="209"/>
    </row>
    <row r="117910" spans="1:15" s="210" customFormat="1" x14ac:dyDescent="0.3">
      <c r="A117910" s="12"/>
      <c r="B117910" s="15"/>
      <c r="C117910" s="15"/>
      <c r="D117910" s="12"/>
      <c r="E117910" s="12"/>
      <c r="F117910" s="13"/>
      <c r="G117910" s="12"/>
      <c r="H117910" s="12"/>
      <c r="I117910" s="12"/>
      <c r="J117910" s="12"/>
      <c r="K117910" s="12"/>
      <c r="L117910" s="208"/>
      <c r="M117910" s="209"/>
      <c r="N117910" s="209"/>
      <c r="O117910" s="209"/>
    </row>
    <row r="117911" spans="1:15" s="210" customFormat="1" x14ac:dyDescent="0.3">
      <c r="A117911" s="12"/>
      <c r="B117911" s="15"/>
      <c r="C117911" s="15"/>
      <c r="D117911" s="12"/>
      <c r="E117911" s="12"/>
      <c r="F117911" s="13"/>
      <c r="G117911" s="12"/>
      <c r="H117911" s="12"/>
      <c r="I117911" s="12"/>
      <c r="J117911" s="12"/>
      <c r="K117911" s="12"/>
      <c r="L117911" s="208"/>
      <c r="M117911" s="209"/>
      <c r="N117911" s="209"/>
      <c r="O117911" s="209"/>
    </row>
    <row r="117912" spans="1:15" s="210" customFormat="1" x14ac:dyDescent="0.3">
      <c r="A117912" s="12"/>
      <c r="B117912" s="15"/>
      <c r="C117912" s="15"/>
      <c r="D117912" s="12"/>
      <c r="E117912" s="12"/>
      <c r="F117912" s="13"/>
      <c r="G117912" s="12"/>
      <c r="H117912" s="12"/>
      <c r="I117912" s="12"/>
      <c r="J117912" s="12"/>
      <c r="K117912" s="12"/>
      <c r="L117912" s="208"/>
      <c r="M117912" s="209"/>
      <c r="N117912" s="209"/>
      <c r="O117912" s="209"/>
    </row>
    <row r="117913" spans="1:15" s="210" customFormat="1" x14ac:dyDescent="0.3">
      <c r="A117913" s="12"/>
      <c r="B117913" s="15"/>
      <c r="C117913" s="15"/>
      <c r="D117913" s="12"/>
      <c r="E117913" s="12"/>
      <c r="F117913" s="13"/>
      <c r="G117913" s="12"/>
      <c r="H117913" s="12"/>
      <c r="I117913" s="12"/>
      <c r="J117913" s="12"/>
      <c r="K117913" s="12"/>
      <c r="L117913" s="208"/>
      <c r="M117913" s="209"/>
      <c r="N117913" s="209"/>
      <c r="O117913" s="209"/>
    </row>
    <row r="117914" spans="1:15" s="210" customFormat="1" x14ac:dyDescent="0.3">
      <c r="A117914" s="12"/>
      <c r="B117914" s="15"/>
      <c r="C117914" s="15"/>
      <c r="D117914" s="12"/>
      <c r="E117914" s="12"/>
      <c r="F117914" s="13"/>
      <c r="G117914" s="12"/>
      <c r="H117914" s="12"/>
      <c r="I117914" s="12"/>
      <c r="J117914" s="12"/>
      <c r="K117914" s="12"/>
      <c r="L117914" s="208"/>
      <c r="M117914" s="209"/>
      <c r="N117914" s="209"/>
      <c r="O117914" s="209"/>
    </row>
    <row r="117915" spans="1:15" s="210" customFormat="1" x14ac:dyDescent="0.3">
      <c r="A117915" s="12"/>
      <c r="B117915" s="15"/>
      <c r="C117915" s="15"/>
      <c r="D117915" s="12"/>
      <c r="E117915" s="12"/>
      <c r="F117915" s="13"/>
      <c r="G117915" s="12"/>
      <c r="H117915" s="12"/>
      <c r="I117915" s="12"/>
      <c r="J117915" s="12"/>
      <c r="K117915" s="12"/>
      <c r="L117915" s="208"/>
      <c r="M117915" s="209"/>
      <c r="N117915" s="209"/>
      <c r="O117915" s="209"/>
    </row>
    <row r="117916" spans="1:15" s="210" customFormat="1" x14ac:dyDescent="0.3">
      <c r="A117916" s="12"/>
      <c r="B117916" s="15"/>
      <c r="C117916" s="15"/>
      <c r="D117916" s="12"/>
      <c r="E117916" s="12"/>
      <c r="F117916" s="13"/>
      <c r="G117916" s="12"/>
      <c r="H117916" s="12"/>
      <c r="I117916" s="12"/>
      <c r="J117916" s="12"/>
      <c r="K117916" s="12"/>
      <c r="L117916" s="208"/>
      <c r="M117916" s="209"/>
      <c r="N117916" s="209"/>
      <c r="O117916" s="209"/>
    </row>
    <row r="117917" spans="1:15" s="210" customFormat="1" x14ac:dyDescent="0.3">
      <c r="A117917" s="12"/>
      <c r="B117917" s="15"/>
      <c r="C117917" s="15"/>
      <c r="D117917" s="12"/>
      <c r="E117917" s="12"/>
      <c r="F117917" s="13"/>
      <c r="G117917" s="12"/>
      <c r="H117917" s="12"/>
      <c r="I117917" s="12"/>
      <c r="J117917" s="12"/>
      <c r="K117917" s="12"/>
      <c r="L117917" s="208"/>
      <c r="M117917" s="209"/>
      <c r="N117917" s="209"/>
      <c r="O117917" s="209"/>
    </row>
    <row r="117918" spans="1:15" s="210" customFormat="1" x14ac:dyDescent="0.3">
      <c r="A117918" s="12"/>
      <c r="B117918" s="15"/>
      <c r="C117918" s="15"/>
      <c r="D117918" s="12"/>
      <c r="E117918" s="12"/>
      <c r="F117918" s="13"/>
      <c r="G117918" s="12"/>
      <c r="H117918" s="12"/>
      <c r="I117918" s="12"/>
      <c r="J117918" s="12"/>
      <c r="K117918" s="12"/>
      <c r="L117918" s="208"/>
      <c r="M117918" s="209"/>
      <c r="N117918" s="209"/>
      <c r="O117918" s="209"/>
    </row>
    <row r="117919" spans="1:15" s="210" customFormat="1" x14ac:dyDescent="0.3">
      <c r="A117919" s="12"/>
      <c r="B117919" s="15"/>
      <c r="C117919" s="15"/>
      <c r="D117919" s="12"/>
      <c r="E117919" s="12"/>
      <c r="F117919" s="13"/>
      <c r="G117919" s="12"/>
      <c r="H117919" s="12"/>
      <c r="I117919" s="12"/>
      <c r="J117919" s="12"/>
      <c r="K117919" s="12"/>
      <c r="L117919" s="208"/>
      <c r="M117919" s="209"/>
      <c r="N117919" s="209"/>
      <c r="O117919" s="209"/>
    </row>
    <row r="117920" spans="1:15" s="210" customFormat="1" x14ac:dyDescent="0.3">
      <c r="A117920" s="12"/>
      <c r="B117920" s="15"/>
      <c r="C117920" s="15"/>
      <c r="D117920" s="12"/>
      <c r="E117920" s="12"/>
      <c r="F117920" s="13"/>
      <c r="G117920" s="12"/>
      <c r="H117920" s="12"/>
      <c r="I117920" s="12"/>
      <c r="J117920" s="12"/>
      <c r="K117920" s="12"/>
      <c r="L117920" s="208"/>
      <c r="M117920" s="209"/>
      <c r="N117920" s="209"/>
      <c r="O117920" s="209"/>
    </row>
    <row r="117921" spans="1:15" s="210" customFormat="1" x14ac:dyDescent="0.3">
      <c r="A117921" s="12"/>
      <c r="B117921" s="15"/>
      <c r="C117921" s="15"/>
      <c r="D117921" s="12"/>
      <c r="E117921" s="12"/>
      <c r="F117921" s="13"/>
      <c r="G117921" s="12"/>
      <c r="H117921" s="12"/>
      <c r="I117921" s="12"/>
      <c r="J117921" s="12"/>
      <c r="K117921" s="12"/>
      <c r="L117921" s="208"/>
      <c r="M117921" s="209"/>
      <c r="N117921" s="209"/>
      <c r="O117921" s="209"/>
    </row>
    <row r="117922" spans="1:15" s="210" customFormat="1" x14ac:dyDescent="0.3">
      <c r="A117922" s="12"/>
      <c r="B117922" s="15"/>
      <c r="C117922" s="15"/>
      <c r="D117922" s="12"/>
      <c r="E117922" s="12"/>
      <c r="F117922" s="13"/>
      <c r="G117922" s="12"/>
      <c r="H117922" s="12"/>
      <c r="I117922" s="12"/>
      <c r="J117922" s="12"/>
      <c r="K117922" s="12"/>
      <c r="L117922" s="208"/>
      <c r="M117922" s="209"/>
      <c r="N117922" s="209"/>
      <c r="O117922" s="209"/>
    </row>
    <row r="117923" spans="1:15" s="210" customFormat="1" x14ac:dyDescent="0.3">
      <c r="A117923" s="12"/>
      <c r="B117923" s="15"/>
      <c r="C117923" s="15"/>
      <c r="D117923" s="12"/>
      <c r="E117923" s="12"/>
      <c r="F117923" s="13"/>
      <c r="G117923" s="12"/>
      <c r="H117923" s="12"/>
      <c r="I117923" s="12"/>
      <c r="J117923" s="12"/>
      <c r="K117923" s="12"/>
      <c r="L117923" s="208"/>
      <c r="M117923" s="209"/>
      <c r="N117923" s="209"/>
      <c r="O117923" s="209"/>
    </row>
    <row r="117924" spans="1:15" s="210" customFormat="1" x14ac:dyDescent="0.3">
      <c r="A117924" s="12"/>
      <c r="B117924" s="15"/>
      <c r="C117924" s="15"/>
      <c r="D117924" s="12"/>
      <c r="E117924" s="12"/>
      <c r="F117924" s="13"/>
      <c r="G117924" s="12"/>
      <c r="H117924" s="12"/>
      <c r="I117924" s="12"/>
      <c r="J117924" s="12"/>
      <c r="K117924" s="12"/>
      <c r="L117924" s="208"/>
      <c r="M117924" s="209"/>
      <c r="N117924" s="209"/>
      <c r="O117924" s="209"/>
    </row>
    <row r="117925" spans="1:15" s="210" customFormat="1" x14ac:dyDescent="0.3">
      <c r="A117925" s="12"/>
      <c r="B117925" s="15"/>
      <c r="C117925" s="15"/>
      <c r="D117925" s="12"/>
      <c r="E117925" s="12"/>
      <c r="F117925" s="13"/>
      <c r="G117925" s="12"/>
      <c r="H117925" s="12"/>
      <c r="I117925" s="12"/>
      <c r="J117925" s="12"/>
      <c r="K117925" s="12"/>
      <c r="L117925" s="208"/>
      <c r="M117925" s="209"/>
      <c r="N117925" s="209"/>
      <c r="O117925" s="209"/>
    </row>
    <row r="117926" spans="1:15" s="210" customFormat="1" x14ac:dyDescent="0.3">
      <c r="A117926" s="12"/>
      <c r="B117926" s="15"/>
      <c r="C117926" s="15"/>
      <c r="D117926" s="12"/>
      <c r="E117926" s="12"/>
      <c r="F117926" s="13"/>
      <c r="G117926" s="12"/>
      <c r="H117926" s="12"/>
      <c r="I117926" s="12"/>
      <c r="J117926" s="12"/>
      <c r="K117926" s="12"/>
      <c r="L117926" s="208"/>
      <c r="M117926" s="209"/>
      <c r="N117926" s="209"/>
      <c r="O117926" s="209"/>
    </row>
    <row r="117927" spans="1:15" s="210" customFormat="1" x14ac:dyDescent="0.3">
      <c r="A117927" s="12"/>
      <c r="B117927" s="15"/>
      <c r="C117927" s="15"/>
      <c r="D117927" s="12"/>
      <c r="E117927" s="12"/>
      <c r="F117927" s="13"/>
      <c r="G117927" s="12"/>
      <c r="H117927" s="12"/>
      <c r="I117927" s="12"/>
      <c r="J117927" s="12"/>
      <c r="K117927" s="12"/>
      <c r="L117927" s="208"/>
      <c r="M117927" s="209"/>
      <c r="N117927" s="209"/>
      <c r="O117927" s="209"/>
    </row>
    <row r="117928" spans="1:15" s="210" customFormat="1" x14ac:dyDescent="0.3">
      <c r="A117928" s="12"/>
      <c r="B117928" s="15"/>
      <c r="C117928" s="15"/>
      <c r="D117928" s="12"/>
      <c r="E117928" s="12"/>
      <c r="F117928" s="13"/>
      <c r="G117928" s="12"/>
      <c r="H117928" s="12"/>
      <c r="I117928" s="12"/>
      <c r="J117928" s="12"/>
      <c r="K117928" s="12"/>
      <c r="L117928" s="208"/>
      <c r="M117928" s="209"/>
      <c r="N117928" s="209"/>
      <c r="O117928" s="209"/>
    </row>
    <row r="117929" spans="1:15" s="210" customFormat="1" x14ac:dyDescent="0.3">
      <c r="A117929" s="12"/>
      <c r="B117929" s="15"/>
      <c r="C117929" s="15"/>
      <c r="D117929" s="12"/>
      <c r="E117929" s="12"/>
      <c r="F117929" s="13"/>
      <c r="G117929" s="12"/>
      <c r="H117929" s="12"/>
      <c r="I117929" s="12"/>
      <c r="J117929" s="12"/>
      <c r="K117929" s="12"/>
      <c r="L117929" s="208"/>
      <c r="M117929" s="209"/>
      <c r="N117929" s="209"/>
      <c r="O117929" s="209"/>
    </row>
    <row r="117930" spans="1:15" s="210" customFormat="1" x14ac:dyDescent="0.3">
      <c r="A117930" s="12"/>
      <c r="B117930" s="15"/>
      <c r="C117930" s="15"/>
      <c r="D117930" s="12"/>
      <c r="E117930" s="12"/>
      <c r="F117930" s="13"/>
      <c r="G117930" s="12"/>
      <c r="H117930" s="12"/>
      <c r="I117930" s="12"/>
      <c r="J117930" s="12"/>
      <c r="K117930" s="12"/>
      <c r="L117930" s="208"/>
      <c r="M117930" s="209"/>
      <c r="N117930" s="209"/>
      <c r="O117930" s="209"/>
    </row>
    <row r="117931" spans="1:15" s="210" customFormat="1" x14ac:dyDescent="0.3">
      <c r="A117931" s="12"/>
      <c r="B117931" s="15"/>
      <c r="C117931" s="15"/>
      <c r="D117931" s="12"/>
      <c r="E117931" s="12"/>
      <c r="F117931" s="13"/>
      <c r="G117931" s="12"/>
      <c r="H117931" s="12"/>
      <c r="I117931" s="12"/>
      <c r="J117931" s="12"/>
      <c r="K117931" s="12"/>
      <c r="L117931" s="208"/>
      <c r="M117931" s="209"/>
      <c r="N117931" s="209"/>
      <c r="O117931" s="209"/>
    </row>
    <row r="117932" spans="1:15" s="210" customFormat="1" x14ac:dyDescent="0.3">
      <c r="A117932" s="12"/>
      <c r="B117932" s="15"/>
      <c r="C117932" s="15"/>
      <c r="D117932" s="12"/>
      <c r="E117932" s="12"/>
      <c r="F117932" s="13"/>
      <c r="G117932" s="12"/>
      <c r="H117932" s="12"/>
      <c r="I117932" s="12"/>
      <c r="J117932" s="12"/>
      <c r="K117932" s="12"/>
      <c r="L117932" s="208"/>
      <c r="M117932" s="209"/>
      <c r="N117932" s="209"/>
      <c r="O117932" s="209"/>
    </row>
    <row r="117933" spans="1:15" s="210" customFormat="1" x14ac:dyDescent="0.3">
      <c r="A117933" s="12"/>
      <c r="B117933" s="15"/>
      <c r="C117933" s="15"/>
      <c r="D117933" s="12"/>
      <c r="E117933" s="12"/>
      <c r="F117933" s="13"/>
      <c r="G117933" s="12"/>
      <c r="H117933" s="12"/>
      <c r="I117933" s="12"/>
      <c r="J117933" s="12"/>
      <c r="K117933" s="12"/>
      <c r="L117933" s="208"/>
      <c r="M117933" s="209"/>
      <c r="N117933" s="209"/>
      <c r="O117933" s="209"/>
    </row>
    <row r="117934" spans="1:15" s="210" customFormat="1" x14ac:dyDescent="0.3">
      <c r="A117934" s="12"/>
      <c r="B117934" s="15"/>
      <c r="C117934" s="15"/>
      <c r="D117934" s="12"/>
      <c r="E117934" s="12"/>
      <c r="F117934" s="13"/>
      <c r="G117934" s="12"/>
      <c r="H117934" s="12"/>
      <c r="I117934" s="12"/>
      <c r="J117934" s="12"/>
      <c r="K117934" s="12"/>
      <c r="L117934" s="208"/>
      <c r="M117934" s="209"/>
      <c r="N117934" s="209"/>
      <c r="O117934" s="209"/>
    </row>
    <row r="117935" spans="1:15" s="210" customFormat="1" x14ac:dyDescent="0.3">
      <c r="A117935" s="12"/>
      <c r="B117935" s="15"/>
      <c r="C117935" s="15"/>
      <c r="D117935" s="12"/>
      <c r="E117935" s="12"/>
      <c r="F117935" s="13"/>
      <c r="G117935" s="12"/>
      <c r="H117935" s="12"/>
      <c r="I117935" s="12"/>
      <c r="J117935" s="12"/>
      <c r="K117935" s="12"/>
      <c r="L117935" s="208"/>
      <c r="M117935" s="209"/>
      <c r="N117935" s="209"/>
      <c r="O117935" s="209"/>
    </row>
    <row r="117936" spans="1:15" s="210" customFormat="1" x14ac:dyDescent="0.3">
      <c r="A117936" s="12"/>
      <c r="B117936" s="15"/>
      <c r="C117936" s="15"/>
      <c r="D117936" s="12"/>
      <c r="E117936" s="12"/>
      <c r="F117936" s="13"/>
      <c r="G117936" s="12"/>
      <c r="H117936" s="12"/>
      <c r="I117936" s="12"/>
      <c r="J117936" s="12"/>
      <c r="K117936" s="12"/>
      <c r="L117936" s="208"/>
      <c r="M117936" s="209"/>
      <c r="N117936" s="209"/>
      <c r="O117936" s="209"/>
    </row>
    <row r="117937" spans="1:15" s="210" customFormat="1" x14ac:dyDescent="0.3">
      <c r="A117937" s="12"/>
      <c r="B117937" s="15"/>
      <c r="C117937" s="15"/>
      <c r="D117937" s="12"/>
      <c r="E117937" s="12"/>
      <c r="F117937" s="13"/>
      <c r="G117937" s="12"/>
      <c r="H117937" s="12"/>
      <c r="I117937" s="12"/>
      <c r="J117937" s="12"/>
      <c r="K117937" s="12"/>
      <c r="L117937" s="208"/>
      <c r="M117937" s="209"/>
      <c r="N117937" s="209"/>
      <c r="O117937" s="209"/>
    </row>
    <row r="117938" spans="1:15" s="210" customFormat="1" x14ac:dyDescent="0.3">
      <c r="A117938" s="12"/>
      <c r="B117938" s="15"/>
      <c r="C117938" s="15"/>
      <c r="D117938" s="12"/>
      <c r="E117938" s="12"/>
      <c r="F117938" s="13"/>
      <c r="G117938" s="12"/>
      <c r="H117938" s="12"/>
      <c r="I117938" s="12"/>
      <c r="J117938" s="12"/>
      <c r="K117938" s="12"/>
      <c r="L117938" s="208"/>
      <c r="M117938" s="209"/>
      <c r="N117938" s="209"/>
      <c r="O117938" s="209"/>
    </row>
    <row r="117939" spans="1:15" s="210" customFormat="1" x14ac:dyDescent="0.3">
      <c r="A117939" s="12"/>
      <c r="B117939" s="15"/>
      <c r="C117939" s="15"/>
      <c r="D117939" s="12"/>
      <c r="E117939" s="12"/>
      <c r="F117939" s="13"/>
      <c r="G117939" s="12"/>
      <c r="H117939" s="12"/>
      <c r="I117939" s="12"/>
      <c r="J117939" s="12"/>
      <c r="K117939" s="12"/>
      <c r="L117939" s="208"/>
      <c r="M117939" s="209"/>
      <c r="N117939" s="209"/>
      <c r="O117939" s="209"/>
    </row>
    <row r="117940" spans="1:15" s="210" customFormat="1" x14ac:dyDescent="0.3">
      <c r="A117940" s="12"/>
      <c r="B117940" s="15"/>
      <c r="C117940" s="15"/>
      <c r="D117940" s="12"/>
      <c r="E117940" s="12"/>
      <c r="F117940" s="13"/>
      <c r="G117940" s="12"/>
      <c r="H117940" s="12"/>
      <c r="I117940" s="12"/>
      <c r="J117940" s="12"/>
      <c r="K117940" s="12"/>
      <c r="L117940" s="208"/>
      <c r="M117940" s="209"/>
      <c r="N117940" s="209"/>
      <c r="O117940" s="209"/>
    </row>
    <row r="117941" spans="1:15" s="210" customFormat="1" x14ac:dyDescent="0.3">
      <c r="A117941" s="12"/>
      <c r="B117941" s="15"/>
      <c r="C117941" s="15"/>
      <c r="D117941" s="12"/>
      <c r="E117941" s="12"/>
      <c r="F117941" s="13"/>
      <c r="G117941" s="12"/>
      <c r="H117941" s="12"/>
      <c r="I117941" s="12"/>
      <c r="J117941" s="12"/>
      <c r="K117941" s="12"/>
      <c r="L117941" s="208"/>
      <c r="M117941" s="209"/>
      <c r="N117941" s="209"/>
      <c r="O117941" s="209"/>
    </row>
    <row r="117942" spans="1:15" s="210" customFormat="1" x14ac:dyDescent="0.3">
      <c r="A117942" s="12"/>
      <c r="B117942" s="15"/>
      <c r="C117942" s="15"/>
      <c r="D117942" s="12"/>
      <c r="E117942" s="12"/>
      <c r="F117942" s="13"/>
      <c r="G117942" s="12"/>
      <c r="H117942" s="12"/>
      <c r="I117942" s="12"/>
      <c r="J117942" s="12"/>
      <c r="K117942" s="12"/>
      <c r="L117942" s="208"/>
      <c r="M117942" s="209"/>
      <c r="N117942" s="209"/>
      <c r="O117942" s="209"/>
    </row>
    <row r="117943" spans="1:15" s="210" customFormat="1" x14ac:dyDescent="0.3">
      <c r="A117943" s="12"/>
      <c r="B117943" s="15"/>
      <c r="C117943" s="15"/>
      <c r="D117943" s="12"/>
      <c r="E117943" s="12"/>
      <c r="F117943" s="13"/>
      <c r="G117943" s="12"/>
      <c r="H117943" s="12"/>
      <c r="I117943" s="12"/>
      <c r="J117943" s="12"/>
      <c r="K117943" s="12"/>
      <c r="L117943" s="208"/>
      <c r="M117943" s="209"/>
      <c r="N117943" s="209"/>
      <c r="O117943" s="209"/>
    </row>
    <row r="117944" spans="1:15" s="210" customFormat="1" x14ac:dyDescent="0.3">
      <c r="A117944" s="12"/>
      <c r="B117944" s="15"/>
      <c r="C117944" s="15"/>
      <c r="D117944" s="12"/>
      <c r="E117944" s="12"/>
      <c r="F117944" s="13"/>
      <c r="G117944" s="12"/>
      <c r="H117944" s="12"/>
      <c r="I117944" s="12"/>
      <c r="J117944" s="12"/>
      <c r="K117944" s="12"/>
      <c r="L117944" s="208"/>
      <c r="M117944" s="209"/>
      <c r="N117944" s="209"/>
      <c r="O117944" s="209"/>
    </row>
    <row r="117945" spans="1:15" s="210" customFormat="1" x14ac:dyDescent="0.3">
      <c r="A117945" s="12"/>
      <c r="B117945" s="15"/>
      <c r="C117945" s="15"/>
      <c r="D117945" s="12"/>
      <c r="E117945" s="12"/>
      <c r="F117945" s="13"/>
      <c r="G117945" s="12"/>
      <c r="H117945" s="12"/>
      <c r="I117945" s="12"/>
      <c r="J117945" s="12"/>
      <c r="K117945" s="12"/>
      <c r="L117945" s="208"/>
      <c r="M117945" s="209"/>
      <c r="N117945" s="209"/>
      <c r="O117945" s="209"/>
    </row>
    <row r="117946" spans="1:15" s="210" customFormat="1" x14ac:dyDescent="0.3">
      <c r="A117946" s="12"/>
      <c r="B117946" s="15"/>
      <c r="C117946" s="15"/>
      <c r="D117946" s="12"/>
      <c r="E117946" s="12"/>
      <c r="F117946" s="13"/>
      <c r="G117946" s="12"/>
      <c r="H117946" s="12"/>
      <c r="I117946" s="12"/>
      <c r="J117946" s="12"/>
      <c r="K117946" s="12"/>
      <c r="L117946" s="208"/>
      <c r="M117946" s="209"/>
      <c r="N117946" s="209"/>
      <c r="O117946" s="209"/>
    </row>
    <row r="117947" spans="1:15" s="210" customFormat="1" x14ac:dyDescent="0.3">
      <c r="A117947" s="12"/>
      <c r="B117947" s="15"/>
      <c r="C117947" s="15"/>
      <c r="D117947" s="12"/>
      <c r="E117947" s="12"/>
      <c r="F117947" s="13"/>
      <c r="G117947" s="12"/>
      <c r="H117947" s="12"/>
      <c r="I117947" s="12"/>
      <c r="J117947" s="12"/>
      <c r="K117947" s="12"/>
      <c r="L117947" s="208"/>
      <c r="M117947" s="209"/>
      <c r="N117947" s="209"/>
      <c r="O117947" s="209"/>
    </row>
    <row r="117948" spans="1:15" s="210" customFormat="1" x14ac:dyDescent="0.3">
      <c r="A117948" s="12"/>
      <c r="B117948" s="15"/>
      <c r="C117948" s="15"/>
      <c r="D117948" s="12"/>
      <c r="E117948" s="12"/>
      <c r="F117948" s="13"/>
      <c r="G117948" s="12"/>
      <c r="H117948" s="12"/>
      <c r="I117948" s="12"/>
      <c r="J117948" s="12"/>
      <c r="K117948" s="12"/>
      <c r="L117948" s="208"/>
      <c r="M117948" s="209"/>
      <c r="N117948" s="209"/>
      <c r="O117948" s="209"/>
    </row>
    <row r="117949" spans="1:15" s="210" customFormat="1" x14ac:dyDescent="0.3">
      <c r="A117949" s="12"/>
      <c r="B117949" s="15"/>
      <c r="C117949" s="15"/>
      <c r="D117949" s="12"/>
      <c r="E117949" s="12"/>
      <c r="F117949" s="13"/>
      <c r="G117949" s="12"/>
      <c r="H117949" s="12"/>
      <c r="I117949" s="12"/>
      <c r="J117949" s="12"/>
      <c r="K117949" s="12"/>
      <c r="L117949" s="208"/>
      <c r="M117949" s="209"/>
      <c r="N117949" s="209"/>
      <c r="O117949" s="209"/>
    </row>
    <row r="117950" spans="1:15" s="210" customFormat="1" x14ac:dyDescent="0.3">
      <c r="A117950" s="12"/>
      <c r="B117950" s="15"/>
      <c r="C117950" s="15"/>
      <c r="D117950" s="12"/>
      <c r="E117950" s="12"/>
      <c r="F117950" s="13"/>
      <c r="G117950" s="12"/>
      <c r="H117950" s="12"/>
      <c r="I117950" s="12"/>
      <c r="J117950" s="12"/>
      <c r="K117950" s="12"/>
      <c r="L117950" s="208"/>
      <c r="M117950" s="209"/>
      <c r="N117950" s="209"/>
      <c r="O117950" s="209"/>
    </row>
    <row r="117951" spans="1:15" s="210" customFormat="1" x14ac:dyDescent="0.3">
      <c r="A117951" s="12"/>
      <c r="B117951" s="15"/>
      <c r="C117951" s="15"/>
      <c r="D117951" s="12"/>
      <c r="E117951" s="12"/>
      <c r="F117951" s="13"/>
      <c r="G117951" s="12"/>
      <c r="H117951" s="12"/>
      <c r="I117951" s="12"/>
      <c r="J117951" s="12"/>
      <c r="K117951" s="12"/>
      <c r="L117951" s="208"/>
      <c r="M117951" s="209"/>
      <c r="N117951" s="209"/>
      <c r="O117951" s="209"/>
    </row>
    <row r="117952" spans="1:15" s="210" customFormat="1" x14ac:dyDescent="0.3">
      <c r="A117952" s="12"/>
      <c r="B117952" s="15"/>
      <c r="C117952" s="15"/>
      <c r="D117952" s="12"/>
      <c r="E117952" s="12"/>
      <c r="F117952" s="13"/>
      <c r="G117952" s="12"/>
      <c r="H117952" s="12"/>
      <c r="I117952" s="12"/>
      <c r="J117952" s="12"/>
      <c r="K117952" s="12"/>
      <c r="L117952" s="208"/>
      <c r="M117952" s="209"/>
      <c r="N117952" s="209"/>
      <c r="O117952" s="209"/>
    </row>
    <row r="117953" spans="1:15" s="210" customFormat="1" x14ac:dyDescent="0.3">
      <c r="A117953" s="12"/>
      <c r="B117953" s="15"/>
      <c r="C117953" s="15"/>
      <c r="D117953" s="12"/>
      <c r="E117953" s="12"/>
      <c r="F117953" s="13"/>
      <c r="G117953" s="12"/>
      <c r="H117953" s="12"/>
      <c r="I117953" s="12"/>
      <c r="J117953" s="12"/>
      <c r="K117953" s="12"/>
      <c r="L117953" s="208"/>
      <c r="M117953" s="209"/>
      <c r="N117953" s="209"/>
      <c r="O117953" s="209"/>
    </row>
    <row r="117954" spans="1:15" s="210" customFormat="1" x14ac:dyDescent="0.3">
      <c r="A117954" s="12"/>
      <c r="B117954" s="15"/>
      <c r="C117954" s="15"/>
      <c r="D117954" s="12"/>
      <c r="E117954" s="12"/>
      <c r="F117954" s="13"/>
      <c r="G117954" s="12"/>
      <c r="H117954" s="12"/>
      <c r="I117954" s="12"/>
      <c r="J117954" s="12"/>
      <c r="K117954" s="12"/>
      <c r="L117954" s="208"/>
      <c r="M117954" s="209"/>
      <c r="N117954" s="209"/>
      <c r="O117954" s="209"/>
    </row>
    <row r="117955" spans="1:15" s="210" customFormat="1" x14ac:dyDescent="0.3">
      <c r="A117955" s="12"/>
      <c r="B117955" s="15"/>
      <c r="C117955" s="15"/>
      <c r="D117955" s="12"/>
      <c r="E117955" s="12"/>
      <c r="F117955" s="13"/>
      <c r="G117955" s="12"/>
      <c r="H117955" s="12"/>
      <c r="I117955" s="12"/>
      <c r="J117955" s="12"/>
      <c r="K117955" s="12"/>
      <c r="L117955" s="208"/>
      <c r="M117955" s="209"/>
      <c r="N117955" s="209"/>
      <c r="O117955" s="209"/>
    </row>
    <row r="117956" spans="1:15" s="210" customFormat="1" x14ac:dyDescent="0.3">
      <c r="A117956" s="12"/>
      <c r="B117956" s="15"/>
      <c r="C117956" s="15"/>
      <c r="D117956" s="12"/>
      <c r="E117956" s="12"/>
      <c r="F117956" s="13"/>
      <c r="G117956" s="12"/>
      <c r="H117956" s="12"/>
      <c r="I117956" s="12"/>
      <c r="J117956" s="12"/>
      <c r="K117956" s="12"/>
      <c r="L117956" s="208"/>
      <c r="M117956" s="209"/>
      <c r="N117956" s="209"/>
      <c r="O117956" s="209"/>
    </row>
    <row r="117957" spans="1:15" s="210" customFormat="1" x14ac:dyDescent="0.3">
      <c r="A117957" s="12"/>
      <c r="B117957" s="15"/>
      <c r="C117957" s="15"/>
      <c r="D117957" s="12"/>
      <c r="E117957" s="12"/>
      <c r="F117957" s="13"/>
      <c r="G117957" s="12"/>
      <c r="H117957" s="12"/>
      <c r="I117957" s="12"/>
      <c r="J117957" s="12"/>
      <c r="K117957" s="12"/>
      <c r="L117957" s="208"/>
      <c r="M117957" s="209"/>
      <c r="N117957" s="209"/>
      <c r="O117957" s="209"/>
    </row>
    <row r="117958" spans="1:15" s="210" customFormat="1" x14ac:dyDescent="0.3">
      <c r="A117958" s="12"/>
      <c r="B117958" s="15"/>
      <c r="C117958" s="15"/>
      <c r="D117958" s="12"/>
      <c r="E117958" s="12"/>
      <c r="F117958" s="13"/>
      <c r="G117958" s="12"/>
      <c r="H117958" s="12"/>
      <c r="I117958" s="12"/>
      <c r="J117958" s="12"/>
      <c r="K117958" s="12"/>
      <c r="L117958" s="208"/>
      <c r="M117958" s="209"/>
      <c r="N117958" s="209"/>
      <c r="O117958" s="209"/>
    </row>
    <row r="117959" spans="1:15" s="210" customFormat="1" x14ac:dyDescent="0.3">
      <c r="A117959" s="12"/>
      <c r="B117959" s="15"/>
      <c r="C117959" s="15"/>
      <c r="D117959" s="12"/>
      <c r="E117959" s="12"/>
      <c r="F117959" s="13"/>
      <c r="G117959" s="12"/>
      <c r="H117959" s="12"/>
      <c r="I117959" s="12"/>
      <c r="J117959" s="12"/>
      <c r="K117959" s="12"/>
      <c r="L117959" s="208"/>
      <c r="M117959" s="209"/>
      <c r="N117959" s="209"/>
      <c r="O117959" s="209"/>
    </row>
    <row r="117960" spans="1:15" s="210" customFormat="1" x14ac:dyDescent="0.3">
      <c r="A117960" s="12"/>
      <c r="B117960" s="15"/>
      <c r="C117960" s="15"/>
      <c r="D117960" s="12"/>
      <c r="E117960" s="12"/>
      <c r="F117960" s="13"/>
      <c r="G117960" s="12"/>
      <c r="H117960" s="12"/>
      <c r="I117960" s="12"/>
      <c r="J117960" s="12"/>
      <c r="K117960" s="12"/>
      <c r="L117960" s="208"/>
      <c r="M117960" s="209"/>
      <c r="N117960" s="209"/>
      <c r="O117960" s="209"/>
    </row>
    <row r="117961" spans="1:15" s="210" customFormat="1" x14ac:dyDescent="0.3">
      <c r="A117961" s="12"/>
      <c r="B117961" s="15"/>
      <c r="C117961" s="15"/>
      <c r="D117961" s="12"/>
      <c r="E117961" s="12"/>
      <c r="F117961" s="13"/>
      <c r="G117961" s="12"/>
      <c r="H117961" s="12"/>
      <c r="I117961" s="12"/>
      <c r="J117961" s="12"/>
      <c r="K117961" s="12"/>
      <c r="L117961" s="208"/>
      <c r="M117961" s="209"/>
      <c r="N117961" s="209"/>
      <c r="O117961" s="209"/>
    </row>
    <row r="117962" spans="1:15" s="210" customFormat="1" x14ac:dyDescent="0.3">
      <c r="A117962" s="12"/>
      <c r="B117962" s="15"/>
      <c r="C117962" s="15"/>
      <c r="D117962" s="12"/>
      <c r="E117962" s="12"/>
      <c r="F117962" s="13"/>
      <c r="G117962" s="12"/>
      <c r="H117962" s="12"/>
      <c r="I117962" s="12"/>
      <c r="J117962" s="12"/>
      <c r="K117962" s="12"/>
      <c r="L117962" s="208"/>
      <c r="M117962" s="209"/>
      <c r="N117962" s="209"/>
      <c r="O117962" s="209"/>
    </row>
    <row r="117963" spans="1:15" s="210" customFormat="1" x14ac:dyDescent="0.3">
      <c r="A117963" s="12"/>
      <c r="B117963" s="15"/>
      <c r="C117963" s="15"/>
      <c r="D117963" s="12"/>
      <c r="E117963" s="12"/>
      <c r="F117963" s="13"/>
      <c r="G117963" s="12"/>
      <c r="H117963" s="12"/>
      <c r="I117963" s="12"/>
      <c r="J117963" s="12"/>
      <c r="K117963" s="12"/>
      <c r="L117963" s="208"/>
      <c r="M117963" s="209"/>
      <c r="N117963" s="209"/>
      <c r="O117963" s="209"/>
    </row>
    <row r="117964" spans="1:15" s="210" customFormat="1" x14ac:dyDescent="0.3">
      <c r="A117964" s="12"/>
      <c r="B117964" s="15"/>
      <c r="C117964" s="15"/>
      <c r="D117964" s="12"/>
      <c r="E117964" s="12"/>
      <c r="F117964" s="13"/>
      <c r="G117964" s="12"/>
      <c r="H117964" s="12"/>
      <c r="I117964" s="12"/>
      <c r="J117964" s="12"/>
      <c r="K117964" s="12"/>
      <c r="L117964" s="208"/>
      <c r="M117964" s="209"/>
      <c r="N117964" s="209"/>
      <c r="O117964" s="209"/>
    </row>
    <row r="117965" spans="1:15" s="210" customFormat="1" x14ac:dyDescent="0.3">
      <c r="A117965" s="12"/>
      <c r="B117965" s="15"/>
      <c r="C117965" s="15"/>
      <c r="D117965" s="12"/>
      <c r="E117965" s="12"/>
      <c r="F117965" s="13"/>
      <c r="G117965" s="12"/>
      <c r="H117965" s="12"/>
      <c r="I117965" s="12"/>
      <c r="J117965" s="12"/>
      <c r="K117965" s="12"/>
      <c r="L117965" s="208"/>
      <c r="M117965" s="209"/>
      <c r="N117965" s="209"/>
      <c r="O117965" s="209"/>
    </row>
    <row r="117966" spans="1:15" s="210" customFormat="1" x14ac:dyDescent="0.3">
      <c r="A117966" s="12"/>
      <c r="B117966" s="15"/>
      <c r="C117966" s="15"/>
      <c r="D117966" s="12"/>
      <c r="E117966" s="12"/>
      <c r="F117966" s="13"/>
      <c r="G117966" s="12"/>
      <c r="H117966" s="12"/>
      <c r="I117966" s="12"/>
      <c r="J117966" s="12"/>
      <c r="K117966" s="12"/>
      <c r="L117966" s="208"/>
      <c r="M117966" s="209"/>
      <c r="N117966" s="209"/>
      <c r="O117966" s="209"/>
    </row>
    <row r="117967" spans="1:15" s="210" customFormat="1" x14ac:dyDescent="0.3">
      <c r="A117967" s="12"/>
      <c r="B117967" s="15"/>
      <c r="C117967" s="15"/>
      <c r="D117967" s="12"/>
      <c r="E117967" s="12"/>
      <c r="F117967" s="13"/>
      <c r="G117967" s="12"/>
      <c r="H117967" s="12"/>
      <c r="I117967" s="12"/>
      <c r="J117967" s="12"/>
      <c r="K117967" s="12"/>
      <c r="L117967" s="208"/>
      <c r="M117967" s="209"/>
      <c r="N117967" s="209"/>
      <c r="O117967" s="209"/>
    </row>
    <row r="117968" spans="1:15" s="210" customFormat="1" x14ac:dyDescent="0.3">
      <c r="A117968" s="12"/>
      <c r="B117968" s="15"/>
      <c r="C117968" s="15"/>
      <c r="D117968" s="12"/>
      <c r="E117968" s="12"/>
      <c r="F117968" s="13"/>
      <c r="G117968" s="12"/>
      <c r="H117968" s="12"/>
      <c r="I117968" s="12"/>
      <c r="J117968" s="12"/>
      <c r="K117968" s="12"/>
      <c r="L117968" s="208"/>
      <c r="M117968" s="209"/>
      <c r="N117968" s="209"/>
      <c r="O117968" s="209"/>
    </row>
    <row r="117969" spans="1:15" s="210" customFormat="1" x14ac:dyDescent="0.3">
      <c r="A117969" s="12"/>
      <c r="B117969" s="15"/>
      <c r="C117969" s="15"/>
      <c r="D117969" s="12"/>
      <c r="E117969" s="12"/>
      <c r="F117969" s="13"/>
      <c r="G117969" s="12"/>
      <c r="H117969" s="12"/>
      <c r="I117969" s="12"/>
      <c r="J117969" s="12"/>
      <c r="K117969" s="12"/>
      <c r="L117969" s="208"/>
      <c r="M117969" s="209"/>
      <c r="N117969" s="209"/>
      <c r="O117969" s="209"/>
    </row>
    <row r="117970" spans="1:15" s="210" customFormat="1" x14ac:dyDescent="0.3">
      <c r="A117970" s="12"/>
      <c r="B117970" s="15"/>
      <c r="C117970" s="15"/>
      <c r="D117970" s="12"/>
      <c r="E117970" s="12"/>
      <c r="F117970" s="13"/>
      <c r="G117970" s="12"/>
      <c r="H117970" s="12"/>
      <c r="I117970" s="12"/>
      <c r="J117970" s="12"/>
      <c r="K117970" s="12"/>
      <c r="L117970" s="208"/>
      <c r="M117970" s="209"/>
      <c r="N117970" s="209"/>
      <c r="O117970" s="209"/>
    </row>
    <row r="117971" spans="1:15" s="210" customFormat="1" x14ac:dyDescent="0.3">
      <c r="A117971" s="12"/>
      <c r="B117971" s="15"/>
      <c r="C117971" s="15"/>
      <c r="D117971" s="12"/>
      <c r="E117971" s="12"/>
      <c r="F117971" s="13"/>
      <c r="G117971" s="12"/>
      <c r="H117971" s="12"/>
      <c r="I117971" s="12"/>
      <c r="J117971" s="12"/>
      <c r="K117971" s="12"/>
      <c r="L117971" s="208"/>
      <c r="M117971" s="209"/>
      <c r="N117971" s="209"/>
      <c r="O117971" s="209"/>
    </row>
    <row r="117972" spans="1:15" s="210" customFormat="1" x14ac:dyDescent="0.3">
      <c r="A117972" s="12"/>
      <c r="B117972" s="15"/>
      <c r="C117972" s="15"/>
      <c r="D117972" s="12"/>
      <c r="E117972" s="12"/>
      <c r="F117972" s="13"/>
      <c r="G117972" s="12"/>
      <c r="H117972" s="12"/>
      <c r="I117972" s="12"/>
      <c r="J117972" s="12"/>
      <c r="K117972" s="12"/>
      <c r="L117972" s="208"/>
      <c r="M117972" s="209"/>
      <c r="N117972" s="209"/>
      <c r="O117972" s="209"/>
    </row>
    <row r="117973" spans="1:15" s="210" customFormat="1" x14ac:dyDescent="0.3">
      <c r="A117973" s="12"/>
      <c r="B117973" s="15"/>
      <c r="C117973" s="15"/>
      <c r="D117973" s="12"/>
      <c r="E117973" s="12"/>
      <c r="F117973" s="13"/>
      <c r="G117973" s="12"/>
      <c r="H117973" s="12"/>
      <c r="I117973" s="12"/>
      <c r="J117973" s="12"/>
      <c r="K117973" s="12"/>
      <c r="L117973" s="208"/>
      <c r="M117973" s="209"/>
      <c r="N117973" s="209"/>
      <c r="O117973" s="209"/>
    </row>
    <row r="117974" spans="1:15" s="210" customFormat="1" x14ac:dyDescent="0.3">
      <c r="A117974" s="12"/>
      <c r="B117974" s="15"/>
      <c r="C117974" s="15"/>
      <c r="D117974" s="12"/>
      <c r="E117974" s="12"/>
      <c r="F117974" s="13"/>
      <c r="G117974" s="12"/>
      <c r="H117974" s="12"/>
      <c r="I117974" s="12"/>
      <c r="J117974" s="12"/>
      <c r="K117974" s="12"/>
      <c r="L117974" s="208"/>
      <c r="M117974" s="209"/>
      <c r="N117974" s="209"/>
      <c r="O117974" s="209"/>
    </row>
    <row r="117975" spans="1:15" s="210" customFormat="1" x14ac:dyDescent="0.3">
      <c r="A117975" s="12"/>
      <c r="B117975" s="15"/>
      <c r="C117975" s="15"/>
      <c r="D117975" s="12"/>
      <c r="E117975" s="12"/>
      <c r="F117975" s="13"/>
      <c r="G117975" s="12"/>
      <c r="H117975" s="12"/>
      <c r="I117975" s="12"/>
      <c r="J117975" s="12"/>
      <c r="K117975" s="12"/>
      <c r="L117975" s="208"/>
      <c r="M117975" s="209"/>
      <c r="N117975" s="209"/>
      <c r="O117975" s="209"/>
    </row>
    <row r="117976" spans="1:15" s="210" customFormat="1" x14ac:dyDescent="0.3">
      <c r="A117976" s="12"/>
      <c r="B117976" s="15"/>
      <c r="C117976" s="15"/>
      <c r="D117976" s="12"/>
      <c r="E117976" s="12"/>
      <c r="F117976" s="13"/>
      <c r="G117976" s="12"/>
      <c r="H117976" s="12"/>
      <c r="I117976" s="12"/>
      <c r="J117976" s="12"/>
      <c r="K117976" s="12"/>
      <c r="L117976" s="208"/>
      <c r="M117976" s="209"/>
      <c r="N117976" s="209"/>
      <c r="O117976" s="209"/>
    </row>
    <row r="117977" spans="1:15" s="210" customFormat="1" x14ac:dyDescent="0.3">
      <c r="A117977" s="12"/>
      <c r="B117977" s="15"/>
      <c r="C117977" s="15"/>
      <c r="D117977" s="12"/>
      <c r="E117977" s="12"/>
      <c r="F117977" s="13"/>
      <c r="G117977" s="12"/>
      <c r="H117977" s="12"/>
      <c r="I117977" s="12"/>
      <c r="J117977" s="12"/>
      <c r="K117977" s="12"/>
      <c r="L117977" s="208"/>
      <c r="M117977" s="209"/>
      <c r="N117977" s="209"/>
      <c r="O117977" s="209"/>
    </row>
    <row r="117978" spans="1:15" s="210" customFormat="1" x14ac:dyDescent="0.3">
      <c r="A117978" s="12"/>
      <c r="B117978" s="15"/>
      <c r="C117978" s="15"/>
      <c r="D117978" s="12"/>
      <c r="E117978" s="12"/>
      <c r="F117978" s="13"/>
      <c r="G117978" s="12"/>
      <c r="H117978" s="12"/>
      <c r="I117978" s="12"/>
      <c r="J117978" s="12"/>
      <c r="K117978" s="12"/>
      <c r="L117978" s="208"/>
      <c r="M117978" s="209"/>
      <c r="N117978" s="209"/>
      <c r="O117978" s="209"/>
    </row>
    <row r="117979" spans="1:15" s="210" customFormat="1" x14ac:dyDescent="0.3">
      <c r="A117979" s="12"/>
      <c r="B117979" s="15"/>
      <c r="C117979" s="15"/>
      <c r="D117979" s="12"/>
      <c r="E117979" s="12"/>
      <c r="F117979" s="13"/>
      <c r="G117979" s="12"/>
      <c r="H117979" s="12"/>
      <c r="I117979" s="12"/>
      <c r="J117979" s="12"/>
      <c r="K117979" s="12"/>
      <c r="L117979" s="208"/>
      <c r="M117979" s="209"/>
      <c r="N117979" s="209"/>
      <c r="O117979" s="209"/>
    </row>
    <row r="117980" spans="1:15" s="210" customFormat="1" x14ac:dyDescent="0.3">
      <c r="A117980" s="12"/>
      <c r="B117980" s="15"/>
      <c r="C117980" s="15"/>
      <c r="D117980" s="12"/>
      <c r="E117980" s="12"/>
      <c r="F117980" s="13"/>
      <c r="G117980" s="12"/>
      <c r="H117980" s="12"/>
      <c r="I117980" s="12"/>
      <c r="J117980" s="12"/>
      <c r="K117980" s="12"/>
      <c r="L117980" s="208"/>
      <c r="M117980" s="209"/>
      <c r="N117980" s="209"/>
      <c r="O117980" s="209"/>
    </row>
    <row r="117981" spans="1:15" s="210" customFormat="1" x14ac:dyDescent="0.3">
      <c r="A117981" s="12"/>
      <c r="B117981" s="15"/>
      <c r="C117981" s="15"/>
      <c r="D117981" s="12"/>
      <c r="E117981" s="12"/>
      <c r="F117981" s="13"/>
      <c r="G117981" s="12"/>
      <c r="H117981" s="12"/>
      <c r="I117981" s="12"/>
      <c r="J117981" s="12"/>
      <c r="K117981" s="12"/>
      <c r="L117981" s="208"/>
      <c r="M117981" s="209"/>
      <c r="N117981" s="209"/>
      <c r="O117981" s="209"/>
    </row>
    <row r="117982" spans="1:15" s="210" customFormat="1" x14ac:dyDescent="0.3">
      <c r="A117982" s="12"/>
      <c r="B117982" s="15"/>
      <c r="C117982" s="15"/>
      <c r="D117982" s="12"/>
      <c r="E117982" s="12"/>
      <c r="F117982" s="13"/>
      <c r="G117982" s="12"/>
      <c r="H117982" s="12"/>
      <c r="I117982" s="12"/>
      <c r="J117982" s="12"/>
      <c r="K117982" s="12"/>
      <c r="L117982" s="208"/>
      <c r="M117982" s="209"/>
      <c r="N117982" s="209"/>
      <c r="O117982" s="209"/>
    </row>
    <row r="117983" spans="1:15" s="210" customFormat="1" x14ac:dyDescent="0.3">
      <c r="A117983" s="12"/>
      <c r="B117983" s="15"/>
      <c r="C117983" s="15"/>
      <c r="D117983" s="12"/>
      <c r="E117983" s="12"/>
      <c r="F117983" s="13"/>
      <c r="G117983" s="12"/>
      <c r="H117983" s="12"/>
      <c r="I117983" s="12"/>
      <c r="J117983" s="12"/>
      <c r="K117983" s="12"/>
      <c r="L117983" s="208"/>
      <c r="M117983" s="209"/>
      <c r="N117983" s="209"/>
      <c r="O117983" s="209"/>
    </row>
    <row r="117984" spans="1:15" s="210" customFormat="1" x14ac:dyDescent="0.3">
      <c r="A117984" s="12"/>
      <c r="B117984" s="15"/>
      <c r="C117984" s="15"/>
      <c r="D117984" s="12"/>
      <c r="E117984" s="12"/>
      <c r="F117984" s="13"/>
      <c r="G117984" s="12"/>
      <c r="H117984" s="12"/>
      <c r="I117984" s="12"/>
      <c r="J117984" s="12"/>
      <c r="K117984" s="12"/>
      <c r="L117984" s="208"/>
      <c r="M117984" s="209"/>
      <c r="N117984" s="209"/>
      <c r="O117984" s="209"/>
    </row>
    <row r="117985" spans="1:15" s="210" customFormat="1" x14ac:dyDescent="0.3">
      <c r="A117985" s="12"/>
      <c r="B117985" s="15"/>
      <c r="C117985" s="15"/>
      <c r="D117985" s="12"/>
      <c r="E117985" s="12"/>
      <c r="F117985" s="13"/>
      <c r="G117985" s="12"/>
      <c r="H117985" s="12"/>
      <c r="I117985" s="12"/>
      <c r="J117985" s="12"/>
      <c r="K117985" s="12"/>
      <c r="L117985" s="208"/>
      <c r="M117985" s="209"/>
      <c r="N117985" s="209"/>
      <c r="O117985" s="209"/>
    </row>
    <row r="117986" spans="1:15" s="210" customFormat="1" x14ac:dyDescent="0.3">
      <c r="A117986" s="12"/>
      <c r="B117986" s="15"/>
      <c r="C117986" s="15"/>
      <c r="D117986" s="12"/>
      <c r="E117986" s="12"/>
      <c r="F117986" s="13"/>
      <c r="G117986" s="12"/>
      <c r="H117986" s="12"/>
      <c r="I117986" s="12"/>
      <c r="J117986" s="12"/>
      <c r="K117986" s="12"/>
      <c r="L117986" s="208"/>
      <c r="M117986" s="209"/>
      <c r="N117986" s="209"/>
      <c r="O117986" s="209"/>
    </row>
    <row r="117987" spans="1:15" s="210" customFormat="1" x14ac:dyDescent="0.3">
      <c r="A117987" s="12"/>
      <c r="B117987" s="15"/>
      <c r="C117987" s="15"/>
      <c r="D117987" s="12"/>
      <c r="E117987" s="12"/>
      <c r="F117987" s="13"/>
      <c r="G117987" s="12"/>
      <c r="H117987" s="12"/>
      <c r="I117987" s="12"/>
      <c r="J117987" s="12"/>
      <c r="K117987" s="12"/>
      <c r="L117987" s="208"/>
      <c r="M117987" s="209"/>
      <c r="N117987" s="209"/>
      <c r="O117987" s="209"/>
    </row>
    <row r="117988" spans="1:15" s="210" customFormat="1" x14ac:dyDescent="0.3">
      <c r="A117988" s="12"/>
      <c r="B117988" s="15"/>
      <c r="C117988" s="15"/>
      <c r="D117988" s="12"/>
      <c r="E117988" s="12"/>
      <c r="F117988" s="13"/>
      <c r="G117988" s="12"/>
      <c r="H117988" s="12"/>
      <c r="I117988" s="12"/>
      <c r="J117988" s="12"/>
      <c r="K117988" s="12"/>
      <c r="L117988" s="208"/>
      <c r="M117988" s="209"/>
      <c r="N117988" s="209"/>
      <c r="O117988" s="209"/>
    </row>
    <row r="117989" spans="1:15" s="210" customFormat="1" x14ac:dyDescent="0.3">
      <c r="A117989" s="12"/>
      <c r="B117989" s="15"/>
      <c r="C117989" s="15"/>
      <c r="D117989" s="12"/>
      <c r="E117989" s="12"/>
      <c r="F117989" s="13"/>
      <c r="G117989" s="12"/>
      <c r="H117989" s="12"/>
      <c r="I117989" s="12"/>
      <c r="J117989" s="12"/>
      <c r="K117989" s="12"/>
      <c r="L117989" s="208"/>
      <c r="M117989" s="209"/>
      <c r="N117989" s="209"/>
      <c r="O117989" s="209"/>
    </row>
    <row r="117990" spans="1:15" s="210" customFormat="1" x14ac:dyDescent="0.3">
      <c r="A117990" s="12"/>
      <c r="B117990" s="15"/>
      <c r="C117990" s="15"/>
      <c r="D117990" s="12"/>
      <c r="E117990" s="12"/>
      <c r="F117990" s="13"/>
      <c r="G117990" s="12"/>
      <c r="H117990" s="12"/>
      <c r="I117990" s="12"/>
      <c r="J117990" s="12"/>
      <c r="K117990" s="12"/>
      <c r="L117990" s="208"/>
      <c r="M117990" s="209"/>
      <c r="N117990" s="209"/>
      <c r="O117990" s="209"/>
    </row>
    <row r="117991" spans="1:15" s="210" customFormat="1" x14ac:dyDescent="0.3">
      <c r="A117991" s="12"/>
      <c r="B117991" s="15"/>
      <c r="C117991" s="15"/>
      <c r="D117991" s="12"/>
      <c r="E117991" s="12"/>
      <c r="F117991" s="13"/>
      <c r="G117991" s="12"/>
      <c r="H117991" s="12"/>
      <c r="I117991" s="12"/>
      <c r="J117991" s="12"/>
      <c r="K117991" s="12"/>
      <c r="L117991" s="208"/>
      <c r="M117991" s="209"/>
      <c r="N117991" s="209"/>
      <c r="O117991" s="209"/>
    </row>
    <row r="117992" spans="1:15" s="210" customFormat="1" x14ac:dyDescent="0.3">
      <c r="A117992" s="12"/>
      <c r="B117992" s="15"/>
      <c r="C117992" s="15"/>
      <c r="D117992" s="12"/>
      <c r="E117992" s="12"/>
      <c r="F117992" s="13"/>
      <c r="G117992" s="12"/>
      <c r="H117992" s="12"/>
      <c r="I117992" s="12"/>
      <c r="J117992" s="12"/>
      <c r="K117992" s="12"/>
      <c r="L117992" s="208"/>
      <c r="M117992" s="209"/>
      <c r="N117992" s="209"/>
      <c r="O117992" s="209"/>
    </row>
    <row r="117993" spans="1:15" s="210" customFormat="1" x14ac:dyDescent="0.3">
      <c r="A117993" s="12"/>
      <c r="B117993" s="15"/>
      <c r="C117993" s="15"/>
      <c r="D117993" s="12"/>
      <c r="E117993" s="12"/>
      <c r="F117993" s="13"/>
      <c r="G117993" s="12"/>
      <c r="H117993" s="12"/>
      <c r="I117993" s="12"/>
      <c r="J117993" s="12"/>
      <c r="K117993" s="12"/>
      <c r="L117993" s="208"/>
      <c r="M117993" s="209"/>
      <c r="N117993" s="209"/>
      <c r="O117993" s="209"/>
    </row>
    <row r="117994" spans="1:15" s="210" customFormat="1" x14ac:dyDescent="0.3">
      <c r="A117994" s="12"/>
      <c r="B117994" s="15"/>
      <c r="C117994" s="15"/>
      <c r="D117994" s="12"/>
      <c r="E117994" s="12"/>
      <c r="F117994" s="13"/>
      <c r="G117994" s="12"/>
      <c r="H117994" s="12"/>
      <c r="I117994" s="12"/>
      <c r="J117994" s="12"/>
      <c r="K117994" s="12"/>
      <c r="L117994" s="208"/>
      <c r="M117994" s="209"/>
      <c r="N117994" s="209"/>
      <c r="O117994" s="209"/>
    </row>
    <row r="117995" spans="1:15" s="210" customFormat="1" x14ac:dyDescent="0.3">
      <c r="A117995" s="12"/>
      <c r="B117995" s="15"/>
      <c r="C117995" s="15"/>
      <c r="D117995" s="12"/>
      <c r="E117995" s="12"/>
      <c r="F117995" s="13"/>
      <c r="G117995" s="12"/>
      <c r="H117995" s="12"/>
      <c r="I117995" s="12"/>
      <c r="J117995" s="12"/>
      <c r="K117995" s="12"/>
      <c r="L117995" s="208"/>
      <c r="M117995" s="209"/>
      <c r="N117995" s="209"/>
      <c r="O117995" s="209"/>
    </row>
    <row r="117996" spans="1:15" s="210" customFormat="1" x14ac:dyDescent="0.3">
      <c r="A117996" s="12"/>
      <c r="B117996" s="15"/>
      <c r="C117996" s="15"/>
      <c r="D117996" s="12"/>
      <c r="E117996" s="12"/>
      <c r="F117996" s="13"/>
      <c r="G117996" s="12"/>
      <c r="H117996" s="12"/>
      <c r="I117996" s="12"/>
      <c r="J117996" s="12"/>
      <c r="K117996" s="12"/>
      <c r="L117996" s="208"/>
      <c r="M117996" s="209"/>
      <c r="N117996" s="209"/>
      <c r="O117996" s="209"/>
    </row>
    <row r="117997" spans="1:15" s="210" customFormat="1" x14ac:dyDescent="0.3">
      <c r="A117997" s="12"/>
      <c r="B117997" s="15"/>
      <c r="C117997" s="15"/>
      <c r="D117997" s="12"/>
      <c r="E117997" s="12"/>
      <c r="F117997" s="13"/>
      <c r="G117997" s="12"/>
      <c r="H117997" s="12"/>
      <c r="I117997" s="12"/>
      <c r="J117997" s="12"/>
      <c r="K117997" s="12"/>
      <c r="L117997" s="208"/>
      <c r="M117997" s="209"/>
      <c r="N117997" s="209"/>
      <c r="O117997" s="209"/>
    </row>
    <row r="117998" spans="1:15" s="210" customFormat="1" x14ac:dyDescent="0.3">
      <c r="A117998" s="12"/>
      <c r="B117998" s="15"/>
      <c r="C117998" s="15"/>
      <c r="D117998" s="12"/>
      <c r="E117998" s="12"/>
      <c r="F117998" s="13"/>
      <c r="G117998" s="12"/>
      <c r="H117998" s="12"/>
      <c r="I117998" s="12"/>
      <c r="J117998" s="12"/>
      <c r="K117998" s="12"/>
      <c r="L117998" s="208"/>
      <c r="M117998" s="209"/>
      <c r="N117998" s="209"/>
      <c r="O117998" s="209"/>
    </row>
    <row r="117999" spans="1:15" s="210" customFormat="1" x14ac:dyDescent="0.3">
      <c r="A117999" s="12"/>
      <c r="B117999" s="15"/>
      <c r="C117999" s="15"/>
      <c r="D117999" s="12"/>
      <c r="E117999" s="12"/>
      <c r="F117999" s="13"/>
      <c r="G117999" s="12"/>
      <c r="H117999" s="12"/>
      <c r="I117999" s="12"/>
      <c r="J117999" s="12"/>
      <c r="K117999" s="12"/>
      <c r="L117999" s="208"/>
      <c r="M117999" s="209"/>
      <c r="N117999" s="209"/>
      <c r="O117999" s="209"/>
    </row>
    <row r="118000" spans="1:15" s="210" customFormat="1" x14ac:dyDescent="0.3">
      <c r="A118000" s="12"/>
      <c r="B118000" s="15"/>
      <c r="C118000" s="15"/>
      <c r="D118000" s="12"/>
      <c r="E118000" s="12"/>
      <c r="F118000" s="13"/>
      <c r="G118000" s="12"/>
      <c r="H118000" s="12"/>
      <c r="I118000" s="12"/>
      <c r="J118000" s="12"/>
      <c r="K118000" s="12"/>
      <c r="L118000" s="208"/>
      <c r="M118000" s="209"/>
      <c r="N118000" s="209"/>
      <c r="O118000" s="209"/>
    </row>
    <row r="118001" spans="1:15" s="210" customFormat="1" x14ac:dyDescent="0.3">
      <c r="A118001" s="12"/>
      <c r="B118001" s="15"/>
      <c r="C118001" s="15"/>
      <c r="D118001" s="12"/>
      <c r="E118001" s="12"/>
      <c r="F118001" s="13"/>
      <c r="G118001" s="12"/>
      <c r="H118001" s="12"/>
      <c r="I118001" s="12"/>
      <c r="J118001" s="12"/>
      <c r="K118001" s="12"/>
      <c r="L118001" s="208"/>
      <c r="M118001" s="209"/>
      <c r="N118001" s="209"/>
      <c r="O118001" s="209"/>
    </row>
    <row r="118002" spans="1:15" s="210" customFormat="1" x14ac:dyDescent="0.3">
      <c r="A118002" s="12"/>
      <c r="B118002" s="15"/>
      <c r="C118002" s="15"/>
      <c r="D118002" s="12"/>
      <c r="E118002" s="12"/>
      <c r="F118002" s="13"/>
      <c r="G118002" s="12"/>
      <c r="H118002" s="12"/>
      <c r="I118002" s="12"/>
      <c r="J118002" s="12"/>
      <c r="K118002" s="12"/>
      <c r="L118002" s="208"/>
      <c r="M118002" s="209"/>
      <c r="N118002" s="209"/>
      <c r="O118002" s="209"/>
    </row>
    <row r="118003" spans="1:15" s="210" customFormat="1" x14ac:dyDescent="0.3">
      <c r="A118003" s="12"/>
      <c r="B118003" s="15"/>
      <c r="C118003" s="15"/>
      <c r="D118003" s="12"/>
      <c r="E118003" s="12"/>
      <c r="F118003" s="13"/>
      <c r="G118003" s="12"/>
      <c r="H118003" s="12"/>
      <c r="I118003" s="12"/>
      <c r="J118003" s="12"/>
      <c r="K118003" s="12"/>
      <c r="L118003" s="208"/>
      <c r="M118003" s="209"/>
      <c r="N118003" s="209"/>
      <c r="O118003" s="209"/>
    </row>
    <row r="118004" spans="1:15" s="210" customFormat="1" x14ac:dyDescent="0.3">
      <c r="A118004" s="12"/>
      <c r="B118004" s="15"/>
      <c r="C118004" s="15"/>
      <c r="D118004" s="12"/>
      <c r="E118004" s="12"/>
      <c r="F118004" s="13"/>
      <c r="G118004" s="12"/>
      <c r="H118004" s="12"/>
      <c r="I118004" s="12"/>
      <c r="J118004" s="12"/>
      <c r="K118004" s="12"/>
      <c r="L118004" s="208"/>
      <c r="M118004" s="209"/>
      <c r="N118004" s="209"/>
      <c r="O118004" s="209"/>
    </row>
    <row r="118005" spans="1:15" s="210" customFormat="1" x14ac:dyDescent="0.3">
      <c r="A118005" s="12"/>
      <c r="B118005" s="15"/>
      <c r="C118005" s="15"/>
      <c r="D118005" s="12"/>
      <c r="E118005" s="12"/>
      <c r="F118005" s="13"/>
      <c r="G118005" s="12"/>
      <c r="H118005" s="12"/>
      <c r="I118005" s="12"/>
      <c r="J118005" s="12"/>
      <c r="K118005" s="12"/>
      <c r="L118005" s="208"/>
      <c r="M118005" s="209"/>
      <c r="N118005" s="209"/>
      <c r="O118005" s="209"/>
    </row>
    <row r="118006" spans="1:15" s="210" customFormat="1" x14ac:dyDescent="0.3">
      <c r="A118006" s="12"/>
      <c r="B118006" s="15"/>
      <c r="C118006" s="15"/>
      <c r="D118006" s="12"/>
      <c r="E118006" s="12"/>
      <c r="F118006" s="13"/>
      <c r="G118006" s="12"/>
      <c r="H118006" s="12"/>
      <c r="I118006" s="12"/>
      <c r="J118006" s="12"/>
      <c r="K118006" s="12"/>
      <c r="L118006" s="208"/>
      <c r="M118006" s="209"/>
      <c r="N118006" s="209"/>
      <c r="O118006" s="209"/>
    </row>
    <row r="118007" spans="1:15" s="210" customFormat="1" x14ac:dyDescent="0.3">
      <c r="A118007" s="12"/>
      <c r="B118007" s="15"/>
      <c r="C118007" s="15"/>
      <c r="D118007" s="12"/>
      <c r="E118007" s="12"/>
      <c r="F118007" s="13"/>
      <c r="G118007" s="12"/>
      <c r="H118007" s="12"/>
      <c r="I118007" s="12"/>
      <c r="J118007" s="12"/>
      <c r="K118007" s="12"/>
      <c r="L118007" s="208"/>
      <c r="M118007" s="209"/>
      <c r="N118007" s="209"/>
      <c r="O118007" s="209"/>
    </row>
    <row r="118008" spans="1:15" s="210" customFormat="1" x14ac:dyDescent="0.3">
      <c r="A118008" s="12"/>
      <c r="B118008" s="15"/>
      <c r="C118008" s="15"/>
      <c r="D118008" s="12"/>
      <c r="E118008" s="12"/>
      <c r="F118008" s="13"/>
      <c r="G118008" s="12"/>
      <c r="H118008" s="12"/>
      <c r="I118008" s="12"/>
      <c r="J118008" s="12"/>
      <c r="K118008" s="12"/>
      <c r="L118008" s="208"/>
      <c r="M118008" s="209"/>
      <c r="N118008" s="209"/>
      <c r="O118008" s="209"/>
    </row>
    <row r="118009" spans="1:15" s="210" customFormat="1" x14ac:dyDescent="0.3">
      <c r="A118009" s="12"/>
      <c r="B118009" s="15"/>
      <c r="C118009" s="15"/>
      <c r="D118009" s="12"/>
      <c r="E118009" s="12"/>
      <c r="F118009" s="13"/>
      <c r="G118009" s="12"/>
      <c r="H118009" s="12"/>
      <c r="I118009" s="12"/>
      <c r="J118009" s="12"/>
      <c r="K118009" s="12"/>
      <c r="L118009" s="208"/>
      <c r="M118009" s="209"/>
      <c r="N118009" s="209"/>
      <c r="O118009" s="209"/>
    </row>
    <row r="118010" spans="1:15" s="210" customFormat="1" x14ac:dyDescent="0.3">
      <c r="A118010" s="12"/>
      <c r="B118010" s="15"/>
      <c r="C118010" s="15"/>
      <c r="D118010" s="12"/>
      <c r="E118010" s="12"/>
      <c r="F118010" s="13"/>
      <c r="G118010" s="12"/>
      <c r="H118010" s="12"/>
      <c r="I118010" s="12"/>
      <c r="J118010" s="12"/>
      <c r="K118010" s="12"/>
      <c r="L118010" s="208"/>
      <c r="M118010" s="209"/>
      <c r="N118010" s="209"/>
      <c r="O118010" s="209"/>
    </row>
    <row r="118011" spans="1:15" s="210" customFormat="1" x14ac:dyDescent="0.3">
      <c r="A118011" s="12"/>
      <c r="B118011" s="15"/>
      <c r="C118011" s="15"/>
      <c r="D118011" s="12"/>
      <c r="E118011" s="12"/>
      <c r="F118011" s="13"/>
      <c r="G118011" s="12"/>
      <c r="H118011" s="12"/>
      <c r="I118011" s="12"/>
      <c r="J118011" s="12"/>
      <c r="K118011" s="12"/>
      <c r="L118011" s="208"/>
      <c r="M118011" s="209"/>
      <c r="N118011" s="209"/>
      <c r="O118011" s="209"/>
    </row>
    <row r="118012" spans="1:15" s="210" customFormat="1" x14ac:dyDescent="0.3">
      <c r="A118012" s="12"/>
      <c r="B118012" s="15"/>
      <c r="C118012" s="15"/>
      <c r="D118012" s="12"/>
      <c r="E118012" s="12"/>
      <c r="F118012" s="13"/>
      <c r="G118012" s="12"/>
      <c r="H118012" s="12"/>
      <c r="I118012" s="12"/>
      <c r="J118012" s="12"/>
      <c r="K118012" s="12"/>
      <c r="L118012" s="208"/>
      <c r="M118012" s="209"/>
      <c r="N118012" s="209"/>
      <c r="O118012" s="209"/>
    </row>
    <row r="118013" spans="1:15" s="210" customFormat="1" x14ac:dyDescent="0.3">
      <c r="A118013" s="12"/>
      <c r="B118013" s="15"/>
      <c r="C118013" s="15"/>
      <c r="D118013" s="12"/>
      <c r="E118013" s="12"/>
      <c r="F118013" s="13"/>
      <c r="G118013" s="12"/>
      <c r="H118013" s="12"/>
      <c r="I118013" s="12"/>
      <c r="J118013" s="12"/>
      <c r="K118013" s="12"/>
      <c r="L118013" s="208"/>
      <c r="M118013" s="209"/>
      <c r="N118013" s="209"/>
      <c r="O118013" s="209"/>
    </row>
    <row r="118014" spans="1:15" s="210" customFormat="1" x14ac:dyDescent="0.3">
      <c r="A118014" s="12"/>
      <c r="B118014" s="15"/>
      <c r="C118014" s="15"/>
      <c r="D118014" s="12"/>
      <c r="E118014" s="12"/>
      <c r="F118014" s="13"/>
      <c r="G118014" s="12"/>
      <c r="H118014" s="12"/>
      <c r="I118014" s="12"/>
      <c r="J118014" s="12"/>
      <c r="K118014" s="12"/>
      <c r="L118014" s="208"/>
      <c r="M118014" s="209"/>
      <c r="N118014" s="209"/>
      <c r="O118014" s="209"/>
    </row>
    <row r="118015" spans="1:15" s="210" customFormat="1" x14ac:dyDescent="0.3">
      <c r="A118015" s="12"/>
      <c r="B118015" s="15"/>
      <c r="C118015" s="15"/>
      <c r="D118015" s="12"/>
      <c r="E118015" s="12"/>
      <c r="F118015" s="13"/>
      <c r="G118015" s="12"/>
      <c r="H118015" s="12"/>
      <c r="I118015" s="12"/>
      <c r="J118015" s="12"/>
      <c r="K118015" s="12"/>
      <c r="L118015" s="208"/>
      <c r="M118015" s="209"/>
      <c r="N118015" s="209"/>
      <c r="O118015" s="209"/>
    </row>
    <row r="118016" spans="1:15" s="210" customFormat="1" x14ac:dyDescent="0.3">
      <c r="A118016" s="12"/>
      <c r="B118016" s="15"/>
      <c r="C118016" s="15"/>
      <c r="D118016" s="12"/>
      <c r="E118016" s="12"/>
      <c r="F118016" s="13"/>
      <c r="G118016" s="12"/>
      <c r="H118016" s="12"/>
      <c r="I118016" s="12"/>
      <c r="J118016" s="12"/>
      <c r="K118016" s="12"/>
      <c r="L118016" s="208"/>
      <c r="M118016" s="209"/>
      <c r="N118016" s="209"/>
      <c r="O118016" s="209"/>
    </row>
    <row r="118017" spans="1:15" s="210" customFormat="1" x14ac:dyDescent="0.3">
      <c r="A118017" s="12"/>
      <c r="B118017" s="15"/>
      <c r="C118017" s="15"/>
      <c r="D118017" s="12"/>
      <c r="E118017" s="12"/>
      <c r="F118017" s="13"/>
      <c r="G118017" s="12"/>
      <c r="H118017" s="12"/>
      <c r="I118017" s="12"/>
      <c r="J118017" s="12"/>
      <c r="K118017" s="12"/>
      <c r="L118017" s="208"/>
      <c r="M118017" s="209"/>
      <c r="N118017" s="209"/>
      <c r="O118017" s="209"/>
    </row>
    <row r="118018" spans="1:15" s="210" customFormat="1" x14ac:dyDescent="0.3">
      <c r="A118018" s="12"/>
      <c r="B118018" s="15"/>
      <c r="C118018" s="15"/>
      <c r="D118018" s="12"/>
      <c r="E118018" s="12"/>
      <c r="F118018" s="13"/>
      <c r="G118018" s="12"/>
      <c r="H118018" s="12"/>
      <c r="I118018" s="12"/>
      <c r="J118018" s="12"/>
      <c r="K118018" s="12"/>
      <c r="L118018" s="208"/>
      <c r="M118018" s="209"/>
      <c r="N118018" s="209"/>
      <c r="O118018" s="209"/>
    </row>
    <row r="118019" spans="1:15" s="210" customFormat="1" x14ac:dyDescent="0.3">
      <c r="A118019" s="12"/>
      <c r="B118019" s="15"/>
      <c r="C118019" s="15"/>
      <c r="D118019" s="12"/>
      <c r="E118019" s="12"/>
      <c r="F118019" s="13"/>
      <c r="G118019" s="12"/>
      <c r="H118019" s="12"/>
      <c r="I118019" s="12"/>
      <c r="J118019" s="12"/>
      <c r="K118019" s="12"/>
      <c r="L118019" s="208"/>
      <c r="M118019" s="209"/>
      <c r="N118019" s="209"/>
      <c r="O118019" s="209"/>
    </row>
    <row r="118020" spans="1:15" s="210" customFormat="1" x14ac:dyDescent="0.3">
      <c r="A118020" s="12"/>
      <c r="B118020" s="15"/>
      <c r="C118020" s="15"/>
      <c r="D118020" s="12"/>
      <c r="E118020" s="12"/>
      <c r="F118020" s="13"/>
      <c r="G118020" s="12"/>
      <c r="H118020" s="12"/>
      <c r="I118020" s="12"/>
      <c r="J118020" s="12"/>
      <c r="K118020" s="12"/>
      <c r="L118020" s="208"/>
      <c r="M118020" s="209"/>
      <c r="N118020" s="209"/>
      <c r="O118020" s="209"/>
    </row>
    <row r="118021" spans="1:15" s="210" customFormat="1" x14ac:dyDescent="0.3">
      <c r="A118021" s="12"/>
      <c r="B118021" s="15"/>
      <c r="C118021" s="15"/>
      <c r="D118021" s="12"/>
      <c r="E118021" s="12"/>
      <c r="F118021" s="13"/>
      <c r="G118021" s="12"/>
      <c r="H118021" s="12"/>
      <c r="I118021" s="12"/>
      <c r="J118021" s="12"/>
      <c r="K118021" s="12"/>
      <c r="L118021" s="208"/>
      <c r="M118021" s="209"/>
      <c r="N118021" s="209"/>
      <c r="O118021" s="209"/>
    </row>
    <row r="118022" spans="1:15" s="210" customFormat="1" x14ac:dyDescent="0.3">
      <c r="A118022" s="12"/>
      <c r="B118022" s="15"/>
      <c r="C118022" s="15"/>
      <c r="D118022" s="12"/>
      <c r="E118022" s="12"/>
      <c r="F118022" s="13"/>
      <c r="G118022" s="12"/>
      <c r="H118022" s="12"/>
      <c r="I118022" s="12"/>
      <c r="J118022" s="12"/>
      <c r="K118022" s="12"/>
      <c r="L118022" s="208"/>
      <c r="M118022" s="209"/>
      <c r="N118022" s="209"/>
      <c r="O118022" s="209"/>
    </row>
    <row r="118023" spans="1:15" s="210" customFormat="1" x14ac:dyDescent="0.3">
      <c r="A118023" s="12"/>
      <c r="B118023" s="15"/>
      <c r="C118023" s="15"/>
      <c r="D118023" s="12"/>
      <c r="E118023" s="12"/>
      <c r="F118023" s="13"/>
      <c r="G118023" s="12"/>
      <c r="H118023" s="12"/>
      <c r="I118023" s="12"/>
      <c r="J118023" s="12"/>
      <c r="K118023" s="12"/>
      <c r="L118023" s="208"/>
      <c r="M118023" s="209"/>
      <c r="N118023" s="209"/>
      <c r="O118023" s="209"/>
    </row>
    <row r="118024" spans="1:15" s="210" customFormat="1" x14ac:dyDescent="0.3">
      <c r="A118024" s="12"/>
      <c r="B118024" s="15"/>
      <c r="C118024" s="15"/>
      <c r="D118024" s="12"/>
      <c r="E118024" s="12"/>
      <c r="F118024" s="13"/>
      <c r="G118024" s="12"/>
      <c r="H118024" s="12"/>
      <c r="I118024" s="12"/>
      <c r="J118024" s="12"/>
      <c r="K118024" s="12"/>
      <c r="L118024" s="208"/>
      <c r="M118024" s="209"/>
      <c r="N118024" s="209"/>
      <c r="O118024" s="209"/>
    </row>
    <row r="118025" spans="1:15" s="210" customFormat="1" x14ac:dyDescent="0.3">
      <c r="A118025" s="12"/>
      <c r="B118025" s="15"/>
      <c r="C118025" s="15"/>
      <c r="D118025" s="12"/>
      <c r="E118025" s="12"/>
      <c r="F118025" s="13"/>
      <c r="G118025" s="12"/>
      <c r="H118025" s="12"/>
      <c r="I118025" s="12"/>
      <c r="J118025" s="12"/>
      <c r="K118025" s="12"/>
      <c r="L118025" s="208"/>
      <c r="M118025" s="209"/>
      <c r="N118025" s="209"/>
      <c r="O118025" s="209"/>
    </row>
    <row r="118026" spans="1:15" s="210" customFormat="1" x14ac:dyDescent="0.3">
      <c r="A118026" s="12"/>
      <c r="B118026" s="15"/>
      <c r="C118026" s="15"/>
      <c r="D118026" s="12"/>
      <c r="E118026" s="12"/>
      <c r="F118026" s="13"/>
      <c r="G118026" s="12"/>
      <c r="H118026" s="12"/>
      <c r="I118026" s="12"/>
      <c r="J118026" s="12"/>
      <c r="K118026" s="12"/>
      <c r="L118026" s="208"/>
      <c r="M118026" s="209"/>
      <c r="N118026" s="209"/>
      <c r="O118026" s="209"/>
    </row>
    <row r="118027" spans="1:15" s="210" customFormat="1" x14ac:dyDescent="0.3">
      <c r="A118027" s="12"/>
      <c r="B118027" s="15"/>
      <c r="C118027" s="15"/>
      <c r="D118027" s="12"/>
      <c r="E118027" s="12"/>
      <c r="F118027" s="13"/>
      <c r="G118027" s="12"/>
      <c r="H118027" s="12"/>
      <c r="I118027" s="12"/>
      <c r="J118027" s="12"/>
      <c r="K118027" s="12"/>
      <c r="L118027" s="208"/>
      <c r="M118027" s="209"/>
      <c r="N118027" s="209"/>
      <c r="O118027" s="209"/>
    </row>
    <row r="118028" spans="1:15" s="210" customFormat="1" x14ac:dyDescent="0.3">
      <c r="A118028" s="12"/>
      <c r="B118028" s="15"/>
      <c r="C118028" s="15"/>
      <c r="D118028" s="12"/>
      <c r="E118028" s="12"/>
      <c r="F118028" s="13"/>
      <c r="G118028" s="12"/>
      <c r="H118028" s="12"/>
      <c r="I118028" s="12"/>
      <c r="J118028" s="12"/>
      <c r="K118028" s="12"/>
      <c r="L118028" s="208"/>
      <c r="M118028" s="209"/>
      <c r="N118028" s="209"/>
      <c r="O118028" s="209"/>
    </row>
    <row r="118029" spans="1:15" s="210" customFormat="1" x14ac:dyDescent="0.3">
      <c r="A118029" s="12"/>
      <c r="B118029" s="15"/>
      <c r="C118029" s="15"/>
      <c r="D118029" s="12"/>
      <c r="E118029" s="12"/>
      <c r="F118029" s="13"/>
      <c r="G118029" s="12"/>
      <c r="H118029" s="12"/>
      <c r="I118029" s="12"/>
      <c r="J118029" s="12"/>
      <c r="K118029" s="12"/>
      <c r="L118029" s="208"/>
      <c r="M118029" s="209"/>
      <c r="N118029" s="209"/>
      <c r="O118029" s="209"/>
    </row>
    <row r="118030" spans="1:15" s="210" customFormat="1" x14ac:dyDescent="0.3">
      <c r="A118030" s="12"/>
      <c r="B118030" s="15"/>
      <c r="C118030" s="15"/>
      <c r="D118030" s="12"/>
      <c r="E118030" s="12"/>
      <c r="F118030" s="13"/>
      <c r="G118030" s="12"/>
      <c r="H118030" s="12"/>
      <c r="I118030" s="12"/>
      <c r="J118030" s="12"/>
      <c r="K118030" s="12"/>
      <c r="L118030" s="208"/>
      <c r="M118030" s="209"/>
      <c r="N118030" s="209"/>
      <c r="O118030" s="209"/>
    </row>
    <row r="118031" spans="1:15" s="210" customFormat="1" x14ac:dyDescent="0.3">
      <c r="A118031" s="12"/>
      <c r="B118031" s="15"/>
      <c r="C118031" s="15"/>
      <c r="D118031" s="12"/>
      <c r="E118031" s="12"/>
      <c r="F118031" s="13"/>
      <c r="G118031" s="12"/>
      <c r="H118031" s="12"/>
      <c r="I118031" s="12"/>
      <c r="J118031" s="12"/>
      <c r="K118031" s="12"/>
      <c r="L118031" s="208"/>
      <c r="M118031" s="209"/>
      <c r="N118031" s="209"/>
      <c r="O118031" s="209"/>
    </row>
    <row r="118032" spans="1:15" s="210" customFormat="1" x14ac:dyDescent="0.3">
      <c r="A118032" s="12"/>
      <c r="B118032" s="15"/>
      <c r="C118032" s="15"/>
      <c r="D118032" s="12"/>
      <c r="E118032" s="12"/>
      <c r="F118032" s="13"/>
      <c r="G118032" s="12"/>
      <c r="H118032" s="12"/>
      <c r="I118032" s="12"/>
      <c r="J118032" s="12"/>
      <c r="K118032" s="12"/>
      <c r="L118032" s="208"/>
      <c r="M118032" s="209"/>
      <c r="N118032" s="209"/>
      <c r="O118032" s="209"/>
    </row>
    <row r="118033" spans="1:15" s="210" customFormat="1" x14ac:dyDescent="0.3">
      <c r="A118033" s="12"/>
      <c r="B118033" s="15"/>
      <c r="C118033" s="15"/>
      <c r="D118033" s="12"/>
      <c r="E118033" s="12"/>
      <c r="F118033" s="13"/>
      <c r="G118033" s="12"/>
      <c r="H118033" s="12"/>
      <c r="I118033" s="12"/>
      <c r="J118033" s="12"/>
      <c r="K118033" s="12"/>
      <c r="L118033" s="208"/>
      <c r="M118033" s="209"/>
      <c r="N118033" s="209"/>
      <c r="O118033" s="209"/>
    </row>
    <row r="118034" spans="1:15" s="210" customFormat="1" x14ac:dyDescent="0.3">
      <c r="A118034" s="12"/>
      <c r="B118034" s="15"/>
      <c r="C118034" s="15"/>
      <c r="D118034" s="12"/>
      <c r="E118034" s="12"/>
      <c r="F118034" s="13"/>
      <c r="G118034" s="12"/>
      <c r="H118034" s="12"/>
      <c r="I118034" s="12"/>
      <c r="J118034" s="12"/>
      <c r="K118034" s="12"/>
      <c r="L118034" s="208"/>
      <c r="M118034" s="209"/>
      <c r="N118034" s="209"/>
      <c r="O118034" s="209"/>
    </row>
    <row r="118035" spans="1:15" s="210" customFormat="1" x14ac:dyDescent="0.3">
      <c r="A118035" s="12"/>
      <c r="B118035" s="15"/>
      <c r="C118035" s="15"/>
      <c r="D118035" s="12"/>
      <c r="E118035" s="12"/>
      <c r="F118035" s="13"/>
      <c r="G118035" s="12"/>
      <c r="H118035" s="12"/>
      <c r="I118035" s="12"/>
      <c r="J118035" s="12"/>
      <c r="K118035" s="12"/>
      <c r="L118035" s="208"/>
      <c r="M118035" s="209"/>
      <c r="N118035" s="209"/>
      <c r="O118035" s="209"/>
    </row>
    <row r="118036" spans="1:15" s="210" customFormat="1" x14ac:dyDescent="0.3">
      <c r="A118036" s="12"/>
      <c r="B118036" s="15"/>
      <c r="C118036" s="15"/>
      <c r="D118036" s="12"/>
      <c r="E118036" s="12"/>
      <c r="F118036" s="13"/>
      <c r="G118036" s="12"/>
      <c r="H118036" s="12"/>
      <c r="I118036" s="12"/>
      <c r="J118036" s="12"/>
      <c r="K118036" s="12"/>
      <c r="L118036" s="208"/>
      <c r="M118036" s="209"/>
      <c r="N118036" s="209"/>
      <c r="O118036" s="209"/>
    </row>
    <row r="118037" spans="1:15" s="210" customFormat="1" x14ac:dyDescent="0.3">
      <c r="A118037" s="12"/>
      <c r="B118037" s="15"/>
      <c r="C118037" s="15"/>
      <c r="D118037" s="12"/>
      <c r="E118037" s="12"/>
      <c r="F118037" s="13"/>
      <c r="G118037" s="12"/>
      <c r="H118037" s="12"/>
      <c r="I118037" s="12"/>
      <c r="J118037" s="12"/>
      <c r="K118037" s="12"/>
      <c r="L118037" s="208"/>
      <c r="M118037" s="209"/>
      <c r="N118037" s="209"/>
      <c r="O118037" s="209"/>
    </row>
    <row r="118038" spans="1:15" s="210" customFormat="1" x14ac:dyDescent="0.3">
      <c r="A118038" s="12"/>
      <c r="B118038" s="15"/>
      <c r="C118038" s="15"/>
      <c r="D118038" s="12"/>
      <c r="E118038" s="12"/>
      <c r="F118038" s="13"/>
      <c r="G118038" s="12"/>
      <c r="H118038" s="12"/>
      <c r="I118038" s="12"/>
      <c r="J118038" s="12"/>
      <c r="K118038" s="12"/>
      <c r="L118038" s="208"/>
      <c r="M118038" s="209"/>
      <c r="N118038" s="209"/>
      <c r="O118038" s="209"/>
    </row>
    <row r="118039" spans="1:15" s="210" customFormat="1" x14ac:dyDescent="0.3">
      <c r="A118039" s="12"/>
      <c r="B118039" s="15"/>
      <c r="C118039" s="15"/>
      <c r="D118039" s="12"/>
      <c r="E118039" s="12"/>
      <c r="F118039" s="13"/>
      <c r="G118039" s="12"/>
      <c r="H118039" s="12"/>
      <c r="I118039" s="12"/>
      <c r="J118039" s="12"/>
      <c r="K118039" s="12"/>
      <c r="L118039" s="208"/>
      <c r="M118039" s="209"/>
      <c r="N118039" s="209"/>
      <c r="O118039" s="209"/>
    </row>
    <row r="118040" spans="1:15" s="210" customFormat="1" x14ac:dyDescent="0.3">
      <c r="A118040" s="12"/>
      <c r="B118040" s="15"/>
      <c r="C118040" s="15"/>
      <c r="D118040" s="12"/>
      <c r="E118040" s="12"/>
      <c r="F118040" s="13"/>
      <c r="G118040" s="12"/>
      <c r="H118040" s="12"/>
      <c r="I118040" s="12"/>
      <c r="J118040" s="12"/>
      <c r="K118040" s="12"/>
      <c r="L118040" s="208"/>
      <c r="M118040" s="209"/>
      <c r="N118040" s="209"/>
      <c r="O118040" s="209"/>
    </row>
    <row r="118041" spans="1:15" s="210" customFormat="1" x14ac:dyDescent="0.3">
      <c r="A118041" s="12"/>
      <c r="B118041" s="15"/>
      <c r="C118041" s="15"/>
      <c r="D118041" s="12"/>
      <c r="E118041" s="12"/>
      <c r="F118041" s="13"/>
      <c r="G118041" s="12"/>
      <c r="H118041" s="12"/>
      <c r="I118041" s="12"/>
      <c r="J118041" s="12"/>
      <c r="K118041" s="12"/>
      <c r="L118041" s="208"/>
      <c r="M118041" s="209"/>
      <c r="N118041" s="209"/>
      <c r="O118041" s="209"/>
    </row>
    <row r="118042" spans="1:15" s="210" customFormat="1" x14ac:dyDescent="0.3">
      <c r="A118042" s="12"/>
      <c r="B118042" s="15"/>
      <c r="C118042" s="15"/>
      <c r="D118042" s="12"/>
      <c r="E118042" s="12"/>
      <c r="F118042" s="13"/>
      <c r="G118042" s="12"/>
      <c r="H118042" s="12"/>
      <c r="I118042" s="12"/>
      <c r="J118042" s="12"/>
      <c r="K118042" s="12"/>
      <c r="L118042" s="208"/>
      <c r="M118042" s="209"/>
      <c r="N118042" s="209"/>
      <c r="O118042" s="209"/>
    </row>
    <row r="118043" spans="1:15" s="210" customFormat="1" x14ac:dyDescent="0.3">
      <c r="A118043" s="12"/>
      <c r="B118043" s="15"/>
      <c r="C118043" s="15"/>
      <c r="D118043" s="12"/>
      <c r="E118043" s="12"/>
      <c r="F118043" s="13"/>
      <c r="G118043" s="12"/>
      <c r="H118043" s="12"/>
      <c r="I118043" s="12"/>
      <c r="J118043" s="12"/>
      <c r="K118043" s="12"/>
      <c r="L118043" s="208"/>
      <c r="M118043" s="209"/>
      <c r="N118043" s="209"/>
      <c r="O118043" s="209"/>
    </row>
    <row r="118044" spans="1:15" s="210" customFormat="1" x14ac:dyDescent="0.3">
      <c r="A118044" s="12"/>
      <c r="B118044" s="15"/>
      <c r="C118044" s="15"/>
      <c r="D118044" s="12"/>
      <c r="E118044" s="12"/>
      <c r="F118044" s="13"/>
      <c r="G118044" s="12"/>
      <c r="H118044" s="12"/>
      <c r="I118044" s="12"/>
      <c r="J118044" s="12"/>
      <c r="K118044" s="12"/>
      <c r="L118044" s="208"/>
      <c r="M118044" s="209"/>
      <c r="N118044" s="209"/>
      <c r="O118044" s="209"/>
    </row>
    <row r="118045" spans="1:15" s="210" customFormat="1" x14ac:dyDescent="0.3">
      <c r="A118045" s="12"/>
      <c r="B118045" s="15"/>
      <c r="C118045" s="15"/>
      <c r="D118045" s="12"/>
      <c r="E118045" s="12"/>
      <c r="F118045" s="13"/>
      <c r="G118045" s="12"/>
      <c r="H118045" s="12"/>
      <c r="I118045" s="12"/>
      <c r="J118045" s="12"/>
      <c r="K118045" s="12"/>
      <c r="L118045" s="208"/>
      <c r="M118045" s="209"/>
      <c r="N118045" s="209"/>
      <c r="O118045" s="209"/>
    </row>
    <row r="118046" spans="1:15" s="210" customFormat="1" x14ac:dyDescent="0.3">
      <c r="A118046" s="12"/>
      <c r="B118046" s="15"/>
      <c r="C118046" s="15"/>
      <c r="D118046" s="12"/>
      <c r="E118046" s="12"/>
      <c r="F118046" s="13"/>
      <c r="G118046" s="12"/>
      <c r="H118046" s="12"/>
      <c r="I118046" s="12"/>
      <c r="J118046" s="12"/>
      <c r="K118046" s="12"/>
      <c r="L118046" s="208"/>
      <c r="M118046" s="209"/>
      <c r="N118046" s="209"/>
      <c r="O118046" s="209"/>
    </row>
    <row r="118047" spans="1:15" s="210" customFormat="1" x14ac:dyDescent="0.3">
      <c r="A118047" s="12"/>
      <c r="B118047" s="15"/>
      <c r="C118047" s="15"/>
      <c r="D118047" s="12"/>
      <c r="E118047" s="12"/>
      <c r="F118047" s="13"/>
      <c r="G118047" s="12"/>
      <c r="H118047" s="12"/>
      <c r="I118047" s="12"/>
      <c r="J118047" s="12"/>
      <c r="K118047" s="12"/>
      <c r="L118047" s="208"/>
      <c r="M118047" s="209"/>
      <c r="N118047" s="209"/>
      <c r="O118047" s="209"/>
    </row>
    <row r="118048" spans="1:15" s="210" customFormat="1" x14ac:dyDescent="0.3">
      <c r="A118048" s="12"/>
      <c r="B118048" s="15"/>
      <c r="C118048" s="15"/>
      <c r="D118048" s="12"/>
      <c r="E118048" s="12"/>
      <c r="F118048" s="13"/>
      <c r="G118048" s="12"/>
      <c r="H118048" s="12"/>
      <c r="I118048" s="12"/>
      <c r="J118048" s="12"/>
      <c r="K118048" s="12"/>
      <c r="L118048" s="208"/>
      <c r="M118048" s="209"/>
      <c r="N118048" s="209"/>
      <c r="O118048" s="209"/>
    </row>
    <row r="118049" spans="1:15" s="210" customFormat="1" x14ac:dyDescent="0.3">
      <c r="A118049" s="12"/>
      <c r="B118049" s="15"/>
      <c r="C118049" s="15"/>
      <c r="D118049" s="12"/>
      <c r="E118049" s="12"/>
      <c r="F118049" s="13"/>
      <c r="G118049" s="12"/>
      <c r="H118049" s="12"/>
      <c r="I118049" s="12"/>
      <c r="J118049" s="12"/>
      <c r="K118049" s="12"/>
      <c r="L118049" s="208"/>
      <c r="M118049" s="209"/>
      <c r="N118049" s="209"/>
      <c r="O118049" s="209"/>
    </row>
    <row r="118050" spans="1:15" s="210" customFormat="1" x14ac:dyDescent="0.3">
      <c r="A118050" s="12"/>
      <c r="B118050" s="15"/>
      <c r="C118050" s="15"/>
      <c r="D118050" s="12"/>
      <c r="E118050" s="12"/>
      <c r="F118050" s="13"/>
      <c r="G118050" s="12"/>
      <c r="H118050" s="12"/>
      <c r="I118050" s="12"/>
      <c r="J118050" s="12"/>
      <c r="K118050" s="12"/>
      <c r="L118050" s="208"/>
      <c r="M118050" s="209"/>
      <c r="N118050" s="209"/>
      <c r="O118050" s="209"/>
    </row>
    <row r="118051" spans="1:15" s="210" customFormat="1" x14ac:dyDescent="0.3">
      <c r="A118051" s="12"/>
      <c r="B118051" s="15"/>
      <c r="C118051" s="15"/>
      <c r="D118051" s="12"/>
      <c r="E118051" s="12"/>
      <c r="F118051" s="13"/>
      <c r="G118051" s="12"/>
      <c r="H118051" s="12"/>
      <c r="I118051" s="12"/>
      <c r="J118051" s="12"/>
      <c r="K118051" s="12"/>
      <c r="L118051" s="208"/>
      <c r="M118051" s="209"/>
      <c r="N118051" s="209"/>
      <c r="O118051" s="209"/>
    </row>
    <row r="118052" spans="1:15" s="210" customFormat="1" x14ac:dyDescent="0.3">
      <c r="A118052" s="12"/>
      <c r="B118052" s="15"/>
      <c r="C118052" s="15"/>
      <c r="D118052" s="12"/>
      <c r="E118052" s="12"/>
      <c r="F118052" s="13"/>
      <c r="G118052" s="12"/>
      <c r="H118052" s="12"/>
      <c r="I118052" s="12"/>
      <c r="J118052" s="12"/>
      <c r="K118052" s="12"/>
      <c r="L118052" s="208"/>
      <c r="M118052" s="209"/>
      <c r="N118052" s="209"/>
      <c r="O118052" s="209"/>
    </row>
    <row r="118053" spans="1:15" s="210" customFormat="1" x14ac:dyDescent="0.3">
      <c r="A118053" s="12"/>
      <c r="B118053" s="15"/>
      <c r="C118053" s="15"/>
      <c r="D118053" s="12"/>
      <c r="E118053" s="12"/>
      <c r="F118053" s="13"/>
      <c r="G118053" s="12"/>
      <c r="H118053" s="12"/>
      <c r="I118053" s="12"/>
      <c r="J118053" s="12"/>
      <c r="K118053" s="12"/>
      <c r="L118053" s="208"/>
      <c r="M118053" s="209"/>
      <c r="N118053" s="209"/>
      <c r="O118053" s="209"/>
    </row>
    <row r="118054" spans="1:15" s="210" customFormat="1" x14ac:dyDescent="0.3">
      <c r="A118054" s="12"/>
      <c r="B118054" s="15"/>
      <c r="C118054" s="15"/>
      <c r="D118054" s="12"/>
      <c r="E118054" s="12"/>
      <c r="F118054" s="13"/>
      <c r="G118054" s="12"/>
      <c r="H118054" s="12"/>
      <c r="I118054" s="12"/>
      <c r="J118054" s="12"/>
      <c r="K118054" s="12"/>
      <c r="L118054" s="208"/>
      <c r="M118054" s="209"/>
      <c r="N118054" s="209"/>
      <c r="O118054" s="209"/>
    </row>
    <row r="118055" spans="1:15" s="210" customFormat="1" x14ac:dyDescent="0.3">
      <c r="A118055" s="12"/>
      <c r="B118055" s="15"/>
      <c r="C118055" s="15"/>
      <c r="D118055" s="12"/>
      <c r="E118055" s="12"/>
      <c r="F118055" s="13"/>
      <c r="G118055" s="12"/>
      <c r="H118055" s="12"/>
      <c r="I118055" s="12"/>
      <c r="J118055" s="12"/>
      <c r="K118055" s="12"/>
      <c r="L118055" s="208"/>
      <c r="M118055" s="209"/>
      <c r="N118055" s="209"/>
      <c r="O118055" s="209"/>
    </row>
    <row r="118056" spans="1:15" s="210" customFormat="1" x14ac:dyDescent="0.3">
      <c r="A118056" s="12"/>
      <c r="B118056" s="15"/>
      <c r="C118056" s="15"/>
      <c r="D118056" s="12"/>
      <c r="E118056" s="12"/>
      <c r="F118056" s="13"/>
      <c r="G118056" s="12"/>
      <c r="H118056" s="12"/>
      <c r="I118056" s="12"/>
      <c r="J118056" s="12"/>
      <c r="K118056" s="12"/>
      <c r="L118056" s="208"/>
      <c r="M118056" s="209"/>
      <c r="N118056" s="209"/>
      <c r="O118056" s="209"/>
    </row>
    <row r="118057" spans="1:15" s="210" customFormat="1" x14ac:dyDescent="0.3">
      <c r="A118057" s="12"/>
      <c r="B118057" s="15"/>
      <c r="C118057" s="15"/>
      <c r="D118057" s="12"/>
      <c r="E118057" s="12"/>
      <c r="F118057" s="13"/>
      <c r="G118057" s="12"/>
      <c r="H118057" s="12"/>
      <c r="I118057" s="12"/>
      <c r="J118057" s="12"/>
      <c r="K118057" s="12"/>
      <c r="L118057" s="208"/>
      <c r="M118057" s="209"/>
      <c r="N118057" s="209"/>
      <c r="O118057" s="209"/>
    </row>
    <row r="118058" spans="1:15" s="210" customFormat="1" x14ac:dyDescent="0.3">
      <c r="A118058" s="12"/>
      <c r="B118058" s="15"/>
      <c r="C118058" s="15"/>
      <c r="D118058" s="12"/>
      <c r="E118058" s="12"/>
      <c r="F118058" s="13"/>
      <c r="G118058" s="12"/>
      <c r="H118058" s="12"/>
      <c r="I118058" s="12"/>
      <c r="J118058" s="12"/>
      <c r="K118058" s="12"/>
      <c r="L118058" s="208"/>
      <c r="M118058" s="209"/>
      <c r="N118058" s="209"/>
      <c r="O118058" s="209"/>
    </row>
    <row r="118059" spans="1:15" s="210" customFormat="1" x14ac:dyDescent="0.3">
      <c r="A118059" s="12"/>
      <c r="B118059" s="15"/>
      <c r="C118059" s="15"/>
      <c r="D118059" s="12"/>
      <c r="E118059" s="12"/>
      <c r="F118059" s="13"/>
      <c r="G118059" s="12"/>
      <c r="H118059" s="12"/>
      <c r="I118059" s="12"/>
      <c r="J118059" s="12"/>
      <c r="K118059" s="12"/>
      <c r="L118059" s="208"/>
      <c r="M118059" s="209"/>
      <c r="N118059" s="209"/>
      <c r="O118059" s="209"/>
    </row>
    <row r="118060" spans="1:15" s="210" customFormat="1" x14ac:dyDescent="0.3">
      <c r="A118060" s="12"/>
      <c r="B118060" s="15"/>
      <c r="C118060" s="15"/>
      <c r="D118060" s="12"/>
      <c r="E118060" s="12"/>
      <c r="F118060" s="13"/>
      <c r="G118060" s="12"/>
      <c r="H118060" s="12"/>
      <c r="I118060" s="12"/>
      <c r="J118060" s="12"/>
      <c r="K118060" s="12"/>
      <c r="L118060" s="208"/>
      <c r="M118060" s="209"/>
      <c r="N118060" s="209"/>
      <c r="O118060" s="209"/>
    </row>
    <row r="118061" spans="1:15" s="210" customFormat="1" x14ac:dyDescent="0.3">
      <c r="A118061" s="12"/>
      <c r="B118061" s="15"/>
      <c r="C118061" s="15"/>
      <c r="D118061" s="12"/>
      <c r="E118061" s="12"/>
      <c r="F118061" s="13"/>
      <c r="G118061" s="12"/>
      <c r="H118061" s="12"/>
      <c r="I118061" s="12"/>
      <c r="J118061" s="12"/>
      <c r="K118061" s="12"/>
      <c r="L118061" s="208"/>
      <c r="M118061" s="209"/>
      <c r="N118061" s="209"/>
      <c r="O118061" s="209"/>
    </row>
    <row r="118062" spans="1:15" s="210" customFormat="1" x14ac:dyDescent="0.3">
      <c r="A118062" s="12"/>
      <c r="B118062" s="15"/>
      <c r="C118062" s="15"/>
      <c r="D118062" s="12"/>
      <c r="E118062" s="12"/>
      <c r="F118062" s="13"/>
      <c r="G118062" s="12"/>
      <c r="H118062" s="12"/>
      <c r="I118062" s="12"/>
      <c r="J118062" s="12"/>
      <c r="K118062" s="12"/>
      <c r="L118062" s="208"/>
      <c r="M118062" s="209"/>
      <c r="N118062" s="209"/>
      <c r="O118062" s="209"/>
    </row>
    <row r="118063" spans="1:15" s="210" customFormat="1" x14ac:dyDescent="0.3">
      <c r="A118063" s="12"/>
      <c r="B118063" s="15"/>
      <c r="C118063" s="15"/>
      <c r="D118063" s="12"/>
      <c r="E118063" s="12"/>
      <c r="F118063" s="13"/>
      <c r="G118063" s="12"/>
      <c r="H118063" s="12"/>
      <c r="I118063" s="12"/>
      <c r="J118063" s="12"/>
      <c r="K118063" s="12"/>
      <c r="L118063" s="208"/>
      <c r="M118063" s="209"/>
      <c r="N118063" s="209"/>
      <c r="O118063" s="209"/>
    </row>
    <row r="118064" spans="1:15" s="210" customFormat="1" x14ac:dyDescent="0.3">
      <c r="A118064" s="12"/>
      <c r="B118064" s="15"/>
      <c r="C118064" s="15"/>
      <c r="D118064" s="12"/>
      <c r="E118064" s="12"/>
      <c r="F118064" s="13"/>
      <c r="G118064" s="12"/>
      <c r="H118064" s="12"/>
      <c r="I118064" s="12"/>
      <c r="J118064" s="12"/>
      <c r="K118064" s="12"/>
      <c r="L118064" s="208"/>
      <c r="M118064" s="209"/>
      <c r="N118064" s="209"/>
      <c r="O118064" s="209"/>
    </row>
    <row r="118065" spans="1:15" s="210" customFormat="1" x14ac:dyDescent="0.3">
      <c r="A118065" s="12"/>
      <c r="B118065" s="15"/>
      <c r="C118065" s="15"/>
      <c r="D118065" s="12"/>
      <c r="E118065" s="12"/>
      <c r="F118065" s="13"/>
      <c r="G118065" s="12"/>
      <c r="H118065" s="12"/>
      <c r="I118065" s="12"/>
      <c r="J118065" s="12"/>
      <c r="K118065" s="12"/>
      <c r="L118065" s="208"/>
      <c r="M118065" s="209"/>
      <c r="N118065" s="209"/>
      <c r="O118065" s="209"/>
    </row>
    <row r="118066" spans="1:15" s="210" customFormat="1" x14ac:dyDescent="0.3">
      <c r="A118066" s="12"/>
      <c r="B118066" s="15"/>
      <c r="C118066" s="15"/>
      <c r="D118066" s="12"/>
      <c r="E118066" s="12"/>
      <c r="F118066" s="13"/>
      <c r="G118066" s="12"/>
      <c r="H118066" s="12"/>
      <c r="I118066" s="12"/>
      <c r="J118066" s="12"/>
      <c r="K118066" s="12"/>
      <c r="L118066" s="208"/>
      <c r="M118066" s="209"/>
      <c r="N118066" s="209"/>
      <c r="O118066" s="209"/>
    </row>
    <row r="118067" spans="1:15" s="210" customFormat="1" x14ac:dyDescent="0.3">
      <c r="A118067" s="12"/>
      <c r="B118067" s="15"/>
      <c r="C118067" s="15"/>
      <c r="D118067" s="12"/>
      <c r="E118067" s="12"/>
      <c r="F118067" s="13"/>
      <c r="G118067" s="12"/>
      <c r="H118067" s="12"/>
      <c r="I118067" s="12"/>
      <c r="J118067" s="12"/>
      <c r="K118067" s="12"/>
      <c r="L118067" s="208"/>
      <c r="M118067" s="209"/>
      <c r="N118067" s="209"/>
      <c r="O118067" s="209"/>
    </row>
    <row r="118068" spans="1:15" s="210" customFormat="1" x14ac:dyDescent="0.3">
      <c r="A118068" s="12"/>
      <c r="B118068" s="15"/>
      <c r="C118068" s="15"/>
      <c r="D118068" s="12"/>
      <c r="E118068" s="12"/>
      <c r="F118068" s="13"/>
      <c r="G118068" s="12"/>
      <c r="H118068" s="12"/>
      <c r="I118068" s="12"/>
      <c r="J118068" s="12"/>
      <c r="K118068" s="12"/>
      <c r="L118068" s="208"/>
      <c r="M118068" s="209"/>
      <c r="N118068" s="209"/>
      <c r="O118068" s="209"/>
    </row>
    <row r="118069" spans="1:15" s="210" customFormat="1" x14ac:dyDescent="0.3">
      <c r="A118069" s="12"/>
      <c r="B118069" s="15"/>
      <c r="C118069" s="15"/>
      <c r="D118069" s="12"/>
      <c r="E118069" s="12"/>
      <c r="F118069" s="13"/>
      <c r="G118069" s="12"/>
      <c r="H118069" s="12"/>
      <c r="I118069" s="12"/>
      <c r="J118069" s="12"/>
      <c r="K118069" s="12"/>
      <c r="L118069" s="208"/>
      <c r="M118069" s="209"/>
      <c r="N118069" s="209"/>
      <c r="O118069" s="209"/>
    </row>
    <row r="118070" spans="1:15" s="210" customFormat="1" x14ac:dyDescent="0.3">
      <c r="A118070" s="12"/>
      <c r="B118070" s="15"/>
      <c r="C118070" s="15"/>
      <c r="D118070" s="12"/>
      <c r="E118070" s="12"/>
      <c r="F118070" s="13"/>
      <c r="G118070" s="12"/>
      <c r="H118070" s="12"/>
      <c r="I118070" s="12"/>
      <c r="J118070" s="12"/>
      <c r="K118070" s="12"/>
      <c r="L118070" s="208"/>
      <c r="M118070" s="209"/>
      <c r="N118070" s="209"/>
      <c r="O118070" s="209"/>
    </row>
    <row r="118071" spans="1:15" s="210" customFormat="1" x14ac:dyDescent="0.3">
      <c r="A118071" s="12"/>
      <c r="B118071" s="15"/>
      <c r="C118071" s="15"/>
      <c r="D118071" s="12"/>
      <c r="E118071" s="12"/>
      <c r="F118071" s="13"/>
      <c r="G118071" s="12"/>
      <c r="H118071" s="12"/>
      <c r="I118071" s="12"/>
      <c r="J118071" s="12"/>
      <c r="K118071" s="12"/>
      <c r="L118071" s="208"/>
      <c r="M118071" s="209"/>
      <c r="N118071" s="209"/>
      <c r="O118071" s="209"/>
    </row>
    <row r="118072" spans="1:15" s="210" customFormat="1" x14ac:dyDescent="0.3">
      <c r="A118072" s="12"/>
      <c r="B118072" s="15"/>
      <c r="C118072" s="15"/>
      <c r="D118072" s="12"/>
      <c r="E118072" s="12"/>
      <c r="F118072" s="13"/>
      <c r="G118072" s="12"/>
      <c r="H118072" s="12"/>
      <c r="I118072" s="12"/>
      <c r="J118072" s="12"/>
      <c r="K118072" s="12"/>
      <c r="L118072" s="208"/>
      <c r="M118072" s="209"/>
      <c r="N118072" s="209"/>
      <c r="O118072" s="209"/>
    </row>
    <row r="118073" spans="1:15" s="210" customFormat="1" x14ac:dyDescent="0.3">
      <c r="A118073" s="12"/>
      <c r="B118073" s="15"/>
      <c r="C118073" s="15"/>
      <c r="D118073" s="12"/>
      <c r="E118073" s="12"/>
      <c r="F118073" s="13"/>
      <c r="G118073" s="12"/>
      <c r="H118073" s="12"/>
      <c r="I118073" s="12"/>
      <c r="J118073" s="12"/>
      <c r="K118073" s="12"/>
      <c r="L118073" s="208"/>
      <c r="M118073" s="209"/>
      <c r="N118073" s="209"/>
      <c r="O118073" s="209"/>
    </row>
    <row r="118074" spans="1:15" s="210" customFormat="1" x14ac:dyDescent="0.3">
      <c r="A118074" s="12"/>
      <c r="B118074" s="15"/>
      <c r="C118074" s="15"/>
      <c r="D118074" s="12"/>
      <c r="E118074" s="12"/>
      <c r="F118074" s="13"/>
      <c r="G118074" s="12"/>
      <c r="H118074" s="12"/>
      <c r="I118074" s="12"/>
      <c r="J118074" s="12"/>
      <c r="K118074" s="12"/>
      <c r="L118074" s="208"/>
      <c r="M118074" s="209"/>
      <c r="N118074" s="209"/>
      <c r="O118074" s="209"/>
    </row>
    <row r="118075" spans="1:15" s="210" customFormat="1" x14ac:dyDescent="0.3">
      <c r="A118075" s="12"/>
      <c r="B118075" s="15"/>
      <c r="C118075" s="15"/>
      <c r="D118075" s="12"/>
      <c r="E118075" s="12"/>
      <c r="F118075" s="13"/>
      <c r="G118075" s="12"/>
      <c r="H118075" s="12"/>
      <c r="I118075" s="12"/>
      <c r="J118075" s="12"/>
      <c r="K118075" s="12"/>
      <c r="L118075" s="208"/>
      <c r="M118075" s="209"/>
      <c r="N118075" s="209"/>
      <c r="O118075" s="209"/>
    </row>
    <row r="118076" spans="1:15" s="210" customFormat="1" x14ac:dyDescent="0.3">
      <c r="A118076" s="12"/>
      <c r="B118076" s="15"/>
      <c r="C118076" s="15"/>
      <c r="D118076" s="12"/>
      <c r="E118076" s="12"/>
      <c r="F118076" s="13"/>
      <c r="G118076" s="12"/>
      <c r="H118076" s="12"/>
      <c r="I118076" s="12"/>
      <c r="J118076" s="12"/>
      <c r="K118076" s="12"/>
      <c r="L118076" s="208"/>
      <c r="M118076" s="209"/>
      <c r="N118076" s="209"/>
      <c r="O118076" s="209"/>
    </row>
    <row r="118077" spans="1:15" s="210" customFormat="1" x14ac:dyDescent="0.3">
      <c r="A118077" s="12"/>
      <c r="B118077" s="15"/>
      <c r="C118077" s="15"/>
      <c r="D118077" s="12"/>
      <c r="E118077" s="12"/>
      <c r="F118077" s="13"/>
      <c r="G118077" s="12"/>
      <c r="H118077" s="12"/>
      <c r="I118077" s="12"/>
      <c r="J118077" s="12"/>
      <c r="K118077" s="12"/>
      <c r="L118077" s="208"/>
      <c r="M118077" s="209"/>
      <c r="N118077" s="209"/>
      <c r="O118077" s="209"/>
    </row>
    <row r="118078" spans="1:15" s="210" customFormat="1" x14ac:dyDescent="0.3">
      <c r="A118078" s="12"/>
      <c r="B118078" s="15"/>
      <c r="C118078" s="15"/>
      <c r="D118078" s="12"/>
      <c r="E118078" s="12"/>
      <c r="F118078" s="13"/>
      <c r="G118078" s="12"/>
      <c r="H118078" s="12"/>
      <c r="I118078" s="12"/>
      <c r="J118078" s="12"/>
      <c r="K118078" s="12"/>
      <c r="L118078" s="208"/>
      <c r="M118078" s="209"/>
      <c r="N118078" s="209"/>
      <c r="O118078" s="209"/>
    </row>
    <row r="118079" spans="1:15" s="210" customFormat="1" x14ac:dyDescent="0.3">
      <c r="A118079" s="12"/>
      <c r="B118079" s="15"/>
      <c r="C118079" s="15"/>
      <c r="D118079" s="12"/>
      <c r="E118079" s="12"/>
      <c r="F118079" s="13"/>
      <c r="G118079" s="12"/>
      <c r="H118079" s="12"/>
      <c r="I118079" s="12"/>
      <c r="J118079" s="12"/>
      <c r="K118079" s="12"/>
      <c r="L118079" s="208"/>
      <c r="M118079" s="209"/>
      <c r="N118079" s="209"/>
      <c r="O118079" s="209"/>
    </row>
    <row r="118080" spans="1:15" s="210" customFormat="1" x14ac:dyDescent="0.3">
      <c r="A118080" s="12"/>
      <c r="B118080" s="15"/>
      <c r="C118080" s="15"/>
      <c r="D118080" s="12"/>
      <c r="E118080" s="12"/>
      <c r="F118080" s="13"/>
      <c r="G118080" s="12"/>
      <c r="H118080" s="12"/>
      <c r="I118080" s="12"/>
      <c r="J118080" s="12"/>
      <c r="K118080" s="12"/>
      <c r="L118080" s="208"/>
      <c r="M118080" s="209"/>
      <c r="N118080" s="209"/>
      <c r="O118080" s="209"/>
    </row>
    <row r="118081" spans="1:15" s="210" customFormat="1" x14ac:dyDescent="0.3">
      <c r="A118081" s="12"/>
      <c r="B118081" s="15"/>
      <c r="C118081" s="15"/>
      <c r="D118081" s="12"/>
      <c r="E118081" s="12"/>
      <c r="F118081" s="13"/>
      <c r="G118081" s="12"/>
      <c r="H118081" s="12"/>
      <c r="I118081" s="12"/>
      <c r="J118081" s="12"/>
      <c r="K118081" s="12"/>
      <c r="L118081" s="208"/>
      <c r="M118081" s="209"/>
      <c r="N118081" s="209"/>
      <c r="O118081" s="209"/>
    </row>
    <row r="118082" spans="1:15" s="210" customFormat="1" x14ac:dyDescent="0.3">
      <c r="A118082" s="12"/>
      <c r="B118082" s="15"/>
      <c r="C118082" s="15"/>
      <c r="D118082" s="12"/>
      <c r="E118082" s="12"/>
      <c r="F118082" s="13"/>
      <c r="G118082" s="12"/>
      <c r="H118082" s="12"/>
      <c r="I118082" s="12"/>
      <c r="J118082" s="12"/>
      <c r="K118082" s="12"/>
      <c r="L118082" s="208"/>
      <c r="M118082" s="209"/>
      <c r="N118082" s="209"/>
      <c r="O118082" s="209"/>
    </row>
    <row r="118083" spans="1:15" s="210" customFormat="1" x14ac:dyDescent="0.3">
      <c r="A118083" s="12"/>
      <c r="B118083" s="15"/>
      <c r="C118083" s="15"/>
      <c r="D118083" s="12"/>
      <c r="E118083" s="12"/>
      <c r="F118083" s="13"/>
      <c r="G118083" s="12"/>
      <c r="H118083" s="12"/>
      <c r="I118083" s="12"/>
      <c r="J118083" s="12"/>
      <c r="K118083" s="12"/>
      <c r="L118083" s="208"/>
      <c r="M118083" s="209"/>
      <c r="N118083" s="209"/>
      <c r="O118083" s="209"/>
    </row>
    <row r="118084" spans="1:15" s="210" customFormat="1" x14ac:dyDescent="0.3">
      <c r="A118084" s="12"/>
      <c r="B118084" s="15"/>
      <c r="C118084" s="15"/>
      <c r="D118084" s="12"/>
      <c r="E118084" s="12"/>
      <c r="F118084" s="13"/>
      <c r="G118084" s="12"/>
      <c r="H118084" s="12"/>
      <c r="I118084" s="12"/>
      <c r="J118084" s="12"/>
      <c r="K118084" s="12"/>
      <c r="L118084" s="208"/>
      <c r="M118084" s="209"/>
      <c r="N118084" s="209"/>
      <c r="O118084" s="209"/>
    </row>
    <row r="118085" spans="1:15" s="210" customFormat="1" x14ac:dyDescent="0.3">
      <c r="A118085" s="12"/>
      <c r="B118085" s="15"/>
      <c r="C118085" s="15"/>
      <c r="D118085" s="12"/>
      <c r="E118085" s="12"/>
      <c r="F118085" s="13"/>
      <c r="G118085" s="12"/>
      <c r="H118085" s="12"/>
      <c r="I118085" s="12"/>
      <c r="J118085" s="12"/>
      <c r="K118085" s="12"/>
      <c r="L118085" s="208"/>
      <c r="M118085" s="209"/>
      <c r="N118085" s="209"/>
      <c r="O118085" s="209"/>
    </row>
    <row r="118086" spans="1:15" s="210" customFormat="1" x14ac:dyDescent="0.3">
      <c r="A118086" s="12"/>
      <c r="B118086" s="15"/>
      <c r="C118086" s="15"/>
      <c r="D118086" s="12"/>
      <c r="E118086" s="12"/>
      <c r="F118086" s="13"/>
      <c r="G118086" s="12"/>
      <c r="H118086" s="12"/>
      <c r="I118086" s="12"/>
      <c r="J118086" s="12"/>
      <c r="K118086" s="12"/>
      <c r="L118086" s="208"/>
      <c r="M118086" s="209"/>
      <c r="N118086" s="209"/>
      <c r="O118086" s="209"/>
    </row>
    <row r="118087" spans="1:15" s="210" customFormat="1" x14ac:dyDescent="0.3">
      <c r="A118087" s="12"/>
      <c r="B118087" s="15"/>
      <c r="C118087" s="15"/>
      <c r="D118087" s="12"/>
      <c r="E118087" s="12"/>
      <c r="F118087" s="13"/>
      <c r="G118087" s="12"/>
      <c r="H118087" s="12"/>
      <c r="I118087" s="12"/>
      <c r="J118087" s="12"/>
      <c r="K118087" s="12"/>
      <c r="L118087" s="208"/>
      <c r="M118087" s="209"/>
      <c r="N118087" s="209"/>
      <c r="O118087" s="209"/>
    </row>
    <row r="118088" spans="1:15" s="210" customFormat="1" x14ac:dyDescent="0.3">
      <c r="A118088" s="12"/>
      <c r="B118088" s="15"/>
      <c r="C118088" s="15"/>
      <c r="D118088" s="12"/>
      <c r="E118088" s="12"/>
      <c r="F118088" s="13"/>
      <c r="G118088" s="12"/>
      <c r="H118088" s="12"/>
      <c r="I118088" s="12"/>
      <c r="J118088" s="12"/>
      <c r="K118088" s="12"/>
      <c r="L118088" s="208"/>
      <c r="M118088" s="209"/>
      <c r="N118088" s="209"/>
      <c r="O118088" s="209"/>
    </row>
    <row r="118089" spans="1:15" s="210" customFormat="1" x14ac:dyDescent="0.3">
      <c r="A118089" s="12"/>
      <c r="B118089" s="15"/>
      <c r="C118089" s="15"/>
      <c r="D118089" s="12"/>
      <c r="E118089" s="12"/>
      <c r="F118089" s="13"/>
      <c r="G118089" s="12"/>
      <c r="H118089" s="12"/>
      <c r="I118089" s="12"/>
      <c r="J118089" s="12"/>
      <c r="K118089" s="12"/>
      <c r="L118089" s="208"/>
      <c r="M118089" s="209"/>
      <c r="N118089" s="209"/>
      <c r="O118089" s="209"/>
    </row>
    <row r="118090" spans="1:15" s="210" customFormat="1" x14ac:dyDescent="0.3">
      <c r="A118090" s="12"/>
      <c r="B118090" s="15"/>
      <c r="C118090" s="15"/>
      <c r="D118090" s="12"/>
      <c r="E118090" s="12"/>
      <c r="F118090" s="13"/>
      <c r="G118090" s="12"/>
      <c r="H118090" s="12"/>
      <c r="I118090" s="12"/>
      <c r="J118090" s="12"/>
      <c r="K118090" s="12"/>
      <c r="L118090" s="208"/>
      <c r="M118090" s="209"/>
      <c r="N118090" s="209"/>
      <c r="O118090" s="209"/>
    </row>
    <row r="118091" spans="1:15" s="210" customFormat="1" x14ac:dyDescent="0.3">
      <c r="A118091" s="12"/>
      <c r="B118091" s="15"/>
      <c r="C118091" s="15"/>
      <c r="D118091" s="12"/>
      <c r="E118091" s="12"/>
      <c r="F118091" s="13"/>
      <c r="G118091" s="12"/>
      <c r="H118091" s="12"/>
      <c r="I118091" s="12"/>
      <c r="J118091" s="12"/>
      <c r="K118091" s="12"/>
      <c r="L118091" s="208"/>
      <c r="M118091" s="209"/>
      <c r="N118091" s="209"/>
      <c r="O118091" s="209"/>
    </row>
    <row r="118092" spans="1:15" s="210" customFormat="1" x14ac:dyDescent="0.3">
      <c r="A118092" s="12"/>
      <c r="B118092" s="15"/>
      <c r="C118092" s="15"/>
      <c r="D118092" s="12"/>
      <c r="E118092" s="12"/>
      <c r="F118092" s="13"/>
      <c r="G118092" s="12"/>
      <c r="H118092" s="12"/>
      <c r="I118092" s="12"/>
      <c r="J118092" s="12"/>
      <c r="K118092" s="12"/>
      <c r="L118092" s="208"/>
      <c r="M118092" s="209"/>
      <c r="N118092" s="209"/>
      <c r="O118092" s="209"/>
    </row>
    <row r="118093" spans="1:15" s="210" customFormat="1" x14ac:dyDescent="0.3">
      <c r="A118093" s="12"/>
      <c r="B118093" s="15"/>
      <c r="C118093" s="15"/>
      <c r="D118093" s="12"/>
      <c r="E118093" s="12"/>
      <c r="F118093" s="13"/>
      <c r="G118093" s="12"/>
      <c r="H118093" s="12"/>
      <c r="I118093" s="12"/>
      <c r="J118093" s="12"/>
      <c r="K118093" s="12"/>
      <c r="L118093" s="208"/>
      <c r="M118093" s="209"/>
      <c r="N118093" s="209"/>
      <c r="O118093" s="209"/>
    </row>
    <row r="118094" spans="1:15" s="210" customFormat="1" x14ac:dyDescent="0.3">
      <c r="A118094" s="12"/>
      <c r="B118094" s="15"/>
      <c r="C118094" s="15"/>
      <c r="D118094" s="12"/>
      <c r="E118094" s="12"/>
      <c r="F118094" s="13"/>
      <c r="G118094" s="12"/>
      <c r="H118094" s="12"/>
      <c r="I118094" s="12"/>
      <c r="J118094" s="12"/>
      <c r="K118094" s="12"/>
      <c r="L118094" s="208"/>
      <c r="M118094" s="209"/>
      <c r="N118094" s="209"/>
      <c r="O118094" s="209"/>
    </row>
    <row r="118095" spans="1:15" s="210" customFormat="1" x14ac:dyDescent="0.3">
      <c r="A118095" s="12"/>
      <c r="B118095" s="15"/>
      <c r="C118095" s="15"/>
      <c r="D118095" s="12"/>
      <c r="E118095" s="12"/>
      <c r="F118095" s="13"/>
      <c r="G118095" s="12"/>
      <c r="H118095" s="12"/>
      <c r="I118095" s="12"/>
      <c r="J118095" s="12"/>
      <c r="K118095" s="12"/>
      <c r="L118095" s="208"/>
      <c r="M118095" s="209"/>
      <c r="N118095" s="209"/>
      <c r="O118095" s="209"/>
    </row>
    <row r="118096" spans="1:15" s="210" customFormat="1" x14ac:dyDescent="0.3">
      <c r="A118096" s="12"/>
      <c r="B118096" s="15"/>
      <c r="C118096" s="15"/>
      <c r="D118096" s="12"/>
      <c r="E118096" s="12"/>
      <c r="F118096" s="13"/>
      <c r="G118096" s="12"/>
      <c r="H118096" s="12"/>
      <c r="I118096" s="12"/>
      <c r="J118096" s="12"/>
      <c r="K118096" s="12"/>
      <c r="L118096" s="208"/>
      <c r="M118096" s="209"/>
      <c r="N118096" s="209"/>
      <c r="O118096" s="209"/>
    </row>
    <row r="118097" spans="1:15" s="210" customFormat="1" x14ac:dyDescent="0.3">
      <c r="A118097" s="12"/>
      <c r="B118097" s="15"/>
      <c r="C118097" s="15"/>
      <c r="D118097" s="12"/>
      <c r="E118097" s="12"/>
      <c r="F118097" s="13"/>
      <c r="G118097" s="12"/>
      <c r="H118097" s="12"/>
      <c r="I118097" s="12"/>
      <c r="J118097" s="12"/>
      <c r="K118097" s="12"/>
      <c r="L118097" s="208"/>
      <c r="M118097" s="209"/>
      <c r="N118097" s="209"/>
      <c r="O118097" s="209"/>
    </row>
    <row r="118098" spans="1:15" s="210" customFormat="1" x14ac:dyDescent="0.3">
      <c r="A118098" s="12"/>
      <c r="B118098" s="15"/>
      <c r="C118098" s="15"/>
      <c r="D118098" s="12"/>
      <c r="E118098" s="12"/>
      <c r="F118098" s="13"/>
      <c r="G118098" s="12"/>
      <c r="H118098" s="12"/>
      <c r="I118098" s="12"/>
      <c r="J118098" s="12"/>
      <c r="K118098" s="12"/>
      <c r="L118098" s="208"/>
      <c r="M118098" s="209"/>
      <c r="N118098" s="209"/>
      <c r="O118098" s="209"/>
    </row>
    <row r="118099" spans="1:15" s="210" customFormat="1" x14ac:dyDescent="0.3">
      <c r="A118099" s="12"/>
      <c r="B118099" s="15"/>
      <c r="C118099" s="15"/>
      <c r="D118099" s="12"/>
      <c r="E118099" s="12"/>
      <c r="F118099" s="13"/>
      <c r="G118099" s="12"/>
      <c r="H118099" s="12"/>
      <c r="I118099" s="12"/>
      <c r="J118099" s="12"/>
      <c r="K118099" s="12"/>
      <c r="L118099" s="208"/>
      <c r="M118099" s="209"/>
      <c r="N118099" s="209"/>
      <c r="O118099" s="209"/>
    </row>
    <row r="118100" spans="1:15" s="210" customFormat="1" x14ac:dyDescent="0.3">
      <c r="A118100" s="12"/>
      <c r="B118100" s="15"/>
      <c r="C118100" s="15"/>
      <c r="D118100" s="12"/>
      <c r="E118100" s="12"/>
      <c r="F118100" s="13"/>
      <c r="G118100" s="12"/>
      <c r="H118100" s="12"/>
      <c r="I118100" s="12"/>
      <c r="J118100" s="12"/>
      <c r="K118100" s="12"/>
      <c r="L118100" s="208"/>
      <c r="M118100" s="209"/>
      <c r="N118100" s="209"/>
      <c r="O118100" s="209"/>
    </row>
    <row r="118101" spans="1:15" s="210" customFormat="1" x14ac:dyDescent="0.3">
      <c r="A118101" s="12"/>
      <c r="B118101" s="15"/>
      <c r="C118101" s="15"/>
      <c r="D118101" s="12"/>
      <c r="E118101" s="12"/>
      <c r="F118101" s="13"/>
      <c r="G118101" s="12"/>
      <c r="H118101" s="12"/>
      <c r="I118101" s="12"/>
      <c r="J118101" s="12"/>
      <c r="K118101" s="12"/>
      <c r="L118101" s="208"/>
      <c r="M118101" s="209"/>
      <c r="N118101" s="209"/>
      <c r="O118101" s="209"/>
    </row>
    <row r="118102" spans="1:15" s="210" customFormat="1" x14ac:dyDescent="0.3">
      <c r="A118102" s="12"/>
      <c r="B118102" s="15"/>
      <c r="C118102" s="15"/>
      <c r="D118102" s="12"/>
      <c r="E118102" s="12"/>
      <c r="F118102" s="13"/>
      <c r="G118102" s="12"/>
      <c r="H118102" s="12"/>
      <c r="I118102" s="12"/>
      <c r="J118102" s="12"/>
      <c r="K118102" s="12"/>
      <c r="L118102" s="208"/>
      <c r="M118102" s="209"/>
      <c r="N118102" s="209"/>
      <c r="O118102" s="209"/>
    </row>
    <row r="118103" spans="1:15" s="210" customFormat="1" x14ac:dyDescent="0.3">
      <c r="A118103" s="12"/>
      <c r="B118103" s="15"/>
      <c r="C118103" s="15"/>
      <c r="D118103" s="12"/>
      <c r="E118103" s="12"/>
      <c r="F118103" s="13"/>
      <c r="G118103" s="12"/>
      <c r="H118103" s="12"/>
      <c r="I118103" s="12"/>
      <c r="J118103" s="12"/>
      <c r="K118103" s="12"/>
      <c r="L118103" s="208"/>
      <c r="M118103" s="209"/>
      <c r="N118103" s="209"/>
      <c r="O118103" s="209"/>
    </row>
    <row r="118104" spans="1:15" s="210" customFormat="1" x14ac:dyDescent="0.3">
      <c r="A118104" s="12"/>
      <c r="B118104" s="15"/>
      <c r="C118104" s="15"/>
      <c r="D118104" s="12"/>
      <c r="E118104" s="12"/>
      <c r="F118104" s="13"/>
      <c r="G118104" s="12"/>
      <c r="H118104" s="12"/>
      <c r="I118104" s="12"/>
      <c r="J118104" s="12"/>
      <c r="K118104" s="12"/>
      <c r="L118104" s="208"/>
      <c r="M118104" s="209"/>
      <c r="N118104" s="209"/>
      <c r="O118104" s="209"/>
    </row>
    <row r="118105" spans="1:15" s="210" customFormat="1" x14ac:dyDescent="0.3">
      <c r="A118105" s="12"/>
      <c r="B118105" s="15"/>
      <c r="C118105" s="15"/>
      <c r="D118105" s="12"/>
      <c r="E118105" s="12"/>
      <c r="F118105" s="13"/>
      <c r="G118105" s="12"/>
      <c r="H118105" s="12"/>
      <c r="I118105" s="12"/>
      <c r="J118105" s="12"/>
      <c r="K118105" s="12"/>
      <c r="L118105" s="208"/>
      <c r="M118105" s="209"/>
      <c r="N118105" s="209"/>
      <c r="O118105" s="209"/>
    </row>
    <row r="118106" spans="1:15" s="210" customFormat="1" x14ac:dyDescent="0.3">
      <c r="A118106" s="12"/>
      <c r="B118106" s="15"/>
      <c r="C118106" s="15"/>
      <c r="D118106" s="12"/>
      <c r="E118106" s="12"/>
      <c r="F118106" s="13"/>
      <c r="G118106" s="12"/>
      <c r="H118106" s="12"/>
      <c r="I118106" s="12"/>
      <c r="J118106" s="12"/>
      <c r="K118106" s="12"/>
      <c r="L118106" s="208"/>
      <c r="M118106" s="209"/>
      <c r="N118106" s="209"/>
      <c r="O118106" s="209"/>
    </row>
    <row r="118107" spans="1:15" s="210" customFormat="1" x14ac:dyDescent="0.3">
      <c r="A118107" s="12"/>
      <c r="B118107" s="15"/>
      <c r="C118107" s="15"/>
      <c r="D118107" s="12"/>
      <c r="E118107" s="12"/>
      <c r="F118107" s="13"/>
      <c r="G118107" s="12"/>
      <c r="H118107" s="12"/>
      <c r="I118107" s="12"/>
      <c r="J118107" s="12"/>
      <c r="K118107" s="12"/>
      <c r="L118107" s="208"/>
      <c r="M118107" s="209"/>
      <c r="N118107" s="209"/>
      <c r="O118107" s="209"/>
    </row>
    <row r="118108" spans="1:15" s="210" customFormat="1" x14ac:dyDescent="0.3">
      <c r="A118108" s="12"/>
      <c r="B118108" s="15"/>
      <c r="C118108" s="15"/>
      <c r="D118108" s="12"/>
      <c r="E118108" s="12"/>
      <c r="F118108" s="13"/>
      <c r="G118108" s="12"/>
      <c r="H118108" s="12"/>
      <c r="I118108" s="12"/>
      <c r="J118108" s="12"/>
      <c r="K118108" s="12"/>
      <c r="L118108" s="208"/>
      <c r="M118108" s="209"/>
      <c r="N118108" s="209"/>
      <c r="O118108" s="209"/>
    </row>
    <row r="118109" spans="1:15" s="210" customFormat="1" x14ac:dyDescent="0.3">
      <c r="A118109" s="12"/>
      <c r="B118109" s="15"/>
      <c r="C118109" s="15"/>
      <c r="D118109" s="12"/>
      <c r="E118109" s="12"/>
      <c r="F118109" s="13"/>
      <c r="G118109" s="12"/>
      <c r="H118109" s="12"/>
      <c r="I118109" s="12"/>
      <c r="J118109" s="12"/>
      <c r="K118109" s="12"/>
      <c r="L118109" s="208"/>
      <c r="M118109" s="209"/>
      <c r="N118109" s="209"/>
      <c r="O118109" s="209"/>
    </row>
    <row r="118110" spans="1:15" s="210" customFormat="1" x14ac:dyDescent="0.3">
      <c r="A118110" s="12"/>
      <c r="B118110" s="15"/>
      <c r="C118110" s="15"/>
      <c r="D118110" s="12"/>
      <c r="E118110" s="12"/>
      <c r="F118110" s="13"/>
      <c r="G118110" s="12"/>
      <c r="H118110" s="12"/>
      <c r="I118110" s="12"/>
      <c r="J118110" s="12"/>
      <c r="K118110" s="12"/>
      <c r="L118110" s="208"/>
      <c r="M118110" s="209"/>
      <c r="N118110" s="209"/>
      <c r="O118110" s="209"/>
    </row>
    <row r="118111" spans="1:15" s="210" customFormat="1" x14ac:dyDescent="0.3">
      <c r="A118111" s="12"/>
      <c r="B118111" s="15"/>
      <c r="C118111" s="15"/>
      <c r="D118111" s="12"/>
      <c r="E118111" s="12"/>
      <c r="F118111" s="13"/>
      <c r="G118111" s="12"/>
      <c r="H118111" s="12"/>
      <c r="I118111" s="12"/>
      <c r="J118111" s="12"/>
      <c r="K118111" s="12"/>
      <c r="L118111" s="208"/>
      <c r="M118111" s="209"/>
      <c r="N118111" s="209"/>
      <c r="O118111" s="209"/>
    </row>
    <row r="118112" spans="1:15" s="210" customFormat="1" x14ac:dyDescent="0.3">
      <c r="A118112" s="12"/>
      <c r="B118112" s="15"/>
      <c r="C118112" s="15"/>
      <c r="D118112" s="12"/>
      <c r="E118112" s="12"/>
      <c r="F118112" s="13"/>
      <c r="G118112" s="12"/>
      <c r="H118112" s="12"/>
      <c r="I118112" s="12"/>
      <c r="J118112" s="12"/>
      <c r="K118112" s="12"/>
      <c r="L118112" s="208"/>
      <c r="M118112" s="209"/>
      <c r="N118112" s="209"/>
      <c r="O118112" s="209"/>
    </row>
    <row r="118113" spans="1:15" s="210" customFormat="1" x14ac:dyDescent="0.3">
      <c r="A118113" s="12"/>
      <c r="B118113" s="15"/>
      <c r="C118113" s="15"/>
      <c r="D118113" s="12"/>
      <c r="E118113" s="12"/>
      <c r="F118113" s="13"/>
      <c r="G118113" s="12"/>
      <c r="H118113" s="12"/>
      <c r="I118113" s="12"/>
      <c r="J118113" s="12"/>
      <c r="K118113" s="12"/>
      <c r="L118113" s="208"/>
      <c r="M118113" s="209"/>
      <c r="N118113" s="209"/>
      <c r="O118113" s="209"/>
    </row>
    <row r="118114" spans="1:15" s="210" customFormat="1" x14ac:dyDescent="0.3">
      <c r="A118114" s="12"/>
      <c r="B118114" s="15"/>
      <c r="C118114" s="15"/>
      <c r="D118114" s="12"/>
      <c r="E118114" s="12"/>
      <c r="F118114" s="13"/>
      <c r="G118114" s="12"/>
      <c r="H118114" s="12"/>
      <c r="I118114" s="12"/>
      <c r="J118114" s="12"/>
      <c r="K118114" s="12"/>
      <c r="L118114" s="208"/>
      <c r="M118114" s="209"/>
      <c r="N118114" s="209"/>
      <c r="O118114" s="209"/>
    </row>
    <row r="118115" spans="1:15" s="210" customFormat="1" x14ac:dyDescent="0.3">
      <c r="A118115" s="12"/>
      <c r="B118115" s="15"/>
      <c r="C118115" s="15"/>
      <c r="D118115" s="12"/>
      <c r="E118115" s="12"/>
      <c r="F118115" s="13"/>
      <c r="G118115" s="12"/>
      <c r="H118115" s="12"/>
      <c r="I118115" s="12"/>
      <c r="J118115" s="12"/>
      <c r="K118115" s="12"/>
      <c r="L118115" s="208"/>
      <c r="M118115" s="209"/>
      <c r="N118115" s="209"/>
      <c r="O118115" s="209"/>
    </row>
    <row r="118116" spans="1:15" s="210" customFormat="1" x14ac:dyDescent="0.3">
      <c r="A118116" s="12"/>
      <c r="B118116" s="15"/>
      <c r="C118116" s="15"/>
      <c r="D118116" s="12"/>
      <c r="E118116" s="12"/>
      <c r="F118116" s="13"/>
      <c r="G118116" s="12"/>
      <c r="H118116" s="12"/>
      <c r="I118116" s="12"/>
      <c r="J118116" s="12"/>
      <c r="K118116" s="12"/>
      <c r="L118116" s="208"/>
      <c r="M118116" s="209"/>
      <c r="N118116" s="209"/>
      <c r="O118116" s="209"/>
    </row>
    <row r="118117" spans="1:15" s="210" customFormat="1" x14ac:dyDescent="0.3">
      <c r="A118117" s="12"/>
      <c r="B118117" s="15"/>
      <c r="C118117" s="15"/>
      <c r="D118117" s="12"/>
      <c r="E118117" s="12"/>
      <c r="F118117" s="13"/>
      <c r="G118117" s="12"/>
      <c r="H118117" s="12"/>
      <c r="I118117" s="12"/>
      <c r="J118117" s="12"/>
      <c r="K118117" s="12"/>
      <c r="L118117" s="208"/>
      <c r="M118117" s="209"/>
      <c r="N118117" s="209"/>
      <c r="O118117" s="209"/>
    </row>
    <row r="118118" spans="1:15" s="210" customFormat="1" x14ac:dyDescent="0.3">
      <c r="A118118" s="12"/>
      <c r="B118118" s="15"/>
      <c r="C118118" s="15"/>
      <c r="D118118" s="12"/>
      <c r="E118118" s="12"/>
      <c r="F118118" s="13"/>
      <c r="G118118" s="12"/>
      <c r="H118118" s="12"/>
      <c r="I118118" s="12"/>
      <c r="J118118" s="12"/>
      <c r="K118118" s="12"/>
      <c r="L118118" s="208"/>
      <c r="M118118" s="209"/>
      <c r="N118118" s="209"/>
      <c r="O118118" s="209"/>
    </row>
    <row r="118119" spans="1:15" s="210" customFormat="1" x14ac:dyDescent="0.3">
      <c r="A118119" s="12"/>
      <c r="B118119" s="15"/>
      <c r="C118119" s="15"/>
      <c r="D118119" s="12"/>
      <c r="E118119" s="12"/>
      <c r="F118119" s="13"/>
      <c r="G118119" s="12"/>
      <c r="H118119" s="12"/>
      <c r="I118119" s="12"/>
      <c r="J118119" s="12"/>
      <c r="K118119" s="12"/>
      <c r="L118119" s="208"/>
      <c r="M118119" s="209"/>
      <c r="N118119" s="209"/>
      <c r="O118119" s="209"/>
    </row>
    <row r="118120" spans="1:15" s="210" customFormat="1" x14ac:dyDescent="0.3">
      <c r="A118120" s="12"/>
      <c r="B118120" s="15"/>
      <c r="C118120" s="15"/>
      <c r="D118120" s="12"/>
      <c r="E118120" s="12"/>
      <c r="F118120" s="13"/>
      <c r="G118120" s="12"/>
      <c r="H118120" s="12"/>
      <c r="I118120" s="12"/>
      <c r="J118120" s="12"/>
      <c r="K118120" s="12"/>
      <c r="L118120" s="208"/>
      <c r="M118120" s="209"/>
      <c r="N118120" s="209"/>
      <c r="O118120" s="209"/>
    </row>
    <row r="118121" spans="1:15" s="210" customFormat="1" x14ac:dyDescent="0.3">
      <c r="A118121" s="12"/>
      <c r="B118121" s="15"/>
      <c r="C118121" s="15"/>
      <c r="D118121" s="12"/>
      <c r="E118121" s="12"/>
      <c r="F118121" s="13"/>
      <c r="G118121" s="12"/>
      <c r="H118121" s="12"/>
      <c r="I118121" s="12"/>
      <c r="J118121" s="12"/>
      <c r="K118121" s="12"/>
      <c r="L118121" s="208"/>
      <c r="M118121" s="209"/>
      <c r="N118121" s="209"/>
      <c r="O118121" s="209"/>
    </row>
    <row r="118122" spans="1:15" s="210" customFormat="1" x14ac:dyDescent="0.3">
      <c r="A118122" s="12"/>
      <c r="B118122" s="15"/>
      <c r="C118122" s="15"/>
      <c r="D118122" s="12"/>
      <c r="E118122" s="12"/>
      <c r="F118122" s="13"/>
      <c r="G118122" s="12"/>
      <c r="H118122" s="12"/>
      <c r="I118122" s="12"/>
      <c r="J118122" s="12"/>
      <c r="K118122" s="12"/>
      <c r="L118122" s="208"/>
      <c r="M118122" s="209"/>
      <c r="N118122" s="209"/>
      <c r="O118122" s="209"/>
    </row>
    <row r="118123" spans="1:15" s="210" customFormat="1" x14ac:dyDescent="0.3">
      <c r="A118123" s="12"/>
      <c r="B118123" s="15"/>
      <c r="C118123" s="15"/>
      <c r="D118123" s="12"/>
      <c r="E118123" s="12"/>
      <c r="F118123" s="13"/>
      <c r="G118123" s="12"/>
      <c r="H118123" s="12"/>
      <c r="I118123" s="12"/>
      <c r="J118123" s="12"/>
      <c r="K118123" s="12"/>
      <c r="L118123" s="208"/>
      <c r="M118123" s="209"/>
      <c r="N118123" s="209"/>
      <c r="O118123" s="209"/>
    </row>
    <row r="118124" spans="1:15" s="210" customFormat="1" x14ac:dyDescent="0.3">
      <c r="A118124" s="12"/>
      <c r="B118124" s="15"/>
      <c r="C118124" s="15"/>
      <c r="D118124" s="12"/>
      <c r="E118124" s="12"/>
      <c r="F118124" s="13"/>
      <c r="G118124" s="12"/>
      <c r="H118124" s="12"/>
      <c r="I118124" s="12"/>
      <c r="J118124" s="12"/>
      <c r="K118124" s="12"/>
      <c r="L118124" s="208"/>
      <c r="M118124" s="209"/>
      <c r="N118124" s="209"/>
      <c r="O118124" s="209"/>
    </row>
    <row r="118125" spans="1:15" s="210" customFormat="1" x14ac:dyDescent="0.3">
      <c r="A118125" s="12"/>
      <c r="B118125" s="15"/>
      <c r="C118125" s="15"/>
      <c r="D118125" s="12"/>
      <c r="E118125" s="12"/>
      <c r="F118125" s="13"/>
      <c r="G118125" s="12"/>
      <c r="H118125" s="12"/>
      <c r="I118125" s="12"/>
      <c r="J118125" s="12"/>
      <c r="K118125" s="12"/>
      <c r="L118125" s="208"/>
      <c r="M118125" s="209"/>
      <c r="N118125" s="209"/>
      <c r="O118125" s="209"/>
    </row>
    <row r="118126" spans="1:15" s="210" customFormat="1" x14ac:dyDescent="0.3">
      <c r="A118126" s="12"/>
      <c r="B118126" s="15"/>
      <c r="C118126" s="15"/>
      <c r="D118126" s="12"/>
      <c r="E118126" s="12"/>
      <c r="F118126" s="13"/>
      <c r="G118126" s="12"/>
      <c r="H118126" s="12"/>
      <c r="I118126" s="12"/>
      <c r="J118126" s="12"/>
      <c r="K118126" s="12"/>
      <c r="L118126" s="208"/>
      <c r="M118126" s="209"/>
      <c r="N118126" s="209"/>
      <c r="O118126" s="209"/>
    </row>
    <row r="118127" spans="1:15" s="210" customFormat="1" x14ac:dyDescent="0.3">
      <c r="A118127" s="12"/>
      <c r="B118127" s="15"/>
      <c r="C118127" s="15"/>
      <c r="D118127" s="12"/>
      <c r="E118127" s="12"/>
      <c r="F118127" s="13"/>
      <c r="G118127" s="12"/>
      <c r="H118127" s="12"/>
      <c r="I118127" s="12"/>
      <c r="J118127" s="12"/>
      <c r="K118127" s="12"/>
      <c r="L118127" s="208"/>
      <c r="M118127" s="209"/>
      <c r="N118127" s="209"/>
      <c r="O118127" s="209"/>
    </row>
    <row r="118128" spans="1:15" s="210" customFormat="1" x14ac:dyDescent="0.3">
      <c r="A118128" s="12"/>
      <c r="B118128" s="15"/>
      <c r="C118128" s="15"/>
      <c r="D118128" s="12"/>
      <c r="E118128" s="12"/>
      <c r="F118128" s="13"/>
      <c r="G118128" s="12"/>
      <c r="H118128" s="12"/>
      <c r="I118128" s="12"/>
      <c r="J118128" s="12"/>
      <c r="K118128" s="12"/>
      <c r="L118128" s="208"/>
      <c r="M118128" s="209"/>
      <c r="N118128" s="209"/>
      <c r="O118128" s="209"/>
    </row>
    <row r="118129" spans="1:15" s="210" customFormat="1" x14ac:dyDescent="0.3">
      <c r="A118129" s="12"/>
      <c r="B118129" s="15"/>
      <c r="C118129" s="15"/>
      <c r="D118129" s="12"/>
      <c r="E118129" s="12"/>
      <c r="F118129" s="13"/>
      <c r="G118129" s="12"/>
      <c r="H118129" s="12"/>
      <c r="I118129" s="12"/>
      <c r="J118129" s="12"/>
      <c r="K118129" s="12"/>
      <c r="L118129" s="208"/>
      <c r="M118129" s="209"/>
      <c r="N118129" s="209"/>
      <c r="O118129" s="209"/>
    </row>
    <row r="118130" spans="1:15" s="210" customFormat="1" x14ac:dyDescent="0.3">
      <c r="A118130" s="12"/>
      <c r="B118130" s="15"/>
      <c r="C118130" s="15"/>
      <c r="D118130" s="12"/>
      <c r="E118130" s="12"/>
      <c r="F118130" s="13"/>
      <c r="G118130" s="12"/>
      <c r="H118130" s="12"/>
      <c r="I118130" s="12"/>
      <c r="J118130" s="12"/>
      <c r="K118130" s="12"/>
      <c r="L118130" s="208"/>
      <c r="M118130" s="209"/>
      <c r="N118130" s="209"/>
      <c r="O118130" s="209"/>
    </row>
    <row r="118131" spans="1:15" s="210" customFormat="1" x14ac:dyDescent="0.3">
      <c r="A118131" s="12"/>
      <c r="B118131" s="15"/>
      <c r="C118131" s="15"/>
      <c r="D118131" s="12"/>
      <c r="E118131" s="12"/>
      <c r="F118131" s="13"/>
      <c r="G118131" s="12"/>
      <c r="H118131" s="12"/>
      <c r="I118131" s="12"/>
      <c r="J118131" s="12"/>
      <c r="K118131" s="12"/>
      <c r="L118131" s="208"/>
      <c r="M118131" s="209"/>
      <c r="N118131" s="209"/>
      <c r="O118131" s="209"/>
    </row>
    <row r="118132" spans="1:15" s="210" customFormat="1" x14ac:dyDescent="0.3">
      <c r="A118132" s="12"/>
      <c r="B118132" s="15"/>
      <c r="C118132" s="15"/>
      <c r="D118132" s="12"/>
      <c r="E118132" s="12"/>
      <c r="F118132" s="13"/>
      <c r="G118132" s="12"/>
      <c r="H118132" s="12"/>
      <c r="I118132" s="12"/>
      <c r="J118132" s="12"/>
      <c r="K118132" s="12"/>
      <c r="L118132" s="208"/>
      <c r="M118132" s="209"/>
      <c r="N118132" s="209"/>
      <c r="O118132" s="209"/>
    </row>
    <row r="118133" spans="1:15" s="210" customFormat="1" x14ac:dyDescent="0.3">
      <c r="A118133" s="12"/>
      <c r="B118133" s="15"/>
      <c r="C118133" s="15"/>
      <c r="D118133" s="12"/>
      <c r="E118133" s="12"/>
      <c r="F118133" s="13"/>
      <c r="G118133" s="12"/>
      <c r="H118133" s="12"/>
      <c r="I118133" s="12"/>
      <c r="J118133" s="12"/>
      <c r="K118133" s="12"/>
      <c r="L118133" s="208"/>
      <c r="M118133" s="209"/>
      <c r="N118133" s="209"/>
      <c r="O118133" s="209"/>
    </row>
    <row r="118134" spans="1:15" s="210" customFormat="1" x14ac:dyDescent="0.3">
      <c r="A118134" s="12"/>
      <c r="B118134" s="15"/>
      <c r="C118134" s="15"/>
      <c r="D118134" s="12"/>
      <c r="E118134" s="12"/>
      <c r="F118134" s="13"/>
      <c r="G118134" s="12"/>
      <c r="H118134" s="12"/>
      <c r="I118134" s="12"/>
      <c r="J118134" s="12"/>
      <c r="K118134" s="12"/>
      <c r="L118134" s="208"/>
      <c r="M118134" s="209"/>
      <c r="N118134" s="209"/>
      <c r="O118134" s="209"/>
    </row>
    <row r="118135" spans="1:15" s="210" customFormat="1" x14ac:dyDescent="0.3">
      <c r="A118135" s="12"/>
      <c r="B118135" s="15"/>
      <c r="C118135" s="15"/>
      <c r="D118135" s="12"/>
      <c r="E118135" s="12"/>
      <c r="F118135" s="13"/>
      <c r="G118135" s="12"/>
      <c r="H118135" s="12"/>
      <c r="I118135" s="12"/>
      <c r="J118135" s="12"/>
      <c r="K118135" s="12"/>
      <c r="L118135" s="208"/>
      <c r="M118135" s="209"/>
      <c r="N118135" s="209"/>
      <c r="O118135" s="209"/>
    </row>
    <row r="118136" spans="1:15" s="210" customFormat="1" x14ac:dyDescent="0.3">
      <c r="A118136" s="12"/>
      <c r="B118136" s="15"/>
      <c r="C118136" s="15"/>
      <c r="D118136" s="12"/>
      <c r="E118136" s="12"/>
      <c r="F118136" s="13"/>
      <c r="G118136" s="12"/>
      <c r="H118136" s="12"/>
      <c r="I118136" s="12"/>
      <c r="J118136" s="12"/>
      <c r="K118136" s="12"/>
      <c r="L118136" s="208"/>
      <c r="M118136" s="209"/>
      <c r="N118136" s="209"/>
      <c r="O118136" s="209"/>
    </row>
    <row r="118137" spans="1:15" s="210" customFormat="1" x14ac:dyDescent="0.3">
      <c r="A118137" s="12"/>
      <c r="B118137" s="15"/>
      <c r="C118137" s="15"/>
      <c r="D118137" s="12"/>
      <c r="E118137" s="12"/>
      <c r="F118137" s="13"/>
      <c r="G118137" s="12"/>
      <c r="H118137" s="12"/>
      <c r="I118137" s="12"/>
      <c r="J118137" s="12"/>
      <c r="K118137" s="12"/>
      <c r="L118137" s="208"/>
      <c r="M118137" s="209"/>
      <c r="N118137" s="209"/>
      <c r="O118137" s="209"/>
    </row>
    <row r="118138" spans="1:15" s="210" customFormat="1" x14ac:dyDescent="0.3">
      <c r="A118138" s="12"/>
      <c r="B118138" s="15"/>
      <c r="C118138" s="15"/>
      <c r="D118138" s="12"/>
      <c r="E118138" s="12"/>
      <c r="F118138" s="13"/>
      <c r="G118138" s="12"/>
      <c r="H118138" s="12"/>
      <c r="I118138" s="12"/>
      <c r="J118138" s="12"/>
      <c r="K118138" s="12"/>
      <c r="L118138" s="208"/>
      <c r="M118138" s="209"/>
      <c r="N118138" s="209"/>
      <c r="O118138" s="209"/>
    </row>
    <row r="118139" spans="1:15" s="210" customFormat="1" x14ac:dyDescent="0.3">
      <c r="A118139" s="12"/>
      <c r="B118139" s="15"/>
      <c r="C118139" s="15"/>
      <c r="D118139" s="12"/>
      <c r="E118139" s="12"/>
      <c r="F118139" s="13"/>
      <c r="G118139" s="12"/>
      <c r="H118139" s="12"/>
      <c r="I118139" s="12"/>
      <c r="J118139" s="12"/>
      <c r="K118139" s="12"/>
      <c r="L118139" s="208"/>
      <c r="M118139" s="209"/>
      <c r="N118139" s="209"/>
      <c r="O118139" s="209"/>
    </row>
    <row r="118140" spans="1:15" s="210" customFormat="1" x14ac:dyDescent="0.3">
      <c r="A118140" s="12"/>
      <c r="B118140" s="15"/>
      <c r="C118140" s="15"/>
      <c r="D118140" s="12"/>
      <c r="E118140" s="12"/>
      <c r="F118140" s="13"/>
      <c r="G118140" s="12"/>
      <c r="H118140" s="12"/>
      <c r="I118140" s="12"/>
      <c r="J118140" s="12"/>
      <c r="K118140" s="12"/>
      <c r="L118140" s="208"/>
      <c r="M118140" s="209"/>
      <c r="N118140" s="209"/>
      <c r="O118140" s="209"/>
    </row>
    <row r="118141" spans="1:15" s="210" customFormat="1" x14ac:dyDescent="0.3">
      <c r="A118141" s="12"/>
      <c r="B118141" s="15"/>
      <c r="C118141" s="15"/>
      <c r="D118141" s="12"/>
      <c r="E118141" s="12"/>
      <c r="F118141" s="13"/>
      <c r="G118141" s="12"/>
      <c r="H118141" s="12"/>
      <c r="I118141" s="12"/>
      <c r="J118141" s="12"/>
      <c r="K118141" s="12"/>
      <c r="L118141" s="208"/>
      <c r="M118141" s="209"/>
      <c r="N118141" s="209"/>
      <c r="O118141" s="209"/>
    </row>
    <row r="118142" spans="1:15" s="210" customFormat="1" x14ac:dyDescent="0.3">
      <c r="A118142" s="12"/>
      <c r="B118142" s="15"/>
      <c r="C118142" s="15"/>
      <c r="D118142" s="12"/>
      <c r="E118142" s="12"/>
      <c r="F118142" s="13"/>
      <c r="G118142" s="12"/>
      <c r="H118142" s="12"/>
      <c r="I118142" s="12"/>
      <c r="J118142" s="12"/>
      <c r="K118142" s="12"/>
      <c r="L118142" s="208"/>
      <c r="M118142" s="209"/>
      <c r="N118142" s="209"/>
      <c r="O118142" s="209"/>
    </row>
    <row r="118143" spans="1:15" s="210" customFormat="1" x14ac:dyDescent="0.3">
      <c r="A118143" s="12"/>
      <c r="B118143" s="15"/>
      <c r="C118143" s="15"/>
      <c r="D118143" s="12"/>
      <c r="E118143" s="12"/>
      <c r="F118143" s="13"/>
      <c r="G118143" s="12"/>
      <c r="H118143" s="12"/>
      <c r="I118143" s="12"/>
      <c r="J118143" s="12"/>
      <c r="K118143" s="12"/>
      <c r="L118143" s="208"/>
      <c r="M118143" s="209"/>
      <c r="N118143" s="209"/>
      <c r="O118143" s="209"/>
    </row>
    <row r="118144" spans="1:15" s="210" customFormat="1" x14ac:dyDescent="0.3">
      <c r="A118144" s="12"/>
      <c r="B118144" s="15"/>
      <c r="C118144" s="15"/>
      <c r="D118144" s="12"/>
      <c r="E118144" s="12"/>
      <c r="F118144" s="13"/>
      <c r="G118144" s="12"/>
      <c r="H118144" s="12"/>
      <c r="I118144" s="12"/>
      <c r="J118144" s="12"/>
      <c r="K118144" s="12"/>
      <c r="L118144" s="208"/>
      <c r="M118144" s="209"/>
      <c r="N118144" s="209"/>
      <c r="O118144" s="209"/>
    </row>
    <row r="118145" spans="1:15" s="210" customFormat="1" x14ac:dyDescent="0.3">
      <c r="A118145" s="12"/>
      <c r="B118145" s="15"/>
      <c r="C118145" s="15"/>
      <c r="D118145" s="12"/>
      <c r="E118145" s="12"/>
      <c r="F118145" s="13"/>
      <c r="G118145" s="12"/>
      <c r="H118145" s="12"/>
      <c r="I118145" s="12"/>
      <c r="J118145" s="12"/>
      <c r="K118145" s="12"/>
      <c r="L118145" s="208"/>
      <c r="M118145" s="209"/>
      <c r="N118145" s="209"/>
      <c r="O118145" s="209"/>
    </row>
    <row r="118146" spans="1:15" s="210" customFormat="1" x14ac:dyDescent="0.3">
      <c r="A118146" s="12"/>
      <c r="B118146" s="15"/>
      <c r="C118146" s="15"/>
      <c r="D118146" s="12"/>
      <c r="E118146" s="12"/>
      <c r="F118146" s="13"/>
      <c r="G118146" s="12"/>
      <c r="H118146" s="12"/>
      <c r="I118146" s="12"/>
      <c r="J118146" s="12"/>
      <c r="K118146" s="12"/>
      <c r="L118146" s="208"/>
      <c r="M118146" s="209"/>
      <c r="N118146" s="209"/>
      <c r="O118146" s="209"/>
    </row>
    <row r="118147" spans="1:15" s="210" customFormat="1" x14ac:dyDescent="0.3">
      <c r="A118147" s="12"/>
      <c r="B118147" s="15"/>
      <c r="C118147" s="15"/>
      <c r="D118147" s="12"/>
      <c r="E118147" s="12"/>
      <c r="F118147" s="13"/>
      <c r="G118147" s="12"/>
      <c r="H118147" s="12"/>
      <c r="I118147" s="12"/>
      <c r="J118147" s="12"/>
      <c r="K118147" s="12"/>
      <c r="L118147" s="208"/>
      <c r="M118147" s="209"/>
      <c r="N118147" s="209"/>
      <c r="O118147" s="209"/>
    </row>
    <row r="118148" spans="1:15" s="210" customFormat="1" x14ac:dyDescent="0.3">
      <c r="A118148" s="12"/>
      <c r="B118148" s="15"/>
      <c r="C118148" s="15"/>
      <c r="D118148" s="12"/>
      <c r="E118148" s="12"/>
      <c r="F118148" s="13"/>
      <c r="G118148" s="12"/>
      <c r="H118148" s="12"/>
      <c r="I118148" s="12"/>
      <c r="J118148" s="12"/>
      <c r="K118148" s="12"/>
      <c r="L118148" s="208"/>
      <c r="M118148" s="209"/>
      <c r="N118148" s="209"/>
      <c r="O118148" s="209"/>
    </row>
    <row r="118149" spans="1:15" s="210" customFormat="1" x14ac:dyDescent="0.3">
      <c r="A118149" s="12"/>
      <c r="B118149" s="15"/>
      <c r="C118149" s="15"/>
      <c r="D118149" s="12"/>
      <c r="E118149" s="12"/>
      <c r="F118149" s="13"/>
      <c r="G118149" s="12"/>
      <c r="H118149" s="12"/>
      <c r="I118149" s="12"/>
      <c r="J118149" s="12"/>
      <c r="K118149" s="12"/>
      <c r="L118149" s="208"/>
      <c r="M118149" s="209"/>
      <c r="N118149" s="209"/>
      <c r="O118149" s="209"/>
    </row>
    <row r="118150" spans="1:15" s="210" customFormat="1" x14ac:dyDescent="0.3">
      <c r="A118150" s="12"/>
      <c r="B118150" s="15"/>
      <c r="C118150" s="15"/>
      <c r="D118150" s="12"/>
      <c r="E118150" s="12"/>
      <c r="F118150" s="13"/>
      <c r="G118150" s="12"/>
      <c r="H118150" s="12"/>
      <c r="I118150" s="12"/>
      <c r="J118150" s="12"/>
      <c r="K118150" s="12"/>
      <c r="L118150" s="208"/>
      <c r="M118150" s="209"/>
      <c r="N118150" s="209"/>
      <c r="O118150" s="209"/>
    </row>
    <row r="118151" spans="1:15" s="210" customFormat="1" x14ac:dyDescent="0.3">
      <c r="A118151" s="12"/>
      <c r="B118151" s="15"/>
      <c r="C118151" s="15"/>
      <c r="D118151" s="12"/>
      <c r="E118151" s="12"/>
      <c r="F118151" s="13"/>
      <c r="G118151" s="12"/>
      <c r="H118151" s="12"/>
      <c r="I118151" s="12"/>
      <c r="J118151" s="12"/>
      <c r="K118151" s="12"/>
      <c r="L118151" s="208"/>
      <c r="M118151" s="209"/>
      <c r="N118151" s="209"/>
      <c r="O118151" s="209"/>
    </row>
    <row r="118152" spans="1:15" s="210" customFormat="1" x14ac:dyDescent="0.3">
      <c r="A118152" s="12"/>
      <c r="B118152" s="15"/>
      <c r="C118152" s="15"/>
      <c r="D118152" s="12"/>
      <c r="E118152" s="12"/>
      <c r="F118152" s="13"/>
      <c r="G118152" s="12"/>
      <c r="H118152" s="12"/>
      <c r="I118152" s="12"/>
      <c r="J118152" s="12"/>
      <c r="K118152" s="12"/>
      <c r="L118152" s="208"/>
      <c r="M118152" s="209"/>
      <c r="N118152" s="209"/>
      <c r="O118152" s="209"/>
    </row>
    <row r="118153" spans="1:15" s="210" customFormat="1" x14ac:dyDescent="0.3">
      <c r="A118153" s="12"/>
      <c r="B118153" s="15"/>
      <c r="C118153" s="15"/>
      <c r="D118153" s="12"/>
      <c r="E118153" s="12"/>
      <c r="F118153" s="13"/>
      <c r="G118153" s="12"/>
      <c r="H118153" s="12"/>
      <c r="I118153" s="12"/>
      <c r="J118153" s="12"/>
      <c r="K118153" s="12"/>
      <c r="L118153" s="208"/>
      <c r="M118153" s="209"/>
      <c r="N118153" s="209"/>
      <c r="O118153" s="209"/>
    </row>
    <row r="118154" spans="1:15" s="210" customFormat="1" x14ac:dyDescent="0.3">
      <c r="A118154" s="12"/>
      <c r="B118154" s="15"/>
      <c r="C118154" s="15"/>
      <c r="D118154" s="12"/>
      <c r="E118154" s="12"/>
      <c r="F118154" s="13"/>
      <c r="G118154" s="12"/>
      <c r="H118154" s="12"/>
      <c r="I118154" s="12"/>
      <c r="J118154" s="12"/>
      <c r="K118154" s="12"/>
      <c r="L118154" s="208"/>
      <c r="M118154" s="209"/>
      <c r="N118154" s="209"/>
      <c r="O118154" s="209"/>
    </row>
    <row r="118155" spans="1:15" s="210" customFormat="1" x14ac:dyDescent="0.3">
      <c r="A118155" s="12"/>
      <c r="B118155" s="15"/>
      <c r="C118155" s="15"/>
      <c r="D118155" s="12"/>
      <c r="E118155" s="12"/>
      <c r="F118155" s="13"/>
      <c r="G118155" s="12"/>
      <c r="H118155" s="12"/>
      <c r="I118155" s="12"/>
      <c r="J118155" s="12"/>
      <c r="K118155" s="12"/>
      <c r="L118155" s="208"/>
      <c r="M118155" s="209"/>
      <c r="N118155" s="209"/>
      <c r="O118155" s="209"/>
    </row>
    <row r="118156" spans="1:15" s="210" customFormat="1" x14ac:dyDescent="0.3">
      <c r="A118156" s="12"/>
      <c r="B118156" s="15"/>
      <c r="C118156" s="15"/>
      <c r="D118156" s="12"/>
      <c r="E118156" s="12"/>
      <c r="F118156" s="13"/>
      <c r="G118156" s="12"/>
      <c r="H118156" s="12"/>
      <c r="I118156" s="12"/>
      <c r="J118156" s="12"/>
      <c r="K118156" s="12"/>
      <c r="L118156" s="208"/>
      <c r="M118156" s="209"/>
      <c r="N118156" s="209"/>
      <c r="O118156" s="209"/>
    </row>
    <row r="118157" spans="1:15" s="210" customFormat="1" x14ac:dyDescent="0.3">
      <c r="A118157" s="12"/>
      <c r="B118157" s="15"/>
      <c r="C118157" s="15"/>
      <c r="D118157" s="12"/>
      <c r="E118157" s="12"/>
      <c r="F118157" s="13"/>
      <c r="G118157" s="12"/>
      <c r="H118157" s="12"/>
      <c r="I118157" s="12"/>
      <c r="J118157" s="12"/>
      <c r="K118157" s="12"/>
      <c r="L118157" s="208"/>
      <c r="M118157" s="209"/>
      <c r="N118157" s="209"/>
      <c r="O118157" s="209"/>
    </row>
    <row r="118158" spans="1:15" s="210" customFormat="1" x14ac:dyDescent="0.3">
      <c r="A118158" s="12"/>
      <c r="B118158" s="15"/>
      <c r="C118158" s="15"/>
      <c r="D118158" s="12"/>
      <c r="E118158" s="12"/>
      <c r="F118158" s="13"/>
      <c r="G118158" s="12"/>
      <c r="H118158" s="12"/>
      <c r="I118158" s="12"/>
      <c r="J118158" s="12"/>
      <c r="K118158" s="12"/>
      <c r="L118158" s="208"/>
      <c r="M118158" s="209"/>
      <c r="N118158" s="209"/>
      <c r="O118158" s="209"/>
    </row>
    <row r="118159" spans="1:15" s="210" customFormat="1" x14ac:dyDescent="0.3">
      <c r="A118159" s="12"/>
      <c r="B118159" s="15"/>
      <c r="C118159" s="15"/>
      <c r="D118159" s="12"/>
      <c r="E118159" s="12"/>
      <c r="F118159" s="13"/>
      <c r="G118159" s="12"/>
      <c r="H118159" s="12"/>
      <c r="I118159" s="12"/>
      <c r="J118159" s="12"/>
      <c r="K118159" s="12"/>
      <c r="L118159" s="208"/>
      <c r="M118159" s="209"/>
      <c r="N118159" s="209"/>
      <c r="O118159" s="209"/>
    </row>
    <row r="118160" spans="1:15" s="210" customFormat="1" x14ac:dyDescent="0.3">
      <c r="A118160" s="12"/>
      <c r="B118160" s="15"/>
      <c r="C118160" s="15"/>
      <c r="D118160" s="12"/>
      <c r="E118160" s="12"/>
      <c r="F118160" s="13"/>
      <c r="G118160" s="12"/>
      <c r="H118160" s="12"/>
      <c r="I118160" s="12"/>
      <c r="J118160" s="12"/>
      <c r="K118160" s="12"/>
      <c r="L118160" s="208"/>
      <c r="M118160" s="209"/>
      <c r="N118160" s="209"/>
      <c r="O118160" s="209"/>
    </row>
    <row r="118161" spans="1:15" s="210" customFormat="1" x14ac:dyDescent="0.3">
      <c r="A118161" s="12"/>
      <c r="B118161" s="15"/>
      <c r="C118161" s="15"/>
      <c r="D118161" s="12"/>
      <c r="E118161" s="12"/>
      <c r="F118161" s="13"/>
      <c r="G118161" s="12"/>
      <c r="H118161" s="12"/>
      <c r="I118161" s="12"/>
      <c r="J118161" s="12"/>
      <c r="K118161" s="12"/>
      <c r="L118161" s="208"/>
      <c r="M118161" s="209"/>
      <c r="N118161" s="209"/>
      <c r="O118161" s="209"/>
    </row>
    <row r="118162" spans="1:15" s="210" customFormat="1" x14ac:dyDescent="0.3">
      <c r="A118162" s="12"/>
      <c r="B118162" s="15"/>
      <c r="C118162" s="15"/>
      <c r="D118162" s="12"/>
      <c r="E118162" s="12"/>
      <c r="F118162" s="13"/>
      <c r="G118162" s="12"/>
      <c r="H118162" s="12"/>
      <c r="I118162" s="12"/>
      <c r="J118162" s="12"/>
      <c r="K118162" s="12"/>
      <c r="L118162" s="208"/>
      <c r="M118162" s="209"/>
      <c r="N118162" s="209"/>
      <c r="O118162" s="209"/>
    </row>
    <row r="118163" spans="1:15" s="210" customFormat="1" x14ac:dyDescent="0.3">
      <c r="A118163" s="12"/>
      <c r="B118163" s="15"/>
      <c r="C118163" s="15"/>
      <c r="D118163" s="12"/>
      <c r="E118163" s="12"/>
      <c r="F118163" s="13"/>
      <c r="G118163" s="12"/>
      <c r="H118163" s="12"/>
      <c r="I118163" s="12"/>
      <c r="J118163" s="12"/>
      <c r="K118163" s="12"/>
      <c r="L118163" s="208"/>
      <c r="M118163" s="209"/>
      <c r="N118163" s="209"/>
      <c r="O118163" s="209"/>
    </row>
    <row r="118164" spans="1:15" s="210" customFormat="1" x14ac:dyDescent="0.3">
      <c r="A118164" s="12"/>
      <c r="B118164" s="15"/>
      <c r="C118164" s="15"/>
      <c r="D118164" s="12"/>
      <c r="E118164" s="12"/>
      <c r="F118164" s="13"/>
      <c r="G118164" s="12"/>
      <c r="H118164" s="12"/>
      <c r="I118164" s="12"/>
      <c r="J118164" s="12"/>
      <c r="K118164" s="12"/>
      <c r="L118164" s="208"/>
      <c r="M118164" s="209"/>
      <c r="N118164" s="209"/>
      <c r="O118164" s="209"/>
    </row>
    <row r="118165" spans="1:15" s="210" customFormat="1" x14ac:dyDescent="0.3">
      <c r="A118165" s="12"/>
      <c r="B118165" s="15"/>
      <c r="C118165" s="15"/>
      <c r="D118165" s="12"/>
      <c r="E118165" s="12"/>
      <c r="F118165" s="13"/>
      <c r="G118165" s="12"/>
      <c r="H118165" s="12"/>
      <c r="I118165" s="12"/>
      <c r="J118165" s="12"/>
      <c r="K118165" s="12"/>
      <c r="L118165" s="208"/>
      <c r="M118165" s="209"/>
      <c r="N118165" s="209"/>
      <c r="O118165" s="209"/>
    </row>
    <row r="118166" spans="1:15" s="210" customFormat="1" x14ac:dyDescent="0.3">
      <c r="A118166" s="12"/>
      <c r="B118166" s="15"/>
      <c r="C118166" s="15"/>
      <c r="D118166" s="12"/>
      <c r="E118166" s="12"/>
      <c r="F118166" s="13"/>
      <c r="G118166" s="12"/>
      <c r="H118166" s="12"/>
      <c r="I118166" s="12"/>
      <c r="J118166" s="12"/>
      <c r="K118166" s="12"/>
      <c r="L118166" s="208"/>
      <c r="M118166" s="209"/>
      <c r="N118166" s="209"/>
      <c r="O118166" s="209"/>
    </row>
    <row r="118167" spans="1:15" s="210" customFormat="1" x14ac:dyDescent="0.3">
      <c r="A118167" s="12"/>
      <c r="B118167" s="15"/>
      <c r="C118167" s="15"/>
      <c r="D118167" s="12"/>
      <c r="E118167" s="12"/>
      <c r="F118167" s="13"/>
      <c r="G118167" s="12"/>
      <c r="H118167" s="12"/>
      <c r="I118167" s="12"/>
      <c r="J118167" s="12"/>
      <c r="K118167" s="12"/>
      <c r="L118167" s="208"/>
      <c r="M118167" s="209"/>
      <c r="N118167" s="209"/>
      <c r="O118167" s="209"/>
    </row>
    <row r="118168" spans="1:15" s="210" customFormat="1" x14ac:dyDescent="0.3">
      <c r="A118168" s="12"/>
      <c r="B118168" s="15"/>
      <c r="C118168" s="15"/>
      <c r="D118168" s="12"/>
      <c r="E118168" s="12"/>
      <c r="F118168" s="13"/>
      <c r="G118168" s="12"/>
      <c r="H118168" s="12"/>
      <c r="I118168" s="12"/>
      <c r="J118168" s="12"/>
      <c r="K118168" s="12"/>
      <c r="L118168" s="208"/>
      <c r="M118168" s="209"/>
      <c r="N118168" s="209"/>
      <c r="O118168" s="209"/>
    </row>
    <row r="118169" spans="1:15" s="210" customFormat="1" x14ac:dyDescent="0.3">
      <c r="A118169" s="12"/>
      <c r="B118169" s="15"/>
      <c r="C118169" s="15"/>
      <c r="D118169" s="12"/>
      <c r="E118169" s="12"/>
      <c r="F118169" s="13"/>
      <c r="G118169" s="12"/>
      <c r="H118169" s="12"/>
      <c r="I118169" s="12"/>
      <c r="J118169" s="12"/>
      <c r="K118169" s="12"/>
      <c r="L118169" s="208"/>
      <c r="M118169" s="209"/>
      <c r="N118169" s="209"/>
      <c r="O118169" s="209"/>
    </row>
    <row r="118170" spans="1:15" s="210" customFormat="1" x14ac:dyDescent="0.3">
      <c r="A118170" s="12"/>
      <c r="B118170" s="15"/>
      <c r="C118170" s="15"/>
      <c r="D118170" s="12"/>
      <c r="E118170" s="12"/>
      <c r="F118170" s="13"/>
      <c r="G118170" s="12"/>
      <c r="H118170" s="12"/>
      <c r="I118170" s="12"/>
      <c r="J118170" s="12"/>
      <c r="K118170" s="12"/>
      <c r="L118170" s="208"/>
      <c r="M118170" s="209"/>
      <c r="N118170" s="209"/>
      <c r="O118170" s="209"/>
    </row>
    <row r="118171" spans="1:15" s="210" customFormat="1" x14ac:dyDescent="0.3">
      <c r="A118171" s="12"/>
      <c r="B118171" s="15"/>
      <c r="C118171" s="15"/>
      <c r="D118171" s="12"/>
      <c r="E118171" s="12"/>
      <c r="F118171" s="13"/>
      <c r="G118171" s="12"/>
      <c r="H118171" s="12"/>
      <c r="I118171" s="12"/>
      <c r="J118171" s="12"/>
      <c r="K118171" s="12"/>
      <c r="L118171" s="208"/>
      <c r="M118171" s="209"/>
      <c r="N118171" s="209"/>
      <c r="O118171" s="209"/>
    </row>
    <row r="118172" spans="1:15" s="210" customFormat="1" x14ac:dyDescent="0.3">
      <c r="A118172" s="12"/>
      <c r="B118172" s="15"/>
      <c r="C118172" s="15"/>
      <c r="D118172" s="12"/>
      <c r="E118172" s="12"/>
      <c r="F118172" s="13"/>
      <c r="G118172" s="12"/>
      <c r="H118172" s="12"/>
      <c r="I118172" s="12"/>
      <c r="J118172" s="12"/>
      <c r="K118172" s="12"/>
      <c r="L118172" s="208"/>
      <c r="M118172" s="209"/>
      <c r="N118172" s="209"/>
      <c r="O118172" s="209"/>
    </row>
    <row r="118173" spans="1:15" s="210" customFormat="1" x14ac:dyDescent="0.3">
      <c r="A118173" s="12"/>
      <c r="B118173" s="15"/>
      <c r="C118173" s="15"/>
      <c r="D118173" s="12"/>
      <c r="E118173" s="12"/>
      <c r="F118173" s="13"/>
      <c r="G118173" s="12"/>
      <c r="H118173" s="12"/>
      <c r="I118173" s="12"/>
      <c r="J118173" s="12"/>
      <c r="K118173" s="12"/>
      <c r="L118173" s="208"/>
      <c r="M118173" s="209"/>
      <c r="N118173" s="209"/>
      <c r="O118173" s="209"/>
    </row>
    <row r="118174" spans="1:15" s="210" customFormat="1" x14ac:dyDescent="0.3">
      <c r="A118174" s="12"/>
      <c r="B118174" s="15"/>
      <c r="C118174" s="15"/>
      <c r="D118174" s="12"/>
      <c r="E118174" s="12"/>
      <c r="F118174" s="13"/>
      <c r="G118174" s="12"/>
      <c r="H118174" s="12"/>
      <c r="I118174" s="12"/>
      <c r="J118174" s="12"/>
      <c r="K118174" s="12"/>
      <c r="L118174" s="208"/>
      <c r="M118174" s="209"/>
      <c r="N118174" s="209"/>
      <c r="O118174" s="209"/>
    </row>
    <row r="118175" spans="1:15" s="210" customFormat="1" x14ac:dyDescent="0.3">
      <c r="A118175" s="12"/>
      <c r="B118175" s="15"/>
      <c r="C118175" s="15"/>
      <c r="D118175" s="12"/>
      <c r="E118175" s="12"/>
      <c r="F118175" s="13"/>
      <c r="G118175" s="12"/>
      <c r="H118175" s="12"/>
      <c r="I118175" s="12"/>
      <c r="J118175" s="12"/>
      <c r="K118175" s="12"/>
      <c r="L118175" s="208"/>
      <c r="M118175" s="209"/>
      <c r="N118175" s="209"/>
      <c r="O118175" s="209"/>
    </row>
    <row r="118176" spans="1:15" s="210" customFormat="1" x14ac:dyDescent="0.3">
      <c r="A118176" s="12"/>
      <c r="B118176" s="15"/>
      <c r="C118176" s="15"/>
      <c r="D118176" s="12"/>
      <c r="E118176" s="12"/>
      <c r="F118176" s="13"/>
      <c r="G118176" s="12"/>
      <c r="H118176" s="12"/>
      <c r="I118176" s="12"/>
      <c r="J118176" s="12"/>
      <c r="K118176" s="12"/>
      <c r="L118176" s="208"/>
      <c r="M118176" s="209"/>
      <c r="N118176" s="209"/>
      <c r="O118176" s="209"/>
    </row>
    <row r="118177" spans="1:15" s="210" customFormat="1" x14ac:dyDescent="0.3">
      <c r="A118177" s="12"/>
      <c r="B118177" s="15"/>
      <c r="C118177" s="15"/>
      <c r="D118177" s="12"/>
      <c r="E118177" s="12"/>
      <c r="F118177" s="13"/>
      <c r="G118177" s="12"/>
      <c r="H118177" s="12"/>
      <c r="I118177" s="12"/>
      <c r="J118177" s="12"/>
      <c r="K118177" s="12"/>
      <c r="L118177" s="208"/>
      <c r="M118177" s="209"/>
      <c r="N118177" s="209"/>
      <c r="O118177" s="209"/>
    </row>
    <row r="118178" spans="1:15" s="210" customFormat="1" x14ac:dyDescent="0.3">
      <c r="A118178" s="12"/>
      <c r="B118178" s="15"/>
      <c r="C118178" s="15"/>
      <c r="D118178" s="12"/>
      <c r="E118178" s="12"/>
      <c r="F118178" s="13"/>
      <c r="G118178" s="12"/>
      <c r="H118178" s="12"/>
      <c r="I118178" s="12"/>
      <c r="J118178" s="12"/>
      <c r="K118178" s="12"/>
      <c r="L118178" s="208"/>
      <c r="M118178" s="209"/>
      <c r="N118178" s="209"/>
      <c r="O118178" s="209"/>
    </row>
    <row r="118179" spans="1:15" s="210" customFormat="1" x14ac:dyDescent="0.3">
      <c r="A118179" s="12"/>
      <c r="B118179" s="15"/>
      <c r="C118179" s="15"/>
      <c r="D118179" s="12"/>
      <c r="E118179" s="12"/>
      <c r="F118179" s="13"/>
      <c r="G118179" s="12"/>
      <c r="H118179" s="12"/>
      <c r="I118179" s="12"/>
      <c r="J118179" s="12"/>
      <c r="K118179" s="12"/>
      <c r="L118179" s="208"/>
      <c r="M118179" s="209"/>
      <c r="N118179" s="209"/>
      <c r="O118179" s="209"/>
    </row>
    <row r="118180" spans="1:15" s="210" customFormat="1" x14ac:dyDescent="0.3">
      <c r="A118180" s="12"/>
      <c r="B118180" s="15"/>
      <c r="C118180" s="15"/>
      <c r="D118180" s="12"/>
      <c r="E118180" s="12"/>
      <c r="F118180" s="13"/>
      <c r="G118180" s="12"/>
      <c r="H118180" s="12"/>
      <c r="I118180" s="12"/>
      <c r="J118180" s="12"/>
      <c r="K118180" s="12"/>
      <c r="L118180" s="208"/>
      <c r="M118180" s="209"/>
      <c r="N118180" s="209"/>
      <c r="O118180" s="209"/>
    </row>
    <row r="118181" spans="1:15" s="210" customFormat="1" x14ac:dyDescent="0.3">
      <c r="A118181" s="12"/>
      <c r="B118181" s="15"/>
      <c r="C118181" s="15"/>
      <c r="D118181" s="12"/>
      <c r="E118181" s="12"/>
      <c r="F118181" s="13"/>
      <c r="G118181" s="12"/>
      <c r="H118181" s="12"/>
      <c r="I118181" s="12"/>
      <c r="J118181" s="12"/>
      <c r="K118181" s="12"/>
      <c r="L118181" s="208"/>
      <c r="M118181" s="209"/>
      <c r="N118181" s="209"/>
      <c r="O118181" s="209"/>
    </row>
    <row r="118182" spans="1:15" s="210" customFormat="1" x14ac:dyDescent="0.3">
      <c r="A118182" s="12"/>
      <c r="B118182" s="15"/>
      <c r="C118182" s="15"/>
      <c r="D118182" s="12"/>
      <c r="E118182" s="12"/>
      <c r="F118182" s="13"/>
      <c r="G118182" s="12"/>
      <c r="H118182" s="12"/>
      <c r="I118182" s="12"/>
      <c r="J118182" s="12"/>
      <c r="K118182" s="12"/>
      <c r="L118182" s="208"/>
      <c r="M118182" s="209"/>
      <c r="N118182" s="209"/>
      <c r="O118182" s="209"/>
    </row>
    <row r="118183" spans="1:15" s="210" customFormat="1" x14ac:dyDescent="0.3">
      <c r="A118183" s="12"/>
      <c r="B118183" s="15"/>
      <c r="C118183" s="15"/>
      <c r="D118183" s="12"/>
      <c r="E118183" s="12"/>
      <c r="F118183" s="13"/>
      <c r="G118183" s="12"/>
      <c r="H118183" s="12"/>
      <c r="I118183" s="12"/>
      <c r="J118183" s="12"/>
      <c r="K118183" s="12"/>
      <c r="L118183" s="208"/>
      <c r="M118183" s="209"/>
      <c r="N118183" s="209"/>
      <c r="O118183" s="209"/>
    </row>
    <row r="118184" spans="1:15" s="210" customFormat="1" x14ac:dyDescent="0.3">
      <c r="A118184" s="12"/>
      <c r="B118184" s="15"/>
      <c r="C118184" s="15"/>
      <c r="D118184" s="12"/>
      <c r="E118184" s="12"/>
      <c r="F118184" s="13"/>
      <c r="G118184" s="12"/>
      <c r="H118184" s="12"/>
      <c r="I118184" s="12"/>
      <c r="J118184" s="12"/>
      <c r="K118184" s="12"/>
      <c r="L118184" s="208"/>
      <c r="M118184" s="209"/>
      <c r="N118184" s="209"/>
      <c r="O118184" s="209"/>
    </row>
    <row r="118185" spans="1:15" s="210" customFormat="1" x14ac:dyDescent="0.3">
      <c r="A118185" s="12"/>
      <c r="B118185" s="15"/>
      <c r="C118185" s="15"/>
      <c r="D118185" s="12"/>
      <c r="E118185" s="12"/>
      <c r="F118185" s="13"/>
      <c r="G118185" s="12"/>
      <c r="H118185" s="12"/>
      <c r="I118185" s="12"/>
      <c r="J118185" s="12"/>
      <c r="K118185" s="12"/>
      <c r="L118185" s="208"/>
      <c r="M118185" s="209"/>
      <c r="N118185" s="209"/>
      <c r="O118185" s="209"/>
    </row>
    <row r="118186" spans="1:15" s="210" customFormat="1" x14ac:dyDescent="0.3">
      <c r="A118186" s="12"/>
      <c r="B118186" s="15"/>
      <c r="C118186" s="15"/>
      <c r="D118186" s="12"/>
      <c r="E118186" s="12"/>
      <c r="F118186" s="13"/>
      <c r="G118186" s="12"/>
      <c r="H118186" s="12"/>
      <c r="I118186" s="12"/>
      <c r="J118186" s="12"/>
      <c r="K118186" s="12"/>
      <c r="L118186" s="208"/>
      <c r="M118186" s="209"/>
      <c r="N118186" s="209"/>
      <c r="O118186" s="209"/>
    </row>
    <row r="118187" spans="1:15" s="210" customFormat="1" x14ac:dyDescent="0.3">
      <c r="A118187" s="12"/>
      <c r="B118187" s="15"/>
      <c r="C118187" s="15"/>
      <c r="D118187" s="12"/>
      <c r="E118187" s="12"/>
      <c r="F118187" s="13"/>
      <c r="G118187" s="12"/>
      <c r="H118187" s="12"/>
      <c r="I118187" s="12"/>
      <c r="J118187" s="12"/>
      <c r="K118187" s="12"/>
      <c r="L118187" s="208"/>
      <c r="M118187" s="209"/>
      <c r="N118187" s="209"/>
      <c r="O118187" s="209"/>
    </row>
    <row r="118188" spans="1:15" s="210" customFormat="1" x14ac:dyDescent="0.3">
      <c r="A118188" s="12"/>
      <c r="B118188" s="15"/>
      <c r="C118188" s="15"/>
      <c r="D118188" s="12"/>
      <c r="E118188" s="12"/>
      <c r="F118188" s="13"/>
      <c r="G118188" s="12"/>
      <c r="H118188" s="12"/>
      <c r="I118188" s="12"/>
      <c r="J118188" s="12"/>
      <c r="K118188" s="12"/>
      <c r="L118188" s="208"/>
      <c r="M118188" s="209"/>
      <c r="N118188" s="209"/>
      <c r="O118188" s="209"/>
    </row>
    <row r="118189" spans="1:15" s="210" customFormat="1" x14ac:dyDescent="0.3">
      <c r="A118189" s="12"/>
      <c r="B118189" s="15"/>
      <c r="C118189" s="15"/>
      <c r="D118189" s="12"/>
      <c r="E118189" s="12"/>
      <c r="F118189" s="13"/>
      <c r="G118189" s="12"/>
      <c r="H118189" s="12"/>
      <c r="I118189" s="12"/>
      <c r="J118189" s="12"/>
      <c r="K118189" s="12"/>
      <c r="L118189" s="208"/>
      <c r="M118189" s="209"/>
      <c r="N118189" s="209"/>
      <c r="O118189" s="209"/>
    </row>
    <row r="118190" spans="1:15" s="210" customFormat="1" x14ac:dyDescent="0.3">
      <c r="A118190" s="12"/>
      <c r="B118190" s="15"/>
      <c r="C118190" s="15"/>
      <c r="D118190" s="12"/>
      <c r="E118190" s="12"/>
      <c r="F118190" s="13"/>
      <c r="G118190" s="12"/>
      <c r="H118190" s="12"/>
      <c r="I118190" s="12"/>
      <c r="J118190" s="12"/>
      <c r="K118190" s="12"/>
      <c r="L118190" s="208"/>
      <c r="M118190" s="209"/>
      <c r="N118190" s="209"/>
      <c r="O118190" s="209"/>
    </row>
    <row r="118191" spans="1:15" s="210" customFormat="1" x14ac:dyDescent="0.3">
      <c r="A118191" s="12"/>
      <c r="B118191" s="15"/>
      <c r="C118191" s="15"/>
      <c r="D118191" s="12"/>
      <c r="E118191" s="12"/>
      <c r="F118191" s="13"/>
      <c r="G118191" s="12"/>
      <c r="H118191" s="12"/>
      <c r="I118191" s="12"/>
      <c r="J118191" s="12"/>
      <c r="K118191" s="12"/>
      <c r="L118191" s="208"/>
      <c r="M118191" s="209"/>
      <c r="N118191" s="209"/>
      <c r="O118191" s="209"/>
    </row>
    <row r="118192" spans="1:15" s="210" customFormat="1" x14ac:dyDescent="0.3">
      <c r="A118192" s="12"/>
      <c r="B118192" s="15"/>
      <c r="C118192" s="15"/>
      <c r="D118192" s="12"/>
      <c r="E118192" s="12"/>
      <c r="F118192" s="13"/>
      <c r="G118192" s="12"/>
      <c r="H118192" s="12"/>
      <c r="I118192" s="12"/>
      <c r="J118192" s="12"/>
      <c r="K118192" s="12"/>
      <c r="L118192" s="208"/>
      <c r="M118192" s="209"/>
      <c r="N118192" s="209"/>
      <c r="O118192" s="209"/>
    </row>
    <row r="118193" spans="1:15" s="210" customFormat="1" x14ac:dyDescent="0.3">
      <c r="A118193" s="12"/>
      <c r="B118193" s="15"/>
      <c r="C118193" s="15"/>
      <c r="D118193" s="12"/>
      <c r="E118193" s="12"/>
      <c r="F118193" s="13"/>
      <c r="G118193" s="12"/>
      <c r="H118193" s="12"/>
      <c r="I118193" s="12"/>
      <c r="J118193" s="12"/>
      <c r="K118193" s="12"/>
      <c r="L118193" s="208"/>
      <c r="M118193" s="209"/>
      <c r="N118193" s="209"/>
      <c r="O118193" s="209"/>
    </row>
    <row r="118194" spans="1:15" s="210" customFormat="1" x14ac:dyDescent="0.3">
      <c r="A118194" s="12"/>
      <c r="B118194" s="15"/>
      <c r="C118194" s="15"/>
      <c r="D118194" s="12"/>
      <c r="E118194" s="12"/>
      <c r="F118194" s="13"/>
      <c r="G118194" s="12"/>
      <c r="H118194" s="12"/>
      <c r="I118194" s="12"/>
      <c r="J118194" s="12"/>
      <c r="K118194" s="12"/>
      <c r="L118194" s="208"/>
      <c r="M118194" s="209"/>
      <c r="N118194" s="209"/>
      <c r="O118194" s="209"/>
    </row>
    <row r="118195" spans="1:15" s="210" customFormat="1" x14ac:dyDescent="0.3">
      <c r="A118195" s="12"/>
      <c r="B118195" s="15"/>
      <c r="C118195" s="15"/>
      <c r="D118195" s="12"/>
      <c r="E118195" s="12"/>
      <c r="F118195" s="13"/>
      <c r="G118195" s="12"/>
      <c r="H118195" s="12"/>
      <c r="I118195" s="12"/>
      <c r="J118195" s="12"/>
      <c r="K118195" s="12"/>
      <c r="L118195" s="208"/>
      <c r="M118195" s="209"/>
      <c r="N118195" s="209"/>
      <c r="O118195" s="209"/>
    </row>
    <row r="118196" spans="1:15" s="210" customFormat="1" x14ac:dyDescent="0.3">
      <c r="A118196" s="12"/>
      <c r="B118196" s="15"/>
      <c r="C118196" s="15"/>
      <c r="D118196" s="12"/>
      <c r="E118196" s="12"/>
      <c r="F118196" s="13"/>
      <c r="G118196" s="12"/>
      <c r="H118196" s="12"/>
      <c r="I118196" s="12"/>
      <c r="J118196" s="12"/>
      <c r="K118196" s="12"/>
      <c r="L118196" s="208"/>
      <c r="M118196" s="209"/>
      <c r="N118196" s="209"/>
      <c r="O118196" s="209"/>
    </row>
    <row r="118197" spans="1:15" s="210" customFormat="1" x14ac:dyDescent="0.3">
      <c r="A118197" s="12"/>
      <c r="B118197" s="15"/>
      <c r="C118197" s="15"/>
      <c r="D118197" s="12"/>
      <c r="E118197" s="12"/>
      <c r="F118197" s="13"/>
      <c r="G118197" s="12"/>
      <c r="H118197" s="12"/>
      <c r="I118197" s="12"/>
      <c r="J118197" s="12"/>
      <c r="K118197" s="12"/>
      <c r="L118197" s="208"/>
      <c r="M118197" s="209"/>
      <c r="N118197" s="209"/>
      <c r="O118197" s="209"/>
    </row>
    <row r="118198" spans="1:15" s="210" customFormat="1" x14ac:dyDescent="0.3">
      <c r="A118198" s="12"/>
      <c r="B118198" s="15"/>
      <c r="C118198" s="15"/>
      <c r="D118198" s="12"/>
      <c r="E118198" s="12"/>
      <c r="F118198" s="13"/>
      <c r="G118198" s="12"/>
      <c r="H118198" s="12"/>
      <c r="I118198" s="12"/>
      <c r="J118198" s="12"/>
      <c r="K118198" s="12"/>
      <c r="L118198" s="208"/>
      <c r="M118198" s="209"/>
      <c r="N118198" s="209"/>
      <c r="O118198" s="209"/>
    </row>
    <row r="118199" spans="1:15" s="210" customFormat="1" x14ac:dyDescent="0.3">
      <c r="A118199" s="12"/>
      <c r="B118199" s="15"/>
      <c r="C118199" s="15"/>
      <c r="D118199" s="12"/>
      <c r="E118199" s="12"/>
      <c r="F118199" s="13"/>
      <c r="G118199" s="12"/>
      <c r="H118199" s="12"/>
      <c r="I118199" s="12"/>
      <c r="J118199" s="12"/>
      <c r="K118199" s="12"/>
      <c r="L118199" s="208"/>
      <c r="M118199" s="209"/>
      <c r="N118199" s="209"/>
      <c r="O118199" s="209"/>
    </row>
    <row r="118200" spans="1:15" s="210" customFormat="1" x14ac:dyDescent="0.3">
      <c r="A118200" s="12"/>
      <c r="B118200" s="15"/>
      <c r="C118200" s="15"/>
      <c r="D118200" s="12"/>
      <c r="E118200" s="12"/>
      <c r="F118200" s="13"/>
      <c r="G118200" s="12"/>
      <c r="H118200" s="12"/>
      <c r="I118200" s="12"/>
      <c r="J118200" s="12"/>
      <c r="K118200" s="12"/>
      <c r="L118200" s="208"/>
      <c r="M118200" s="209"/>
      <c r="N118200" s="209"/>
      <c r="O118200" s="209"/>
    </row>
    <row r="118201" spans="1:15" s="210" customFormat="1" x14ac:dyDescent="0.3">
      <c r="A118201" s="12"/>
      <c r="B118201" s="15"/>
      <c r="C118201" s="15"/>
      <c r="D118201" s="12"/>
      <c r="E118201" s="12"/>
      <c r="F118201" s="13"/>
      <c r="G118201" s="12"/>
      <c r="H118201" s="12"/>
      <c r="I118201" s="12"/>
      <c r="J118201" s="12"/>
      <c r="K118201" s="12"/>
      <c r="L118201" s="208"/>
      <c r="M118201" s="209"/>
      <c r="N118201" s="209"/>
      <c r="O118201" s="209"/>
    </row>
    <row r="118202" spans="1:15" s="210" customFormat="1" x14ac:dyDescent="0.3">
      <c r="A118202" s="12"/>
      <c r="B118202" s="15"/>
      <c r="C118202" s="15"/>
      <c r="D118202" s="12"/>
      <c r="E118202" s="12"/>
      <c r="F118202" s="13"/>
      <c r="G118202" s="12"/>
      <c r="H118202" s="12"/>
      <c r="I118202" s="12"/>
      <c r="J118202" s="12"/>
      <c r="K118202" s="12"/>
      <c r="L118202" s="208"/>
      <c r="M118202" s="209"/>
      <c r="N118202" s="209"/>
      <c r="O118202" s="209"/>
    </row>
    <row r="118203" spans="1:15" s="210" customFormat="1" x14ac:dyDescent="0.3">
      <c r="A118203" s="12"/>
      <c r="B118203" s="15"/>
      <c r="C118203" s="15"/>
      <c r="D118203" s="12"/>
      <c r="E118203" s="12"/>
      <c r="F118203" s="13"/>
      <c r="G118203" s="12"/>
      <c r="H118203" s="12"/>
      <c r="I118203" s="12"/>
      <c r="J118203" s="12"/>
      <c r="K118203" s="12"/>
      <c r="L118203" s="208"/>
      <c r="M118203" s="209"/>
      <c r="N118203" s="209"/>
      <c r="O118203" s="209"/>
    </row>
    <row r="118204" spans="1:15" s="210" customFormat="1" x14ac:dyDescent="0.3">
      <c r="A118204" s="12"/>
      <c r="B118204" s="15"/>
      <c r="C118204" s="15"/>
      <c r="D118204" s="12"/>
      <c r="E118204" s="12"/>
      <c r="F118204" s="13"/>
      <c r="G118204" s="12"/>
      <c r="H118204" s="12"/>
      <c r="I118204" s="12"/>
      <c r="J118204" s="12"/>
      <c r="K118204" s="12"/>
      <c r="L118204" s="208"/>
      <c r="M118204" s="209"/>
      <c r="N118204" s="209"/>
      <c r="O118204" s="209"/>
    </row>
    <row r="118205" spans="1:15" s="210" customFormat="1" x14ac:dyDescent="0.3">
      <c r="A118205" s="12"/>
      <c r="B118205" s="15"/>
      <c r="C118205" s="15"/>
      <c r="D118205" s="12"/>
      <c r="E118205" s="12"/>
      <c r="F118205" s="13"/>
      <c r="G118205" s="12"/>
      <c r="H118205" s="12"/>
      <c r="I118205" s="12"/>
      <c r="J118205" s="12"/>
      <c r="K118205" s="12"/>
      <c r="L118205" s="208"/>
      <c r="M118205" s="209"/>
      <c r="N118205" s="209"/>
      <c r="O118205" s="209"/>
    </row>
    <row r="118206" spans="1:15" s="210" customFormat="1" x14ac:dyDescent="0.3">
      <c r="A118206" s="12"/>
      <c r="B118206" s="15"/>
      <c r="C118206" s="15"/>
      <c r="D118206" s="12"/>
      <c r="E118206" s="12"/>
      <c r="F118206" s="13"/>
      <c r="G118206" s="12"/>
      <c r="H118206" s="12"/>
      <c r="I118206" s="12"/>
      <c r="J118206" s="12"/>
      <c r="K118206" s="12"/>
      <c r="L118206" s="208"/>
      <c r="M118206" s="209"/>
      <c r="N118206" s="209"/>
      <c r="O118206" s="209"/>
    </row>
    <row r="118207" spans="1:15" s="210" customFormat="1" x14ac:dyDescent="0.3">
      <c r="A118207" s="12"/>
      <c r="B118207" s="15"/>
      <c r="C118207" s="15"/>
      <c r="D118207" s="12"/>
      <c r="E118207" s="12"/>
      <c r="F118207" s="13"/>
      <c r="G118207" s="12"/>
      <c r="H118207" s="12"/>
      <c r="I118207" s="12"/>
      <c r="J118207" s="12"/>
      <c r="K118207" s="12"/>
      <c r="L118207" s="208"/>
      <c r="M118207" s="209"/>
      <c r="N118207" s="209"/>
      <c r="O118207" s="209"/>
    </row>
    <row r="118208" spans="1:15" s="210" customFormat="1" x14ac:dyDescent="0.3">
      <c r="A118208" s="12"/>
      <c r="B118208" s="15"/>
      <c r="C118208" s="15"/>
      <c r="D118208" s="12"/>
      <c r="E118208" s="12"/>
      <c r="F118208" s="13"/>
      <c r="G118208" s="12"/>
      <c r="H118208" s="12"/>
      <c r="I118208" s="12"/>
      <c r="J118208" s="12"/>
      <c r="K118208" s="12"/>
      <c r="L118208" s="208"/>
      <c r="M118208" s="209"/>
      <c r="N118208" s="209"/>
      <c r="O118208" s="209"/>
    </row>
    <row r="118209" spans="1:15" s="210" customFormat="1" x14ac:dyDescent="0.3">
      <c r="A118209" s="12"/>
      <c r="B118209" s="15"/>
      <c r="C118209" s="15"/>
      <c r="D118209" s="12"/>
      <c r="E118209" s="12"/>
      <c r="F118209" s="13"/>
      <c r="G118209" s="12"/>
      <c r="H118209" s="12"/>
      <c r="I118209" s="12"/>
      <c r="J118209" s="12"/>
      <c r="K118209" s="12"/>
      <c r="L118209" s="208"/>
      <c r="M118209" s="209"/>
      <c r="N118209" s="209"/>
      <c r="O118209" s="209"/>
    </row>
    <row r="118210" spans="1:15" s="210" customFormat="1" x14ac:dyDescent="0.3">
      <c r="A118210" s="12"/>
      <c r="B118210" s="15"/>
      <c r="C118210" s="15"/>
      <c r="D118210" s="12"/>
      <c r="E118210" s="12"/>
      <c r="F118210" s="13"/>
      <c r="G118210" s="12"/>
      <c r="H118210" s="12"/>
      <c r="I118210" s="12"/>
      <c r="J118210" s="12"/>
      <c r="K118210" s="12"/>
      <c r="L118210" s="208"/>
      <c r="M118210" s="209"/>
      <c r="N118210" s="209"/>
      <c r="O118210" s="209"/>
    </row>
    <row r="118211" spans="1:15" s="210" customFormat="1" x14ac:dyDescent="0.3">
      <c r="A118211" s="12"/>
      <c r="B118211" s="15"/>
      <c r="C118211" s="15"/>
      <c r="D118211" s="12"/>
      <c r="E118211" s="12"/>
      <c r="F118211" s="13"/>
      <c r="G118211" s="12"/>
      <c r="H118211" s="12"/>
      <c r="I118211" s="12"/>
      <c r="J118211" s="12"/>
      <c r="K118211" s="12"/>
      <c r="L118211" s="208"/>
      <c r="M118211" s="209"/>
      <c r="N118211" s="209"/>
      <c r="O118211" s="209"/>
    </row>
    <row r="118212" spans="1:15" s="210" customFormat="1" x14ac:dyDescent="0.3">
      <c r="A118212" s="12"/>
      <c r="B118212" s="15"/>
      <c r="C118212" s="15"/>
      <c r="D118212" s="12"/>
      <c r="E118212" s="12"/>
      <c r="F118212" s="13"/>
      <c r="G118212" s="12"/>
      <c r="H118212" s="12"/>
      <c r="I118212" s="12"/>
      <c r="J118212" s="12"/>
      <c r="K118212" s="12"/>
      <c r="L118212" s="208"/>
      <c r="M118212" s="209"/>
      <c r="N118212" s="209"/>
      <c r="O118212" s="209"/>
    </row>
    <row r="118213" spans="1:15" s="210" customFormat="1" x14ac:dyDescent="0.3">
      <c r="A118213" s="12"/>
      <c r="B118213" s="15"/>
      <c r="C118213" s="15"/>
      <c r="D118213" s="12"/>
      <c r="E118213" s="12"/>
      <c r="F118213" s="13"/>
      <c r="G118213" s="12"/>
      <c r="H118213" s="12"/>
      <c r="I118213" s="12"/>
      <c r="J118213" s="12"/>
      <c r="K118213" s="12"/>
      <c r="L118213" s="208"/>
      <c r="M118213" s="209"/>
      <c r="N118213" s="209"/>
      <c r="O118213" s="209"/>
    </row>
    <row r="118214" spans="1:15" s="210" customFormat="1" x14ac:dyDescent="0.3">
      <c r="A118214" s="12"/>
      <c r="B118214" s="15"/>
      <c r="C118214" s="15"/>
      <c r="D118214" s="12"/>
      <c r="E118214" s="12"/>
      <c r="F118214" s="13"/>
      <c r="G118214" s="12"/>
      <c r="H118214" s="12"/>
      <c r="I118214" s="12"/>
      <c r="J118214" s="12"/>
      <c r="K118214" s="12"/>
      <c r="L118214" s="208"/>
      <c r="M118214" s="209"/>
      <c r="N118214" s="209"/>
      <c r="O118214" s="209"/>
    </row>
    <row r="118215" spans="1:15" s="210" customFormat="1" x14ac:dyDescent="0.3">
      <c r="A118215" s="12"/>
      <c r="B118215" s="15"/>
      <c r="C118215" s="15"/>
      <c r="D118215" s="12"/>
      <c r="E118215" s="12"/>
      <c r="F118215" s="13"/>
      <c r="G118215" s="12"/>
      <c r="H118215" s="12"/>
      <c r="I118215" s="12"/>
      <c r="J118215" s="12"/>
      <c r="K118215" s="12"/>
      <c r="L118215" s="208"/>
      <c r="M118215" s="209"/>
      <c r="N118215" s="209"/>
      <c r="O118215" s="209"/>
    </row>
    <row r="118216" spans="1:15" s="210" customFormat="1" x14ac:dyDescent="0.3">
      <c r="A118216" s="12"/>
      <c r="B118216" s="15"/>
      <c r="C118216" s="15"/>
      <c r="D118216" s="12"/>
      <c r="E118216" s="12"/>
      <c r="F118216" s="13"/>
      <c r="G118216" s="12"/>
      <c r="H118216" s="12"/>
      <c r="I118216" s="12"/>
      <c r="J118216" s="12"/>
      <c r="K118216" s="12"/>
      <c r="L118216" s="208"/>
      <c r="M118216" s="209"/>
      <c r="N118216" s="209"/>
      <c r="O118216" s="209"/>
    </row>
    <row r="118217" spans="1:15" s="210" customFormat="1" x14ac:dyDescent="0.3">
      <c r="A118217" s="12"/>
      <c r="B118217" s="15"/>
      <c r="C118217" s="15"/>
      <c r="D118217" s="12"/>
      <c r="E118217" s="12"/>
      <c r="F118217" s="13"/>
      <c r="G118217" s="12"/>
      <c r="H118217" s="12"/>
      <c r="I118217" s="12"/>
      <c r="J118217" s="12"/>
      <c r="K118217" s="12"/>
      <c r="L118217" s="208"/>
      <c r="M118217" s="209"/>
      <c r="N118217" s="209"/>
      <c r="O118217" s="209"/>
    </row>
    <row r="118218" spans="1:15" s="210" customFormat="1" x14ac:dyDescent="0.3">
      <c r="A118218" s="12"/>
      <c r="B118218" s="15"/>
      <c r="C118218" s="15"/>
      <c r="D118218" s="12"/>
      <c r="E118218" s="12"/>
      <c r="F118218" s="13"/>
      <c r="G118218" s="12"/>
      <c r="H118218" s="12"/>
      <c r="I118218" s="12"/>
      <c r="J118218" s="12"/>
      <c r="K118218" s="12"/>
      <c r="L118218" s="208"/>
      <c r="M118218" s="209"/>
      <c r="N118218" s="209"/>
      <c r="O118218" s="209"/>
    </row>
    <row r="118219" spans="1:15" s="210" customFormat="1" x14ac:dyDescent="0.3">
      <c r="A118219" s="12"/>
      <c r="B118219" s="15"/>
      <c r="C118219" s="15"/>
      <c r="D118219" s="12"/>
      <c r="E118219" s="12"/>
      <c r="F118219" s="13"/>
      <c r="G118219" s="12"/>
      <c r="H118219" s="12"/>
      <c r="I118219" s="12"/>
      <c r="J118219" s="12"/>
      <c r="K118219" s="12"/>
      <c r="L118219" s="208"/>
      <c r="M118219" s="209"/>
      <c r="N118219" s="209"/>
      <c r="O118219" s="209"/>
    </row>
    <row r="118220" spans="1:15" s="210" customFormat="1" x14ac:dyDescent="0.3">
      <c r="A118220" s="12"/>
      <c r="B118220" s="15"/>
      <c r="C118220" s="15"/>
      <c r="D118220" s="12"/>
      <c r="E118220" s="12"/>
      <c r="F118220" s="13"/>
      <c r="G118220" s="12"/>
      <c r="H118220" s="12"/>
      <c r="I118220" s="12"/>
      <c r="J118220" s="12"/>
      <c r="K118220" s="12"/>
      <c r="L118220" s="208"/>
      <c r="M118220" s="209"/>
      <c r="N118220" s="209"/>
      <c r="O118220" s="209"/>
    </row>
    <row r="118221" spans="1:15" s="210" customFormat="1" x14ac:dyDescent="0.3">
      <c r="A118221" s="12"/>
      <c r="B118221" s="15"/>
      <c r="C118221" s="15"/>
      <c r="D118221" s="12"/>
      <c r="E118221" s="12"/>
      <c r="F118221" s="13"/>
      <c r="G118221" s="12"/>
      <c r="H118221" s="12"/>
      <c r="I118221" s="12"/>
      <c r="J118221" s="12"/>
      <c r="K118221" s="12"/>
      <c r="L118221" s="208"/>
      <c r="M118221" s="209"/>
      <c r="N118221" s="209"/>
      <c r="O118221" s="209"/>
    </row>
    <row r="118222" spans="1:15" s="210" customFormat="1" x14ac:dyDescent="0.3">
      <c r="A118222" s="12"/>
      <c r="B118222" s="15"/>
      <c r="C118222" s="15"/>
      <c r="D118222" s="12"/>
      <c r="E118222" s="12"/>
      <c r="F118222" s="13"/>
      <c r="G118222" s="12"/>
      <c r="H118222" s="12"/>
      <c r="I118222" s="12"/>
      <c r="J118222" s="12"/>
      <c r="K118222" s="12"/>
      <c r="L118222" s="208"/>
      <c r="M118222" s="209"/>
      <c r="N118222" s="209"/>
      <c r="O118222" s="209"/>
    </row>
    <row r="118223" spans="1:15" s="210" customFormat="1" x14ac:dyDescent="0.3">
      <c r="A118223" s="12"/>
      <c r="B118223" s="15"/>
      <c r="C118223" s="15"/>
      <c r="D118223" s="12"/>
      <c r="E118223" s="12"/>
      <c r="F118223" s="13"/>
      <c r="G118223" s="12"/>
      <c r="H118223" s="12"/>
      <c r="I118223" s="12"/>
      <c r="J118223" s="12"/>
      <c r="K118223" s="12"/>
      <c r="L118223" s="208"/>
      <c r="M118223" s="209"/>
      <c r="N118223" s="209"/>
      <c r="O118223" s="209"/>
    </row>
    <row r="118224" spans="1:15" s="210" customFormat="1" x14ac:dyDescent="0.3">
      <c r="A118224" s="12"/>
      <c r="B118224" s="15"/>
      <c r="C118224" s="15"/>
      <c r="D118224" s="12"/>
      <c r="E118224" s="12"/>
      <c r="F118224" s="13"/>
      <c r="G118224" s="12"/>
      <c r="H118224" s="12"/>
      <c r="I118224" s="12"/>
      <c r="J118224" s="12"/>
      <c r="K118224" s="12"/>
      <c r="L118224" s="208"/>
      <c r="M118224" s="209"/>
      <c r="N118224" s="209"/>
      <c r="O118224" s="209"/>
    </row>
    <row r="118225" spans="1:15" s="210" customFormat="1" x14ac:dyDescent="0.3">
      <c r="A118225" s="12"/>
      <c r="B118225" s="15"/>
      <c r="C118225" s="15"/>
      <c r="D118225" s="12"/>
      <c r="E118225" s="12"/>
      <c r="F118225" s="13"/>
      <c r="G118225" s="12"/>
      <c r="H118225" s="12"/>
      <c r="I118225" s="12"/>
      <c r="J118225" s="12"/>
      <c r="K118225" s="12"/>
      <c r="L118225" s="208"/>
      <c r="M118225" s="209"/>
      <c r="N118225" s="209"/>
      <c r="O118225" s="209"/>
    </row>
    <row r="118226" spans="1:15" s="210" customFormat="1" x14ac:dyDescent="0.3">
      <c r="A118226" s="12"/>
      <c r="B118226" s="15"/>
      <c r="C118226" s="15"/>
      <c r="D118226" s="12"/>
      <c r="E118226" s="12"/>
      <c r="F118226" s="13"/>
      <c r="G118226" s="12"/>
      <c r="H118226" s="12"/>
      <c r="I118226" s="12"/>
      <c r="J118226" s="12"/>
      <c r="K118226" s="12"/>
      <c r="L118226" s="208"/>
      <c r="M118226" s="209"/>
      <c r="N118226" s="209"/>
      <c r="O118226" s="209"/>
    </row>
    <row r="118227" spans="1:15" s="210" customFormat="1" x14ac:dyDescent="0.3">
      <c r="A118227" s="12"/>
      <c r="B118227" s="15"/>
      <c r="C118227" s="15"/>
      <c r="D118227" s="12"/>
      <c r="E118227" s="12"/>
      <c r="F118227" s="13"/>
      <c r="G118227" s="12"/>
      <c r="H118227" s="12"/>
      <c r="I118227" s="12"/>
      <c r="J118227" s="12"/>
      <c r="K118227" s="12"/>
      <c r="L118227" s="208"/>
      <c r="M118227" s="209"/>
      <c r="N118227" s="209"/>
      <c r="O118227" s="209"/>
    </row>
    <row r="118228" spans="1:15" s="210" customFormat="1" x14ac:dyDescent="0.3">
      <c r="A118228" s="12"/>
      <c r="B118228" s="15"/>
      <c r="C118228" s="15"/>
      <c r="D118228" s="12"/>
      <c r="E118228" s="12"/>
      <c r="F118228" s="13"/>
      <c r="G118228" s="12"/>
      <c r="H118228" s="12"/>
      <c r="I118228" s="12"/>
      <c r="J118228" s="12"/>
      <c r="K118228" s="12"/>
      <c r="L118228" s="208"/>
      <c r="M118228" s="209"/>
      <c r="N118228" s="209"/>
      <c r="O118228" s="209"/>
    </row>
    <row r="118229" spans="1:15" s="210" customFormat="1" x14ac:dyDescent="0.3">
      <c r="A118229" s="12"/>
      <c r="B118229" s="15"/>
      <c r="C118229" s="15"/>
      <c r="D118229" s="12"/>
      <c r="E118229" s="12"/>
      <c r="F118229" s="13"/>
      <c r="G118229" s="12"/>
      <c r="H118229" s="12"/>
      <c r="I118229" s="12"/>
      <c r="J118229" s="12"/>
      <c r="K118229" s="12"/>
      <c r="L118229" s="208"/>
      <c r="M118229" s="209"/>
      <c r="N118229" s="209"/>
      <c r="O118229" s="209"/>
    </row>
    <row r="118230" spans="1:15" s="210" customFormat="1" x14ac:dyDescent="0.3">
      <c r="A118230" s="12"/>
      <c r="B118230" s="15"/>
      <c r="C118230" s="15"/>
      <c r="D118230" s="12"/>
      <c r="E118230" s="12"/>
      <c r="F118230" s="13"/>
      <c r="G118230" s="12"/>
      <c r="H118230" s="12"/>
      <c r="I118230" s="12"/>
      <c r="J118230" s="12"/>
      <c r="K118230" s="12"/>
      <c r="L118230" s="208"/>
      <c r="M118230" s="209"/>
      <c r="N118230" s="209"/>
      <c r="O118230" s="209"/>
    </row>
    <row r="118231" spans="1:15" s="210" customFormat="1" x14ac:dyDescent="0.3">
      <c r="A118231" s="12"/>
      <c r="B118231" s="15"/>
      <c r="C118231" s="15"/>
      <c r="D118231" s="12"/>
      <c r="E118231" s="12"/>
      <c r="F118231" s="13"/>
      <c r="G118231" s="12"/>
      <c r="H118231" s="12"/>
      <c r="I118231" s="12"/>
      <c r="J118231" s="12"/>
      <c r="K118231" s="12"/>
      <c r="L118231" s="208"/>
      <c r="M118231" s="209"/>
      <c r="N118231" s="209"/>
      <c r="O118231" s="209"/>
    </row>
    <row r="118232" spans="1:15" s="210" customFormat="1" x14ac:dyDescent="0.3">
      <c r="A118232" s="12"/>
      <c r="B118232" s="15"/>
      <c r="C118232" s="15"/>
      <c r="D118232" s="12"/>
      <c r="E118232" s="12"/>
      <c r="F118232" s="13"/>
      <c r="G118232" s="12"/>
      <c r="H118232" s="12"/>
      <c r="I118232" s="12"/>
      <c r="J118232" s="12"/>
      <c r="K118232" s="12"/>
      <c r="L118232" s="208"/>
      <c r="M118232" s="209"/>
      <c r="N118232" s="209"/>
      <c r="O118232" s="209"/>
    </row>
    <row r="118233" spans="1:15" s="210" customFormat="1" x14ac:dyDescent="0.3">
      <c r="A118233" s="12"/>
      <c r="B118233" s="15"/>
      <c r="C118233" s="15"/>
      <c r="D118233" s="12"/>
      <c r="E118233" s="12"/>
      <c r="F118233" s="13"/>
      <c r="G118233" s="12"/>
      <c r="H118233" s="12"/>
      <c r="I118233" s="12"/>
      <c r="J118233" s="12"/>
      <c r="K118233" s="12"/>
      <c r="L118233" s="208"/>
      <c r="M118233" s="209"/>
      <c r="N118233" s="209"/>
      <c r="O118233" s="209"/>
    </row>
    <row r="118234" spans="1:15" s="210" customFormat="1" x14ac:dyDescent="0.3">
      <c r="A118234" s="12"/>
      <c r="B118234" s="15"/>
      <c r="C118234" s="15"/>
      <c r="D118234" s="12"/>
      <c r="E118234" s="12"/>
      <c r="F118234" s="13"/>
      <c r="G118234" s="12"/>
      <c r="H118234" s="12"/>
      <c r="I118234" s="12"/>
      <c r="J118234" s="12"/>
      <c r="K118234" s="12"/>
      <c r="L118234" s="208"/>
      <c r="M118234" s="209"/>
      <c r="N118234" s="209"/>
      <c r="O118234" s="209"/>
    </row>
    <row r="118235" spans="1:15" s="210" customFormat="1" x14ac:dyDescent="0.3">
      <c r="A118235" s="12"/>
      <c r="B118235" s="15"/>
      <c r="C118235" s="15"/>
      <c r="D118235" s="12"/>
      <c r="E118235" s="12"/>
      <c r="F118235" s="13"/>
      <c r="G118235" s="12"/>
      <c r="H118235" s="12"/>
      <c r="I118235" s="12"/>
      <c r="J118235" s="12"/>
      <c r="K118235" s="12"/>
      <c r="L118235" s="208"/>
      <c r="M118235" s="209"/>
      <c r="N118235" s="209"/>
      <c r="O118235" s="209"/>
    </row>
    <row r="118236" spans="1:15" s="210" customFormat="1" x14ac:dyDescent="0.3">
      <c r="A118236" s="12"/>
      <c r="B118236" s="15"/>
      <c r="C118236" s="15"/>
      <c r="D118236" s="12"/>
      <c r="E118236" s="12"/>
      <c r="F118236" s="13"/>
      <c r="G118236" s="12"/>
      <c r="H118236" s="12"/>
      <c r="I118236" s="12"/>
      <c r="J118236" s="12"/>
      <c r="K118236" s="12"/>
      <c r="L118236" s="208"/>
      <c r="M118236" s="209"/>
      <c r="N118236" s="209"/>
      <c r="O118236" s="209"/>
    </row>
    <row r="118237" spans="1:15" s="210" customFormat="1" x14ac:dyDescent="0.3">
      <c r="A118237" s="12"/>
      <c r="B118237" s="15"/>
      <c r="C118237" s="15"/>
      <c r="D118237" s="12"/>
      <c r="E118237" s="12"/>
      <c r="F118237" s="13"/>
      <c r="G118237" s="12"/>
      <c r="H118237" s="12"/>
      <c r="I118237" s="12"/>
      <c r="J118237" s="12"/>
      <c r="K118237" s="12"/>
      <c r="L118237" s="208"/>
      <c r="M118237" s="209"/>
      <c r="N118237" s="209"/>
      <c r="O118237" s="209"/>
    </row>
    <row r="118238" spans="1:15" s="210" customFormat="1" x14ac:dyDescent="0.3">
      <c r="A118238" s="12"/>
      <c r="B118238" s="15"/>
      <c r="C118238" s="15"/>
      <c r="D118238" s="12"/>
      <c r="E118238" s="12"/>
      <c r="F118238" s="13"/>
      <c r="G118238" s="12"/>
      <c r="H118238" s="12"/>
      <c r="I118238" s="12"/>
      <c r="J118238" s="12"/>
      <c r="K118238" s="12"/>
      <c r="L118238" s="208"/>
      <c r="M118238" s="209"/>
      <c r="N118238" s="209"/>
      <c r="O118238" s="209"/>
    </row>
    <row r="118239" spans="1:15" s="210" customFormat="1" x14ac:dyDescent="0.3">
      <c r="A118239" s="12"/>
      <c r="B118239" s="15"/>
      <c r="C118239" s="15"/>
      <c r="D118239" s="12"/>
      <c r="E118239" s="12"/>
      <c r="F118239" s="13"/>
      <c r="G118239" s="12"/>
      <c r="H118239" s="12"/>
      <c r="I118239" s="12"/>
      <c r="J118239" s="12"/>
      <c r="K118239" s="12"/>
      <c r="L118239" s="208"/>
      <c r="M118239" s="209"/>
      <c r="N118239" s="209"/>
      <c r="O118239" s="209"/>
    </row>
    <row r="118240" spans="1:15" s="210" customFormat="1" x14ac:dyDescent="0.3">
      <c r="A118240" s="12"/>
      <c r="B118240" s="15"/>
      <c r="C118240" s="15"/>
      <c r="D118240" s="12"/>
      <c r="E118240" s="12"/>
      <c r="F118240" s="13"/>
      <c r="G118240" s="12"/>
      <c r="H118240" s="12"/>
      <c r="I118240" s="12"/>
      <c r="J118240" s="12"/>
      <c r="K118240" s="12"/>
      <c r="L118240" s="208"/>
      <c r="M118240" s="209"/>
      <c r="N118240" s="209"/>
      <c r="O118240" s="209"/>
    </row>
    <row r="118241" spans="1:15" s="210" customFormat="1" x14ac:dyDescent="0.3">
      <c r="A118241" s="12"/>
      <c r="B118241" s="15"/>
      <c r="C118241" s="15"/>
      <c r="D118241" s="12"/>
      <c r="E118241" s="12"/>
      <c r="F118241" s="13"/>
      <c r="G118241" s="12"/>
      <c r="H118241" s="12"/>
      <c r="I118241" s="12"/>
      <c r="J118241" s="12"/>
      <c r="K118241" s="12"/>
      <c r="L118241" s="208"/>
      <c r="M118241" s="209"/>
      <c r="N118241" s="209"/>
      <c r="O118241" s="209"/>
    </row>
    <row r="118242" spans="1:15" s="210" customFormat="1" x14ac:dyDescent="0.3">
      <c r="A118242" s="12"/>
      <c r="B118242" s="15"/>
      <c r="C118242" s="15"/>
      <c r="D118242" s="12"/>
      <c r="E118242" s="12"/>
      <c r="F118242" s="13"/>
      <c r="G118242" s="12"/>
      <c r="H118242" s="12"/>
      <c r="I118242" s="12"/>
      <c r="J118242" s="12"/>
      <c r="K118242" s="12"/>
      <c r="L118242" s="208"/>
      <c r="M118242" s="209"/>
      <c r="N118242" s="209"/>
      <c r="O118242" s="209"/>
    </row>
    <row r="118243" spans="1:15" s="210" customFormat="1" x14ac:dyDescent="0.3">
      <c r="A118243" s="12"/>
      <c r="B118243" s="15"/>
      <c r="C118243" s="15"/>
      <c r="D118243" s="12"/>
      <c r="E118243" s="12"/>
      <c r="F118243" s="13"/>
      <c r="G118243" s="12"/>
      <c r="H118243" s="12"/>
      <c r="I118243" s="12"/>
      <c r="J118243" s="12"/>
      <c r="K118243" s="12"/>
      <c r="L118243" s="208"/>
      <c r="M118243" s="209"/>
      <c r="N118243" s="209"/>
      <c r="O118243" s="209"/>
    </row>
    <row r="118244" spans="1:15" s="210" customFormat="1" x14ac:dyDescent="0.3">
      <c r="A118244" s="12"/>
      <c r="B118244" s="15"/>
      <c r="C118244" s="15"/>
      <c r="D118244" s="12"/>
      <c r="E118244" s="12"/>
      <c r="F118244" s="13"/>
      <c r="G118244" s="12"/>
      <c r="H118244" s="12"/>
      <c r="I118244" s="12"/>
      <c r="J118244" s="12"/>
      <c r="K118244" s="12"/>
      <c r="L118244" s="208"/>
      <c r="M118244" s="209"/>
      <c r="N118244" s="209"/>
      <c r="O118244" s="209"/>
    </row>
    <row r="118245" spans="1:15" s="210" customFormat="1" x14ac:dyDescent="0.3">
      <c r="A118245" s="12"/>
      <c r="B118245" s="15"/>
      <c r="C118245" s="15"/>
      <c r="D118245" s="12"/>
      <c r="E118245" s="12"/>
      <c r="F118245" s="13"/>
      <c r="G118245" s="12"/>
      <c r="H118245" s="12"/>
      <c r="I118245" s="12"/>
      <c r="J118245" s="12"/>
      <c r="K118245" s="12"/>
      <c r="L118245" s="208"/>
      <c r="M118245" s="209"/>
      <c r="N118245" s="209"/>
      <c r="O118245" s="209"/>
    </row>
    <row r="118246" spans="1:15" s="210" customFormat="1" x14ac:dyDescent="0.3">
      <c r="A118246" s="12"/>
      <c r="B118246" s="15"/>
      <c r="C118246" s="15"/>
      <c r="D118246" s="12"/>
      <c r="E118246" s="12"/>
      <c r="F118246" s="13"/>
      <c r="G118246" s="12"/>
      <c r="H118246" s="12"/>
      <c r="I118246" s="12"/>
      <c r="J118246" s="12"/>
      <c r="K118246" s="12"/>
      <c r="L118246" s="208"/>
      <c r="M118246" s="209"/>
      <c r="N118246" s="209"/>
      <c r="O118246" s="209"/>
    </row>
    <row r="118247" spans="1:15" s="210" customFormat="1" x14ac:dyDescent="0.3">
      <c r="A118247" s="12"/>
      <c r="B118247" s="15"/>
      <c r="C118247" s="15"/>
      <c r="D118247" s="12"/>
      <c r="E118247" s="12"/>
      <c r="F118247" s="13"/>
      <c r="G118247" s="12"/>
      <c r="H118247" s="12"/>
      <c r="I118247" s="12"/>
      <c r="J118247" s="12"/>
      <c r="K118247" s="12"/>
      <c r="L118247" s="208"/>
      <c r="M118247" s="209"/>
      <c r="N118247" s="209"/>
      <c r="O118247" s="209"/>
    </row>
    <row r="118248" spans="1:15" s="210" customFormat="1" x14ac:dyDescent="0.3">
      <c r="A118248" s="12"/>
      <c r="B118248" s="15"/>
      <c r="C118248" s="15"/>
      <c r="D118248" s="12"/>
      <c r="E118248" s="12"/>
      <c r="F118248" s="13"/>
      <c r="G118248" s="12"/>
      <c r="H118248" s="12"/>
      <c r="I118248" s="12"/>
      <c r="J118248" s="12"/>
      <c r="K118248" s="12"/>
      <c r="L118248" s="208"/>
      <c r="M118248" s="209"/>
      <c r="N118248" s="209"/>
      <c r="O118248" s="209"/>
    </row>
    <row r="118249" spans="1:15" s="210" customFormat="1" x14ac:dyDescent="0.3">
      <c r="A118249" s="12"/>
      <c r="B118249" s="15"/>
      <c r="C118249" s="15"/>
      <c r="D118249" s="12"/>
      <c r="E118249" s="12"/>
      <c r="F118249" s="13"/>
      <c r="G118249" s="12"/>
      <c r="H118249" s="12"/>
      <c r="I118249" s="12"/>
      <c r="J118249" s="12"/>
      <c r="K118249" s="12"/>
      <c r="L118249" s="208"/>
      <c r="M118249" s="209"/>
      <c r="N118249" s="209"/>
      <c r="O118249" s="209"/>
    </row>
    <row r="118250" spans="1:15" s="210" customFormat="1" x14ac:dyDescent="0.3">
      <c r="A118250" s="12"/>
      <c r="B118250" s="15"/>
      <c r="C118250" s="15"/>
      <c r="D118250" s="12"/>
      <c r="E118250" s="12"/>
      <c r="F118250" s="13"/>
      <c r="G118250" s="12"/>
      <c r="H118250" s="12"/>
      <c r="I118250" s="12"/>
      <c r="J118250" s="12"/>
      <c r="K118250" s="12"/>
      <c r="L118250" s="208"/>
      <c r="M118250" s="209"/>
      <c r="N118250" s="209"/>
      <c r="O118250" s="209"/>
    </row>
    <row r="118251" spans="1:15" s="210" customFormat="1" x14ac:dyDescent="0.3">
      <c r="A118251" s="12"/>
      <c r="B118251" s="15"/>
      <c r="C118251" s="15"/>
      <c r="D118251" s="12"/>
      <c r="E118251" s="12"/>
      <c r="F118251" s="13"/>
      <c r="G118251" s="12"/>
      <c r="H118251" s="12"/>
      <c r="I118251" s="12"/>
      <c r="J118251" s="12"/>
      <c r="K118251" s="12"/>
      <c r="L118251" s="208"/>
      <c r="M118251" s="209"/>
      <c r="N118251" s="209"/>
      <c r="O118251" s="209"/>
    </row>
    <row r="118252" spans="1:15" s="210" customFormat="1" x14ac:dyDescent="0.3">
      <c r="A118252" s="12"/>
      <c r="B118252" s="15"/>
      <c r="C118252" s="15"/>
      <c r="D118252" s="12"/>
      <c r="E118252" s="12"/>
      <c r="F118252" s="13"/>
      <c r="G118252" s="12"/>
      <c r="H118252" s="12"/>
      <c r="I118252" s="12"/>
      <c r="J118252" s="12"/>
      <c r="K118252" s="12"/>
      <c r="L118252" s="208"/>
      <c r="M118252" s="209"/>
      <c r="N118252" s="209"/>
      <c r="O118252" s="209"/>
    </row>
    <row r="118253" spans="1:15" s="210" customFormat="1" x14ac:dyDescent="0.3">
      <c r="A118253" s="12"/>
      <c r="B118253" s="15"/>
      <c r="C118253" s="15"/>
      <c r="D118253" s="12"/>
      <c r="E118253" s="12"/>
      <c r="F118253" s="13"/>
      <c r="G118253" s="12"/>
      <c r="H118253" s="12"/>
      <c r="I118253" s="12"/>
      <c r="J118253" s="12"/>
      <c r="K118253" s="12"/>
      <c r="L118253" s="208"/>
      <c r="M118253" s="209"/>
      <c r="N118253" s="209"/>
      <c r="O118253" s="209"/>
    </row>
    <row r="118254" spans="1:15" s="210" customFormat="1" x14ac:dyDescent="0.3">
      <c r="A118254" s="12"/>
      <c r="B118254" s="15"/>
      <c r="C118254" s="15"/>
      <c r="D118254" s="12"/>
      <c r="E118254" s="12"/>
      <c r="F118254" s="13"/>
      <c r="G118254" s="12"/>
      <c r="H118254" s="12"/>
      <c r="I118254" s="12"/>
      <c r="J118254" s="12"/>
      <c r="K118254" s="12"/>
      <c r="L118254" s="208"/>
      <c r="M118254" s="209"/>
      <c r="N118254" s="209"/>
      <c r="O118254" s="209"/>
    </row>
    <row r="118255" spans="1:15" s="210" customFormat="1" x14ac:dyDescent="0.3">
      <c r="A118255" s="12"/>
      <c r="B118255" s="15"/>
      <c r="C118255" s="15"/>
      <c r="D118255" s="12"/>
      <c r="E118255" s="12"/>
      <c r="F118255" s="13"/>
      <c r="G118255" s="12"/>
      <c r="H118255" s="12"/>
      <c r="I118255" s="12"/>
      <c r="J118255" s="12"/>
      <c r="K118255" s="12"/>
      <c r="L118255" s="208"/>
      <c r="M118255" s="209"/>
      <c r="N118255" s="209"/>
      <c r="O118255" s="209"/>
    </row>
    <row r="118256" spans="1:15" s="210" customFormat="1" x14ac:dyDescent="0.3">
      <c r="A118256" s="12"/>
      <c r="B118256" s="15"/>
      <c r="C118256" s="15"/>
      <c r="D118256" s="12"/>
      <c r="E118256" s="12"/>
      <c r="F118256" s="13"/>
      <c r="G118256" s="12"/>
      <c r="H118256" s="12"/>
      <c r="I118256" s="12"/>
      <c r="J118256" s="12"/>
      <c r="K118256" s="12"/>
      <c r="L118256" s="208"/>
      <c r="M118256" s="209"/>
      <c r="N118256" s="209"/>
      <c r="O118256" s="209"/>
    </row>
    <row r="118257" spans="1:15" s="210" customFormat="1" x14ac:dyDescent="0.3">
      <c r="A118257" s="12"/>
      <c r="B118257" s="15"/>
      <c r="C118257" s="15"/>
      <c r="D118257" s="12"/>
      <c r="E118257" s="12"/>
      <c r="F118257" s="13"/>
      <c r="G118257" s="12"/>
      <c r="H118257" s="12"/>
      <c r="I118257" s="12"/>
      <c r="J118257" s="12"/>
      <c r="K118257" s="12"/>
      <c r="L118257" s="208"/>
      <c r="M118257" s="209"/>
      <c r="N118257" s="209"/>
      <c r="O118257" s="209"/>
    </row>
    <row r="118258" spans="1:15" s="210" customFormat="1" x14ac:dyDescent="0.3">
      <c r="A118258" s="12"/>
      <c r="B118258" s="15"/>
      <c r="C118258" s="15"/>
      <c r="D118258" s="12"/>
      <c r="E118258" s="12"/>
      <c r="F118258" s="13"/>
      <c r="G118258" s="12"/>
      <c r="H118258" s="12"/>
      <c r="I118258" s="12"/>
      <c r="J118258" s="12"/>
      <c r="K118258" s="12"/>
      <c r="L118258" s="208"/>
      <c r="M118258" s="209"/>
      <c r="N118258" s="209"/>
      <c r="O118258" s="209"/>
    </row>
    <row r="118259" spans="1:15" s="210" customFormat="1" x14ac:dyDescent="0.3">
      <c r="A118259" s="12"/>
      <c r="B118259" s="15"/>
      <c r="C118259" s="15"/>
      <c r="D118259" s="12"/>
      <c r="E118259" s="12"/>
      <c r="F118259" s="13"/>
      <c r="G118259" s="12"/>
      <c r="H118259" s="12"/>
      <c r="I118259" s="12"/>
      <c r="J118259" s="12"/>
      <c r="K118259" s="12"/>
      <c r="L118259" s="208"/>
      <c r="M118259" s="209"/>
      <c r="N118259" s="209"/>
      <c r="O118259" s="209"/>
    </row>
    <row r="118260" spans="1:15" s="210" customFormat="1" x14ac:dyDescent="0.3">
      <c r="A118260" s="12"/>
      <c r="B118260" s="15"/>
      <c r="C118260" s="15"/>
      <c r="D118260" s="12"/>
      <c r="E118260" s="12"/>
      <c r="F118260" s="13"/>
      <c r="G118260" s="12"/>
      <c r="H118260" s="12"/>
      <c r="I118260" s="12"/>
      <c r="J118260" s="12"/>
      <c r="K118260" s="12"/>
      <c r="L118260" s="208"/>
      <c r="M118260" s="209"/>
      <c r="N118260" s="209"/>
      <c r="O118260" s="209"/>
    </row>
    <row r="118261" spans="1:15" s="210" customFormat="1" x14ac:dyDescent="0.3">
      <c r="A118261" s="12"/>
      <c r="B118261" s="15"/>
      <c r="C118261" s="15"/>
      <c r="D118261" s="12"/>
      <c r="E118261" s="12"/>
      <c r="F118261" s="13"/>
      <c r="G118261" s="12"/>
      <c r="H118261" s="12"/>
      <c r="I118261" s="12"/>
      <c r="J118261" s="12"/>
      <c r="K118261" s="12"/>
      <c r="L118261" s="208"/>
      <c r="M118261" s="209"/>
      <c r="N118261" s="209"/>
      <c r="O118261" s="209"/>
    </row>
    <row r="118262" spans="1:15" s="210" customFormat="1" x14ac:dyDescent="0.3">
      <c r="A118262" s="12"/>
      <c r="B118262" s="15"/>
      <c r="C118262" s="15"/>
      <c r="D118262" s="12"/>
      <c r="E118262" s="12"/>
      <c r="F118262" s="13"/>
      <c r="G118262" s="12"/>
      <c r="H118262" s="12"/>
      <c r="I118262" s="12"/>
      <c r="J118262" s="12"/>
      <c r="K118262" s="12"/>
      <c r="L118262" s="208"/>
      <c r="M118262" s="209"/>
      <c r="N118262" s="209"/>
      <c r="O118262" s="209"/>
    </row>
    <row r="118263" spans="1:15" s="210" customFormat="1" x14ac:dyDescent="0.3">
      <c r="A118263" s="12"/>
      <c r="B118263" s="15"/>
      <c r="C118263" s="15"/>
      <c r="D118263" s="12"/>
      <c r="E118263" s="12"/>
      <c r="F118263" s="13"/>
      <c r="G118263" s="12"/>
      <c r="H118263" s="12"/>
      <c r="I118263" s="12"/>
      <c r="J118263" s="12"/>
      <c r="K118263" s="12"/>
      <c r="L118263" s="208"/>
      <c r="M118263" s="209"/>
      <c r="N118263" s="209"/>
      <c r="O118263" s="209"/>
    </row>
    <row r="118264" spans="1:15" s="210" customFormat="1" x14ac:dyDescent="0.3">
      <c r="A118264" s="12"/>
      <c r="B118264" s="15"/>
      <c r="C118264" s="15"/>
      <c r="D118264" s="12"/>
      <c r="E118264" s="12"/>
      <c r="F118264" s="13"/>
      <c r="G118264" s="12"/>
      <c r="H118264" s="12"/>
      <c r="I118264" s="12"/>
      <c r="J118264" s="12"/>
      <c r="K118264" s="12"/>
      <c r="L118264" s="208"/>
      <c r="M118264" s="209"/>
      <c r="N118264" s="209"/>
      <c r="O118264" s="209"/>
    </row>
    <row r="118265" spans="1:15" s="210" customFormat="1" x14ac:dyDescent="0.3">
      <c r="A118265" s="12"/>
      <c r="B118265" s="15"/>
      <c r="C118265" s="15"/>
      <c r="D118265" s="12"/>
      <c r="E118265" s="12"/>
      <c r="F118265" s="13"/>
      <c r="G118265" s="12"/>
      <c r="H118265" s="12"/>
      <c r="I118265" s="12"/>
      <c r="J118265" s="12"/>
      <c r="K118265" s="12"/>
      <c r="L118265" s="208"/>
      <c r="M118265" s="209"/>
      <c r="N118265" s="209"/>
      <c r="O118265" s="209"/>
    </row>
    <row r="118266" spans="1:15" s="210" customFormat="1" x14ac:dyDescent="0.3">
      <c r="A118266" s="12"/>
      <c r="B118266" s="15"/>
      <c r="C118266" s="15"/>
      <c r="D118266" s="12"/>
      <c r="E118266" s="12"/>
      <c r="F118266" s="13"/>
      <c r="G118266" s="12"/>
      <c r="H118266" s="12"/>
      <c r="I118266" s="12"/>
      <c r="J118266" s="12"/>
      <c r="K118266" s="12"/>
      <c r="L118266" s="208"/>
      <c r="M118266" s="209"/>
      <c r="N118266" s="209"/>
      <c r="O118266" s="209"/>
    </row>
    <row r="118267" spans="1:15" s="210" customFormat="1" x14ac:dyDescent="0.3">
      <c r="A118267" s="12"/>
      <c r="B118267" s="15"/>
      <c r="C118267" s="15"/>
      <c r="D118267" s="12"/>
      <c r="E118267" s="12"/>
      <c r="F118267" s="13"/>
      <c r="G118267" s="12"/>
      <c r="H118267" s="12"/>
      <c r="I118267" s="12"/>
      <c r="J118267" s="12"/>
      <c r="K118267" s="12"/>
      <c r="L118267" s="208"/>
      <c r="M118267" s="209"/>
      <c r="N118267" s="209"/>
      <c r="O118267" s="209"/>
    </row>
    <row r="118268" spans="1:15" s="210" customFormat="1" x14ac:dyDescent="0.3">
      <c r="A118268" s="12"/>
      <c r="B118268" s="15"/>
      <c r="C118268" s="15"/>
      <c r="D118268" s="12"/>
      <c r="E118268" s="12"/>
      <c r="F118268" s="13"/>
      <c r="G118268" s="12"/>
      <c r="H118268" s="12"/>
      <c r="I118268" s="12"/>
      <c r="J118268" s="12"/>
      <c r="K118268" s="12"/>
      <c r="L118268" s="208"/>
      <c r="M118268" s="209"/>
      <c r="N118268" s="209"/>
      <c r="O118268" s="209"/>
    </row>
    <row r="118269" spans="1:15" s="210" customFormat="1" x14ac:dyDescent="0.3">
      <c r="A118269" s="12"/>
      <c r="B118269" s="15"/>
      <c r="C118269" s="15"/>
      <c r="D118269" s="12"/>
      <c r="E118269" s="12"/>
      <c r="F118269" s="13"/>
      <c r="G118269" s="12"/>
      <c r="H118269" s="12"/>
      <c r="I118269" s="12"/>
      <c r="J118269" s="12"/>
      <c r="K118269" s="12"/>
      <c r="L118269" s="208"/>
      <c r="M118269" s="209"/>
      <c r="N118269" s="209"/>
      <c r="O118269" s="209"/>
    </row>
    <row r="118270" spans="1:15" s="210" customFormat="1" x14ac:dyDescent="0.3">
      <c r="A118270" s="12"/>
      <c r="B118270" s="15"/>
      <c r="C118270" s="15"/>
      <c r="D118270" s="12"/>
      <c r="E118270" s="12"/>
      <c r="F118270" s="13"/>
      <c r="G118270" s="12"/>
      <c r="H118270" s="12"/>
      <c r="I118270" s="12"/>
      <c r="J118270" s="12"/>
      <c r="K118270" s="12"/>
      <c r="L118270" s="208"/>
      <c r="M118270" s="209"/>
      <c r="N118270" s="209"/>
      <c r="O118270" s="209"/>
    </row>
    <row r="118271" spans="1:15" s="210" customFormat="1" x14ac:dyDescent="0.3">
      <c r="A118271" s="12"/>
      <c r="B118271" s="15"/>
      <c r="C118271" s="15"/>
      <c r="D118271" s="12"/>
      <c r="E118271" s="12"/>
      <c r="F118271" s="13"/>
      <c r="G118271" s="12"/>
      <c r="H118271" s="12"/>
      <c r="I118271" s="12"/>
      <c r="J118271" s="12"/>
      <c r="K118271" s="12"/>
      <c r="L118271" s="208"/>
      <c r="M118271" s="209"/>
      <c r="N118271" s="209"/>
      <c r="O118271" s="209"/>
    </row>
    <row r="118272" spans="1:15" s="210" customFormat="1" x14ac:dyDescent="0.3">
      <c r="A118272" s="12"/>
      <c r="B118272" s="15"/>
      <c r="C118272" s="15"/>
      <c r="D118272" s="12"/>
      <c r="E118272" s="12"/>
      <c r="F118272" s="13"/>
      <c r="G118272" s="12"/>
      <c r="H118272" s="12"/>
      <c r="I118272" s="12"/>
      <c r="J118272" s="12"/>
      <c r="K118272" s="12"/>
      <c r="L118272" s="208"/>
      <c r="M118272" s="209"/>
      <c r="N118272" s="209"/>
      <c r="O118272" s="209"/>
    </row>
    <row r="118273" spans="1:15" s="210" customFormat="1" x14ac:dyDescent="0.3">
      <c r="A118273" s="12"/>
      <c r="B118273" s="15"/>
      <c r="C118273" s="15"/>
      <c r="D118273" s="12"/>
      <c r="E118273" s="12"/>
      <c r="F118273" s="13"/>
      <c r="G118273" s="12"/>
      <c r="H118273" s="12"/>
      <c r="I118273" s="12"/>
      <c r="J118273" s="12"/>
      <c r="K118273" s="12"/>
      <c r="L118273" s="208"/>
      <c r="M118273" s="209"/>
      <c r="N118273" s="209"/>
      <c r="O118273" s="209"/>
    </row>
    <row r="118274" spans="1:15" s="210" customFormat="1" x14ac:dyDescent="0.3">
      <c r="A118274" s="12"/>
      <c r="B118274" s="15"/>
      <c r="C118274" s="15"/>
      <c r="D118274" s="12"/>
      <c r="E118274" s="12"/>
      <c r="F118274" s="13"/>
      <c r="G118274" s="12"/>
      <c r="H118274" s="12"/>
      <c r="I118274" s="12"/>
      <c r="J118274" s="12"/>
      <c r="K118274" s="12"/>
      <c r="L118274" s="208"/>
      <c r="M118274" s="209"/>
      <c r="N118274" s="209"/>
      <c r="O118274" s="209"/>
    </row>
    <row r="118275" spans="1:15" s="210" customFormat="1" x14ac:dyDescent="0.3">
      <c r="A118275" s="12"/>
      <c r="B118275" s="15"/>
      <c r="C118275" s="15"/>
      <c r="D118275" s="12"/>
      <c r="E118275" s="12"/>
      <c r="F118275" s="13"/>
      <c r="G118275" s="12"/>
      <c r="H118275" s="12"/>
      <c r="I118275" s="12"/>
      <c r="J118275" s="12"/>
      <c r="K118275" s="12"/>
      <c r="L118275" s="208"/>
      <c r="M118275" s="209"/>
      <c r="N118275" s="209"/>
      <c r="O118275" s="209"/>
    </row>
    <row r="118276" spans="1:15" s="210" customFormat="1" x14ac:dyDescent="0.3">
      <c r="A118276" s="12"/>
      <c r="B118276" s="15"/>
      <c r="C118276" s="15"/>
      <c r="D118276" s="12"/>
      <c r="E118276" s="12"/>
      <c r="F118276" s="13"/>
      <c r="G118276" s="12"/>
      <c r="H118276" s="12"/>
      <c r="I118276" s="12"/>
      <c r="J118276" s="12"/>
      <c r="K118276" s="12"/>
      <c r="L118276" s="208"/>
      <c r="M118276" s="209"/>
      <c r="N118276" s="209"/>
      <c r="O118276" s="209"/>
    </row>
    <row r="118277" spans="1:15" s="210" customFormat="1" x14ac:dyDescent="0.3">
      <c r="A118277" s="12"/>
      <c r="B118277" s="15"/>
      <c r="C118277" s="15"/>
      <c r="D118277" s="12"/>
      <c r="E118277" s="12"/>
      <c r="F118277" s="13"/>
      <c r="G118277" s="12"/>
      <c r="H118277" s="12"/>
      <c r="I118277" s="12"/>
      <c r="J118277" s="12"/>
      <c r="K118277" s="12"/>
      <c r="L118277" s="208"/>
      <c r="M118277" s="209"/>
      <c r="N118277" s="209"/>
      <c r="O118277" s="209"/>
    </row>
    <row r="118278" spans="1:15" s="210" customFormat="1" x14ac:dyDescent="0.3">
      <c r="A118278" s="12"/>
      <c r="B118278" s="15"/>
      <c r="C118278" s="15"/>
      <c r="D118278" s="12"/>
      <c r="E118278" s="12"/>
      <c r="F118278" s="13"/>
      <c r="G118278" s="12"/>
      <c r="H118278" s="12"/>
      <c r="I118278" s="12"/>
      <c r="J118278" s="12"/>
      <c r="K118278" s="12"/>
      <c r="L118278" s="208"/>
      <c r="M118278" s="209"/>
      <c r="N118278" s="209"/>
      <c r="O118278" s="209"/>
    </row>
    <row r="118279" spans="1:15" s="210" customFormat="1" x14ac:dyDescent="0.3">
      <c r="A118279" s="12"/>
      <c r="B118279" s="15"/>
      <c r="C118279" s="15"/>
      <c r="D118279" s="12"/>
      <c r="E118279" s="12"/>
      <c r="F118279" s="13"/>
      <c r="G118279" s="12"/>
      <c r="H118279" s="12"/>
      <c r="I118279" s="12"/>
      <c r="J118279" s="12"/>
      <c r="K118279" s="12"/>
      <c r="L118279" s="208"/>
      <c r="M118279" s="209"/>
      <c r="N118279" s="209"/>
      <c r="O118279" s="209"/>
    </row>
    <row r="118280" spans="1:15" s="210" customFormat="1" x14ac:dyDescent="0.3">
      <c r="A118280" s="12"/>
      <c r="B118280" s="15"/>
      <c r="C118280" s="15"/>
      <c r="D118280" s="12"/>
      <c r="E118280" s="12"/>
      <c r="F118280" s="13"/>
      <c r="G118280" s="12"/>
      <c r="H118280" s="12"/>
      <c r="I118280" s="12"/>
      <c r="J118280" s="12"/>
      <c r="K118280" s="12"/>
      <c r="L118280" s="208"/>
      <c r="M118280" s="209"/>
      <c r="N118280" s="209"/>
      <c r="O118280" s="209"/>
    </row>
    <row r="118281" spans="1:15" s="210" customFormat="1" x14ac:dyDescent="0.3">
      <c r="A118281" s="12"/>
      <c r="B118281" s="15"/>
      <c r="C118281" s="15"/>
      <c r="D118281" s="12"/>
      <c r="E118281" s="12"/>
      <c r="F118281" s="13"/>
      <c r="G118281" s="12"/>
      <c r="H118281" s="12"/>
      <c r="I118281" s="12"/>
      <c r="J118281" s="12"/>
      <c r="K118281" s="12"/>
      <c r="L118281" s="208"/>
      <c r="M118281" s="209"/>
      <c r="N118281" s="209"/>
      <c r="O118281" s="209"/>
    </row>
    <row r="118282" spans="1:15" s="210" customFormat="1" x14ac:dyDescent="0.3">
      <c r="A118282" s="12"/>
      <c r="B118282" s="15"/>
      <c r="C118282" s="15"/>
      <c r="D118282" s="12"/>
      <c r="E118282" s="12"/>
      <c r="F118282" s="13"/>
      <c r="G118282" s="12"/>
      <c r="H118282" s="12"/>
      <c r="I118282" s="12"/>
      <c r="J118282" s="12"/>
      <c r="K118282" s="12"/>
      <c r="L118282" s="208"/>
      <c r="M118282" s="209"/>
      <c r="N118282" s="209"/>
      <c r="O118282" s="209"/>
    </row>
    <row r="118283" spans="1:15" s="210" customFormat="1" x14ac:dyDescent="0.3">
      <c r="A118283" s="12"/>
      <c r="B118283" s="15"/>
      <c r="C118283" s="15"/>
      <c r="D118283" s="12"/>
      <c r="E118283" s="12"/>
      <c r="F118283" s="13"/>
      <c r="G118283" s="12"/>
      <c r="H118283" s="12"/>
      <c r="I118283" s="12"/>
      <c r="J118283" s="12"/>
      <c r="K118283" s="12"/>
      <c r="L118283" s="208"/>
      <c r="M118283" s="209"/>
      <c r="N118283" s="209"/>
      <c r="O118283" s="209"/>
    </row>
    <row r="118284" spans="1:15" s="210" customFormat="1" x14ac:dyDescent="0.3">
      <c r="A118284" s="12"/>
      <c r="B118284" s="15"/>
      <c r="C118284" s="15"/>
      <c r="D118284" s="12"/>
      <c r="E118284" s="12"/>
      <c r="F118284" s="13"/>
      <c r="G118284" s="12"/>
      <c r="H118284" s="12"/>
      <c r="I118284" s="12"/>
      <c r="J118284" s="12"/>
      <c r="K118284" s="12"/>
      <c r="L118284" s="208"/>
      <c r="M118284" s="209"/>
      <c r="N118284" s="209"/>
      <c r="O118284" s="209"/>
    </row>
    <row r="118285" spans="1:15" s="210" customFormat="1" x14ac:dyDescent="0.3">
      <c r="A118285" s="12"/>
      <c r="B118285" s="15"/>
      <c r="C118285" s="15"/>
      <c r="D118285" s="12"/>
      <c r="E118285" s="12"/>
      <c r="F118285" s="13"/>
      <c r="G118285" s="12"/>
      <c r="H118285" s="12"/>
      <c r="I118285" s="12"/>
      <c r="J118285" s="12"/>
      <c r="K118285" s="12"/>
      <c r="L118285" s="208"/>
      <c r="M118285" s="209"/>
      <c r="N118285" s="209"/>
      <c r="O118285" s="209"/>
    </row>
    <row r="118286" spans="1:15" s="210" customFormat="1" x14ac:dyDescent="0.3">
      <c r="A118286" s="12"/>
      <c r="B118286" s="15"/>
      <c r="C118286" s="15"/>
      <c r="D118286" s="12"/>
      <c r="E118286" s="12"/>
      <c r="F118286" s="13"/>
      <c r="G118286" s="12"/>
      <c r="H118286" s="12"/>
      <c r="I118286" s="12"/>
      <c r="J118286" s="12"/>
      <c r="K118286" s="12"/>
      <c r="L118286" s="208"/>
      <c r="M118286" s="209"/>
      <c r="N118286" s="209"/>
      <c r="O118286" s="209"/>
    </row>
    <row r="118287" spans="1:15" s="210" customFormat="1" x14ac:dyDescent="0.3">
      <c r="A118287" s="12"/>
      <c r="B118287" s="15"/>
      <c r="C118287" s="15"/>
      <c r="D118287" s="12"/>
      <c r="E118287" s="12"/>
      <c r="F118287" s="13"/>
      <c r="G118287" s="12"/>
      <c r="H118287" s="12"/>
      <c r="I118287" s="12"/>
      <c r="J118287" s="12"/>
      <c r="K118287" s="12"/>
      <c r="L118287" s="208"/>
      <c r="M118287" s="209"/>
      <c r="N118287" s="209"/>
      <c r="O118287" s="209"/>
    </row>
    <row r="118288" spans="1:15" s="210" customFormat="1" x14ac:dyDescent="0.3">
      <c r="A118288" s="12"/>
      <c r="B118288" s="15"/>
      <c r="C118288" s="15"/>
      <c r="D118288" s="12"/>
      <c r="E118288" s="12"/>
      <c r="F118288" s="13"/>
      <c r="G118288" s="12"/>
      <c r="H118288" s="12"/>
      <c r="I118288" s="12"/>
      <c r="J118288" s="12"/>
      <c r="K118288" s="12"/>
      <c r="L118288" s="208"/>
      <c r="M118288" s="209"/>
      <c r="N118288" s="209"/>
      <c r="O118288" s="209"/>
    </row>
    <row r="118289" spans="1:15" s="210" customFormat="1" x14ac:dyDescent="0.3">
      <c r="A118289" s="12"/>
      <c r="B118289" s="15"/>
      <c r="C118289" s="15"/>
      <c r="D118289" s="12"/>
      <c r="E118289" s="12"/>
      <c r="F118289" s="13"/>
      <c r="G118289" s="12"/>
      <c r="H118289" s="12"/>
      <c r="I118289" s="12"/>
      <c r="J118289" s="12"/>
      <c r="K118289" s="12"/>
      <c r="L118289" s="208"/>
      <c r="M118289" s="209"/>
      <c r="N118289" s="209"/>
      <c r="O118289" s="209"/>
    </row>
    <row r="118290" spans="1:15" s="210" customFormat="1" x14ac:dyDescent="0.3">
      <c r="A118290" s="12"/>
      <c r="B118290" s="15"/>
      <c r="C118290" s="15"/>
      <c r="D118290" s="12"/>
      <c r="E118290" s="12"/>
      <c r="F118290" s="13"/>
      <c r="G118290" s="12"/>
      <c r="H118290" s="12"/>
      <c r="I118290" s="12"/>
      <c r="J118290" s="12"/>
      <c r="K118290" s="12"/>
      <c r="L118290" s="208"/>
      <c r="M118290" s="209"/>
      <c r="N118290" s="209"/>
      <c r="O118290" s="209"/>
    </row>
    <row r="118291" spans="1:15" s="210" customFormat="1" x14ac:dyDescent="0.3">
      <c r="A118291" s="12"/>
      <c r="B118291" s="15"/>
      <c r="C118291" s="15"/>
      <c r="D118291" s="12"/>
      <c r="E118291" s="12"/>
      <c r="F118291" s="13"/>
      <c r="G118291" s="12"/>
      <c r="H118291" s="12"/>
      <c r="I118291" s="12"/>
      <c r="J118291" s="12"/>
      <c r="K118291" s="12"/>
      <c r="L118291" s="208"/>
      <c r="M118291" s="209"/>
      <c r="N118291" s="209"/>
      <c r="O118291" s="209"/>
    </row>
    <row r="118292" spans="1:15" s="210" customFormat="1" x14ac:dyDescent="0.3">
      <c r="A118292" s="12"/>
      <c r="B118292" s="15"/>
      <c r="C118292" s="15"/>
      <c r="D118292" s="12"/>
      <c r="E118292" s="12"/>
      <c r="F118292" s="13"/>
      <c r="G118292" s="12"/>
      <c r="H118292" s="12"/>
      <c r="I118292" s="12"/>
      <c r="J118292" s="12"/>
      <c r="K118292" s="12"/>
      <c r="L118292" s="208"/>
      <c r="M118292" s="209"/>
      <c r="N118292" s="209"/>
      <c r="O118292" s="209"/>
    </row>
    <row r="118293" spans="1:15" s="210" customFormat="1" x14ac:dyDescent="0.3">
      <c r="A118293" s="12"/>
      <c r="B118293" s="15"/>
      <c r="C118293" s="15"/>
      <c r="D118293" s="12"/>
      <c r="E118293" s="12"/>
      <c r="F118293" s="13"/>
      <c r="G118293" s="12"/>
      <c r="H118293" s="12"/>
      <c r="I118293" s="12"/>
      <c r="J118293" s="12"/>
      <c r="K118293" s="12"/>
      <c r="L118293" s="208"/>
      <c r="M118293" s="209"/>
      <c r="N118293" s="209"/>
      <c r="O118293" s="209"/>
    </row>
    <row r="118294" spans="1:15" s="210" customFormat="1" x14ac:dyDescent="0.3">
      <c r="A118294" s="12"/>
      <c r="B118294" s="15"/>
      <c r="C118294" s="15"/>
      <c r="D118294" s="12"/>
      <c r="E118294" s="12"/>
      <c r="F118294" s="13"/>
      <c r="G118294" s="12"/>
      <c r="H118294" s="12"/>
      <c r="I118294" s="12"/>
      <c r="J118294" s="12"/>
      <c r="K118294" s="12"/>
      <c r="L118294" s="208"/>
      <c r="M118294" s="209"/>
      <c r="N118294" s="209"/>
      <c r="O118294" s="209"/>
    </row>
    <row r="118295" spans="1:15" s="210" customFormat="1" x14ac:dyDescent="0.3">
      <c r="A118295" s="12"/>
      <c r="B118295" s="15"/>
      <c r="C118295" s="15"/>
      <c r="D118295" s="12"/>
      <c r="E118295" s="12"/>
      <c r="F118295" s="13"/>
      <c r="G118295" s="12"/>
      <c r="H118295" s="12"/>
      <c r="I118295" s="12"/>
      <c r="J118295" s="12"/>
      <c r="K118295" s="12"/>
      <c r="L118295" s="208"/>
      <c r="M118295" s="209"/>
      <c r="N118295" s="209"/>
      <c r="O118295" s="209"/>
    </row>
    <row r="118296" spans="1:15" s="210" customFormat="1" x14ac:dyDescent="0.3">
      <c r="A118296" s="12"/>
      <c r="B118296" s="15"/>
      <c r="C118296" s="15"/>
      <c r="D118296" s="12"/>
      <c r="E118296" s="12"/>
      <c r="F118296" s="13"/>
      <c r="G118296" s="12"/>
      <c r="H118296" s="12"/>
      <c r="I118296" s="12"/>
      <c r="J118296" s="12"/>
      <c r="K118296" s="12"/>
      <c r="L118296" s="208"/>
      <c r="M118296" s="209"/>
      <c r="N118296" s="209"/>
      <c r="O118296" s="209"/>
    </row>
    <row r="118297" spans="1:15" s="210" customFormat="1" x14ac:dyDescent="0.3">
      <c r="A118297" s="12"/>
      <c r="B118297" s="15"/>
      <c r="C118297" s="15"/>
      <c r="D118297" s="12"/>
      <c r="E118297" s="12"/>
      <c r="F118297" s="13"/>
      <c r="G118297" s="12"/>
      <c r="H118297" s="12"/>
      <c r="I118297" s="12"/>
      <c r="J118297" s="12"/>
      <c r="K118297" s="12"/>
      <c r="L118297" s="208"/>
      <c r="M118297" s="209"/>
      <c r="N118297" s="209"/>
      <c r="O118297" s="209"/>
    </row>
    <row r="118298" spans="1:15" s="210" customFormat="1" x14ac:dyDescent="0.3">
      <c r="A118298" s="12"/>
      <c r="B118298" s="15"/>
      <c r="C118298" s="15"/>
      <c r="D118298" s="12"/>
      <c r="E118298" s="12"/>
      <c r="F118298" s="13"/>
      <c r="G118298" s="12"/>
      <c r="H118298" s="12"/>
      <c r="I118298" s="12"/>
      <c r="J118298" s="12"/>
      <c r="K118298" s="12"/>
      <c r="L118298" s="208"/>
      <c r="M118298" s="209"/>
      <c r="N118298" s="209"/>
      <c r="O118298" s="209"/>
    </row>
    <row r="118299" spans="1:15" s="210" customFormat="1" x14ac:dyDescent="0.3">
      <c r="A118299" s="12"/>
      <c r="B118299" s="15"/>
      <c r="C118299" s="15"/>
      <c r="D118299" s="12"/>
      <c r="E118299" s="12"/>
      <c r="F118299" s="13"/>
      <c r="G118299" s="12"/>
      <c r="H118299" s="12"/>
      <c r="I118299" s="12"/>
      <c r="J118299" s="12"/>
      <c r="K118299" s="12"/>
      <c r="L118299" s="208"/>
      <c r="M118299" s="209"/>
      <c r="N118299" s="209"/>
      <c r="O118299" s="209"/>
    </row>
    <row r="118300" spans="1:15" s="210" customFormat="1" x14ac:dyDescent="0.3">
      <c r="A118300" s="12"/>
      <c r="B118300" s="15"/>
      <c r="C118300" s="15"/>
      <c r="D118300" s="12"/>
      <c r="E118300" s="12"/>
      <c r="F118300" s="13"/>
      <c r="G118300" s="12"/>
      <c r="H118300" s="12"/>
      <c r="I118300" s="12"/>
      <c r="J118300" s="12"/>
      <c r="K118300" s="12"/>
      <c r="L118300" s="208"/>
      <c r="M118300" s="209"/>
      <c r="N118300" s="209"/>
      <c r="O118300" s="209"/>
    </row>
    <row r="118301" spans="1:15" s="210" customFormat="1" x14ac:dyDescent="0.3">
      <c r="A118301" s="12"/>
      <c r="B118301" s="15"/>
      <c r="C118301" s="15"/>
      <c r="D118301" s="12"/>
      <c r="E118301" s="12"/>
      <c r="F118301" s="13"/>
      <c r="G118301" s="12"/>
      <c r="H118301" s="12"/>
      <c r="I118301" s="12"/>
      <c r="J118301" s="12"/>
      <c r="K118301" s="12"/>
      <c r="L118301" s="208"/>
      <c r="M118301" s="209"/>
      <c r="N118301" s="209"/>
      <c r="O118301" s="209"/>
    </row>
    <row r="118302" spans="1:15" s="210" customFormat="1" x14ac:dyDescent="0.3">
      <c r="A118302" s="12"/>
      <c r="B118302" s="15"/>
      <c r="C118302" s="15"/>
      <c r="D118302" s="12"/>
      <c r="E118302" s="12"/>
      <c r="F118302" s="13"/>
      <c r="G118302" s="12"/>
      <c r="H118302" s="12"/>
      <c r="I118302" s="12"/>
      <c r="J118302" s="12"/>
      <c r="K118302" s="12"/>
      <c r="L118302" s="208"/>
      <c r="M118302" s="209"/>
      <c r="N118302" s="209"/>
      <c r="O118302" s="209"/>
    </row>
    <row r="118303" spans="1:15" s="210" customFormat="1" x14ac:dyDescent="0.3">
      <c r="A118303" s="12"/>
      <c r="B118303" s="15"/>
      <c r="C118303" s="15"/>
      <c r="D118303" s="12"/>
      <c r="E118303" s="12"/>
      <c r="F118303" s="13"/>
      <c r="G118303" s="12"/>
      <c r="H118303" s="12"/>
      <c r="I118303" s="12"/>
      <c r="J118303" s="12"/>
      <c r="K118303" s="12"/>
      <c r="L118303" s="208"/>
      <c r="M118303" s="209"/>
      <c r="N118303" s="209"/>
      <c r="O118303" s="209"/>
    </row>
    <row r="118304" spans="1:15" s="210" customFormat="1" x14ac:dyDescent="0.3">
      <c r="A118304" s="12"/>
      <c r="B118304" s="15"/>
      <c r="C118304" s="15"/>
      <c r="D118304" s="12"/>
      <c r="E118304" s="12"/>
      <c r="F118304" s="13"/>
      <c r="G118304" s="12"/>
      <c r="H118304" s="12"/>
      <c r="I118304" s="12"/>
      <c r="J118304" s="12"/>
      <c r="K118304" s="12"/>
      <c r="L118304" s="208"/>
      <c r="M118304" s="209"/>
      <c r="N118304" s="209"/>
      <c r="O118304" s="209"/>
    </row>
    <row r="118305" spans="1:15" s="210" customFormat="1" x14ac:dyDescent="0.3">
      <c r="A118305" s="12"/>
      <c r="B118305" s="15"/>
      <c r="C118305" s="15"/>
      <c r="D118305" s="12"/>
      <c r="E118305" s="12"/>
      <c r="F118305" s="13"/>
      <c r="G118305" s="12"/>
      <c r="H118305" s="12"/>
      <c r="I118305" s="12"/>
      <c r="J118305" s="12"/>
      <c r="K118305" s="12"/>
      <c r="L118305" s="208"/>
      <c r="M118305" s="209"/>
      <c r="N118305" s="209"/>
      <c r="O118305" s="209"/>
    </row>
    <row r="118306" spans="1:15" s="210" customFormat="1" x14ac:dyDescent="0.3">
      <c r="A118306" s="12"/>
      <c r="B118306" s="15"/>
      <c r="C118306" s="15"/>
      <c r="D118306" s="12"/>
      <c r="E118306" s="12"/>
      <c r="F118306" s="13"/>
      <c r="G118306" s="12"/>
      <c r="H118306" s="12"/>
      <c r="I118306" s="12"/>
      <c r="J118306" s="12"/>
      <c r="K118306" s="12"/>
      <c r="L118306" s="208"/>
      <c r="M118306" s="209"/>
      <c r="N118306" s="209"/>
      <c r="O118306" s="209"/>
    </row>
    <row r="118307" spans="1:15" s="210" customFormat="1" x14ac:dyDescent="0.3">
      <c r="A118307" s="12"/>
      <c r="B118307" s="15"/>
      <c r="C118307" s="15"/>
      <c r="D118307" s="12"/>
      <c r="E118307" s="12"/>
      <c r="F118307" s="13"/>
      <c r="G118307" s="12"/>
      <c r="H118307" s="12"/>
      <c r="I118307" s="12"/>
      <c r="J118307" s="12"/>
      <c r="K118307" s="12"/>
      <c r="L118307" s="208"/>
      <c r="M118307" s="209"/>
      <c r="N118307" s="209"/>
      <c r="O118307" s="209"/>
    </row>
    <row r="118308" spans="1:15" s="210" customFormat="1" x14ac:dyDescent="0.3">
      <c r="A118308" s="12"/>
      <c r="B118308" s="15"/>
      <c r="C118308" s="15"/>
      <c r="D118308" s="12"/>
      <c r="E118308" s="12"/>
      <c r="F118308" s="13"/>
      <c r="G118308" s="12"/>
      <c r="H118308" s="12"/>
      <c r="I118308" s="12"/>
      <c r="J118308" s="12"/>
      <c r="K118308" s="12"/>
      <c r="L118308" s="208"/>
      <c r="M118308" s="209"/>
      <c r="N118308" s="209"/>
      <c r="O118308" s="209"/>
    </row>
    <row r="118309" spans="1:15" s="210" customFormat="1" x14ac:dyDescent="0.3">
      <c r="A118309" s="12"/>
      <c r="B118309" s="15"/>
      <c r="C118309" s="15"/>
      <c r="D118309" s="12"/>
      <c r="E118309" s="12"/>
      <c r="F118309" s="13"/>
      <c r="G118309" s="12"/>
      <c r="H118309" s="12"/>
      <c r="I118309" s="12"/>
      <c r="J118309" s="12"/>
      <c r="K118309" s="12"/>
      <c r="L118309" s="208"/>
      <c r="M118309" s="209"/>
      <c r="N118309" s="209"/>
      <c r="O118309" s="209"/>
    </row>
    <row r="118310" spans="1:15" s="210" customFormat="1" x14ac:dyDescent="0.3">
      <c r="A118310" s="12"/>
      <c r="B118310" s="15"/>
      <c r="C118310" s="15"/>
      <c r="D118310" s="12"/>
      <c r="E118310" s="12"/>
      <c r="F118310" s="13"/>
      <c r="G118310" s="12"/>
      <c r="H118310" s="12"/>
      <c r="I118310" s="12"/>
      <c r="J118310" s="12"/>
      <c r="K118310" s="12"/>
      <c r="L118310" s="208"/>
      <c r="M118310" s="209"/>
      <c r="N118310" s="209"/>
      <c r="O118310" s="209"/>
    </row>
    <row r="118311" spans="1:15" s="210" customFormat="1" x14ac:dyDescent="0.3">
      <c r="A118311" s="12"/>
      <c r="B118311" s="15"/>
      <c r="C118311" s="15"/>
      <c r="D118311" s="12"/>
      <c r="E118311" s="12"/>
      <c r="F118311" s="13"/>
      <c r="G118311" s="12"/>
      <c r="H118311" s="12"/>
      <c r="I118311" s="12"/>
      <c r="J118311" s="12"/>
      <c r="K118311" s="12"/>
      <c r="L118311" s="208"/>
      <c r="M118311" s="209"/>
      <c r="N118311" s="209"/>
      <c r="O118311" s="209"/>
    </row>
    <row r="118312" spans="1:15" s="210" customFormat="1" x14ac:dyDescent="0.3">
      <c r="A118312" s="12"/>
      <c r="B118312" s="15"/>
      <c r="C118312" s="15"/>
      <c r="D118312" s="12"/>
      <c r="E118312" s="12"/>
      <c r="F118312" s="13"/>
      <c r="G118312" s="12"/>
      <c r="H118312" s="12"/>
      <c r="I118312" s="12"/>
      <c r="J118312" s="12"/>
      <c r="K118312" s="12"/>
      <c r="L118312" s="208"/>
      <c r="M118312" s="209"/>
      <c r="N118312" s="209"/>
      <c r="O118312" s="209"/>
    </row>
    <row r="118313" spans="1:15" s="210" customFormat="1" x14ac:dyDescent="0.3">
      <c r="A118313" s="12"/>
      <c r="B118313" s="15"/>
      <c r="C118313" s="15"/>
      <c r="D118313" s="12"/>
      <c r="E118313" s="12"/>
      <c r="F118313" s="13"/>
      <c r="G118313" s="12"/>
      <c r="H118313" s="12"/>
      <c r="I118313" s="12"/>
      <c r="J118313" s="12"/>
      <c r="K118313" s="12"/>
      <c r="L118313" s="208"/>
      <c r="M118313" s="209"/>
      <c r="N118313" s="209"/>
      <c r="O118313" s="209"/>
    </row>
    <row r="118314" spans="1:15" s="210" customFormat="1" x14ac:dyDescent="0.3">
      <c r="A118314" s="12"/>
      <c r="B118314" s="15"/>
      <c r="C118314" s="15"/>
      <c r="D118314" s="12"/>
      <c r="E118314" s="12"/>
      <c r="F118314" s="13"/>
      <c r="G118314" s="12"/>
      <c r="H118314" s="12"/>
      <c r="I118314" s="12"/>
      <c r="J118314" s="12"/>
      <c r="K118314" s="12"/>
      <c r="L118314" s="208"/>
      <c r="M118314" s="209"/>
      <c r="N118314" s="209"/>
      <c r="O118314" s="209"/>
    </row>
    <row r="118315" spans="1:15" s="210" customFormat="1" x14ac:dyDescent="0.3">
      <c r="A118315" s="12"/>
      <c r="B118315" s="15"/>
      <c r="C118315" s="15"/>
      <c r="D118315" s="12"/>
      <c r="E118315" s="12"/>
      <c r="F118315" s="13"/>
      <c r="G118315" s="12"/>
      <c r="H118315" s="12"/>
      <c r="I118315" s="12"/>
      <c r="J118315" s="12"/>
      <c r="K118315" s="12"/>
      <c r="L118315" s="208"/>
      <c r="M118315" s="209"/>
      <c r="N118315" s="209"/>
      <c r="O118315" s="209"/>
    </row>
    <row r="118316" spans="1:15" s="210" customFormat="1" x14ac:dyDescent="0.3">
      <c r="A118316" s="12"/>
      <c r="B118316" s="15"/>
      <c r="C118316" s="15"/>
      <c r="D118316" s="12"/>
      <c r="E118316" s="12"/>
      <c r="F118316" s="13"/>
      <c r="G118316" s="12"/>
      <c r="H118316" s="12"/>
      <c r="I118316" s="12"/>
      <c r="J118316" s="12"/>
      <c r="K118316" s="12"/>
      <c r="L118316" s="208"/>
      <c r="M118316" s="209"/>
      <c r="N118316" s="209"/>
      <c r="O118316" s="209"/>
    </row>
    <row r="118317" spans="1:15" s="210" customFormat="1" x14ac:dyDescent="0.3">
      <c r="A118317" s="12"/>
      <c r="B118317" s="15"/>
      <c r="C118317" s="15"/>
      <c r="D118317" s="12"/>
      <c r="E118317" s="12"/>
      <c r="F118317" s="13"/>
      <c r="G118317" s="12"/>
      <c r="H118317" s="12"/>
      <c r="I118317" s="12"/>
      <c r="J118317" s="12"/>
      <c r="K118317" s="12"/>
      <c r="L118317" s="208"/>
      <c r="M118317" s="209"/>
      <c r="N118317" s="209"/>
      <c r="O118317" s="209"/>
    </row>
    <row r="118318" spans="1:15" s="210" customFormat="1" x14ac:dyDescent="0.3">
      <c r="A118318" s="12"/>
      <c r="B118318" s="15"/>
      <c r="C118318" s="15"/>
      <c r="D118318" s="12"/>
      <c r="E118318" s="12"/>
      <c r="F118318" s="13"/>
      <c r="G118318" s="12"/>
      <c r="H118318" s="12"/>
      <c r="I118318" s="12"/>
      <c r="J118318" s="12"/>
      <c r="K118318" s="12"/>
      <c r="L118318" s="208"/>
      <c r="M118318" s="209"/>
      <c r="N118318" s="209"/>
      <c r="O118318" s="209"/>
    </row>
    <row r="118319" spans="1:15" s="210" customFormat="1" x14ac:dyDescent="0.3">
      <c r="A118319" s="12"/>
      <c r="B118319" s="15"/>
      <c r="C118319" s="15"/>
      <c r="D118319" s="12"/>
      <c r="E118319" s="12"/>
      <c r="F118319" s="13"/>
      <c r="G118319" s="12"/>
      <c r="H118319" s="12"/>
      <c r="I118319" s="12"/>
      <c r="J118319" s="12"/>
      <c r="K118319" s="12"/>
      <c r="L118319" s="208"/>
      <c r="M118319" s="209"/>
      <c r="N118319" s="209"/>
      <c r="O118319" s="209"/>
    </row>
    <row r="118320" spans="1:15" s="210" customFormat="1" x14ac:dyDescent="0.3">
      <c r="A118320" s="12"/>
      <c r="B118320" s="15"/>
      <c r="C118320" s="15"/>
      <c r="D118320" s="12"/>
      <c r="E118320" s="12"/>
      <c r="F118320" s="13"/>
      <c r="G118320" s="12"/>
      <c r="H118320" s="12"/>
      <c r="I118320" s="12"/>
      <c r="J118320" s="12"/>
      <c r="K118320" s="12"/>
      <c r="L118320" s="208"/>
      <c r="M118320" s="209"/>
      <c r="N118320" s="209"/>
      <c r="O118320" s="209"/>
    </row>
    <row r="118321" spans="1:15" s="210" customFormat="1" x14ac:dyDescent="0.3">
      <c r="A118321" s="12"/>
      <c r="B118321" s="15"/>
      <c r="C118321" s="15"/>
      <c r="D118321" s="12"/>
      <c r="E118321" s="12"/>
      <c r="F118321" s="13"/>
      <c r="G118321" s="12"/>
      <c r="H118321" s="12"/>
      <c r="I118321" s="12"/>
      <c r="J118321" s="12"/>
      <c r="K118321" s="12"/>
      <c r="L118321" s="208"/>
      <c r="M118321" s="209"/>
      <c r="N118321" s="209"/>
      <c r="O118321" s="209"/>
    </row>
    <row r="118322" spans="1:15" s="210" customFormat="1" x14ac:dyDescent="0.3">
      <c r="A118322" s="12"/>
      <c r="B118322" s="15"/>
      <c r="C118322" s="15"/>
      <c r="D118322" s="12"/>
      <c r="E118322" s="12"/>
      <c r="F118322" s="13"/>
      <c r="G118322" s="12"/>
      <c r="H118322" s="12"/>
      <c r="I118322" s="12"/>
      <c r="J118322" s="12"/>
      <c r="K118322" s="12"/>
      <c r="L118322" s="208"/>
      <c r="M118322" s="209"/>
      <c r="N118322" s="209"/>
      <c r="O118322" s="209"/>
    </row>
    <row r="118323" spans="1:15" s="210" customFormat="1" x14ac:dyDescent="0.3">
      <c r="A118323" s="12"/>
      <c r="B118323" s="15"/>
      <c r="C118323" s="15"/>
      <c r="D118323" s="12"/>
      <c r="E118323" s="12"/>
      <c r="F118323" s="13"/>
      <c r="G118323" s="12"/>
      <c r="H118323" s="12"/>
      <c r="I118323" s="12"/>
      <c r="J118323" s="12"/>
      <c r="K118323" s="12"/>
      <c r="L118323" s="208"/>
      <c r="M118323" s="209"/>
      <c r="N118323" s="209"/>
      <c r="O118323" s="209"/>
    </row>
    <row r="118324" spans="1:15" s="210" customFormat="1" x14ac:dyDescent="0.3">
      <c r="A118324" s="12"/>
      <c r="B118324" s="15"/>
      <c r="C118324" s="15"/>
      <c r="D118324" s="12"/>
      <c r="E118324" s="12"/>
      <c r="F118324" s="13"/>
      <c r="G118324" s="12"/>
      <c r="H118324" s="12"/>
      <c r="I118324" s="12"/>
      <c r="J118324" s="12"/>
      <c r="K118324" s="12"/>
      <c r="L118324" s="208"/>
      <c r="M118324" s="209"/>
      <c r="N118324" s="209"/>
      <c r="O118324" s="209"/>
    </row>
    <row r="118325" spans="1:15" s="210" customFormat="1" x14ac:dyDescent="0.3">
      <c r="A118325" s="12"/>
      <c r="B118325" s="15"/>
      <c r="C118325" s="15"/>
      <c r="D118325" s="12"/>
      <c r="E118325" s="12"/>
      <c r="F118325" s="13"/>
      <c r="G118325" s="12"/>
      <c r="H118325" s="12"/>
      <c r="I118325" s="12"/>
      <c r="J118325" s="12"/>
      <c r="K118325" s="12"/>
      <c r="L118325" s="208"/>
      <c r="M118325" s="209"/>
      <c r="N118325" s="209"/>
      <c r="O118325" s="209"/>
    </row>
    <row r="118326" spans="1:15" s="210" customFormat="1" x14ac:dyDescent="0.3">
      <c r="A118326" s="12"/>
      <c r="B118326" s="15"/>
      <c r="C118326" s="15"/>
      <c r="D118326" s="12"/>
      <c r="E118326" s="12"/>
      <c r="F118326" s="13"/>
      <c r="G118326" s="12"/>
      <c r="H118326" s="12"/>
      <c r="I118326" s="12"/>
      <c r="J118326" s="12"/>
      <c r="K118326" s="12"/>
      <c r="L118326" s="208"/>
      <c r="M118326" s="209"/>
      <c r="N118326" s="209"/>
      <c r="O118326" s="209"/>
    </row>
    <row r="118327" spans="1:15" s="210" customFormat="1" x14ac:dyDescent="0.3">
      <c r="A118327" s="12"/>
      <c r="B118327" s="15"/>
      <c r="C118327" s="15"/>
      <c r="D118327" s="12"/>
      <c r="E118327" s="12"/>
      <c r="F118327" s="13"/>
      <c r="G118327" s="12"/>
      <c r="H118327" s="12"/>
      <c r="I118327" s="12"/>
      <c r="J118327" s="12"/>
      <c r="K118327" s="12"/>
      <c r="L118327" s="208"/>
      <c r="M118327" s="209"/>
      <c r="N118327" s="209"/>
      <c r="O118327" s="209"/>
    </row>
    <row r="118328" spans="1:15" s="210" customFormat="1" x14ac:dyDescent="0.3">
      <c r="A118328" s="12"/>
      <c r="B118328" s="15"/>
      <c r="C118328" s="15"/>
      <c r="D118328" s="12"/>
      <c r="E118328" s="12"/>
      <c r="F118328" s="13"/>
      <c r="G118328" s="12"/>
      <c r="H118328" s="12"/>
      <c r="I118328" s="12"/>
      <c r="J118328" s="12"/>
      <c r="K118328" s="12"/>
      <c r="L118328" s="208"/>
      <c r="M118328" s="209"/>
      <c r="N118328" s="209"/>
      <c r="O118328" s="209"/>
    </row>
    <row r="118329" spans="1:15" s="210" customFormat="1" x14ac:dyDescent="0.3">
      <c r="A118329" s="12"/>
      <c r="B118329" s="15"/>
      <c r="C118329" s="15"/>
      <c r="D118329" s="12"/>
      <c r="E118329" s="12"/>
      <c r="F118329" s="13"/>
      <c r="G118329" s="12"/>
      <c r="H118329" s="12"/>
      <c r="I118329" s="12"/>
      <c r="J118329" s="12"/>
      <c r="K118329" s="12"/>
      <c r="L118329" s="208"/>
      <c r="M118329" s="209"/>
      <c r="N118329" s="209"/>
      <c r="O118329" s="209"/>
    </row>
    <row r="118330" spans="1:15" s="210" customFormat="1" x14ac:dyDescent="0.3">
      <c r="A118330" s="12"/>
      <c r="B118330" s="15"/>
      <c r="C118330" s="15"/>
      <c r="D118330" s="12"/>
      <c r="E118330" s="12"/>
      <c r="F118330" s="13"/>
      <c r="G118330" s="12"/>
      <c r="H118330" s="12"/>
      <c r="I118330" s="12"/>
      <c r="J118330" s="12"/>
      <c r="K118330" s="12"/>
      <c r="L118330" s="208"/>
      <c r="M118330" s="209"/>
      <c r="N118330" s="209"/>
      <c r="O118330" s="209"/>
    </row>
    <row r="118331" spans="1:15" s="210" customFormat="1" x14ac:dyDescent="0.3">
      <c r="A118331" s="12"/>
      <c r="B118331" s="15"/>
      <c r="C118331" s="15"/>
      <c r="D118331" s="12"/>
      <c r="E118331" s="12"/>
      <c r="F118331" s="13"/>
      <c r="G118331" s="12"/>
      <c r="H118331" s="12"/>
      <c r="I118331" s="12"/>
      <c r="J118331" s="12"/>
      <c r="K118331" s="12"/>
      <c r="L118331" s="208"/>
      <c r="M118331" s="209"/>
      <c r="N118331" s="209"/>
      <c r="O118331" s="209"/>
    </row>
    <row r="118332" spans="1:15" s="210" customFormat="1" x14ac:dyDescent="0.3">
      <c r="A118332" s="12"/>
      <c r="B118332" s="15"/>
      <c r="C118332" s="15"/>
      <c r="D118332" s="12"/>
      <c r="E118332" s="12"/>
      <c r="F118332" s="13"/>
      <c r="G118332" s="12"/>
      <c r="H118332" s="12"/>
      <c r="I118332" s="12"/>
      <c r="J118332" s="12"/>
      <c r="K118332" s="12"/>
      <c r="L118332" s="208"/>
      <c r="M118332" s="209"/>
      <c r="N118332" s="209"/>
      <c r="O118332" s="209"/>
    </row>
    <row r="118333" spans="1:15" s="210" customFormat="1" x14ac:dyDescent="0.3">
      <c r="A118333" s="12"/>
      <c r="B118333" s="15"/>
      <c r="C118333" s="15"/>
      <c r="D118333" s="12"/>
      <c r="E118333" s="12"/>
      <c r="F118333" s="13"/>
      <c r="G118333" s="12"/>
      <c r="H118333" s="12"/>
      <c r="I118333" s="12"/>
      <c r="J118333" s="12"/>
      <c r="K118333" s="12"/>
      <c r="L118333" s="208"/>
      <c r="M118333" s="209"/>
      <c r="N118333" s="209"/>
      <c r="O118333" s="209"/>
    </row>
    <row r="118334" spans="1:15" s="210" customFormat="1" x14ac:dyDescent="0.3">
      <c r="A118334" s="12"/>
      <c r="B118334" s="15"/>
      <c r="C118334" s="15"/>
      <c r="D118334" s="12"/>
      <c r="E118334" s="12"/>
      <c r="F118334" s="13"/>
      <c r="G118334" s="12"/>
      <c r="H118334" s="12"/>
      <c r="I118334" s="12"/>
      <c r="J118334" s="12"/>
      <c r="K118334" s="12"/>
      <c r="L118334" s="208"/>
      <c r="M118334" s="209"/>
      <c r="N118334" s="209"/>
      <c r="O118334" s="209"/>
    </row>
    <row r="118335" spans="1:15" s="210" customFormat="1" x14ac:dyDescent="0.3">
      <c r="A118335" s="12"/>
      <c r="B118335" s="15"/>
      <c r="C118335" s="15"/>
      <c r="D118335" s="12"/>
      <c r="E118335" s="12"/>
      <c r="F118335" s="13"/>
      <c r="G118335" s="12"/>
      <c r="H118335" s="12"/>
      <c r="I118335" s="12"/>
      <c r="J118335" s="12"/>
      <c r="K118335" s="12"/>
      <c r="L118335" s="208"/>
      <c r="M118335" s="209"/>
      <c r="N118335" s="209"/>
      <c r="O118335" s="209"/>
    </row>
    <row r="118336" spans="1:15" s="210" customFormat="1" x14ac:dyDescent="0.3">
      <c r="A118336" s="12"/>
      <c r="B118336" s="15"/>
      <c r="C118336" s="15"/>
      <c r="D118336" s="12"/>
      <c r="E118336" s="12"/>
      <c r="F118336" s="13"/>
      <c r="G118336" s="12"/>
      <c r="H118336" s="12"/>
      <c r="I118336" s="12"/>
      <c r="J118336" s="12"/>
      <c r="K118336" s="12"/>
      <c r="L118336" s="208"/>
      <c r="M118336" s="209"/>
      <c r="N118336" s="209"/>
      <c r="O118336" s="209"/>
    </row>
    <row r="118337" spans="1:15" s="210" customFormat="1" x14ac:dyDescent="0.3">
      <c r="A118337" s="12"/>
      <c r="B118337" s="15"/>
      <c r="C118337" s="15"/>
      <c r="D118337" s="12"/>
      <c r="E118337" s="12"/>
      <c r="F118337" s="13"/>
      <c r="G118337" s="12"/>
      <c r="H118337" s="12"/>
      <c r="I118337" s="12"/>
      <c r="J118337" s="12"/>
      <c r="K118337" s="12"/>
      <c r="L118337" s="208"/>
      <c r="M118337" s="209"/>
      <c r="N118337" s="209"/>
      <c r="O118337" s="209"/>
    </row>
    <row r="118338" spans="1:15" s="210" customFormat="1" x14ac:dyDescent="0.3">
      <c r="A118338" s="12"/>
      <c r="B118338" s="15"/>
      <c r="C118338" s="15"/>
      <c r="D118338" s="12"/>
      <c r="E118338" s="12"/>
      <c r="F118338" s="13"/>
      <c r="G118338" s="12"/>
      <c r="H118338" s="12"/>
      <c r="I118338" s="12"/>
      <c r="J118338" s="12"/>
      <c r="K118338" s="12"/>
      <c r="L118338" s="208"/>
      <c r="M118338" s="209"/>
      <c r="N118338" s="209"/>
      <c r="O118338" s="209"/>
    </row>
    <row r="118339" spans="1:15" s="210" customFormat="1" x14ac:dyDescent="0.3">
      <c r="A118339" s="12"/>
      <c r="B118339" s="15"/>
      <c r="C118339" s="15"/>
      <c r="D118339" s="12"/>
      <c r="E118339" s="12"/>
      <c r="F118339" s="13"/>
      <c r="G118339" s="12"/>
      <c r="H118339" s="12"/>
      <c r="I118339" s="12"/>
      <c r="J118339" s="12"/>
      <c r="K118339" s="12"/>
      <c r="L118339" s="208"/>
      <c r="M118339" s="209"/>
      <c r="N118339" s="209"/>
      <c r="O118339" s="209"/>
    </row>
    <row r="118340" spans="1:15" s="210" customFormat="1" x14ac:dyDescent="0.3">
      <c r="A118340" s="12"/>
      <c r="B118340" s="15"/>
      <c r="C118340" s="15"/>
      <c r="D118340" s="12"/>
      <c r="E118340" s="12"/>
      <c r="F118340" s="13"/>
      <c r="G118340" s="12"/>
      <c r="H118340" s="12"/>
      <c r="I118340" s="12"/>
      <c r="J118340" s="12"/>
      <c r="K118340" s="12"/>
      <c r="L118340" s="208"/>
      <c r="M118340" s="209"/>
      <c r="N118340" s="209"/>
      <c r="O118340" s="209"/>
    </row>
    <row r="118341" spans="1:15" s="210" customFormat="1" x14ac:dyDescent="0.3">
      <c r="A118341" s="12"/>
      <c r="B118341" s="15"/>
      <c r="C118341" s="15"/>
      <c r="D118341" s="12"/>
      <c r="E118341" s="12"/>
      <c r="F118341" s="13"/>
      <c r="G118341" s="12"/>
      <c r="H118341" s="12"/>
      <c r="I118341" s="12"/>
      <c r="J118341" s="12"/>
      <c r="K118341" s="12"/>
      <c r="L118341" s="208"/>
      <c r="M118341" s="209"/>
      <c r="N118341" s="209"/>
      <c r="O118341" s="209"/>
    </row>
    <row r="118342" spans="1:15" s="210" customFormat="1" x14ac:dyDescent="0.3">
      <c r="A118342" s="12"/>
      <c r="B118342" s="15"/>
      <c r="C118342" s="15"/>
      <c r="D118342" s="12"/>
      <c r="E118342" s="12"/>
      <c r="F118342" s="13"/>
      <c r="G118342" s="12"/>
      <c r="H118342" s="12"/>
      <c r="I118342" s="12"/>
      <c r="J118342" s="12"/>
      <c r="K118342" s="12"/>
      <c r="L118342" s="208"/>
      <c r="M118342" s="209"/>
      <c r="N118342" s="209"/>
      <c r="O118342" s="209"/>
    </row>
    <row r="118343" spans="1:15" s="210" customFormat="1" x14ac:dyDescent="0.3">
      <c r="A118343" s="12"/>
      <c r="B118343" s="15"/>
      <c r="C118343" s="15"/>
      <c r="D118343" s="12"/>
      <c r="E118343" s="12"/>
      <c r="F118343" s="13"/>
      <c r="G118343" s="12"/>
      <c r="H118343" s="12"/>
      <c r="I118343" s="12"/>
      <c r="J118343" s="12"/>
      <c r="K118343" s="12"/>
      <c r="L118343" s="208"/>
      <c r="M118343" s="209"/>
      <c r="N118343" s="209"/>
      <c r="O118343" s="209"/>
    </row>
    <row r="118344" spans="1:15" s="210" customFormat="1" x14ac:dyDescent="0.3">
      <c r="A118344" s="12"/>
      <c r="B118344" s="15"/>
      <c r="C118344" s="15"/>
      <c r="D118344" s="12"/>
      <c r="E118344" s="12"/>
      <c r="F118344" s="13"/>
      <c r="G118344" s="12"/>
      <c r="H118344" s="12"/>
      <c r="I118344" s="12"/>
      <c r="J118344" s="12"/>
      <c r="K118344" s="12"/>
      <c r="L118344" s="208"/>
      <c r="M118344" s="209"/>
      <c r="N118344" s="209"/>
      <c r="O118344" s="209"/>
    </row>
    <row r="118345" spans="1:15" s="210" customFormat="1" x14ac:dyDescent="0.3">
      <c r="A118345" s="12"/>
      <c r="B118345" s="15"/>
      <c r="C118345" s="15"/>
      <c r="D118345" s="12"/>
      <c r="E118345" s="12"/>
      <c r="F118345" s="13"/>
      <c r="G118345" s="12"/>
      <c r="H118345" s="12"/>
      <c r="I118345" s="12"/>
      <c r="J118345" s="12"/>
      <c r="K118345" s="12"/>
      <c r="L118345" s="208"/>
      <c r="M118345" s="209"/>
      <c r="N118345" s="209"/>
      <c r="O118345" s="209"/>
    </row>
    <row r="118346" spans="1:15" s="210" customFormat="1" x14ac:dyDescent="0.3">
      <c r="A118346" s="12"/>
      <c r="B118346" s="15"/>
      <c r="C118346" s="15"/>
      <c r="D118346" s="12"/>
      <c r="E118346" s="12"/>
      <c r="F118346" s="13"/>
      <c r="G118346" s="12"/>
      <c r="H118346" s="12"/>
      <c r="I118346" s="12"/>
      <c r="J118346" s="12"/>
      <c r="K118346" s="12"/>
      <c r="L118346" s="208"/>
      <c r="M118346" s="209"/>
      <c r="N118346" s="209"/>
      <c r="O118346" s="209"/>
    </row>
    <row r="118347" spans="1:15" s="210" customFormat="1" x14ac:dyDescent="0.3">
      <c r="A118347" s="12"/>
      <c r="B118347" s="15"/>
      <c r="C118347" s="15"/>
      <c r="D118347" s="12"/>
      <c r="E118347" s="12"/>
      <c r="F118347" s="13"/>
      <c r="G118347" s="12"/>
      <c r="H118347" s="12"/>
      <c r="I118347" s="12"/>
      <c r="J118347" s="12"/>
      <c r="K118347" s="12"/>
      <c r="L118347" s="208"/>
      <c r="M118347" s="209"/>
      <c r="N118347" s="209"/>
      <c r="O118347" s="209"/>
    </row>
    <row r="118348" spans="1:15" s="210" customFormat="1" x14ac:dyDescent="0.3">
      <c r="A118348" s="12"/>
      <c r="B118348" s="15"/>
      <c r="C118348" s="15"/>
      <c r="D118348" s="12"/>
      <c r="E118348" s="12"/>
      <c r="F118348" s="13"/>
      <c r="G118348" s="12"/>
      <c r="H118348" s="12"/>
      <c r="I118348" s="12"/>
      <c r="J118348" s="12"/>
      <c r="K118348" s="12"/>
      <c r="L118348" s="208"/>
      <c r="M118348" s="209"/>
      <c r="N118348" s="209"/>
      <c r="O118348" s="209"/>
    </row>
    <row r="118349" spans="1:15" s="210" customFormat="1" x14ac:dyDescent="0.3">
      <c r="A118349" s="12"/>
      <c r="B118349" s="15"/>
      <c r="C118349" s="15"/>
      <c r="D118349" s="12"/>
      <c r="E118349" s="12"/>
      <c r="F118349" s="13"/>
      <c r="G118349" s="12"/>
      <c r="H118349" s="12"/>
      <c r="I118349" s="12"/>
      <c r="J118349" s="12"/>
      <c r="K118349" s="12"/>
      <c r="L118349" s="208"/>
      <c r="M118349" s="209"/>
      <c r="N118349" s="209"/>
      <c r="O118349" s="209"/>
    </row>
    <row r="118350" spans="1:15" s="210" customFormat="1" x14ac:dyDescent="0.3">
      <c r="A118350" s="12"/>
      <c r="B118350" s="15"/>
      <c r="C118350" s="15"/>
      <c r="D118350" s="12"/>
      <c r="E118350" s="12"/>
      <c r="F118350" s="13"/>
      <c r="G118350" s="12"/>
      <c r="H118350" s="12"/>
      <c r="I118350" s="12"/>
      <c r="J118350" s="12"/>
      <c r="K118350" s="12"/>
      <c r="L118350" s="208"/>
      <c r="M118350" s="209"/>
      <c r="N118350" s="209"/>
      <c r="O118350" s="209"/>
    </row>
    <row r="118351" spans="1:15" s="210" customFormat="1" x14ac:dyDescent="0.3">
      <c r="A118351" s="12"/>
      <c r="B118351" s="15"/>
      <c r="C118351" s="15"/>
      <c r="D118351" s="12"/>
      <c r="E118351" s="12"/>
      <c r="F118351" s="13"/>
      <c r="G118351" s="12"/>
      <c r="H118351" s="12"/>
      <c r="I118351" s="12"/>
      <c r="J118351" s="12"/>
      <c r="K118351" s="12"/>
      <c r="L118351" s="208"/>
      <c r="M118351" s="209"/>
      <c r="N118351" s="209"/>
      <c r="O118351" s="209"/>
    </row>
    <row r="118352" spans="1:15" s="210" customFormat="1" x14ac:dyDescent="0.3">
      <c r="A118352" s="12"/>
      <c r="B118352" s="15"/>
      <c r="C118352" s="15"/>
      <c r="D118352" s="12"/>
      <c r="E118352" s="12"/>
      <c r="F118352" s="13"/>
      <c r="G118352" s="12"/>
      <c r="H118352" s="12"/>
      <c r="I118352" s="12"/>
      <c r="J118352" s="12"/>
      <c r="K118352" s="12"/>
      <c r="L118352" s="208"/>
      <c r="M118352" s="209"/>
      <c r="N118352" s="209"/>
      <c r="O118352" s="209"/>
    </row>
    <row r="118353" spans="1:15" s="210" customFormat="1" x14ac:dyDescent="0.3">
      <c r="A118353" s="12"/>
      <c r="B118353" s="15"/>
      <c r="C118353" s="15"/>
      <c r="D118353" s="12"/>
      <c r="E118353" s="12"/>
      <c r="F118353" s="13"/>
      <c r="G118353" s="12"/>
      <c r="H118353" s="12"/>
      <c r="I118353" s="12"/>
      <c r="J118353" s="12"/>
      <c r="K118353" s="12"/>
      <c r="L118353" s="208"/>
      <c r="M118353" s="209"/>
      <c r="N118353" s="209"/>
      <c r="O118353" s="209"/>
    </row>
    <row r="118354" spans="1:15" s="210" customFormat="1" x14ac:dyDescent="0.3">
      <c r="A118354" s="12"/>
      <c r="B118354" s="15"/>
      <c r="C118354" s="15"/>
      <c r="D118354" s="12"/>
      <c r="E118354" s="12"/>
      <c r="F118354" s="13"/>
      <c r="G118354" s="12"/>
      <c r="H118354" s="12"/>
      <c r="I118354" s="12"/>
      <c r="J118354" s="12"/>
      <c r="K118354" s="12"/>
      <c r="L118354" s="208"/>
      <c r="M118354" s="209"/>
      <c r="N118354" s="209"/>
      <c r="O118354" s="209"/>
    </row>
    <row r="118355" spans="1:15" s="210" customFormat="1" x14ac:dyDescent="0.3">
      <c r="A118355" s="12"/>
      <c r="B118355" s="15"/>
      <c r="C118355" s="15"/>
      <c r="D118355" s="12"/>
      <c r="E118355" s="12"/>
      <c r="F118355" s="13"/>
      <c r="G118355" s="12"/>
      <c r="H118355" s="12"/>
      <c r="I118355" s="12"/>
      <c r="J118355" s="12"/>
      <c r="K118355" s="12"/>
      <c r="L118355" s="208"/>
      <c r="M118355" s="209"/>
      <c r="N118355" s="209"/>
      <c r="O118355" s="209"/>
    </row>
    <row r="118356" spans="1:15" s="210" customFormat="1" x14ac:dyDescent="0.3">
      <c r="A118356" s="12"/>
      <c r="B118356" s="15"/>
      <c r="C118356" s="15"/>
      <c r="D118356" s="12"/>
      <c r="E118356" s="12"/>
      <c r="F118356" s="13"/>
      <c r="G118356" s="12"/>
      <c r="H118356" s="12"/>
      <c r="I118356" s="12"/>
      <c r="J118356" s="12"/>
      <c r="K118356" s="12"/>
      <c r="L118356" s="208"/>
      <c r="M118356" s="209"/>
      <c r="N118356" s="209"/>
      <c r="O118356" s="209"/>
    </row>
    <row r="118357" spans="1:15" s="210" customFormat="1" x14ac:dyDescent="0.3">
      <c r="A118357" s="12"/>
      <c r="B118357" s="15"/>
      <c r="C118357" s="15"/>
      <c r="D118357" s="12"/>
      <c r="E118357" s="12"/>
      <c r="F118357" s="13"/>
      <c r="G118357" s="12"/>
      <c r="H118357" s="12"/>
      <c r="I118357" s="12"/>
      <c r="J118357" s="12"/>
      <c r="K118357" s="12"/>
      <c r="L118357" s="208"/>
      <c r="M118357" s="209"/>
      <c r="N118357" s="209"/>
      <c r="O118357" s="209"/>
    </row>
    <row r="118358" spans="1:15" s="210" customFormat="1" x14ac:dyDescent="0.3">
      <c r="A118358" s="12"/>
      <c r="B118358" s="15"/>
      <c r="C118358" s="15"/>
      <c r="D118358" s="12"/>
      <c r="E118358" s="12"/>
      <c r="F118358" s="13"/>
      <c r="G118358" s="12"/>
      <c r="H118358" s="12"/>
      <c r="I118358" s="12"/>
      <c r="J118358" s="12"/>
      <c r="K118358" s="12"/>
      <c r="L118358" s="208"/>
      <c r="M118358" s="209"/>
      <c r="N118358" s="209"/>
      <c r="O118358" s="209"/>
    </row>
    <row r="118359" spans="1:15" s="210" customFormat="1" x14ac:dyDescent="0.3">
      <c r="A118359" s="12"/>
      <c r="B118359" s="15"/>
      <c r="C118359" s="15"/>
      <c r="D118359" s="12"/>
      <c r="E118359" s="12"/>
      <c r="F118359" s="13"/>
      <c r="G118359" s="12"/>
      <c r="H118359" s="12"/>
      <c r="I118359" s="12"/>
      <c r="J118359" s="12"/>
      <c r="K118359" s="12"/>
      <c r="L118359" s="208"/>
      <c r="M118359" s="209"/>
      <c r="N118359" s="209"/>
      <c r="O118359" s="209"/>
    </row>
    <row r="118360" spans="1:15" s="210" customFormat="1" x14ac:dyDescent="0.3">
      <c r="A118360" s="12"/>
      <c r="B118360" s="15"/>
      <c r="C118360" s="15"/>
      <c r="D118360" s="12"/>
      <c r="E118360" s="12"/>
      <c r="F118360" s="13"/>
      <c r="G118360" s="12"/>
      <c r="H118360" s="12"/>
      <c r="I118360" s="12"/>
      <c r="J118360" s="12"/>
      <c r="K118360" s="12"/>
      <c r="L118360" s="208"/>
      <c r="M118360" s="209"/>
      <c r="N118360" s="209"/>
      <c r="O118360" s="209"/>
    </row>
    <row r="118361" spans="1:15" s="210" customFormat="1" x14ac:dyDescent="0.3">
      <c r="A118361" s="12"/>
      <c r="B118361" s="15"/>
      <c r="C118361" s="15"/>
      <c r="D118361" s="12"/>
      <c r="E118361" s="12"/>
      <c r="F118361" s="13"/>
      <c r="G118361" s="12"/>
      <c r="H118361" s="12"/>
      <c r="I118361" s="12"/>
      <c r="J118361" s="12"/>
      <c r="K118361" s="12"/>
      <c r="L118361" s="208"/>
      <c r="M118361" s="209"/>
      <c r="N118361" s="209"/>
      <c r="O118361" s="209"/>
    </row>
    <row r="118362" spans="1:15" s="210" customFormat="1" x14ac:dyDescent="0.3">
      <c r="A118362" s="12"/>
      <c r="B118362" s="15"/>
      <c r="C118362" s="15"/>
      <c r="D118362" s="12"/>
      <c r="E118362" s="12"/>
      <c r="F118362" s="13"/>
      <c r="G118362" s="12"/>
      <c r="H118362" s="12"/>
      <c r="I118362" s="12"/>
      <c r="J118362" s="12"/>
      <c r="K118362" s="12"/>
      <c r="L118362" s="208"/>
      <c r="M118362" s="209"/>
      <c r="N118362" s="209"/>
      <c r="O118362" s="209"/>
    </row>
    <row r="118363" spans="1:15" s="210" customFormat="1" x14ac:dyDescent="0.3">
      <c r="A118363" s="12"/>
      <c r="B118363" s="15"/>
      <c r="C118363" s="15"/>
      <c r="D118363" s="12"/>
      <c r="E118363" s="12"/>
      <c r="F118363" s="13"/>
      <c r="G118363" s="12"/>
      <c r="H118363" s="12"/>
      <c r="I118363" s="12"/>
      <c r="J118363" s="12"/>
      <c r="K118363" s="12"/>
      <c r="L118363" s="208"/>
      <c r="M118363" s="209"/>
      <c r="N118363" s="209"/>
      <c r="O118363" s="209"/>
    </row>
    <row r="118364" spans="1:15" s="210" customFormat="1" x14ac:dyDescent="0.3">
      <c r="A118364" s="12"/>
      <c r="B118364" s="15"/>
      <c r="C118364" s="15"/>
      <c r="D118364" s="12"/>
      <c r="E118364" s="12"/>
      <c r="F118364" s="13"/>
      <c r="G118364" s="12"/>
      <c r="H118364" s="12"/>
      <c r="I118364" s="12"/>
      <c r="J118364" s="12"/>
      <c r="K118364" s="12"/>
      <c r="L118364" s="208"/>
      <c r="M118364" s="209"/>
      <c r="N118364" s="209"/>
      <c r="O118364" s="209"/>
    </row>
    <row r="118365" spans="1:15" s="210" customFormat="1" x14ac:dyDescent="0.3">
      <c r="A118365" s="12"/>
      <c r="B118365" s="15"/>
      <c r="C118365" s="15"/>
      <c r="D118365" s="12"/>
      <c r="E118365" s="12"/>
      <c r="F118365" s="13"/>
      <c r="G118365" s="12"/>
      <c r="H118365" s="12"/>
      <c r="I118365" s="12"/>
      <c r="J118365" s="12"/>
      <c r="K118365" s="12"/>
      <c r="L118365" s="208"/>
      <c r="M118365" s="209"/>
      <c r="N118365" s="209"/>
      <c r="O118365" s="209"/>
    </row>
    <row r="118366" spans="1:15" s="210" customFormat="1" x14ac:dyDescent="0.3">
      <c r="A118366" s="12"/>
      <c r="B118366" s="15"/>
      <c r="C118366" s="15"/>
      <c r="D118366" s="12"/>
      <c r="E118366" s="12"/>
      <c r="F118366" s="13"/>
      <c r="G118366" s="12"/>
      <c r="H118366" s="12"/>
      <c r="I118366" s="12"/>
      <c r="J118366" s="12"/>
      <c r="K118366" s="12"/>
      <c r="L118366" s="208"/>
      <c r="M118366" s="209"/>
      <c r="N118366" s="209"/>
      <c r="O118366" s="209"/>
    </row>
    <row r="118367" spans="1:15" s="210" customFormat="1" x14ac:dyDescent="0.3">
      <c r="A118367" s="12"/>
      <c r="B118367" s="15"/>
      <c r="C118367" s="15"/>
      <c r="D118367" s="12"/>
      <c r="E118367" s="12"/>
      <c r="F118367" s="13"/>
      <c r="G118367" s="12"/>
      <c r="H118367" s="12"/>
      <c r="I118367" s="12"/>
      <c r="J118367" s="12"/>
      <c r="K118367" s="12"/>
      <c r="L118367" s="208"/>
      <c r="M118367" s="209"/>
      <c r="N118367" s="209"/>
      <c r="O118367" s="209"/>
    </row>
    <row r="118368" spans="1:15" s="210" customFormat="1" x14ac:dyDescent="0.3">
      <c r="A118368" s="12"/>
      <c r="B118368" s="15"/>
      <c r="C118368" s="15"/>
      <c r="D118368" s="12"/>
      <c r="E118368" s="12"/>
      <c r="F118368" s="13"/>
      <c r="G118368" s="12"/>
      <c r="H118368" s="12"/>
      <c r="I118368" s="12"/>
      <c r="J118368" s="12"/>
      <c r="K118368" s="12"/>
      <c r="L118368" s="208"/>
      <c r="M118368" s="209"/>
      <c r="N118368" s="209"/>
      <c r="O118368" s="209"/>
    </row>
    <row r="118369" spans="1:15" s="210" customFormat="1" x14ac:dyDescent="0.3">
      <c r="A118369" s="12"/>
      <c r="B118369" s="15"/>
      <c r="C118369" s="15"/>
      <c r="D118369" s="12"/>
      <c r="E118369" s="12"/>
      <c r="F118369" s="13"/>
      <c r="G118369" s="12"/>
      <c r="H118369" s="12"/>
      <c r="I118369" s="12"/>
      <c r="J118369" s="12"/>
      <c r="K118369" s="12"/>
      <c r="L118369" s="208"/>
      <c r="M118369" s="209"/>
      <c r="N118369" s="209"/>
      <c r="O118369" s="209"/>
    </row>
    <row r="118370" spans="1:15" s="210" customFormat="1" x14ac:dyDescent="0.3">
      <c r="A118370" s="12"/>
      <c r="B118370" s="15"/>
      <c r="C118370" s="15"/>
      <c r="D118370" s="12"/>
      <c r="E118370" s="12"/>
      <c r="F118370" s="13"/>
      <c r="G118370" s="12"/>
      <c r="H118370" s="12"/>
      <c r="I118370" s="12"/>
      <c r="J118370" s="12"/>
      <c r="K118370" s="12"/>
      <c r="L118370" s="208"/>
      <c r="M118370" s="209"/>
      <c r="N118370" s="209"/>
      <c r="O118370" s="209"/>
    </row>
    <row r="118371" spans="1:15" s="210" customFormat="1" x14ac:dyDescent="0.3">
      <c r="A118371" s="12"/>
      <c r="B118371" s="15"/>
      <c r="C118371" s="15"/>
      <c r="D118371" s="12"/>
      <c r="E118371" s="12"/>
      <c r="F118371" s="13"/>
      <c r="G118371" s="12"/>
      <c r="H118371" s="12"/>
      <c r="I118371" s="12"/>
      <c r="J118371" s="12"/>
      <c r="K118371" s="12"/>
      <c r="L118371" s="208"/>
      <c r="M118371" s="209"/>
      <c r="N118371" s="209"/>
      <c r="O118371" s="209"/>
    </row>
    <row r="118372" spans="1:15" s="210" customFormat="1" x14ac:dyDescent="0.3">
      <c r="A118372" s="12"/>
      <c r="B118372" s="15"/>
      <c r="C118372" s="15"/>
      <c r="D118372" s="12"/>
      <c r="E118372" s="12"/>
      <c r="F118372" s="13"/>
      <c r="G118372" s="12"/>
      <c r="H118372" s="12"/>
      <c r="I118372" s="12"/>
      <c r="J118372" s="12"/>
      <c r="K118372" s="12"/>
      <c r="L118372" s="208"/>
      <c r="M118372" s="209"/>
      <c r="N118372" s="209"/>
      <c r="O118372" s="209"/>
    </row>
    <row r="118373" spans="1:15" s="210" customFormat="1" x14ac:dyDescent="0.3">
      <c r="A118373" s="12"/>
      <c r="B118373" s="15"/>
      <c r="C118373" s="15"/>
      <c r="D118373" s="12"/>
      <c r="E118373" s="12"/>
      <c r="F118373" s="13"/>
      <c r="G118373" s="12"/>
      <c r="H118373" s="12"/>
      <c r="I118373" s="12"/>
      <c r="J118373" s="12"/>
      <c r="K118373" s="12"/>
      <c r="L118373" s="208"/>
      <c r="M118373" s="209"/>
      <c r="N118373" s="209"/>
      <c r="O118373" s="209"/>
    </row>
    <row r="118374" spans="1:15" s="210" customFormat="1" x14ac:dyDescent="0.3">
      <c r="A118374" s="12"/>
      <c r="B118374" s="15"/>
      <c r="C118374" s="15"/>
      <c r="D118374" s="12"/>
      <c r="E118374" s="12"/>
      <c r="F118374" s="13"/>
      <c r="G118374" s="12"/>
      <c r="H118374" s="12"/>
      <c r="I118374" s="12"/>
      <c r="J118374" s="12"/>
      <c r="K118374" s="12"/>
      <c r="L118374" s="208"/>
      <c r="M118374" s="209"/>
      <c r="N118374" s="209"/>
      <c r="O118374" s="209"/>
    </row>
    <row r="118375" spans="1:15" s="210" customFormat="1" x14ac:dyDescent="0.3">
      <c r="A118375" s="12"/>
      <c r="B118375" s="15"/>
      <c r="C118375" s="15"/>
      <c r="D118375" s="12"/>
      <c r="E118375" s="12"/>
      <c r="F118375" s="13"/>
      <c r="G118375" s="12"/>
      <c r="H118375" s="12"/>
      <c r="I118375" s="12"/>
      <c r="J118375" s="12"/>
      <c r="K118375" s="12"/>
      <c r="L118375" s="208"/>
      <c r="M118375" s="209"/>
      <c r="N118375" s="209"/>
      <c r="O118375" s="209"/>
    </row>
    <row r="118376" spans="1:15" s="210" customFormat="1" x14ac:dyDescent="0.3">
      <c r="A118376" s="12"/>
      <c r="B118376" s="15"/>
      <c r="C118376" s="15"/>
      <c r="D118376" s="12"/>
      <c r="E118376" s="12"/>
      <c r="F118376" s="13"/>
      <c r="G118376" s="12"/>
      <c r="H118376" s="12"/>
      <c r="I118376" s="12"/>
      <c r="J118376" s="12"/>
      <c r="K118376" s="12"/>
      <c r="L118376" s="208"/>
      <c r="M118376" s="209"/>
      <c r="N118376" s="209"/>
      <c r="O118376" s="209"/>
    </row>
    <row r="118377" spans="1:15" s="210" customFormat="1" x14ac:dyDescent="0.3">
      <c r="A118377" s="12"/>
      <c r="B118377" s="15"/>
      <c r="C118377" s="15"/>
      <c r="D118377" s="12"/>
      <c r="E118377" s="12"/>
      <c r="F118377" s="13"/>
      <c r="G118377" s="12"/>
      <c r="H118377" s="12"/>
      <c r="I118377" s="12"/>
      <c r="J118377" s="12"/>
      <c r="K118377" s="12"/>
      <c r="L118377" s="208"/>
      <c r="M118377" s="209"/>
      <c r="N118377" s="209"/>
      <c r="O118377" s="209"/>
    </row>
    <row r="118378" spans="1:15" s="210" customFormat="1" x14ac:dyDescent="0.3">
      <c r="A118378" s="12"/>
      <c r="B118378" s="15"/>
      <c r="C118378" s="15"/>
      <c r="D118378" s="12"/>
      <c r="E118378" s="12"/>
      <c r="F118378" s="13"/>
      <c r="G118378" s="12"/>
      <c r="H118378" s="12"/>
      <c r="I118378" s="12"/>
      <c r="J118378" s="12"/>
      <c r="K118378" s="12"/>
      <c r="L118378" s="208"/>
      <c r="M118378" s="209"/>
      <c r="N118378" s="209"/>
      <c r="O118378" s="209"/>
    </row>
    <row r="118379" spans="1:15" s="210" customFormat="1" x14ac:dyDescent="0.3">
      <c r="A118379" s="12"/>
      <c r="B118379" s="15"/>
      <c r="C118379" s="15"/>
      <c r="D118379" s="12"/>
      <c r="E118379" s="12"/>
      <c r="F118379" s="13"/>
      <c r="G118379" s="12"/>
      <c r="H118379" s="12"/>
      <c r="I118379" s="12"/>
      <c r="J118379" s="12"/>
      <c r="K118379" s="12"/>
      <c r="L118379" s="208"/>
      <c r="M118379" s="209"/>
      <c r="N118379" s="209"/>
      <c r="O118379" s="209"/>
    </row>
    <row r="118380" spans="1:15" s="210" customFormat="1" x14ac:dyDescent="0.3">
      <c r="A118380" s="12"/>
      <c r="B118380" s="15"/>
      <c r="C118380" s="15"/>
      <c r="D118380" s="12"/>
      <c r="E118380" s="12"/>
      <c r="F118380" s="13"/>
      <c r="G118380" s="12"/>
      <c r="H118380" s="12"/>
      <c r="I118380" s="12"/>
      <c r="J118380" s="12"/>
      <c r="K118380" s="12"/>
      <c r="L118380" s="208"/>
      <c r="M118380" s="209"/>
      <c r="N118380" s="209"/>
      <c r="O118380" s="209"/>
    </row>
    <row r="118381" spans="1:15" s="210" customFormat="1" x14ac:dyDescent="0.3">
      <c r="A118381" s="12"/>
      <c r="B118381" s="15"/>
      <c r="C118381" s="15"/>
      <c r="D118381" s="12"/>
      <c r="E118381" s="12"/>
      <c r="F118381" s="13"/>
      <c r="G118381" s="12"/>
      <c r="H118381" s="12"/>
      <c r="I118381" s="12"/>
      <c r="J118381" s="12"/>
      <c r="K118381" s="12"/>
      <c r="L118381" s="208"/>
      <c r="M118381" s="209"/>
      <c r="N118381" s="209"/>
      <c r="O118381" s="209"/>
    </row>
    <row r="118382" spans="1:15" s="210" customFormat="1" x14ac:dyDescent="0.3">
      <c r="A118382" s="12"/>
      <c r="B118382" s="15"/>
      <c r="C118382" s="15"/>
      <c r="D118382" s="12"/>
      <c r="E118382" s="12"/>
      <c r="F118382" s="13"/>
      <c r="G118382" s="12"/>
      <c r="H118382" s="12"/>
      <c r="I118382" s="12"/>
      <c r="J118382" s="12"/>
      <c r="K118382" s="12"/>
      <c r="L118382" s="208"/>
      <c r="M118382" s="209"/>
      <c r="N118382" s="209"/>
      <c r="O118382" s="209"/>
    </row>
    <row r="118383" spans="1:15" s="210" customFormat="1" x14ac:dyDescent="0.3">
      <c r="A118383" s="12"/>
      <c r="B118383" s="15"/>
      <c r="C118383" s="15"/>
      <c r="D118383" s="12"/>
      <c r="E118383" s="12"/>
      <c r="F118383" s="13"/>
      <c r="G118383" s="12"/>
      <c r="H118383" s="12"/>
      <c r="I118383" s="12"/>
      <c r="J118383" s="12"/>
      <c r="K118383" s="12"/>
      <c r="L118383" s="208"/>
      <c r="M118383" s="209"/>
      <c r="N118383" s="209"/>
      <c r="O118383" s="209"/>
    </row>
    <row r="118384" spans="1:15" s="210" customFormat="1" x14ac:dyDescent="0.3">
      <c r="A118384" s="12"/>
      <c r="B118384" s="15"/>
      <c r="C118384" s="15"/>
      <c r="D118384" s="12"/>
      <c r="E118384" s="12"/>
      <c r="F118384" s="13"/>
      <c r="G118384" s="12"/>
      <c r="H118384" s="12"/>
      <c r="I118384" s="12"/>
      <c r="J118384" s="12"/>
      <c r="K118384" s="12"/>
      <c r="L118384" s="208"/>
      <c r="M118384" s="209"/>
      <c r="N118384" s="209"/>
      <c r="O118384" s="209"/>
    </row>
    <row r="118385" spans="1:15" s="210" customFormat="1" x14ac:dyDescent="0.3">
      <c r="A118385" s="12"/>
      <c r="B118385" s="15"/>
      <c r="C118385" s="15"/>
      <c r="D118385" s="12"/>
      <c r="E118385" s="12"/>
      <c r="F118385" s="13"/>
      <c r="G118385" s="12"/>
      <c r="H118385" s="12"/>
      <c r="I118385" s="12"/>
      <c r="J118385" s="12"/>
      <c r="K118385" s="12"/>
      <c r="L118385" s="208"/>
      <c r="M118385" s="209"/>
      <c r="N118385" s="209"/>
      <c r="O118385" s="209"/>
    </row>
    <row r="118386" spans="1:15" s="210" customFormat="1" x14ac:dyDescent="0.3">
      <c r="A118386" s="12"/>
      <c r="B118386" s="15"/>
      <c r="C118386" s="15"/>
      <c r="D118386" s="12"/>
      <c r="E118386" s="12"/>
      <c r="F118386" s="13"/>
      <c r="G118386" s="12"/>
      <c r="H118386" s="12"/>
      <c r="I118386" s="12"/>
      <c r="J118386" s="12"/>
      <c r="K118386" s="12"/>
      <c r="L118386" s="208"/>
      <c r="M118386" s="209"/>
      <c r="N118386" s="209"/>
      <c r="O118386" s="209"/>
    </row>
    <row r="118387" spans="1:15" s="210" customFormat="1" x14ac:dyDescent="0.3">
      <c r="A118387" s="12"/>
      <c r="B118387" s="15"/>
      <c r="C118387" s="15"/>
      <c r="D118387" s="12"/>
      <c r="E118387" s="12"/>
      <c r="F118387" s="13"/>
      <c r="G118387" s="12"/>
      <c r="H118387" s="12"/>
      <c r="I118387" s="12"/>
      <c r="J118387" s="12"/>
      <c r="K118387" s="12"/>
      <c r="L118387" s="208"/>
      <c r="M118387" s="209"/>
      <c r="N118387" s="209"/>
      <c r="O118387" s="209"/>
    </row>
    <row r="118388" spans="1:15" s="210" customFormat="1" x14ac:dyDescent="0.3">
      <c r="A118388" s="12"/>
      <c r="B118388" s="15"/>
      <c r="C118388" s="15"/>
      <c r="D118388" s="12"/>
      <c r="E118388" s="12"/>
      <c r="F118388" s="13"/>
      <c r="G118388" s="12"/>
      <c r="H118388" s="12"/>
      <c r="I118388" s="12"/>
      <c r="J118388" s="12"/>
      <c r="K118388" s="12"/>
      <c r="L118388" s="208"/>
      <c r="M118388" s="209"/>
      <c r="N118388" s="209"/>
      <c r="O118388" s="209"/>
    </row>
    <row r="118389" spans="1:15" s="210" customFormat="1" x14ac:dyDescent="0.3">
      <c r="A118389" s="12"/>
      <c r="B118389" s="15"/>
      <c r="C118389" s="15"/>
      <c r="D118389" s="12"/>
      <c r="E118389" s="12"/>
      <c r="F118389" s="13"/>
      <c r="G118389" s="12"/>
      <c r="H118389" s="12"/>
      <c r="I118389" s="12"/>
      <c r="J118389" s="12"/>
      <c r="K118389" s="12"/>
      <c r="L118389" s="208"/>
      <c r="M118389" s="209"/>
      <c r="N118389" s="209"/>
      <c r="O118389" s="209"/>
    </row>
    <row r="118390" spans="1:15" s="210" customFormat="1" x14ac:dyDescent="0.3">
      <c r="A118390" s="12"/>
      <c r="B118390" s="15"/>
      <c r="C118390" s="15"/>
      <c r="D118390" s="12"/>
      <c r="E118390" s="12"/>
      <c r="F118390" s="13"/>
      <c r="G118390" s="12"/>
      <c r="H118390" s="12"/>
      <c r="I118390" s="12"/>
      <c r="J118390" s="12"/>
      <c r="K118390" s="12"/>
      <c r="L118390" s="208"/>
      <c r="M118390" s="209"/>
      <c r="N118390" s="209"/>
      <c r="O118390" s="209"/>
    </row>
    <row r="118391" spans="1:15" s="210" customFormat="1" x14ac:dyDescent="0.3">
      <c r="A118391" s="12"/>
      <c r="B118391" s="15"/>
      <c r="C118391" s="15"/>
      <c r="D118391" s="12"/>
      <c r="E118391" s="12"/>
      <c r="F118391" s="13"/>
      <c r="G118391" s="12"/>
      <c r="H118391" s="12"/>
      <c r="I118391" s="12"/>
      <c r="J118391" s="12"/>
      <c r="K118391" s="12"/>
      <c r="L118391" s="208"/>
      <c r="M118391" s="209"/>
      <c r="N118391" s="209"/>
      <c r="O118391" s="209"/>
    </row>
    <row r="118392" spans="1:15" s="210" customFormat="1" x14ac:dyDescent="0.3">
      <c r="A118392" s="12"/>
      <c r="B118392" s="15"/>
      <c r="C118392" s="15"/>
      <c r="D118392" s="12"/>
      <c r="E118392" s="12"/>
      <c r="F118392" s="13"/>
      <c r="G118392" s="12"/>
      <c r="H118392" s="12"/>
      <c r="I118392" s="12"/>
      <c r="J118392" s="12"/>
      <c r="K118392" s="12"/>
      <c r="L118392" s="208"/>
      <c r="M118392" s="209"/>
      <c r="N118392" s="209"/>
      <c r="O118392" s="209"/>
    </row>
    <row r="118393" spans="1:15" s="210" customFormat="1" x14ac:dyDescent="0.3">
      <c r="A118393" s="12"/>
      <c r="B118393" s="15"/>
      <c r="C118393" s="15"/>
      <c r="D118393" s="12"/>
      <c r="E118393" s="12"/>
      <c r="F118393" s="13"/>
      <c r="G118393" s="12"/>
      <c r="H118393" s="12"/>
      <c r="I118393" s="12"/>
      <c r="J118393" s="12"/>
      <c r="K118393" s="12"/>
      <c r="L118393" s="208"/>
      <c r="M118393" s="209"/>
      <c r="N118393" s="209"/>
      <c r="O118393" s="209"/>
    </row>
    <row r="118394" spans="1:15" s="210" customFormat="1" x14ac:dyDescent="0.3">
      <c r="A118394" s="12"/>
      <c r="B118394" s="15"/>
      <c r="C118394" s="15"/>
      <c r="D118394" s="12"/>
      <c r="E118394" s="12"/>
      <c r="F118394" s="13"/>
      <c r="G118394" s="12"/>
      <c r="H118394" s="12"/>
      <c r="I118394" s="12"/>
      <c r="J118394" s="12"/>
      <c r="K118394" s="12"/>
      <c r="L118394" s="208"/>
      <c r="M118394" s="209"/>
      <c r="N118394" s="209"/>
      <c r="O118394" s="209"/>
    </row>
    <row r="118395" spans="1:15" s="210" customFormat="1" x14ac:dyDescent="0.3">
      <c r="A118395" s="12"/>
      <c r="B118395" s="15"/>
      <c r="C118395" s="15"/>
      <c r="D118395" s="12"/>
      <c r="E118395" s="12"/>
      <c r="F118395" s="13"/>
      <c r="G118395" s="12"/>
      <c r="H118395" s="12"/>
      <c r="I118395" s="12"/>
      <c r="J118395" s="12"/>
      <c r="K118395" s="12"/>
      <c r="L118395" s="208"/>
      <c r="M118395" s="209"/>
      <c r="N118395" s="209"/>
      <c r="O118395" s="209"/>
    </row>
    <row r="118396" spans="1:15" s="210" customFormat="1" x14ac:dyDescent="0.3">
      <c r="A118396" s="12"/>
      <c r="B118396" s="15"/>
      <c r="C118396" s="15"/>
      <c r="D118396" s="12"/>
      <c r="E118396" s="12"/>
      <c r="F118396" s="13"/>
      <c r="G118396" s="12"/>
      <c r="H118396" s="12"/>
      <c r="I118396" s="12"/>
      <c r="J118396" s="12"/>
      <c r="K118396" s="12"/>
      <c r="L118396" s="208"/>
      <c r="M118396" s="209"/>
      <c r="N118396" s="209"/>
      <c r="O118396" s="209"/>
    </row>
    <row r="118397" spans="1:15" s="210" customFormat="1" x14ac:dyDescent="0.3">
      <c r="A118397" s="12"/>
      <c r="B118397" s="15"/>
      <c r="C118397" s="15"/>
      <c r="D118397" s="12"/>
      <c r="E118397" s="12"/>
      <c r="F118397" s="13"/>
      <c r="G118397" s="12"/>
      <c r="H118397" s="12"/>
      <c r="I118397" s="12"/>
      <c r="J118397" s="12"/>
      <c r="K118397" s="12"/>
      <c r="L118397" s="208"/>
      <c r="M118397" s="209"/>
      <c r="N118397" s="209"/>
      <c r="O118397" s="209"/>
    </row>
    <row r="118398" spans="1:15" s="210" customFormat="1" x14ac:dyDescent="0.3">
      <c r="A118398" s="12"/>
      <c r="B118398" s="15"/>
      <c r="C118398" s="15"/>
      <c r="D118398" s="12"/>
      <c r="E118398" s="12"/>
      <c r="F118398" s="13"/>
      <c r="G118398" s="12"/>
      <c r="H118398" s="12"/>
      <c r="I118398" s="12"/>
      <c r="J118398" s="12"/>
      <c r="K118398" s="12"/>
      <c r="L118398" s="208"/>
      <c r="M118398" s="209"/>
      <c r="N118398" s="209"/>
      <c r="O118398" s="209"/>
    </row>
    <row r="118399" spans="1:15" s="210" customFormat="1" x14ac:dyDescent="0.3">
      <c r="A118399" s="12"/>
      <c r="B118399" s="15"/>
      <c r="C118399" s="15"/>
      <c r="D118399" s="12"/>
      <c r="E118399" s="12"/>
      <c r="F118399" s="13"/>
      <c r="G118399" s="12"/>
      <c r="H118399" s="12"/>
      <c r="I118399" s="12"/>
      <c r="J118399" s="12"/>
      <c r="K118399" s="12"/>
      <c r="L118399" s="208"/>
      <c r="M118399" s="209"/>
      <c r="N118399" s="209"/>
      <c r="O118399" s="209"/>
    </row>
    <row r="118400" spans="1:15" s="210" customFormat="1" x14ac:dyDescent="0.3">
      <c r="A118400" s="12"/>
      <c r="B118400" s="15"/>
      <c r="C118400" s="15"/>
      <c r="D118400" s="12"/>
      <c r="E118400" s="12"/>
      <c r="F118400" s="13"/>
      <c r="G118400" s="12"/>
      <c r="H118400" s="12"/>
      <c r="I118400" s="12"/>
      <c r="J118400" s="12"/>
      <c r="K118400" s="12"/>
      <c r="L118400" s="208"/>
      <c r="M118400" s="209"/>
      <c r="N118400" s="209"/>
      <c r="O118400" s="209"/>
    </row>
    <row r="118401" spans="1:15" s="210" customFormat="1" x14ac:dyDescent="0.3">
      <c r="A118401" s="12"/>
      <c r="B118401" s="15"/>
      <c r="C118401" s="15"/>
      <c r="D118401" s="12"/>
      <c r="E118401" s="12"/>
      <c r="F118401" s="13"/>
      <c r="G118401" s="12"/>
      <c r="H118401" s="12"/>
      <c r="I118401" s="12"/>
      <c r="J118401" s="12"/>
      <c r="K118401" s="12"/>
      <c r="L118401" s="208"/>
      <c r="M118401" s="209"/>
      <c r="N118401" s="209"/>
      <c r="O118401" s="209"/>
    </row>
    <row r="118402" spans="1:15" s="210" customFormat="1" x14ac:dyDescent="0.3">
      <c r="A118402" s="12"/>
      <c r="B118402" s="15"/>
      <c r="C118402" s="15"/>
      <c r="D118402" s="12"/>
      <c r="E118402" s="12"/>
      <c r="F118402" s="13"/>
      <c r="G118402" s="12"/>
      <c r="H118402" s="12"/>
      <c r="I118402" s="12"/>
      <c r="J118402" s="12"/>
      <c r="K118402" s="12"/>
      <c r="L118402" s="208"/>
      <c r="M118402" s="209"/>
      <c r="N118402" s="209"/>
      <c r="O118402" s="209"/>
    </row>
    <row r="118403" spans="1:15" s="210" customFormat="1" x14ac:dyDescent="0.3">
      <c r="A118403" s="12"/>
      <c r="B118403" s="15"/>
      <c r="C118403" s="15"/>
      <c r="D118403" s="12"/>
      <c r="E118403" s="12"/>
      <c r="F118403" s="13"/>
      <c r="G118403" s="12"/>
      <c r="H118403" s="12"/>
      <c r="I118403" s="12"/>
      <c r="J118403" s="12"/>
      <c r="K118403" s="12"/>
      <c r="L118403" s="208"/>
      <c r="M118403" s="209"/>
      <c r="N118403" s="209"/>
      <c r="O118403" s="209"/>
    </row>
    <row r="118404" spans="1:15" s="210" customFormat="1" x14ac:dyDescent="0.3">
      <c r="A118404" s="12"/>
      <c r="B118404" s="15"/>
      <c r="C118404" s="15"/>
      <c r="D118404" s="12"/>
      <c r="E118404" s="12"/>
      <c r="F118404" s="13"/>
      <c r="G118404" s="12"/>
      <c r="H118404" s="12"/>
      <c r="I118404" s="12"/>
      <c r="J118404" s="12"/>
      <c r="K118404" s="12"/>
      <c r="L118404" s="208"/>
      <c r="M118404" s="209"/>
      <c r="N118404" s="209"/>
      <c r="O118404" s="209"/>
    </row>
    <row r="118405" spans="1:15" s="210" customFormat="1" x14ac:dyDescent="0.3">
      <c r="A118405" s="12"/>
      <c r="B118405" s="15"/>
      <c r="C118405" s="15"/>
      <c r="D118405" s="12"/>
      <c r="E118405" s="12"/>
      <c r="F118405" s="13"/>
      <c r="G118405" s="12"/>
      <c r="H118405" s="12"/>
      <c r="I118405" s="12"/>
      <c r="J118405" s="12"/>
      <c r="K118405" s="12"/>
      <c r="L118405" s="208"/>
      <c r="M118405" s="209"/>
      <c r="N118405" s="209"/>
      <c r="O118405" s="209"/>
    </row>
    <row r="118406" spans="1:15" s="210" customFormat="1" x14ac:dyDescent="0.3">
      <c r="A118406" s="12"/>
      <c r="B118406" s="15"/>
      <c r="C118406" s="15"/>
      <c r="D118406" s="12"/>
      <c r="E118406" s="12"/>
      <c r="F118406" s="13"/>
      <c r="G118406" s="12"/>
      <c r="H118406" s="12"/>
      <c r="I118406" s="12"/>
      <c r="J118406" s="12"/>
      <c r="K118406" s="12"/>
      <c r="L118406" s="208"/>
      <c r="M118406" s="209"/>
      <c r="N118406" s="209"/>
      <c r="O118406" s="209"/>
    </row>
    <row r="118407" spans="1:15" s="210" customFormat="1" x14ac:dyDescent="0.3">
      <c r="A118407" s="12"/>
      <c r="B118407" s="15"/>
      <c r="C118407" s="15"/>
      <c r="D118407" s="12"/>
      <c r="E118407" s="12"/>
      <c r="F118407" s="13"/>
      <c r="G118407" s="12"/>
      <c r="H118407" s="12"/>
      <c r="I118407" s="12"/>
      <c r="J118407" s="12"/>
      <c r="K118407" s="12"/>
      <c r="L118407" s="208"/>
      <c r="M118407" s="209"/>
      <c r="N118407" s="209"/>
      <c r="O118407" s="209"/>
    </row>
    <row r="118408" spans="1:15" s="210" customFormat="1" x14ac:dyDescent="0.3">
      <c r="A118408" s="12"/>
      <c r="B118408" s="15"/>
      <c r="C118408" s="15"/>
      <c r="D118408" s="12"/>
      <c r="E118408" s="12"/>
      <c r="F118408" s="13"/>
      <c r="G118408" s="12"/>
      <c r="H118408" s="12"/>
      <c r="I118408" s="12"/>
      <c r="J118408" s="12"/>
      <c r="K118408" s="12"/>
      <c r="L118408" s="208"/>
      <c r="M118408" s="209"/>
      <c r="N118408" s="209"/>
      <c r="O118408" s="209"/>
    </row>
    <row r="118409" spans="1:15" s="210" customFormat="1" x14ac:dyDescent="0.3">
      <c r="A118409" s="12"/>
      <c r="B118409" s="15"/>
      <c r="C118409" s="15"/>
      <c r="D118409" s="12"/>
      <c r="E118409" s="12"/>
      <c r="F118409" s="13"/>
      <c r="G118409" s="12"/>
      <c r="H118409" s="12"/>
      <c r="I118409" s="12"/>
      <c r="J118409" s="12"/>
      <c r="K118409" s="12"/>
      <c r="L118409" s="208"/>
      <c r="M118409" s="209"/>
      <c r="N118409" s="209"/>
      <c r="O118409" s="209"/>
    </row>
    <row r="118410" spans="1:15" s="210" customFormat="1" x14ac:dyDescent="0.3">
      <c r="A118410" s="12"/>
      <c r="B118410" s="15"/>
      <c r="C118410" s="15"/>
      <c r="D118410" s="12"/>
      <c r="E118410" s="12"/>
      <c r="F118410" s="13"/>
      <c r="G118410" s="12"/>
      <c r="H118410" s="12"/>
      <c r="I118410" s="12"/>
      <c r="J118410" s="12"/>
      <c r="K118410" s="12"/>
      <c r="L118410" s="208"/>
      <c r="M118410" s="209"/>
      <c r="N118410" s="209"/>
      <c r="O118410" s="209"/>
    </row>
    <row r="118411" spans="1:15" s="210" customFormat="1" x14ac:dyDescent="0.3">
      <c r="A118411" s="12"/>
      <c r="B118411" s="15"/>
      <c r="C118411" s="15"/>
      <c r="D118411" s="12"/>
      <c r="E118411" s="12"/>
      <c r="F118411" s="13"/>
      <c r="G118411" s="12"/>
      <c r="H118411" s="12"/>
      <c r="I118411" s="12"/>
      <c r="J118411" s="12"/>
      <c r="K118411" s="12"/>
      <c r="L118411" s="208"/>
      <c r="M118411" s="209"/>
      <c r="N118411" s="209"/>
      <c r="O118411" s="209"/>
    </row>
    <row r="118412" spans="1:15" s="210" customFormat="1" x14ac:dyDescent="0.3">
      <c r="A118412" s="12"/>
      <c r="B118412" s="15"/>
      <c r="C118412" s="15"/>
      <c r="D118412" s="12"/>
      <c r="E118412" s="12"/>
      <c r="F118412" s="13"/>
      <c r="G118412" s="12"/>
      <c r="H118412" s="12"/>
      <c r="I118412" s="12"/>
      <c r="J118412" s="12"/>
      <c r="K118412" s="12"/>
      <c r="L118412" s="208"/>
      <c r="M118412" s="209"/>
      <c r="N118412" s="209"/>
      <c r="O118412" s="209"/>
    </row>
    <row r="118413" spans="1:15" s="210" customFormat="1" x14ac:dyDescent="0.3">
      <c r="A118413" s="12"/>
      <c r="B118413" s="15"/>
      <c r="C118413" s="15"/>
      <c r="D118413" s="12"/>
      <c r="E118413" s="12"/>
      <c r="F118413" s="13"/>
      <c r="G118413" s="12"/>
      <c r="H118413" s="12"/>
      <c r="I118413" s="12"/>
      <c r="J118413" s="12"/>
      <c r="K118413" s="12"/>
      <c r="L118413" s="208"/>
      <c r="M118413" s="209"/>
      <c r="N118413" s="209"/>
      <c r="O118413" s="209"/>
    </row>
    <row r="118414" spans="1:15" s="210" customFormat="1" x14ac:dyDescent="0.3">
      <c r="A118414" s="12"/>
      <c r="B118414" s="15"/>
      <c r="C118414" s="15"/>
      <c r="D118414" s="12"/>
      <c r="E118414" s="12"/>
      <c r="F118414" s="13"/>
      <c r="G118414" s="12"/>
      <c r="H118414" s="12"/>
      <c r="I118414" s="12"/>
      <c r="J118414" s="12"/>
      <c r="K118414" s="12"/>
      <c r="L118414" s="208"/>
      <c r="M118414" s="209"/>
      <c r="N118414" s="209"/>
      <c r="O118414" s="209"/>
    </row>
    <row r="118415" spans="1:15" s="210" customFormat="1" x14ac:dyDescent="0.3">
      <c r="A118415" s="12"/>
      <c r="B118415" s="15"/>
      <c r="C118415" s="15"/>
      <c r="D118415" s="12"/>
      <c r="E118415" s="12"/>
      <c r="F118415" s="13"/>
      <c r="G118415" s="12"/>
      <c r="H118415" s="12"/>
      <c r="I118415" s="12"/>
      <c r="J118415" s="12"/>
      <c r="K118415" s="12"/>
      <c r="L118415" s="208"/>
      <c r="M118415" s="209"/>
      <c r="N118415" s="209"/>
      <c r="O118415" s="209"/>
    </row>
    <row r="118416" spans="1:15" s="210" customFormat="1" x14ac:dyDescent="0.3">
      <c r="A118416" s="12"/>
      <c r="B118416" s="15"/>
      <c r="C118416" s="15"/>
      <c r="D118416" s="12"/>
      <c r="E118416" s="12"/>
      <c r="F118416" s="13"/>
      <c r="G118416" s="12"/>
      <c r="H118416" s="12"/>
      <c r="I118416" s="12"/>
      <c r="J118416" s="12"/>
      <c r="K118416" s="12"/>
      <c r="L118416" s="208"/>
      <c r="M118416" s="209"/>
      <c r="N118416" s="209"/>
      <c r="O118416" s="209"/>
    </row>
    <row r="118417" spans="1:15" s="210" customFormat="1" x14ac:dyDescent="0.3">
      <c r="A118417" s="12"/>
      <c r="B118417" s="15"/>
      <c r="C118417" s="15"/>
      <c r="D118417" s="12"/>
      <c r="E118417" s="12"/>
      <c r="F118417" s="13"/>
      <c r="G118417" s="12"/>
      <c r="H118417" s="12"/>
      <c r="I118417" s="12"/>
      <c r="J118417" s="12"/>
      <c r="K118417" s="12"/>
      <c r="L118417" s="208"/>
      <c r="M118417" s="209"/>
      <c r="N118417" s="209"/>
      <c r="O118417" s="209"/>
    </row>
    <row r="118418" spans="1:15" s="210" customFormat="1" x14ac:dyDescent="0.3">
      <c r="A118418" s="12"/>
      <c r="B118418" s="15"/>
      <c r="C118418" s="15"/>
      <c r="D118418" s="12"/>
      <c r="E118418" s="12"/>
      <c r="F118418" s="13"/>
      <c r="G118418" s="12"/>
      <c r="H118418" s="12"/>
      <c r="I118418" s="12"/>
      <c r="J118418" s="12"/>
      <c r="K118418" s="12"/>
      <c r="L118418" s="208"/>
      <c r="M118418" s="209"/>
      <c r="N118418" s="209"/>
      <c r="O118418" s="209"/>
    </row>
    <row r="118419" spans="1:15" s="210" customFormat="1" x14ac:dyDescent="0.3">
      <c r="A118419" s="12"/>
      <c r="B118419" s="15"/>
      <c r="C118419" s="15"/>
      <c r="D118419" s="12"/>
      <c r="E118419" s="12"/>
      <c r="F118419" s="13"/>
      <c r="G118419" s="12"/>
      <c r="H118419" s="12"/>
      <c r="I118419" s="12"/>
      <c r="J118419" s="12"/>
      <c r="K118419" s="12"/>
      <c r="L118419" s="208"/>
      <c r="M118419" s="209"/>
      <c r="N118419" s="209"/>
      <c r="O118419" s="209"/>
    </row>
    <row r="118420" spans="1:15" s="210" customFormat="1" x14ac:dyDescent="0.3">
      <c r="A118420" s="12"/>
      <c r="B118420" s="15"/>
      <c r="C118420" s="15"/>
      <c r="D118420" s="12"/>
      <c r="E118420" s="12"/>
      <c r="F118420" s="13"/>
      <c r="G118420" s="12"/>
      <c r="H118420" s="12"/>
      <c r="I118420" s="12"/>
      <c r="J118420" s="12"/>
      <c r="K118420" s="12"/>
      <c r="L118420" s="208"/>
      <c r="M118420" s="209"/>
      <c r="N118420" s="209"/>
      <c r="O118420" s="209"/>
    </row>
    <row r="118421" spans="1:15" s="210" customFormat="1" x14ac:dyDescent="0.3">
      <c r="A118421" s="12"/>
      <c r="B118421" s="15"/>
      <c r="C118421" s="15"/>
      <c r="D118421" s="12"/>
      <c r="E118421" s="12"/>
      <c r="F118421" s="13"/>
      <c r="G118421" s="12"/>
      <c r="H118421" s="12"/>
      <c r="I118421" s="12"/>
      <c r="J118421" s="12"/>
      <c r="K118421" s="12"/>
      <c r="L118421" s="208"/>
      <c r="M118421" s="209"/>
      <c r="N118421" s="209"/>
      <c r="O118421" s="209"/>
    </row>
    <row r="118422" spans="1:15" s="210" customFormat="1" x14ac:dyDescent="0.3">
      <c r="A118422" s="12"/>
      <c r="B118422" s="15"/>
      <c r="C118422" s="15"/>
      <c r="D118422" s="12"/>
      <c r="E118422" s="12"/>
      <c r="F118422" s="13"/>
      <c r="G118422" s="12"/>
      <c r="H118422" s="12"/>
      <c r="I118422" s="12"/>
      <c r="J118422" s="12"/>
      <c r="K118422" s="12"/>
      <c r="L118422" s="208"/>
      <c r="M118422" s="209"/>
      <c r="N118422" s="209"/>
      <c r="O118422" s="209"/>
    </row>
    <row r="118423" spans="1:15" s="210" customFormat="1" x14ac:dyDescent="0.3">
      <c r="A118423" s="12"/>
      <c r="B118423" s="15"/>
      <c r="C118423" s="15"/>
      <c r="D118423" s="12"/>
      <c r="E118423" s="12"/>
      <c r="F118423" s="13"/>
      <c r="G118423" s="12"/>
      <c r="H118423" s="12"/>
      <c r="I118423" s="12"/>
      <c r="J118423" s="12"/>
      <c r="K118423" s="12"/>
      <c r="L118423" s="208"/>
      <c r="M118423" s="209"/>
      <c r="N118423" s="209"/>
      <c r="O118423" s="209"/>
    </row>
    <row r="118424" spans="1:15" s="210" customFormat="1" x14ac:dyDescent="0.3">
      <c r="A118424" s="12"/>
      <c r="B118424" s="15"/>
      <c r="C118424" s="15"/>
      <c r="D118424" s="12"/>
      <c r="E118424" s="12"/>
      <c r="F118424" s="13"/>
      <c r="G118424" s="12"/>
      <c r="H118424" s="12"/>
      <c r="I118424" s="12"/>
      <c r="J118424" s="12"/>
      <c r="K118424" s="12"/>
      <c r="L118424" s="208"/>
      <c r="M118424" s="209"/>
      <c r="N118424" s="209"/>
      <c r="O118424" s="209"/>
    </row>
    <row r="118425" spans="1:15" s="210" customFormat="1" x14ac:dyDescent="0.3">
      <c r="A118425" s="12"/>
      <c r="B118425" s="15"/>
      <c r="C118425" s="15"/>
      <c r="D118425" s="12"/>
      <c r="E118425" s="12"/>
      <c r="F118425" s="13"/>
      <c r="G118425" s="12"/>
      <c r="H118425" s="12"/>
      <c r="I118425" s="12"/>
      <c r="J118425" s="12"/>
      <c r="K118425" s="12"/>
      <c r="L118425" s="208"/>
      <c r="M118425" s="209"/>
      <c r="N118425" s="209"/>
      <c r="O118425" s="209"/>
    </row>
    <row r="118426" spans="1:15" s="210" customFormat="1" x14ac:dyDescent="0.3">
      <c r="A118426" s="12"/>
      <c r="B118426" s="15"/>
      <c r="C118426" s="15"/>
      <c r="D118426" s="12"/>
      <c r="E118426" s="12"/>
      <c r="F118426" s="13"/>
      <c r="G118426" s="12"/>
      <c r="H118426" s="12"/>
      <c r="I118426" s="12"/>
      <c r="J118426" s="12"/>
      <c r="K118426" s="12"/>
      <c r="L118426" s="208"/>
      <c r="M118426" s="209"/>
      <c r="N118426" s="209"/>
      <c r="O118426" s="209"/>
    </row>
    <row r="118427" spans="1:15" s="210" customFormat="1" x14ac:dyDescent="0.3">
      <c r="A118427" s="12"/>
      <c r="B118427" s="15"/>
      <c r="C118427" s="15"/>
      <c r="D118427" s="12"/>
      <c r="E118427" s="12"/>
      <c r="F118427" s="13"/>
      <c r="G118427" s="12"/>
      <c r="H118427" s="12"/>
      <c r="I118427" s="12"/>
      <c r="J118427" s="12"/>
      <c r="K118427" s="12"/>
      <c r="L118427" s="208"/>
      <c r="M118427" s="209"/>
      <c r="N118427" s="209"/>
      <c r="O118427" s="209"/>
    </row>
    <row r="118428" spans="1:15" s="210" customFormat="1" x14ac:dyDescent="0.3">
      <c r="A118428" s="12"/>
      <c r="B118428" s="15"/>
      <c r="C118428" s="15"/>
      <c r="D118428" s="12"/>
      <c r="E118428" s="12"/>
      <c r="F118428" s="13"/>
      <c r="G118428" s="12"/>
      <c r="H118428" s="12"/>
      <c r="I118428" s="12"/>
      <c r="J118428" s="12"/>
      <c r="K118428" s="12"/>
      <c r="L118428" s="208"/>
      <c r="M118428" s="209"/>
      <c r="N118428" s="209"/>
      <c r="O118428" s="209"/>
    </row>
    <row r="118429" spans="1:15" s="210" customFormat="1" x14ac:dyDescent="0.3">
      <c r="A118429" s="12"/>
      <c r="B118429" s="15"/>
      <c r="C118429" s="15"/>
      <c r="D118429" s="12"/>
      <c r="E118429" s="12"/>
      <c r="F118429" s="13"/>
      <c r="G118429" s="12"/>
      <c r="H118429" s="12"/>
      <c r="I118429" s="12"/>
      <c r="J118429" s="12"/>
      <c r="K118429" s="12"/>
      <c r="L118429" s="208"/>
      <c r="M118429" s="209"/>
      <c r="N118429" s="209"/>
      <c r="O118429" s="209"/>
    </row>
    <row r="118430" spans="1:15" s="210" customFormat="1" x14ac:dyDescent="0.3">
      <c r="A118430" s="12"/>
      <c r="B118430" s="15"/>
      <c r="C118430" s="15"/>
      <c r="D118430" s="12"/>
      <c r="E118430" s="12"/>
      <c r="F118430" s="13"/>
      <c r="G118430" s="12"/>
      <c r="H118430" s="12"/>
      <c r="I118430" s="12"/>
      <c r="J118430" s="12"/>
      <c r="K118430" s="12"/>
      <c r="L118430" s="208"/>
      <c r="M118430" s="209"/>
      <c r="N118430" s="209"/>
      <c r="O118430" s="209"/>
    </row>
    <row r="118431" spans="1:15" s="210" customFormat="1" x14ac:dyDescent="0.3">
      <c r="A118431" s="12"/>
      <c r="B118431" s="15"/>
      <c r="C118431" s="15"/>
      <c r="D118431" s="12"/>
      <c r="E118431" s="12"/>
      <c r="F118431" s="13"/>
      <c r="G118431" s="12"/>
      <c r="H118431" s="12"/>
      <c r="I118431" s="12"/>
      <c r="J118431" s="12"/>
      <c r="K118431" s="12"/>
      <c r="L118431" s="208"/>
      <c r="M118431" s="209"/>
      <c r="N118431" s="209"/>
      <c r="O118431" s="209"/>
    </row>
    <row r="118432" spans="1:15" s="210" customFormat="1" x14ac:dyDescent="0.3">
      <c r="A118432" s="12"/>
      <c r="B118432" s="15"/>
      <c r="C118432" s="15"/>
      <c r="D118432" s="12"/>
      <c r="E118432" s="12"/>
      <c r="F118432" s="13"/>
      <c r="G118432" s="12"/>
      <c r="H118432" s="12"/>
      <c r="I118432" s="12"/>
      <c r="J118432" s="12"/>
      <c r="K118432" s="12"/>
      <c r="L118432" s="208"/>
      <c r="M118432" s="209"/>
      <c r="N118432" s="209"/>
      <c r="O118432" s="209"/>
    </row>
    <row r="118433" spans="1:15" s="210" customFormat="1" x14ac:dyDescent="0.3">
      <c r="A118433" s="12"/>
      <c r="B118433" s="15"/>
      <c r="C118433" s="15"/>
      <c r="D118433" s="12"/>
      <c r="E118433" s="12"/>
      <c r="F118433" s="13"/>
      <c r="G118433" s="12"/>
      <c r="H118433" s="12"/>
      <c r="I118433" s="12"/>
      <c r="J118433" s="12"/>
      <c r="K118433" s="12"/>
      <c r="L118433" s="208"/>
      <c r="M118433" s="209"/>
      <c r="N118433" s="209"/>
      <c r="O118433" s="209"/>
    </row>
    <row r="118434" spans="1:15" s="210" customFormat="1" x14ac:dyDescent="0.3">
      <c r="A118434" s="12"/>
      <c r="B118434" s="15"/>
      <c r="C118434" s="15"/>
      <c r="D118434" s="12"/>
      <c r="E118434" s="12"/>
      <c r="F118434" s="13"/>
      <c r="G118434" s="12"/>
      <c r="H118434" s="12"/>
      <c r="I118434" s="12"/>
      <c r="J118434" s="12"/>
      <c r="K118434" s="12"/>
      <c r="L118434" s="208"/>
      <c r="M118434" s="209"/>
      <c r="N118434" s="209"/>
      <c r="O118434" s="209"/>
    </row>
    <row r="118435" spans="1:15" s="210" customFormat="1" x14ac:dyDescent="0.3">
      <c r="A118435" s="12"/>
      <c r="B118435" s="15"/>
      <c r="C118435" s="15"/>
      <c r="D118435" s="12"/>
      <c r="E118435" s="12"/>
      <c r="F118435" s="13"/>
      <c r="G118435" s="12"/>
      <c r="H118435" s="12"/>
      <c r="I118435" s="12"/>
      <c r="J118435" s="12"/>
      <c r="K118435" s="12"/>
      <c r="L118435" s="208"/>
      <c r="M118435" s="209"/>
      <c r="N118435" s="209"/>
      <c r="O118435" s="209"/>
    </row>
    <row r="118436" spans="1:15" s="210" customFormat="1" x14ac:dyDescent="0.3">
      <c r="A118436" s="12"/>
      <c r="B118436" s="15"/>
      <c r="C118436" s="15"/>
      <c r="D118436" s="12"/>
      <c r="E118436" s="12"/>
      <c r="F118436" s="13"/>
      <c r="G118436" s="12"/>
      <c r="H118436" s="12"/>
      <c r="I118436" s="12"/>
      <c r="J118436" s="12"/>
      <c r="K118436" s="12"/>
      <c r="L118436" s="208"/>
      <c r="M118436" s="209"/>
      <c r="N118436" s="209"/>
      <c r="O118436" s="209"/>
    </row>
    <row r="118437" spans="1:15" s="210" customFormat="1" x14ac:dyDescent="0.3">
      <c r="A118437" s="12"/>
      <c r="B118437" s="15"/>
      <c r="C118437" s="15"/>
      <c r="D118437" s="12"/>
      <c r="E118437" s="12"/>
      <c r="F118437" s="13"/>
      <c r="G118437" s="12"/>
      <c r="H118437" s="12"/>
      <c r="I118437" s="12"/>
      <c r="J118437" s="12"/>
      <c r="K118437" s="12"/>
      <c r="L118437" s="208"/>
      <c r="M118437" s="209"/>
      <c r="N118437" s="209"/>
      <c r="O118437" s="209"/>
    </row>
    <row r="118438" spans="1:15" s="210" customFormat="1" x14ac:dyDescent="0.3">
      <c r="A118438" s="12"/>
      <c r="B118438" s="15"/>
      <c r="C118438" s="15"/>
      <c r="D118438" s="12"/>
      <c r="E118438" s="12"/>
      <c r="F118438" s="13"/>
      <c r="G118438" s="12"/>
      <c r="H118438" s="12"/>
      <c r="I118438" s="12"/>
      <c r="J118438" s="12"/>
      <c r="K118438" s="12"/>
      <c r="L118438" s="208"/>
      <c r="M118438" s="209"/>
      <c r="N118438" s="209"/>
      <c r="O118438" s="209"/>
    </row>
    <row r="118439" spans="1:15" s="210" customFormat="1" x14ac:dyDescent="0.3">
      <c r="A118439" s="12"/>
      <c r="B118439" s="15"/>
      <c r="C118439" s="15"/>
      <c r="D118439" s="12"/>
      <c r="E118439" s="12"/>
      <c r="F118439" s="13"/>
      <c r="G118439" s="12"/>
      <c r="H118439" s="12"/>
      <c r="I118439" s="12"/>
      <c r="J118439" s="12"/>
      <c r="K118439" s="12"/>
      <c r="L118439" s="208"/>
      <c r="M118439" s="209"/>
      <c r="N118439" s="209"/>
      <c r="O118439" s="209"/>
    </row>
    <row r="118440" spans="1:15" s="210" customFormat="1" x14ac:dyDescent="0.3">
      <c r="A118440" s="12"/>
      <c r="B118440" s="15"/>
      <c r="C118440" s="15"/>
      <c r="D118440" s="12"/>
      <c r="E118440" s="12"/>
      <c r="F118440" s="13"/>
      <c r="G118440" s="12"/>
      <c r="H118440" s="12"/>
      <c r="I118440" s="12"/>
      <c r="J118440" s="12"/>
      <c r="K118440" s="12"/>
      <c r="L118440" s="208"/>
      <c r="M118440" s="209"/>
      <c r="N118440" s="209"/>
      <c r="O118440" s="209"/>
    </row>
    <row r="118441" spans="1:15" s="210" customFormat="1" x14ac:dyDescent="0.3">
      <c r="A118441" s="12"/>
      <c r="B118441" s="15"/>
      <c r="C118441" s="15"/>
      <c r="D118441" s="12"/>
      <c r="E118441" s="12"/>
      <c r="F118441" s="13"/>
      <c r="G118441" s="12"/>
      <c r="H118441" s="12"/>
      <c r="I118441" s="12"/>
      <c r="J118441" s="12"/>
      <c r="K118441" s="12"/>
      <c r="L118441" s="208"/>
      <c r="M118441" s="209"/>
      <c r="N118441" s="209"/>
      <c r="O118441" s="209"/>
    </row>
    <row r="118442" spans="1:15" s="210" customFormat="1" x14ac:dyDescent="0.3">
      <c r="A118442" s="12"/>
      <c r="B118442" s="15"/>
      <c r="C118442" s="15"/>
      <c r="D118442" s="12"/>
      <c r="E118442" s="12"/>
      <c r="F118442" s="13"/>
      <c r="G118442" s="12"/>
      <c r="H118442" s="12"/>
      <c r="I118442" s="12"/>
      <c r="J118442" s="12"/>
      <c r="K118442" s="12"/>
      <c r="L118442" s="208"/>
      <c r="M118442" s="209"/>
      <c r="N118442" s="209"/>
      <c r="O118442" s="209"/>
    </row>
    <row r="118443" spans="1:15" s="210" customFormat="1" x14ac:dyDescent="0.3">
      <c r="A118443" s="12"/>
      <c r="B118443" s="15"/>
      <c r="C118443" s="15"/>
      <c r="D118443" s="12"/>
      <c r="E118443" s="12"/>
      <c r="F118443" s="13"/>
      <c r="G118443" s="12"/>
      <c r="H118443" s="12"/>
      <c r="I118443" s="12"/>
      <c r="J118443" s="12"/>
      <c r="K118443" s="12"/>
      <c r="L118443" s="208"/>
      <c r="M118443" s="209"/>
      <c r="N118443" s="209"/>
      <c r="O118443" s="209"/>
    </row>
    <row r="118444" spans="1:15" s="210" customFormat="1" x14ac:dyDescent="0.3">
      <c r="A118444" s="12"/>
      <c r="B118444" s="15"/>
      <c r="C118444" s="15"/>
      <c r="D118444" s="12"/>
      <c r="E118444" s="12"/>
      <c r="F118444" s="13"/>
      <c r="G118444" s="12"/>
      <c r="H118444" s="12"/>
      <c r="I118444" s="12"/>
      <c r="J118444" s="12"/>
      <c r="K118444" s="12"/>
      <c r="L118444" s="208"/>
      <c r="M118444" s="209"/>
      <c r="N118444" s="209"/>
      <c r="O118444" s="209"/>
    </row>
    <row r="118445" spans="1:15" s="210" customFormat="1" x14ac:dyDescent="0.3">
      <c r="A118445" s="12"/>
      <c r="B118445" s="15"/>
      <c r="C118445" s="15"/>
      <c r="D118445" s="12"/>
      <c r="E118445" s="12"/>
      <c r="F118445" s="13"/>
      <c r="G118445" s="12"/>
      <c r="H118445" s="12"/>
      <c r="I118445" s="12"/>
      <c r="J118445" s="12"/>
      <c r="K118445" s="12"/>
      <c r="L118445" s="208"/>
      <c r="M118445" s="209"/>
      <c r="N118445" s="209"/>
      <c r="O118445" s="209"/>
    </row>
    <row r="118446" spans="1:15" s="210" customFormat="1" x14ac:dyDescent="0.3">
      <c r="A118446" s="12"/>
      <c r="B118446" s="15"/>
      <c r="C118446" s="15"/>
      <c r="D118446" s="12"/>
      <c r="E118446" s="12"/>
      <c r="F118446" s="13"/>
      <c r="G118446" s="12"/>
      <c r="H118446" s="12"/>
      <c r="I118446" s="12"/>
      <c r="J118446" s="12"/>
      <c r="K118446" s="12"/>
      <c r="L118446" s="208"/>
      <c r="M118446" s="209"/>
      <c r="N118446" s="209"/>
      <c r="O118446" s="209"/>
    </row>
    <row r="118447" spans="1:15" s="210" customFormat="1" x14ac:dyDescent="0.3">
      <c r="A118447" s="12"/>
      <c r="B118447" s="15"/>
      <c r="C118447" s="15"/>
      <c r="D118447" s="12"/>
      <c r="E118447" s="12"/>
      <c r="F118447" s="13"/>
      <c r="G118447" s="12"/>
      <c r="H118447" s="12"/>
      <c r="I118447" s="12"/>
      <c r="J118447" s="12"/>
      <c r="K118447" s="12"/>
      <c r="L118447" s="208"/>
      <c r="M118447" s="209"/>
      <c r="N118447" s="209"/>
      <c r="O118447" s="209"/>
    </row>
    <row r="118448" spans="1:15" s="210" customFormat="1" x14ac:dyDescent="0.3">
      <c r="A118448" s="12"/>
      <c r="B118448" s="15"/>
      <c r="C118448" s="15"/>
      <c r="D118448" s="12"/>
      <c r="E118448" s="12"/>
      <c r="F118448" s="13"/>
      <c r="G118448" s="12"/>
      <c r="H118448" s="12"/>
      <c r="I118448" s="12"/>
      <c r="J118448" s="12"/>
      <c r="K118448" s="12"/>
      <c r="L118448" s="208"/>
      <c r="M118448" s="209"/>
      <c r="N118448" s="209"/>
      <c r="O118448" s="209"/>
    </row>
    <row r="118449" spans="1:15" s="210" customFormat="1" x14ac:dyDescent="0.3">
      <c r="A118449" s="12"/>
      <c r="B118449" s="15"/>
      <c r="C118449" s="15"/>
      <c r="D118449" s="12"/>
      <c r="E118449" s="12"/>
      <c r="F118449" s="13"/>
      <c r="G118449" s="12"/>
      <c r="H118449" s="12"/>
      <c r="I118449" s="12"/>
      <c r="J118449" s="12"/>
      <c r="K118449" s="12"/>
      <c r="L118449" s="208"/>
      <c r="M118449" s="209"/>
      <c r="N118449" s="209"/>
      <c r="O118449" s="209"/>
    </row>
    <row r="118450" spans="1:15" s="210" customFormat="1" x14ac:dyDescent="0.3">
      <c r="A118450" s="12"/>
      <c r="B118450" s="15"/>
      <c r="C118450" s="15"/>
      <c r="D118450" s="12"/>
      <c r="E118450" s="12"/>
      <c r="F118450" s="13"/>
      <c r="G118450" s="12"/>
      <c r="H118450" s="12"/>
      <c r="I118450" s="12"/>
      <c r="J118450" s="12"/>
      <c r="K118450" s="12"/>
      <c r="L118450" s="208"/>
      <c r="M118450" s="209"/>
      <c r="N118450" s="209"/>
      <c r="O118450" s="209"/>
    </row>
    <row r="118451" spans="1:15" s="210" customFormat="1" x14ac:dyDescent="0.3">
      <c r="A118451" s="12"/>
      <c r="B118451" s="15"/>
      <c r="C118451" s="15"/>
      <c r="D118451" s="12"/>
      <c r="E118451" s="12"/>
      <c r="F118451" s="13"/>
      <c r="G118451" s="12"/>
      <c r="H118451" s="12"/>
      <c r="I118451" s="12"/>
      <c r="J118451" s="12"/>
      <c r="K118451" s="12"/>
      <c r="L118451" s="208"/>
      <c r="M118451" s="209"/>
      <c r="N118451" s="209"/>
      <c r="O118451" s="209"/>
    </row>
    <row r="118452" spans="1:15" s="210" customFormat="1" x14ac:dyDescent="0.3">
      <c r="A118452" s="12"/>
      <c r="B118452" s="15"/>
      <c r="C118452" s="15"/>
      <c r="D118452" s="12"/>
      <c r="E118452" s="12"/>
      <c r="F118452" s="13"/>
      <c r="G118452" s="12"/>
      <c r="H118452" s="12"/>
      <c r="I118452" s="12"/>
      <c r="J118452" s="12"/>
      <c r="K118452" s="12"/>
      <c r="L118452" s="208"/>
      <c r="M118452" s="209"/>
      <c r="N118452" s="209"/>
      <c r="O118452" s="209"/>
    </row>
    <row r="118453" spans="1:15" s="210" customFormat="1" x14ac:dyDescent="0.3">
      <c r="A118453" s="12"/>
      <c r="B118453" s="15"/>
      <c r="C118453" s="15"/>
      <c r="D118453" s="12"/>
      <c r="E118453" s="12"/>
      <c r="F118453" s="13"/>
      <c r="G118453" s="12"/>
      <c r="H118453" s="12"/>
      <c r="I118453" s="12"/>
      <c r="J118453" s="12"/>
      <c r="K118453" s="12"/>
      <c r="L118453" s="208"/>
      <c r="M118453" s="209"/>
      <c r="N118453" s="209"/>
      <c r="O118453" s="209"/>
    </row>
    <row r="118454" spans="1:15" s="210" customFormat="1" x14ac:dyDescent="0.3">
      <c r="A118454" s="12"/>
      <c r="B118454" s="15"/>
      <c r="C118454" s="15"/>
      <c r="D118454" s="12"/>
      <c r="E118454" s="12"/>
      <c r="F118454" s="13"/>
      <c r="G118454" s="12"/>
      <c r="H118454" s="12"/>
      <c r="I118454" s="12"/>
      <c r="J118454" s="12"/>
      <c r="K118454" s="12"/>
      <c r="L118454" s="208"/>
      <c r="M118454" s="209"/>
      <c r="N118454" s="209"/>
      <c r="O118454" s="209"/>
    </row>
    <row r="118455" spans="1:15" s="210" customFormat="1" x14ac:dyDescent="0.3">
      <c r="A118455" s="12"/>
      <c r="B118455" s="15"/>
      <c r="C118455" s="15"/>
      <c r="D118455" s="12"/>
      <c r="E118455" s="12"/>
      <c r="F118455" s="13"/>
      <c r="G118455" s="12"/>
      <c r="H118455" s="12"/>
      <c r="I118455" s="12"/>
      <c r="J118455" s="12"/>
      <c r="K118455" s="12"/>
      <c r="L118455" s="208"/>
      <c r="M118455" s="209"/>
      <c r="N118455" s="209"/>
      <c r="O118455" s="209"/>
    </row>
    <row r="118456" spans="1:15" s="210" customFormat="1" x14ac:dyDescent="0.3">
      <c r="A118456" s="12"/>
      <c r="B118456" s="15"/>
      <c r="C118456" s="15"/>
      <c r="D118456" s="12"/>
      <c r="E118456" s="12"/>
      <c r="F118456" s="13"/>
      <c r="G118456" s="12"/>
      <c r="H118456" s="12"/>
      <c r="I118456" s="12"/>
      <c r="J118456" s="12"/>
      <c r="K118456" s="12"/>
      <c r="L118456" s="208"/>
      <c r="M118456" s="209"/>
      <c r="N118456" s="209"/>
      <c r="O118456" s="209"/>
    </row>
    <row r="118457" spans="1:15" s="210" customFormat="1" x14ac:dyDescent="0.3">
      <c r="A118457" s="12"/>
      <c r="B118457" s="15"/>
      <c r="C118457" s="15"/>
      <c r="D118457" s="12"/>
      <c r="E118457" s="12"/>
      <c r="F118457" s="13"/>
      <c r="G118457" s="12"/>
      <c r="H118457" s="12"/>
      <c r="I118457" s="12"/>
      <c r="J118457" s="12"/>
      <c r="K118457" s="12"/>
      <c r="L118457" s="208"/>
      <c r="M118457" s="209"/>
      <c r="N118457" s="209"/>
      <c r="O118457" s="209"/>
    </row>
    <row r="118458" spans="1:15" s="210" customFormat="1" x14ac:dyDescent="0.3">
      <c r="A118458" s="12"/>
      <c r="B118458" s="15"/>
      <c r="C118458" s="15"/>
      <c r="D118458" s="12"/>
      <c r="E118458" s="12"/>
      <c r="F118458" s="13"/>
      <c r="G118458" s="12"/>
      <c r="H118458" s="12"/>
      <c r="I118458" s="12"/>
      <c r="J118458" s="12"/>
      <c r="K118458" s="12"/>
      <c r="L118458" s="208"/>
      <c r="M118458" s="209"/>
      <c r="N118458" s="209"/>
      <c r="O118458" s="209"/>
    </row>
    <row r="118459" spans="1:15" s="210" customFormat="1" x14ac:dyDescent="0.3">
      <c r="A118459" s="12"/>
      <c r="B118459" s="15"/>
      <c r="C118459" s="15"/>
      <c r="D118459" s="12"/>
      <c r="E118459" s="12"/>
      <c r="F118459" s="13"/>
      <c r="G118459" s="12"/>
      <c r="H118459" s="12"/>
      <c r="I118459" s="12"/>
      <c r="J118459" s="12"/>
      <c r="K118459" s="12"/>
      <c r="L118459" s="208"/>
      <c r="M118459" s="209"/>
      <c r="N118459" s="209"/>
      <c r="O118459" s="209"/>
    </row>
    <row r="118460" spans="1:15" s="210" customFormat="1" x14ac:dyDescent="0.3">
      <c r="A118460" s="12"/>
      <c r="B118460" s="15"/>
      <c r="C118460" s="15"/>
      <c r="D118460" s="12"/>
      <c r="E118460" s="12"/>
      <c r="F118460" s="13"/>
      <c r="G118460" s="12"/>
      <c r="H118460" s="12"/>
      <c r="I118460" s="12"/>
      <c r="J118460" s="12"/>
      <c r="K118460" s="12"/>
      <c r="L118460" s="208"/>
      <c r="M118460" s="209"/>
      <c r="N118460" s="209"/>
      <c r="O118460" s="209"/>
    </row>
    <row r="118461" spans="1:15" s="210" customFormat="1" x14ac:dyDescent="0.3">
      <c r="A118461" s="12"/>
      <c r="B118461" s="15"/>
      <c r="C118461" s="15"/>
      <c r="D118461" s="12"/>
      <c r="E118461" s="12"/>
      <c r="F118461" s="13"/>
      <c r="G118461" s="12"/>
      <c r="H118461" s="12"/>
      <c r="I118461" s="12"/>
      <c r="J118461" s="12"/>
      <c r="K118461" s="12"/>
      <c r="L118461" s="208"/>
      <c r="M118461" s="209"/>
      <c r="N118461" s="209"/>
      <c r="O118461" s="209"/>
    </row>
    <row r="118462" spans="1:15" s="210" customFormat="1" x14ac:dyDescent="0.3">
      <c r="A118462" s="12"/>
      <c r="B118462" s="15"/>
      <c r="C118462" s="15"/>
      <c r="D118462" s="12"/>
      <c r="E118462" s="12"/>
      <c r="F118462" s="13"/>
      <c r="G118462" s="12"/>
      <c r="H118462" s="12"/>
      <c r="I118462" s="12"/>
      <c r="J118462" s="12"/>
      <c r="K118462" s="12"/>
      <c r="L118462" s="208"/>
      <c r="M118462" s="209"/>
      <c r="N118462" s="209"/>
      <c r="O118462" s="209"/>
    </row>
    <row r="118463" spans="1:15" s="210" customFormat="1" x14ac:dyDescent="0.3">
      <c r="A118463" s="12"/>
      <c r="B118463" s="15"/>
      <c r="C118463" s="15"/>
      <c r="D118463" s="12"/>
      <c r="E118463" s="12"/>
      <c r="F118463" s="13"/>
      <c r="G118463" s="12"/>
      <c r="H118463" s="12"/>
      <c r="I118463" s="12"/>
      <c r="J118463" s="12"/>
      <c r="K118463" s="12"/>
      <c r="L118463" s="208"/>
      <c r="M118463" s="209"/>
      <c r="N118463" s="209"/>
      <c r="O118463" s="209"/>
    </row>
    <row r="118464" spans="1:15" s="210" customFormat="1" x14ac:dyDescent="0.3">
      <c r="A118464" s="12"/>
      <c r="B118464" s="15"/>
      <c r="C118464" s="15"/>
      <c r="D118464" s="12"/>
      <c r="E118464" s="12"/>
      <c r="F118464" s="13"/>
      <c r="G118464" s="12"/>
      <c r="H118464" s="12"/>
      <c r="I118464" s="12"/>
      <c r="J118464" s="12"/>
      <c r="K118464" s="12"/>
      <c r="L118464" s="208"/>
      <c r="M118464" s="209"/>
      <c r="N118464" s="209"/>
      <c r="O118464" s="209"/>
    </row>
    <row r="118465" spans="1:15" s="210" customFormat="1" x14ac:dyDescent="0.3">
      <c r="A118465" s="12"/>
      <c r="B118465" s="15"/>
      <c r="C118465" s="15"/>
      <c r="D118465" s="12"/>
      <c r="E118465" s="12"/>
      <c r="F118465" s="13"/>
      <c r="G118465" s="12"/>
      <c r="H118465" s="12"/>
      <c r="I118465" s="12"/>
      <c r="J118465" s="12"/>
      <c r="K118465" s="12"/>
      <c r="L118465" s="208"/>
      <c r="M118465" s="209"/>
      <c r="N118465" s="209"/>
      <c r="O118465" s="209"/>
    </row>
    <row r="118466" spans="1:15" s="210" customFormat="1" x14ac:dyDescent="0.3">
      <c r="A118466" s="12"/>
      <c r="B118466" s="15"/>
      <c r="C118466" s="15"/>
      <c r="D118466" s="12"/>
      <c r="E118466" s="12"/>
      <c r="F118466" s="13"/>
      <c r="G118466" s="12"/>
      <c r="H118466" s="12"/>
      <c r="I118466" s="12"/>
      <c r="J118466" s="12"/>
      <c r="K118466" s="12"/>
      <c r="L118466" s="208"/>
      <c r="M118466" s="209"/>
      <c r="N118466" s="209"/>
      <c r="O118466" s="209"/>
    </row>
    <row r="118467" spans="1:15" s="210" customFormat="1" x14ac:dyDescent="0.3">
      <c r="A118467" s="12"/>
      <c r="B118467" s="15"/>
      <c r="C118467" s="15"/>
      <c r="D118467" s="12"/>
      <c r="E118467" s="12"/>
      <c r="F118467" s="13"/>
      <c r="G118467" s="12"/>
      <c r="H118467" s="12"/>
      <c r="I118467" s="12"/>
      <c r="J118467" s="12"/>
      <c r="K118467" s="12"/>
      <c r="L118467" s="208"/>
      <c r="M118467" s="209"/>
      <c r="N118467" s="209"/>
      <c r="O118467" s="209"/>
    </row>
    <row r="118468" spans="1:15" s="210" customFormat="1" x14ac:dyDescent="0.3">
      <c r="A118468" s="12"/>
      <c r="B118468" s="15"/>
      <c r="C118468" s="15"/>
      <c r="D118468" s="12"/>
      <c r="E118468" s="12"/>
      <c r="F118468" s="13"/>
      <c r="G118468" s="12"/>
      <c r="H118468" s="12"/>
      <c r="I118468" s="12"/>
      <c r="J118468" s="12"/>
      <c r="K118468" s="12"/>
      <c r="L118468" s="208"/>
      <c r="M118468" s="209"/>
      <c r="N118468" s="209"/>
      <c r="O118468" s="209"/>
    </row>
    <row r="118469" spans="1:15" s="210" customFormat="1" x14ac:dyDescent="0.3">
      <c r="A118469" s="12"/>
      <c r="B118469" s="15"/>
      <c r="C118469" s="15"/>
      <c r="D118469" s="12"/>
      <c r="E118469" s="12"/>
      <c r="F118469" s="13"/>
      <c r="G118469" s="12"/>
      <c r="H118469" s="12"/>
      <c r="I118469" s="12"/>
      <c r="J118469" s="12"/>
      <c r="K118469" s="12"/>
      <c r="L118469" s="208"/>
      <c r="M118469" s="209"/>
      <c r="N118469" s="209"/>
      <c r="O118469" s="209"/>
    </row>
    <row r="118470" spans="1:15" s="210" customFormat="1" x14ac:dyDescent="0.3">
      <c r="A118470" s="12"/>
      <c r="B118470" s="15"/>
      <c r="C118470" s="15"/>
      <c r="D118470" s="12"/>
      <c r="E118470" s="12"/>
      <c r="F118470" s="13"/>
      <c r="G118470" s="12"/>
      <c r="H118470" s="12"/>
      <c r="I118470" s="12"/>
      <c r="J118470" s="12"/>
      <c r="K118470" s="12"/>
      <c r="L118470" s="208"/>
      <c r="M118470" s="209"/>
      <c r="N118470" s="209"/>
      <c r="O118470" s="209"/>
    </row>
    <row r="118471" spans="1:15" s="210" customFormat="1" x14ac:dyDescent="0.3">
      <c r="A118471" s="12"/>
      <c r="B118471" s="15"/>
      <c r="C118471" s="15"/>
      <c r="D118471" s="12"/>
      <c r="E118471" s="12"/>
      <c r="F118471" s="13"/>
      <c r="G118471" s="12"/>
      <c r="H118471" s="12"/>
      <c r="I118471" s="12"/>
      <c r="J118471" s="12"/>
      <c r="K118471" s="12"/>
      <c r="L118471" s="208"/>
      <c r="M118471" s="209"/>
      <c r="N118471" s="209"/>
      <c r="O118471" s="209"/>
    </row>
    <row r="118472" spans="1:15" s="210" customFormat="1" x14ac:dyDescent="0.3">
      <c r="A118472" s="12"/>
      <c r="B118472" s="15"/>
      <c r="C118472" s="15"/>
      <c r="D118472" s="12"/>
      <c r="E118472" s="12"/>
      <c r="F118472" s="13"/>
      <c r="G118472" s="12"/>
      <c r="H118472" s="12"/>
      <c r="I118472" s="12"/>
      <c r="J118472" s="12"/>
      <c r="K118472" s="12"/>
      <c r="L118472" s="208"/>
      <c r="M118472" s="209"/>
      <c r="N118472" s="209"/>
      <c r="O118472" s="209"/>
    </row>
    <row r="118473" spans="1:15" s="210" customFormat="1" x14ac:dyDescent="0.3">
      <c r="A118473" s="12"/>
      <c r="B118473" s="15"/>
      <c r="C118473" s="15"/>
      <c r="D118473" s="12"/>
      <c r="E118473" s="12"/>
      <c r="F118473" s="13"/>
      <c r="G118473" s="12"/>
      <c r="H118473" s="12"/>
      <c r="I118473" s="12"/>
      <c r="J118473" s="12"/>
      <c r="K118473" s="12"/>
      <c r="L118473" s="208"/>
      <c r="M118473" s="209"/>
      <c r="N118473" s="209"/>
      <c r="O118473" s="209"/>
    </row>
    <row r="118474" spans="1:15" s="210" customFormat="1" x14ac:dyDescent="0.3">
      <c r="A118474" s="12"/>
      <c r="B118474" s="15"/>
      <c r="C118474" s="15"/>
      <c r="D118474" s="12"/>
      <c r="E118474" s="12"/>
      <c r="F118474" s="13"/>
      <c r="G118474" s="12"/>
      <c r="H118474" s="12"/>
      <c r="I118474" s="12"/>
      <c r="J118474" s="12"/>
      <c r="K118474" s="12"/>
      <c r="L118474" s="208"/>
      <c r="M118474" s="209"/>
      <c r="N118474" s="209"/>
      <c r="O118474" s="209"/>
    </row>
    <row r="118475" spans="1:15" s="210" customFormat="1" x14ac:dyDescent="0.3">
      <c r="A118475" s="12"/>
      <c r="B118475" s="15"/>
      <c r="C118475" s="15"/>
      <c r="D118475" s="12"/>
      <c r="E118475" s="12"/>
      <c r="F118475" s="13"/>
      <c r="G118475" s="12"/>
      <c r="H118475" s="12"/>
      <c r="I118475" s="12"/>
      <c r="J118475" s="12"/>
      <c r="K118475" s="12"/>
      <c r="L118475" s="208"/>
      <c r="M118475" s="209"/>
      <c r="N118475" s="209"/>
      <c r="O118475" s="209"/>
    </row>
    <row r="118476" spans="1:15" s="210" customFormat="1" x14ac:dyDescent="0.3">
      <c r="A118476" s="12"/>
      <c r="B118476" s="15"/>
      <c r="C118476" s="15"/>
      <c r="D118476" s="12"/>
      <c r="E118476" s="12"/>
      <c r="F118476" s="13"/>
      <c r="G118476" s="12"/>
      <c r="H118476" s="12"/>
      <c r="I118476" s="12"/>
      <c r="J118476" s="12"/>
      <c r="K118476" s="12"/>
      <c r="L118476" s="208"/>
      <c r="M118476" s="209"/>
      <c r="N118476" s="209"/>
      <c r="O118476" s="209"/>
    </row>
    <row r="118477" spans="1:15" s="210" customFormat="1" x14ac:dyDescent="0.3">
      <c r="A118477" s="12"/>
      <c r="B118477" s="15"/>
      <c r="C118477" s="15"/>
      <c r="D118477" s="12"/>
      <c r="E118477" s="12"/>
      <c r="F118477" s="13"/>
      <c r="G118477" s="12"/>
      <c r="H118477" s="12"/>
      <c r="I118477" s="12"/>
      <c r="J118477" s="12"/>
      <c r="K118477" s="12"/>
      <c r="L118477" s="208"/>
      <c r="M118477" s="209"/>
      <c r="N118477" s="209"/>
      <c r="O118477" s="209"/>
    </row>
    <row r="118478" spans="1:15" s="210" customFormat="1" x14ac:dyDescent="0.3">
      <c r="A118478" s="12"/>
      <c r="B118478" s="15"/>
      <c r="C118478" s="15"/>
      <c r="D118478" s="12"/>
      <c r="E118478" s="12"/>
      <c r="F118478" s="13"/>
      <c r="G118478" s="12"/>
      <c r="H118478" s="12"/>
      <c r="I118478" s="12"/>
      <c r="J118478" s="12"/>
      <c r="K118478" s="12"/>
      <c r="L118478" s="208"/>
      <c r="M118478" s="209"/>
      <c r="N118478" s="209"/>
      <c r="O118478" s="209"/>
    </row>
    <row r="118479" spans="1:15" s="210" customFormat="1" x14ac:dyDescent="0.3">
      <c r="A118479" s="12"/>
      <c r="B118479" s="15"/>
      <c r="C118479" s="15"/>
      <c r="D118479" s="12"/>
      <c r="E118479" s="12"/>
      <c r="F118479" s="13"/>
      <c r="G118479" s="12"/>
      <c r="H118479" s="12"/>
      <c r="I118479" s="12"/>
      <c r="J118479" s="12"/>
      <c r="K118479" s="12"/>
      <c r="L118479" s="208"/>
      <c r="M118479" s="209"/>
      <c r="N118479" s="209"/>
      <c r="O118479" s="209"/>
    </row>
    <row r="118480" spans="1:15" s="210" customFormat="1" x14ac:dyDescent="0.3">
      <c r="A118480" s="12"/>
      <c r="B118480" s="15"/>
      <c r="C118480" s="15"/>
      <c r="D118480" s="12"/>
      <c r="E118480" s="12"/>
      <c r="F118480" s="13"/>
      <c r="G118480" s="12"/>
      <c r="H118480" s="12"/>
      <c r="I118480" s="12"/>
      <c r="J118480" s="12"/>
      <c r="K118480" s="12"/>
      <c r="L118480" s="208"/>
      <c r="M118480" s="209"/>
      <c r="N118480" s="209"/>
      <c r="O118480" s="209"/>
    </row>
    <row r="118481" spans="1:15" s="210" customFormat="1" x14ac:dyDescent="0.3">
      <c r="A118481" s="12"/>
      <c r="B118481" s="15"/>
      <c r="C118481" s="15"/>
      <c r="D118481" s="12"/>
      <c r="E118481" s="12"/>
      <c r="F118481" s="13"/>
      <c r="G118481" s="12"/>
      <c r="H118481" s="12"/>
      <c r="I118481" s="12"/>
      <c r="J118481" s="12"/>
      <c r="K118481" s="12"/>
      <c r="L118481" s="208"/>
      <c r="M118481" s="209"/>
      <c r="N118481" s="209"/>
      <c r="O118481" s="209"/>
    </row>
    <row r="118482" spans="1:15" s="210" customFormat="1" x14ac:dyDescent="0.3">
      <c r="A118482" s="12"/>
      <c r="B118482" s="15"/>
      <c r="C118482" s="15"/>
      <c r="D118482" s="12"/>
      <c r="E118482" s="12"/>
      <c r="F118482" s="13"/>
      <c r="G118482" s="12"/>
      <c r="H118482" s="12"/>
      <c r="I118482" s="12"/>
      <c r="J118482" s="12"/>
      <c r="K118482" s="12"/>
      <c r="L118482" s="208"/>
      <c r="M118482" s="209"/>
      <c r="N118482" s="209"/>
      <c r="O118482" s="209"/>
    </row>
    <row r="118483" spans="1:15" s="210" customFormat="1" x14ac:dyDescent="0.3">
      <c r="A118483" s="12"/>
      <c r="B118483" s="15"/>
      <c r="C118483" s="15"/>
      <c r="D118483" s="12"/>
      <c r="E118483" s="12"/>
      <c r="F118483" s="13"/>
      <c r="G118483" s="12"/>
      <c r="H118483" s="12"/>
      <c r="I118483" s="12"/>
      <c r="J118483" s="12"/>
      <c r="K118483" s="12"/>
      <c r="L118483" s="208"/>
      <c r="M118483" s="209"/>
      <c r="N118483" s="209"/>
      <c r="O118483" s="209"/>
    </row>
    <row r="118484" spans="1:15" s="210" customFormat="1" x14ac:dyDescent="0.3">
      <c r="A118484" s="12"/>
      <c r="B118484" s="15"/>
      <c r="C118484" s="15"/>
      <c r="D118484" s="12"/>
      <c r="E118484" s="12"/>
      <c r="F118484" s="13"/>
      <c r="G118484" s="12"/>
      <c r="H118484" s="12"/>
      <c r="I118484" s="12"/>
      <c r="J118484" s="12"/>
      <c r="K118484" s="12"/>
      <c r="L118484" s="208"/>
      <c r="M118484" s="209"/>
      <c r="N118484" s="209"/>
      <c r="O118484" s="209"/>
    </row>
    <row r="118485" spans="1:15" s="210" customFormat="1" x14ac:dyDescent="0.3">
      <c r="A118485" s="12"/>
      <c r="B118485" s="15"/>
      <c r="C118485" s="15"/>
      <c r="D118485" s="12"/>
      <c r="E118485" s="12"/>
      <c r="F118485" s="13"/>
      <c r="G118485" s="12"/>
      <c r="H118485" s="12"/>
      <c r="I118485" s="12"/>
      <c r="J118485" s="12"/>
      <c r="K118485" s="12"/>
      <c r="L118485" s="208"/>
      <c r="M118485" s="209"/>
      <c r="N118485" s="209"/>
      <c r="O118485" s="209"/>
    </row>
    <row r="118486" spans="1:15" s="210" customFormat="1" x14ac:dyDescent="0.3">
      <c r="A118486" s="12"/>
      <c r="B118486" s="15"/>
      <c r="C118486" s="15"/>
      <c r="D118486" s="12"/>
      <c r="E118486" s="12"/>
      <c r="F118486" s="13"/>
      <c r="G118486" s="12"/>
      <c r="H118486" s="12"/>
      <c r="I118486" s="12"/>
      <c r="J118486" s="12"/>
      <c r="K118486" s="12"/>
      <c r="L118486" s="208"/>
      <c r="M118486" s="209"/>
      <c r="N118486" s="209"/>
      <c r="O118486" s="209"/>
    </row>
    <row r="118487" spans="1:15" s="210" customFormat="1" x14ac:dyDescent="0.3">
      <c r="A118487" s="12"/>
      <c r="B118487" s="15"/>
      <c r="C118487" s="15"/>
      <c r="D118487" s="12"/>
      <c r="E118487" s="12"/>
      <c r="F118487" s="13"/>
      <c r="G118487" s="12"/>
      <c r="H118487" s="12"/>
      <c r="I118487" s="12"/>
      <c r="J118487" s="12"/>
      <c r="K118487" s="12"/>
      <c r="L118487" s="208"/>
      <c r="M118487" s="209"/>
      <c r="N118487" s="209"/>
      <c r="O118487" s="209"/>
    </row>
    <row r="118488" spans="1:15" s="210" customFormat="1" x14ac:dyDescent="0.3">
      <c r="A118488" s="12"/>
      <c r="B118488" s="15"/>
      <c r="C118488" s="15"/>
      <c r="D118488" s="12"/>
      <c r="E118488" s="12"/>
      <c r="F118488" s="13"/>
      <c r="G118488" s="12"/>
      <c r="H118488" s="12"/>
      <c r="I118488" s="12"/>
      <c r="J118488" s="12"/>
      <c r="K118488" s="12"/>
      <c r="L118488" s="208"/>
      <c r="M118488" s="209"/>
      <c r="N118488" s="209"/>
      <c r="O118488" s="209"/>
    </row>
    <row r="118489" spans="1:15" s="210" customFormat="1" x14ac:dyDescent="0.3">
      <c r="A118489" s="12"/>
      <c r="B118489" s="15"/>
      <c r="C118489" s="15"/>
      <c r="D118489" s="12"/>
      <c r="E118489" s="12"/>
      <c r="F118489" s="13"/>
      <c r="G118489" s="12"/>
      <c r="H118489" s="12"/>
      <c r="I118489" s="12"/>
      <c r="J118489" s="12"/>
      <c r="K118489" s="12"/>
      <c r="L118489" s="208"/>
      <c r="M118489" s="209"/>
      <c r="N118489" s="209"/>
      <c r="O118489" s="209"/>
    </row>
    <row r="118490" spans="1:15" s="210" customFormat="1" x14ac:dyDescent="0.3">
      <c r="A118490" s="12"/>
      <c r="B118490" s="15"/>
      <c r="C118490" s="15"/>
      <c r="D118490" s="12"/>
      <c r="E118490" s="12"/>
      <c r="F118490" s="13"/>
      <c r="G118490" s="12"/>
      <c r="H118490" s="12"/>
      <c r="I118490" s="12"/>
      <c r="J118490" s="12"/>
      <c r="K118490" s="12"/>
      <c r="L118490" s="208"/>
      <c r="M118490" s="209"/>
      <c r="N118490" s="209"/>
      <c r="O118490" s="209"/>
    </row>
    <row r="118491" spans="1:15" s="210" customFormat="1" x14ac:dyDescent="0.3">
      <c r="A118491" s="12"/>
      <c r="B118491" s="15"/>
      <c r="C118491" s="15"/>
      <c r="D118491" s="12"/>
      <c r="E118491" s="12"/>
      <c r="F118491" s="13"/>
      <c r="G118491" s="12"/>
      <c r="H118491" s="12"/>
      <c r="I118491" s="12"/>
      <c r="J118491" s="12"/>
      <c r="K118491" s="12"/>
      <c r="L118491" s="208"/>
      <c r="M118491" s="209"/>
      <c r="N118491" s="209"/>
      <c r="O118491" s="209"/>
    </row>
    <row r="118492" spans="1:15" s="210" customFormat="1" x14ac:dyDescent="0.3">
      <c r="A118492" s="12"/>
      <c r="B118492" s="15"/>
      <c r="C118492" s="15"/>
      <c r="D118492" s="12"/>
      <c r="E118492" s="12"/>
      <c r="F118492" s="13"/>
      <c r="G118492" s="12"/>
      <c r="H118492" s="12"/>
      <c r="I118492" s="12"/>
      <c r="J118492" s="12"/>
      <c r="K118492" s="12"/>
      <c r="L118492" s="208"/>
      <c r="M118492" s="209"/>
      <c r="N118492" s="209"/>
      <c r="O118492" s="209"/>
    </row>
    <row r="118493" spans="1:15" s="210" customFormat="1" x14ac:dyDescent="0.3">
      <c r="A118493" s="12"/>
      <c r="B118493" s="15"/>
      <c r="C118493" s="15"/>
      <c r="D118493" s="12"/>
      <c r="E118493" s="12"/>
      <c r="F118493" s="13"/>
      <c r="G118493" s="12"/>
      <c r="H118493" s="12"/>
      <c r="I118493" s="12"/>
      <c r="J118493" s="12"/>
      <c r="K118493" s="12"/>
      <c r="L118493" s="208"/>
      <c r="M118493" s="209"/>
      <c r="N118493" s="209"/>
      <c r="O118493" s="209"/>
    </row>
    <row r="118494" spans="1:15" s="210" customFormat="1" x14ac:dyDescent="0.3">
      <c r="A118494" s="12"/>
      <c r="B118494" s="15"/>
      <c r="C118494" s="15"/>
      <c r="D118494" s="12"/>
      <c r="E118494" s="12"/>
      <c r="F118494" s="13"/>
      <c r="G118494" s="12"/>
      <c r="H118494" s="12"/>
      <c r="I118494" s="12"/>
      <c r="J118494" s="12"/>
      <c r="K118494" s="12"/>
      <c r="L118494" s="208"/>
      <c r="M118494" s="209"/>
      <c r="N118494" s="209"/>
      <c r="O118494" s="209"/>
    </row>
    <row r="118495" spans="1:15" s="210" customFormat="1" x14ac:dyDescent="0.3">
      <c r="A118495" s="12"/>
      <c r="B118495" s="15"/>
      <c r="C118495" s="15"/>
      <c r="D118495" s="12"/>
      <c r="E118495" s="12"/>
      <c r="F118495" s="13"/>
      <c r="G118495" s="12"/>
      <c r="H118495" s="12"/>
      <c r="I118495" s="12"/>
      <c r="J118495" s="12"/>
      <c r="K118495" s="12"/>
      <c r="L118495" s="208"/>
      <c r="M118495" s="209"/>
      <c r="N118495" s="209"/>
      <c r="O118495" s="209"/>
    </row>
    <row r="118496" spans="1:15" s="210" customFormat="1" x14ac:dyDescent="0.3">
      <c r="A118496" s="12"/>
      <c r="B118496" s="15"/>
      <c r="C118496" s="15"/>
      <c r="D118496" s="12"/>
      <c r="E118496" s="12"/>
      <c r="F118496" s="13"/>
      <c r="G118496" s="12"/>
      <c r="H118496" s="12"/>
      <c r="I118496" s="12"/>
      <c r="J118496" s="12"/>
      <c r="K118496" s="12"/>
      <c r="L118496" s="208"/>
      <c r="M118496" s="209"/>
      <c r="N118496" s="209"/>
      <c r="O118496" s="209"/>
    </row>
    <row r="118497" spans="1:15" s="210" customFormat="1" x14ac:dyDescent="0.3">
      <c r="A118497" s="12"/>
      <c r="B118497" s="15"/>
      <c r="C118497" s="15"/>
      <c r="D118497" s="12"/>
      <c r="E118497" s="12"/>
      <c r="F118497" s="13"/>
      <c r="G118497" s="12"/>
      <c r="H118497" s="12"/>
      <c r="I118497" s="12"/>
      <c r="J118497" s="12"/>
      <c r="K118497" s="12"/>
      <c r="L118497" s="208"/>
      <c r="M118497" s="209"/>
      <c r="N118497" s="209"/>
      <c r="O118497" s="209"/>
    </row>
    <row r="118498" spans="1:15" s="210" customFormat="1" x14ac:dyDescent="0.3">
      <c r="A118498" s="12"/>
      <c r="B118498" s="15"/>
      <c r="C118498" s="15"/>
      <c r="D118498" s="12"/>
      <c r="E118498" s="12"/>
      <c r="F118498" s="13"/>
      <c r="G118498" s="12"/>
      <c r="H118498" s="12"/>
      <c r="I118498" s="12"/>
      <c r="J118498" s="12"/>
      <c r="K118498" s="12"/>
      <c r="L118498" s="208"/>
      <c r="M118498" s="209"/>
      <c r="N118498" s="209"/>
      <c r="O118498" s="209"/>
    </row>
    <row r="118499" spans="1:15" s="210" customFormat="1" x14ac:dyDescent="0.3">
      <c r="A118499" s="12"/>
      <c r="B118499" s="15"/>
      <c r="C118499" s="15"/>
      <c r="D118499" s="12"/>
      <c r="E118499" s="12"/>
      <c r="F118499" s="13"/>
      <c r="G118499" s="12"/>
      <c r="H118499" s="12"/>
      <c r="I118499" s="12"/>
      <c r="J118499" s="12"/>
      <c r="K118499" s="12"/>
      <c r="L118499" s="208"/>
      <c r="M118499" s="209"/>
      <c r="N118499" s="209"/>
      <c r="O118499" s="209"/>
    </row>
    <row r="118500" spans="1:15" s="210" customFormat="1" x14ac:dyDescent="0.3">
      <c r="A118500" s="12"/>
      <c r="B118500" s="15"/>
      <c r="C118500" s="15"/>
      <c r="D118500" s="12"/>
      <c r="E118500" s="12"/>
      <c r="F118500" s="13"/>
      <c r="G118500" s="12"/>
      <c r="H118500" s="12"/>
      <c r="I118500" s="12"/>
      <c r="J118500" s="12"/>
      <c r="K118500" s="12"/>
      <c r="L118500" s="208"/>
      <c r="M118500" s="209"/>
      <c r="N118500" s="209"/>
      <c r="O118500" s="209"/>
    </row>
    <row r="118501" spans="1:15" s="210" customFormat="1" x14ac:dyDescent="0.3">
      <c r="A118501" s="12"/>
      <c r="B118501" s="15"/>
      <c r="C118501" s="15"/>
      <c r="D118501" s="12"/>
      <c r="E118501" s="12"/>
      <c r="F118501" s="13"/>
      <c r="G118501" s="12"/>
      <c r="H118501" s="12"/>
      <c r="I118501" s="12"/>
      <c r="J118501" s="12"/>
      <c r="K118501" s="12"/>
      <c r="L118501" s="208"/>
      <c r="M118501" s="209"/>
      <c r="N118501" s="209"/>
      <c r="O118501" s="209"/>
    </row>
    <row r="118502" spans="1:15" s="210" customFormat="1" x14ac:dyDescent="0.3">
      <c r="A118502" s="12"/>
      <c r="B118502" s="15"/>
      <c r="C118502" s="15"/>
      <c r="D118502" s="12"/>
      <c r="E118502" s="12"/>
      <c r="F118502" s="13"/>
      <c r="G118502" s="12"/>
      <c r="H118502" s="12"/>
      <c r="I118502" s="12"/>
      <c r="J118502" s="12"/>
      <c r="K118502" s="12"/>
      <c r="L118502" s="208"/>
      <c r="M118502" s="209"/>
      <c r="N118502" s="209"/>
      <c r="O118502" s="209"/>
    </row>
    <row r="118503" spans="1:15" s="210" customFormat="1" x14ac:dyDescent="0.3">
      <c r="A118503" s="12"/>
      <c r="B118503" s="15"/>
      <c r="C118503" s="15"/>
      <c r="D118503" s="12"/>
      <c r="E118503" s="12"/>
      <c r="F118503" s="13"/>
      <c r="G118503" s="12"/>
      <c r="H118503" s="12"/>
      <c r="I118503" s="12"/>
      <c r="J118503" s="12"/>
      <c r="K118503" s="12"/>
      <c r="L118503" s="208"/>
      <c r="M118503" s="209"/>
      <c r="N118503" s="209"/>
      <c r="O118503" s="209"/>
    </row>
    <row r="118504" spans="1:15" s="210" customFormat="1" x14ac:dyDescent="0.3">
      <c r="A118504" s="12"/>
      <c r="B118504" s="15"/>
      <c r="C118504" s="15"/>
      <c r="D118504" s="12"/>
      <c r="E118504" s="12"/>
      <c r="F118504" s="13"/>
      <c r="G118504" s="12"/>
      <c r="H118504" s="12"/>
      <c r="I118504" s="12"/>
      <c r="J118504" s="12"/>
      <c r="K118504" s="12"/>
      <c r="L118504" s="208"/>
      <c r="M118504" s="209"/>
      <c r="N118504" s="209"/>
      <c r="O118504" s="209"/>
    </row>
    <row r="118505" spans="1:15" s="210" customFormat="1" x14ac:dyDescent="0.3">
      <c r="A118505" s="12"/>
      <c r="B118505" s="15"/>
      <c r="C118505" s="15"/>
      <c r="D118505" s="12"/>
      <c r="E118505" s="12"/>
      <c r="F118505" s="13"/>
      <c r="G118505" s="12"/>
      <c r="H118505" s="12"/>
      <c r="I118505" s="12"/>
      <c r="J118505" s="12"/>
      <c r="K118505" s="12"/>
      <c r="L118505" s="208"/>
      <c r="M118505" s="209"/>
      <c r="N118505" s="209"/>
      <c r="O118505" s="209"/>
    </row>
    <row r="118506" spans="1:15" s="210" customFormat="1" x14ac:dyDescent="0.3">
      <c r="A118506" s="12"/>
      <c r="B118506" s="15"/>
      <c r="C118506" s="15"/>
      <c r="D118506" s="12"/>
      <c r="E118506" s="12"/>
      <c r="F118506" s="13"/>
      <c r="G118506" s="12"/>
      <c r="H118506" s="12"/>
      <c r="I118506" s="12"/>
      <c r="J118506" s="12"/>
      <c r="K118506" s="12"/>
      <c r="L118506" s="208"/>
      <c r="M118506" s="209"/>
      <c r="N118506" s="209"/>
      <c r="O118506" s="209"/>
    </row>
    <row r="118507" spans="1:15" s="210" customFormat="1" x14ac:dyDescent="0.3">
      <c r="A118507" s="12"/>
      <c r="B118507" s="15"/>
      <c r="C118507" s="15"/>
      <c r="D118507" s="12"/>
      <c r="E118507" s="12"/>
      <c r="F118507" s="13"/>
      <c r="G118507" s="12"/>
      <c r="H118507" s="12"/>
      <c r="I118507" s="12"/>
      <c r="J118507" s="12"/>
      <c r="K118507" s="12"/>
      <c r="L118507" s="208"/>
      <c r="M118507" s="209"/>
      <c r="N118507" s="209"/>
      <c r="O118507" s="209"/>
    </row>
    <row r="118508" spans="1:15" s="210" customFormat="1" x14ac:dyDescent="0.3">
      <c r="A118508" s="12"/>
      <c r="B118508" s="15"/>
      <c r="C118508" s="15"/>
      <c r="D118508" s="12"/>
      <c r="E118508" s="12"/>
      <c r="F118508" s="13"/>
      <c r="G118508" s="12"/>
      <c r="H118508" s="12"/>
      <c r="I118508" s="12"/>
      <c r="J118508" s="12"/>
      <c r="K118508" s="12"/>
      <c r="L118508" s="208"/>
      <c r="M118508" s="209"/>
      <c r="N118508" s="209"/>
      <c r="O118508" s="209"/>
    </row>
    <row r="118509" spans="1:15" s="210" customFormat="1" x14ac:dyDescent="0.3">
      <c r="A118509" s="12"/>
      <c r="B118509" s="15"/>
      <c r="C118509" s="15"/>
      <c r="D118509" s="12"/>
      <c r="E118509" s="12"/>
      <c r="F118509" s="13"/>
      <c r="G118509" s="12"/>
      <c r="H118509" s="12"/>
      <c r="I118509" s="12"/>
      <c r="J118509" s="12"/>
      <c r="K118509" s="12"/>
      <c r="L118509" s="208"/>
      <c r="M118509" s="209"/>
      <c r="N118509" s="209"/>
      <c r="O118509" s="209"/>
    </row>
    <row r="118510" spans="1:15" s="210" customFormat="1" x14ac:dyDescent="0.3">
      <c r="A118510" s="12"/>
      <c r="B118510" s="15"/>
      <c r="C118510" s="15"/>
      <c r="D118510" s="12"/>
      <c r="E118510" s="12"/>
      <c r="F118510" s="13"/>
      <c r="G118510" s="12"/>
      <c r="H118510" s="12"/>
      <c r="I118510" s="12"/>
      <c r="J118510" s="12"/>
      <c r="K118510" s="12"/>
      <c r="L118510" s="208"/>
      <c r="M118510" s="209"/>
      <c r="N118510" s="209"/>
      <c r="O118510" s="209"/>
    </row>
    <row r="118511" spans="1:15" s="210" customFormat="1" x14ac:dyDescent="0.3">
      <c r="A118511" s="12"/>
      <c r="B118511" s="15"/>
      <c r="C118511" s="15"/>
      <c r="D118511" s="12"/>
      <c r="E118511" s="12"/>
      <c r="F118511" s="13"/>
      <c r="G118511" s="12"/>
      <c r="H118511" s="12"/>
      <c r="I118511" s="12"/>
      <c r="J118511" s="12"/>
      <c r="K118511" s="12"/>
      <c r="L118511" s="208"/>
      <c r="M118511" s="209"/>
      <c r="N118511" s="209"/>
      <c r="O118511" s="209"/>
    </row>
    <row r="118512" spans="1:15" s="210" customFormat="1" x14ac:dyDescent="0.3">
      <c r="A118512" s="12"/>
      <c r="B118512" s="15"/>
      <c r="C118512" s="15"/>
      <c r="D118512" s="12"/>
      <c r="E118512" s="12"/>
      <c r="F118512" s="13"/>
      <c r="G118512" s="12"/>
      <c r="H118512" s="12"/>
      <c r="I118512" s="12"/>
      <c r="J118512" s="12"/>
      <c r="K118512" s="12"/>
      <c r="L118512" s="208"/>
      <c r="M118512" s="209"/>
      <c r="N118512" s="209"/>
      <c r="O118512" s="209"/>
    </row>
    <row r="118513" spans="1:15" s="210" customFormat="1" x14ac:dyDescent="0.3">
      <c r="A118513" s="12"/>
      <c r="B118513" s="15"/>
      <c r="C118513" s="15"/>
      <c r="D118513" s="12"/>
      <c r="E118513" s="12"/>
      <c r="F118513" s="13"/>
      <c r="G118513" s="12"/>
      <c r="H118513" s="12"/>
      <c r="I118513" s="12"/>
      <c r="J118513" s="12"/>
      <c r="K118513" s="12"/>
      <c r="L118513" s="208"/>
      <c r="M118513" s="209"/>
      <c r="N118513" s="209"/>
      <c r="O118513" s="209"/>
    </row>
    <row r="118514" spans="1:15" s="210" customFormat="1" x14ac:dyDescent="0.3">
      <c r="A118514" s="12"/>
      <c r="B118514" s="15"/>
      <c r="C118514" s="15"/>
      <c r="D118514" s="12"/>
      <c r="E118514" s="12"/>
      <c r="F118514" s="13"/>
      <c r="G118514" s="12"/>
      <c r="H118514" s="12"/>
      <c r="I118514" s="12"/>
      <c r="J118514" s="12"/>
      <c r="K118514" s="12"/>
      <c r="L118514" s="208"/>
      <c r="M118514" s="209"/>
      <c r="N118514" s="209"/>
      <c r="O118514" s="209"/>
    </row>
    <row r="118515" spans="1:15" s="210" customFormat="1" x14ac:dyDescent="0.3">
      <c r="A118515" s="12"/>
      <c r="B118515" s="15"/>
      <c r="C118515" s="15"/>
      <c r="D118515" s="12"/>
      <c r="E118515" s="12"/>
      <c r="F118515" s="13"/>
      <c r="G118515" s="12"/>
      <c r="H118515" s="12"/>
      <c r="I118515" s="12"/>
      <c r="J118515" s="12"/>
      <c r="K118515" s="12"/>
      <c r="L118515" s="208"/>
      <c r="M118515" s="209"/>
      <c r="N118515" s="209"/>
      <c r="O118515" s="209"/>
    </row>
    <row r="118516" spans="1:15" s="210" customFormat="1" x14ac:dyDescent="0.3">
      <c r="A118516" s="12"/>
      <c r="B118516" s="15"/>
      <c r="C118516" s="15"/>
      <c r="D118516" s="12"/>
      <c r="E118516" s="12"/>
      <c r="F118516" s="13"/>
      <c r="G118516" s="12"/>
      <c r="H118516" s="12"/>
      <c r="I118516" s="12"/>
      <c r="J118516" s="12"/>
      <c r="K118516" s="12"/>
      <c r="L118516" s="208"/>
      <c r="M118516" s="209"/>
      <c r="N118516" s="209"/>
      <c r="O118516" s="209"/>
    </row>
    <row r="118517" spans="1:15" s="210" customFormat="1" x14ac:dyDescent="0.3">
      <c r="A118517" s="12"/>
      <c r="B118517" s="15"/>
      <c r="C118517" s="15"/>
      <c r="D118517" s="12"/>
      <c r="E118517" s="12"/>
      <c r="F118517" s="13"/>
      <c r="G118517" s="12"/>
      <c r="H118517" s="12"/>
      <c r="I118517" s="12"/>
      <c r="J118517" s="12"/>
      <c r="K118517" s="12"/>
      <c r="L118517" s="208"/>
      <c r="M118517" s="209"/>
      <c r="N118517" s="209"/>
      <c r="O118517" s="209"/>
    </row>
    <row r="118518" spans="1:15" s="210" customFormat="1" x14ac:dyDescent="0.3">
      <c r="A118518" s="12"/>
      <c r="B118518" s="15"/>
      <c r="C118518" s="15"/>
      <c r="D118518" s="12"/>
      <c r="E118518" s="12"/>
      <c r="F118518" s="13"/>
      <c r="G118518" s="12"/>
      <c r="H118518" s="12"/>
      <c r="I118518" s="12"/>
      <c r="J118518" s="12"/>
      <c r="K118518" s="12"/>
      <c r="L118518" s="208"/>
      <c r="M118518" s="209"/>
      <c r="N118518" s="209"/>
      <c r="O118518" s="209"/>
    </row>
    <row r="118519" spans="1:15" s="210" customFormat="1" x14ac:dyDescent="0.3">
      <c r="A118519" s="12"/>
      <c r="B118519" s="15"/>
      <c r="C118519" s="15"/>
      <c r="D118519" s="12"/>
      <c r="E118519" s="12"/>
      <c r="F118519" s="13"/>
      <c r="G118519" s="12"/>
      <c r="H118519" s="12"/>
      <c r="I118519" s="12"/>
      <c r="J118519" s="12"/>
      <c r="K118519" s="12"/>
      <c r="L118519" s="208"/>
      <c r="M118519" s="209"/>
      <c r="N118519" s="209"/>
      <c r="O118519" s="209"/>
    </row>
    <row r="118520" spans="1:15" s="210" customFormat="1" x14ac:dyDescent="0.3">
      <c r="A118520" s="12"/>
      <c r="B118520" s="15"/>
      <c r="C118520" s="15"/>
      <c r="D118520" s="12"/>
      <c r="E118520" s="12"/>
      <c r="F118520" s="13"/>
      <c r="G118520" s="12"/>
      <c r="H118520" s="12"/>
      <c r="I118520" s="12"/>
      <c r="J118520" s="12"/>
      <c r="K118520" s="12"/>
      <c r="L118520" s="208"/>
      <c r="M118520" s="209"/>
      <c r="N118520" s="209"/>
      <c r="O118520" s="209"/>
    </row>
    <row r="118521" spans="1:15" s="210" customFormat="1" x14ac:dyDescent="0.3">
      <c r="A118521" s="12"/>
      <c r="B118521" s="15"/>
      <c r="C118521" s="15"/>
      <c r="D118521" s="12"/>
      <c r="E118521" s="12"/>
      <c r="F118521" s="13"/>
      <c r="G118521" s="12"/>
      <c r="H118521" s="12"/>
      <c r="I118521" s="12"/>
      <c r="J118521" s="12"/>
      <c r="K118521" s="12"/>
      <c r="L118521" s="208"/>
      <c r="M118521" s="209"/>
      <c r="N118521" s="209"/>
      <c r="O118521" s="209"/>
    </row>
    <row r="118522" spans="1:15" s="210" customFormat="1" x14ac:dyDescent="0.3">
      <c r="A118522" s="12"/>
      <c r="B118522" s="15"/>
      <c r="C118522" s="15"/>
      <c r="D118522" s="12"/>
      <c r="E118522" s="12"/>
      <c r="F118522" s="13"/>
      <c r="G118522" s="12"/>
      <c r="H118522" s="12"/>
      <c r="I118522" s="12"/>
      <c r="J118522" s="12"/>
      <c r="K118522" s="12"/>
      <c r="L118522" s="208"/>
      <c r="M118522" s="209"/>
      <c r="N118522" s="209"/>
      <c r="O118522" s="209"/>
    </row>
    <row r="118523" spans="1:15" s="210" customFormat="1" x14ac:dyDescent="0.3">
      <c r="A118523" s="12"/>
      <c r="B118523" s="15"/>
      <c r="C118523" s="15"/>
      <c r="D118523" s="12"/>
      <c r="E118523" s="12"/>
      <c r="F118523" s="13"/>
      <c r="G118523" s="12"/>
      <c r="H118523" s="12"/>
      <c r="I118523" s="12"/>
      <c r="J118523" s="12"/>
      <c r="K118523" s="12"/>
      <c r="L118523" s="208"/>
      <c r="M118523" s="209"/>
      <c r="N118523" s="209"/>
      <c r="O118523" s="209"/>
    </row>
    <row r="118524" spans="1:15" s="210" customFormat="1" x14ac:dyDescent="0.3">
      <c r="A118524" s="12"/>
      <c r="B118524" s="15"/>
      <c r="C118524" s="15"/>
      <c r="D118524" s="12"/>
      <c r="E118524" s="12"/>
      <c r="F118524" s="13"/>
      <c r="G118524" s="12"/>
      <c r="H118524" s="12"/>
      <c r="I118524" s="12"/>
      <c r="J118524" s="12"/>
      <c r="K118524" s="12"/>
      <c r="L118524" s="208"/>
      <c r="M118524" s="209"/>
      <c r="N118524" s="209"/>
      <c r="O118524" s="209"/>
    </row>
    <row r="118525" spans="1:15" s="210" customFormat="1" x14ac:dyDescent="0.3">
      <c r="A118525" s="12"/>
      <c r="B118525" s="15"/>
      <c r="C118525" s="15"/>
      <c r="D118525" s="12"/>
      <c r="E118525" s="12"/>
      <c r="F118525" s="13"/>
      <c r="G118525" s="12"/>
      <c r="H118525" s="12"/>
      <c r="I118525" s="12"/>
      <c r="J118525" s="12"/>
      <c r="K118525" s="12"/>
      <c r="L118525" s="208"/>
      <c r="M118525" s="209"/>
      <c r="N118525" s="209"/>
      <c r="O118525" s="209"/>
    </row>
    <row r="118526" spans="1:15" s="210" customFormat="1" x14ac:dyDescent="0.3">
      <c r="A118526" s="12"/>
      <c r="B118526" s="15"/>
      <c r="C118526" s="15"/>
      <c r="D118526" s="12"/>
      <c r="E118526" s="12"/>
      <c r="F118526" s="13"/>
      <c r="G118526" s="12"/>
      <c r="H118526" s="12"/>
      <c r="I118526" s="12"/>
      <c r="J118526" s="12"/>
      <c r="K118526" s="12"/>
      <c r="L118526" s="208"/>
      <c r="M118526" s="209"/>
      <c r="N118526" s="209"/>
      <c r="O118526" s="209"/>
    </row>
    <row r="118527" spans="1:15" s="210" customFormat="1" x14ac:dyDescent="0.3">
      <c r="A118527" s="12"/>
      <c r="B118527" s="15"/>
      <c r="C118527" s="15"/>
      <c r="D118527" s="12"/>
      <c r="E118527" s="12"/>
      <c r="F118527" s="13"/>
      <c r="G118527" s="12"/>
      <c r="H118527" s="12"/>
      <c r="I118527" s="12"/>
      <c r="J118527" s="12"/>
      <c r="K118527" s="12"/>
      <c r="L118527" s="208"/>
      <c r="M118527" s="209"/>
      <c r="N118527" s="209"/>
      <c r="O118527" s="209"/>
    </row>
    <row r="118528" spans="1:15" s="210" customFormat="1" x14ac:dyDescent="0.3">
      <c r="A118528" s="12"/>
      <c r="B118528" s="15"/>
      <c r="C118528" s="15"/>
      <c r="D118528" s="12"/>
      <c r="E118528" s="12"/>
      <c r="F118528" s="13"/>
      <c r="G118528" s="12"/>
      <c r="H118528" s="12"/>
      <c r="I118528" s="12"/>
      <c r="J118528" s="12"/>
      <c r="K118528" s="12"/>
      <c r="L118528" s="208"/>
      <c r="M118528" s="209"/>
      <c r="N118528" s="209"/>
      <c r="O118528" s="209"/>
    </row>
    <row r="118529" spans="1:15" s="210" customFormat="1" x14ac:dyDescent="0.3">
      <c r="A118529" s="12"/>
      <c r="B118529" s="15"/>
      <c r="C118529" s="15"/>
      <c r="D118529" s="12"/>
      <c r="E118529" s="12"/>
      <c r="F118529" s="13"/>
      <c r="G118529" s="12"/>
      <c r="H118529" s="12"/>
      <c r="I118529" s="12"/>
      <c r="J118529" s="12"/>
      <c r="K118529" s="12"/>
      <c r="L118529" s="208"/>
      <c r="M118529" s="209"/>
      <c r="N118529" s="209"/>
      <c r="O118529" s="209"/>
    </row>
    <row r="118530" spans="1:15" s="210" customFormat="1" x14ac:dyDescent="0.3">
      <c r="A118530" s="12"/>
      <c r="B118530" s="15"/>
      <c r="C118530" s="15"/>
      <c r="D118530" s="12"/>
      <c r="E118530" s="12"/>
      <c r="F118530" s="13"/>
      <c r="G118530" s="12"/>
      <c r="H118530" s="12"/>
      <c r="I118530" s="12"/>
      <c r="J118530" s="12"/>
      <c r="K118530" s="12"/>
      <c r="L118530" s="208"/>
      <c r="M118530" s="209"/>
      <c r="N118530" s="209"/>
      <c r="O118530" s="209"/>
    </row>
    <row r="118531" spans="1:15" s="210" customFormat="1" x14ac:dyDescent="0.3">
      <c r="A118531" s="12"/>
      <c r="B118531" s="15"/>
      <c r="C118531" s="15"/>
      <c r="D118531" s="12"/>
      <c r="E118531" s="12"/>
      <c r="F118531" s="13"/>
      <c r="G118531" s="12"/>
      <c r="H118531" s="12"/>
      <c r="I118531" s="12"/>
      <c r="J118531" s="12"/>
      <c r="K118531" s="12"/>
      <c r="L118531" s="208"/>
      <c r="M118531" s="209"/>
      <c r="N118531" s="209"/>
      <c r="O118531" s="209"/>
    </row>
    <row r="118532" spans="1:15" s="210" customFormat="1" x14ac:dyDescent="0.3">
      <c r="A118532" s="12"/>
      <c r="B118532" s="15"/>
      <c r="C118532" s="15"/>
      <c r="D118532" s="12"/>
      <c r="E118532" s="12"/>
      <c r="F118532" s="13"/>
      <c r="G118532" s="12"/>
      <c r="H118532" s="12"/>
      <c r="I118532" s="12"/>
      <c r="J118532" s="12"/>
      <c r="K118532" s="12"/>
      <c r="L118532" s="208"/>
      <c r="M118532" s="209"/>
      <c r="N118532" s="209"/>
      <c r="O118532" s="209"/>
    </row>
    <row r="118533" spans="1:15" s="210" customFormat="1" x14ac:dyDescent="0.3">
      <c r="A118533" s="12"/>
      <c r="B118533" s="15"/>
      <c r="C118533" s="15"/>
      <c r="D118533" s="12"/>
      <c r="E118533" s="12"/>
      <c r="F118533" s="13"/>
      <c r="G118533" s="12"/>
      <c r="H118533" s="12"/>
      <c r="I118533" s="12"/>
      <c r="J118533" s="12"/>
      <c r="K118533" s="12"/>
      <c r="L118533" s="208"/>
      <c r="M118533" s="209"/>
      <c r="N118533" s="209"/>
      <c r="O118533" s="209"/>
    </row>
    <row r="118534" spans="1:15" s="210" customFormat="1" x14ac:dyDescent="0.3">
      <c r="A118534" s="12"/>
      <c r="B118534" s="15"/>
      <c r="C118534" s="15"/>
      <c r="D118534" s="12"/>
      <c r="E118534" s="12"/>
      <c r="F118534" s="13"/>
      <c r="G118534" s="12"/>
      <c r="H118534" s="12"/>
      <c r="I118534" s="12"/>
      <c r="J118534" s="12"/>
      <c r="K118534" s="12"/>
      <c r="L118534" s="208"/>
      <c r="M118534" s="209"/>
      <c r="N118534" s="209"/>
      <c r="O118534" s="209"/>
    </row>
    <row r="118535" spans="1:15" s="210" customFormat="1" x14ac:dyDescent="0.3">
      <c r="A118535" s="12"/>
      <c r="B118535" s="15"/>
      <c r="C118535" s="15"/>
      <c r="D118535" s="12"/>
      <c r="E118535" s="12"/>
      <c r="F118535" s="13"/>
      <c r="G118535" s="12"/>
      <c r="H118535" s="12"/>
      <c r="I118535" s="12"/>
      <c r="J118535" s="12"/>
      <c r="K118535" s="12"/>
      <c r="L118535" s="208"/>
      <c r="M118535" s="209"/>
      <c r="N118535" s="209"/>
      <c r="O118535" s="209"/>
    </row>
    <row r="118536" spans="1:15" s="210" customFormat="1" x14ac:dyDescent="0.3">
      <c r="A118536" s="12"/>
      <c r="B118536" s="15"/>
      <c r="C118536" s="15"/>
      <c r="D118536" s="12"/>
      <c r="E118536" s="12"/>
      <c r="F118536" s="13"/>
      <c r="G118536" s="12"/>
      <c r="H118536" s="12"/>
      <c r="I118536" s="12"/>
      <c r="J118536" s="12"/>
      <c r="K118536" s="12"/>
      <c r="L118536" s="208"/>
      <c r="M118536" s="209"/>
      <c r="N118536" s="209"/>
      <c r="O118536" s="209"/>
    </row>
    <row r="118537" spans="1:15" s="210" customFormat="1" x14ac:dyDescent="0.3">
      <c r="A118537" s="12"/>
      <c r="B118537" s="15"/>
      <c r="C118537" s="15"/>
      <c r="D118537" s="12"/>
      <c r="E118537" s="12"/>
      <c r="F118537" s="13"/>
      <c r="G118537" s="12"/>
      <c r="H118537" s="12"/>
      <c r="I118537" s="12"/>
      <c r="J118537" s="12"/>
      <c r="K118537" s="12"/>
      <c r="L118537" s="208"/>
      <c r="M118537" s="209"/>
      <c r="N118537" s="209"/>
      <c r="O118537" s="209"/>
    </row>
    <row r="118538" spans="1:15" s="210" customFormat="1" x14ac:dyDescent="0.3">
      <c r="A118538" s="12"/>
      <c r="B118538" s="15"/>
      <c r="C118538" s="15"/>
      <c r="D118538" s="12"/>
      <c r="E118538" s="12"/>
      <c r="F118538" s="13"/>
      <c r="G118538" s="12"/>
      <c r="H118538" s="12"/>
      <c r="I118538" s="12"/>
      <c r="J118538" s="12"/>
      <c r="K118538" s="12"/>
      <c r="L118538" s="208"/>
      <c r="M118538" s="209"/>
      <c r="N118538" s="209"/>
      <c r="O118538" s="209"/>
    </row>
    <row r="118539" spans="1:15" s="210" customFormat="1" x14ac:dyDescent="0.3">
      <c r="A118539" s="12"/>
      <c r="B118539" s="15"/>
      <c r="C118539" s="15"/>
      <c r="D118539" s="12"/>
      <c r="E118539" s="12"/>
      <c r="F118539" s="13"/>
      <c r="G118539" s="12"/>
      <c r="H118539" s="12"/>
      <c r="I118539" s="12"/>
      <c r="J118539" s="12"/>
      <c r="K118539" s="12"/>
      <c r="L118539" s="208"/>
      <c r="M118539" s="209"/>
      <c r="N118539" s="209"/>
      <c r="O118539" s="209"/>
    </row>
    <row r="118540" spans="1:15" s="210" customFormat="1" x14ac:dyDescent="0.3">
      <c r="A118540" s="12"/>
      <c r="B118540" s="15"/>
      <c r="C118540" s="15"/>
      <c r="D118540" s="12"/>
      <c r="E118540" s="12"/>
      <c r="F118540" s="13"/>
      <c r="G118540" s="12"/>
      <c r="H118540" s="12"/>
      <c r="I118540" s="12"/>
      <c r="J118540" s="12"/>
      <c r="K118540" s="12"/>
      <c r="L118540" s="208"/>
      <c r="M118540" s="209"/>
      <c r="N118540" s="209"/>
      <c r="O118540" s="209"/>
    </row>
    <row r="118541" spans="1:15" s="210" customFormat="1" x14ac:dyDescent="0.3">
      <c r="A118541" s="12"/>
      <c r="B118541" s="15"/>
      <c r="C118541" s="15"/>
      <c r="D118541" s="12"/>
      <c r="E118541" s="12"/>
      <c r="F118541" s="13"/>
      <c r="G118541" s="12"/>
      <c r="H118541" s="12"/>
      <c r="I118541" s="12"/>
      <c r="J118541" s="12"/>
      <c r="K118541" s="12"/>
      <c r="L118541" s="208"/>
      <c r="M118541" s="209"/>
      <c r="N118541" s="209"/>
      <c r="O118541" s="209"/>
    </row>
    <row r="118542" spans="1:15" s="210" customFormat="1" x14ac:dyDescent="0.3">
      <c r="A118542" s="12"/>
      <c r="B118542" s="15"/>
      <c r="C118542" s="15"/>
      <c r="D118542" s="12"/>
      <c r="E118542" s="12"/>
      <c r="F118542" s="13"/>
      <c r="G118542" s="12"/>
      <c r="H118542" s="12"/>
      <c r="I118542" s="12"/>
      <c r="J118542" s="12"/>
      <c r="K118542" s="12"/>
      <c r="L118542" s="208"/>
      <c r="M118542" s="209"/>
      <c r="N118542" s="209"/>
      <c r="O118542" s="209"/>
    </row>
    <row r="118543" spans="1:15" s="210" customFormat="1" x14ac:dyDescent="0.3">
      <c r="A118543" s="12"/>
      <c r="B118543" s="15"/>
      <c r="C118543" s="15"/>
      <c r="D118543" s="12"/>
      <c r="E118543" s="12"/>
      <c r="F118543" s="13"/>
      <c r="G118543" s="12"/>
      <c r="H118543" s="12"/>
      <c r="I118543" s="12"/>
      <c r="J118543" s="12"/>
      <c r="K118543" s="12"/>
      <c r="L118543" s="208"/>
      <c r="M118543" s="209"/>
      <c r="N118543" s="209"/>
      <c r="O118543" s="209"/>
    </row>
    <row r="118544" spans="1:15" s="210" customFormat="1" x14ac:dyDescent="0.3">
      <c r="A118544" s="12"/>
      <c r="B118544" s="15"/>
      <c r="C118544" s="15"/>
      <c r="D118544" s="12"/>
      <c r="E118544" s="12"/>
      <c r="F118544" s="13"/>
      <c r="G118544" s="12"/>
      <c r="H118544" s="12"/>
      <c r="I118544" s="12"/>
      <c r="J118544" s="12"/>
      <c r="K118544" s="12"/>
      <c r="L118544" s="208"/>
      <c r="M118544" s="209"/>
      <c r="N118544" s="209"/>
      <c r="O118544" s="209"/>
    </row>
    <row r="118545" spans="1:15" s="210" customFormat="1" x14ac:dyDescent="0.3">
      <c r="A118545" s="12"/>
      <c r="B118545" s="15"/>
      <c r="C118545" s="15"/>
      <c r="D118545" s="12"/>
      <c r="E118545" s="12"/>
      <c r="F118545" s="13"/>
      <c r="G118545" s="12"/>
      <c r="H118545" s="12"/>
      <c r="I118545" s="12"/>
      <c r="J118545" s="12"/>
      <c r="K118545" s="12"/>
      <c r="L118545" s="208"/>
      <c r="M118545" s="209"/>
      <c r="N118545" s="209"/>
      <c r="O118545" s="209"/>
    </row>
    <row r="118546" spans="1:15" s="210" customFormat="1" x14ac:dyDescent="0.3">
      <c r="A118546" s="12"/>
      <c r="B118546" s="15"/>
      <c r="C118546" s="15"/>
      <c r="D118546" s="12"/>
      <c r="E118546" s="12"/>
      <c r="F118546" s="13"/>
      <c r="G118546" s="12"/>
      <c r="H118546" s="12"/>
      <c r="I118546" s="12"/>
      <c r="J118546" s="12"/>
      <c r="K118546" s="12"/>
      <c r="L118546" s="208"/>
      <c r="M118546" s="209"/>
      <c r="N118546" s="209"/>
      <c r="O118546" s="209"/>
    </row>
    <row r="118547" spans="1:15" s="210" customFormat="1" x14ac:dyDescent="0.3">
      <c r="A118547" s="12"/>
      <c r="B118547" s="15"/>
      <c r="C118547" s="15"/>
      <c r="D118547" s="12"/>
      <c r="E118547" s="12"/>
      <c r="F118547" s="13"/>
      <c r="G118547" s="12"/>
      <c r="H118547" s="12"/>
      <c r="I118547" s="12"/>
      <c r="J118547" s="12"/>
      <c r="K118547" s="12"/>
      <c r="L118547" s="208"/>
      <c r="M118547" s="209"/>
      <c r="N118547" s="209"/>
      <c r="O118547" s="209"/>
    </row>
    <row r="118548" spans="1:15" s="210" customFormat="1" x14ac:dyDescent="0.3">
      <c r="A118548" s="12"/>
      <c r="B118548" s="15"/>
      <c r="C118548" s="15"/>
      <c r="D118548" s="12"/>
      <c r="E118548" s="12"/>
      <c r="F118548" s="13"/>
      <c r="G118548" s="12"/>
      <c r="H118548" s="12"/>
      <c r="I118548" s="12"/>
      <c r="J118548" s="12"/>
      <c r="K118548" s="12"/>
      <c r="L118548" s="208"/>
      <c r="M118548" s="209"/>
      <c r="N118548" s="209"/>
      <c r="O118548" s="209"/>
    </row>
    <row r="118549" spans="1:15" s="210" customFormat="1" x14ac:dyDescent="0.3">
      <c r="A118549" s="12"/>
      <c r="B118549" s="15"/>
      <c r="C118549" s="15"/>
      <c r="D118549" s="12"/>
      <c r="E118549" s="12"/>
      <c r="F118549" s="13"/>
      <c r="G118549" s="12"/>
      <c r="H118549" s="12"/>
      <c r="I118549" s="12"/>
      <c r="J118549" s="12"/>
      <c r="K118549" s="12"/>
      <c r="L118549" s="208"/>
      <c r="M118549" s="209"/>
      <c r="N118549" s="209"/>
      <c r="O118549" s="209"/>
    </row>
    <row r="118550" spans="1:15" s="210" customFormat="1" x14ac:dyDescent="0.3">
      <c r="A118550" s="12"/>
      <c r="B118550" s="15"/>
      <c r="C118550" s="15"/>
      <c r="D118550" s="12"/>
      <c r="E118550" s="12"/>
      <c r="F118550" s="13"/>
      <c r="G118550" s="12"/>
      <c r="H118550" s="12"/>
      <c r="I118550" s="12"/>
      <c r="J118550" s="12"/>
      <c r="K118550" s="12"/>
      <c r="L118550" s="208"/>
      <c r="M118550" s="209"/>
      <c r="N118550" s="209"/>
      <c r="O118550" s="209"/>
    </row>
    <row r="118551" spans="1:15" s="210" customFormat="1" x14ac:dyDescent="0.3">
      <c r="A118551" s="12"/>
      <c r="B118551" s="15"/>
      <c r="C118551" s="15"/>
      <c r="D118551" s="12"/>
      <c r="E118551" s="12"/>
      <c r="F118551" s="13"/>
      <c r="G118551" s="12"/>
      <c r="H118551" s="12"/>
      <c r="I118551" s="12"/>
      <c r="J118551" s="12"/>
      <c r="K118551" s="12"/>
      <c r="L118551" s="208"/>
      <c r="M118551" s="209"/>
      <c r="N118551" s="209"/>
      <c r="O118551" s="209"/>
    </row>
    <row r="118552" spans="1:15" s="210" customFormat="1" x14ac:dyDescent="0.3">
      <c r="A118552" s="12"/>
      <c r="B118552" s="15"/>
      <c r="C118552" s="15"/>
      <c r="D118552" s="12"/>
      <c r="E118552" s="12"/>
      <c r="F118552" s="13"/>
      <c r="G118552" s="12"/>
      <c r="H118552" s="12"/>
      <c r="I118552" s="12"/>
      <c r="J118552" s="12"/>
      <c r="K118552" s="12"/>
      <c r="L118552" s="208"/>
      <c r="M118552" s="209"/>
      <c r="N118552" s="209"/>
      <c r="O118552" s="209"/>
    </row>
    <row r="118553" spans="1:15" s="210" customFormat="1" x14ac:dyDescent="0.3">
      <c r="A118553" s="12"/>
      <c r="B118553" s="15"/>
      <c r="C118553" s="15"/>
      <c r="D118553" s="12"/>
      <c r="E118553" s="12"/>
      <c r="F118553" s="13"/>
      <c r="G118553" s="12"/>
      <c r="H118553" s="12"/>
      <c r="I118553" s="12"/>
      <c r="J118553" s="12"/>
      <c r="K118553" s="12"/>
      <c r="L118553" s="208"/>
      <c r="M118553" s="209"/>
      <c r="N118553" s="209"/>
      <c r="O118553" s="209"/>
    </row>
    <row r="118554" spans="1:15" s="210" customFormat="1" x14ac:dyDescent="0.3">
      <c r="A118554" s="12"/>
      <c r="B118554" s="15"/>
      <c r="C118554" s="15"/>
      <c r="D118554" s="12"/>
      <c r="E118554" s="12"/>
      <c r="F118554" s="13"/>
      <c r="G118554" s="12"/>
      <c r="H118554" s="12"/>
      <c r="I118554" s="12"/>
      <c r="J118554" s="12"/>
      <c r="K118554" s="12"/>
      <c r="L118554" s="208"/>
      <c r="M118554" s="209"/>
      <c r="N118554" s="209"/>
      <c r="O118554" s="209"/>
    </row>
    <row r="118555" spans="1:15" s="210" customFormat="1" x14ac:dyDescent="0.3">
      <c r="A118555" s="12"/>
      <c r="B118555" s="15"/>
      <c r="C118555" s="15"/>
      <c r="D118555" s="12"/>
      <c r="E118555" s="12"/>
      <c r="F118555" s="13"/>
      <c r="G118555" s="12"/>
      <c r="H118555" s="12"/>
      <c r="I118555" s="12"/>
      <c r="J118555" s="12"/>
      <c r="K118555" s="12"/>
      <c r="L118555" s="208"/>
      <c r="M118555" s="209"/>
      <c r="N118555" s="209"/>
      <c r="O118555" s="209"/>
    </row>
    <row r="118556" spans="1:15" s="210" customFormat="1" x14ac:dyDescent="0.3">
      <c r="A118556" s="12"/>
      <c r="B118556" s="15"/>
      <c r="C118556" s="15"/>
      <c r="D118556" s="12"/>
      <c r="E118556" s="12"/>
      <c r="F118556" s="13"/>
      <c r="G118556" s="12"/>
      <c r="H118556" s="12"/>
      <c r="I118556" s="12"/>
      <c r="J118556" s="12"/>
      <c r="K118556" s="12"/>
      <c r="L118556" s="208"/>
      <c r="M118556" s="209"/>
      <c r="N118556" s="209"/>
      <c r="O118556" s="209"/>
    </row>
    <row r="118557" spans="1:15" s="210" customFormat="1" x14ac:dyDescent="0.3">
      <c r="A118557" s="12"/>
      <c r="B118557" s="15"/>
      <c r="C118557" s="15"/>
      <c r="D118557" s="12"/>
      <c r="E118557" s="12"/>
      <c r="F118557" s="13"/>
      <c r="G118557" s="12"/>
      <c r="H118557" s="12"/>
      <c r="I118557" s="12"/>
      <c r="J118557" s="12"/>
      <c r="K118557" s="12"/>
      <c r="L118557" s="208"/>
      <c r="M118557" s="209"/>
      <c r="N118557" s="209"/>
      <c r="O118557" s="209"/>
    </row>
    <row r="118558" spans="1:15" s="210" customFormat="1" x14ac:dyDescent="0.3">
      <c r="A118558" s="12"/>
      <c r="B118558" s="15"/>
      <c r="C118558" s="15"/>
      <c r="D118558" s="12"/>
      <c r="E118558" s="12"/>
      <c r="F118558" s="13"/>
      <c r="G118558" s="12"/>
      <c r="H118558" s="12"/>
      <c r="I118558" s="12"/>
      <c r="J118558" s="12"/>
      <c r="K118558" s="12"/>
      <c r="L118558" s="208"/>
      <c r="M118558" s="209"/>
      <c r="N118558" s="209"/>
      <c r="O118558" s="209"/>
    </row>
    <row r="118559" spans="1:15" s="210" customFormat="1" x14ac:dyDescent="0.3">
      <c r="A118559" s="12"/>
      <c r="B118559" s="15"/>
      <c r="C118559" s="15"/>
      <c r="D118559" s="12"/>
      <c r="E118559" s="12"/>
      <c r="F118559" s="13"/>
      <c r="G118559" s="12"/>
      <c r="H118559" s="12"/>
      <c r="I118559" s="12"/>
      <c r="J118559" s="12"/>
      <c r="K118559" s="12"/>
      <c r="L118559" s="208"/>
      <c r="M118559" s="209"/>
      <c r="N118559" s="209"/>
      <c r="O118559" s="209"/>
    </row>
    <row r="118560" spans="1:15" s="210" customFormat="1" x14ac:dyDescent="0.3">
      <c r="A118560" s="12"/>
      <c r="B118560" s="15"/>
      <c r="C118560" s="15"/>
      <c r="D118560" s="12"/>
      <c r="E118560" s="12"/>
      <c r="F118560" s="13"/>
      <c r="G118560" s="12"/>
      <c r="H118560" s="12"/>
      <c r="I118560" s="12"/>
      <c r="J118560" s="12"/>
      <c r="K118560" s="12"/>
      <c r="L118560" s="208"/>
      <c r="M118560" s="209"/>
      <c r="N118560" s="209"/>
      <c r="O118560" s="209"/>
    </row>
    <row r="118561" spans="1:15" s="210" customFormat="1" x14ac:dyDescent="0.3">
      <c r="A118561" s="12"/>
      <c r="B118561" s="15"/>
      <c r="C118561" s="15"/>
      <c r="D118561" s="12"/>
      <c r="E118561" s="12"/>
      <c r="F118561" s="13"/>
      <c r="G118561" s="12"/>
      <c r="H118561" s="12"/>
      <c r="I118561" s="12"/>
      <c r="J118561" s="12"/>
      <c r="K118561" s="12"/>
      <c r="L118561" s="208"/>
      <c r="M118561" s="209"/>
      <c r="N118561" s="209"/>
      <c r="O118561" s="209"/>
    </row>
    <row r="118562" spans="1:15" s="210" customFormat="1" x14ac:dyDescent="0.3">
      <c r="A118562" s="12"/>
      <c r="B118562" s="15"/>
      <c r="C118562" s="15"/>
      <c r="D118562" s="12"/>
      <c r="E118562" s="12"/>
      <c r="F118562" s="13"/>
      <c r="G118562" s="12"/>
      <c r="H118562" s="12"/>
      <c r="I118562" s="12"/>
      <c r="J118562" s="12"/>
      <c r="K118562" s="12"/>
      <c r="L118562" s="208"/>
      <c r="M118562" s="209"/>
      <c r="N118562" s="209"/>
      <c r="O118562" s="209"/>
    </row>
    <row r="118563" spans="1:15" s="210" customFormat="1" x14ac:dyDescent="0.3">
      <c r="A118563" s="12"/>
      <c r="B118563" s="15"/>
      <c r="C118563" s="15"/>
      <c r="D118563" s="12"/>
      <c r="E118563" s="12"/>
      <c r="F118563" s="13"/>
      <c r="G118563" s="12"/>
      <c r="H118563" s="12"/>
      <c r="I118563" s="12"/>
      <c r="J118563" s="12"/>
      <c r="K118563" s="12"/>
      <c r="L118563" s="208"/>
      <c r="M118563" s="209"/>
      <c r="N118563" s="209"/>
      <c r="O118563" s="209"/>
    </row>
    <row r="118564" spans="1:15" s="210" customFormat="1" x14ac:dyDescent="0.3">
      <c r="A118564" s="12"/>
      <c r="B118564" s="15"/>
      <c r="C118564" s="15"/>
      <c r="D118564" s="12"/>
      <c r="E118564" s="12"/>
      <c r="F118564" s="13"/>
      <c r="G118564" s="12"/>
      <c r="H118564" s="12"/>
      <c r="I118564" s="12"/>
      <c r="J118564" s="12"/>
      <c r="K118564" s="12"/>
      <c r="L118564" s="208"/>
      <c r="M118564" s="209"/>
      <c r="N118564" s="209"/>
      <c r="O118564" s="209"/>
    </row>
    <row r="118565" spans="1:15" s="210" customFormat="1" x14ac:dyDescent="0.3">
      <c r="A118565" s="12"/>
      <c r="B118565" s="15"/>
      <c r="C118565" s="15"/>
      <c r="D118565" s="12"/>
      <c r="E118565" s="12"/>
      <c r="F118565" s="13"/>
      <c r="G118565" s="12"/>
      <c r="H118565" s="12"/>
      <c r="I118565" s="12"/>
      <c r="J118565" s="12"/>
      <c r="K118565" s="12"/>
      <c r="L118565" s="208"/>
      <c r="M118565" s="209"/>
      <c r="N118565" s="209"/>
      <c r="O118565" s="209"/>
    </row>
    <row r="118566" spans="1:15" s="210" customFormat="1" x14ac:dyDescent="0.3">
      <c r="A118566" s="12"/>
      <c r="B118566" s="15"/>
      <c r="C118566" s="15"/>
      <c r="D118566" s="12"/>
      <c r="E118566" s="12"/>
      <c r="F118566" s="13"/>
      <c r="G118566" s="12"/>
      <c r="H118566" s="12"/>
      <c r="I118566" s="12"/>
      <c r="J118566" s="12"/>
      <c r="K118566" s="12"/>
      <c r="L118566" s="208"/>
      <c r="M118566" s="209"/>
      <c r="N118566" s="209"/>
      <c r="O118566" s="209"/>
    </row>
    <row r="118567" spans="1:15" s="210" customFormat="1" x14ac:dyDescent="0.3">
      <c r="A118567" s="12"/>
      <c r="B118567" s="15"/>
      <c r="C118567" s="15"/>
      <c r="D118567" s="12"/>
      <c r="E118567" s="12"/>
      <c r="F118567" s="13"/>
      <c r="G118567" s="12"/>
      <c r="H118567" s="12"/>
      <c r="I118567" s="12"/>
      <c r="J118567" s="12"/>
      <c r="K118567" s="12"/>
      <c r="L118567" s="208"/>
      <c r="M118567" s="209"/>
      <c r="N118567" s="209"/>
      <c r="O118567" s="209"/>
    </row>
    <row r="118568" spans="1:15" s="210" customFormat="1" x14ac:dyDescent="0.3">
      <c r="A118568" s="12"/>
      <c r="B118568" s="15"/>
      <c r="C118568" s="15"/>
      <c r="D118568" s="12"/>
      <c r="E118568" s="12"/>
      <c r="F118568" s="13"/>
      <c r="G118568" s="12"/>
      <c r="H118568" s="12"/>
      <c r="I118568" s="12"/>
      <c r="J118568" s="12"/>
      <c r="K118568" s="12"/>
      <c r="L118568" s="208"/>
      <c r="M118568" s="209"/>
      <c r="N118568" s="209"/>
      <c r="O118568" s="209"/>
    </row>
    <row r="118569" spans="1:15" s="210" customFormat="1" x14ac:dyDescent="0.3">
      <c r="A118569" s="12"/>
      <c r="B118569" s="15"/>
      <c r="C118569" s="15"/>
      <c r="D118569" s="12"/>
      <c r="E118569" s="12"/>
      <c r="F118569" s="13"/>
      <c r="G118569" s="12"/>
      <c r="H118569" s="12"/>
      <c r="I118569" s="12"/>
      <c r="J118569" s="12"/>
      <c r="K118569" s="12"/>
      <c r="L118569" s="208"/>
      <c r="M118569" s="209"/>
      <c r="N118569" s="209"/>
      <c r="O118569" s="209"/>
    </row>
    <row r="118570" spans="1:15" s="210" customFormat="1" x14ac:dyDescent="0.3">
      <c r="A118570" s="12"/>
      <c r="B118570" s="15"/>
      <c r="C118570" s="15"/>
      <c r="D118570" s="12"/>
      <c r="E118570" s="12"/>
      <c r="F118570" s="13"/>
      <c r="G118570" s="12"/>
      <c r="H118570" s="12"/>
      <c r="I118570" s="12"/>
      <c r="J118570" s="12"/>
      <c r="K118570" s="12"/>
      <c r="L118570" s="208"/>
      <c r="M118570" s="209"/>
      <c r="N118570" s="209"/>
      <c r="O118570" s="209"/>
    </row>
    <row r="118571" spans="1:15" s="210" customFormat="1" x14ac:dyDescent="0.3">
      <c r="A118571" s="12"/>
      <c r="B118571" s="15"/>
      <c r="C118571" s="15"/>
      <c r="D118571" s="12"/>
      <c r="E118571" s="12"/>
      <c r="F118571" s="13"/>
      <c r="G118571" s="12"/>
      <c r="H118571" s="12"/>
      <c r="I118571" s="12"/>
      <c r="J118571" s="12"/>
      <c r="K118571" s="12"/>
      <c r="L118571" s="208"/>
      <c r="M118571" s="209"/>
      <c r="N118571" s="209"/>
      <c r="O118571" s="209"/>
    </row>
    <row r="118572" spans="1:15" s="210" customFormat="1" x14ac:dyDescent="0.3">
      <c r="A118572" s="12"/>
      <c r="B118572" s="15"/>
      <c r="C118572" s="15"/>
      <c r="D118572" s="12"/>
      <c r="E118572" s="12"/>
      <c r="F118572" s="13"/>
      <c r="G118572" s="12"/>
      <c r="H118572" s="12"/>
      <c r="I118572" s="12"/>
      <c r="J118572" s="12"/>
      <c r="K118572" s="12"/>
      <c r="L118572" s="208"/>
      <c r="M118572" s="209"/>
      <c r="N118572" s="209"/>
      <c r="O118572" s="209"/>
    </row>
    <row r="118573" spans="1:15" s="210" customFormat="1" x14ac:dyDescent="0.3">
      <c r="A118573" s="12"/>
      <c r="B118573" s="15"/>
      <c r="C118573" s="15"/>
      <c r="D118573" s="12"/>
      <c r="E118573" s="12"/>
      <c r="F118573" s="13"/>
      <c r="G118573" s="12"/>
      <c r="H118573" s="12"/>
      <c r="I118573" s="12"/>
      <c r="J118573" s="12"/>
      <c r="K118573" s="12"/>
      <c r="L118573" s="208"/>
      <c r="M118573" s="209"/>
      <c r="N118573" s="209"/>
      <c r="O118573" s="209"/>
    </row>
    <row r="118574" spans="1:15" s="210" customFormat="1" x14ac:dyDescent="0.3">
      <c r="A118574" s="12"/>
      <c r="B118574" s="15"/>
      <c r="C118574" s="15"/>
      <c r="D118574" s="12"/>
      <c r="E118574" s="12"/>
      <c r="F118574" s="13"/>
      <c r="G118574" s="12"/>
      <c r="H118574" s="12"/>
      <c r="I118574" s="12"/>
      <c r="J118574" s="12"/>
      <c r="K118574" s="12"/>
      <c r="L118574" s="208"/>
      <c r="M118574" s="209"/>
      <c r="N118574" s="209"/>
      <c r="O118574" s="209"/>
    </row>
    <row r="118575" spans="1:15" s="210" customFormat="1" x14ac:dyDescent="0.3">
      <c r="A118575" s="12"/>
      <c r="B118575" s="15"/>
      <c r="C118575" s="15"/>
      <c r="D118575" s="12"/>
      <c r="E118575" s="12"/>
      <c r="F118575" s="13"/>
      <c r="G118575" s="12"/>
      <c r="H118575" s="12"/>
      <c r="I118575" s="12"/>
      <c r="J118575" s="12"/>
      <c r="K118575" s="12"/>
      <c r="L118575" s="208"/>
      <c r="M118575" s="209"/>
      <c r="N118575" s="209"/>
      <c r="O118575" s="209"/>
    </row>
    <row r="118576" spans="1:15" s="210" customFormat="1" x14ac:dyDescent="0.3">
      <c r="A118576" s="12"/>
      <c r="B118576" s="15"/>
      <c r="C118576" s="15"/>
      <c r="D118576" s="12"/>
      <c r="E118576" s="12"/>
      <c r="F118576" s="13"/>
      <c r="G118576" s="12"/>
      <c r="H118576" s="12"/>
      <c r="I118576" s="12"/>
      <c r="J118576" s="12"/>
      <c r="K118576" s="12"/>
      <c r="L118576" s="208"/>
      <c r="M118576" s="209"/>
      <c r="N118576" s="209"/>
      <c r="O118576" s="209"/>
    </row>
    <row r="118577" spans="1:15" s="210" customFormat="1" x14ac:dyDescent="0.3">
      <c r="A118577" s="12"/>
      <c r="B118577" s="15"/>
      <c r="C118577" s="15"/>
      <c r="D118577" s="12"/>
      <c r="E118577" s="12"/>
      <c r="F118577" s="13"/>
      <c r="G118577" s="12"/>
      <c r="H118577" s="12"/>
      <c r="I118577" s="12"/>
      <c r="J118577" s="12"/>
      <c r="K118577" s="12"/>
      <c r="L118577" s="208"/>
      <c r="M118577" s="209"/>
      <c r="N118577" s="209"/>
      <c r="O118577" s="209"/>
    </row>
    <row r="118578" spans="1:15" s="210" customFormat="1" x14ac:dyDescent="0.3">
      <c r="A118578" s="12"/>
      <c r="B118578" s="15"/>
      <c r="C118578" s="15"/>
      <c r="D118578" s="12"/>
      <c r="E118578" s="12"/>
      <c r="F118578" s="13"/>
      <c r="G118578" s="12"/>
      <c r="H118578" s="12"/>
      <c r="I118578" s="12"/>
      <c r="J118578" s="12"/>
      <c r="K118578" s="12"/>
      <c r="L118578" s="208"/>
      <c r="M118578" s="209"/>
      <c r="N118578" s="209"/>
      <c r="O118578" s="209"/>
    </row>
    <row r="118579" spans="1:15" s="210" customFormat="1" x14ac:dyDescent="0.3">
      <c r="A118579" s="12"/>
      <c r="B118579" s="15"/>
      <c r="C118579" s="15"/>
      <c r="D118579" s="12"/>
      <c r="E118579" s="12"/>
      <c r="F118579" s="13"/>
      <c r="G118579" s="12"/>
      <c r="H118579" s="12"/>
      <c r="I118579" s="12"/>
      <c r="J118579" s="12"/>
      <c r="K118579" s="12"/>
      <c r="L118579" s="208"/>
      <c r="M118579" s="209"/>
      <c r="N118579" s="209"/>
      <c r="O118579" s="209"/>
    </row>
    <row r="118580" spans="1:15" s="210" customFormat="1" x14ac:dyDescent="0.3">
      <c r="A118580" s="12"/>
      <c r="B118580" s="15"/>
      <c r="C118580" s="15"/>
      <c r="D118580" s="12"/>
      <c r="E118580" s="12"/>
      <c r="F118580" s="13"/>
      <c r="G118580" s="12"/>
      <c r="H118580" s="12"/>
      <c r="I118580" s="12"/>
      <c r="J118580" s="12"/>
      <c r="K118580" s="12"/>
      <c r="L118580" s="208"/>
      <c r="M118580" s="209"/>
      <c r="N118580" s="209"/>
      <c r="O118580" s="209"/>
    </row>
    <row r="118581" spans="1:15" s="210" customFormat="1" x14ac:dyDescent="0.3">
      <c r="A118581" s="12"/>
      <c r="B118581" s="15"/>
      <c r="C118581" s="15"/>
      <c r="D118581" s="12"/>
      <c r="E118581" s="12"/>
      <c r="F118581" s="13"/>
      <c r="G118581" s="12"/>
      <c r="H118581" s="12"/>
      <c r="I118581" s="12"/>
      <c r="J118581" s="12"/>
      <c r="K118581" s="12"/>
      <c r="L118581" s="208"/>
      <c r="M118581" s="209"/>
      <c r="N118581" s="209"/>
      <c r="O118581" s="209"/>
    </row>
    <row r="118582" spans="1:15" s="210" customFormat="1" x14ac:dyDescent="0.3">
      <c r="A118582" s="12"/>
      <c r="B118582" s="15"/>
      <c r="C118582" s="15"/>
      <c r="D118582" s="12"/>
      <c r="E118582" s="12"/>
      <c r="F118582" s="13"/>
      <c r="G118582" s="12"/>
      <c r="H118582" s="12"/>
      <c r="I118582" s="12"/>
      <c r="J118582" s="12"/>
      <c r="K118582" s="12"/>
      <c r="L118582" s="208"/>
      <c r="M118582" s="209"/>
      <c r="N118582" s="209"/>
      <c r="O118582" s="209"/>
    </row>
    <row r="118583" spans="1:15" s="210" customFormat="1" x14ac:dyDescent="0.3">
      <c r="A118583" s="12"/>
      <c r="B118583" s="15"/>
      <c r="C118583" s="15"/>
      <c r="D118583" s="12"/>
      <c r="E118583" s="12"/>
      <c r="F118583" s="13"/>
      <c r="G118583" s="12"/>
      <c r="H118583" s="12"/>
      <c r="I118583" s="12"/>
      <c r="J118583" s="12"/>
      <c r="K118583" s="12"/>
      <c r="L118583" s="208"/>
      <c r="M118583" s="209"/>
      <c r="N118583" s="209"/>
      <c r="O118583" s="209"/>
    </row>
    <row r="118584" spans="1:15" s="210" customFormat="1" x14ac:dyDescent="0.3">
      <c r="A118584" s="12"/>
      <c r="B118584" s="15"/>
      <c r="C118584" s="15"/>
      <c r="D118584" s="12"/>
      <c r="E118584" s="12"/>
      <c r="F118584" s="13"/>
      <c r="G118584" s="12"/>
      <c r="H118584" s="12"/>
      <c r="I118584" s="12"/>
      <c r="J118584" s="12"/>
      <c r="K118584" s="12"/>
      <c r="L118584" s="208"/>
      <c r="M118584" s="209"/>
      <c r="N118584" s="209"/>
      <c r="O118584" s="209"/>
    </row>
    <row r="118585" spans="1:15" s="210" customFormat="1" x14ac:dyDescent="0.3">
      <c r="A118585" s="12"/>
      <c r="B118585" s="15"/>
      <c r="C118585" s="15"/>
      <c r="D118585" s="12"/>
      <c r="E118585" s="12"/>
      <c r="F118585" s="13"/>
      <c r="G118585" s="12"/>
      <c r="H118585" s="12"/>
      <c r="I118585" s="12"/>
      <c r="J118585" s="12"/>
      <c r="K118585" s="12"/>
      <c r="L118585" s="208"/>
      <c r="M118585" s="209"/>
      <c r="N118585" s="209"/>
      <c r="O118585" s="209"/>
    </row>
    <row r="118586" spans="1:15" s="210" customFormat="1" x14ac:dyDescent="0.3">
      <c r="A118586" s="12"/>
      <c r="B118586" s="15"/>
      <c r="C118586" s="15"/>
      <c r="D118586" s="12"/>
      <c r="E118586" s="12"/>
      <c r="F118586" s="13"/>
      <c r="G118586" s="12"/>
      <c r="H118586" s="12"/>
      <c r="I118586" s="12"/>
      <c r="J118586" s="12"/>
      <c r="K118586" s="12"/>
      <c r="L118586" s="208"/>
      <c r="M118586" s="209"/>
      <c r="N118586" s="209"/>
      <c r="O118586" s="209"/>
    </row>
    <row r="118587" spans="1:15" s="210" customFormat="1" x14ac:dyDescent="0.3">
      <c r="A118587" s="12"/>
      <c r="B118587" s="15"/>
      <c r="C118587" s="15"/>
      <c r="D118587" s="12"/>
      <c r="E118587" s="12"/>
      <c r="F118587" s="13"/>
      <c r="G118587" s="12"/>
      <c r="H118587" s="12"/>
      <c r="I118587" s="12"/>
      <c r="J118587" s="12"/>
      <c r="K118587" s="12"/>
      <c r="L118587" s="208"/>
      <c r="M118587" s="209"/>
      <c r="N118587" s="209"/>
      <c r="O118587" s="209"/>
    </row>
    <row r="118588" spans="1:15" s="210" customFormat="1" x14ac:dyDescent="0.3">
      <c r="A118588" s="12"/>
      <c r="B118588" s="15"/>
      <c r="C118588" s="15"/>
      <c r="D118588" s="12"/>
      <c r="E118588" s="12"/>
      <c r="F118588" s="13"/>
      <c r="G118588" s="12"/>
      <c r="H118588" s="12"/>
      <c r="I118588" s="12"/>
      <c r="J118588" s="12"/>
      <c r="K118588" s="12"/>
      <c r="L118588" s="208"/>
      <c r="M118588" s="209"/>
      <c r="N118588" s="209"/>
      <c r="O118588" s="209"/>
    </row>
    <row r="118589" spans="1:15" s="210" customFormat="1" x14ac:dyDescent="0.3">
      <c r="A118589" s="12"/>
      <c r="B118589" s="15"/>
      <c r="C118589" s="15"/>
      <c r="D118589" s="12"/>
      <c r="E118589" s="12"/>
      <c r="F118589" s="13"/>
      <c r="G118589" s="12"/>
      <c r="H118589" s="12"/>
      <c r="I118589" s="12"/>
      <c r="J118589" s="12"/>
      <c r="K118589" s="12"/>
      <c r="L118589" s="208"/>
      <c r="M118589" s="209"/>
      <c r="N118589" s="209"/>
      <c r="O118589" s="209"/>
    </row>
    <row r="118590" spans="1:15" s="210" customFormat="1" x14ac:dyDescent="0.3">
      <c r="A118590" s="12"/>
      <c r="B118590" s="15"/>
      <c r="C118590" s="15"/>
      <c r="D118590" s="12"/>
      <c r="E118590" s="12"/>
      <c r="F118590" s="13"/>
      <c r="G118590" s="12"/>
      <c r="H118590" s="12"/>
      <c r="I118590" s="12"/>
      <c r="J118590" s="12"/>
      <c r="K118590" s="12"/>
      <c r="L118590" s="208"/>
      <c r="M118590" s="209"/>
      <c r="N118590" s="209"/>
      <c r="O118590" s="209"/>
    </row>
    <row r="118591" spans="1:15" s="210" customFormat="1" x14ac:dyDescent="0.3">
      <c r="A118591" s="12"/>
      <c r="B118591" s="15"/>
      <c r="C118591" s="15"/>
      <c r="D118591" s="12"/>
      <c r="E118591" s="12"/>
      <c r="F118591" s="13"/>
      <c r="G118591" s="12"/>
      <c r="H118591" s="12"/>
      <c r="I118591" s="12"/>
      <c r="J118591" s="12"/>
      <c r="K118591" s="12"/>
      <c r="L118591" s="208"/>
      <c r="M118591" s="209"/>
      <c r="N118591" s="209"/>
      <c r="O118591" s="209"/>
    </row>
    <row r="118592" spans="1:15" s="210" customFormat="1" x14ac:dyDescent="0.3">
      <c r="A118592" s="12"/>
      <c r="B118592" s="15"/>
      <c r="C118592" s="15"/>
      <c r="D118592" s="12"/>
      <c r="E118592" s="12"/>
      <c r="F118592" s="13"/>
      <c r="G118592" s="12"/>
      <c r="H118592" s="12"/>
      <c r="I118592" s="12"/>
      <c r="J118592" s="12"/>
      <c r="K118592" s="12"/>
      <c r="L118592" s="208"/>
      <c r="M118592" s="209"/>
      <c r="N118592" s="209"/>
      <c r="O118592" s="209"/>
    </row>
    <row r="118593" spans="1:15" s="210" customFormat="1" x14ac:dyDescent="0.3">
      <c r="A118593" s="12"/>
      <c r="B118593" s="15"/>
      <c r="C118593" s="15"/>
      <c r="D118593" s="12"/>
      <c r="E118593" s="12"/>
      <c r="F118593" s="13"/>
      <c r="G118593" s="12"/>
      <c r="H118593" s="12"/>
      <c r="I118593" s="12"/>
      <c r="J118593" s="12"/>
      <c r="K118593" s="12"/>
      <c r="L118593" s="208"/>
      <c r="M118593" s="209"/>
      <c r="N118593" s="209"/>
      <c r="O118593" s="209"/>
    </row>
    <row r="118594" spans="1:15" s="210" customFormat="1" x14ac:dyDescent="0.3">
      <c r="A118594" s="12"/>
      <c r="B118594" s="15"/>
      <c r="C118594" s="15"/>
      <c r="D118594" s="12"/>
      <c r="E118594" s="12"/>
      <c r="F118594" s="13"/>
      <c r="G118594" s="12"/>
      <c r="H118594" s="12"/>
      <c r="I118594" s="12"/>
      <c r="J118594" s="12"/>
      <c r="K118594" s="12"/>
      <c r="L118594" s="208"/>
      <c r="M118594" s="209"/>
      <c r="N118594" s="209"/>
      <c r="O118594" s="209"/>
    </row>
    <row r="118595" spans="1:15" s="210" customFormat="1" x14ac:dyDescent="0.3">
      <c r="A118595" s="12"/>
      <c r="B118595" s="15"/>
      <c r="C118595" s="15"/>
      <c r="D118595" s="12"/>
      <c r="E118595" s="12"/>
      <c r="F118595" s="13"/>
      <c r="G118595" s="12"/>
      <c r="H118595" s="12"/>
      <c r="I118595" s="12"/>
      <c r="J118595" s="12"/>
      <c r="K118595" s="12"/>
      <c r="L118595" s="208"/>
      <c r="M118595" s="209"/>
      <c r="N118595" s="209"/>
      <c r="O118595" s="209"/>
    </row>
    <row r="118596" spans="1:15" s="210" customFormat="1" x14ac:dyDescent="0.3">
      <c r="A118596" s="12"/>
      <c r="B118596" s="15"/>
      <c r="C118596" s="15"/>
      <c r="D118596" s="12"/>
      <c r="E118596" s="12"/>
      <c r="F118596" s="13"/>
      <c r="G118596" s="12"/>
      <c r="H118596" s="12"/>
      <c r="I118596" s="12"/>
      <c r="J118596" s="12"/>
      <c r="K118596" s="12"/>
      <c r="L118596" s="208"/>
      <c r="M118596" s="209"/>
      <c r="N118596" s="209"/>
      <c r="O118596" s="209"/>
    </row>
    <row r="118597" spans="1:15" s="210" customFormat="1" x14ac:dyDescent="0.3">
      <c r="A118597" s="12"/>
      <c r="B118597" s="15"/>
      <c r="C118597" s="15"/>
      <c r="D118597" s="12"/>
      <c r="E118597" s="12"/>
      <c r="F118597" s="13"/>
      <c r="G118597" s="12"/>
      <c r="H118597" s="12"/>
      <c r="I118597" s="12"/>
      <c r="J118597" s="12"/>
      <c r="K118597" s="12"/>
      <c r="L118597" s="208"/>
      <c r="M118597" s="209"/>
      <c r="N118597" s="209"/>
      <c r="O118597" s="209"/>
    </row>
    <row r="118598" spans="1:15" s="210" customFormat="1" x14ac:dyDescent="0.3">
      <c r="A118598" s="12"/>
      <c r="B118598" s="15"/>
      <c r="C118598" s="15"/>
      <c r="D118598" s="12"/>
      <c r="E118598" s="12"/>
      <c r="F118598" s="13"/>
      <c r="G118598" s="12"/>
      <c r="H118598" s="12"/>
      <c r="I118598" s="12"/>
      <c r="J118598" s="12"/>
      <c r="K118598" s="12"/>
      <c r="L118598" s="208"/>
      <c r="M118598" s="209"/>
      <c r="N118598" s="209"/>
      <c r="O118598" s="209"/>
    </row>
    <row r="118599" spans="1:15" s="210" customFormat="1" x14ac:dyDescent="0.3">
      <c r="A118599" s="12"/>
      <c r="B118599" s="15"/>
      <c r="C118599" s="15"/>
      <c r="D118599" s="12"/>
      <c r="E118599" s="12"/>
      <c r="F118599" s="13"/>
      <c r="G118599" s="12"/>
      <c r="H118599" s="12"/>
      <c r="I118599" s="12"/>
      <c r="J118599" s="12"/>
      <c r="K118599" s="12"/>
      <c r="L118599" s="208"/>
      <c r="M118599" s="209"/>
      <c r="N118599" s="209"/>
      <c r="O118599" s="209"/>
    </row>
    <row r="118600" spans="1:15" s="210" customFormat="1" x14ac:dyDescent="0.3">
      <c r="A118600" s="12"/>
      <c r="B118600" s="15"/>
      <c r="C118600" s="15"/>
      <c r="D118600" s="12"/>
      <c r="E118600" s="12"/>
      <c r="F118600" s="13"/>
      <c r="G118600" s="12"/>
      <c r="H118600" s="12"/>
      <c r="I118600" s="12"/>
      <c r="J118600" s="12"/>
      <c r="K118600" s="12"/>
      <c r="L118600" s="208"/>
      <c r="M118600" s="209"/>
      <c r="N118600" s="209"/>
      <c r="O118600" s="209"/>
    </row>
    <row r="118601" spans="1:15" s="210" customFormat="1" x14ac:dyDescent="0.3">
      <c r="A118601" s="12"/>
      <c r="B118601" s="15"/>
      <c r="C118601" s="15"/>
      <c r="D118601" s="12"/>
      <c r="E118601" s="12"/>
      <c r="F118601" s="13"/>
      <c r="G118601" s="12"/>
      <c r="H118601" s="12"/>
      <c r="I118601" s="12"/>
      <c r="J118601" s="12"/>
      <c r="K118601" s="12"/>
      <c r="L118601" s="208"/>
      <c r="M118601" s="209"/>
      <c r="N118601" s="209"/>
      <c r="O118601" s="209"/>
    </row>
    <row r="118602" spans="1:15" s="210" customFormat="1" x14ac:dyDescent="0.3">
      <c r="A118602" s="12"/>
      <c r="B118602" s="15"/>
      <c r="C118602" s="15"/>
      <c r="D118602" s="12"/>
      <c r="E118602" s="12"/>
      <c r="F118602" s="13"/>
      <c r="G118602" s="12"/>
      <c r="H118602" s="12"/>
      <c r="I118602" s="12"/>
      <c r="J118602" s="12"/>
      <c r="K118602" s="12"/>
      <c r="L118602" s="208"/>
      <c r="M118602" s="209"/>
      <c r="N118602" s="209"/>
      <c r="O118602" s="209"/>
    </row>
    <row r="118603" spans="1:15" s="210" customFormat="1" x14ac:dyDescent="0.3">
      <c r="A118603" s="12"/>
      <c r="B118603" s="15"/>
      <c r="C118603" s="15"/>
      <c r="D118603" s="12"/>
      <c r="E118603" s="12"/>
      <c r="F118603" s="13"/>
      <c r="G118603" s="12"/>
      <c r="H118603" s="12"/>
      <c r="I118603" s="12"/>
      <c r="J118603" s="12"/>
      <c r="K118603" s="12"/>
      <c r="L118603" s="208"/>
      <c r="M118603" s="209"/>
      <c r="N118603" s="209"/>
      <c r="O118603" s="209"/>
    </row>
    <row r="118604" spans="1:15" s="210" customFormat="1" x14ac:dyDescent="0.3">
      <c r="A118604" s="12"/>
      <c r="B118604" s="15"/>
      <c r="C118604" s="15"/>
      <c r="D118604" s="12"/>
      <c r="E118604" s="12"/>
      <c r="F118604" s="13"/>
      <c r="G118604" s="12"/>
      <c r="H118604" s="12"/>
      <c r="I118604" s="12"/>
      <c r="J118604" s="12"/>
      <c r="K118604" s="12"/>
      <c r="L118604" s="208"/>
      <c r="M118604" s="209"/>
      <c r="N118604" s="209"/>
      <c r="O118604" s="209"/>
    </row>
    <row r="118605" spans="1:15" s="210" customFormat="1" x14ac:dyDescent="0.3">
      <c r="A118605" s="12"/>
      <c r="B118605" s="15"/>
      <c r="C118605" s="15"/>
      <c r="D118605" s="12"/>
      <c r="E118605" s="12"/>
      <c r="F118605" s="13"/>
      <c r="G118605" s="12"/>
      <c r="H118605" s="12"/>
      <c r="I118605" s="12"/>
      <c r="J118605" s="12"/>
      <c r="K118605" s="12"/>
      <c r="L118605" s="208"/>
      <c r="M118605" s="209"/>
      <c r="N118605" s="209"/>
      <c r="O118605" s="209"/>
    </row>
    <row r="118606" spans="1:15" s="210" customFormat="1" x14ac:dyDescent="0.3">
      <c r="A118606" s="12"/>
      <c r="B118606" s="15"/>
      <c r="C118606" s="15"/>
      <c r="D118606" s="12"/>
      <c r="E118606" s="12"/>
      <c r="F118606" s="13"/>
      <c r="G118606" s="12"/>
      <c r="H118606" s="12"/>
      <c r="I118606" s="12"/>
      <c r="J118606" s="12"/>
      <c r="K118606" s="12"/>
      <c r="L118606" s="208"/>
      <c r="M118606" s="209"/>
      <c r="N118606" s="209"/>
      <c r="O118606" s="209"/>
    </row>
    <row r="118607" spans="1:15" s="210" customFormat="1" x14ac:dyDescent="0.3">
      <c r="A118607" s="12"/>
      <c r="B118607" s="15"/>
      <c r="C118607" s="15"/>
      <c r="D118607" s="12"/>
      <c r="E118607" s="12"/>
      <c r="F118607" s="13"/>
      <c r="G118607" s="12"/>
      <c r="H118607" s="12"/>
      <c r="I118607" s="12"/>
      <c r="J118607" s="12"/>
      <c r="K118607" s="12"/>
      <c r="L118607" s="208"/>
      <c r="M118607" s="209"/>
      <c r="N118607" s="209"/>
      <c r="O118607" s="209"/>
    </row>
    <row r="118608" spans="1:15" s="210" customFormat="1" x14ac:dyDescent="0.3">
      <c r="A118608" s="12"/>
      <c r="B118608" s="15"/>
      <c r="C118608" s="15"/>
      <c r="D118608" s="12"/>
      <c r="E118608" s="12"/>
      <c r="F118608" s="13"/>
      <c r="G118608" s="12"/>
      <c r="H118608" s="12"/>
      <c r="I118608" s="12"/>
      <c r="J118608" s="12"/>
      <c r="K118608" s="12"/>
      <c r="L118608" s="208"/>
      <c r="M118608" s="209"/>
      <c r="N118608" s="209"/>
      <c r="O118608" s="209"/>
    </row>
    <row r="118609" spans="1:15" s="210" customFormat="1" x14ac:dyDescent="0.3">
      <c r="A118609" s="12"/>
      <c r="B118609" s="15"/>
      <c r="C118609" s="15"/>
      <c r="D118609" s="12"/>
      <c r="E118609" s="12"/>
      <c r="F118609" s="13"/>
      <c r="G118609" s="12"/>
      <c r="H118609" s="12"/>
      <c r="I118609" s="12"/>
      <c r="J118609" s="12"/>
      <c r="K118609" s="12"/>
      <c r="L118609" s="208"/>
      <c r="M118609" s="209"/>
      <c r="N118609" s="209"/>
      <c r="O118609" s="209"/>
    </row>
    <row r="118610" spans="1:15" s="210" customFormat="1" x14ac:dyDescent="0.3">
      <c r="A118610" s="12"/>
      <c r="B118610" s="15"/>
      <c r="C118610" s="15"/>
      <c r="D118610" s="12"/>
      <c r="E118610" s="12"/>
      <c r="F118610" s="13"/>
      <c r="G118610" s="12"/>
      <c r="H118610" s="12"/>
      <c r="I118610" s="12"/>
      <c r="J118610" s="12"/>
      <c r="K118610" s="12"/>
      <c r="L118610" s="208"/>
      <c r="M118610" s="209"/>
      <c r="N118610" s="209"/>
      <c r="O118610" s="209"/>
    </row>
    <row r="118611" spans="1:15" s="210" customFormat="1" x14ac:dyDescent="0.3">
      <c r="A118611" s="12"/>
      <c r="B118611" s="15"/>
      <c r="C118611" s="15"/>
      <c r="D118611" s="12"/>
      <c r="E118611" s="12"/>
      <c r="F118611" s="13"/>
      <c r="G118611" s="12"/>
      <c r="H118611" s="12"/>
      <c r="I118611" s="12"/>
      <c r="J118611" s="12"/>
      <c r="K118611" s="12"/>
      <c r="L118611" s="208"/>
      <c r="M118611" s="209"/>
      <c r="N118611" s="209"/>
      <c r="O118611" s="209"/>
    </row>
    <row r="118612" spans="1:15" s="210" customFormat="1" x14ac:dyDescent="0.3">
      <c r="A118612" s="12"/>
      <c r="B118612" s="15"/>
      <c r="C118612" s="15"/>
      <c r="D118612" s="12"/>
      <c r="E118612" s="12"/>
      <c r="F118612" s="13"/>
      <c r="G118612" s="12"/>
      <c r="H118612" s="12"/>
      <c r="I118612" s="12"/>
      <c r="J118612" s="12"/>
      <c r="K118612" s="12"/>
      <c r="L118612" s="208"/>
      <c r="M118612" s="209"/>
      <c r="N118612" s="209"/>
      <c r="O118612" s="209"/>
    </row>
    <row r="118613" spans="1:15" s="210" customFormat="1" x14ac:dyDescent="0.3">
      <c r="A118613" s="12"/>
      <c r="B118613" s="15"/>
      <c r="C118613" s="15"/>
      <c r="D118613" s="12"/>
      <c r="E118613" s="12"/>
      <c r="F118613" s="13"/>
      <c r="G118613" s="12"/>
      <c r="H118613" s="12"/>
      <c r="I118613" s="12"/>
      <c r="J118613" s="12"/>
      <c r="K118613" s="12"/>
      <c r="L118613" s="208"/>
      <c r="M118613" s="209"/>
      <c r="N118613" s="209"/>
      <c r="O118613" s="209"/>
    </row>
    <row r="118614" spans="1:15" s="210" customFormat="1" x14ac:dyDescent="0.3">
      <c r="A118614" s="12"/>
      <c r="B118614" s="15"/>
      <c r="C118614" s="15"/>
      <c r="D118614" s="12"/>
      <c r="E118614" s="12"/>
      <c r="F118614" s="13"/>
      <c r="G118614" s="12"/>
      <c r="H118614" s="12"/>
      <c r="I118614" s="12"/>
      <c r="J118614" s="12"/>
      <c r="K118614" s="12"/>
      <c r="L118614" s="208"/>
      <c r="M118614" s="209"/>
      <c r="N118614" s="209"/>
      <c r="O118614" s="209"/>
    </row>
    <row r="118615" spans="1:15" s="210" customFormat="1" x14ac:dyDescent="0.3">
      <c r="A118615" s="12"/>
      <c r="B118615" s="15"/>
      <c r="C118615" s="15"/>
      <c r="D118615" s="12"/>
      <c r="E118615" s="12"/>
      <c r="F118615" s="13"/>
      <c r="G118615" s="12"/>
      <c r="H118615" s="12"/>
      <c r="I118615" s="12"/>
      <c r="J118615" s="12"/>
      <c r="K118615" s="12"/>
      <c r="L118615" s="208"/>
      <c r="M118615" s="209"/>
      <c r="N118615" s="209"/>
      <c r="O118615" s="209"/>
    </row>
    <row r="118616" spans="1:15" s="210" customFormat="1" x14ac:dyDescent="0.3">
      <c r="A118616" s="12"/>
      <c r="B118616" s="15"/>
      <c r="C118616" s="15"/>
      <c r="D118616" s="12"/>
      <c r="E118616" s="12"/>
      <c r="F118616" s="13"/>
      <c r="G118616" s="12"/>
      <c r="H118616" s="12"/>
      <c r="I118616" s="12"/>
      <c r="J118616" s="12"/>
      <c r="K118616" s="12"/>
      <c r="L118616" s="208"/>
      <c r="M118616" s="209"/>
      <c r="N118616" s="209"/>
      <c r="O118616" s="209"/>
    </row>
    <row r="118617" spans="1:15" s="210" customFormat="1" x14ac:dyDescent="0.3">
      <c r="A118617" s="12"/>
      <c r="B118617" s="15"/>
      <c r="C118617" s="15"/>
      <c r="D118617" s="12"/>
      <c r="E118617" s="12"/>
      <c r="F118617" s="13"/>
      <c r="G118617" s="12"/>
      <c r="H118617" s="12"/>
      <c r="I118617" s="12"/>
      <c r="J118617" s="12"/>
      <c r="K118617" s="12"/>
      <c r="L118617" s="208"/>
      <c r="M118617" s="209"/>
      <c r="N118617" s="209"/>
      <c r="O118617" s="209"/>
    </row>
    <row r="118618" spans="1:15" s="210" customFormat="1" x14ac:dyDescent="0.3">
      <c r="A118618" s="12"/>
      <c r="B118618" s="15"/>
      <c r="C118618" s="15"/>
      <c r="D118618" s="12"/>
      <c r="E118618" s="12"/>
      <c r="F118618" s="13"/>
      <c r="G118618" s="12"/>
      <c r="H118618" s="12"/>
      <c r="I118618" s="12"/>
      <c r="J118618" s="12"/>
      <c r="K118618" s="12"/>
      <c r="L118618" s="208"/>
      <c r="M118618" s="209"/>
      <c r="N118618" s="209"/>
      <c r="O118618" s="209"/>
    </row>
    <row r="118619" spans="1:15" s="210" customFormat="1" x14ac:dyDescent="0.3">
      <c r="A118619" s="12"/>
      <c r="B118619" s="15"/>
      <c r="C118619" s="15"/>
      <c r="D118619" s="12"/>
      <c r="E118619" s="12"/>
      <c r="F118619" s="13"/>
      <c r="G118619" s="12"/>
      <c r="H118619" s="12"/>
      <c r="I118619" s="12"/>
      <c r="J118619" s="12"/>
      <c r="K118619" s="12"/>
      <c r="L118619" s="208"/>
      <c r="M118619" s="209"/>
      <c r="N118619" s="209"/>
      <c r="O118619" s="209"/>
    </row>
    <row r="118620" spans="1:15" s="210" customFormat="1" x14ac:dyDescent="0.3">
      <c r="A118620" s="12"/>
      <c r="B118620" s="15"/>
      <c r="C118620" s="15"/>
      <c r="D118620" s="12"/>
      <c r="E118620" s="12"/>
      <c r="F118620" s="13"/>
      <c r="G118620" s="12"/>
      <c r="H118620" s="12"/>
      <c r="I118620" s="12"/>
      <c r="J118620" s="12"/>
      <c r="K118620" s="12"/>
      <c r="L118620" s="208"/>
      <c r="M118620" s="209"/>
      <c r="N118620" s="209"/>
      <c r="O118620" s="209"/>
    </row>
    <row r="118621" spans="1:15" s="210" customFormat="1" x14ac:dyDescent="0.3">
      <c r="A118621" s="12"/>
      <c r="B118621" s="15"/>
      <c r="C118621" s="15"/>
      <c r="D118621" s="12"/>
      <c r="E118621" s="12"/>
      <c r="F118621" s="13"/>
      <c r="G118621" s="12"/>
      <c r="H118621" s="12"/>
      <c r="I118621" s="12"/>
      <c r="J118621" s="12"/>
      <c r="K118621" s="12"/>
      <c r="L118621" s="208"/>
      <c r="M118621" s="209"/>
      <c r="N118621" s="209"/>
      <c r="O118621" s="209"/>
    </row>
    <row r="118622" spans="1:15" s="210" customFormat="1" x14ac:dyDescent="0.3">
      <c r="A118622" s="12"/>
      <c r="B118622" s="15"/>
      <c r="C118622" s="15"/>
      <c r="D118622" s="12"/>
      <c r="E118622" s="12"/>
      <c r="F118622" s="13"/>
      <c r="G118622" s="12"/>
      <c r="H118622" s="12"/>
      <c r="I118622" s="12"/>
      <c r="J118622" s="12"/>
      <c r="K118622" s="12"/>
      <c r="L118622" s="208"/>
      <c r="M118622" s="209"/>
      <c r="N118622" s="209"/>
      <c r="O118622" s="209"/>
    </row>
    <row r="118623" spans="1:15" s="210" customFormat="1" x14ac:dyDescent="0.3">
      <c r="A118623" s="12"/>
      <c r="B118623" s="15"/>
      <c r="C118623" s="15"/>
      <c r="D118623" s="12"/>
      <c r="E118623" s="12"/>
      <c r="F118623" s="13"/>
      <c r="G118623" s="12"/>
      <c r="H118623" s="12"/>
      <c r="I118623" s="12"/>
      <c r="J118623" s="12"/>
      <c r="K118623" s="12"/>
      <c r="L118623" s="208"/>
      <c r="M118623" s="209"/>
      <c r="N118623" s="209"/>
      <c r="O118623" s="209"/>
    </row>
    <row r="118624" spans="1:15" s="210" customFormat="1" x14ac:dyDescent="0.3">
      <c r="A118624" s="12"/>
      <c r="B118624" s="15"/>
      <c r="C118624" s="15"/>
      <c r="D118624" s="12"/>
      <c r="E118624" s="12"/>
      <c r="F118624" s="13"/>
      <c r="G118624" s="12"/>
      <c r="H118624" s="12"/>
      <c r="I118624" s="12"/>
      <c r="J118624" s="12"/>
      <c r="K118624" s="12"/>
      <c r="L118624" s="208"/>
      <c r="M118624" s="209"/>
      <c r="N118624" s="209"/>
      <c r="O118624" s="209"/>
    </row>
    <row r="118625" spans="1:15" s="210" customFormat="1" x14ac:dyDescent="0.3">
      <c r="A118625" s="12"/>
      <c r="B118625" s="15"/>
      <c r="C118625" s="15"/>
      <c r="D118625" s="12"/>
      <c r="E118625" s="12"/>
      <c r="F118625" s="13"/>
      <c r="G118625" s="12"/>
      <c r="H118625" s="12"/>
      <c r="I118625" s="12"/>
      <c r="J118625" s="12"/>
      <c r="K118625" s="12"/>
      <c r="L118625" s="208"/>
      <c r="M118625" s="209"/>
      <c r="N118625" s="209"/>
      <c r="O118625" s="209"/>
    </row>
    <row r="118626" spans="1:15" s="210" customFormat="1" x14ac:dyDescent="0.3">
      <c r="A118626" s="12"/>
      <c r="B118626" s="15"/>
      <c r="C118626" s="15"/>
      <c r="D118626" s="12"/>
      <c r="E118626" s="12"/>
      <c r="F118626" s="13"/>
      <c r="G118626" s="12"/>
      <c r="H118626" s="12"/>
      <c r="I118626" s="12"/>
      <c r="J118626" s="12"/>
      <c r="K118626" s="12"/>
      <c r="L118626" s="208"/>
      <c r="M118626" s="209"/>
      <c r="N118626" s="209"/>
      <c r="O118626" s="209"/>
    </row>
    <row r="118627" spans="1:15" s="210" customFormat="1" x14ac:dyDescent="0.3">
      <c r="A118627" s="12"/>
      <c r="B118627" s="15"/>
      <c r="C118627" s="15"/>
      <c r="D118627" s="12"/>
      <c r="E118627" s="12"/>
      <c r="F118627" s="13"/>
      <c r="G118627" s="12"/>
      <c r="H118627" s="12"/>
      <c r="I118627" s="12"/>
      <c r="J118627" s="12"/>
      <c r="K118627" s="12"/>
      <c r="L118627" s="208"/>
      <c r="M118627" s="209"/>
      <c r="N118627" s="209"/>
      <c r="O118627" s="209"/>
    </row>
    <row r="118628" spans="1:15" s="210" customFormat="1" x14ac:dyDescent="0.3">
      <c r="A118628" s="12"/>
      <c r="B118628" s="15"/>
      <c r="C118628" s="15"/>
      <c r="D118628" s="12"/>
      <c r="E118628" s="12"/>
      <c r="F118628" s="13"/>
      <c r="G118628" s="12"/>
      <c r="H118628" s="12"/>
      <c r="I118628" s="12"/>
      <c r="J118628" s="12"/>
      <c r="K118628" s="12"/>
      <c r="L118628" s="208"/>
      <c r="M118628" s="209"/>
      <c r="N118628" s="209"/>
      <c r="O118628" s="209"/>
    </row>
    <row r="118629" spans="1:15" s="210" customFormat="1" x14ac:dyDescent="0.3">
      <c r="A118629" s="12"/>
      <c r="B118629" s="15"/>
      <c r="C118629" s="15"/>
      <c r="D118629" s="12"/>
      <c r="E118629" s="12"/>
      <c r="F118629" s="13"/>
      <c r="G118629" s="12"/>
      <c r="H118629" s="12"/>
      <c r="I118629" s="12"/>
      <c r="J118629" s="12"/>
      <c r="K118629" s="12"/>
      <c r="L118629" s="208"/>
      <c r="M118629" s="209"/>
      <c r="N118629" s="209"/>
      <c r="O118629" s="209"/>
    </row>
    <row r="118630" spans="1:15" s="210" customFormat="1" x14ac:dyDescent="0.3">
      <c r="A118630" s="12"/>
      <c r="B118630" s="15"/>
      <c r="C118630" s="15"/>
      <c r="D118630" s="12"/>
      <c r="E118630" s="12"/>
      <c r="F118630" s="13"/>
      <c r="G118630" s="12"/>
      <c r="H118630" s="12"/>
      <c r="I118630" s="12"/>
      <c r="J118630" s="12"/>
      <c r="K118630" s="12"/>
      <c r="L118630" s="208"/>
      <c r="M118630" s="209"/>
      <c r="N118630" s="209"/>
      <c r="O118630" s="209"/>
    </row>
    <row r="118631" spans="1:15" s="210" customFormat="1" x14ac:dyDescent="0.3">
      <c r="A118631" s="12"/>
      <c r="B118631" s="15"/>
      <c r="C118631" s="15"/>
      <c r="D118631" s="12"/>
      <c r="E118631" s="12"/>
      <c r="F118631" s="13"/>
      <c r="G118631" s="12"/>
      <c r="H118631" s="12"/>
      <c r="I118631" s="12"/>
      <c r="J118631" s="12"/>
      <c r="K118631" s="12"/>
      <c r="L118631" s="208"/>
      <c r="M118631" s="209"/>
      <c r="N118631" s="209"/>
      <c r="O118631" s="209"/>
    </row>
    <row r="118632" spans="1:15" s="210" customFormat="1" x14ac:dyDescent="0.3">
      <c r="A118632" s="12"/>
      <c r="B118632" s="15"/>
      <c r="C118632" s="15"/>
      <c r="D118632" s="12"/>
      <c r="E118632" s="12"/>
      <c r="F118632" s="13"/>
      <c r="G118632" s="12"/>
      <c r="H118632" s="12"/>
      <c r="I118632" s="12"/>
      <c r="J118632" s="12"/>
      <c r="K118632" s="12"/>
      <c r="L118632" s="208"/>
      <c r="M118632" s="209"/>
      <c r="N118632" s="209"/>
      <c r="O118632" s="209"/>
    </row>
    <row r="118633" spans="1:15" s="210" customFormat="1" x14ac:dyDescent="0.3">
      <c r="A118633" s="12"/>
      <c r="B118633" s="15"/>
      <c r="C118633" s="15"/>
      <c r="D118633" s="12"/>
      <c r="E118633" s="12"/>
      <c r="F118633" s="13"/>
      <c r="G118633" s="12"/>
      <c r="H118633" s="12"/>
      <c r="I118633" s="12"/>
      <c r="J118633" s="12"/>
      <c r="K118633" s="12"/>
      <c r="L118633" s="208"/>
      <c r="M118633" s="209"/>
      <c r="N118633" s="209"/>
      <c r="O118633" s="209"/>
    </row>
    <row r="118634" spans="1:15" s="210" customFormat="1" x14ac:dyDescent="0.3">
      <c r="A118634" s="12"/>
      <c r="B118634" s="15"/>
      <c r="C118634" s="15"/>
      <c r="D118634" s="12"/>
      <c r="E118634" s="12"/>
      <c r="F118634" s="13"/>
      <c r="G118634" s="12"/>
      <c r="H118634" s="12"/>
      <c r="I118634" s="12"/>
      <c r="J118634" s="12"/>
      <c r="K118634" s="12"/>
      <c r="L118634" s="208"/>
      <c r="M118634" s="209"/>
      <c r="N118634" s="209"/>
      <c r="O118634" s="209"/>
    </row>
    <row r="118635" spans="1:15" s="210" customFormat="1" x14ac:dyDescent="0.3">
      <c r="A118635" s="12"/>
      <c r="B118635" s="15"/>
      <c r="C118635" s="15"/>
      <c r="D118635" s="12"/>
      <c r="E118635" s="12"/>
      <c r="F118635" s="13"/>
      <c r="G118635" s="12"/>
      <c r="H118635" s="12"/>
      <c r="I118635" s="12"/>
      <c r="J118635" s="12"/>
      <c r="K118635" s="12"/>
      <c r="L118635" s="208"/>
      <c r="M118635" s="209"/>
      <c r="N118635" s="209"/>
      <c r="O118635" s="209"/>
    </row>
    <row r="118636" spans="1:15" s="210" customFormat="1" x14ac:dyDescent="0.3">
      <c r="A118636" s="12"/>
      <c r="B118636" s="15"/>
      <c r="C118636" s="15"/>
      <c r="D118636" s="12"/>
      <c r="E118636" s="12"/>
      <c r="F118636" s="13"/>
      <c r="G118636" s="12"/>
      <c r="H118636" s="12"/>
      <c r="I118636" s="12"/>
      <c r="J118636" s="12"/>
      <c r="K118636" s="12"/>
      <c r="L118636" s="208"/>
      <c r="M118636" s="209"/>
      <c r="N118636" s="209"/>
      <c r="O118636" s="209"/>
    </row>
    <row r="118637" spans="1:15" s="210" customFormat="1" x14ac:dyDescent="0.3">
      <c r="A118637" s="12"/>
      <c r="B118637" s="15"/>
      <c r="C118637" s="15"/>
      <c r="D118637" s="12"/>
      <c r="E118637" s="12"/>
      <c r="F118637" s="13"/>
      <c r="G118637" s="12"/>
      <c r="H118637" s="12"/>
      <c r="I118637" s="12"/>
      <c r="J118637" s="12"/>
      <c r="K118637" s="12"/>
      <c r="L118637" s="208"/>
      <c r="M118637" s="209"/>
      <c r="N118637" s="209"/>
      <c r="O118637" s="209"/>
    </row>
    <row r="118638" spans="1:15" s="210" customFormat="1" x14ac:dyDescent="0.3">
      <c r="A118638" s="12"/>
      <c r="B118638" s="15"/>
      <c r="C118638" s="15"/>
      <c r="D118638" s="12"/>
      <c r="E118638" s="12"/>
      <c r="F118638" s="13"/>
      <c r="G118638" s="12"/>
      <c r="H118638" s="12"/>
      <c r="I118638" s="12"/>
      <c r="J118638" s="12"/>
      <c r="K118638" s="12"/>
      <c r="L118638" s="208"/>
      <c r="M118638" s="209"/>
      <c r="N118638" s="209"/>
      <c r="O118638" s="209"/>
    </row>
    <row r="118639" spans="1:15" s="210" customFormat="1" x14ac:dyDescent="0.3">
      <c r="A118639" s="12"/>
      <c r="B118639" s="15"/>
      <c r="C118639" s="15"/>
      <c r="D118639" s="12"/>
      <c r="E118639" s="12"/>
      <c r="F118639" s="13"/>
      <c r="G118639" s="12"/>
      <c r="H118639" s="12"/>
      <c r="I118639" s="12"/>
      <c r="J118639" s="12"/>
      <c r="K118639" s="12"/>
      <c r="L118639" s="208"/>
      <c r="M118639" s="209"/>
      <c r="N118639" s="209"/>
      <c r="O118639" s="209"/>
    </row>
    <row r="118640" spans="1:15" s="210" customFormat="1" x14ac:dyDescent="0.3">
      <c r="A118640" s="12"/>
      <c r="B118640" s="15"/>
      <c r="C118640" s="15"/>
      <c r="D118640" s="12"/>
      <c r="E118640" s="12"/>
      <c r="F118640" s="13"/>
      <c r="G118640" s="12"/>
      <c r="H118640" s="12"/>
      <c r="I118640" s="12"/>
      <c r="J118640" s="12"/>
      <c r="K118640" s="12"/>
      <c r="L118640" s="208"/>
      <c r="M118640" s="209"/>
      <c r="N118640" s="209"/>
      <c r="O118640" s="209"/>
    </row>
    <row r="118641" spans="1:15" s="210" customFormat="1" x14ac:dyDescent="0.3">
      <c r="A118641" s="12"/>
      <c r="B118641" s="15"/>
      <c r="C118641" s="15"/>
      <c r="D118641" s="12"/>
      <c r="E118641" s="12"/>
      <c r="F118641" s="13"/>
      <c r="G118641" s="12"/>
      <c r="H118641" s="12"/>
      <c r="I118641" s="12"/>
      <c r="J118641" s="12"/>
      <c r="K118641" s="12"/>
      <c r="L118641" s="208"/>
      <c r="M118641" s="209"/>
      <c r="N118641" s="209"/>
      <c r="O118641" s="209"/>
    </row>
    <row r="118642" spans="1:15" s="210" customFormat="1" x14ac:dyDescent="0.3">
      <c r="A118642" s="12"/>
      <c r="B118642" s="15"/>
      <c r="C118642" s="15"/>
      <c r="D118642" s="12"/>
      <c r="E118642" s="12"/>
      <c r="F118642" s="13"/>
      <c r="G118642" s="12"/>
      <c r="H118642" s="12"/>
      <c r="I118642" s="12"/>
      <c r="J118642" s="12"/>
      <c r="K118642" s="12"/>
      <c r="L118642" s="208"/>
      <c r="M118642" s="209"/>
      <c r="N118642" s="209"/>
      <c r="O118642" s="209"/>
    </row>
    <row r="118643" spans="1:15" s="210" customFormat="1" x14ac:dyDescent="0.3">
      <c r="A118643" s="12"/>
      <c r="B118643" s="15"/>
      <c r="C118643" s="15"/>
      <c r="D118643" s="12"/>
      <c r="E118643" s="12"/>
      <c r="F118643" s="13"/>
      <c r="G118643" s="12"/>
      <c r="H118643" s="12"/>
      <c r="I118643" s="12"/>
      <c r="J118643" s="12"/>
      <c r="K118643" s="12"/>
      <c r="L118643" s="208"/>
      <c r="M118643" s="209"/>
      <c r="N118643" s="209"/>
      <c r="O118643" s="209"/>
    </row>
    <row r="118644" spans="1:15" s="210" customFormat="1" x14ac:dyDescent="0.3">
      <c r="A118644" s="12"/>
      <c r="B118644" s="15"/>
      <c r="C118644" s="15"/>
      <c r="D118644" s="12"/>
      <c r="E118644" s="12"/>
      <c r="F118644" s="13"/>
      <c r="G118644" s="12"/>
      <c r="H118644" s="12"/>
      <c r="I118644" s="12"/>
      <c r="J118644" s="12"/>
      <c r="K118644" s="12"/>
      <c r="L118644" s="208"/>
      <c r="M118644" s="209"/>
      <c r="N118644" s="209"/>
      <c r="O118644" s="209"/>
    </row>
    <row r="118645" spans="1:15" s="210" customFormat="1" x14ac:dyDescent="0.3">
      <c r="A118645" s="12"/>
      <c r="B118645" s="15"/>
      <c r="C118645" s="15"/>
      <c r="D118645" s="12"/>
      <c r="E118645" s="12"/>
      <c r="F118645" s="13"/>
      <c r="G118645" s="12"/>
      <c r="H118645" s="12"/>
      <c r="I118645" s="12"/>
      <c r="J118645" s="12"/>
      <c r="K118645" s="12"/>
      <c r="L118645" s="208"/>
      <c r="M118645" s="209"/>
      <c r="N118645" s="209"/>
      <c r="O118645" s="209"/>
    </row>
    <row r="118646" spans="1:15" s="210" customFormat="1" x14ac:dyDescent="0.3">
      <c r="A118646" s="12"/>
      <c r="B118646" s="15"/>
      <c r="C118646" s="15"/>
      <c r="D118646" s="12"/>
      <c r="E118646" s="12"/>
      <c r="F118646" s="13"/>
      <c r="G118646" s="12"/>
      <c r="H118646" s="12"/>
      <c r="I118646" s="12"/>
      <c r="J118646" s="12"/>
      <c r="K118646" s="12"/>
      <c r="L118646" s="208"/>
      <c r="M118646" s="209"/>
      <c r="N118646" s="209"/>
      <c r="O118646" s="209"/>
    </row>
    <row r="118647" spans="1:15" s="210" customFormat="1" x14ac:dyDescent="0.3">
      <c r="A118647" s="12"/>
      <c r="B118647" s="15"/>
      <c r="C118647" s="15"/>
      <c r="D118647" s="12"/>
      <c r="E118647" s="12"/>
      <c r="F118647" s="13"/>
      <c r="G118647" s="12"/>
      <c r="H118647" s="12"/>
      <c r="I118647" s="12"/>
      <c r="J118647" s="12"/>
      <c r="K118647" s="12"/>
      <c r="L118647" s="208"/>
      <c r="M118647" s="209"/>
      <c r="N118647" s="209"/>
      <c r="O118647" s="209"/>
    </row>
    <row r="118648" spans="1:15" s="210" customFormat="1" x14ac:dyDescent="0.3">
      <c r="A118648" s="12"/>
      <c r="B118648" s="15"/>
      <c r="C118648" s="15"/>
      <c r="D118648" s="12"/>
      <c r="E118648" s="12"/>
      <c r="F118648" s="13"/>
      <c r="G118648" s="12"/>
      <c r="H118648" s="12"/>
      <c r="I118648" s="12"/>
      <c r="J118648" s="12"/>
      <c r="K118648" s="12"/>
      <c r="L118648" s="208"/>
      <c r="M118648" s="209"/>
      <c r="N118648" s="209"/>
      <c r="O118648" s="209"/>
    </row>
    <row r="118649" spans="1:15" s="210" customFormat="1" x14ac:dyDescent="0.3">
      <c r="A118649" s="12"/>
      <c r="B118649" s="15"/>
      <c r="C118649" s="15"/>
      <c r="D118649" s="12"/>
      <c r="E118649" s="12"/>
      <c r="F118649" s="13"/>
      <c r="G118649" s="12"/>
      <c r="H118649" s="12"/>
      <c r="I118649" s="12"/>
      <c r="J118649" s="12"/>
      <c r="K118649" s="12"/>
      <c r="L118649" s="208"/>
      <c r="M118649" s="209"/>
      <c r="N118649" s="209"/>
      <c r="O118649" s="209"/>
    </row>
    <row r="118650" spans="1:15" s="210" customFormat="1" x14ac:dyDescent="0.3">
      <c r="A118650" s="12"/>
      <c r="B118650" s="15"/>
      <c r="C118650" s="15"/>
      <c r="D118650" s="12"/>
      <c r="E118650" s="12"/>
      <c r="F118650" s="13"/>
      <c r="G118650" s="12"/>
      <c r="H118650" s="12"/>
      <c r="I118650" s="12"/>
      <c r="J118650" s="12"/>
      <c r="K118650" s="12"/>
      <c r="L118650" s="208"/>
      <c r="M118650" s="209"/>
      <c r="N118650" s="209"/>
      <c r="O118650" s="209"/>
    </row>
    <row r="118651" spans="1:15" s="210" customFormat="1" x14ac:dyDescent="0.3">
      <c r="A118651" s="12"/>
      <c r="B118651" s="15"/>
      <c r="C118651" s="15"/>
      <c r="D118651" s="12"/>
      <c r="E118651" s="12"/>
      <c r="F118651" s="13"/>
      <c r="G118651" s="12"/>
      <c r="H118651" s="12"/>
      <c r="I118651" s="12"/>
      <c r="J118651" s="12"/>
      <c r="K118651" s="12"/>
      <c r="L118651" s="208"/>
      <c r="M118651" s="209"/>
      <c r="N118651" s="209"/>
      <c r="O118651" s="209"/>
    </row>
    <row r="118652" spans="1:15" s="210" customFormat="1" x14ac:dyDescent="0.3">
      <c r="A118652" s="12"/>
      <c r="B118652" s="15"/>
      <c r="C118652" s="15"/>
      <c r="D118652" s="12"/>
      <c r="E118652" s="12"/>
      <c r="F118652" s="13"/>
      <c r="G118652" s="12"/>
      <c r="H118652" s="12"/>
      <c r="I118652" s="12"/>
      <c r="J118652" s="12"/>
      <c r="K118652" s="12"/>
      <c r="L118652" s="208"/>
      <c r="M118652" s="209"/>
      <c r="N118652" s="209"/>
      <c r="O118652" s="209"/>
    </row>
    <row r="118653" spans="1:15" s="210" customFormat="1" x14ac:dyDescent="0.3">
      <c r="A118653" s="12"/>
      <c r="B118653" s="15"/>
      <c r="C118653" s="15"/>
      <c r="D118653" s="12"/>
      <c r="E118653" s="12"/>
      <c r="F118653" s="13"/>
      <c r="G118653" s="12"/>
      <c r="H118653" s="12"/>
      <c r="I118653" s="12"/>
      <c r="J118653" s="12"/>
      <c r="K118653" s="12"/>
      <c r="L118653" s="208"/>
      <c r="M118653" s="209"/>
      <c r="N118653" s="209"/>
      <c r="O118653" s="209"/>
    </row>
    <row r="118654" spans="1:15" s="210" customFormat="1" x14ac:dyDescent="0.3">
      <c r="A118654" s="12"/>
      <c r="B118654" s="15"/>
      <c r="C118654" s="15"/>
      <c r="D118654" s="12"/>
      <c r="E118654" s="12"/>
      <c r="F118654" s="13"/>
      <c r="G118654" s="12"/>
      <c r="H118654" s="12"/>
      <c r="I118654" s="12"/>
      <c r="J118654" s="12"/>
      <c r="K118654" s="12"/>
      <c r="L118654" s="208"/>
      <c r="M118654" s="209"/>
      <c r="N118654" s="209"/>
      <c r="O118654" s="209"/>
    </row>
    <row r="118655" spans="1:15" s="210" customFormat="1" x14ac:dyDescent="0.3">
      <c r="A118655" s="12"/>
      <c r="B118655" s="15"/>
      <c r="C118655" s="15"/>
      <c r="D118655" s="12"/>
      <c r="E118655" s="12"/>
      <c r="F118655" s="13"/>
      <c r="G118655" s="12"/>
      <c r="H118655" s="12"/>
      <c r="I118655" s="12"/>
      <c r="J118655" s="12"/>
      <c r="K118655" s="12"/>
      <c r="L118655" s="208"/>
      <c r="M118655" s="209"/>
      <c r="N118655" s="209"/>
      <c r="O118655" s="209"/>
    </row>
    <row r="118656" spans="1:15" s="210" customFormat="1" x14ac:dyDescent="0.3">
      <c r="A118656" s="12"/>
      <c r="B118656" s="15"/>
      <c r="C118656" s="15"/>
      <c r="D118656" s="12"/>
      <c r="E118656" s="12"/>
      <c r="F118656" s="13"/>
      <c r="G118656" s="12"/>
      <c r="H118656" s="12"/>
      <c r="I118656" s="12"/>
      <c r="J118656" s="12"/>
      <c r="K118656" s="12"/>
      <c r="L118656" s="208"/>
      <c r="M118656" s="209"/>
      <c r="N118656" s="209"/>
      <c r="O118656" s="209"/>
    </row>
    <row r="118657" spans="1:15" s="210" customFormat="1" x14ac:dyDescent="0.3">
      <c r="A118657" s="12"/>
      <c r="B118657" s="15"/>
      <c r="C118657" s="15"/>
      <c r="D118657" s="12"/>
      <c r="E118657" s="12"/>
      <c r="F118657" s="13"/>
      <c r="G118657" s="12"/>
      <c r="H118657" s="12"/>
      <c r="I118657" s="12"/>
      <c r="J118657" s="12"/>
      <c r="K118657" s="12"/>
      <c r="L118657" s="208"/>
      <c r="M118657" s="209"/>
      <c r="N118657" s="209"/>
      <c r="O118657" s="209"/>
    </row>
    <row r="118658" spans="1:15" s="210" customFormat="1" x14ac:dyDescent="0.3">
      <c r="A118658" s="12"/>
      <c r="B118658" s="15"/>
      <c r="C118658" s="15"/>
      <c r="D118658" s="12"/>
      <c r="E118658" s="12"/>
      <c r="F118658" s="13"/>
      <c r="G118658" s="12"/>
      <c r="H118658" s="12"/>
      <c r="I118658" s="12"/>
      <c r="J118658" s="12"/>
      <c r="K118658" s="12"/>
      <c r="L118658" s="208"/>
      <c r="M118658" s="209"/>
      <c r="N118658" s="209"/>
      <c r="O118658" s="209"/>
    </row>
    <row r="118659" spans="1:15" s="210" customFormat="1" x14ac:dyDescent="0.3">
      <c r="A118659" s="12"/>
      <c r="B118659" s="15"/>
      <c r="C118659" s="15"/>
      <c r="D118659" s="12"/>
      <c r="E118659" s="12"/>
      <c r="F118659" s="13"/>
      <c r="G118659" s="12"/>
      <c r="H118659" s="12"/>
      <c r="I118659" s="12"/>
      <c r="J118659" s="12"/>
      <c r="K118659" s="12"/>
      <c r="L118659" s="208"/>
      <c r="M118659" s="209"/>
      <c r="N118659" s="209"/>
      <c r="O118659" s="209"/>
    </row>
    <row r="118660" spans="1:15" s="210" customFormat="1" x14ac:dyDescent="0.3">
      <c r="A118660" s="12"/>
      <c r="B118660" s="15"/>
      <c r="C118660" s="15"/>
      <c r="D118660" s="12"/>
      <c r="E118660" s="12"/>
      <c r="F118660" s="13"/>
      <c r="G118660" s="12"/>
      <c r="H118660" s="12"/>
      <c r="I118660" s="12"/>
      <c r="J118660" s="12"/>
      <c r="K118660" s="12"/>
      <c r="L118660" s="208"/>
      <c r="M118660" s="209"/>
      <c r="N118660" s="209"/>
      <c r="O118660" s="209"/>
    </row>
    <row r="118661" spans="1:15" s="210" customFormat="1" x14ac:dyDescent="0.3">
      <c r="A118661" s="12"/>
      <c r="B118661" s="15"/>
      <c r="C118661" s="15"/>
      <c r="D118661" s="12"/>
      <c r="E118661" s="12"/>
      <c r="F118661" s="13"/>
      <c r="G118661" s="12"/>
      <c r="H118661" s="12"/>
      <c r="I118661" s="12"/>
      <c r="J118661" s="12"/>
      <c r="K118661" s="12"/>
      <c r="L118661" s="208"/>
      <c r="M118661" s="209"/>
      <c r="N118661" s="209"/>
      <c r="O118661" s="209"/>
    </row>
    <row r="118662" spans="1:15" s="210" customFormat="1" x14ac:dyDescent="0.3">
      <c r="A118662" s="12"/>
      <c r="B118662" s="15"/>
      <c r="C118662" s="15"/>
      <c r="D118662" s="12"/>
      <c r="E118662" s="12"/>
      <c r="F118662" s="13"/>
      <c r="G118662" s="12"/>
      <c r="H118662" s="12"/>
      <c r="I118662" s="12"/>
      <c r="J118662" s="12"/>
      <c r="K118662" s="12"/>
      <c r="L118662" s="208"/>
      <c r="M118662" s="209"/>
      <c r="N118662" s="209"/>
      <c r="O118662" s="209"/>
    </row>
    <row r="118663" spans="1:15" s="210" customFormat="1" x14ac:dyDescent="0.3">
      <c r="A118663" s="12"/>
      <c r="B118663" s="15"/>
      <c r="C118663" s="15"/>
      <c r="D118663" s="12"/>
      <c r="E118663" s="12"/>
      <c r="F118663" s="13"/>
      <c r="G118663" s="12"/>
      <c r="H118663" s="12"/>
      <c r="I118663" s="12"/>
      <c r="J118663" s="12"/>
      <c r="K118663" s="12"/>
      <c r="L118663" s="208"/>
      <c r="M118663" s="209"/>
      <c r="N118663" s="209"/>
      <c r="O118663" s="209"/>
    </row>
    <row r="118664" spans="1:15" s="210" customFormat="1" x14ac:dyDescent="0.3">
      <c r="A118664" s="12"/>
      <c r="B118664" s="15"/>
      <c r="C118664" s="15"/>
      <c r="D118664" s="12"/>
      <c r="E118664" s="12"/>
      <c r="F118664" s="13"/>
      <c r="G118664" s="12"/>
      <c r="H118664" s="12"/>
      <c r="I118664" s="12"/>
      <c r="J118664" s="12"/>
      <c r="K118664" s="12"/>
      <c r="L118664" s="208"/>
      <c r="M118664" s="209"/>
      <c r="N118664" s="209"/>
      <c r="O118664" s="209"/>
    </row>
    <row r="118665" spans="1:15" s="210" customFormat="1" x14ac:dyDescent="0.3">
      <c r="A118665" s="12"/>
      <c r="B118665" s="15"/>
      <c r="C118665" s="15"/>
      <c r="D118665" s="12"/>
      <c r="E118665" s="12"/>
      <c r="F118665" s="13"/>
      <c r="G118665" s="12"/>
      <c r="H118665" s="12"/>
      <c r="I118665" s="12"/>
      <c r="J118665" s="12"/>
      <c r="K118665" s="12"/>
      <c r="L118665" s="208"/>
      <c r="M118665" s="209"/>
      <c r="N118665" s="209"/>
      <c r="O118665" s="209"/>
    </row>
    <row r="118666" spans="1:15" s="210" customFormat="1" x14ac:dyDescent="0.3">
      <c r="A118666" s="12"/>
      <c r="B118666" s="15"/>
      <c r="C118666" s="15"/>
      <c r="D118666" s="12"/>
      <c r="E118666" s="12"/>
      <c r="F118666" s="13"/>
      <c r="G118666" s="12"/>
      <c r="H118666" s="12"/>
      <c r="I118666" s="12"/>
      <c r="J118666" s="12"/>
      <c r="K118666" s="12"/>
      <c r="L118666" s="208"/>
      <c r="M118666" s="209"/>
      <c r="N118666" s="209"/>
      <c r="O118666" s="209"/>
    </row>
    <row r="118667" spans="1:15" s="210" customFormat="1" x14ac:dyDescent="0.3">
      <c r="A118667" s="12"/>
      <c r="B118667" s="15"/>
      <c r="C118667" s="15"/>
      <c r="D118667" s="12"/>
      <c r="E118667" s="12"/>
      <c r="F118667" s="13"/>
      <c r="G118667" s="12"/>
      <c r="H118667" s="12"/>
      <c r="I118667" s="12"/>
      <c r="J118667" s="12"/>
      <c r="K118667" s="12"/>
      <c r="L118667" s="208"/>
      <c r="M118667" s="209"/>
      <c r="N118667" s="209"/>
      <c r="O118667" s="209"/>
    </row>
    <row r="118668" spans="1:15" s="210" customFormat="1" x14ac:dyDescent="0.3">
      <c r="A118668" s="12"/>
      <c r="B118668" s="15"/>
      <c r="C118668" s="15"/>
      <c r="D118668" s="12"/>
      <c r="E118668" s="12"/>
      <c r="F118668" s="13"/>
      <c r="G118668" s="12"/>
      <c r="H118668" s="12"/>
      <c r="I118668" s="12"/>
      <c r="J118668" s="12"/>
      <c r="K118668" s="12"/>
      <c r="L118668" s="208"/>
      <c r="M118668" s="209"/>
      <c r="N118668" s="209"/>
      <c r="O118668" s="209"/>
    </row>
    <row r="118669" spans="1:15" s="210" customFormat="1" x14ac:dyDescent="0.3">
      <c r="A118669" s="12"/>
      <c r="B118669" s="15"/>
      <c r="C118669" s="15"/>
      <c r="D118669" s="12"/>
      <c r="E118669" s="12"/>
      <c r="F118669" s="13"/>
      <c r="G118669" s="12"/>
      <c r="H118669" s="12"/>
      <c r="I118669" s="12"/>
      <c r="J118669" s="12"/>
      <c r="K118669" s="12"/>
      <c r="L118669" s="208"/>
      <c r="M118669" s="209"/>
      <c r="N118669" s="209"/>
      <c r="O118669" s="209"/>
    </row>
    <row r="118670" spans="1:15" s="210" customFormat="1" x14ac:dyDescent="0.3">
      <c r="A118670" s="12"/>
      <c r="B118670" s="15"/>
      <c r="C118670" s="15"/>
      <c r="D118670" s="12"/>
      <c r="E118670" s="12"/>
      <c r="F118670" s="13"/>
      <c r="G118670" s="12"/>
      <c r="H118670" s="12"/>
      <c r="I118670" s="12"/>
      <c r="J118670" s="12"/>
      <c r="K118670" s="12"/>
      <c r="L118670" s="208"/>
      <c r="M118670" s="209"/>
      <c r="N118670" s="209"/>
      <c r="O118670" s="209"/>
    </row>
    <row r="118671" spans="1:15" s="210" customFormat="1" x14ac:dyDescent="0.3">
      <c r="A118671" s="12"/>
      <c r="B118671" s="15"/>
      <c r="C118671" s="15"/>
      <c r="D118671" s="12"/>
      <c r="E118671" s="12"/>
      <c r="F118671" s="13"/>
      <c r="G118671" s="12"/>
      <c r="H118671" s="12"/>
      <c r="I118671" s="12"/>
      <c r="J118671" s="12"/>
      <c r="K118671" s="12"/>
      <c r="L118671" s="208"/>
      <c r="M118671" s="209"/>
      <c r="N118671" s="209"/>
      <c r="O118671" s="209"/>
    </row>
    <row r="118672" spans="1:15" s="210" customFormat="1" x14ac:dyDescent="0.3">
      <c r="A118672" s="12"/>
      <c r="B118672" s="15"/>
      <c r="C118672" s="15"/>
      <c r="D118672" s="12"/>
      <c r="E118672" s="12"/>
      <c r="F118672" s="13"/>
      <c r="G118672" s="12"/>
      <c r="H118672" s="12"/>
      <c r="I118672" s="12"/>
      <c r="J118672" s="12"/>
      <c r="K118672" s="12"/>
      <c r="L118672" s="208"/>
      <c r="M118672" s="209"/>
      <c r="N118672" s="209"/>
      <c r="O118672" s="209"/>
    </row>
    <row r="118673" spans="1:15" s="210" customFormat="1" x14ac:dyDescent="0.3">
      <c r="A118673" s="12"/>
      <c r="B118673" s="15"/>
      <c r="C118673" s="15"/>
      <c r="D118673" s="12"/>
      <c r="E118673" s="12"/>
      <c r="F118673" s="13"/>
      <c r="G118673" s="12"/>
      <c r="H118673" s="12"/>
      <c r="I118673" s="12"/>
      <c r="J118673" s="12"/>
      <c r="K118673" s="12"/>
      <c r="L118673" s="208"/>
      <c r="M118673" s="209"/>
      <c r="N118673" s="209"/>
      <c r="O118673" s="209"/>
    </row>
    <row r="118674" spans="1:15" s="210" customFormat="1" x14ac:dyDescent="0.3">
      <c r="A118674" s="12"/>
      <c r="B118674" s="15"/>
      <c r="C118674" s="15"/>
      <c r="D118674" s="12"/>
      <c r="E118674" s="12"/>
      <c r="F118674" s="13"/>
      <c r="G118674" s="12"/>
      <c r="H118674" s="12"/>
      <c r="I118674" s="12"/>
      <c r="J118674" s="12"/>
      <c r="K118674" s="12"/>
      <c r="L118674" s="208"/>
      <c r="M118674" s="209"/>
      <c r="N118674" s="209"/>
      <c r="O118674" s="209"/>
    </row>
    <row r="118675" spans="1:15" s="210" customFormat="1" x14ac:dyDescent="0.3">
      <c r="A118675" s="12"/>
      <c r="B118675" s="15"/>
      <c r="C118675" s="15"/>
      <c r="D118675" s="12"/>
      <c r="E118675" s="12"/>
      <c r="F118675" s="13"/>
      <c r="G118675" s="12"/>
      <c r="H118675" s="12"/>
      <c r="I118675" s="12"/>
      <c r="J118675" s="12"/>
      <c r="K118675" s="12"/>
      <c r="L118675" s="208"/>
      <c r="M118675" s="209"/>
      <c r="N118675" s="209"/>
      <c r="O118675" s="209"/>
    </row>
    <row r="118676" spans="1:15" s="210" customFormat="1" x14ac:dyDescent="0.3">
      <c r="A118676" s="12"/>
      <c r="B118676" s="15"/>
      <c r="C118676" s="15"/>
      <c r="D118676" s="12"/>
      <c r="E118676" s="12"/>
      <c r="F118676" s="13"/>
      <c r="G118676" s="12"/>
      <c r="H118676" s="12"/>
      <c r="I118676" s="12"/>
      <c r="J118676" s="12"/>
      <c r="K118676" s="12"/>
      <c r="L118676" s="208"/>
      <c r="M118676" s="209"/>
      <c r="N118676" s="209"/>
      <c r="O118676" s="209"/>
    </row>
    <row r="118677" spans="1:15" s="210" customFormat="1" x14ac:dyDescent="0.3">
      <c r="A118677" s="12"/>
      <c r="B118677" s="15"/>
      <c r="C118677" s="15"/>
      <c r="D118677" s="12"/>
      <c r="E118677" s="12"/>
      <c r="F118677" s="13"/>
      <c r="G118677" s="12"/>
      <c r="H118677" s="12"/>
      <c r="I118677" s="12"/>
      <c r="J118677" s="12"/>
      <c r="K118677" s="12"/>
      <c r="L118677" s="208"/>
      <c r="M118677" s="209"/>
      <c r="N118677" s="209"/>
      <c r="O118677" s="209"/>
    </row>
    <row r="118678" spans="1:15" s="210" customFormat="1" x14ac:dyDescent="0.3">
      <c r="A118678" s="12"/>
      <c r="B118678" s="15"/>
      <c r="C118678" s="15"/>
      <c r="D118678" s="12"/>
      <c r="E118678" s="12"/>
      <c r="F118678" s="13"/>
      <c r="G118678" s="12"/>
      <c r="H118678" s="12"/>
      <c r="I118678" s="12"/>
      <c r="J118678" s="12"/>
      <c r="K118678" s="12"/>
      <c r="L118678" s="208"/>
      <c r="M118678" s="209"/>
      <c r="N118678" s="209"/>
      <c r="O118678" s="209"/>
    </row>
    <row r="118679" spans="1:15" s="210" customFormat="1" x14ac:dyDescent="0.3">
      <c r="A118679" s="12"/>
      <c r="B118679" s="15"/>
      <c r="C118679" s="15"/>
      <c r="D118679" s="12"/>
      <c r="E118679" s="12"/>
      <c r="F118679" s="13"/>
      <c r="G118679" s="12"/>
      <c r="H118679" s="12"/>
      <c r="I118679" s="12"/>
      <c r="J118679" s="12"/>
      <c r="K118679" s="12"/>
      <c r="L118679" s="208"/>
      <c r="M118679" s="209"/>
      <c r="N118679" s="209"/>
      <c r="O118679" s="209"/>
    </row>
    <row r="118680" spans="1:15" s="210" customFormat="1" x14ac:dyDescent="0.3">
      <c r="A118680" s="12"/>
      <c r="B118680" s="15"/>
      <c r="C118680" s="15"/>
      <c r="D118680" s="12"/>
      <c r="E118680" s="12"/>
      <c r="F118680" s="13"/>
      <c r="G118680" s="12"/>
      <c r="H118680" s="12"/>
      <c r="I118680" s="12"/>
      <c r="J118680" s="12"/>
      <c r="K118680" s="12"/>
      <c r="L118680" s="208"/>
      <c r="M118680" s="209"/>
      <c r="N118680" s="209"/>
      <c r="O118680" s="209"/>
    </row>
    <row r="118681" spans="1:15" s="210" customFormat="1" x14ac:dyDescent="0.3">
      <c r="A118681" s="12"/>
      <c r="B118681" s="15"/>
      <c r="C118681" s="15"/>
      <c r="D118681" s="12"/>
      <c r="E118681" s="12"/>
      <c r="F118681" s="13"/>
      <c r="G118681" s="12"/>
      <c r="H118681" s="12"/>
      <c r="I118681" s="12"/>
      <c r="J118681" s="12"/>
      <c r="K118681" s="12"/>
      <c r="L118681" s="208"/>
      <c r="M118681" s="209"/>
      <c r="N118681" s="209"/>
      <c r="O118681" s="209"/>
    </row>
    <row r="118682" spans="1:15" s="210" customFormat="1" x14ac:dyDescent="0.3">
      <c r="A118682" s="12"/>
      <c r="B118682" s="15"/>
      <c r="C118682" s="15"/>
      <c r="D118682" s="12"/>
      <c r="E118682" s="12"/>
      <c r="F118682" s="13"/>
      <c r="G118682" s="12"/>
      <c r="H118682" s="12"/>
      <c r="I118682" s="12"/>
      <c r="J118682" s="12"/>
      <c r="K118682" s="12"/>
      <c r="L118682" s="208"/>
      <c r="M118682" s="209"/>
      <c r="N118682" s="209"/>
      <c r="O118682" s="209"/>
    </row>
    <row r="118683" spans="1:15" s="210" customFormat="1" x14ac:dyDescent="0.3">
      <c r="A118683" s="12"/>
      <c r="B118683" s="15"/>
      <c r="C118683" s="15"/>
      <c r="D118683" s="12"/>
      <c r="E118683" s="12"/>
      <c r="F118683" s="13"/>
      <c r="G118683" s="12"/>
      <c r="H118683" s="12"/>
      <c r="I118683" s="12"/>
      <c r="J118683" s="12"/>
      <c r="K118683" s="12"/>
      <c r="L118683" s="208"/>
      <c r="M118683" s="209"/>
      <c r="N118683" s="209"/>
      <c r="O118683" s="209"/>
    </row>
    <row r="118684" spans="1:15" s="210" customFormat="1" x14ac:dyDescent="0.3">
      <c r="A118684" s="12"/>
      <c r="B118684" s="15"/>
      <c r="C118684" s="15"/>
      <c r="D118684" s="12"/>
      <c r="E118684" s="12"/>
      <c r="F118684" s="13"/>
      <c r="G118684" s="12"/>
      <c r="H118684" s="12"/>
      <c r="I118684" s="12"/>
      <c r="J118684" s="12"/>
      <c r="K118684" s="12"/>
      <c r="L118684" s="208"/>
      <c r="M118684" s="209"/>
      <c r="N118684" s="209"/>
      <c r="O118684" s="209"/>
    </row>
    <row r="118685" spans="1:15" s="210" customFormat="1" x14ac:dyDescent="0.3">
      <c r="A118685" s="12"/>
      <c r="B118685" s="15"/>
      <c r="C118685" s="15"/>
      <c r="D118685" s="12"/>
      <c r="E118685" s="12"/>
      <c r="F118685" s="13"/>
      <c r="G118685" s="12"/>
      <c r="H118685" s="12"/>
      <c r="I118685" s="12"/>
      <c r="J118685" s="12"/>
      <c r="K118685" s="12"/>
      <c r="L118685" s="208"/>
      <c r="M118685" s="209"/>
      <c r="N118685" s="209"/>
      <c r="O118685" s="209"/>
    </row>
    <row r="118686" spans="1:15" s="210" customFormat="1" x14ac:dyDescent="0.3">
      <c r="A118686" s="12"/>
      <c r="B118686" s="15"/>
      <c r="C118686" s="15"/>
      <c r="D118686" s="12"/>
      <c r="E118686" s="12"/>
      <c r="F118686" s="13"/>
      <c r="G118686" s="12"/>
      <c r="H118686" s="12"/>
      <c r="I118686" s="12"/>
      <c r="J118686" s="12"/>
      <c r="K118686" s="12"/>
      <c r="L118686" s="208"/>
      <c r="M118686" s="209"/>
      <c r="N118686" s="209"/>
      <c r="O118686" s="209"/>
    </row>
    <row r="118687" spans="1:15" s="210" customFormat="1" x14ac:dyDescent="0.3">
      <c r="A118687" s="12"/>
      <c r="B118687" s="15"/>
      <c r="C118687" s="15"/>
      <c r="D118687" s="12"/>
      <c r="E118687" s="12"/>
      <c r="F118687" s="13"/>
      <c r="G118687" s="12"/>
      <c r="H118687" s="12"/>
      <c r="I118687" s="12"/>
      <c r="J118687" s="12"/>
      <c r="K118687" s="12"/>
      <c r="L118687" s="208"/>
      <c r="M118687" s="209"/>
      <c r="N118687" s="209"/>
      <c r="O118687" s="209"/>
    </row>
    <row r="118688" spans="1:15" s="210" customFormat="1" x14ac:dyDescent="0.3">
      <c r="A118688" s="12"/>
      <c r="B118688" s="15"/>
      <c r="C118688" s="15"/>
      <c r="D118688" s="12"/>
      <c r="E118688" s="12"/>
      <c r="F118688" s="13"/>
      <c r="G118688" s="12"/>
      <c r="H118688" s="12"/>
      <c r="I118688" s="12"/>
      <c r="J118688" s="12"/>
      <c r="K118688" s="12"/>
      <c r="L118688" s="208"/>
      <c r="M118688" s="209"/>
      <c r="N118688" s="209"/>
      <c r="O118688" s="209"/>
    </row>
    <row r="118689" spans="1:15" s="210" customFormat="1" x14ac:dyDescent="0.3">
      <c r="A118689" s="12"/>
      <c r="B118689" s="15"/>
      <c r="C118689" s="15"/>
      <c r="D118689" s="12"/>
      <c r="E118689" s="12"/>
      <c r="F118689" s="13"/>
      <c r="G118689" s="12"/>
      <c r="H118689" s="12"/>
      <c r="I118689" s="12"/>
      <c r="J118689" s="12"/>
      <c r="K118689" s="12"/>
      <c r="L118689" s="208"/>
      <c r="M118689" s="209"/>
      <c r="N118689" s="209"/>
      <c r="O118689" s="209"/>
    </row>
    <row r="118690" spans="1:15" s="210" customFormat="1" x14ac:dyDescent="0.3">
      <c r="A118690" s="12"/>
      <c r="B118690" s="15"/>
      <c r="C118690" s="15"/>
      <c r="D118690" s="12"/>
      <c r="E118690" s="12"/>
      <c r="F118690" s="13"/>
      <c r="G118690" s="12"/>
      <c r="H118690" s="12"/>
      <c r="I118690" s="12"/>
      <c r="J118690" s="12"/>
      <c r="K118690" s="12"/>
      <c r="L118690" s="208"/>
      <c r="M118690" s="209"/>
      <c r="N118690" s="209"/>
      <c r="O118690" s="209"/>
    </row>
    <row r="118691" spans="1:15" s="210" customFormat="1" x14ac:dyDescent="0.3">
      <c r="A118691" s="12"/>
      <c r="B118691" s="15"/>
      <c r="C118691" s="15"/>
      <c r="D118691" s="12"/>
      <c r="E118691" s="12"/>
      <c r="F118691" s="13"/>
      <c r="G118691" s="12"/>
      <c r="H118691" s="12"/>
      <c r="I118691" s="12"/>
      <c r="J118691" s="12"/>
      <c r="K118691" s="12"/>
      <c r="L118691" s="208"/>
      <c r="M118691" s="209"/>
      <c r="N118691" s="209"/>
      <c r="O118691" s="209"/>
    </row>
    <row r="118692" spans="1:15" s="210" customFormat="1" x14ac:dyDescent="0.3">
      <c r="A118692" s="12"/>
      <c r="B118692" s="15"/>
      <c r="C118692" s="15"/>
      <c r="D118692" s="12"/>
      <c r="E118692" s="12"/>
      <c r="F118692" s="13"/>
      <c r="G118692" s="12"/>
      <c r="H118692" s="12"/>
      <c r="I118692" s="12"/>
      <c r="J118692" s="12"/>
      <c r="K118692" s="12"/>
      <c r="L118692" s="208"/>
      <c r="M118692" s="209"/>
      <c r="N118692" s="209"/>
      <c r="O118692" s="209"/>
    </row>
    <row r="118693" spans="1:15" s="210" customFormat="1" x14ac:dyDescent="0.3">
      <c r="A118693" s="12"/>
      <c r="B118693" s="15"/>
      <c r="C118693" s="15"/>
      <c r="D118693" s="12"/>
      <c r="E118693" s="12"/>
      <c r="F118693" s="13"/>
      <c r="G118693" s="12"/>
      <c r="H118693" s="12"/>
      <c r="I118693" s="12"/>
      <c r="J118693" s="12"/>
      <c r="K118693" s="12"/>
      <c r="L118693" s="208"/>
      <c r="M118693" s="209"/>
      <c r="N118693" s="209"/>
      <c r="O118693" s="209"/>
    </row>
    <row r="118694" spans="1:15" s="210" customFormat="1" x14ac:dyDescent="0.3">
      <c r="A118694" s="12"/>
      <c r="B118694" s="15"/>
      <c r="C118694" s="15"/>
      <c r="D118694" s="12"/>
      <c r="E118694" s="12"/>
      <c r="F118694" s="13"/>
      <c r="G118694" s="12"/>
      <c r="H118694" s="12"/>
      <c r="I118694" s="12"/>
      <c r="J118694" s="12"/>
      <c r="K118694" s="12"/>
      <c r="L118694" s="208"/>
      <c r="M118694" s="209"/>
      <c r="N118694" s="209"/>
      <c r="O118694" s="209"/>
    </row>
    <row r="118695" spans="1:15" s="210" customFormat="1" x14ac:dyDescent="0.3">
      <c r="A118695" s="12"/>
      <c r="B118695" s="15"/>
      <c r="C118695" s="15"/>
      <c r="D118695" s="12"/>
      <c r="E118695" s="12"/>
      <c r="F118695" s="13"/>
      <c r="G118695" s="12"/>
      <c r="H118695" s="12"/>
      <c r="I118695" s="12"/>
      <c r="J118695" s="12"/>
      <c r="K118695" s="12"/>
      <c r="L118695" s="208"/>
      <c r="M118695" s="209"/>
      <c r="N118695" s="209"/>
      <c r="O118695" s="209"/>
    </row>
    <row r="118696" spans="1:15" s="210" customFormat="1" x14ac:dyDescent="0.3">
      <c r="A118696" s="12"/>
      <c r="B118696" s="15"/>
      <c r="C118696" s="15"/>
      <c r="D118696" s="12"/>
      <c r="E118696" s="12"/>
      <c r="F118696" s="13"/>
      <c r="G118696" s="12"/>
      <c r="H118696" s="12"/>
      <c r="I118696" s="12"/>
      <c r="J118696" s="12"/>
      <c r="K118696" s="12"/>
      <c r="L118696" s="208"/>
      <c r="M118696" s="209"/>
      <c r="N118696" s="209"/>
      <c r="O118696" s="209"/>
    </row>
    <row r="118697" spans="1:15" s="210" customFormat="1" x14ac:dyDescent="0.3">
      <c r="A118697" s="12"/>
      <c r="B118697" s="15"/>
      <c r="C118697" s="15"/>
      <c r="D118697" s="12"/>
      <c r="E118697" s="12"/>
      <c r="F118697" s="13"/>
      <c r="G118697" s="12"/>
      <c r="H118697" s="12"/>
      <c r="I118697" s="12"/>
      <c r="J118697" s="12"/>
      <c r="K118697" s="12"/>
      <c r="L118697" s="208"/>
      <c r="M118697" s="209"/>
      <c r="N118697" s="209"/>
      <c r="O118697" s="209"/>
    </row>
    <row r="118698" spans="1:15" s="210" customFormat="1" x14ac:dyDescent="0.3">
      <c r="A118698" s="12"/>
      <c r="B118698" s="15"/>
      <c r="C118698" s="15"/>
      <c r="D118698" s="12"/>
      <c r="E118698" s="12"/>
      <c r="F118698" s="13"/>
      <c r="G118698" s="12"/>
      <c r="H118698" s="12"/>
      <c r="I118698" s="12"/>
      <c r="J118698" s="12"/>
      <c r="K118698" s="12"/>
      <c r="L118698" s="208"/>
      <c r="M118698" s="209"/>
      <c r="N118698" s="209"/>
      <c r="O118698" s="209"/>
    </row>
    <row r="118699" spans="1:15" s="210" customFormat="1" x14ac:dyDescent="0.3">
      <c r="A118699" s="12"/>
      <c r="B118699" s="15"/>
      <c r="C118699" s="15"/>
      <c r="D118699" s="12"/>
      <c r="E118699" s="12"/>
      <c r="F118699" s="13"/>
      <c r="G118699" s="12"/>
      <c r="H118699" s="12"/>
      <c r="I118699" s="12"/>
      <c r="J118699" s="12"/>
      <c r="K118699" s="12"/>
      <c r="L118699" s="208"/>
      <c r="M118699" s="209"/>
      <c r="N118699" s="209"/>
      <c r="O118699" s="209"/>
    </row>
    <row r="118700" spans="1:15" s="210" customFormat="1" x14ac:dyDescent="0.3">
      <c r="A118700" s="12"/>
      <c r="B118700" s="15"/>
      <c r="C118700" s="15"/>
      <c r="D118700" s="12"/>
      <c r="E118700" s="12"/>
      <c r="F118700" s="13"/>
      <c r="G118700" s="12"/>
      <c r="H118700" s="12"/>
      <c r="I118700" s="12"/>
      <c r="J118700" s="12"/>
      <c r="K118700" s="12"/>
      <c r="L118700" s="208"/>
      <c r="M118700" s="209"/>
      <c r="N118700" s="209"/>
      <c r="O118700" s="209"/>
    </row>
    <row r="118701" spans="1:15" s="210" customFormat="1" x14ac:dyDescent="0.3">
      <c r="A118701" s="12"/>
      <c r="B118701" s="15"/>
      <c r="C118701" s="15"/>
      <c r="D118701" s="12"/>
      <c r="E118701" s="12"/>
      <c r="F118701" s="13"/>
      <c r="G118701" s="12"/>
      <c r="H118701" s="12"/>
      <c r="I118701" s="12"/>
      <c r="J118701" s="12"/>
      <c r="K118701" s="12"/>
      <c r="L118701" s="208"/>
      <c r="M118701" s="209"/>
      <c r="N118701" s="209"/>
      <c r="O118701" s="209"/>
    </row>
    <row r="118702" spans="1:15" s="210" customFormat="1" x14ac:dyDescent="0.3">
      <c r="A118702" s="12"/>
      <c r="B118702" s="15"/>
      <c r="C118702" s="15"/>
      <c r="D118702" s="12"/>
      <c r="E118702" s="12"/>
      <c r="F118702" s="13"/>
      <c r="G118702" s="12"/>
      <c r="H118702" s="12"/>
      <c r="I118702" s="12"/>
      <c r="J118702" s="12"/>
      <c r="K118702" s="12"/>
      <c r="L118702" s="208"/>
      <c r="M118702" s="209"/>
      <c r="N118702" s="209"/>
      <c r="O118702" s="209"/>
    </row>
    <row r="118703" spans="1:15" s="210" customFormat="1" x14ac:dyDescent="0.3">
      <c r="A118703" s="12"/>
      <c r="B118703" s="15"/>
      <c r="C118703" s="15"/>
      <c r="D118703" s="12"/>
      <c r="E118703" s="12"/>
      <c r="F118703" s="13"/>
      <c r="G118703" s="12"/>
      <c r="H118703" s="12"/>
      <c r="I118703" s="12"/>
      <c r="J118703" s="12"/>
      <c r="K118703" s="12"/>
      <c r="L118703" s="208"/>
      <c r="M118703" s="209"/>
      <c r="N118703" s="209"/>
      <c r="O118703" s="209"/>
    </row>
    <row r="118704" spans="1:15" s="210" customFormat="1" x14ac:dyDescent="0.3">
      <c r="A118704" s="12"/>
      <c r="B118704" s="15"/>
      <c r="C118704" s="15"/>
      <c r="D118704" s="12"/>
      <c r="E118704" s="12"/>
      <c r="F118704" s="13"/>
      <c r="G118704" s="12"/>
      <c r="H118704" s="12"/>
      <c r="I118704" s="12"/>
      <c r="J118704" s="12"/>
      <c r="K118704" s="12"/>
      <c r="L118704" s="208"/>
      <c r="M118704" s="209"/>
      <c r="N118704" s="209"/>
      <c r="O118704" s="209"/>
    </row>
    <row r="118705" spans="1:15" s="210" customFormat="1" x14ac:dyDescent="0.3">
      <c r="A118705" s="12"/>
      <c r="B118705" s="15"/>
      <c r="C118705" s="15"/>
      <c r="D118705" s="12"/>
      <c r="E118705" s="12"/>
      <c r="F118705" s="13"/>
      <c r="G118705" s="12"/>
      <c r="H118705" s="12"/>
      <c r="I118705" s="12"/>
      <c r="J118705" s="12"/>
      <c r="K118705" s="12"/>
      <c r="L118705" s="208"/>
      <c r="M118705" s="209"/>
      <c r="N118705" s="209"/>
      <c r="O118705" s="209"/>
    </row>
    <row r="118706" spans="1:15" s="210" customFormat="1" x14ac:dyDescent="0.3">
      <c r="A118706" s="12"/>
      <c r="B118706" s="15"/>
      <c r="C118706" s="15"/>
      <c r="D118706" s="12"/>
      <c r="E118706" s="12"/>
      <c r="F118706" s="13"/>
      <c r="G118706" s="12"/>
      <c r="H118706" s="12"/>
      <c r="I118706" s="12"/>
      <c r="J118706" s="12"/>
      <c r="K118706" s="12"/>
      <c r="L118706" s="208"/>
      <c r="M118706" s="209"/>
      <c r="N118706" s="209"/>
      <c r="O118706" s="209"/>
    </row>
    <row r="118707" spans="1:15" s="210" customFormat="1" x14ac:dyDescent="0.3">
      <c r="A118707" s="12"/>
      <c r="B118707" s="15"/>
      <c r="C118707" s="15"/>
      <c r="D118707" s="12"/>
      <c r="E118707" s="12"/>
      <c r="F118707" s="13"/>
      <c r="G118707" s="12"/>
      <c r="H118707" s="12"/>
      <c r="I118707" s="12"/>
      <c r="J118707" s="12"/>
      <c r="K118707" s="12"/>
      <c r="L118707" s="208"/>
      <c r="M118707" s="209"/>
      <c r="N118707" s="209"/>
      <c r="O118707" s="209"/>
    </row>
    <row r="118708" spans="1:15" s="210" customFormat="1" x14ac:dyDescent="0.3">
      <c r="A118708" s="12"/>
      <c r="B118708" s="15"/>
      <c r="C118708" s="15"/>
      <c r="D118708" s="12"/>
      <c r="E118708" s="12"/>
      <c r="F118708" s="13"/>
      <c r="G118708" s="12"/>
      <c r="H118708" s="12"/>
      <c r="I118708" s="12"/>
      <c r="J118708" s="12"/>
      <c r="K118708" s="12"/>
      <c r="L118708" s="208"/>
      <c r="M118708" s="209"/>
      <c r="N118708" s="209"/>
      <c r="O118708" s="209"/>
    </row>
    <row r="118709" spans="1:15" s="210" customFormat="1" x14ac:dyDescent="0.3">
      <c r="A118709" s="12"/>
      <c r="B118709" s="15"/>
      <c r="C118709" s="15"/>
      <c r="D118709" s="12"/>
      <c r="E118709" s="12"/>
      <c r="F118709" s="13"/>
      <c r="G118709" s="12"/>
      <c r="H118709" s="12"/>
      <c r="I118709" s="12"/>
      <c r="J118709" s="12"/>
      <c r="K118709" s="12"/>
      <c r="L118709" s="208"/>
      <c r="M118709" s="209"/>
      <c r="N118709" s="209"/>
      <c r="O118709" s="209"/>
    </row>
    <row r="118710" spans="1:15" s="210" customFormat="1" x14ac:dyDescent="0.3">
      <c r="A118710" s="12"/>
      <c r="B118710" s="15"/>
      <c r="C118710" s="15"/>
      <c r="D118710" s="12"/>
      <c r="E118710" s="12"/>
      <c r="F118710" s="13"/>
      <c r="G118710" s="12"/>
      <c r="H118710" s="12"/>
      <c r="I118710" s="12"/>
      <c r="J118710" s="12"/>
      <c r="K118710" s="12"/>
      <c r="L118710" s="208"/>
      <c r="M118710" s="209"/>
      <c r="N118710" s="209"/>
      <c r="O118710" s="209"/>
    </row>
    <row r="118711" spans="1:15" s="210" customFormat="1" x14ac:dyDescent="0.3">
      <c r="A118711" s="12"/>
      <c r="B118711" s="15"/>
      <c r="C118711" s="15"/>
      <c r="D118711" s="12"/>
      <c r="E118711" s="12"/>
      <c r="F118711" s="13"/>
      <c r="G118711" s="12"/>
      <c r="H118711" s="12"/>
      <c r="I118711" s="12"/>
      <c r="J118711" s="12"/>
      <c r="K118711" s="12"/>
      <c r="L118711" s="208"/>
      <c r="M118711" s="209"/>
      <c r="N118711" s="209"/>
      <c r="O118711" s="209"/>
    </row>
    <row r="118712" spans="1:15" s="210" customFormat="1" x14ac:dyDescent="0.3">
      <c r="A118712" s="12"/>
      <c r="B118712" s="15"/>
      <c r="C118712" s="15"/>
      <c r="D118712" s="12"/>
      <c r="E118712" s="12"/>
      <c r="F118712" s="13"/>
      <c r="G118712" s="12"/>
      <c r="H118712" s="12"/>
      <c r="I118712" s="12"/>
      <c r="J118712" s="12"/>
      <c r="K118712" s="12"/>
      <c r="L118712" s="208"/>
      <c r="M118712" s="209"/>
      <c r="N118712" s="209"/>
      <c r="O118712" s="209"/>
    </row>
    <row r="118713" spans="1:15" s="210" customFormat="1" x14ac:dyDescent="0.3">
      <c r="A118713" s="12"/>
      <c r="B118713" s="15"/>
      <c r="C118713" s="15"/>
      <c r="D118713" s="12"/>
      <c r="E118713" s="12"/>
      <c r="F118713" s="13"/>
      <c r="G118713" s="12"/>
      <c r="H118713" s="12"/>
      <c r="I118713" s="12"/>
      <c r="J118713" s="12"/>
      <c r="K118713" s="12"/>
      <c r="L118713" s="208"/>
      <c r="M118713" s="209"/>
      <c r="N118713" s="209"/>
      <c r="O118713" s="209"/>
    </row>
    <row r="118714" spans="1:15" s="210" customFormat="1" x14ac:dyDescent="0.3">
      <c r="A118714" s="12"/>
      <c r="B118714" s="15"/>
      <c r="C118714" s="15"/>
      <c r="D118714" s="12"/>
      <c r="E118714" s="12"/>
      <c r="F118714" s="13"/>
      <c r="G118714" s="12"/>
      <c r="H118714" s="12"/>
      <c r="I118714" s="12"/>
      <c r="J118714" s="12"/>
      <c r="K118714" s="12"/>
      <c r="L118714" s="208"/>
      <c r="M118714" s="209"/>
      <c r="N118714" s="209"/>
      <c r="O118714" s="209"/>
    </row>
    <row r="118715" spans="1:15" s="210" customFormat="1" x14ac:dyDescent="0.3">
      <c r="A118715" s="12"/>
      <c r="B118715" s="15"/>
      <c r="C118715" s="15"/>
      <c r="D118715" s="12"/>
      <c r="E118715" s="12"/>
      <c r="F118715" s="13"/>
      <c r="G118715" s="12"/>
      <c r="H118715" s="12"/>
      <c r="I118715" s="12"/>
      <c r="J118715" s="12"/>
      <c r="K118715" s="12"/>
      <c r="L118715" s="208"/>
      <c r="M118715" s="209"/>
      <c r="N118715" s="209"/>
      <c r="O118715" s="209"/>
    </row>
    <row r="118716" spans="1:15" s="210" customFormat="1" x14ac:dyDescent="0.3">
      <c r="A118716" s="12"/>
      <c r="B118716" s="15"/>
      <c r="C118716" s="15"/>
      <c r="D118716" s="12"/>
      <c r="E118716" s="12"/>
      <c r="F118716" s="13"/>
      <c r="G118716" s="12"/>
      <c r="H118716" s="12"/>
      <c r="I118716" s="12"/>
      <c r="J118716" s="12"/>
      <c r="K118716" s="12"/>
      <c r="L118716" s="208"/>
      <c r="M118716" s="209"/>
      <c r="N118716" s="209"/>
      <c r="O118716" s="209"/>
    </row>
    <row r="118717" spans="1:15" s="210" customFormat="1" x14ac:dyDescent="0.3">
      <c r="A118717" s="12"/>
      <c r="B118717" s="15"/>
      <c r="C118717" s="15"/>
      <c r="D118717" s="12"/>
      <c r="E118717" s="12"/>
      <c r="F118717" s="13"/>
      <c r="G118717" s="12"/>
      <c r="H118717" s="12"/>
      <c r="I118717" s="12"/>
      <c r="J118717" s="12"/>
      <c r="K118717" s="12"/>
      <c r="L118717" s="208"/>
      <c r="M118717" s="209"/>
      <c r="N118717" s="209"/>
      <c r="O118717" s="209"/>
    </row>
    <row r="118718" spans="1:15" s="210" customFormat="1" x14ac:dyDescent="0.3">
      <c r="A118718" s="12"/>
      <c r="B118718" s="15"/>
      <c r="C118718" s="15"/>
      <c r="D118718" s="12"/>
      <c r="E118718" s="12"/>
      <c r="F118718" s="13"/>
      <c r="G118718" s="12"/>
      <c r="H118718" s="12"/>
      <c r="I118718" s="12"/>
      <c r="J118718" s="12"/>
      <c r="K118718" s="12"/>
      <c r="L118718" s="208"/>
      <c r="M118718" s="209"/>
      <c r="N118718" s="209"/>
      <c r="O118718" s="209"/>
    </row>
    <row r="118719" spans="1:15" s="210" customFormat="1" x14ac:dyDescent="0.3">
      <c r="A118719" s="12"/>
      <c r="B118719" s="15"/>
      <c r="C118719" s="15"/>
      <c r="D118719" s="12"/>
      <c r="E118719" s="12"/>
      <c r="F118719" s="13"/>
      <c r="G118719" s="12"/>
      <c r="H118719" s="12"/>
      <c r="I118719" s="12"/>
      <c r="J118719" s="12"/>
      <c r="K118719" s="12"/>
      <c r="L118719" s="208"/>
      <c r="M118719" s="209"/>
      <c r="N118719" s="209"/>
      <c r="O118719" s="209"/>
    </row>
    <row r="118720" spans="1:15" s="210" customFormat="1" x14ac:dyDescent="0.3">
      <c r="A118720" s="12"/>
      <c r="B118720" s="15"/>
      <c r="C118720" s="15"/>
      <c r="D118720" s="12"/>
      <c r="E118720" s="12"/>
      <c r="F118720" s="13"/>
      <c r="G118720" s="12"/>
      <c r="H118720" s="12"/>
      <c r="I118720" s="12"/>
      <c r="J118720" s="12"/>
      <c r="K118720" s="12"/>
      <c r="L118720" s="208"/>
      <c r="M118720" s="209"/>
      <c r="N118720" s="209"/>
      <c r="O118720" s="209"/>
    </row>
    <row r="118721" spans="1:15" s="210" customFormat="1" x14ac:dyDescent="0.3">
      <c r="A118721" s="12"/>
      <c r="B118721" s="15"/>
      <c r="C118721" s="15"/>
      <c r="D118721" s="12"/>
      <c r="E118721" s="12"/>
      <c r="F118721" s="13"/>
      <c r="G118721" s="12"/>
      <c r="H118721" s="12"/>
      <c r="I118721" s="12"/>
      <c r="J118721" s="12"/>
      <c r="K118721" s="12"/>
      <c r="L118721" s="208"/>
      <c r="M118721" s="209"/>
      <c r="N118721" s="209"/>
      <c r="O118721" s="209"/>
    </row>
    <row r="118722" spans="1:15" s="210" customFormat="1" x14ac:dyDescent="0.3">
      <c r="A118722" s="12"/>
      <c r="B118722" s="15"/>
      <c r="C118722" s="15"/>
      <c r="D118722" s="12"/>
      <c r="E118722" s="12"/>
      <c r="F118722" s="13"/>
      <c r="G118722" s="12"/>
      <c r="H118722" s="12"/>
      <c r="I118722" s="12"/>
      <c r="J118722" s="12"/>
      <c r="K118722" s="12"/>
      <c r="L118722" s="208"/>
      <c r="M118722" s="209"/>
      <c r="N118722" s="209"/>
      <c r="O118722" s="209"/>
    </row>
    <row r="118723" spans="1:15" s="210" customFormat="1" x14ac:dyDescent="0.3">
      <c r="A118723" s="12"/>
      <c r="B118723" s="15"/>
      <c r="C118723" s="15"/>
      <c r="D118723" s="12"/>
      <c r="E118723" s="12"/>
      <c r="F118723" s="13"/>
      <c r="G118723" s="12"/>
      <c r="H118723" s="12"/>
      <c r="I118723" s="12"/>
      <c r="J118723" s="12"/>
      <c r="K118723" s="12"/>
      <c r="L118723" s="208"/>
      <c r="M118723" s="209"/>
      <c r="N118723" s="209"/>
      <c r="O118723" s="209"/>
    </row>
    <row r="118724" spans="1:15" s="210" customFormat="1" x14ac:dyDescent="0.3">
      <c r="A118724" s="12"/>
      <c r="B118724" s="15"/>
      <c r="C118724" s="15"/>
      <c r="D118724" s="12"/>
      <c r="E118724" s="12"/>
      <c r="F118724" s="13"/>
      <c r="G118724" s="12"/>
      <c r="H118724" s="12"/>
      <c r="I118724" s="12"/>
      <c r="J118724" s="12"/>
      <c r="K118724" s="12"/>
      <c r="L118724" s="208"/>
      <c r="M118724" s="209"/>
      <c r="N118724" s="209"/>
      <c r="O118724" s="209"/>
    </row>
    <row r="118725" spans="1:15" s="210" customFormat="1" x14ac:dyDescent="0.3">
      <c r="A118725" s="12"/>
      <c r="B118725" s="15"/>
      <c r="C118725" s="15"/>
      <c r="D118725" s="12"/>
      <c r="E118725" s="12"/>
      <c r="F118725" s="13"/>
      <c r="G118725" s="12"/>
      <c r="H118725" s="12"/>
      <c r="I118725" s="12"/>
      <c r="J118725" s="12"/>
      <c r="K118725" s="12"/>
      <c r="L118725" s="208"/>
      <c r="M118725" s="209"/>
      <c r="N118725" s="209"/>
      <c r="O118725" s="209"/>
    </row>
    <row r="118726" spans="1:15" s="210" customFormat="1" x14ac:dyDescent="0.3">
      <c r="A118726" s="12"/>
      <c r="B118726" s="15"/>
      <c r="C118726" s="15"/>
      <c r="D118726" s="12"/>
      <c r="E118726" s="12"/>
      <c r="F118726" s="13"/>
      <c r="G118726" s="12"/>
      <c r="H118726" s="12"/>
      <c r="I118726" s="12"/>
      <c r="J118726" s="12"/>
      <c r="K118726" s="12"/>
      <c r="L118726" s="208"/>
      <c r="M118726" s="209"/>
      <c r="N118726" s="209"/>
      <c r="O118726" s="209"/>
    </row>
    <row r="118727" spans="1:15" s="210" customFormat="1" x14ac:dyDescent="0.3">
      <c r="A118727" s="12"/>
      <c r="B118727" s="15"/>
      <c r="C118727" s="15"/>
      <c r="D118727" s="12"/>
      <c r="E118727" s="12"/>
      <c r="F118727" s="13"/>
      <c r="G118727" s="12"/>
      <c r="H118727" s="12"/>
      <c r="I118727" s="12"/>
      <c r="J118727" s="12"/>
      <c r="K118727" s="12"/>
      <c r="L118727" s="208"/>
      <c r="M118727" s="209"/>
      <c r="N118727" s="209"/>
      <c r="O118727" s="209"/>
    </row>
    <row r="118728" spans="1:15" s="210" customFormat="1" x14ac:dyDescent="0.3">
      <c r="A118728" s="12"/>
      <c r="B118728" s="15"/>
      <c r="C118728" s="15"/>
      <c r="D118728" s="12"/>
      <c r="E118728" s="12"/>
      <c r="F118728" s="13"/>
      <c r="G118728" s="12"/>
      <c r="H118728" s="12"/>
      <c r="I118728" s="12"/>
      <c r="J118728" s="12"/>
      <c r="K118728" s="12"/>
      <c r="L118728" s="208"/>
      <c r="M118728" s="209"/>
      <c r="N118728" s="209"/>
      <c r="O118728" s="209"/>
    </row>
    <row r="118729" spans="1:15" s="210" customFormat="1" x14ac:dyDescent="0.3">
      <c r="A118729" s="12"/>
      <c r="B118729" s="15"/>
      <c r="C118729" s="15"/>
      <c r="D118729" s="12"/>
      <c r="E118729" s="12"/>
      <c r="F118729" s="13"/>
      <c r="G118729" s="12"/>
      <c r="H118729" s="12"/>
      <c r="I118729" s="12"/>
      <c r="J118729" s="12"/>
      <c r="K118729" s="12"/>
      <c r="L118729" s="208"/>
      <c r="M118729" s="209"/>
      <c r="N118729" s="209"/>
      <c r="O118729" s="209"/>
    </row>
    <row r="118730" spans="1:15" s="210" customFormat="1" x14ac:dyDescent="0.3">
      <c r="A118730" s="12"/>
      <c r="B118730" s="15"/>
      <c r="C118730" s="15"/>
      <c r="D118730" s="12"/>
      <c r="E118730" s="12"/>
      <c r="F118730" s="13"/>
      <c r="G118730" s="12"/>
      <c r="H118730" s="12"/>
      <c r="I118730" s="12"/>
      <c r="J118730" s="12"/>
      <c r="K118730" s="12"/>
      <c r="L118730" s="208"/>
      <c r="M118730" s="209"/>
      <c r="N118730" s="209"/>
      <c r="O118730" s="209"/>
    </row>
    <row r="118731" spans="1:15" s="210" customFormat="1" x14ac:dyDescent="0.3">
      <c r="A118731" s="12"/>
      <c r="B118731" s="15"/>
      <c r="C118731" s="15"/>
      <c r="D118731" s="12"/>
      <c r="E118731" s="12"/>
      <c r="F118731" s="13"/>
      <c r="G118731" s="12"/>
      <c r="H118731" s="12"/>
      <c r="I118731" s="12"/>
      <c r="J118731" s="12"/>
      <c r="K118731" s="12"/>
      <c r="L118731" s="208"/>
      <c r="M118731" s="209"/>
      <c r="N118731" s="209"/>
      <c r="O118731" s="209"/>
    </row>
    <row r="118732" spans="1:15" s="210" customFormat="1" x14ac:dyDescent="0.3">
      <c r="A118732" s="12"/>
      <c r="B118732" s="15"/>
      <c r="C118732" s="15"/>
      <c r="D118732" s="12"/>
      <c r="E118732" s="12"/>
      <c r="F118732" s="13"/>
      <c r="G118732" s="12"/>
      <c r="H118732" s="12"/>
      <c r="I118732" s="12"/>
      <c r="J118732" s="12"/>
      <c r="K118732" s="12"/>
      <c r="L118732" s="208"/>
      <c r="M118732" s="209"/>
      <c r="N118732" s="209"/>
      <c r="O118732" s="209"/>
    </row>
    <row r="118733" spans="1:15" s="210" customFormat="1" x14ac:dyDescent="0.3">
      <c r="A118733" s="12"/>
      <c r="B118733" s="15"/>
      <c r="C118733" s="15"/>
      <c r="D118733" s="12"/>
      <c r="E118733" s="12"/>
      <c r="F118733" s="13"/>
      <c r="G118733" s="12"/>
      <c r="H118733" s="12"/>
      <c r="I118733" s="12"/>
      <c r="J118733" s="12"/>
      <c r="K118733" s="12"/>
      <c r="L118733" s="208"/>
      <c r="M118733" s="209"/>
      <c r="N118733" s="209"/>
      <c r="O118733" s="209"/>
    </row>
    <row r="118734" spans="1:15" s="210" customFormat="1" x14ac:dyDescent="0.3">
      <c r="A118734" s="12"/>
      <c r="B118734" s="15"/>
      <c r="C118734" s="15"/>
      <c r="D118734" s="12"/>
      <c r="E118734" s="12"/>
      <c r="F118734" s="13"/>
      <c r="G118734" s="12"/>
      <c r="H118734" s="12"/>
      <c r="I118734" s="12"/>
      <c r="J118734" s="12"/>
      <c r="K118734" s="12"/>
      <c r="L118734" s="208"/>
      <c r="M118734" s="209"/>
      <c r="N118734" s="209"/>
      <c r="O118734" s="209"/>
    </row>
    <row r="118735" spans="1:15" s="210" customFormat="1" x14ac:dyDescent="0.3">
      <c r="A118735" s="12"/>
      <c r="B118735" s="15"/>
      <c r="C118735" s="15"/>
      <c r="D118735" s="12"/>
      <c r="E118735" s="12"/>
      <c r="F118735" s="13"/>
      <c r="G118735" s="12"/>
      <c r="H118735" s="12"/>
      <c r="I118735" s="12"/>
      <c r="J118735" s="12"/>
      <c r="K118735" s="12"/>
      <c r="L118735" s="208"/>
      <c r="M118735" s="209"/>
      <c r="N118735" s="209"/>
      <c r="O118735" s="209"/>
    </row>
    <row r="118736" spans="1:15" s="210" customFormat="1" x14ac:dyDescent="0.3">
      <c r="A118736" s="12"/>
      <c r="B118736" s="15"/>
      <c r="C118736" s="15"/>
      <c r="D118736" s="12"/>
      <c r="E118736" s="12"/>
      <c r="F118736" s="13"/>
      <c r="G118736" s="12"/>
      <c r="H118736" s="12"/>
      <c r="I118736" s="12"/>
      <c r="J118736" s="12"/>
      <c r="K118736" s="12"/>
      <c r="L118736" s="208"/>
      <c r="M118736" s="209"/>
      <c r="N118736" s="209"/>
      <c r="O118736" s="209"/>
    </row>
    <row r="118737" spans="1:15" s="210" customFormat="1" x14ac:dyDescent="0.3">
      <c r="A118737" s="12"/>
      <c r="B118737" s="15"/>
      <c r="C118737" s="15"/>
      <c r="D118737" s="12"/>
      <c r="E118737" s="12"/>
      <c r="F118737" s="13"/>
      <c r="G118737" s="12"/>
      <c r="H118737" s="12"/>
      <c r="I118737" s="12"/>
      <c r="J118737" s="12"/>
      <c r="K118737" s="12"/>
      <c r="L118737" s="208"/>
      <c r="M118737" s="209"/>
      <c r="N118737" s="209"/>
      <c r="O118737" s="209"/>
    </row>
    <row r="118738" spans="1:15" s="210" customFormat="1" x14ac:dyDescent="0.3">
      <c r="A118738" s="12"/>
      <c r="B118738" s="15"/>
      <c r="C118738" s="15"/>
      <c r="D118738" s="12"/>
      <c r="E118738" s="12"/>
      <c r="F118738" s="13"/>
      <c r="G118738" s="12"/>
      <c r="H118738" s="12"/>
      <c r="I118738" s="12"/>
      <c r="J118738" s="12"/>
      <c r="K118738" s="12"/>
      <c r="L118738" s="208"/>
      <c r="M118738" s="209"/>
      <c r="N118738" s="209"/>
      <c r="O118738" s="209"/>
    </row>
    <row r="118739" spans="1:15" s="210" customFormat="1" x14ac:dyDescent="0.3">
      <c r="A118739" s="12"/>
      <c r="B118739" s="15"/>
      <c r="C118739" s="15"/>
      <c r="D118739" s="12"/>
      <c r="E118739" s="12"/>
      <c r="F118739" s="13"/>
      <c r="G118739" s="12"/>
      <c r="H118739" s="12"/>
      <c r="I118739" s="12"/>
      <c r="J118739" s="12"/>
      <c r="K118739" s="12"/>
      <c r="L118739" s="208"/>
      <c r="M118739" s="209"/>
      <c r="N118739" s="209"/>
      <c r="O118739" s="209"/>
    </row>
    <row r="118740" spans="1:15" s="210" customFormat="1" x14ac:dyDescent="0.3">
      <c r="A118740" s="12"/>
      <c r="B118740" s="15"/>
      <c r="C118740" s="15"/>
      <c r="D118740" s="12"/>
      <c r="E118740" s="12"/>
      <c r="F118740" s="13"/>
      <c r="G118740" s="12"/>
      <c r="H118740" s="12"/>
      <c r="I118740" s="12"/>
      <c r="J118740" s="12"/>
      <c r="K118740" s="12"/>
      <c r="L118740" s="208"/>
      <c r="M118740" s="209"/>
      <c r="N118740" s="209"/>
      <c r="O118740" s="209"/>
    </row>
    <row r="118741" spans="1:15" s="210" customFormat="1" x14ac:dyDescent="0.3">
      <c r="A118741" s="12"/>
      <c r="B118741" s="15"/>
      <c r="C118741" s="15"/>
      <c r="D118741" s="12"/>
      <c r="E118741" s="12"/>
      <c r="F118741" s="13"/>
      <c r="G118741" s="12"/>
      <c r="H118741" s="12"/>
      <c r="I118741" s="12"/>
      <c r="J118741" s="12"/>
      <c r="K118741" s="12"/>
      <c r="L118741" s="208"/>
      <c r="M118741" s="209"/>
      <c r="N118741" s="209"/>
      <c r="O118741" s="209"/>
    </row>
    <row r="118742" spans="1:15" s="210" customFormat="1" x14ac:dyDescent="0.3">
      <c r="A118742" s="12"/>
      <c r="B118742" s="15"/>
      <c r="C118742" s="15"/>
      <c r="D118742" s="12"/>
      <c r="E118742" s="12"/>
      <c r="F118742" s="13"/>
      <c r="G118742" s="12"/>
      <c r="H118742" s="12"/>
      <c r="I118742" s="12"/>
      <c r="J118742" s="12"/>
      <c r="K118742" s="12"/>
      <c r="L118742" s="208"/>
      <c r="M118742" s="209"/>
      <c r="N118742" s="209"/>
      <c r="O118742" s="209"/>
    </row>
    <row r="118743" spans="1:15" s="210" customFormat="1" x14ac:dyDescent="0.3">
      <c r="A118743" s="12"/>
      <c r="B118743" s="15"/>
      <c r="C118743" s="15"/>
      <c r="D118743" s="12"/>
      <c r="E118743" s="12"/>
      <c r="F118743" s="13"/>
      <c r="G118743" s="12"/>
      <c r="H118743" s="12"/>
      <c r="I118743" s="12"/>
      <c r="J118743" s="12"/>
      <c r="K118743" s="12"/>
      <c r="L118743" s="208"/>
      <c r="M118743" s="209"/>
      <c r="N118743" s="209"/>
      <c r="O118743" s="209"/>
    </row>
    <row r="118744" spans="1:15" s="210" customFormat="1" x14ac:dyDescent="0.3">
      <c r="A118744" s="12"/>
      <c r="B118744" s="15"/>
      <c r="C118744" s="15"/>
      <c r="D118744" s="12"/>
      <c r="E118744" s="12"/>
      <c r="F118744" s="13"/>
      <c r="G118744" s="12"/>
      <c r="H118744" s="12"/>
      <c r="I118744" s="12"/>
      <c r="J118744" s="12"/>
      <c r="K118744" s="12"/>
      <c r="L118744" s="208"/>
      <c r="M118744" s="209"/>
      <c r="N118744" s="209"/>
      <c r="O118744" s="209"/>
    </row>
    <row r="118745" spans="1:15" s="210" customFormat="1" x14ac:dyDescent="0.3">
      <c r="A118745" s="12"/>
      <c r="B118745" s="15"/>
      <c r="C118745" s="15"/>
      <c r="D118745" s="12"/>
      <c r="E118745" s="12"/>
      <c r="F118745" s="13"/>
      <c r="G118745" s="12"/>
      <c r="H118745" s="12"/>
      <c r="I118745" s="12"/>
      <c r="J118745" s="12"/>
      <c r="K118745" s="12"/>
      <c r="L118745" s="208"/>
      <c r="M118745" s="209"/>
      <c r="N118745" s="209"/>
      <c r="O118745" s="209"/>
    </row>
    <row r="118746" spans="1:15" s="210" customFormat="1" x14ac:dyDescent="0.3">
      <c r="A118746" s="12"/>
      <c r="B118746" s="15"/>
      <c r="C118746" s="15"/>
      <c r="D118746" s="12"/>
      <c r="E118746" s="12"/>
      <c r="F118746" s="13"/>
      <c r="G118746" s="12"/>
      <c r="H118746" s="12"/>
      <c r="I118746" s="12"/>
      <c r="J118746" s="12"/>
      <c r="K118746" s="12"/>
      <c r="L118746" s="208"/>
      <c r="M118746" s="209"/>
      <c r="N118746" s="209"/>
      <c r="O118746" s="209"/>
    </row>
    <row r="118747" spans="1:15" s="210" customFormat="1" x14ac:dyDescent="0.3">
      <c r="A118747" s="12"/>
      <c r="B118747" s="15"/>
      <c r="C118747" s="15"/>
      <c r="D118747" s="12"/>
      <c r="E118747" s="12"/>
      <c r="F118747" s="13"/>
      <c r="G118747" s="12"/>
      <c r="H118747" s="12"/>
      <c r="I118747" s="12"/>
      <c r="J118747" s="12"/>
      <c r="K118747" s="12"/>
      <c r="L118747" s="208"/>
      <c r="M118747" s="209"/>
      <c r="N118747" s="209"/>
      <c r="O118747" s="209"/>
    </row>
    <row r="118748" spans="1:15" s="210" customFormat="1" x14ac:dyDescent="0.3">
      <c r="A118748" s="12"/>
      <c r="B118748" s="15"/>
      <c r="C118748" s="15"/>
      <c r="D118748" s="12"/>
      <c r="E118748" s="12"/>
      <c r="F118748" s="13"/>
      <c r="G118748" s="12"/>
      <c r="H118748" s="12"/>
      <c r="I118748" s="12"/>
      <c r="J118748" s="12"/>
      <c r="K118748" s="12"/>
      <c r="L118748" s="208"/>
      <c r="M118748" s="209"/>
      <c r="N118748" s="209"/>
      <c r="O118748" s="209"/>
    </row>
    <row r="118749" spans="1:15" s="210" customFormat="1" x14ac:dyDescent="0.3">
      <c r="A118749" s="12"/>
      <c r="B118749" s="15"/>
      <c r="C118749" s="15"/>
      <c r="D118749" s="12"/>
      <c r="E118749" s="12"/>
      <c r="F118749" s="13"/>
      <c r="G118749" s="12"/>
      <c r="H118749" s="12"/>
      <c r="I118749" s="12"/>
      <c r="J118749" s="12"/>
      <c r="K118749" s="12"/>
      <c r="L118749" s="208"/>
      <c r="M118749" s="209"/>
      <c r="N118749" s="209"/>
      <c r="O118749" s="209"/>
    </row>
    <row r="118750" spans="1:15" s="210" customFormat="1" x14ac:dyDescent="0.3">
      <c r="A118750" s="12"/>
      <c r="B118750" s="15"/>
      <c r="C118750" s="15"/>
      <c r="D118750" s="12"/>
      <c r="E118750" s="12"/>
      <c r="F118750" s="13"/>
      <c r="G118750" s="12"/>
      <c r="H118750" s="12"/>
      <c r="I118750" s="12"/>
      <c r="J118750" s="12"/>
      <c r="K118750" s="12"/>
      <c r="L118750" s="208"/>
      <c r="M118750" s="209"/>
      <c r="N118750" s="209"/>
      <c r="O118750" s="209"/>
    </row>
    <row r="118751" spans="1:15" s="210" customFormat="1" x14ac:dyDescent="0.3">
      <c r="A118751" s="12"/>
      <c r="B118751" s="15"/>
      <c r="C118751" s="15"/>
      <c r="D118751" s="12"/>
      <c r="E118751" s="12"/>
      <c r="F118751" s="13"/>
      <c r="G118751" s="12"/>
      <c r="H118751" s="12"/>
      <c r="I118751" s="12"/>
      <c r="J118751" s="12"/>
      <c r="K118751" s="12"/>
      <c r="L118751" s="208"/>
      <c r="M118751" s="209"/>
      <c r="N118751" s="209"/>
      <c r="O118751" s="209"/>
    </row>
    <row r="118752" spans="1:15" s="210" customFormat="1" x14ac:dyDescent="0.3">
      <c r="A118752" s="12"/>
      <c r="B118752" s="15"/>
      <c r="C118752" s="15"/>
      <c r="D118752" s="12"/>
      <c r="E118752" s="12"/>
      <c r="F118752" s="13"/>
      <c r="G118752" s="12"/>
      <c r="H118752" s="12"/>
      <c r="I118752" s="12"/>
      <c r="J118752" s="12"/>
      <c r="K118752" s="12"/>
      <c r="L118752" s="208"/>
      <c r="M118752" s="209"/>
      <c r="N118752" s="209"/>
      <c r="O118752" s="209"/>
    </row>
    <row r="118753" spans="1:15" s="210" customFormat="1" x14ac:dyDescent="0.3">
      <c r="A118753" s="12"/>
      <c r="B118753" s="15"/>
      <c r="C118753" s="15"/>
      <c r="D118753" s="12"/>
      <c r="E118753" s="12"/>
      <c r="F118753" s="13"/>
      <c r="G118753" s="12"/>
      <c r="H118753" s="12"/>
      <c r="I118753" s="12"/>
      <c r="J118753" s="12"/>
      <c r="K118753" s="12"/>
      <c r="L118753" s="208"/>
      <c r="M118753" s="209"/>
      <c r="N118753" s="209"/>
      <c r="O118753" s="209"/>
    </row>
    <row r="118754" spans="1:15" s="210" customFormat="1" x14ac:dyDescent="0.3">
      <c r="A118754" s="12"/>
      <c r="B118754" s="15"/>
      <c r="C118754" s="15"/>
      <c r="D118754" s="12"/>
      <c r="E118754" s="12"/>
      <c r="F118754" s="13"/>
      <c r="G118754" s="12"/>
      <c r="H118754" s="12"/>
      <c r="I118754" s="12"/>
      <c r="J118754" s="12"/>
      <c r="K118754" s="12"/>
      <c r="L118754" s="208"/>
      <c r="M118754" s="209"/>
      <c r="N118754" s="209"/>
      <c r="O118754" s="209"/>
    </row>
    <row r="118755" spans="1:15" s="210" customFormat="1" x14ac:dyDescent="0.3">
      <c r="A118755" s="12"/>
      <c r="B118755" s="15"/>
      <c r="C118755" s="15"/>
      <c r="D118755" s="12"/>
      <c r="E118755" s="12"/>
      <c r="F118755" s="13"/>
      <c r="G118755" s="12"/>
      <c r="H118755" s="12"/>
      <c r="I118755" s="12"/>
      <c r="J118755" s="12"/>
      <c r="K118755" s="12"/>
      <c r="L118755" s="208"/>
      <c r="M118755" s="209"/>
      <c r="N118755" s="209"/>
      <c r="O118755" s="209"/>
    </row>
    <row r="118756" spans="1:15" s="210" customFormat="1" x14ac:dyDescent="0.3">
      <c r="A118756" s="12"/>
      <c r="B118756" s="15"/>
      <c r="C118756" s="15"/>
      <c r="D118756" s="12"/>
      <c r="E118756" s="12"/>
      <c r="F118756" s="13"/>
      <c r="G118756" s="12"/>
      <c r="H118756" s="12"/>
      <c r="I118756" s="12"/>
      <c r="J118756" s="12"/>
      <c r="K118756" s="12"/>
      <c r="L118756" s="208"/>
      <c r="M118756" s="209"/>
      <c r="N118756" s="209"/>
      <c r="O118756" s="209"/>
    </row>
    <row r="118757" spans="1:15" s="210" customFormat="1" x14ac:dyDescent="0.3">
      <c r="A118757" s="12"/>
      <c r="B118757" s="15"/>
      <c r="C118757" s="15"/>
      <c r="D118757" s="12"/>
      <c r="E118757" s="12"/>
      <c r="F118757" s="13"/>
      <c r="G118757" s="12"/>
      <c r="H118757" s="12"/>
      <c r="I118757" s="12"/>
      <c r="J118757" s="12"/>
      <c r="K118757" s="12"/>
      <c r="L118757" s="208"/>
      <c r="M118757" s="209"/>
      <c r="N118757" s="209"/>
      <c r="O118757" s="209"/>
    </row>
    <row r="118758" spans="1:15" s="210" customFormat="1" x14ac:dyDescent="0.3">
      <c r="A118758" s="12"/>
      <c r="B118758" s="15"/>
      <c r="C118758" s="15"/>
      <c r="D118758" s="12"/>
      <c r="E118758" s="12"/>
      <c r="F118758" s="13"/>
      <c r="G118758" s="12"/>
      <c r="H118758" s="12"/>
      <c r="I118758" s="12"/>
      <c r="J118758" s="12"/>
      <c r="K118758" s="12"/>
      <c r="L118758" s="208"/>
      <c r="M118758" s="209"/>
      <c r="N118758" s="209"/>
      <c r="O118758" s="209"/>
    </row>
    <row r="118759" spans="1:15" s="210" customFormat="1" x14ac:dyDescent="0.3">
      <c r="A118759" s="12"/>
      <c r="B118759" s="15"/>
      <c r="C118759" s="15"/>
      <c r="D118759" s="12"/>
      <c r="E118759" s="12"/>
      <c r="F118759" s="13"/>
      <c r="G118759" s="12"/>
      <c r="H118759" s="12"/>
      <c r="I118759" s="12"/>
      <c r="J118759" s="12"/>
      <c r="K118759" s="12"/>
      <c r="L118759" s="208"/>
      <c r="M118759" s="209"/>
      <c r="N118759" s="209"/>
      <c r="O118759" s="209"/>
    </row>
    <row r="118760" spans="1:15" s="210" customFormat="1" x14ac:dyDescent="0.3">
      <c r="A118760" s="12"/>
      <c r="B118760" s="15"/>
      <c r="C118760" s="15"/>
      <c r="D118760" s="12"/>
      <c r="E118760" s="12"/>
      <c r="F118760" s="13"/>
      <c r="G118760" s="12"/>
      <c r="H118760" s="12"/>
      <c r="I118760" s="12"/>
      <c r="J118760" s="12"/>
      <c r="K118760" s="12"/>
      <c r="L118760" s="208"/>
      <c r="M118760" s="209"/>
      <c r="N118760" s="209"/>
      <c r="O118760" s="209"/>
    </row>
    <row r="118761" spans="1:15" s="210" customFormat="1" x14ac:dyDescent="0.3">
      <c r="A118761" s="12"/>
      <c r="B118761" s="15"/>
      <c r="C118761" s="15"/>
      <c r="D118761" s="12"/>
      <c r="E118761" s="12"/>
      <c r="F118761" s="13"/>
      <c r="G118761" s="12"/>
      <c r="H118761" s="12"/>
      <c r="I118761" s="12"/>
      <c r="J118761" s="12"/>
      <c r="K118761" s="12"/>
      <c r="L118761" s="208"/>
      <c r="M118761" s="209"/>
      <c r="N118761" s="209"/>
      <c r="O118761" s="209"/>
    </row>
    <row r="118762" spans="1:15" s="210" customFormat="1" x14ac:dyDescent="0.3">
      <c r="A118762" s="12"/>
      <c r="B118762" s="15"/>
      <c r="C118762" s="15"/>
      <c r="D118762" s="12"/>
      <c r="E118762" s="12"/>
      <c r="F118762" s="13"/>
      <c r="G118762" s="12"/>
      <c r="H118762" s="12"/>
      <c r="I118762" s="12"/>
      <c r="J118762" s="12"/>
      <c r="K118762" s="12"/>
      <c r="L118762" s="208"/>
      <c r="M118762" s="209"/>
      <c r="N118762" s="209"/>
      <c r="O118762" s="209"/>
    </row>
    <row r="118763" spans="1:15" s="210" customFormat="1" x14ac:dyDescent="0.3">
      <c r="A118763" s="12"/>
      <c r="B118763" s="15"/>
      <c r="C118763" s="15"/>
      <c r="D118763" s="12"/>
      <c r="E118763" s="12"/>
      <c r="F118763" s="13"/>
      <c r="G118763" s="12"/>
      <c r="H118763" s="12"/>
      <c r="I118763" s="12"/>
      <c r="J118763" s="12"/>
      <c r="K118763" s="12"/>
      <c r="L118763" s="208"/>
      <c r="M118763" s="209"/>
      <c r="N118763" s="209"/>
      <c r="O118763" s="209"/>
    </row>
    <row r="118764" spans="1:15" s="210" customFormat="1" x14ac:dyDescent="0.3">
      <c r="A118764" s="12"/>
      <c r="B118764" s="15"/>
      <c r="C118764" s="15"/>
      <c r="D118764" s="12"/>
      <c r="E118764" s="12"/>
      <c r="F118764" s="13"/>
      <c r="G118764" s="12"/>
      <c r="H118764" s="12"/>
      <c r="I118764" s="12"/>
      <c r="J118764" s="12"/>
      <c r="K118764" s="12"/>
      <c r="L118764" s="208"/>
      <c r="M118764" s="209"/>
      <c r="N118764" s="209"/>
      <c r="O118764" s="209"/>
    </row>
    <row r="118765" spans="1:15" s="210" customFormat="1" x14ac:dyDescent="0.3">
      <c r="A118765" s="12"/>
      <c r="B118765" s="15"/>
      <c r="C118765" s="15"/>
      <c r="D118765" s="12"/>
      <c r="E118765" s="12"/>
      <c r="F118765" s="13"/>
      <c r="G118765" s="12"/>
      <c r="H118765" s="12"/>
      <c r="I118765" s="12"/>
      <c r="J118765" s="12"/>
      <c r="K118765" s="12"/>
      <c r="L118765" s="208"/>
      <c r="M118765" s="209"/>
      <c r="N118765" s="209"/>
      <c r="O118765" s="209"/>
    </row>
    <row r="118766" spans="1:15" s="210" customFormat="1" x14ac:dyDescent="0.3">
      <c r="A118766" s="12"/>
      <c r="B118766" s="15"/>
      <c r="C118766" s="15"/>
      <c r="D118766" s="12"/>
      <c r="E118766" s="12"/>
      <c r="F118766" s="13"/>
      <c r="G118766" s="12"/>
      <c r="H118766" s="12"/>
      <c r="I118766" s="12"/>
      <c r="J118766" s="12"/>
      <c r="K118766" s="12"/>
      <c r="L118766" s="208"/>
      <c r="M118766" s="209"/>
      <c r="N118766" s="209"/>
      <c r="O118766" s="209"/>
    </row>
    <row r="118767" spans="1:15" s="210" customFormat="1" x14ac:dyDescent="0.3">
      <c r="A118767" s="12"/>
      <c r="B118767" s="15"/>
      <c r="C118767" s="15"/>
      <c r="D118767" s="12"/>
      <c r="E118767" s="12"/>
      <c r="F118767" s="13"/>
      <c r="G118767" s="12"/>
      <c r="H118767" s="12"/>
      <c r="I118767" s="12"/>
      <c r="J118767" s="12"/>
      <c r="K118767" s="12"/>
      <c r="L118767" s="208"/>
      <c r="M118767" s="209"/>
      <c r="N118767" s="209"/>
      <c r="O118767" s="209"/>
    </row>
    <row r="118768" spans="1:15" s="210" customFormat="1" x14ac:dyDescent="0.3">
      <c r="A118768" s="12"/>
      <c r="B118768" s="15"/>
      <c r="C118768" s="15"/>
      <c r="D118768" s="12"/>
      <c r="E118768" s="12"/>
      <c r="F118768" s="13"/>
      <c r="G118768" s="12"/>
      <c r="H118768" s="12"/>
      <c r="I118768" s="12"/>
      <c r="J118768" s="12"/>
      <c r="K118768" s="12"/>
      <c r="L118768" s="208"/>
      <c r="M118768" s="209"/>
      <c r="N118768" s="209"/>
      <c r="O118768" s="209"/>
    </row>
    <row r="118769" spans="1:15" s="210" customFormat="1" x14ac:dyDescent="0.3">
      <c r="A118769" s="12"/>
      <c r="B118769" s="15"/>
      <c r="C118769" s="15"/>
      <c r="D118769" s="12"/>
      <c r="E118769" s="12"/>
      <c r="F118769" s="13"/>
      <c r="G118769" s="12"/>
      <c r="H118769" s="12"/>
      <c r="I118769" s="12"/>
      <c r="J118769" s="12"/>
      <c r="K118769" s="12"/>
      <c r="L118769" s="208"/>
      <c r="M118769" s="209"/>
      <c r="N118769" s="209"/>
      <c r="O118769" s="209"/>
    </row>
    <row r="118770" spans="1:15" s="210" customFormat="1" x14ac:dyDescent="0.3">
      <c r="A118770" s="12"/>
      <c r="B118770" s="15"/>
      <c r="C118770" s="15"/>
      <c r="D118770" s="12"/>
      <c r="E118770" s="12"/>
      <c r="F118770" s="13"/>
      <c r="G118770" s="12"/>
      <c r="H118770" s="12"/>
      <c r="I118770" s="12"/>
      <c r="J118770" s="12"/>
      <c r="K118770" s="12"/>
      <c r="L118770" s="208"/>
      <c r="M118770" s="209"/>
      <c r="N118770" s="209"/>
      <c r="O118770" s="209"/>
    </row>
    <row r="118771" spans="1:15" s="210" customFormat="1" x14ac:dyDescent="0.3">
      <c r="A118771" s="12"/>
      <c r="B118771" s="15"/>
      <c r="C118771" s="15"/>
      <c r="D118771" s="12"/>
      <c r="E118771" s="12"/>
      <c r="F118771" s="13"/>
      <c r="G118771" s="12"/>
      <c r="H118771" s="12"/>
      <c r="I118771" s="12"/>
      <c r="J118771" s="12"/>
      <c r="K118771" s="12"/>
      <c r="L118771" s="208"/>
      <c r="M118771" s="209"/>
      <c r="N118771" s="209"/>
      <c r="O118771" s="209"/>
    </row>
    <row r="118772" spans="1:15" s="210" customFormat="1" x14ac:dyDescent="0.3">
      <c r="A118772" s="12"/>
      <c r="B118772" s="15"/>
      <c r="C118772" s="15"/>
      <c r="D118772" s="12"/>
      <c r="E118772" s="12"/>
      <c r="F118772" s="13"/>
      <c r="G118772" s="12"/>
      <c r="H118772" s="12"/>
      <c r="I118772" s="12"/>
      <c r="J118772" s="12"/>
      <c r="K118772" s="12"/>
      <c r="L118772" s="208"/>
      <c r="M118772" s="209"/>
      <c r="N118772" s="209"/>
      <c r="O118772" s="209"/>
    </row>
    <row r="118773" spans="1:15" s="210" customFormat="1" x14ac:dyDescent="0.3">
      <c r="A118773" s="12"/>
      <c r="B118773" s="15"/>
      <c r="C118773" s="15"/>
      <c r="D118773" s="12"/>
      <c r="E118773" s="12"/>
      <c r="F118773" s="13"/>
      <c r="G118773" s="12"/>
      <c r="H118773" s="12"/>
      <c r="I118773" s="12"/>
      <c r="J118773" s="12"/>
      <c r="K118773" s="12"/>
      <c r="L118773" s="208"/>
      <c r="M118773" s="209"/>
      <c r="N118773" s="209"/>
      <c r="O118773" s="209"/>
    </row>
    <row r="118774" spans="1:15" s="210" customFormat="1" x14ac:dyDescent="0.3">
      <c r="A118774" s="12"/>
      <c r="B118774" s="15"/>
      <c r="C118774" s="15"/>
      <c r="D118774" s="12"/>
      <c r="E118774" s="12"/>
      <c r="F118774" s="13"/>
      <c r="G118774" s="12"/>
      <c r="H118774" s="12"/>
      <c r="I118774" s="12"/>
      <c r="J118774" s="12"/>
      <c r="K118774" s="12"/>
      <c r="L118774" s="208"/>
      <c r="M118774" s="209"/>
      <c r="N118774" s="209"/>
      <c r="O118774" s="209"/>
    </row>
    <row r="118775" spans="1:15" s="210" customFormat="1" x14ac:dyDescent="0.3">
      <c r="A118775" s="12"/>
      <c r="B118775" s="15"/>
      <c r="C118775" s="15"/>
      <c r="D118775" s="12"/>
      <c r="E118775" s="12"/>
      <c r="F118775" s="13"/>
      <c r="G118775" s="12"/>
      <c r="H118775" s="12"/>
      <c r="I118775" s="12"/>
      <c r="J118775" s="12"/>
      <c r="K118775" s="12"/>
      <c r="L118775" s="208"/>
      <c r="M118775" s="209"/>
      <c r="N118775" s="209"/>
      <c r="O118775" s="209"/>
    </row>
    <row r="118776" spans="1:15" s="210" customFormat="1" x14ac:dyDescent="0.3">
      <c r="A118776" s="12"/>
      <c r="B118776" s="15"/>
      <c r="C118776" s="15"/>
      <c r="D118776" s="12"/>
      <c r="E118776" s="12"/>
      <c r="F118776" s="13"/>
      <c r="G118776" s="12"/>
      <c r="H118776" s="12"/>
      <c r="I118776" s="12"/>
      <c r="J118776" s="12"/>
      <c r="K118776" s="12"/>
      <c r="L118776" s="208"/>
      <c r="M118776" s="209"/>
      <c r="N118776" s="209"/>
      <c r="O118776" s="209"/>
    </row>
    <row r="118777" spans="1:15" s="210" customFormat="1" x14ac:dyDescent="0.3">
      <c r="A118777" s="12"/>
      <c r="B118777" s="15"/>
      <c r="C118777" s="15"/>
      <c r="D118777" s="12"/>
      <c r="E118777" s="12"/>
      <c r="F118777" s="13"/>
      <c r="G118777" s="12"/>
      <c r="H118777" s="12"/>
      <c r="I118777" s="12"/>
      <c r="J118777" s="12"/>
      <c r="K118777" s="12"/>
      <c r="L118777" s="208"/>
      <c r="M118777" s="209"/>
      <c r="N118777" s="209"/>
      <c r="O118777" s="209"/>
    </row>
    <row r="118778" spans="1:15" s="210" customFormat="1" x14ac:dyDescent="0.3">
      <c r="A118778" s="12"/>
      <c r="B118778" s="15"/>
      <c r="C118778" s="15"/>
      <c r="D118778" s="12"/>
      <c r="E118778" s="12"/>
      <c r="F118778" s="13"/>
      <c r="G118778" s="12"/>
      <c r="H118778" s="12"/>
      <c r="I118778" s="12"/>
      <c r="J118778" s="12"/>
      <c r="K118778" s="12"/>
      <c r="L118778" s="208"/>
      <c r="M118778" s="209"/>
      <c r="N118778" s="209"/>
      <c r="O118778" s="209"/>
    </row>
    <row r="118779" spans="1:15" s="210" customFormat="1" x14ac:dyDescent="0.3">
      <c r="A118779" s="12"/>
      <c r="B118779" s="15"/>
      <c r="C118779" s="15"/>
      <c r="D118779" s="12"/>
      <c r="E118779" s="12"/>
      <c r="F118779" s="13"/>
      <c r="G118779" s="12"/>
      <c r="H118779" s="12"/>
      <c r="I118779" s="12"/>
      <c r="J118779" s="12"/>
      <c r="K118779" s="12"/>
      <c r="L118779" s="208"/>
      <c r="M118779" s="209"/>
      <c r="N118779" s="209"/>
      <c r="O118779" s="209"/>
    </row>
    <row r="118780" spans="1:15" s="210" customFormat="1" x14ac:dyDescent="0.3">
      <c r="A118780" s="12"/>
      <c r="B118780" s="15"/>
      <c r="C118780" s="15"/>
      <c r="D118780" s="12"/>
      <c r="E118780" s="12"/>
      <c r="F118780" s="13"/>
      <c r="G118780" s="12"/>
      <c r="H118780" s="12"/>
      <c r="I118780" s="12"/>
      <c r="J118780" s="12"/>
      <c r="K118780" s="12"/>
      <c r="L118780" s="208"/>
      <c r="M118780" s="209"/>
      <c r="N118780" s="209"/>
      <c r="O118780" s="209"/>
    </row>
    <row r="118781" spans="1:15" s="210" customFormat="1" x14ac:dyDescent="0.3">
      <c r="A118781" s="12"/>
      <c r="B118781" s="15"/>
      <c r="C118781" s="15"/>
      <c r="D118781" s="12"/>
      <c r="E118781" s="12"/>
      <c r="F118781" s="13"/>
      <c r="G118781" s="12"/>
      <c r="H118781" s="12"/>
      <c r="I118781" s="12"/>
      <c r="J118781" s="12"/>
      <c r="K118781" s="12"/>
      <c r="L118781" s="208"/>
      <c r="M118781" s="209"/>
      <c r="N118781" s="209"/>
      <c r="O118781" s="209"/>
    </row>
    <row r="118782" spans="1:15" s="210" customFormat="1" x14ac:dyDescent="0.3">
      <c r="A118782" s="12"/>
      <c r="B118782" s="15"/>
      <c r="C118782" s="15"/>
      <c r="D118782" s="12"/>
      <c r="E118782" s="12"/>
      <c r="F118782" s="13"/>
      <c r="G118782" s="12"/>
      <c r="H118782" s="12"/>
      <c r="I118782" s="12"/>
      <c r="J118782" s="12"/>
      <c r="K118782" s="12"/>
      <c r="L118782" s="208"/>
      <c r="M118782" s="209"/>
      <c r="N118782" s="209"/>
      <c r="O118782" s="209"/>
    </row>
    <row r="118783" spans="1:15" s="210" customFormat="1" x14ac:dyDescent="0.3">
      <c r="A118783" s="12"/>
      <c r="B118783" s="15"/>
      <c r="C118783" s="15"/>
      <c r="D118783" s="12"/>
      <c r="E118783" s="12"/>
      <c r="F118783" s="13"/>
      <c r="G118783" s="12"/>
      <c r="H118783" s="12"/>
      <c r="I118783" s="12"/>
      <c r="J118783" s="12"/>
      <c r="K118783" s="12"/>
      <c r="L118783" s="208"/>
      <c r="M118783" s="209"/>
      <c r="N118783" s="209"/>
      <c r="O118783" s="209"/>
    </row>
    <row r="118784" spans="1:15" s="210" customFormat="1" x14ac:dyDescent="0.3">
      <c r="A118784" s="12"/>
      <c r="B118784" s="15"/>
      <c r="C118784" s="15"/>
      <c r="D118784" s="12"/>
      <c r="E118784" s="12"/>
      <c r="F118784" s="13"/>
      <c r="G118784" s="12"/>
      <c r="H118784" s="12"/>
      <c r="I118784" s="12"/>
      <c r="J118784" s="12"/>
      <c r="K118784" s="12"/>
      <c r="L118784" s="208"/>
      <c r="M118784" s="209"/>
      <c r="N118784" s="209"/>
      <c r="O118784" s="209"/>
    </row>
    <row r="118785" spans="1:15" s="210" customFormat="1" x14ac:dyDescent="0.3">
      <c r="A118785" s="12"/>
      <c r="B118785" s="15"/>
      <c r="C118785" s="15"/>
      <c r="D118785" s="12"/>
      <c r="E118785" s="12"/>
      <c r="F118785" s="13"/>
      <c r="G118785" s="12"/>
      <c r="H118785" s="12"/>
      <c r="I118785" s="12"/>
      <c r="J118785" s="12"/>
      <c r="K118785" s="12"/>
      <c r="L118785" s="208"/>
      <c r="M118785" s="209"/>
      <c r="N118785" s="209"/>
      <c r="O118785" s="209"/>
    </row>
    <row r="118786" spans="1:15" s="210" customFormat="1" x14ac:dyDescent="0.3">
      <c r="A118786" s="12"/>
      <c r="B118786" s="15"/>
      <c r="C118786" s="15"/>
      <c r="D118786" s="12"/>
      <c r="E118786" s="12"/>
      <c r="F118786" s="13"/>
      <c r="G118786" s="12"/>
      <c r="H118786" s="12"/>
      <c r="I118786" s="12"/>
      <c r="J118786" s="12"/>
      <c r="K118786" s="12"/>
      <c r="L118786" s="208"/>
      <c r="M118786" s="209"/>
      <c r="N118786" s="209"/>
      <c r="O118786" s="209"/>
    </row>
    <row r="118787" spans="1:15" s="210" customFormat="1" x14ac:dyDescent="0.3">
      <c r="A118787" s="12"/>
      <c r="B118787" s="15"/>
      <c r="C118787" s="15"/>
      <c r="D118787" s="12"/>
      <c r="E118787" s="12"/>
      <c r="F118787" s="13"/>
      <c r="G118787" s="12"/>
      <c r="H118787" s="12"/>
      <c r="I118787" s="12"/>
      <c r="J118787" s="12"/>
      <c r="K118787" s="12"/>
      <c r="L118787" s="208"/>
      <c r="M118787" s="209"/>
      <c r="N118787" s="209"/>
      <c r="O118787" s="209"/>
    </row>
    <row r="118788" spans="1:15" s="210" customFormat="1" x14ac:dyDescent="0.3">
      <c r="A118788" s="12"/>
      <c r="B118788" s="15"/>
      <c r="C118788" s="15"/>
      <c r="D118788" s="12"/>
      <c r="E118788" s="12"/>
      <c r="F118788" s="13"/>
      <c r="G118788" s="12"/>
      <c r="H118788" s="12"/>
      <c r="I118788" s="12"/>
      <c r="J118788" s="12"/>
      <c r="K118788" s="12"/>
      <c r="L118788" s="208"/>
      <c r="M118788" s="209"/>
      <c r="N118788" s="209"/>
      <c r="O118788" s="209"/>
    </row>
    <row r="118789" spans="1:15" s="210" customFormat="1" x14ac:dyDescent="0.3">
      <c r="A118789" s="12"/>
      <c r="B118789" s="15"/>
      <c r="C118789" s="15"/>
      <c r="D118789" s="12"/>
      <c r="E118789" s="12"/>
      <c r="F118789" s="13"/>
      <c r="G118789" s="12"/>
      <c r="H118789" s="12"/>
      <c r="I118789" s="12"/>
      <c r="J118789" s="12"/>
      <c r="K118789" s="12"/>
      <c r="L118789" s="208"/>
      <c r="M118789" s="209"/>
      <c r="N118789" s="209"/>
      <c r="O118789" s="209"/>
    </row>
    <row r="118790" spans="1:15" s="210" customFormat="1" x14ac:dyDescent="0.3">
      <c r="A118790" s="12"/>
      <c r="B118790" s="15"/>
      <c r="C118790" s="15"/>
      <c r="D118790" s="12"/>
      <c r="E118790" s="12"/>
      <c r="F118790" s="13"/>
      <c r="G118790" s="12"/>
      <c r="H118790" s="12"/>
      <c r="I118790" s="12"/>
      <c r="J118790" s="12"/>
      <c r="K118790" s="12"/>
      <c r="L118790" s="208"/>
      <c r="M118790" s="209"/>
      <c r="N118790" s="209"/>
      <c r="O118790" s="209"/>
    </row>
    <row r="118791" spans="1:15" s="210" customFormat="1" x14ac:dyDescent="0.3">
      <c r="A118791" s="12"/>
      <c r="B118791" s="15"/>
      <c r="C118791" s="15"/>
      <c r="D118791" s="12"/>
      <c r="E118791" s="12"/>
      <c r="F118791" s="13"/>
      <c r="G118791" s="12"/>
      <c r="H118791" s="12"/>
      <c r="I118791" s="12"/>
      <c r="J118791" s="12"/>
      <c r="K118791" s="12"/>
      <c r="L118791" s="208"/>
      <c r="M118791" s="209"/>
      <c r="N118791" s="209"/>
      <c r="O118791" s="209"/>
    </row>
    <row r="118792" spans="1:15" s="210" customFormat="1" x14ac:dyDescent="0.3">
      <c r="A118792" s="12"/>
      <c r="B118792" s="15"/>
      <c r="C118792" s="15"/>
      <c r="D118792" s="12"/>
      <c r="E118792" s="12"/>
      <c r="F118792" s="13"/>
      <c r="G118792" s="12"/>
      <c r="H118792" s="12"/>
      <c r="I118792" s="12"/>
      <c r="J118792" s="12"/>
      <c r="K118792" s="12"/>
      <c r="L118792" s="208"/>
      <c r="M118792" s="209"/>
      <c r="N118792" s="209"/>
      <c r="O118792" s="209"/>
    </row>
    <row r="118793" spans="1:15" s="210" customFormat="1" x14ac:dyDescent="0.3">
      <c r="A118793" s="12"/>
      <c r="B118793" s="15"/>
      <c r="C118793" s="15"/>
      <c r="D118793" s="12"/>
      <c r="E118793" s="12"/>
      <c r="F118793" s="13"/>
      <c r="G118793" s="12"/>
      <c r="H118793" s="12"/>
      <c r="I118793" s="12"/>
      <c r="J118793" s="12"/>
      <c r="K118793" s="12"/>
      <c r="L118793" s="208"/>
      <c r="M118793" s="209"/>
      <c r="N118793" s="209"/>
      <c r="O118793" s="209"/>
    </row>
    <row r="118794" spans="1:15" s="210" customFormat="1" x14ac:dyDescent="0.3">
      <c r="A118794" s="12"/>
      <c r="B118794" s="15"/>
      <c r="C118794" s="15"/>
      <c r="D118794" s="12"/>
      <c r="E118794" s="12"/>
      <c r="F118794" s="13"/>
      <c r="G118794" s="12"/>
      <c r="H118794" s="12"/>
      <c r="I118794" s="12"/>
      <c r="J118794" s="12"/>
      <c r="K118794" s="12"/>
      <c r="L118794" s="208"/>
      <c r="M118794" s="209"/>
      <c r="N118794" s="209"/>
      <c r="O118794" s="209"/>
    </row>
    <row r="118795" spans="1:15" s="210" customFormat="1" x14ac:dyDescent="0.3">
      <c r="A118795" s="12"/>
      <c r="B118795" s="15"/>
      <c r="C118795" s="15"/>
      <c r="D118795" s="12"/>
      <c r="E118795" s="12"/>
      <c r="F118795" s="13"/>
      <c r="G118795" s="12"/>
      <c r="H118795" s="12"/>
      <c r="I118795" s="12"/>
      <c r="J118795" s="12"/>
      <c r="K118795" s="12"/>
      <c r="L118795" s="208"/>
      <c r="M118795" s="209"/>
      <c r="N118795" s="209"/>
      <c r="O118795" s="209"/>
    </row>
    <row r="118796" spans="1:15" s="210" customFormat="1" x14ac:dyDescent="0.3">
      <c r="A118796" s="12"/>
      <c r="B118796" s="15"/>
      <c r="C118796" s="15"/>
      <c r="D118796" s="12"/>
      <c r="E118796" s="12"/>
      <c r="F118796" s="13"/>
      <c r="G118796" s="12"/>
      <c r="H118796" s="12"/>
      <c r="I118796" s="12"/>
      <c r="J118796" s="12"/>
      <c r="K118796" s="12"/>
      <c r="L118796" s="208"/>
      <c r="M118796" s="209"/>
      <c r="N118796" s="209"/>
      <c r="O118796" s="209"/>
    </row>
    <row r="118797" spans="1:15" s="210" customFormat="1" x14ac:dyDescent="0.3">
      <c r="A118797" s="12"/>
      <c r="B118797" s="15"/>
      <c r="C118797" s="15"/>
      <c r="D118797" s="12"/>
      <c r="E118797" s="12"/>
      <c r="F118797" s="13"/>
      <c r="G118797" s="12"/>
      <c r="H118797" s="12"/>
      <c r="I118797" s="12"/>
      <c r="J118797" s="12"/>
      <c r="K118797" s="12"/>
      <c r="L118797" s="208"/>
      <c r="M118797" s="209"/>
      <c r="N118797" s="209"/>
      <c r="O118797" s="209"/>
    </row>
    <row r="118798" spans="1:15" s="210" customFormat="1" x14ac:dyDescent="0.3">
      <c r="A118798" s="12"/>
      <c r="B118798" s="15"/>
      <c r="C118798" s="15"/>
      <c r="D118798" s="12"/>
      <c r="E118798" s="12"/>
      <c r="F118798" s="13"/>
      <c r="G118798" s="12"/>
      <c r="H118798" s="12"/>
      <c r="I118798" s="12"/>
      <c r="J118798" s="12"/>
      <c r="K118798" s="12"/>
      <c r="L118798" s="208"/>
      <c r="M118798" s="209"/>
      <c r="N118798" s="209"/>
      <c r="O118798" s="209"/>
    </row>
    <row r="118799" spans="1:15" s="210" customFormat="1" x14ac:dyDescent="0.3">
      <c r="A118799" s="12"/>
      <c r="B118799" s="15"/>
      <c r="C118799" s="15"/>
      <c r="D118799" s="12"/>
      <c r="E118799" s="12"/>
      <c r="F118799" s="13"/>
      <c r="G118799" s="12"/>
      <c r="H118799" s="12"/>
      <c r="I118799" s="12"/>
      <c r="J118799" s="12"/>
      <c r="K118799" s="12"/>
      <c r="L118799" s="208"/>
      <c r="M118799" s="209"/>
      <c r="N118799" s="209"/>
      <c r="O118799" s="209"/>
    </row>
    <row r="118800" spans="1:15" s="210" customFormat="1" x14ac:dyDescent="0.3">
      <c r="A118800" s="12"/>
      <c r="B118800" s="15"/>
      <c r="C118800" s="15"/>
      <c r="D118800" s="12"/>
      <c r="E118800" s="12"/>
      <c r="F118800" s="13"/>
      <c r="G118800" s="12"/>
      <c r="H118800" s="12"/>
      <c r="I118800" s="12"/>
      <c r="J118800" s="12"/>
      <c r="K118800" s="12"/>
      <c r="L118800" s="208"/>
      <c r="M118800" s="209"/>
      <c r="N118800" s="209"/>
      <c r="O118800" s="209"/>
    </row>
    <row r="118801" spans="1:15" s="210" customFormat="1" x14ac:dyDescent="0.3">
      <c r="A118801" s="12"/>
      <c r="B118801" s="15"/>
      <c r="C118801" s="15"/>
      <c r="D118801" s="12"/>
      <c r="E118801" s="12"/>
      <c r="F118801" s="13"/>
      <c r="G118801" s="12"/>
      <c r="H118801" s="12"/>
      <c r="I118801" s="12"/>
      <c r="J118801" s="12"/>
      <c r="K118801" s="12"/>
      <c r="L118801" s="208"/>
      <c r="M118801" s="209"/>
      <c r="N118801" s="209"/>
      <c r="O118801" s="209"/>
    </row>
    <row r="118802" spans="1:15" s="210" customFormat="1" x14ac:dyDescent="0.3">
      <c r="A118802" s="12"/>
      <c r="B118802" s="15"/>
      <c r="C118802" s="15"/>
      <c r="D118802" s="12"/>
      <c r="E118802" s="12"/>
      <c r="F118802" s="13"/>
      <c r="G118802" s="12"/>
      <c r="H118802" s="12"/>
      <c r="I118802" s="12"/>
      <c r="J118802" s="12"/>
      <c r="K118802" s="12"/>
      <c r="L118802" s="208"/>
      <c r="M118802" s="209"/>
      <c r="N118802" s="209"/>
      <c r="O118802" s="209"/>
    </row>
    <row r="118803" spans="1:15" s="210" customFormat="1" x14ac:dyDescent="0.3">
      <c r="A118803" s="12"/>
      <c r="B118803" s="15"/>
      <c r="C118803" s="15"/>
      <c r="D118803" s="12"/>
      <c r="E118803" s="12"/>
      <c r="F118803" s="13"/>
      <c r="G118803" s="12"/>
      <c r="H118803" s="12"/>
      <c r="I118803" s="12"/>
      <c r="J118803" s="12"/>
      <c r="K118803" s="12"/>
      <c r="L118803" s="208"/>
      <c r="M118803" s="209"/>
      <c r="N118803" s="209"/>
      <c r="O118803" s="209"/>
    </row>
    <row r="118804" spans="1:15" s="210" customFormat="1" x14ac:dyDescent="0.3">
      <c r="A118804" s="12"/>
      <c r="B118804" s="15"/>
      <c r="C118804" s="15"/>
      <c r="D118804" s="12"/>
      <c r="E118804" s="12"/>
      <c r="F118804" s="13"/>
      <c r="G118804" s="12"/>
      <c r="H118804" s="12"/>
      <c r="I118804" s="12"/>
      <c r="J118804" s="12"/>
      <c r="K118804" s="12"/>
      <c r="L118804" s="208"/>
      <c r="M118804" s="209"/>
      <c r="N118804" s="209"/>
      <c r="O118804" s="209"/>
    </row>
    <row r="118805" spans="1:15" s="210" customFormat="1" x14ac:dyDescent="0.3">
      <c r="A118805" s="12"/>
      <c r="B118805" s="15"/>
      <c r="C118805" s="15"/>
      <c r="D118805" s="12"/>
      <c r="E118805" s="12"/>
      <c r="F118805" s="13"/>
      <c r="G118805" s="12"/>
      <c r="H118805" s="12"/>
      <c r="I118805" s="12"/>
      <c r="J118805" s="12"/>
      <c r="K118805" s="12"/>
      <c r="L118805" s="208"/>
      <c r="M118805" s="209"/>
      <c r="N118805" s="209"/>
      <c r="O118805" s="209"/>
    </row>
    <row r="118806" spans="1:15" s="210" customFormat="1" x14ac:dyDescent="0.3">
      <c r="A118806" s="12"/>
      <c r="B118806" s="15"/>
      <c r="C118806" s="15"/>
      <c r="D118806" s="12"/>
      <c r="E118806" s="12"/>
      <c r="F118806" s="13"/>
      <c r="G118806" s="12"/>
      <c r="H118806" s="12"/>
      <c r="I118806" s="12"/>
      <c r="J118806" s="12"/>
      <c r="K118806" s="12"/>
      <c r="L118806" s="208"/>
      <c r="M118806" s="209"/>
      <c r="N118806" s="209"/>
      <c r="O118806" s="209"/>
    </row>
    <row r="118807" spans="1:15" s="210" customFormat="1" x14ac:dyDescent="0.3">
      <c r="A118807" s="12"/>
      <c r="B118807" s="15"/>
      <c r="C118807" s="15"/>
      <c r="D118807" s="12"/>
      <c r="E118807" s="12"/>
      <c r="F118807" s="13"/>
      <c r="G118807" s="12"/>
      <c r="H118807" s="12"/>
      <c r="I118807" s="12"/>
      <c r="J118807" s="12"/>
      <c r="K118807" s="12"/>
      <c r="L118807" s="208"/>
      <c r="M118807" s="209"/>
      <c r="N118807" s="209"/>
      <c r="O118807" s="209"/>
    </row>
    <row r="118808" spans="1:15" s="210" customFormat="1" x14ac:dyDescent="0.3">
      <c r="A118808" s="12"/>
      <c r="B118808" s="15"/>
      <c r="C118808" s="15"/>
      <c r="D118808" s="12"/>
      <c r="E118808" s="12"/>
      <c r="F118808" s="13"/>
      <c r="G118808" s="12"/>
      <c r="H118808" s="12"/>
      <c r="I118808" s="12"/>
      <c r="J118808" s="12"/>
      <c r="K118808" s="12"/>
      <c r="L118808" s="208"/>
      <c r="M118808" s="209"/>
      <c r="N118808" s="209"/>
      <c r="O118808" s="209"/>
    </row>
    <row r="118809" spans="1:15" s="210" customFormat="1" x14ac:dyDescent="0.3">
      <c r="A118809" s="12"/>
      <c r="B118809" s="15"/>
      <c r="C118809" s="15"/>
      <c r="D118809" s="12"/>
      <c r="E118809" s="12"/>
      <c r="F118809" s="13"/>
      <c r="G118809" s="12"/>
      <c r="H118809" s="12"/>
      <c r="I118809" s="12"/>
      <c r="J118809" s="12"/>
      <c r="K118809" s="12"/>
      <c r="L118809" s="208"/>
      <c r="M118809" s="209"/>
      <c r="N118809" s="209"/>
      <c r="O118809" s="209"/>
    </row>
    <row r="118810" spans="1:15" s="210" customFormat="1" x14ac:dyDescent="0.3">
      <c r="A118810" s="12"/>
      <c r="B118810" s="15"/>
      <c r="C118810" s="15"/>
      <c r="D118810" s="12"/>
      <c r="E118810" s="12"/>
      <c r="F118810" s="13"/>
      <c r="G118810" s="12"/>
      <c r="H118810" s="12"/>
      <c r="I118810" s="12"/>
      <c r="J118810" s="12"/>
      <c r="K118810" s="12"/>
      <c r="L118810" s="208"/>
      <c r="M118810" s="209"/>
      <c r="N118810" s="209"/>
      <c r="O118810" s="209"/>
    </row>
    <row r="118811" spans="1:15" s="210" customFormat="1" x14ac:dyDescent="0.3">
      <c r="A118811" s="12"/>
      <c r="B118811" s="15"/>
      <c r="C118811" s="15"/>
      <c r="D118811" s="12"/>
      <c r="E118811" s="12"/>
      <c r="F118811" s="13"/>
      <c r="G118811" s="12"/>
      <c r="H118811" s="12"/>
      <c r="I118811" s="12"/>
      <c r="J118811" s="12"/>
      <c r="K118811" s="12"/>
      <c r="L118811" s="208"/>
      <c r="M118811" s="209"/>
      <c r="N118811" s="209"/>
      <c r="O118811" s="209"/>
    </row>
    <row r="118812" spans="1:15" s="210" customFormat="1" x14ac:dyDescent="0.3">
      <c r="A118812" s="12"/>
      <c r="B118812" s="15"/>
      <c r="C118812" s="15"/>
      <c r="D118812" s="12"/>
      <c r="E118812" s="12"/>
      <c r="F118812" s="13"/>
      <c r="G118812" s="12"/>
      <c r="H118812" s="12"/>
      <c r="I118812" s="12"/>
      <c r="J118812" s="12"/>
      <c r="K118812" s="12"/>
      <c r="L118812" s="208"/>
      <c r="M118812" s="209"/>
      <c r="N118812" s="209"/>
      <c r="O118812" s="209"/>
    </row>
    <row r="118813" spans="1:15" s="210" customFormat="1" x14ac:dyDescent="0.3">
      <c r="A118813" s="12"/>
      <c r="B118813" s="15"/>
      <c r="C118813" s="15"/>
      <c r="D118813" s="12"/>
      <c r="E118813" s="12"/>
      <c r="F118813" s="13"/>
      <c r="G118813" s="12"/>
      <c r="H118813" s="12"/>
      <c r="I118813" s="12"/>
      <c r="J118813" s="12"/>
      <c r="K118813" s="12"/>
      <c r="L118813" s="208"/>
      <c r="M118813" s="209"/>
      <c r="N118813" s="209"/>
      <c r="O118813" s="209"/>
    </row>
    <row r="118814" spans="1:15" s="210" customFormat="1" x14ac:dyDescent="0.3">
      <c r="A118814" s="12"/>
      <c r="B118814" s="15"/>
      <c r="C118814" s="15"/>
      <c r="D118814" s="12"/>
      <c r="E118814" s="12"/>
      <c r="F118814" s="13"/>
      <c r="G118814" s="12"/>
      <c r="H118814" s="12"/>
      <c r="I118814" s="12"/>
      <c r="J118814" s="12"/>
      <c r="K118814" s="12"/>
      <c r="L118814" s="208"/>
      <c r="M118814" s="209"/>
      <c r="N118814" s="209"/>
      <c r="O118814" s="209"/>
    </row>
    <row r="118815" spans="1:15" s="210" customFormat="1" x14ac:dyDescent="0.3">
      <c r="A118815" s="12"/>
      <c r="B118815" s="15"/>
      <c r="C118815" s="15"/>
      <c r="D118815" s="12"/>
      <c r="E118815" s="12"/>
      <c r="F118815" s="13"/>
      <c r="G118815" s="12"/>
      <c r="H118815" s="12"/>
      <c r="I118815" s="12"/>
      <c r="J118815" s="12"/>
      <c r="K118815" s="12"/>
      <c r="L118815" s="208"/>
      <c r="M118815" s="209"/>
      <c r="N118815" s="209"/>
      <c r="O118815" s="209"/>
    </row>
    <row r="118816" spans="1:15" s="210" customFormat="1" x14ac:dyDescent="0.3">
      <c r="A118816" s="12"/>
      <c r="B118816" s="15"/>
      <c r="C118816" s="15"/>
      <c r="D118816" s="12"/>
      <c r="E118816" s="12"/>
      <c r="F118816" s="13"/>
      <c r="G118816" s="12"/>
      <c r="H118816" s="12"/>
      <c r="I118816" s="12"/>
      <c r="J118816" s="12"/>
      <c r="K118816" s="12"/>
      <c r="L118816" s="208"/>
      <c r="M118816" s="209"/>
      <c r="N118816" s="209"/>
      <c r="O118816" s="209"/>
    </row>
    <row r="118817" spans="1:15" s="210" customFormat="1" x14ac:dyDescent="0.3">
      <c r="A118817" s="12"/>
      <c r="B118817" s="15"/>
      <c r="C118817" s="15"/>
      <c r="D118817" s="12"/>
      <c r="E118817" s="12"/>
      <c r="F118817" s="13"/>
      <c r="G118817" s="12"/>
      <c r="H118817" s="12"/>
      <c r="I118817" s="12"/>
      <c r="J118817" s="12"/>
      <c r="K118817" s="12"/>
      <c r="L118817" s="208"/>
      <c r="M118817" s="209"/>
      <c r="N118817" s="209"/>
      <c r="O118817" s="209"/>
    </row>
    <row r="118818" spans="1:15" s="210" customFormat="1" x14ac:dyDescent="0.3">
      <c r="A118818" s="12"/>
      <c r="B118818" s="15"/>
      <c r="C118818" s="15"/>
      <c r="D118818" s="12"/>
      <c r="E118818" s="12"/>
      <c r="F118818" s="13"/>
      <c r="G118818" s="12"/>
      <c r="H118818" s="12"/>
      <c r="I118818" s="12"/>
      <c r="J118818" s="12"/>
      <c r="K118818" s="12"/>
      <c r="L118818" s="208"/>
      <c r="M118818" s="209"/>
      <c r="N118818" s="209"/>
      <c r="O118818" s="209"/>
    </row>
    <row r="118819" spans="1:15" s="210" customFormat="1" x14ac:dyDescent="0.3">
      <c r="A118819" s="12"/>
      <c r="B118819" s="15"/>
      <c r="C118819" s="15"/>
      <c r="D118819" s="12"/>
      <c r="E118819" s="12"/>
      <c r="F118819" s="13"/>
      <c r="G118819" s="12"/>
      <c r="H118819" s="12"/>
      <c r="I118819" s="12"/>
      <c r="J118819" s="12"/>
      <c r="K118819" s="12"/>
      <c r="L118819" s="208"/>
      <c r="M118819" s="209"/>
      <c r="N118819" s="209"/>
      <c r="O118819" s="209"/>
    </row>
    <row r="118820" spans="1:15" s="210" customFormat="1" x14ac:dyDescent="0.3">
      <c r="A118820" s="12"/>
      <c r="B118820" s="15"/>
      <c r="C118820" s="15"/>
      <c r="D118820" s="12"/>
      <c r="E118820" s="12"/>
      <c r="F118820" s="13"/>
      <c r="G118820" s="12"/>
      <c r="H118820" s="12"/>
      <c r="I118820" s="12"/>
      <c r="J118820" s="12"/>
      <c r="K118820" s="12"/>
      <c r="L118820" s="208"/>
      <c r="M118820" s="209"/>
      <c r="N118820" s="209"/>
      <c r="O118820" s="209"/>
    </row>
    <row r="118821" spans="1:15" s="210" customFormat="1" x14ac:dyDescent="0.3">
      <c r="A118821" s="12"/>
      <c r="B118821" s="15"/>
      <c r="C118821" s="15"/>
      <c r="D118821" s="12"/>
      <c r="E118821" s="12"/>
      <c r="F118821" s="13"/>
      <c r="G118821" s="12"/>
      <c r="H118821" s="12"/>
      <c r="I118821" s="12"/>
      <c r="J118821" s="12"/>
      <c r="K118821" s="12"/>
      <c r="L118821" s="208"/>
      <c r="M118821" s="209"/>
      <c r="N118821" s="209"/>
      <c r="O118821" s="209"/>
    </row>
    <row r="118822" spans="1:15" s="210" customFormat="1" x14ac:dyDescent="0.3">
      <c r="A118822" s="12"/>
      <c r="B118822" s="15"/>
      <c r="C118822" s="15"/>
      <c r="D118822" s="12"/>
      <c r="E118822" s="12"/>
      <c r="F118822" s="13"/>
      <c r="G118822" s="12"/>
      <c r="H118822" s="12"/>
      <c r="I118822" s="12"/>
      <c r="J118822" s="12"/>
      <c r="K118822" s="12"/>
      <c r="L118822" s="208"/>
      <c r="M118822" s="209"/>
      <c r="N118822" s="209"/>
      <c r="O118822" s="209"/>
    </row>
    <row r="118823" spans="1:15" s="210" customFormat="1" x14ac:dyDescent="0.3">
      <c r="A118823" s="12"/>
      <c r="B118823" s="15"/>
      <c r="C118823" s="15"/>
      <c r="D118823" s="12"/>
      <c r="E118823" s="12"/>
      <c r="F118823" s="13"/>
      <c r="G118823" s="12"/>
      <c r="H118823" s="12"/>
      <c r="I118823" s="12"/>
      <c r="J118823" s="12"/>
      <c r="K118823" s="12"/>
      <c r="L118823" s="208"/>
      <c r="M118823" s="209"/>
      <c r="N118823" s="209"/>
      <c r="O118823" s="209"/>
    </row>
    <row r="118824" spans="1:15" s="210" customFormat="1" x14ac:dyDescent="0.3">
      <c r="A118824" s="12"/>
      <c r="B118824" s="15"/>
      <c r="C118824" s="15"/>
      <c r="D118824" s="12"/>
      <c r="E118824" s="12"/>
      <c r="F118824" s="13"/>
      <c r="G118824" s="12"/>
      <c r="H118824" s="12"/>
      <c r="I118824" s="12"/>
      <c r="J118824" s="12"/>
      <c r="K118824" s="12"/>
      <c r="L118824" s="208"/>
      <c r="M118824" s="209"/>
      <c r="N118824" s="209"/>
      <c r="O118824" s="209"/>
    </row>
    <row r="118825" spans="1:15" s="210" customFormat="1" x14ac:dyDescent="0.3">
      <c r="A118825" s="12"/>
      <c r="B118825" s="15"/>
      <c r="C118825" s="15"/>
      <c r="D118825" s="12"/>
      <c r="E118825" s="12"/>
      <c r="F118825" s="13"/>
      <c r="G118825" s="12"/>
      <c r="H118825" s="12"/>
      <c r="I118825" s="12"/>
      <c r="J118825" s="12"/>
      <c r="K118825" s="12"/>
      <c r="L118825" s="208"/>
      <c r="M118825" s="209"/>
      <c r="N118825" s="209"/>
      <c r="O118825" s="209"/>
    </row>
    <row r="118826" spans="1:15" s="210" customFormat="1" x14ac:dyDescent="0.3">
      <c r="A118826" s="12"/>
      <c r="B118826" s="15"/>
      <c r="C118826" s="15"/>
      <c r="D118826" s="12"/>
      <c r="E118826" s="12"/>
      <c r="F118826" s="13"/>
      <c r="G118826" s="12"/>
      <c r="H118826" s="12"/>
      <c r="I118826" s="12"/>
      <c r="J118826" s="12"/>
      <c r="K118826" s="12"/>
      <c r="L118826" s="208"/>
      <c r="M118826" s="209"/>
      <c r="N118826" s="209"/>
      <c r="O118826" s="209"/>
    </row>
    <row r="118827" spans="1:15" s="210" customFormat="1" x14ac:dyDescent="0.3">
      <c r="A118827" s="12"/>
      <c r="B118827" s="15"/>
      <c r="C118827" s="15"/>
      <c r="D118827" s="12"/>
      <c r="E118827" s="12"/>
      <c r="F118827" s="13"/>
      <c r="G118827" s="12"/>
      <c r="H118827" s="12"/>
      <c r="I118827" s="12"/>
      <c r="J118827" s="12"/>
      <c r="K118827" s="12"/>
      <c r="L118827" s="208"/>
      <c r="M118827" s="209"/>
      <c r="N118827" s="209"/>
      <c r="O118827" s="209"/>
    </row>
    <row r="118828" spans="1:15" s="210" customFormat="1" x14ac:dyDescent="0.3">
      <c r="A118828" s="12"/>
      <c r="B118828" s="15"/>
      <c r="C118828" s="15"/>
      <c r="D118828" s="12"/>
      <c r="E118828" s="12"/>
      <c r="F118828" s="13"/>
      <c r="G118828" s="12"/>
      <c r="H118828" s="12"/>
      <c r="I118828" s="12"/>
      <c r="J118828" s="12"/>
      <c r="K118828" s="12"/>
      <c r="L118828" s="208"/>
      <c r="M118828" s="209"/>
      <c r="N118828" s="209"/>
      <c r="O118828" s="209"/>
    </row>
    <row r="118829" spans="1:15" s="210" customFormat="1" x14ac:dyDescent="0.3">
      <c r="A118829" s="12"/>
      <c r="B118829" s="15"/>
      <c r="C118829" s="15"/>
      <c r="D118829" s="12"/>
      <c r="E118829" s="12"/>
      <c r="F118829" s="13"/>
      <c r="G118829" s="12"/>
      <c r="H118829" s="12"/>
      <c r="I118829" s="12"/>
      <c r="J118829" s="12"/>
      <c r="K118829" s="12"/>
      <c r="L118829" s="208"/>
      <c r="M118829" s="209"/>
      <c r="N118829" s="209"/>
      <c r="O118829" s="209"/>
    </row>
    <row r="118830" spans="1:15" s="210" customFormat="1" x14ac:dyDescent="0.3">
      <c r="A118830" s="12"/>
      <c r="B118830" s="15"/>
      <c r="C118830" s="15"/>
      <c r="D118830" s="12"/>
      <c r="E118830" s="12"/>
      <c r="F118830" s="13"/>
      <c r="G118830" s="12"/>
      <c r="H118830" s="12"/>
      <c r="I118830" s="12"/>
      <c r="J118830" s="12"/>
      <c r="K118830" s="12"/>
      <c r="L118830" s="208"/>
      <c r="M118830" s="209"/>
      <c r="N118830" s="209"/>
      <c r="O118830" s="209"/>
    </row>
    <row r="118831" spans="1:15" s="210" customFormat="1" x14ac:dyDescent="0.3">
      <c r="A118831" s="12"/>
      <c r="B118831" s="15"/>
      <c r="C118831" s="15"/>
      <c r="D118831" s="12"/>
      <c r="E118831" s="12"/>
      <c r="F118831" s="13"/>
      <c r="G118831" s="12"/>
      <c r="H118831" s="12"/>
      <c r="I118831" s="12"/>
      <c r="J118831" s="12"/>
      <c r="K118831" s="12"/>
      <c r="L118831" s="208"/>
      <c r="M118831" s="209"/>
      <c r="N118831" s="209"/>
      <c r="O118831" s="209"/>
    </row>
    <row r="118832" spans="1:15" s="210" customFormat="1" x14ac:dyDescent="0.3">
      <c r="A118832" s="12"/>
      <c r="B118832" s="15"/>
      <c r="C118832" s="15"/>
      <c r="D118832" s="12"/>
      <c r="E118832" s="12"/>
      <c r="F118832" s="13"/>
      <c r="G118832" s="12"/>
      <c r="H118832" s="12"/>
      <c r="I118832" s="12"/>
      <c r="J118832" s="12"/>
      <c r="K118832" s="12"/>
      <c r="L118832" s="208"/>
      <c r="M118832" s="209"/>
      <c r="N118832" s="209"/>
      <c r="O118832" s="209"/>
    </row>
    <row r="118833" spans="1:15" s="210" customFormat="1" x14ac:dyDescent="0.3">
      <c r="A118833" s="12"/>
      <c r="B118833" s="15"/>
      <c r="C118833" s="15"/>
      <c r="D118833" s="12"/>
      <c r="E118833" s="12"/>
      <c r="F118833" s="13"/>
      <c r="G118833" s="12"/>
      <c r="H118833" s="12"/>
      <c r="I118833" s="12"/>
      <c r="J118833" s="12"/>
      <c r="K118833" s="12"/>
      <c r="L118833" s="208"/>
      <c r="M118833" s="209"/>
      <c r="N118833" s="209"/>
      <c r="O118833" s="209"/>
    </row>
    <row r="118834" spans="1:15" s="210" customFormat="1" x14ac:dyDescent="0.3">
      <c r="A118834" s="12"/>
      <c r="B118834" s="15"/>
      <c r="C118834" s="15"/>
      <c r="D118834" s="12"/>
      <c r="E118834" s="12"/>
      <c r="F118834" s="13"/>
      <c r="G118834" s="12"/>
      <c r="H118834" s="12"/>
      <c r="I118834" s="12"/>
      <c r="J118834" s="12"/>
      <c r="K118834" s="12"/>
      <c r="L118834" s="208"/>
      <c r="M118834" s="209"/>
      <c r="N118834" s="209"/>
      <c r="O118834" s="209"/>
    </row>
    <row r="118835" spans="1:15" s="210" customFormat="1" x14ac:dyDescent="0.3">
      <c r="A118835" s="12"/>
      <c r="B118835" s="15"/>
      <c r="C118835" s="15"/>
      <c r="D118835" s="12"/>
      <c r="E118835" s="12"/>
      <c r="F118835" s="13"/>
      <c r="G118835" s="12"/>
      <c r="H118835" s="12"/>
      <c r="I118835" s="12"/>
      <c r="J118835" s="12"/>
      <c r="K118835" s="12"/>
      <c r="L118835" s="208"/>
      <c r="M118835" s="209"/>
      <c r="N118835" s="209"/>
      <c r="O118835" s="209"/>
    </row>
    <row r="118836" spans="1:15" s="210" customFormat="1" x14ac:dyDescent="0.3">
      <c r="A118836" s="12"/>
      <c r="B118836" s="15"/>
      <c r="C118836" s="15"/>
      <c r="D118836" s="12"/>
      <c r="E118836" s="12"/>
      <c r="F118836" s="13"/>
      <c r="G118836" s="12"/>
      <c r="H118836" s="12"/>
      <c r="I118836" s="12"/>
      <c r="J118836" s="12"/>
      <c r="K118836" s="12"/>
      <c r="L118836" s="208"/>
      <c r="M118836" s="209"/>
      <c r="N118836" s="209"/>
      <c r="O118836" s="209"/>
    </row>
    <row r="118837" spans="1:15" s="210" customFormat="1" x14ac:dyDescent="0.3">
      <c r="A118837" s="12"/>
      <c r="B118837" s="15"/>
      <c r="C118837" s="15"/>
      <c r="D118837" s="12"/>
      <c r="E118837" s="12"/>
      <c r="F118837" s="13"/>
      <c r="G118837" s="12"/>
      <c r="H118837" s="12"/>
      <c r="I118837" s="12"/>
      <c r="J118837" s="12"/>
      <c r="K118837" s="12"/>
      <c r="L118837" s="208"/>
      <c r="M118837" s="209"/>
      <c r="N118837" s="209"/>
      <c r="O118837" s="209"/>
    </row>
    <row r="118838" spans="1:15" s="210" customFormat="1" x14ac:dyDescent="0.3">
      <c r="A118838" s="12"/>
      <c r="B118838" s="15"/>
      <c r="C118838" s="15"/>
      <c r="D118838" s="12"/>
      <c r="E118838" s="12"/>
      <c r="F118838" s="13"/>
      <c r="G118838" s="12"/>
      <c r="H118838" s="12"/>
      <c r="I118838" s="12"/>
      <c r="J118838" s="12"/>
      <c r="K118838" s="12"/>
      <c r="L118838" s="208"/>
      <c r="M118838" s="209"/>
      <c r="N118838" s="209"/>
      <c r="O118838" s="209"/>
    </row>
    <row r="118839" spans="1:15" s="210" customFormat="1" x14ac:dyDescent="0.3">
      <c r="A118839" s="12"/>
      <c r="B118839" s="15"/>
      <c r="C118839" s="15"/>
      <c r="D118839" s="12"/>
      <c r="E118839" s="12"/>
      <c r="F118839" s="13"/>
      <c r="G118839" s="12"/>
      <c r="H118839" s="12"/>
      <c r="I118839" s="12"/>
      <c r="J118839" s="12"/>
      <c r="K118839" s="12"/>
      <c r="L118839" s="208"/>
      <c r="M118839" s="209"/>
      <c r="N118839" s="209"/>
      <c r="O118839" s="209"/>
    </row>
    <row r="118840" spans="1:15" s="210" customFormat="1" x14ac:dyDescent="0.3">
      <c r="A118840" s="12"/>
      <c r="B118840" s="15"/>
      <c r="C118840" s="15"/>
      <c r="D118840" s="12"/>
      <c r="E118840" s="12"/>
      <c r="F118840" s="13"/>
      <c r="G118840" s="12"/>
      <c r="H118840" s="12"/>
      <c r="I118840" s="12"/>
      <c r="J118840" s="12"/>
      <c r="K118840" s="12"/>
      <c r="L118840" s="208"/>
      <c r="M118840" s="209"/>
      <c r="N118840" s="209"/>
      <c r="O118840" s="209"/>
    </row>
    <row r="118841" spans="1:15" s="210" customFormat="1" x14ac:dyDescent="0.3">
      <c r="A118841" s="12"/>
      <c r="B118841" s="15"/>
      <c r="C118841" s="15"/>
      <c r="D118841" s="12"/>
      <c r="E118841" s="12"/>
      <c r="F118841" s="13"/>
      <c r="G118841" s="12"/>
      <c r="H118841" s="12"/>
      <c r="I118841" s="12"/>
      <c r="J118841" s="12"/>
      <c r="K118841" s="12"/>
      <c r="L118841" s="208"/>
      <c r="M118841" s="209"/>
      <c r="N118841" s="209"/>
      <c r="O118841" s="209"/>
    </row>
    <row r="118842" spans="1:15" s="210" customFormat="1" x14ac:dyDescent="0.3">
      <c r="A118842" s="12"/>
      <c r="B118842" s="15"/>
      <c r="C118842" s="15"/>
      <c r="D118842" s="12"/>
      <c r="E118842" s="12"/>
      <c r="F118842" s="13"/>
      <c r="G118842" s="12"/>
      <c r="H118842" s="12"/>
      <c r="I118842" s="12"/>
      <c r="J118842" s="12"/>
      <c r="K118842" s="12"/>
      <c r="L118842" s="208"/>
      <c r="M118842" s="209"/>
      <c r="N118842" s="209"/>
      <c r="O118842" s="209"/>
    </row>
    <row r="118843" spans="1:15" s="210" customFormat="1" x14ac:dyDescent="0.3">
      <c r="A118843" s="12"/>
      <c r="B118843" s="15"/>
      <c r="C118843" s="15"/>
      <c r="D118843" s="12"/>
      <c r="E118843" s="12"/>
      <c r="F118843" s="13"/>
      <c r="G118843" s="12"/>
      <c r="H118843" s="12"/>
      <c r="I118843" s="12"/>
      <c r="J118843" s="12"/>
      <c r="K118843" s="12"/>
      <c r="L118843" s="208"/>
      <c r="M118843" s="209"/>
      <c r="N118843" s="209"/>
      <c r="O118843" s="209"/>
    </row>
    <row r="118844" spans="1:15" s="210" customFormat="1" x14ac:dyDescent="0.3">
      <c r="A118844" s="12"/>
      <c r="B118844" s="15"/>
      <c r="C118844" s="15"/>
      <c r="D118844" s="12"/>
      <c r="E118844" s="12"/>
      <c r="F118844" s="13"/>
      <c r="G118844" s="12"/>
      <c r="H118844" s="12"/>
      <c r="I118844" s="12"/>
      <c r="J118844" s="12"/>
      <c r="K118844" s="12"/>
      <c r="L118844" s="208"/>
      <c r="M118844" s="209"/>
      <c r="N118844" s="209"/>
      <c r="O118844" s="209"/>
    </row>
    <row r="118845" spans="1:15" s="210" customFormat="1" x14ac:dyDescent="0.3">
      <c r="A118845" s="12"/>
      <c r="B118845" s="15"/>
      <c r="C118845" s="15"/>
      <c r="D118845" s="12"/>
      <c r="E118845" s="12"/>
      <c r="F118845" s="13"/>
      <c r="G118845" s="12"/>
      <c r="H118845" s="12"/>
      <c r="I118845" s="12"/>
      <c r="J118845" s="12"/>
      <c r="K118845" s="12"/>
      <c r="L118845" s="208"/>
      <c r="M118845" s="209"/>
      <c r="N118845" s="209"/>
      <c r="O118845" s="209"/>
    </row>
    <row r="118846" spans="1:15" s="210" customFormat="1" x14ac:dyDescent="0.3">
      <c r="A118846" s="12"/>
      <c r="B118846" s="15"/>
      <c r="C118846" s="15"/>
      <c r="D118846" s="12"/>
      <c r="E118846" s="12"/>
      <c r="F118846" s="13"/>
      <c r="G118846" s="12"/>
      <c r="H118846" s="12"/>
      <c r="I118846" s="12"/>
      <c r="J118846" s="12"/>
      <c r="K118846" s="12"/>
      <c r="L118846" s="208"/>
      <c r="M118846" s="209"/>
      <c r="N118846" s="209"/>
      <c r="O118846" s="209"/>
    </row>
    <row r="118847" spans="1:15" s="210" customFormat="1" x14ac:dyDescent="0.3">
      <c r="A118847" s="12"/>
      <c r="B118847" s="15"/>
      <c r="C118847" s="15"/>
      <c r="D118847" s="12"/>
      <c r="E118847" s="12"/>
      <c r="F118847" s="13"/>
      <c r="G118847" s="12"/>
      <c r="H118847" s="12"/>
      <c r="I118847" s="12"/>
      <c r="J118847" s="12"/>
      <c r="K118847" s="12"/>
      <c r="L118847" s="208"/>
      <c r="M118847" s="209"/>
      <c r="N118847" s="209"/>
      <c r="O118847" s="209"/>
    </row>
    <row r="118848" spans="1:15" s="210" customFormat="1" x14ac:dyDescent="0.3">
      <c r="A118848" s="12"/>
      <c r="B118848" s="15"/>
      <c r="C118848" s="15"/>
      <c r="D118848" s="12"/>
      <c r="E118848" s="12"/>
      <c r="F118848" s="13"/>
      <c r="G118848" s="12"/>
      <c r="H118848" s="12"/>
      <c r="I118848" s="12"/>
      <c r="J118848" s="12"/>
      <c r="K118848" s="12"/>
      <c r="L118848" s="208"/>
      <c r="M118848" s="209"/>
      <c r="N118848" s="209"/>
      <c r="O118848" s="209"/>
    </row>
    <row r="118849" spans="1:15" s="210" customFormat="1" x14ac:dyDescent="0.3">
      <c r="A118849" s="12"/>
      <c r="B118849" s="15"/>
      <c r="C118849" s="15"/>
      <c r="D118849" s="12"/>
      <c r="E118849" s="12"/>
      <c r="F118849" s="13"/>
      <c r="G118849" s="12"/>
      <c r="H118849" s="12"/>
      <c r="I118849" s="12"/>
      <c r="J118849" s="12"/>
      <c r="K118849" s="12"/>
      <c r="L118849" s="208"/>
      <c r="M118849" s="209"/>
      <c r="N118849" s="209"/>
      <c r="O118849" s="209"/>
    </row>
    <row r="118850" spans="1:15" s="210" customFormat="1" x14ac:dyDescent="0.3">
      <c r="A118850" s="12"/>
      <c r="B118850" s="15"/>
      <c r="C118850" s="15"/>
      <c r="D118850" s="12"/>
      <c r="E118850" s="12"/>
      <c r="F118850" s="13"/>
      <c r="G118850" s="12"/>
      <c r="H118850" s="12"/>
      <c r="I118850" s="12"/>
      <c r="J118850" s="12"/>
      <c r="K118850" s="12"/>
      <c r="L118850" s="208"/>
      <c r="M118850" s="209"/>
      <c r="N118850" s="209"/>
      <c r="O118850" s="209"/>
    </row>
    <row r="118851" spans="1:15" s="210" customFormat="1" x14ac:dyDescent="0.3">
      <c r="A118851" s="12"/>
      <c r="B118851" s="15"/>
      <c r="C118851" s="15"/>
      <c r="D118851" s="12"/>
      <c r="E118851" s="12"/>
      <c r="F118851" s="13"/>
      <c r="G118851" s="12"/>
      <c r="H118851" s="12"/>
      <c r="I118851" s="12"/>
      <c r="J118851" s="12"/>
      <c r="K118851" s="12"/>
      <c r="L118851" s="208"/>
      <c r="M118851" s="209"/>
      <c r="N118851" s="209"/>
      <c r="O118851" s="209"/>
    </row>
    <row r="118852" spans="1:15" s="210" customFormat="1" x14ac:dyDescent="0.3">
      <c r="A118852" s="12"/>
      <c r="B118852" s="15"/>
      <c r="C118852" s="15"/>
      <c r="D118852" s="12"/>
      <c r="E118852" s="12"/>
      <c r="F118852" s="13"/>
      <c r="G118852" s="12"/>
      <c r="H118852" s="12"/>
      <c r="I118852" s="12"/>
      <c r="J118852" s="12"/>
      <c r="K118852" s="12"/>
      <c r="L118852" s="208"/>
      <c r="M118852" s="209"/>
      <c r="N118852" s="209"/>
      <c r="O118852" s="209"/>
    </row>
    <row r="118853" spans="1:15" s="210" customFormat="1" x14ac:dyDescent="0.3">
      <c r="A118853" s="12"/>
      <c r="B118853" s="15"/>
      <c r="C118853" s="15"/>
      <c r="D118853" s="12"/>
      <c r="E118853" s="12"/>
      <c r="F118853" s="13"/>
      <c r="G118853" s="12"/>
      <c r="H118853" s="12"/>
      <c r="I118853" s="12"/>
      <c r="J118853" s="12"/>
      <c r="K118853" s="12"/>
      <c r="L118853" s="208"/>
      <c r="M118853" s="209"/>
      <c r="N118853" s="209"/>
      <c r="O118853" s="209"/>
    </row>
    <row r="118854" spans="1:15" s="210" customFormat="1" x14ac:dyDescent="0.3">
      <c r="A118854" s="12"/>
      <c r="B118854" s="15"/>
      <c r="C118854" s="15"/>
      <c r="D118854" s="12"/>
      <c r="E118854" s="12"/>
      <c r="F118854" s="13"/>
      <c r="G118854" s="12"/>
      <c r="H118854" s="12"/>
      <c r="I118854" s="12"/>
      <c r="J118854" s="12"/>
      <c r="K118854" s="12"/>
      <c r="L118854" s="208"/>
      <c r="M118854" s="209"/>
      <c r="N118854" s="209"/>
      <c r="O118854" s="209"/>
    </row>
    <row r="118855" spans="1:15" s="210" customFormat="1" x14ac:dyDescent="0.3">
      <c r="A118855" s="12"/>
      <c r="B118855" s="15"/>
      <c r="C118855" s="15"/>
      <c r="D118855" s="12"/>
      <c r="E118855" s="12"/>
      <c r="F118855" s="13"/>
      <c r="G118855" s="12"/>
      <c r="H118855" s="12"/>
      <c r="I118855" s="12"/>
      <c r="J118855" s="12"/>
      <c r="K118855" s="12"/>
      <c r="L118855" s="208"/>
      <c r="M118855" s="209"/>
      <c r="N118855" s="209"/>
      <c r="O118855" s="209"/>
    </row>
    <row r="118856" spans="1:15" s="210" customFormat="1" x14ac:dyDescent="0.3">
      <c r="A118856" s="12"/>
      <c r="B118856" s="15"/>
      <c r="C118856" s="15"/>
      <c r="D118856" s="12"/>
      <c r="E118856" s="12"/>
      <c r="F118856" s="13"/>
      <c r="G118856" s="12"/>
      <c r="H118856" s="12"/>
      <c r="I118856" s="12"/>
      <c r="J118856" s="12"/>
      <c r="K118856" s="12"/>
      <c r="L118856" s="208"/>
      <c r="M118856" s="209"/>
      <c r="N118856" s="209"/>
      <c r="O118856" s="209"/>
    </row>
    <row r="118857" spans="1:15" s="210" customFormat="1" x14ac:dyDescent="0.3">
      <c r="A118857" s="12"/>
      <c r="B118857" s="15"/>
      <c r="C118857" s="15"/>
      <c r="D118857" s="12"/>
      <c r="E118857" s="12"/>
      <c r="F118857" s="13"/>
      <c r="G118857" s="12"/>
      <c r="H118857" s="12"/>
      <c r="I118857" s="12"/>
      <c r="J118857" s="12"/>
      <c r="K118857" s="12"/>
      <c r="L118857" s="208"/>
      <c r="M118857" s="209"/>
      <c r="N118857" s="209"/>
      <c r="O118857" s="209"/>
    </row>
    <row r="118858" spans="1:15" s="210" customFormat="1" x14ac:dyDescent="0.3">
      <c r="A118858" s="12"/>
      <c r="B118858" s="15"/>
      <c r="C118858" s="15"/>
      <c r="D118858" s="12"/>
      <c r="E118858" s="12"/>
      <c r="F118858" s="13"/>
      <c r="G118858" s="12"/>
      <c r="H118858" s="12"/>
      <c r="I118858" s="12"/>
      <c r="J118858" s="12"/>
      <c r="K118858" s="12"/>
      <c r="L118858" s="208"/>
      <c r="M118858" s="209"/>
      <c r="N118858" s="209"/>
      <c r="O118858" s="209"/>
    </row>
    <row r="118859" spans="1:15" s="210" customFormat="1" x14ac:dyDescent="0.3">
      <c r="A118859" s="12"/>
      <c r="B118859" s="15"/>
      <c r="C118859" s="15"/>
      <c r="D118859" s="12"/>
      <c r="E118859" s="12"/>
      <c r="F118859" s="13"/>
      <c r="G118859" s="12"/>
      <c r="H118859" s="12"/>
      <c r="I118859" s="12"/>
      <c r="J118859" s="12"/>
      <c r="K118859" s="12"/>
      <c r="L118859" s="208"/>
      <c r="M118859" s="209"/>
      <c r="N118859" s="209"/>
      <c r="O118859" s="209"/>
    </row>
    <row r="118860" spans="1:15" s="210" customFormat="1" x14ac:dyDescent="0.3">
      <c r="A118860" s="12"/>
      <c r="B118860" s="15"/>
      <c r="C118860" s="15"/>
      <c r="D118860" s="12"/>
      <c r="E118860" s="12"/>
      <c r="F118860" s="13"/>
      <c r="G118860" s="12"/>
      <c r="H118860" s="12"/>
      <c r="I118860" s="12"/>
      <c r="J118860" s="12"/>
      <c r="K118860" s="12"/>
      <c r="L118860" s="208"/>
      <c r="M118860" s="209"/>
      <c r="N118860" s="209"/>
      <c r="O118860" s="209"/>
    </row>
    <row r="118861" spans="1:15" s="210" customFormat="1" x14ac:dyDescent="0.3">
      <c r="A118861" s="12"/>
      <c r="B118861" s="15"/>
      <c r="C118861" s="15"/>
      <c r="D118861" s="12"/>
      <c r="E118861" s="12"/>
      <c r="F118861" s="13"/>
      <c r="G118861" s="12"/>
      <c r="H118861" s="12"/>
      <c r="I118861" s="12"/>
      <c r="J118861" s="12"/>
      <c r="K118861" s="12"/>
      <c r="L118861" s="208"/>
      <c r="M118861" s="209"/>
      <c r="N118861" s="209"/>
      <c r="O118861" s="209"/>
    </row>
    <row r="118862" spans="1:15" s="210" customFormat="1" x14ac:dyDescent="0.3">
      <c r="A118862" s="12"/>
      <c r="B118862" s="15"/>
      <c r="C118862" s="15"/>
      <c r="D118862" s="12"/>
      <c r="E118862" s="12"/>
      <c r="F118862" s="13"/>
      <c r="G118862" s="12"/>
      <c r="H118862" s="12"/>
      <c r="I118862" s="12"/>
      <c r="J118862" s="12"/>
      <c r="K118862" s="12"/>
      <c r="L118862" s="208"/>
      <c r="M118862" s="209"/>
      <c r="N118862" s="209"/>
      <c r="O118862" s="209"/>
    </row>
    <row r="118863" spans="1:15" s="210" customFormat="1" x14ac:dyDescent="0.3">
      <c r="A118863" s="12"/>
      <c r="B118863" s="15"/>
      <c r="C118863" s="15"/>
      <c r="D118863" s="12"/>
      <c r="E118863" s="12"/>
      <c r="F118863" s="13"/>
      <c r="G118863" s="12"/>
      <c r="H118863" s="12"/>
      <c r="I118863" s="12"/>
      <c r="J118863" s="12"/>
      <c r="K118863" s="12"/>
      <c r="L118863" s="208"/>
      <c r="M118863" s="209"/>
      <c r="N118863" s="209"/>
      <c r="O118863" s="209"/>
    </row>
    <row r="118864" spans="1:15" s="210" customFormat="1" x14ac:dyDescent="0.3">
      <c r="A118864" s="12"/>
      <c r="B118864" s="15"/>
      <c r="C118864" s="15"/>
      <c r="D118864" s="12"/>
      <c r="E118864" s="12"/>
      <c r="F118864" s="13"/>
      <c r="G118864" s="12"/>
      <c r="H118864" s="12"/>
      <c r="I118864" s="12"/>
      <c r="J118864" s="12"/>
      <c r="K118864" s="12"/>
      <c r="L118864" s="208"/>
      <c r="M118864" s="209"/>
      <c r="N118864" s="209"/>
      <c r="O118864" s="209"/>
    </row>
    <row r="118865" spans="1:15" s="210" customFormat="1" x14ac:dyDescent="0.3">
      <c r="A118865" s="12"/>
      <c r="B118865" s="15"/>
      <c r="C118865" s="15"/>
      <c r="D118865" s="12"/>
      <c r="E118865" s="12"/>
      <c r="F118865" s="13"/>
      <c r="G118865" s="12"/>
      <c r="H118865" s="12"/>
      <c r="I118865" s="12"/>
      <c r="J118865" s="12"/>
      <c r="K118865" s="12"/>
      <c r="L118865" s="208"/>
      <c r="M118865" s="209"/>
      <c r="N118865" s="209"/>
      <c r="O118865" s="209"/>
    </row>
    <row r="118866" spans="1:15" s="210" customFormat="1" x14ac:dyDescent="0.3">
      <c r="A118866" s="12"/>
      <c r="B118866" s="15"/>
      <c r="C118866" s="15"/>
      <c r="D118866" s="12"/>
      <c r="E118866" s="12"/>
      <c r="F118866" s="13"/>
      <c r="G118866" s="12"/>
      <c r="H118866" s="12"/>
      <c r="I118866" s="12"/>
      <c r="J118866" s="12"/>
      <c r="K118866" s="12"/>
      <c r="L118866" s="208"/>
      <c r="M118866" s="209"/>
      <c r="N118866" s="209"/>
      <c r="O118866" s="209"/>
    </row>
    <row r="118867" spans="1:15" s="210" customFormat="1" x14ac:dyDescent="0.3">
      <c r="A118867" s="12"/>
      <c r="B118867" s="15"/>
      <c r="C118867" s="15"/>
      <c r="D118867" s="12"/>
      <c r="E118867" s="12"/>
      <c r="F118867" s="13"/>
      <c r="G118867" s="12"/>
      <c r="H118867" s="12"/>
      <c r="I118867" s="12"/>
      <c r="J118867" s="12"/>
      <c r="K118867" s="12"/>
      <c r="L118867" s="208"/>
      <c r="M118867" s="209"/>
      <c r="N118867" s="209"/>
      <c r="O118867" s="209"/>
    </row>
    <row r="118868" spans="1:15" s="210" customFormat="1" x14ac:dyDescent="0.3">
      <c r="A118868" s="12"/>
      <c r="B118868" s="15"/>
      <c r="C118868" s="15"/>
      <c r="D118868" s="12"/>
      <c r="E118868" s="12"/>
      <c r="F118868" s="13"/>
      <c r="G118868" s="12"/>
      <c r="H118868" s="12"/>
      <c r="I118868" s="12"/>
      <c r="J118868" s="12"/>
      <c r="K118868" s="12"/>
      <c r="L118868" s="208"/>
      <c r="M118868" s="209"/>
      <c r="N118868" s="209"/>
      <c r="O118868" s="209"/>
    </row>
    <row r="118869" spans="1:15" s="210" customFormat="1" x14ac:dyDescent="0.3">
      <c r="A118869" s="12"/>
      <c r="B118869" s="15"/>
      <c r="C118869" s="15"/>
      <c r="D118869" s="12"/>
      <c r="E118869" s="12"/>
      <c r="F118869" s="13"/>
      <c r="G118869" s="12"/>
      <c r="H118869" s="12"/>
      <c r="I118869" s="12"/>
      <c r="J118869" s="12"/>
      <c r="K118869" s="12"/>
      <c r="L118869" s="208"/>
      <c r="M118869" s="209"/>
      <c r="N118869" s="209"/>
      <c r="O118869" s="209"/>
    </row>
    <row r="118870" spans="1:15" s="210" customFormat="1" x14ac:dyDescent="0.3">
      <c r="A118870" s="12"/>
      <c r="B118870" s="15"/>
      <c r="C118870" s="15"/>
      <c r="D118870" s="12"/>
      <c r="E118870" s="12"/>
      <c r="F118870" s="13"/>
      <c r="G118870" s="12"/>
      <c r="H118870" s="12"/>
      <c r="I118870" s="12"/>
      <c r="J118870" s="12"/>
      <c r="K118870" s="12"/>
      <c r="L118870" s="208"/>
      <c r="M118870" s="209"/>
      <c r="N118870" s="209"/>
      <c r="O118870" s="209"/>
    </row>
    <row r="118871" spans="1:15" s="210" customFormat="1" x14ac:dyDescent="0.3">
      <c r="A118871" s="12"/>
      <c r="B118871" s="15"/>
      <c r="C118871" s="15"/>
      <c r="D118871" s="12"/>
      <c r="E118871" s="12"/>
      <c r="F118871" s="13"/>
      <c r="G118871" s="12"/>
      <c r="H118871" s="12"/>
      <c r="I118871" s="12"/>
      <c r="J118871" s="12"/>
      <c r="K118871" s="12"/>
      <c r="L118871" s="208"/>
      <c r="M118871" s="209"/>
      <c r="N118871" s="209"/>
      <c r="O118871" s="209"/>
    </row>
    <row r="118872" spans="1:15" s="210" customFormat="1" x14ac:dyDescent="0.3">
      <c r="A118872" s="12"/>
      <c r="B118872" s="15"/>
      <c r="C118872" s="15"/>
      <c r="D118872" s="12"/>
      <c r="E118872" s="12"/>
      <c r="F118872" s="13"/>
      <c r="G118872" s="12"/>
      <c r="H118872" s="12"/>
      <c r="I118872" s="12"/>
      <c r="J118872" s="12"/>
      <c r="K118872" s="12"/>
      <c r="L118872" s="208"/>
      <c r="M118872" s="209"/>
      <c r="N118872" s="209"/>
      <c r="O118872" s="209"/>
    </row>
    <row r="118873" spans="1:15" s="210" customFormat="1" x14ac:dyDescent="0.3">
      <c r="A118873" s="12"/>
      <c r="B118873" s="15"/>
      <c r="C118873" s="15"/>
      <c r="D118873" s="12"/>
      <c r="E118873" s="12"/>
      <c r="F118873" s="13"/>
      <c r="G118873" s="12"/>
      <c r="H118873" s="12"/>
      <c r="I118873" s="12"/>
      <c r="J118873" s="12"/>
      <c r="K118873" s="12"/>
      <c r="L118873" s="208"/>
      <c r="M118873" s="209"/>
      <c r="N118873" s="209"/>
      <c r="O118873" s="209"/>
    </row>
    <row r="118874" spans="1:15" s="210" customFormat="1" x14ac:dyDescent="0.3">
      <c r="A118874" s="12"/>
      <c r="B118874" s="15"/>
      <c r="C118874" s="15"/>
      <c r="D118874" s="12"/>
      <c r="E118874" s="12"/>
      <c r="F118874" s="13"/>
      <c r="G118874" s="12"/>
      <c r="H118874" s="12"/>
      <c r="I118874" s="12"/>
      <c r="J118874" s="12"/>
      <c r="K118874" s="12"/>
      <c r="L118874" s="208"/>
      <c r="M118874" s="209"/>
      <c r="N118874" s="209"/>
      <c r="O118874" s="209"/>
    </row>
    <row r="118875" spans="1:15" s="210" customFormat="1" x14ac:dyDescent="0.3">
      <c r="A118875" s="12"/>
      <c r="B118875" s="15"/>
      <c r="C118875" s="15"/>
      <c r="D118875" s="12"/>
      <c r="E118875" s="12"/>
      <c r="F118875" s="13"/>
      <c r="G118875" s="12"/>
      <c r="H118875" s="12"/>
      <c r="I118875" s="12"/>
      <c r="J118875" s="12"/>
      <c r="K118875" s="12"/>
      <c r="L118875" s="208"/>
      <c r="M118875" s="209"/>
      <c r="N118875" s="209"/>
      <c r="O118875" s="209"/>
    </row>
    <row r="118876" spans="1:15" s="210" customFormat="1" x14ac:dyDescent="0.3">
      <c r="A118876" s="12"/>
      <c r="B118876" s="15"/>
      <c r="C118876" s="15"/>
      <c r="D118876" s="12"/>
      <c r="E118876" s="12"/>
      <c r="F118876" s="13"/>
      <c r="G118876" s="12"/>
      <c r="H118876" s="12"/>
      <c r="I118876" s="12"/>
      <c r="J118876" s="12"/>
      <c r="K118876" s="12"/>
      <c r="L118876" s="208"/>
      <c r="M118876" s="209"/>
      <c r="N118876" s="209"/>
      <c r="O118876" s="209"/>
    </row>
    <row r="118877" spans="1:15" s="210" customFormat="1" x14ac:dyDescent="0.3">
      <c r="A118877" s="12"/>
      <c r="B118877" s="15"/>
      <c r="C118877" s="15"/>
      <c r="D118877" s="12"/>
      <c r="E118877" s="12"/>
      <c r="F118877" s="13"/>
      <c r="G118877" s="12"/>
      <c r="H118877" s="12"/>
      <c r="I118877" s="12"/>
      <c r="J118877" s="12"/>
      <c r="K118877" s="12"/>
      <c r="L118877" s="208"/>
      <c r="M118877" s="209"/>
      <c r="N118877" s="209"/>
      <c r="O118877" s="209"/>
    </row>
    <row r="118878" spans="1:15" s="210" customFormat="1" x14ac:dyDescent="0.3">
      <c r="A118878" s="12"/>
      <c r="B118878" s="15"/>
      <c r="C118878" s="15"/>
      <c r="D118878" s="12"/>
      <c r="E118878" s="12"/>
      <c r="F118878" s="13"/>
      <c r="G118878" s="12"/>
      <c r="H118878" s="12"/>
      <c r="I118878" s="12"/>
      <c r="J118878" s="12"/>
      <c r="K118878" s="12"/>
      <c r="L118878" s="208"/>
      <c r="M118878" s="209"/>
      <c r="N118878" s="209"/>
      <c r="O118878" s="209"/>
    </row>
    <row r="118879" spans="1:15" s="210" customFormat="1" x14ac:dyDescent="0.3">
      <c r="A118879" s="12"/>
      <c r="B118879" s="15"/>
      <c r="C118879" s="15"/>
      <c r="D118879" s="12"/>
      <c r="E118879" s="12"/>
      <c r="F118879" s="13"/>
      <c r="G118879" s="12"/>
      <c r="H118879" s="12"/>
      <c r="I118879" s="12"/>
      <c r="J118879" s="12"/>
      <c r="K118879" s="12"/>
      <c r="L118879" s="208"/>
      <c r="M118879" s="209"/>
      <c r="N118879" s="209"/>
      <c r="O118879" s="209"/>
    </row>
    <row r="118880" spans="1:15" s="210" customFormat="1" x14ac:dyDescent="0.3">
      <c r="A118880" s="12"/>
      <c r="B118880" s="15"/>
      <c r="C118880" s="15"/>
      <c r="D118880" s="12"/>
      <c r="E118880" s="12"/>
      <c r="F118880" s="13"/>
      <c r="G118880" s="12"/>
      <c r="H118880" s="12"/>
      <c r="I118880" s="12"/>
      <c r="J118880" s="12"/>
      <c r="K118880" s="12"/>
      <c r="L118880" s="208"/>
      <c r="M118880" s="209"/>
      <c r="N118880" s="209"/>
      <c r="O118880" s="209"/>
    </row>
    <row r="118881" spans="1:15" s="210" customFormat="1" x14ac:dyDescent="0.3">
      <c r="A118881" s="12"/>
      <c r="B118881" s="15"/>
      <c r="C118881" s="15"/>
      <c r="D118881" s="12"/>
      <c r="E118881" s="12"/>
      <c r="F118881" s="13"/>
      <c r="G118881" s="12"/>
      <c r="H118881" s="12"/>
      <c r="I118881" s="12"/>
      <c r="J118881" s="12"/>
      <c r="K118881" s="12"/>
      <c r="L118881" s="208"/>
      <c r="M118881" s="209"/>
      <c r="N118881" s="209"/>
      <c r="O118881" s="209"/>
    </row>
    <row r="118882" spans="1:15" s="210" customFormat="1" x14ac:dyDescent="0.3">
      <c r="A118882" s="12"/>
      <c r="B118882" s="15"/>
      <c r="C118882" s="15"/>
      <c r="D118882" s="12"/>
      <c r="E118882" s="12"/>
      <c r="F118882" s="13"/>
      <c r="G118882" s="12"/>
      <c r="H118882" s="12"/>
      <c r="I118882" s="12"/>
      <c r="J118882" s="12"/>
      <c r="K118882" s="12"/>
      <c r="L118882" s="208"/>
      <c r="M118882" s="209"/>
      <c r="N118882" s="209"/>
      <c r="O118882" s="209"/>
    </row>
    <row r="118883" spans="1:15" s="210" customFormat="1" x14ac:dyDescent="0.3">
      <c r="A118883" s="12"/>
      <c r="B118883" s="15"/>
      <c r="C118883" s="15"/>
      <c r="D118883" s="12"/>
      <c r="E118883" s="12"/>
      <c r="F118883" s="13"/>
      <c r="G118883" s="12"/>
      <c r="H118883" s="12"/>
      <c r="I118883" s="12"/>
      <c r="J118883" s="12"/>
      <c r="K118883" s="12"/>
      <c r="L118883" s="208"/>
      <c r="M118883" s="209"/>
      <c r="N118883" s="209"/>
      <c r="O118883" s="209"/>
    </row>
    <row r="118884" spans="1:15" s="210" customFormat="1" x14ac:dyDescent="0.3">
      <c r="A118884" s="12"/>
      <c r="B118884" s="15"/>
      <c r="C118884" s="15"/>
      <c r="D118884" s="12"/>
      <c r="E118884" s="12"/>
      <c r="F118884" s="13"/>
      <c r="G118884" s="12"/>
      <c r="H118884" s="12"/>
      <c r="I118884" s="12"/>
      <c r="J118884" s="12"/>
      <c r="K118884" s="12"/>
      <c r="L118884" s="208"/>
      <c r="M118884" s="209"/>
      <c r="N118884" s="209"/>
      <c r="O118884" s="209"/>
    </row>
    <row r="118885" spans="1:15" s="210" customFormat="1" x14ac:dyDescent="0.3">
      <c r="A118885" s="12"/>
      <c r="B118885" s="15"/>
      <c r="C118885" s="15"/>
      <c r="D118885" s="12"/>
      <c r="E118885" s="12"/>
      <c r="F118885" s="13"/>
      <c r="G118885" s="12"/>
      <c r="H118885" s="12"/>
      <c r="I118885" s="12"/>
      <c r="J118885" s="12"/>
      <c r="K118885" s="12"/>
      <c r="L118885" s="208"/>
      <c r="M118885" s="209"/>
      <c r="N118885" s="209"/>
      <c r="O118885" s="209"/>
    </row>
    <row r="118886" spans="1:15" s="210" customFormat="1" x14ac:dyDescent="0.3">
      <c r="A118886" s="12"/>
      <c r="B118886" s="15"/>
      <c r="C118886" s="15"/>
      <c r="D118886" s="12"/>
      <c r="E118886" s="12"/>
      <c r="F118886" s="13"/>
      <c r="G118886" s="12"/>
      <c r="H118886" s="12"/>
      <c r="I118886" s="12"/>
      <c r="J118886" s="12"/>
      <c r="K118886" s="12"/>
      <c r="L118886" s="208"/>
      <c r="M118886" s="209"/>
      <c r="N118886" s="209"/>
      <c r="O118886" s="209"/>
    </row>
    <row r="118887" spans="1:15" s="210" customFormat="1" x14ac:dyDescent="0.3">
      <c r="A118887" s="12"/>
      <c r="B118887" s="15"/>
      <c r="C118887" s="15"/>
      <c r="D118887" s="12"/>
      <c r="E118887" s="12"/>
      <c r="F118887" s="13"/>
      <c r="G118887" s="12"/>
      <c r="H118887" s="12"/>
      <c r="I118887" s="12"/>
      <c r="J118887" s="12"/>
      <c r="K118887" s="12"/>
      <c r="L118887" s="208"/>
      <c r="M118887" s="209"/>
      <c r="N118887" s="209"/>
      <c r="O118887" s="209"/>
    </row>
    <row r="118888" spans="1:15" s="210" customFormat="1" x14ac:dyDescent="0.3">
      <c r="A118888" s="12"/>
      <c r="B118888" s="15"/>
      <c r="C118888" s="15"/>
      <c r="D118888" s="12"/>
      <c r="E118888" s="12"/>
      <c r="F118888" s="13"/>
      <c r="G118888" s="12"/>
      <c r="H118888" s="12"/>
      <c r="I118888" s="12"/>
      <c r="J118888" s="12"/>
      <c r="K118888" s="12"/>
      <c r="L118888" s="208"/>
      <c r="M118888" s="209"/>
      <c r="N118888" s="209"/>
      <c r="O118888" s="209"/>
    </row>
    <row r="118889" spans="1:15" s="210" customFormat="1" x14ac:dyDescent="0.3">
      <c r="A118889" s="12"/>
      <c r="B118889" s="15"/>
      <c r="C118889" s="15"/>
      <c r="D118889" s="12"/>
      <c r="E118889" s="12"/>
      <c r="F118889" s="13"/>
      <c r="G118889" s="12"/>
      <c r="H118889" s="12"/>
      <c r="I118889" s="12"/>
      <c r="J118889" s="12"/>
      <c r="K118889" s="12"/>
      <c r="L118889" s="208"/>
      <c r="M118889" s="209"/>
      <c r="N118889" s="209"/>
      <c r="O118889" s="209"/>
    </row>
    <row r="118890" spans="1:15" s="210" customFormat="1" x14ac:dyDescent="0.3">
      <c r="A118890" s="12"/>
      <c r="B118890" s="15"/>
      <c r="C118890" s="15"/>
      <c r="D118890" s="12"/>
      <c r="E118890" s="12"/>
      <c r="F118890" s="13"/>
      <c r="G118890" s="12"/>
      <c r="H118890" s="12"/>
      <c r="I118890" s="12"/>
      <c r="J118890" s="12"/>
      <c r="K118890" s="12"/>
      <c r="L118890" s="208"/>
      <c r="M118890" s="209"/>
      <c r="N118890" s="209"/>
      <c r="O118890" s="209"/>
    </row>
    <row r="118891" spans="1:15" s="210" customFormat="1" x14ac:dyDescent="0.3">
      <c r="A118891" s="12"/>
      <c r="B118891" s="15"/>
      <c r="C118891" s="15"/>
      <c r="D118891" s="12"/>
      <c r="E118891" s="12"/>
      <c r="F118891" s="13"/>
      <c r="G118891" s="12"/>
      <c r="H118891" s="12"/>
      <c r="I118891" s="12"/>
      <c r="J118891" s="12"/>
      <c r="K118891" s="12"/>
      <c r="L118891" s="208"/>
      <c r="M118891" s="209"/>
      <c r="N118891" s="209"/>
      <c r="O118891" s="209"/>
    </row>
    <row r="118892" spans="1:15" s="210" customFormat="1" x14ac:dyDescent="0.3">
      <c r="A118892" s="12"/>
      <c r="B118892" s="15"/>
      <c r="C118892" s="15"/>
      <c r="D118892" s="12"/>
      <c r="E118892" s="12"/>
      <c r="F118892" s="13"/>
      <c r="G118892" s="12"/>
      <c r="H118892" s="12"/>
      <c r="I118892" s="12"/>
      <c r="J118892" s="12"/>
      <c r="K118892" s="12"/>
      <c r="L118892" s="208"/>
      <c r="M118892" s="209"/>
      <c r="N118892" s="209"/>
      <c r="O118892" s="209"/>
    </row>
    <row r="118893" spans="1:15" s="210" customFormat="1" x14ac:dyDescent="0.3">
      <c r="A118893" s="12"/>
      <c r="B118893" s="15"/>
      <c r="C118893" s="15"/>
      <c r="D118893" s="12"/>
      <c r="E118893" s="12"/>
      <c r="F118893" s="13"/>
      <c r="G118893" s="12"/>
      <c r="H118893" s="12"/>
      <c r="I118893" s="12"/>
      <c r="J118893" s="12"/>
      <c r="K118893" s="12"/>
      <c r="L118893" s="208"/>
      <c r="M118893" s="209"/>
      <c r="N118893" s="209"/>
      <c r="O118893" s="209"/>
    </row>
    <row r="118894" spans="1:15" s="210" customFormat="1" x14ac:dyDescent="0.3">
      <c r="A118894" s="12"/>
      <c r="B118894" s="15"/>
      <c r="C118894" s="15"/>
      <c r="D118894" s="12"/>
      <c r="E118894" s="12"/>
      <c r="F118894" s="13"/>
      <c r="G118894" s="12"/>
      <c r="H118894" s="12"/>
      <c r="I118894" s="12"/>
      <c r="J118894" s="12"/>
      <c r="K118894" s="12"/>
      <c r="L118894" s="208"/>
      <c r="M118894" s="209"/>
      <c r="N118894" s="209"/>
      <c r="O118894" s="209"/>
    </row>
    <row r="118895" spans="1:15" s="210" customFormat="1" x14ac:dyDescent="0.3">
      <c r="A118895" s="12"/>
      <c r="B118895" s="15"/>
      <c r="C118895" s="15"/>
      <c r="D118895" s="12"/>
      <c r="E118895" s="12"/>
      <c r="F118895" s="13"/>
      <c r="G118895" s="12"/>
      <c r="H118895" s="12"/>
      <c r="I118895" s="12"/>
      <c r="J118895" s="12"/>
      <c r="K118895" s="12"/>
      <c r="L118895" s="208"/>
      <c r="M118895" s="209"/>
      <c r="N118895" s="209"/>
      <c r="O118895" s="209"/>
    </row>
    <row r="118896" spans="1:15" s="210" customFormat="1" x14ac:dyDescent="0.3">
      <c r="A118896" s="12"/>
      <c r="B118896" s="15"/>
      <c r="C118896" s="15"/>
      <c r="D118896" s="12"/>
      <c r="E118896" s="12"/>
      <c r="F118896" s="13"/>
      <c r="G118896" s="12"/>
      <c r="H118896" s="12"/>
      <c r="I118896" s="12"/>
      <c r="J118896" s="12"/>
      <c r="K118896" s="12"/>
      <c r="L118896" s="208"/>
      <c r="M118896" s="209"/>
      <c r="N118896" s="209"/>
      <c r="O118896" s="209"/>
    </row>
    <row r="118897" spans="1:15" s="210" customFormat="1" x14ac:dyDescent="0.3">
      <c r="A118897" s="12"/>
      <c r="B118897" s="15"/>
      <c r="C118897" s="15"/>
      <c r="D118897" s="12"/>
      <c r="E118897" s="12"/>
      <c r="F118897" s="13"/>
      <c r="G118897" s="12"/>
      <c r="H118897" s="12"/>
      <c r="I118897" s="12"/>
      <c r="J118897" s="12"/>
      <c r="K118897" s="12"/>
      <c r="L118897" s="208"/>
      <c r="M118897" s="209"/>
      <c r="N118897" s="209"/>
      <c r="O118897" s="209"/>
    </row>
    <row r="118898" spans="1:15" s="210" customFormat="1" x14ac:dyDescent="0.3">
      <c r="A118898" s="12"/>
      <c r="B118898" s="15"/>
      <c r="C118898" s="15"/>
      <c r="D118898" s="12"/>
      <c r="E118898" s="12"/>
      <c r="F118898" s="13"/>
      <c r="G118898" s="12"/>
      <c r="H118898" s="12"/>
      <c r="I118898" s="12"/>
      <c r="J118898" s="12"/>
      <c r="K118898" s="12"/>
      <c r="L118898" s="208"/>
      <c r="M118898" s="209"/>
      <c r="N118898" s="209"/>
      <c r="O118898" s="209"/>
    </row>
    <row r="118899" spans="1:15" s="210" customFormat="1" x14ac:dyDescent="0.3">
      <c r="A118899" s="12"/>
      <c r="B118899" s="15"/>
      <c r="C118899" s="15"/>
      <c r="D118899" s="12"/>
      <c r="E118899" s="12"/>
      <c r="F118899" s="13"/>
      <c r="G118899" s="12"/>
      <c r="H118899" s="12"/>
      <c r="I118899" s="12"/>
      <c r="J118899" s="12"/>
      <c r="K118899" s="12"/>
      <c r="L118899" s="208"/>
      <c r="M118899" s="209"/>
      <c r="N118899" s="209"/>
      <c r="O118899" s="209"/>
    </row>
    <row r="118900" spans="1:15" s="210" customFormat="1" x14ac:dyDescent="0.3">
      <c r="A118900" s="12"/>
      <c r="B118900" s="15"/>
      <c r="C118900" s="15"/>
      <c r="D118900" s="12"/>
      <c r="E118900" s="12"/>
      <c r="F118900" s="13"/>
      <c r="G118900" s="12"/>
      <c r="H118900" s="12"/>
      <c r="I118900" s="12"/>
      <c r="J118900" s="12"/>
      <c r="K118900" s="12"/>
      <c r="L118900" s="208"/>
      <c r="M118900" s="209"/>
      <c r="N118900" s="209"/>
      <c r="O118900" s="209"/>
    </row>
    <row r="118901" spans="1:15" s="210" customFormat="1" x14ac:dyDescent="0.3">
      <c r="A118901" s="12"/>
      <c r="B118901" s="15"/>
      <c r="C118901" s="15"/>
      <c r="D118901" s="12"/>
      <c r="E118901" s="12"/>
      <c r="F118901" s="13"/>
      <c r="G118901" s="12"/>
      <c r="H118901" s="12"/>
      <c r="I118901" s="12"/>
      <c r="J118901" s="12"/>
      <c r="K118901" s="12"/>
      <c r="L118901" s="208"/>
      <c r="M118901" s="209"/>
      <c r="N118901" s="209"/>
      <c r="O118901" s="209"/>
    </row>
    <row r="118902" spans="1:15" s="210" customFormat="1" x14ac:dyDescent="0.3">
      <c r="A118902" s="12"/>
      <c r="B118902" s="15"/>
      <c r="C118902" s="15"/>
      <c r="D118902" s="12"/>
      <c r="E118902" s="12"/>
      <c r="F118902" s="13"/>
      <c r="G118902" s="12"/>
      <c r="H118902" s="12"/>
      <c r="I118902" s="12"/>
      <c r="J118902" s="12"/>
      <c r="K118902" s="12"/>
      <c r="L118902" s="208"/>
      <c r="M118902" s="209"/>
      <c r="N118902" s="209"/>
      <c r="O118902" s="209"/>
    </row>
    <row r="118903" spans="1:15" s="210" customFormat="1" x14ac:dyDescent="0.3">
      <c r="A118903" s="12"/>
      <c r="B118903" s="15"/>
      <c r="C118903" s="15"/>
      <c r="D118903" s="12"/>
      <c r="E118903" s="12"/>
      <c r="F118903" s="13"/>
      <c r="G118903" s="12"/>
      <c r="H118903" s="12"/>
      <c r="I118903" s="12"/>
      <c r="J118903" s="12"/>
      <c r="K118903" s="12"/>
      <c r="L118903" s="208"/>
      <c r="M118903" s="209"/>
      <c r="N118903" s="209"/>
      <c r="O118903" s="209"/>
    </row>
    <row r="118904" spans="1:15" s="210" customFormat="1" x14ac:dyDescent="0.3">
      <c r="A118904" s="12"/>
      <c r="B118904" s="15"/>
      <c r="C118904" s="15"/>
      <c r="D118904" s="12"/>
      <c r="E118904" s="12"/>
      <c r="F118904" s="13"/>
      <c r="G118904" s="12"/>
      <c r="H118904" s="12"/>
      <c r="I118904" s="12"/>
      <c r="J118904" s="12"/>
      <c r="K118904" s="12"/>
      <c r="L118904" s="208"/>
      <c r="M118904" s="209"/>
      <c r="N118904" s="209"/>
      <c r="O118904" s="209"/>
    </row>
    <row r="118905" spans="1:15" s="210" customFormat="1" x14ac:dyDescent="0.3">
      <c r="A118905" s="12"/>
      <c r="B118905" s="15"/>
      <c r="C118905" s="15"/>
      <c r="D118905" s="12"/>
      <c r="E118905" s="12"/>
      <c r="F118905" s="13"/>
      <c r="G118905" s="12"/>
      <c r="H118905" s="12"/>
      <c r="I118905" s="12"/>
      <c r="J118905" s="12"/>
      <c r="K118905" s="12"/>
      <c r="L118905" s="208"/>
      <c r="M118905" s="209"/>
      <c r="N118905" s="209"/>
      <c r="O118905" s="209"/>
    </row>
    <row r="118906" spans="1:15" s="210" customFormat="1" x14ac:dyDescent="0.3">
      <c r="A118906" s="12"/>
      <c r="B118906" s="15"/>
      <c r="C118906" s="15"/>
      <c r="D118906" s="12"/>
      <c r="E118906" s="12"/>
      <c r="F118906" s="13"/>
      <c r="G118906" s="12"/>
      <c r="H118906" s="12"/>
      <c r="I118906" s="12"/>
      <c r="J118906" s="12"/>
      <c r="K118906" s="12"/>
      <c r="L118906" s="208"/>
      <c r="M118906" s="209"/>
      <c r="N118906" s="209"/>
      <c r="O118906" s="209"/>
    </row>
    <row r="118907" spans="1:15" s="210" customFormat="1" x14ac:dyDescent="0.3">
      <c r="A118907" s="12"/>
      <c r="B118907" s="15"/>
      <c r="C118907" s="15"/>
      <c r="D118907" s="12"/>
      <c r="E118907" s="12"/>
      <c r="F118907" s="13"/>
      <c r="G118907" s="12"/>
      <c r="H118907" s="12"/>
      <c r="I118907" s="12"/>
      <c r="J118907" s="12"/>
      <c r="K118907" s="12"/>
      <c r="L118907" s="208"/>
      <c r="M118907" s="209"/>
      <c r="N118907" s="209"/>
      <c r="O118907" s="209"/>
    </row>
    <row r="118908" spans="1:15" s="210" customFormat="1" x14ac:dyDescent="0.3">
      <c r="A118908" s="12"/>
      <c r="B118908" s="15"/>
      <c r="C118908" s="15"/>
      <c r="D118908" s="12"/>
      <c r="E118908" s="12"/>
      <c r="F118908" s="13"/>
      <c r="G118908" s="12"/>
      <c r="H118908" s="12"/>
      <c r="I118908" s="12"/>
      <c r="J118908" s="12"/>
      <c r="K118908" s="12"/>
      <c r="L118908" s="208"/>
      <c r="M118908" s="209"/>
      <c r="N118908" s="209"/>
      <c r="O118908" s="209"/>
    </row>
    <row r="118909" spans="1:15" s="210" customFormat="1" x14ac:dyDescent="0.3">
      <c r="A118909" s="12"/>
      <c r="B118909" s="15"/>
      <c r="C118909" s="15"/>
      <c r="D118909" s="12"/>
      <c r="E118909" s="12"/>
      <c r="F118909" s="13"/>
      <c r="G118909" s="12"/>
      <c r="H118909" s="12"/>
      <c r="I118909" s="12"/>
      <c r="J118909" s="12"/>
      <c r="K118909" s="12"/>
      <c r="L118909" s="208"/>
      <c r="M118909" s="209"/>
      <c r="N118909" s="209"/>
      <c r="O118909" s="209"/>
    </row>
    <row r="118910" spans="1:15" s="210" customFormat="1" x14ac:dyDescent="0.3">
      <c r="A118910" s="12"/>
      <c r="B118910" s="15"/>
      <c r="C118910" s="15"/>
      <c r="D118910" s="12"/>
      <c r="E118910" s="12"/>
      <c r="F118910" s="13"/>
      <c r="G118910" s="12"/>
      <c r="H118910" s="12"/>
      <c r="I118910" s="12"/>
      <c r="J118910" s="12"/>
      <c r="K118910" s="12"/>
      <c r="L118910" s="208"/>
      <c r="M118910" s="209"/>
      <c r="N118910" s="209"/>
      <c r="O118910" s="209"/>
    </row>
    <row r="118911" spans="1:15" s="210" customFormat="1" x14ac:dyDescent="0.3">
      <c r="A118911" s="12"/>
      <c r="B118911" s="15"/>
      <c r="C118911" s="15"/>
      <c r="D118911" s="12"/>
      <c r="E118911" s="12"/>
      <c r="F118911" s="13"/>
      <c r="G118911" s="12"/>
      <c r="H118911" s="12"/>
      <c r="I118911" s="12"/>
      <c r="J118911" s="12"/>
      <c r="K118911" s="12"/>
      <c r="L118911" s="208"/>
      <c r="M118911" s="209"/>
      <c r="N118911" s="209"/>
      <c r="O118911" s="209"/>
    </row>
    <row r="118912" spans="1:15" s="210" customFormat="1" x14ac:dyDescent="0.3">
      <c r="A118912" s="12"/>
      <c r="B118912" s="15"/>
      <c r="C118912" s="15"/>
      <c r="D118912" s="12"/>
      <c r="E118912" s="12"/>
      <c r="F118912" s="13"/>
      <c r="G118912" s="12"/>
      <c r="H118912" s="12"/>
      <c r="I118912" s="12"/>
      <c r="J118912" s="12"/>
      <c r="K118912" s="12"/>
      <c r="L118912" s="208"/>
      <c r="M118912" s="209"/>
      <c r="N118912" s="209"/>
      <c r="O118912" s="209"/>
    </row>
    <row r="118913" spans="1:15" s="210" customFormat="1" x14ac:dyDescent="0.3">
      <c r="A118913" s="12"/>
      <c r="B118913" s="15"/>
      <c r="C118913" s="15"/>
      <c r="D118913" s="12"/>
      <c r="E118913" s="12"/>
      <c r="F118913" s="13"/>
      <c r="G118913" s="12"/>
      <c r="H118913" s="12"/>
      <c r="I118913" s="12"/>
      <c r="J118913" s="12"/>
      <c r="K118913" s="12"/>
      <c r="L118913" s="208"/>
      <c r="M118913" s="209"/>
      <c r="N118913" s="209"/>
      <c r="O118913" s="209"/>
    </row>
    <row r="118914" spans="1:15" s="210" customFormat="1" x14ac:dyDescent="0.3">
      <c r="A118914" s="12"/>
      <c r="B118914" s="15"/>
      <c r="C118914" s="15"/>
      <c r="D118914" s="12"/>
      <c r="E118914" s="12"/>
      <c r="F118914" s="13"/>
      <c r="G118914" s="12"/>
      <c r="H118914" s="12"/>
      <c r="I118914" s="12"/>
      <c r="J118914" s="12"/>
      <c r="K118914" s="12"/>
      <c r="L118914" s="208"/>
      <c r="M118914" s="209"/>
      <c r="N118914" s="209"/>
      <c r="O118914" s="209"/>
    </row>
    <row r="118915" spans="1:15" s="210" customFormat="1" x14ac:dyDescent="0.3">
      <c r="A118915" s="12"/>
      <c r="B118915" s="15"/>
      <c r="C118915" s="15"/>
      <c r="D118915" s="12"/>
      <c r="E118915" s="12"/>
      <c r="F118915" s="13"/>
      <c r="G118915" s="12"/>
      <c r="H118915" s="12"/>
      <c r="I118915" s="12"/>
      <c r="J118915" s="12"/>
      <c r="K118915" s="12"/>
      <c r="L118915" s="208"/>
      <c r="M118915" s="209"/>
      <c r="N118915" s="209"/>
      <c r="O118915" s="209"/>
    </row>
    <row r="118916" spans="1:15" s="210" customFormat="1" x14ac:dyDescent="0.3">
      <c r="A118916" s="12"/>
      <c r="B118916" s="15"/>
      <c r="C118916" s="15"/>
      <c r="D118916" s="12"/>
      <c r="E118916" s="12"/>
      <c r="F118916" s="13"/>
      <c r="G118916" s="12"/>
      <c r="H118916" s="12"/>
      <c r="I118916" s="12"/>
      <c r="J118916" s="12"/>
      <c r="K118916" s="12"/>
      <c r="L118916" s="208"/>
      <c r="M118916" s="209"/>
      <c r="N118916" s="209"/>
      <c r="O118916" s="209"/>
    </row>
    <row r="118917" spans="1:15" s="210" customFormat="1" x14ac:dyDescent="0.3">
      <c r="A118917" s="12"/>
      <c r="B118917" s="15"/>
      <c r="C118917" s="15"/>
      <c r="D118917" s="12"/>
      <c r="E118917" s="12"/>
      <c r="F118917" s="13"/>
      <c r="G118917" s="12"/>
      <c r="H118917" s="12"/>
      <c r="I118917" s="12"/>
      <c r="J118917" s="12"/>
      <c r="K118917" s="12"/>
      <c r="L118917" s="208"/>
      <c r="M118917" s="209"/>
      <c r="N118917" s="209"/>
      <c r="O118917" s="209"/>
    </row>
    <row r="118918" spans="1:15" s="210" customFormat="1" x14ac:dyDescent="0.3">
      <c r="A118918" s="12"/>
      <c r="B118918" s="15"/>
      <c r="C118918" s="15"/>
      <c r="D118918" s="12"/>
      <c r="E118918" s="12"/>
      <c r="F118918" s="13"/>
      <c r="G118918" s="12"/>
      <c r="H118918" s="12"/>
      <c r="I118918" s="12"/>
      <c r="J118918" s="12"/>
      <c r="K118918" s="12"/>
      <c r="L118918" s="208"/>
      <c r="M118918" s="209"/>
      <c r="N118918" s="209"/>
      <c r="O118918" s="209"/>
    </row>
    <row r="118919" spans="1:15" s="210" customFormat="1" x14ac:dyDescent="0.3">
      <c r="A118919" s="12"/>
      <c r="B118919" s="15"/>
      <c r="C118919" s="15"/>
      <c r="D118919" s="12"/>
      <c r="E118919" s="12"/>
      <c r="F118919" s="13"/>
      <c r="G118919" s="12"/>
      <c r="H118919" s="12"/>
      <c r="I118919" s="12"/>
      <c r="J118919" s="12"/>
      <c r="K118919" s="12"/>
      <c r="L118919" s="208"/>
      <c r="M118919" s="209"/>
      <c r="N118919" s="209"/>
      <c r="O118919" s="209"/>
    </row>
    <row r="118920" spans="1:15" s="210" customFormat="1" x14ac:dyDescent="0.3">
      <c r="A118920" s="12"/>
      <c r="B118920" s="15"/>
      <c r="C118920" s="15"/>
      <c r="D118920" s="12"/>
      <c r="E118920" s="12"/>
      <c r="F118920" s="13"/>
      <c r="G118920" s="12"/>
      <c r="H118920" s="12"/>
      <c r="I118920" s="12"/>
      <c r="J118920" s="12"/>
      <c r="K118920" s="12"/>
      <c r="L118920" s="208"/>
      <c r="M118920" s="209"/>
      <c r="N118920" s="209"/>
      <c r="O118920" s="209"/>
    </row>
    <row r="118921" spans="1:15" s="210" customFormat="1" x14ac:dyDescent="0.3">
      <c r="A118921" s="12"/>
      <c r="B118921" s="15"/>
      <c r="C118921" s="15"/>
      <c r="D118921" s="12"/>
      <c r="E118921" s="12"/>
      <c r="F118921" s="13"/>
      <c r="G118921" s="12"/>
      <c r="H118921" s="12"/>
      <c r="I118921" s="12"/>
      <c r="J118921" s="12"/>
      <c r="K118921" s="12"/>
      <c r="L118921" s="208"/>
      <c r="M118921" s="209"/>
      <c r="N118921" s="209"/>
      <c r="O118921" s="209"/>
    </row>
    <row r="118922" spans="1:15" s="210" customFormat="1" x14ac:dyDescent="0.3">
      <c r="A118922" s="12"/>
      <c r="B118922" s="15"/>
      <c r="C118922" s="15"/>
      <c r="D118922" s="12"/>
      <c r="E118922" s="12"/>
      <c r="F118922" s="13"/>
      <c r="G118922" s="12"/>
      <c r="H118922" s="12"/>
      <c r="I118922" s="12"/>
      <c r="J118922" s="12"/>
      <c r="K118922" s="12"/>
      <c r="L118922" s="208"/>
      <c r="M118922" s="209"/>
      <c r="N118922" s="209"/>
      <c r="O118922" s="209"/>
    </row>
    <row r="118923" spans="1:15" s="210" customFormat="1" x14ac:dyDescent="0.3">
      <c r="A118923" s="12"/>
      <c r="B118923" s="15"/>
      <c r="C118923" s="15"/>
      <c r="D118923" s="12"/>
      <c r="E118923" s="12"/>
      <c r="F118923" s="13"/>
      <c r="G118923" s="12"/>
      <c r="H118923" s="12"/>
      <c r="I118923" s="12"/>
      <c r="J118923" s="12"/>
      <c r="K118923" s="12"/>
      <c r="L118923" s="208"/>
      <c r="M118923" s="209"/>
      <c r="N118923" s="209"/>
      <c r="O118923" s="209"/>
    </row>
    <row r="118924" spans="1:15" s="210" customFormat="1" x14ac:dyDescent="0.3">
      <c r="A118924" s="12"/>
      <c r="B118924" s="15"/>
      <c r="C118924" s="15"/>
      <c r="D118924" s="12"/>
      <c r="E118924" s="12"/>
      <c r="F118924" s="13"/>
      <c r="G118924" s="12"/>
      <c r="H118924" s="12"/>
      <c r="I118924" s="12"/>
      <c r="J118924" s="12"/>
      <c r="K118924" s="12"/>
      <c r="L118924" s="208"/>
      <c r="M118924" s="209"/>
      <c r="N118924" s="209"/>
      <c r="O118924" s="209"/>
    </row>
    <row r="118925" spans="1:15" s="210" customFormat="1" x14ac:dyDescent="0.3">
      <c r="A118925" s="12"/>
      <c r="B118925" s="15"/>
      <c r="C118925" s="15"/>
      <c r="D118925" s="12"/>
      <c r="E118925" s="12"/>
      <c r="F118925" s="13"/>
      <c r="G118925" s="12"/>
      <c r="H118925" s="12"/>
      <c r="I118925" s="12"/>
      <c r="J118925" s="12"/>
      <c r="K118925" s="12"/>
      <c r="L118925" s="208"/>
      <c r="M118925" s="209"/>
      <c r="N118925" s="209"/>
      <c r="O118925" s="209"/>
    </row>
    <row r="118926" spans="1:15" s="210" customFormat="1" x14ac:dyDescent="0.3">
      <c r="A118926" s="12"/>
      <c r="B118926" s="15"/>
      <c r="C118926" s="15"/>
      <c r="D118926" s="12"/>
      <c r="E118926" s="12"/>
      <c r="F118926" s="13"/>
      <c r="G118926" s="12"/>
      <c r="H118926" s="12"/>
      <c r="I118926" s="12"/>
      <c r="J118926" s="12"/>
      <c r="K118926" s="12"/>
      <c r="L118926" s="208"/>
      <c r="M118926" s="209"/>
      <c r="N118926" s="209"/>
      <c r="O118926" s="209"/>
    </row>
    <row r="118927" spans="1:15" s="210" customFormat="1" x14ac:dyDescent="0.3">
      <c r="A118927" s="12"/>
      <c r="B118927" s="15"/>
      <c r="C118927" s="15"/>
      <c r="D118927" s="12"/>
      <c r="E118927" s="12"/>
      <c r="F118927" s="13"/>
      <c r="G118927" s="12"/>
      <c r="H118927" s="12"/>
      <c r="I118927" s="12"/>
      <c r="J118927" s="12"/>
      <c r="K118927" s="12"/>
      <c r="L118927" s="208"/>
      <c r="M118927" s="209"/>
      <c r="N118927" s="209"/>
      <c r="O118927" s="209"/>
    </row>
    <row r="118928" spans="1:15" s="210" customFormat="1" x14ac:dyDescent="0.3">
      <c r="A118928" s="12"/>
      <c r="B118928" s="15"/>
      <c r="C118928" s="15"/>
      <c r="D118928" s="12"/>
      <c r="E118928" s="12"/>
      <c r="F118928" s="13"/>
      <c r="G118928" s="12"/>
      <c r="H118928" s="12"/>
      <c r="I118928" s="12"/>
      <c r="J118928" s="12"/>
      <c r="K118928" s="12"/>
      <c r="L118928" s="208"/>
      <c r="M118928" s="209"/>
      <c r="N118928" s="209"/>
      <c r="O118928" s="209"/>
    </row>
    <row r="118929" spans="1:15" s="210" customFormat="1" x14ac:dyDescent="0.3">
      <c r="A118929" s="12"/>
      <c r="B118929" s="15"/>
      <c r="C118929" s="15"/>
      <c r="D118929" s="12"/>
      <c r="E118929" s="12"/>
      <c r="F118929" s="13"/>
      <c r="G118929" s="12"/>
      <c r="H118929" s="12"/>
      <c r="I118929" s="12"/>
      <c r="J118929" s="12"/>
      <c r="K118929" s="12"/>
      <c r="L118929" s="208"/>
      <c r="M118929" s="209"/>
      <c r="N118929" s="209"/>
      <c r="O118929" s="209"/>
    </row>
    <row r="118930" spans="1:15" s="210" customFormat="1" x14ac:dyDescent="0.3">
      <c r="A118930" s="12"/>
      <c r="B118930" s="15"/>
      <c r="C118930" s="15"/>
      <c r="D118930" s="12"/>
      <c r="E118930" s="12"/>
      <c r="F118930" s="13"/>
      <c r="G118930" s="12"/>
      <c r="H118930" s="12"/>
      <c r="I118930" s="12"/>
      <c r="J118930" s="12"/>
      <c r="K118930" s="12"/>
      <c r="L118930" s="208"/>
      <c r="M118930" s="209"/>
      <c r="N118930" s="209"/>
      <c r="O118930" s="209"/>
    </row>
    <row r="118931" spans="1:15" s="210" customFormat="1" x14ac:dyDescent="0.3">
      <c r="A118931" s="12"/>
      <c r="B118931" s="15"/>
      <c r="C118931" s="15"/>
      <c r="D118931" s="12"/>
      <c r="E118931" s="12"/>
      <c r="F118931" s="13"/>
      <c r="G118931" s="12"/>
      <c r="H118931" s="12"/>
      <c r="I118931" s="12"/>
      <c r="J118931" s="12"/>
      <c r="K118931" s="12"/>
      <c r="L118931" s="208"/>
      <c r="M118931" s="209"/>
      <c r="N118931" s="209"/>
      <c r="O118931" s="209"/>
    </row>
    <row r="118932" spans="1:15" s="210" customFormat="1" x14ac:dyDescent="0.3">
      <c r="A118932" s="12"/>
      <c r="B118932" s="15"/>
      <c r="C118932" s="15"/>
      <c r="D118932" s="12"/>
      <c r="E118932" s="12"/>
      <c r="F118932" s="13"/>
      <c r="G118932" s="12"/>
      <c r="H118932" s="12"/>
      <c r="I118932" s="12"/>
      <c r="J118932" s="12"/>
      <c r="K118932" s="12"/>
      <c r="L118932" s="208"/>
      <c r="M118932" s="209"/>
      <c r="N118932" s="209"/>
      <c r="O118932" s="209"/>
    </row>
    <row r="118933" spans="1:15" s="210" customFormat="1" x14ac:dyDescent="0.3">
      <c r="A118933" s="12"/>
      <c r="B118933" s="15"/>
      <c r="C118933" s="15"/>
      <c r="D118933" s="12"/>
      <c r="E118933" s="12"/>
      <c r="F118933" s="13"/>
      <c r="G118933" s="12"/>
      <c r="H118933" s="12"/>
      <c r="I118933" s="12"/>
      <c r="J118933" s="12"/>
      <c r="K118933" s="12"/>
      <c r="L118933" s="208"/>
      <c r="M118933" s="209"/>
      <c r="N118933" s="209"/>
      <c r="O118933" s="209"/>
    </row>
    <row r="118934" spans="1:15" s="210" customFormat="1" x14ac:dyDescent="0.3">
      <c r="A118934" s="12"/>
      <c r="B118934" s="15"/>
      <c r="C118934" s="15"/>
      <c r="D118934" s="12"/>
      <c r="E118934" s="12"/>
      <c r="F118934" s="13"/>
      <c r="G118934" s="12"/>
      <c r="H118934" s="12"/>
      <c r="I118934" s="12"/>
      <c r="J118934" s="12"/>
      <c r="K118934" s="12"/>
      <c r="L118934" s="208"/>
      <c r="M118934" s="209"/>
      <c r="N118934" s="209"/>
      <c r="O118934" s="209"/>
    </row>
    <row r="118935" spans="1:15" s="210" customFormat="1" x14ac:dyDescent="0.3">
      <c r="A118935" s="12"/>
      <c r="B118935" s="15"/>
      <c r="C118935" s="15"/>
      <c r="D118935" s="12"/>
      <c r="E118935" s="12"/>
      <c r="F118935" s="13"/>
      <c r="G118935" s="12"/>
      <c r="H118935" s="12"/>
      <c r="I118935" s="12"/>
      <c r="J118935" s="12"/>
      <c r="K118935" s="12"/>
      <c r="L118935" s="208"/>
      <c r="M118935" s="209"/>
      <c r="N118935" s="209"/>
      <c r="O118935" s="209"/>
    </row>
    <row r="118936" spans="1:15" s="210" customFormat="1" x14ac:dyDescent="0.3">
      <c r="A118936" s="12"/>
      <c r="B118936" s="15"/>
      <c r="C118936" s="15"/>
      <c r="D118936" s="12"/>
      <c r="E118936" s="12"/>
      <c r="F118936" s="13"/>
      <c r="G118936" s="12"/>
      <c r="H118936" s="12"/>
      <c r="I118936" s="12"/>
      <c r="J118936" s="12"/>
      <c r="K118936" s="12"/>
      <c r="L118936" s="208"/>
      <c r="M118936" s="209"/>
      <c r="N118936" s="209"/>
      <c r="O118936" s="209"/>
    </row>
    <row r="118937" spans="1:15" s="210" customFormat="1" x14ac:dyDescent="0.3">
      <c r="A118937" s="12"/>
      <c r="B118937" s="15"/>
      <c r="C118937" s="15"/>
      <c r="D118937" s="12"/>
      <c r="E118937" s="12"/>
      <c r="F118937" s="13"/>
      <c r="G118937" s="12"/>
      <c r="H118937" s="12"/>
      <c r="I118937" s="12"/>
      <c r="J118937" s="12"/>
      <c r="K118937" s="12"/>
      <c r="L118937" s="208"/>
      <c r="M118937" s="209"/>
      <c r="N118937" s="209"/>
      <c r="O118937" s="209"/>
    </row>
    <row r="118938" spans="1:15" s="210" customFormat="1" x14ac:dyDescent="0.3">
      <c r="A118938" s="12"/>
      <c r="B118938" s="15"/>
      <c r="C118938" s="15"/>
      <c r="D118938" s="12"/>
      <c r="E118938" s="12"/>
      <c r="F118938" s="13"/>
      <c r="G118938" s="12"/>
      <c r="H118938" s="12"/>
      <c r="I118938" s="12"/>
      <c r="J118938" s="12"/>
      <c r="K118938" s="12"/>
      <c r="L118938" s="208"/>
      <c r="M118938" s="209"/>
      <c r="N118938" s="209"/>
      <c r="O118938" s="209"/>
    </row>
    <row r="118939" spans="1:15" s="210" customFormat="1" x14ac:dyDescent="0.3">
      <c r="A118939" s="12"/>
      <c r="B118939" s="15"/>
      <c r="C118939" s="15"/>
      <c r="D118939" s="12"/>
      <c r="E118939" s="12"/>
      <c r="F118939" s="13"/>
      <c r="G118939" s="12"/>
      <c r="H118939" s="12"/>
      <c r="I118939" s="12"/>
      <c r="J118939" s="12"/>
      <c r="K118939" s="12"/>
      <c r="L118939" s="208"/>
      <c r="M118939" s="209"/>
      <c r="N118939" s="209"/>
      <c r="O118939" s="209"/>
    </row>
    <row r="118940" spans="1:15" s="210" customFormat="1" x14ac:dyDescent="0.3">
      <c r="A118940" s="12"/>
      <c r="B118940" s="15"/>
      <c r="C118940" s="15"/>
      <c r="D118940" s="12"/>
      <c r="E118940" s="12"/>
      <c r="F118940" s="13"/>
      <c r="G118940" s="12"/>
      <c r="H118940" s="12"/>
      <c r="I118940" s="12"/>
      <c r="J118940" s="12"/>
      <c r="K118940" s="12"/>
      <c r="L118940" s="208"/>
      <c r="M118940" s="209"/>
      <c r="N118940" s="209"/>
      <c r="O118940" s="209"/>
    </row>
    <row r="118941" spans="1:15" s="210" customFormat="1" x14ac:dyDescent="0.3">
      <c r="A118941" s="12"/>
      <c r="B118941" s="15"/>
      <c r="C118941" s="15"/>
      <c r="D118941" s="12"/>
      <c r="E118941" s="12"/>
      <c r="F118941" s="13"/>
      <c r="G118941" s="12"/>
      <c r="H118941" s="12"/>
      <c r="I118941" s="12"/>
      <c r="J118941" s="12"/>
      <c r="K118941" s="12"/>
      <c r="L118941" s="208"/>
      <c r="M118941" s="209"/>
      <c r="N118941" s="209"/>
      <c r="O118941" s="209"/>
    </row>
    <row r="118942" spans="1:15" s="210" customFormat="1" x14ac:dyDescent="0.3">
      <c r="A118942" s="12"/>
      <c r="B118942" s="15"/>
      <c r="C118942" s="15"/>
      <c r="D118942" s="12"/>
      <c r="E118942" s="12"/>
      <c r="F118942" s="13"/>
      <c r="G118942" s="12"/>
      <c r="H118942" s="12"/>
      <c r="I118942" s="12"/>
      <c r="J118942" s="12"/>
      <c r="K118942" s="12"/>
      <c r="L118942" s="208"/>
      <c r="M118942" s="209"/>
      <c r="N118942" s="209"/>
      <c r="O118942" s="209"/>
    </row>
    <row r="118943" spans="1:15" s="210" customFormat="1" x14ac:dyDescent="0.3">
      <c r="A118943" s="12"/>
      <c r="B118943" s="15"/>
      <c r="C118943" s="15"/>
      <c r="D118943" s="12"/>
      <c r="E118943" s="12"/>
      <c r="F118943" s="13"/>
      <c r="G118943" s="12"/>
      <c r="H118943" s="12"/>
      <c r="I118943" s="12"/>
      <c r="J118943" s="12"/>
      <c r="K118943" s="12"/>
      <c r="L118943" s="208"/>
      <c r="M118943" s="209"/>
      <c r="N118943" s="209"/>
      <c r="O118943" s="209"/>
    </row>
    <row r="118944" spans="1:15" s="210" customFormat="1" x14ac:dyDescent="0.3">
      <c r="A118944" s="12"/>
      <c r="B118944" s="15"/>
      <c r="C118944" s="15"/>
      <c r="D118944" s="12"/>
      <c r="E118944" s="12"/>
      <c r="F118944" s="13"/>
      <c r="G118944" s="12"/>
      <c r="H118944" s="12"/>
      <c r="I118944" s="12"/>
      <c r="J118944" s="12"/>
      <c r="K118944" s="12"/>
      <c r="L118944" s="208"/>
      <c r="M118944" s="209"/>
      <c r="N118944" s="209"/>
      <c r="O118944" s="209"/>
    </row>
    <row r="118945" spans="1:15" s="210" customFormat="1" x14ac:dyDescent="0.3">
      <c r="A118945" s="12"/>
      <c r="B118945" s="15"/>
      <c r="C118945" s="15"/>
      <c r="D118945" s="12"/>
      <c r="E118945" s="12"/>
      <c r="F118945" s="13"/>
      <c r="G118945" s="12"/>
      <c r="H118945" s="12"/>
      <c r="I118945" s="12"/>
      <c r="J118945" s="12"/>
      <c r="K118945" s="12"/>
      <c r="L118945" s="208"/>
      <c r="M118945" s="209"/>
      <c r="N118945" s="209"/>
      <c r="O118945" s="209"/>
    </row>
    <row r="118946" spans="1:15" s="210" customFormat="1" x14ac:dyDescent="0.3">
      <c r="A118946" s="12"/>
      <c r="B118946" s="15"/>
      <c r="C118946" s="15"/>
      <c r="D118946" s="12"/>
      <c r="E118946" s="12"/>
      <c r="F118946" s="13"/>
      <c r="G118946" s="12"/>
      <c r="H118946" s="12"/>
      <c r="I118946" s="12"/>
      <c r="J118946" s="12"/>
      <c r="K118946" s="12"/>
      <c r="L118946" s="208"/>
      <c r="M118946" s="209"/>
      <c r="N118946" s="209"/>
      <c r="O118946" s="209"/>
    </row>
    <row r="118947" spans="1:15" s="210" customFormat="1" x14ac:dyDescent="0.3">
      <c r="A118947" s="12"/>
      <c r="B118947" s="15"/>
      <c r="C118947" s="15"/>
      <c r="D118947" s="12"/>
      <c r="E118947" s="12"/>
      <c r="F118947" s="13"/>
      <c r="G118947" s="12"/>
      <c r="H118947" s="12"/>
      <c r="I118947" s="12"/>
      <c r="J118947" s="12"/>
      <c r="K118947" s="12"/>
      <c r="L118947" s="208"/>
      <c r="M118947" s="209"/>
      <c r="N118947" s="209"/>
      <c r="O118947" s="209"/>
    </row>
    <row r="118948" spans="1:15" s="210" customFormat="1" x14ac:dyDescent="0.3">
      <c r="A118948" s="12"/>
      <c r="B118948" s="15"/>
      <c r="C118948" s="15"/>
      <c r="D118948" s="12"/>
      <c r="E118948" s="12"/>
      <c r="F118948" s="13"/>
      <c r="G118948" s="12"/>
      <c r="H118948" s="12"/>
      <c r="I118948" s="12"/>
      <c r="J118948" s="12"/>
      <c r="K118948" s="12"/>
      <c r="L118948" s="208"/>
      <c r="M118948" s="209"/>
      <c r="N118948" s="209"/>
      <c r="O118948" s="209"/>
    </row>
    <row r="118949" spans="1:15" s="210" customFormat="1" x14ac:dyDescent="0.3">
      <c r="A118949" s="12"/>
      <c r="B118949" s="15"/>
      <c r="C118949" s="15"/>
      <c r="D118949" s="12"/>
      <c r="E118949" s="12"/>
      <c r="F118949" s="13"/>
      <c r="G118949" s="12"/>
      <c r="H118949" s="12"/>
      <c r="I118949" s="12"/>
      <c r="J118949" s="12"/>
      <c r="K118949" s="12"/>
      <c r="L118949" s="208"/>
      <c r="M118949" s="209"/>
      <c r="N118949" s="209"/>
      <c r="O118949" s="209"/>
    </row>
    <row r="118950" spans="1:15" s="210" customFormat="1" x14ac:dyDescent="0.3">
      <c r="A118950" s="12"/>
      <c r="B118950" s="15"/>
      <c r="C118950" s="15"/>
      <c r="D118950" s="12"/>
      <c r="E118950" s="12"/>
      <c r="F118950" s="13"/>
      <c r="G118950" s="12"/>
      <c r="H118950" s="12"/>
      <c r="I118950" s="12"/>
      <c r="J118950" s="12"/>
      <c r="K118950" s="12"/>
      <c r="L118950" s="208"/>
      <c r="M118950" s="209"/>
      <c r="N118950" s="209"/>
      <c r="O118950" s="209"/>
    </row>
    <row r="118951" spans="1:15" s="210" customFormat="1" x14ac:dyDescent="0.3">
      <c r="A118951" s="12"/>
      <c r="B118951" s="15"/>
      <c r="C118951" s="15"/>
      <c r="D118951" s="12"/>
      <c r="E118951" s="12"/>
      <c r="F118951" s="13"/>
      <c r="G118951" s="12"/>
      <c r="H118951" s="12"/>
      <c r="I118951" s="12"/>
      <c r="J118951" s="12"/>
      <c r="K118951" s="12"/>
      <c r="L118951" s="208"/>
      <c r="M118951" s="209"/>
      <c r="N118951" s="209"/>
      <c r="O118951" s="209"/>
    </row>
    <row r="118952" spans="1:15" s="210" customFormat="1" x14ac:dyDescent="0.3">
      <c r="A118952" s="12"/>
      <c r="B118952" s="15"/>
      <c r="C118952" s="15"/>
      <c r="D118952" s="12"/>
      <c r="E118952" s="12"/>
      <c r="F118952" s="13"/>
      <c r="G118952" s="12"/>
      <c r="H118952" s="12"/>
      <c r="I118952" s="12"/>
      <c r="J118952" s="12"/>
      <c r="K118952" s="12"/>
      <c r="L118952" s="208"/>
      <c r="M118952" s="209"/>
      <c r="N118952" s="209"/>
      <c r="O118952" s="209"/>
    </row>
    <row r="118953" spans="1:15" s="210" customFormat="1" x14ac:dyDescent="0.3">
      <c r="A118953" s="12"/>
      <c r="B118953" s="15"/>
      <c r="C118953" s="15"/>
      <c r="D118953" s="12"/>
      <c r="E118953" s="12"/>
      <c r="F118953" s="13"/>
      <c r="G118953" s="12"/>
      <c r="H118953" s="12"/>
      <c r="I118953" s="12"/>
      <c r="J118953" s="12"/>
      <c r="K118953" s="12"/>
      <c r="L118953" s="208"/>
      <c r="M118953" s="209"/>
      <c r="N118953" s="209"/>
      <c r="O118953" s="209"/>
    </row>
    <row r="118954" spans="1:15" s="210" customFormat="1" x14ac:dyDescent="0.3">
      <c r="A118954" s="12"/>
      <c r="B118954" s="15"/>
      <c r="C118954" s="15"/>
      <c r="D118954" s="12"/>
      <c r="E118954" s="12"/>
      <c r="F118954" s="13"/>
      <c r="G118954" s="12"/>
      <c r="H118954" s="12"/>
      <c r="I118954" s="12"/>
      <c r="J118954" s="12"/>
      <c r="K118954" s="12"/>
      <c r="L118954" s="208"/>
      <c r="M118954" s="209"/>
      <c r="N118954" s="209"/>
      <c r="O118954" s="209"/>
    </row>
    <row r="118955" spans="1:15" s="210" customFormat="1" x14ac:dyDescent="0.3">
      <c r="A118955" s="12"/>
      <c r="B118955" s="15"/>
      <c r="C118955" s="15"/>
      <c r="D118955" s="12"/>
      <c r="E118955" s="12"/>
      <c r="F118955" s="13"/>
      <c r="G118955" s="12"/>
      <c r="H118955" s="12"/>
      <c r="I118955" s="12"/>
      <c r="J118955" s="12"/>
      <c r="K118955" s="12"/>
      <c r="L118955" s="208"/>
      <c r="M118955" s="209"/>
      <c r="N118955" s="209"/>
      <c r="O118955" s="209"/>
    </row>
    <row r="118956" spans="1:15" s="210" customFormat="1" x14ac:dyDescent="0.3">
      <c r="A118956" s="12"/>
      <c r="B118956" s="15"/>
      <c r="C118956" s="15"/>
      <c r="D118956" s="12"/>
      <c r="E118956" s="12"/>
      <c r="F118956" s="13"/>
      <c r="G118956" s="12"/>
      <c r="H118956" s="12"/>
      <c r="I118956" s="12"/>
      <c r="J118956" s="12"/>
      <c r="K118956" s="12"/>
      <c r="L118956" s="208"/>
      <c r="M118956" s="209"/>
      <c r="N118956" s="209"/>
      <c r="O118956" s="209"/>
    </row>
    <row r="118957" spans="1:15" s="210" customFormat="1" x14ac:dyDescent="0.3">
      <c r="A118957" s="12"/>
      <c r="B118957" s="15"/>
      <c r="C118957" s="15"/>
      <c r="D118957" s="12"/>
      <c r="E118957" s="12"/>
      <c r="F118957" s="13"/>
      <c r="G118957" s="12"/>
      <c r="H118957" s="12"/>
      <c r="I118957" s="12"/>
      <c r="J118957" s="12"/>
      <c r="K118957" s="12"/>
      <c r="L118957" s="208"/>
      <c r="M118957" s="209"/>
      <c r="N118957" s="209"/>
      <c r="O118957" s="209"/>
    </row>
    <row r="118958" spans="1:15" s="210" customFormat="1" x14ac:dyDescent="0.3">
      <c r="A118958" s="12"/>
      <c r="B118958" s="15"/>
      <c r="C118958" s="15"/>
      <c r="D118958" s="12"/>
      <c r="E118958" s="12"/>
      <c r="F118958" s="13"/>
      <c r="G118958" s="12"/>
      <c r="H118958" s="12"/>
      <c r="I118958" s="12"/>
      <c r="J118958" s="12"/>
      <c r="K118958" s="12"/>
      <c r="L118958" s="208"/>
      <c r="M118958" s="209"/>
      <c r="N118958" s="209"/>
      <c r="O118958" s="209"/>
    </row>
    <row r="118959" spans="1:15" s="210" customFormat="1" x14ac:dyDescent="0.3">
      <c r="A118959" s="12"/>
      <c r="B118959" s="15"/>
      <c r="C118959" s="15"/>
      <c r="D118959" s="12"/>
      <c r="E118959" s="12"/>
      <c r="F118959" s="13"/>
      <c r="G118959" s="12"/>
      <c r="H118959" s="12"/>
      <c r="I118959" s="12"/>
      <c r="J118959" s="12"/>
      <c r="K118959" s="12"/>
      <c r="L118959" s="208"/>
      <c r="M118959" s="209"/>
      <c r="N118959" s="209"/>
      <c r="O118959" s="209"/>
    </row>
    <row r="118960" spans="1:15" s="210" customFormat="1" x14ac:dyDescent="0.3">
      <c r="A118960" s="12"/>
      <c r="B118960" s="15"/>
      <c r="C118960" s="15"/>
      <c r="D118960" s="12"/>
      <c r="E118960" s="12"/>
      <c r="F118960" s="13"/>
      <c r="G118960" s="12"/>
      <c r="H118960" s="12"/>
      <c r="I118960" s="12"/>
      <c r="J118960" s="12"/>
      <c r="K118960" s="12"/>
      <c r="L118960" s="208"/>
      <c r="M118960" s="209"/>
      <c r="N118960" s="209"/>
      <c r="O118960" s="209"/>
    </row>
    <row r="118961" spans="1:15" s="210" customFormat="1" x14ac:dyDescent="0.3">
      <c r="A118961" s="12"/>
      <c r="B118961" s="15"/>
      <c r="C118961" s="15"/>
      <c r="D118961" s="12"/>
      <c r="E118961" s="12"/>
      <c r="F118961" s="13"/>
      <c r="G118961" s="12"/>
      <c r="H118961" s="12"/>
      <c r="I118961" s="12"/>
      <c r="J118961" s="12"/>
      <c r="K118961" s="12"/>
      <c r="L118961" s="208"/>
      <c r="M118961" s="209"/>
      <c r="N118961" s="209"/>
      <c r="O118961" s="209"/>
    </row>
    <row r="118962" spans="1:15" s="210" customFormat="1" x14ac:dyDescent="0.3">
      <c r="A118962" s="12"/>
      <c r="B118962" s="15"/>
      <c r="C118962" s="15"/>
      <c r="D118962" s="12"/>
      <c r="E118962" s="12"/>
      <c r="F118962" s="13"/>
      <c r="G118962" s="12"/>
      <c r="H118962" s="12"/>
      <c r="I118962" s="12"/>
      <c r="J118962" s="12"/>
      <c r="K118962" s="12"/>
      <c r="L118962" s="208"/>
      <c r="M118962" s="209"/>
      <c r="N118962" s="209"/>
      <c r="O118962" s="209"/>
    </row>
    <row r="118963" spans="1:15" s="210" customFormat="1" x14ac:dyDescent="0.3">
      <c r="A118963" s="12"/>
      <c r="B118963" s="15"/>
      <c r="C118963" s="15"/>
      <c r="D118963" s="12"/>
      <c r="E118963" s="12"/>
      <c r="F118963" s="13"/>
      <c r="G118963" s="12"/>
      <c r="H118963" s="12"/>
      <c r="I118963" s="12"/>
      <c r="J118963" s="12"/>
      <c r="K118963" s="12"/>
      <c r="L118963" s="208"/>
      <c r="M118963" s="209"/>
      <c r="N118963" s="209"/>
      <c r="O118963" s="209"/>
    </row>
    <row r="118964" spans="1:15" s="210" customFormat="1" x14ac:dyDescent="0.3">
      <c r="A118964" s="12"/>
      <c r="B118964" s="15"/>
      <c r="C118964" s="15"/>
      <c r="D118964" s="12"/>
      <c r="E118964" s="12"/>
      <c r="F118964" s="13"/>
      <c r="G118964" s="12"/>
      <c r="H118964" s="12"/>
      <c r="I118964" s="12"/>
      <c r="J118964" s="12"/>
      <c r="K118964" s="12"/>
      <c r="L118964" s="208"/>
      <c r="M118964" s="209"/>
      <c r="N118964" s="209"/>
      <c r="O118964" s="209"/>
    </row>
    <row r="118965" spans="1:15" s="210" customFormat="1" x14ac:dyDescent="0.3">
      <c r="A118965" s="12"/>
      <c r="B118965" s="15"/>
      <c r="C118965" s="15"/>
      <c r="D118965" s="12"/>
      <c r="E118965" s="12"/>
      <c r="F118965" s="13"/>
      <c r="G118965" s="12"/>
      <c r="H118965" s="12"/>
      <c r="I118965" s="12"/>
      <c r="J118965" s="12"/>
      <c r="K118965" s="12"/>
      <c r="L118965" s="208"/>
      <c r="M118965" s="209"/>
      <c r="N118965" s="209"/>
      <c r="O118965" s="209"/>
    </row>
    <row r="118966" spans="1:15" s="210" customFormat="1" x14ac:dyDescent="0.3">
      <c r="A118966" s="12"/>
      <c r="B118966" s="15"/>
      <c r="C118966" s="15"/>
      <c r="D118966" s="12"/>
      <c r="E118966" s="12"/>
      <c r="F118966" s="13"/>
      <c r="G118966" s="12"/>
      <c r="H118966" s="12"/>
      <c r="I118966" s="12"/>
      <c r="J118966" s="12"/>
      <c r="K118966" s="12"/>
      <c r="L118966" s="208"/>
      <c r="M118966" s="209"/>
      <c r="N118966" s="209"/>
      <c r="O118966" s="209"/>
    </row>
    <row r="118967" spans="1:15" s="210" customFormat="1" x14ac:dyDescent="0.3">
      <c r="A118967" s="12"/>
      <c r="B118967" s="15"/>
      <c r="C118967" s="15"/>
      <c r="D118967" s="12"/>
      <c r="E118967" s="12"/>
      <c r="F118967" s="13"/>
      <c r="G118967" s="12"/>
      <c r="H118967" s="12"/>
      <c r="I118967" s="12"/>
      <c r="J118967" s="12"/>
      <c r="K118967" s="12"/>
      <c r="L118967" s="208"/>
      <c r="M118967" s="209"/>
      <c r="N118967" s="209"/>
      <c r="O118967" s="209"/>
    </row>
    <row r="118968" spans="1:15" s="210" customFormat="1" x14ac:dyDescent="0.3">
      <c r="A118968" s="12"/>
      <c r="B118968" s="15"/>
      <c r="C118968" s="15"/>
      <c r="D118968" s="12"/>
      <c r="E118968" s="12"/>
      <c r="F118968" s="13"/>
      <c r="G118968" s="12"/>
      <c r="H118968" s="12"/>
      <c r="I118968" s="12"/>
      <c r="J118968" s="12"/>
      <c r="K118968" s="12"/>
      <c r="L118968" s="208"/>
      <c r="M118968" s="209"/>
      <c r="N118968" s="209"/>
      <c r="O118968" s="209"/>
    </row>
    <row r="118969" spans="1:15" s="210" customFormat="1" x14ac:dyDescent="0.3">
      <c r="A118969" s="12"/>
      <c r="B118969" s="15"/>
      <c r="C118969" s="15"/>
      <c r="D118969" s="12"/>
      <c r="E118969" s="12"/>
      <c r="F118969" s="13"/>
      <c r="G118969" s="12"/>
      <c r="H118969" s="12"/>
      <c r="I118969" s="12"/>
      <c r="J118969" s="12"/>
      <c r="K118969" s="12"/>
      <c r="L118969" s="208"/>
      <c r="M118969" s="209"/>
      <c r="N118969" s="209"/>
      <c r="O118969" s="209"/>
    </row>
    <row r="118970" spans="1:15" s="210" customFormat="1" x14ac:dyDescent="0.3">
      <c r="A118970" s="12"/>
      <c r="B118970" s="15"/>
      <c r="C118970" s="15"/>
      <c r="D118970" s="12"/>
      <c r="E118970" s="12"/>
      <c r="F118970" s="13"/>
      <c r="G118970" s="12"/>
      <c r="H118970" s="12"/>
      <c r="I118970" s="12"/>
      <c r="J118970" s="12"/>
      <c r="K118970" s="12"/>
      <c r="L118970" s="208"/>
      <c r="M118970" s="209"/>
      <c r="N118970" s="209"/>
      <c r="O118970" s="209"/>
    </row>
    <row r="118971" spans="1:15" s="210" customFormat="1" x14ac:dyDescent="0.3">
      <c r="A118971" s="12"/>
      <c r="B118971" s="15"/>
      <c r="C118971" s="15"/>
      <c r="D118971" s="12"/>
      <c r="E118971" s="12"/>
      <c r="F118971" s="13"/>
      <c r="G118971" s="12"/>
      <c r="H118971" s="12"/>
      <c r="I118971" s="12"/>
      <c r="J118971" s="12"/>
      <c r="K118971" s="12"/>
      <c r="L118971" s="208"/>
      <c r="M118971" s="209"/>
      <c r="N118971" s="209"/>
      <c r="O118971" s="209"/>
    </row>
    <row r="118972" spans="1:15" s="210" customFormat="1" x14ac:dyDescent="0.3">
      <c r="A118972" s="12"/>
      <c r="B118972" s="15"/>
      <c r="C118972" s="15"/>
      <c r="D118972" s="12"/>
      <c r="E118972" s="12"/>
      <c r="F118972" s="13"/>
      <c r="G118972" s="12"/>
      <c r="H118972" s="12"/>
      <c r="I118972" s="12"/>
      <c r="J118972" s="12"/>
      <c r="K118972" s="12"/>
      <c r="L118972" s="208"/>
      <c r="M118972" s="209"/>
      <c r="N118972" s="209"/>
      <c r="O118972" s="209"/>
    </row>
    <row r="118973" spans="1:15" s="210" customFormat="1" x14ac:dyDescent="0.3">
      <c r="A118973" s="12"/>
      <c r="B118973" s="15"/>
      <c r="C118973" s="15"/>
      <c r="D118973" s="12"/>
      <c r="E118973" s="12"/>
      <c r="F118973" s="13"/>
      <c r="G118973" s="12"/>
      <c r="H118973" s="12"/>
      <c r="I118973" s="12"/>
      <c r="J118973" s="12"/>
      <c r="K118973" s="12"/>
      <c r="L118973" s="208"/>
      <c r="M118973" s="209"/>
      <c r="N118973" s="209"/>
      <c r="O118973" s="209"/>
    </row>
    <row r="118974" spans="1:15" s="210" customFormat="1" x14ac:dyDescent="0.3">
      <c r="A118974" s="12"/>
      <c r="B118974" s="15"/>
      <c r="C118974" s="15"/>
      <c r="D118974" s="12"/>
      <c r="E118974" s="12"/>
      <c r="F118974" s="13"/>
      <c r="G118974" s="12"/>
      <c r="H118974" s="12"/>
      <c r="I118974" s="12"/>
      <c r="J118974" s="12"/>
      <c r="K118974" s="12"/>
      <c r="L118974" s="208"/>
      <c r="M118974" s="209"/>
      <c r="N118974" s="209"/>
      <c r="O118974" s="209"/>
    </row>
    <row r="118975" spans="1:15" s="210" customFormat="1" x14ac:dyDescent="0.3">
      <c r="A118975" s="12"/>
      <c r="B118975" s="15"/>
      <c r="C118975" s="15"/>
      <c r="D118975" s="12"/>
      <c r="E118975" s="12"/>
      <c r="F118975" s="13"/>
      <c r="G118975" s="12"/>
      <c r="H118975" s="12"/>
      <c r="I118975" s="12"/>
      <c r="J118975" s="12"/>
      <c r="K118975" s="12"/>
      <c r="L118975" s="208"/>
      <c r="M118975" s="209"/>
      <c r="N118975" s="209"/>
      <c r="O118975" s="209"/>
    </row>
    <row r="118976" spans="1:15" s="210" customFormat="1" x14ac:dyDescent="0.3">
      <c r="A118976" s="12"/>
      <c r="B118976" s="15"/>
      <c r="C118976" s="15"/>
      <c r="D118976" s="12"/>
      <c r="E118976" s="12"/>
      <c r="F118976" s="13"/>
      <c r="G118976" s="12"/>
      <c r="H118976" s="12"/>
      <c r="I118976" s="12"/>
      <c r="J118976" s="12"/>
      <c r="K118976" s="12"/>
      <c r="L118976" s="208"/>
      <c r="M118976" s="209"/>
      <c r="N118976" s="209"/>
      <c r="O118976" s="209"/>
    </row>
    <row r="118977" spans="1:15" s="210" customFormat="1" x14ac:dyDescent="0.3">
      <c r="A118977" s="12"/>
      <c r="B118977" s="15"/>
      <c r="C118977" s="15"/>
      <c r="D118977" s="12"/>
      <c r="E118977" s="12"/>
      <c r="F118977" s="13"/>
      <c r="G118977" s="12"/>
      <c r="H118977" s="12"/>
      <c r="I118977" s="12"/>
      <c r="J118977" s="12"/>
      <c r="K118977" s="12"/>
      <c r="L118977" s="208"/>
      <c r="M118977" s="209"/>
      <c r="N118977" s="209"/>
      <c r="O118977" s="209"/>
    </row>
    <row r="118978" spans="1:15" s="210" customFormat="1" x14ac:dyDescent="0.3">
      <c r="A118978" s="12"/>
      <c r="B118978" s="15"/>
      <c r="C118978" s="15"/>
      <c r="D118978" s="12"/>
      <c r="E118978" s="12"/>
      <c r="F118978" s="13"/>
      <c r="G118978" s="12"/>
      <c r="H118978" s="12"/>
      <c r="I118978" s="12"/>
      <c r="J118978" s="12"/>
      <c r="K118978" s="12"/>
      <c r="L118978" s="208"/>
      <c r="M118978" s="209"/>
      <c r="N118978" s="209"/>
      <c r="O118978" s="209"/>
    </row>
    <row r="118979" spans="1:15" s="210" customFormat="1" x14ac:dyDescent="0.3">
      <c r="A118979" s="12"/>
      <c r="B118979" s="15"/>
      <c r="C118979" s="15"/>
      <c r="D118979" s="12"/>
      <c r="E118979" s="12"/>
      <c r="F118979" s="13"/>
      <c r="G118979" s="12"/>
      <c r="H118979" s="12"/>
      <c r="I118979" s="12"/>
      <c r="J118979" s="12"/>
      <c r="K118979" s="12"/>
      <c r="L118979" s="208"/>
      <c r="M118979" s="209"/>
      <c r="N118979" s="209"/>
      <c r="O118979" s="209"/>
    </row>
    <row r="118980" spans="1:15" s="210" customFormat="1" x14ac:dyDescent="0.3">
      <c r="A118980" s="12"/>
      <c r="B118980" s="15"/>
      <c r="C118980" s="15"/>
      <c r="D118980" s="12"/>
      <c r="E118980" s="12"/>
      <c r="F118980" s="13"/>
      <c r="G118980" s="12"/>
      <c r="H118980" s="12"/>
      <c r="I118980" s="12"/>
      <c r="J118980" s="12"/>
      <c r="K118980" s="12"/>
      <c r="L118980" s="208"/>
      <c r="M118980" s="209"/>
      <c r="N118980" s="209"/>
      <c r="O118980" s="209"/>
    </row>
    <row r="118981" spans="1:15" s="210" customFormat="1" x14ac:dyDescent="0.3">
      <c r="A118981" s="12"/>
      <c r="B118981" s="15"/>
      <c r="C118981" s="15"/>
      <c r="D118981" s="12"/>
      <c r="E118981" s="12"/>
      <c r="F118981" s="13"/>
      <c r="G118981" s="12"/>
      <c r="H118981" s="12"/>
      <c r="I118981" s="12"/>
      <c r="J118981" s="12"/>
      <c r="K118981" s="12"/>
      <c r="L118981" s="208"/>
      <c r="M118981" s="209"/>
      <c r="N118981" s="209"/>
      <c r="O118981" s="209"/>
    </row>
    <row r="118982" spans="1:15" s="210" customFormat="1" x14ac:dyDescent="0.3">
      <c r="A118982" s="12"/>
      <c r="B118982" s="15"/>
      <c r="C118982" s="15"/>
      <c r="D118982" s="12"/>
      <c r="E118982" s="12"/>
      <c r="F118982" s="13"/>
      <c r="G118982" s="12"/>
      <c r="H118982" s="12"/>
      <c r="I118982" s="12"/>
      <c r="J118982" s="12"/>
      <c r="K118982" s="12"/>
      <c r="L118982" s="208"/>
      <c r="M118982" s="209"/>
      <c r="N118982" s="209"/>
      <c r="O118982" s="209"/>
    </row>
    <row r="118983" spans="1:15" s="210" customFormat="1" x14ac:dyDescent="0.3">
      <c r="A118983" s="12"/>
      <c r="B118983" s="15"/>
      <c r="C118983" s="15"/>
      <c r="D118983" s="12"/>
      <c r="E118983" s="12"/>
      <c r="F118983" s="13"/>
      <c r="G118983" s="12"/>
      <c r="H118983" s="12"/>
      <c r="I118983" s="12"/>
      <c r="J118983" s="12"/>
      <c r="K118983" s="12"/>
      <c r="L118983" s="208"/>
      <c r="M118983" s="209"/>
      <c r="N118983" s="209"/>
      <c r="O118983" s="209"/>
    </row>
    <row r="118984" spans="1:15" s="210" customFormat="1" x14ac:dyDescent="0.3">
      <c r="A118984" s="12"/>
      <c r="B118984" s="15"/>
      <c r="C118984" s="15"/>
      <c r="D118984" s="12"/>
      <c r="E118984" s="12"/>
      <c r="F118984" s="13"/>
      <c r="G118984" s="12"/>
      <c r="H118984" s="12"/>
      <c r="I118984" s="12"/>
      <c r="J118984" s="12"/>
      <c r="K118984" s="12"/>
      <c r="L118984" s="208"/>
      <c r="M118984" s="209"/>
      <c r="N118984" s="209"/>
      <c r="O118984" s="209"/>
    </row>
    <row r="118985" spans="1:15" s="210" customFormat="1" x14ac:dyDescent="0.3">
      <c r="A118985" s="12"/>
      <c r="B118985" s="15"/>
      <c r="C118985" s="15"/>
      <c r="D118985" s="12"/>
      <c r="E118985" s="12"/>
      <c r="F118985" s="13"/>
      <c r="G118985" s="12"/>
      <c r="H118985" s="12"/>
      <c r="I118985" s="12"/>
      <c r="J118985" s="12"/>
      <c r="K118985" s="12"/>
      <c r="L118985" s="208"/>
      <c r="M118985" s="209"/>
      <c r="N118985" s="209"/>
      <c r="O118985" s="209"/>
    </row>
    <row r="118986" spans="1:15" s="210" customFormat="1" x14ac:dyDescent="0.3">
      <c r="A118986" s="12"/>
      <c r="B118986" s="15"/>
      <c r="C118986" s="15"/>
      <c r="D118986" s="12"/>
      <c r="E118986" s="12"/>
      <c r="F118986" s="13"/>
      <c r="G118986" s="12"/>
      <c r="H118986" s="12"/>
      <c r="I118986" s="12"/>
      <c r="J118986" s="12"/>
      <c r="K118986" s="12"/>
      <c r="L118986" s="208"/>
      <c r="M118986" s="209"/>
      <c r="N118986" s="209"/>
      <c r="O118986" s="209"/>
    </row>
    <row r="118987" spans="1:15" s="210" customFormat="1" x14ac:dyDescent="0.3">
      <c r="A118987" s="12"/>
      <c r="B118987" s="15"/>
      <c r="C118987" s="15"/>
      <c r="D118987" s="12"/>
      <c r="E118987" s="12"/>
      <c r="F118987" s="13"/>
      <c r="G118987" s="12"/>
      <c r="H118987" s="12"/>
      <c r="I118987" s="12"/>
      <c r="J118987" s="12"/>
      <c r="K118987" s="12"/>
      <c r="L118987" s="208"/>
      <c r="M118987" s="209"/>
      <c r="N118987" s="209"/>
      <c r="O118987" s="209"/>
    </row>
    <row r="118988" spans="1:15" s="210" customFormat="1" x14ac:dyDescent="0.3">
      <c r="A118988" s="12"/>
      <c r="B118988" s="15"/>
      <c r="C118988" s="15"/>
      <c r="D118988" s="12"/>
      <c r="E118988" s="12"/>
      <c r="F118988" s="13"/>
      <c r="G118988" s="12"/>
      <c r="H118988" s="12"/>
      <c r="I118988" s="12"/>
      <c r="J118988" s="12"/>
      <c r="K118988" s="12"/>
      <c r="L118988" s="208"/>
      <c r="M118988" s="209"/>
      <c r="N118988" s="209"/>
      <c r="O118988" s="209"/>
    </row>
    <row r="118989" spans="1:15" s="210" customFormat="1" x14ac:dyDescent="0.3">
      <c r="A118989" s="12"/>
      <c r="B118989" s="15"/>
      <c r="C118989" s="15"/>
      <c r="D118989" s="12"/>
      <c r="E118989" s="12"/>
      <c r="F118989" s="13"/>
      <c r="G118989" s="12"/>
      <c r="H118989" s="12"/>
      <c r="I118989" s="12"/>
      <c r="J118989" s="12"/>
      <c r="K118989" s="12"/>
      <c r="L118989" s="208"/>
      <c r="M118989" s="209"/>
      <c r="N118989" s="209"/>
      <c r="O118989" s="209"/>
    </row>
    <row r="118990" spans="1:15" s="210" customFormat="1" x14ac:dyDescent="0.3">
      <c r="A118990" s="12"/>
      <c r="B118990" s="15"/>
      <c r="C118990" s="15"/>
      <c r="D118990" s="12"/>
      <c r="E118990" s="12"/>
      <c r="F118990" s="13"/>
      <c r="G118990" s="12"/>
      <c r="H118990" s="12"/>
      <c r="I118990" s="12"/>
      <c r="J118990" s="12"/>
      <c r="K118990" s="12"/>
      <c r="L118990" s="208"/>
      <c r="M118990" s="209"/>
      <c r="N118990" s="209"/>
      <c r="O118990" s="209"/>
    </row>
    <row r="118991" spans="1:15" s="210" customFormat="1" x14ac:dyDescent="0.3">
      <c r="A118991" s="12"/>
      <c r="B118991" s="15"/>
      <c r="C118991" s="15"/>
      <c r="D118991" s="12"/>
      <c r="E118991" s="12"/>
      <c r="F118991" s="13"/>
      <c r="G118991" s="12"/>
      <c r="H118991" s="12"/>
      <c r="I118991" s="12"/>
      <c r="J118991" s="12"/>
      <c r="K118991" s="12"/>
      <c r="L118991" s="208"/>
      <c r="M118991" s="209"/>
      <c r="N118991" s="209"/>
      <c r="O118991" s="209"/>
    </row>
    <row r="118992" spans="1:15" s="210" customFormat="1" x14ac:dyDescent="0.3">
      <c r="A118992" s="12"/>
      <c r="B118992" s="15"/>
      <c r="C118992" s="15"/>
      <c r="D118992" s="12"/>
      <c r="E118992" s="12"/>
      <c r="F118992" s="13"/>
      <c r="G118992" s="12"/>
      <c r="H118992" s="12"/>
      <c r="I118992" s="12"/>
      <c r="J118992" s="12"/>
      <c r="K118992" s="12"/>
      <c r="L118992" s="208"/>
      <c r="M118992" s="209"/>
      <c r="N118992" s="209"/>
      <c r="O118992" s="209"/>
    </row>
    <row r="118993" spans="1:15" s="210" customFormat="1" x14ac:dyDescent="0.3">
      <c r="A118993" s="12"/>
      <c r="B118993" s="15"/>
      <c r="C118993" s="15"/>
      <c r="D118993" s="12"/>
      <c r="E118993" s="12"/>
      <c r="F118993" s="13"/>
      <c r="G118993" s="12"/>
      <c r="H118993" s="12"/>
      <c r="I118993" s="12"/>
      <c r="J118993" s="12"/>
      <c r="K118993" s="12"/>
      <c r="L118993" s="208"/>
      <c r="M118993" s="209"/>
      <c r="N118993" s="209"/>
      <c r="O118993" s="209"/>
    </row>
    <row r="118994" spans="1:15" s="210" customFormat="1" x14ac:dyDescent="0.3">
      <c r="A118994" s="12"/>
      <c r="B118994" s="15"/>
      <c r="C118994" s="15"/>
      <c r="D118994" s="12"/>
      <c r="E118994" s="12"/>
      <c r="F118994" s="13"/>
      <c r="G118994" s="12"/>
      <c r="H118994" s="12"/>
      <c r="I118994" s="12"/>
      <c r="J118994" s="12"/>
      <c r="K118994" s="12"/>
      <c r="L118994" s="208"/>
      <c r="M118994" s="209"/>
      <c r="N118994" s="209"/>
      <c r="O118994" s="209"/>
    </row>
    <row r="118995" spans="1:15" s="210" customFormat="1" x14ac:dyDescent="0.3">
      <c r="A118995" s="12"/>
      <c r="B118995" s="15"/>
      <c r="C118995" s="15"/>
      <c r="D118995" s="12"/>
      <c r="E118995" s="12"/>
      <c r="F118995" s="13"/>
      <c r="G118995" s="12"/>
      <c r="H118995" s="12"/>
      <c r="I118995" s="12"/>
      <c r="J118995" s="12"/>
      <c r="K118995" s="12"/>
      <c r="L118995" s="208"/>
      <c r="M118995" s="209"/>
      <c r="N118995" s="209"/>
      <c r="O118995" s="209"/>
    </row>
    <row r="118996" spans="1:15" s="210" customFormat="1" x14ac:dyDescent="0.3">
      <c r="A118996" s="12"/>
      <c r="B118996" s="15"/>
      <c r="C118996" s="15"/>
      <c r="D118996" s="12"/>
      <c r="E118996" s="12"/>
      <c r="F118996" s="13"/>
      <c r="G118996" s="12"/>
      <c r="H118996" s="12"/>
      <c r="I118996" s="12"/>
      <c r="J118996" s="12"/>
      <c r="K118996" s="12"/>
      <c r="L118996" s="208"/>
      <c r="M118996" s="209"/>
      <c r="N118996" s="209"/>
      <c r="O118996" s="209"/>
    </row>
    <row r="118997" spans="1:15" s="210" customFormat="1" x14ac:dyDescent="0.3">
      <c r="A118997" s="12"/>
      <c r="B118997" s="15"/>
      <c r="C118997" s="15"/>
      <c r="D118997" s="12"/>
      <c r="E118997" s="12"/>
      <c r="F118997" s="13"/>
      <c r="G118997" s="12"/>
      <c r="H118997" s="12"/>
      <c r="I118997" s="12"/>
      <c r="J118997" s="12"/>
      <c r="K118997" s="12"/>
      <c r="L118997" s="208"/>
      <c r="M118997" s="209"/>
      <c r="N118997" s="209"/>
      <c r="O118997" s="209"/>
    </row>
    <row r="118998" spans="1:15" s="210" customFormat="1" x14ac:dyDescent="0.3">
      <c r="A118998" s="12"/>
      <c r="B118998" s="15"/>
      <c r="C118998" s="15"/>
      <c r="D118998" s="12"/>
      <c r="E118998" s="12"/>
      <c r="F118998" s="13"/>
      <c r="G118998" s="12"/>
      <c r="H118998" s="12"/>
      <c r="I118998" s="12"/>
      <c r="J118998" s="12"/>
      <c r="K118998" s="12"/>
      <c r="L118998" s="208"/>
      <c r="M118998" s="209"/>
      <c r="N118998" s="209"/>
      <c r="O118998" s="209"/>
    </row>
    <row r="118999" spans="1:15" s="210" customFormat="1" x14ac:dyDescent="0.3">
      <c r="A118999" s="12"/>
      <c r="B118999" s="15"/>
      <c r="C118999" s="15"/>
      <c r="D118999" s="12"/>
      <c r="E118999" s="12"/>
      <c r="F118999" s="13"/>
      <c r="G118999" s="12"/>
      <c r="H118999" s="12"/>
      <c r="I118999" s="12"/>
      <c r="J118999" s="12"/>
      <c r="K118999" s="12"/>
      <c r="L118999" s="208"/>
      <c r="M118999" s="209"/>
      <c r="N118999" s="209"/>
      <c r="O118999" s="209"/>
    </row>
    <row r="119000" spans="1:15" s="210" customFormat="1" x14ac:dyDescent="0.3">
      <c r="A119000" s="12"/>
      <c r="B119000" s="15"/>
      <c r="C119000" s="15"/>
      <c r="D119000" s="12"/>
      <c r="E119000" s="12"/>
      <c r="F119000" s="13"/>
      <c r="G119000" s="12"/>
      <c r="H119000" s="12"/>
      <c r="I119000" s="12"/>
      <c r="J119000" s="12"/>
      <c r="K119000" s="12"/>
      <c r="L119000" s="208"/>
      <c r="M119000" s="209"/>
      <c r="N119000" s="209"/>
      <c r="O119000" s="209"/>
    </row>
    <row r="119001" spans="1:15" s="210" customFormat="1" x14ac:dyDescent="0.3">
      <c r="A119001" s="12"/>
      <c r="B119001" s="15"/>
      <c r="C119001" s="15"/>
      <c r="D119001" s="12"/>
      <c r="E119001" s="12"/>
      <c r="F119001" s="13"/>
      <c r="G119001" s="12"/>
      <c r="H119001" s="12"/>
      <c r="I119001" s="12"/>
      <c r="J119001" s="12"/>
      <c r="K119001" s="12"/>
      <c r="L119001" s="208"/>
      <c r="M119001" s="209"/>
      <c r="N119001" s="209"/>
      <c r="O119001" s="209"/>
    </row>
    <row r="119002" spans="1:15" s="210" customFormat="1" x14ac:dyDescent="0.3">
      <c r="A119002" s="12"/>
      <c r="B119002" s="15"/>
      <c r="C119002" s="15"/>
      <c r="D119002" s="12"/>
      <c r="E119002" s="12"/>
      <c r="F119002" s="13"/>
      <c r="G119002" s="12"/>
      <c r="H119002" s="12"/>
      <c r="I119002" s="12"/>
      <c r="J119002" s="12"/>
      <c r="K119002" s="12"/>
      <c r="L119002" s="208"/>
      <c r="M119002" s="209"/>
      <c r="N119002" s="209"/>
      <c r="O119002" s="209"/>
    </row>
    <row r="119003" spans="1:15" s="210" customFormat="1" x14ac:dyDescent="0.3">
      <c r="A119003" s="12"/>
      <c r="B119003" s="15"/>
      <c r="C119003" s="15"/>
      <c r="D119003" s="12"/>
      <c r="E119003" s="12"/>
      <c r="F119003" s="13"/>
      <c r="G119003" s="12"/>
      <c r="H119003" s="12"/>
      <c r="I119003" s="12"/>
      <c r="J119003" s="12"/>
      <c r="K119003" s="12"/>
      <c r="L119003" s="208"/>
      <c r="M119003" s="209"/>
      <c r="N119003" s="209"/>
      <c r="O119003" s="209"/>
    </row>
    <row r="119004" spans="1:15" s="210" customFormat="1" x14ac:dyDescent="0.3">
      <c r="A119004" s="12"/>
      <c r="B119004" s="15"/>
      <c r="C119004" s="15"/>
      <c r="D119004" s="12"/>
      <c r="E119004" s="12"/>
      <c r="F119004" s="13"/>
      <c r="G119004" s="12"/>
      <c r="H119004" s="12"/>
      <c r="I119004" s="12"/>
      <c r="J119004" s="12"/>
      <c r="K119004" s="12"/>
      <c r="L119004" s="208"/>
      <c r="M119004" s="209"/>
      <c r="N119004" s="209"/>
      <c r="O119004" s="209"/>
    </row>
    <row r="119005" spans="1:15" s="210" customFormat="1" x14ac:dyDescent="0.3">
      <c r="A119005" s="12"/>
      <c r="B119005" s="15"/>
      <c r="C119005" s="15"/>
      <c r="D119005" s="12"/>
      <c r="E119005" s="12"/>
      <c r="F119005" s="13"/>
      <c r="G119005" s="12"/>
      <c r="H119005" s="12"/>
      <c r="I119005" s="12"/>
      <c r="J119005" s="12"/>
      <c r="K119005" s="12"/>
      <c r="L119005" s="208"/>
      <c r="M119005" s="209"/>
      <c r="N119005" s="209"/>
      <c r="O119005" s="209"/>
    </row>
    <row r="119006" spans="1:15" s="210" customFormat="1" x14ac:dyDescent="0.3">
      <c r="A119006" s="12"/>
      <c r="B119006" s="15"/>
      <c r="C119006" s="15"/>
      <c r="D119006" s="12"/>
      <c r="E119006" s="12"/>
      <c r="F119006" s="13"/>
      <c r="G119006" s="12"/>
      <c r="H119006" s="12"/>
      <c r="I119006" s="12"/>
      <c r="J119006" s="12"/>
      <c r="K119006" s="12"/>
      <c r="L119006" s="208"/>
      <c r="M119006" s="209"/>
      <c r="N119006" s="209"/>
      <c r="O119006" s="209"/>
    </row>
    <row r="119007" spans="1:15" s="210" customFormat="1" x14ac:dyDescent="0.3">
      <c r="A119007" s="12"/>
      <c r="B119007" s="15"/>
      <c r="C119007" s="15"/>
      <c r="D119007" s="12"/>
      <c r="E119007" s="12"/>
      <c r="F119007" s="13"/>
      <c r="G119007" s="12"/>
      <c r="H119007" s="12"/>
      <c r="I119007" s="12"/>
      <c r="J119007" s="12"/>
      <c r="K119007" s="12"/>
      <c r="L119007" s="208"/>
      <c r="M119007" s="209"/>
      <c r="N119007" s="209"/>
      <c r="O119007" s="209"/>
    </row>
    <row r="119008" spans="1:15" s="210" customFormat="1" x14ac:dyDescent="0.3">
      <c r="A119008" s="12"/>
      <c r="B119008" s="15"/>
      <c r="C119008" s="15"/>
      <c r="D119008" s="12"/>
      <c r="E119008" s="12"/>
      <c r="F119008" s="13"/>
      <c r="G119008" s="12"/>
      <c r="H119008" s="12"/>
      <c r="I119008" s="12"/>
      <c r="J119008" s="12"/>
      <c r="K119008" s="12"/>
      <c r="L119008" s="208"/>
      <c r="M119008" s="209"/>
      <c r="N119008" s="209"/>
      <c r="O119008" s="209"/>
    </row>
    <row r="119009" spans="1:15" s="210" customFormat="1" x14ac:dyDescent="0.3">
      <c r="A119009" s="12"/>
      <c r="B119009" s="15"/>
      <c r="C119009" s="15"/>
      <c r="D119009" s="12"/>
      <c r="E119009" s="12"/>
      <c r="F119009" s="13"/>
      <c r="G119009" s="12"/>
      <c r="H119009" s="12"/>
      <c r="I119009" s="12"/>
      <c r="J119009" s="12"/>
      <c r="K119009" s="12"/>
      <c r="L119009" s="208"/>
      <c r="M119009" s="209"/>
      <c r="N119009" s="209"/>
      <c r="O119009" s="209"/>
    </row>
    <row r="119010" spans="1:15" s="210" customFormat="1" x14ac:dyDescent="0.3">
      <c r="A119010" s="12"/>
      <c r="B119010" s="15"/>
      <c r="C119010" s="15"/>
      <c r="D119010" s="12"/>
      <c r="E119010" s="12"/>
      <c r="F119010" s="13"/>
      <c r="G119010" s="12"/>
      <c r="H119010" s="12"/>
      <c r="I119010" s="12"/>
      <c r="J119010" s="12"/>
      <c r="K119010" s="12"/>
      <c r="L119010" s="208"/>
      <c r="M119010" s="209"/>
      <c r="N119010" s="209"/>
      <c r="O119010" s="209"/>
    </row>
    <row r="119011" spans="1:15" s="210" customFormat="1" x14ac:dyDescent="0.3">
      <c r="A119011" s="12"/>
      <c r="B119011" s="15"/>
      <c r="C119011" s="15"/>
      <c r="D119011" s="12"/>
      <c r="E119011" s="12"/>
      <c r="F119011" s="13"/>
      <c r="G119011" s="12"/>
      <c r="H119011" s="12"/>
      <c r="I119011" s="12"/>
      <c r="J119011" s="12"/>
      <c r="K119011" s="12"/>
      <c r="L119011" s="208"/>
      <c r="M119011" s="209"/>
      <c r="N119011" s="209"/>
      <c r="O119011" s="209"/>
    </row>
    <row r="119012" spans="1:15" s="210" customFormat="1" x14ac:dyDescent="0.3">
      <c r="A119012" s="12"/>
      <c r="B119012" s="15"/>
      <c r="C119012" s="15"/>
      <c r="D119012" s="12"/>
      <c r="E119012" s="12"/>
      <c r="F119012" s="13"/>
      <c r="G119012" s="12"/>
      <c r="H119012" s="12"/>
      <c r="I119012" s="12"/>
      <c r="J119012" s="12"/>
      <c r="K119012" s="12"/>
      <c r="L119012" s="208"/>
      <c r="M119012" s="209"/>
      <c r="N119012" s="209"/>
      <c r="O119012" s="209"/>
    </row>
    <row r="119013" spans="1:15" s="210" customFormat="1" x14ac:dyDescent="0.3">
      <c r="A119013" s="12"/>
      <c r="B119013" s="15"/>
      <c r="C119013" s="15"/>
      <c r="D119013" s="12"/>
      <c r="E119013" s="12"/>
      <c r="F119013" s="13"/>
      <c r="G119013" s="12"/>
      <c r="H119013" s="12"/>
      <c r="I119013" s="12"/>
      <c r="J119013" s="12"/>
      <c r="K119013" s="12"/>
      <c r="L119013" s="208"/>
      <c r="M119013" s="209"/>
      <c r="N119013" s="209"/>
      <c r="O119013" s="209"/>
    </row>
    <row r="119014" spans="1:15" s="210" customFormat="1" x14ac:dyDescent="0.3">
      <c r="A119014" s="12"/>
      <c r="B119014" s="15"/>
      <c r="C119014" s="15"/>
      <c r="D119014" s="12"/>
      <c r="E119014" s="12"/>
      <c r="F119014" s="13"/>
      <c r="G119014" s="12"/>
      <c r="H119014" s="12"/>
      <c r="I119014" s="12"/>
      <c r="J119014" s="12"/>
      <c r="K119014" s="12"/>
      <c r="L119014" s="208"/>
      <c r="M119014" s="209"/>
      <c r="N119014" s="209"/>
      <c r="O119014" s="209"/>
    </row>
    <row r="119015" spans="1:15" s="210" customFormat="1" x14ac:dyDescent="0.3">
      <c r="A119015" s="12"/>
      <c r="B119015" s="15"/>
      <c r="C119015" s="15"/>
      <c r="D119015" s="12"/>
      <c r="E119015" s="12"/>
      <c r="F119015" s="13"/>
      <c r="G119015" s="12"/>
      <c r="H119015" s="12"/>
      <c r="I119015" s="12"/>
      <c r="J119015" s="12"/>
      <c r="K119015" s="12"/>
      <c r="L119015" s="208"/>
      <c r="M119015" s="209"/>
      <c r="N119015" s="209"/>
      <c r="O119015" s="209"/>
    </row>
    <row r="119016" spans="1:15" s="210" customFormat="1" x14ac:dyDescent="0.3">
      <c r="A119016" s="12"/>
      <c r="B119016" s="15"/>
      <c r="C119016" s="15"/>
      <c r="D119016" s="12"/>
      <c r="E119016" s="12"/>
      <c r="F119016" s="13"/>
      <c r="G119016" s="12"/>
      <c r="H119016" s="12"/>
      <c r="I119016" s="12"/>
      <c r="J119016" s="12"/>
      <c r="K119016" s="12"/>
      <c r="L119016" s="208"/>
      <c r="M119016" s="209"/>
      <c r="N119016" s="209"/>
      <c r="O119016" s="209"/>
    </row>
    <row r="119017" spans="1:15" s="210" customFormat="1" x14ac:dyDescent="0.3">
      <c r="A119017" s="12"/>
      <c r="B119017" s="15"/>
      <c r="C119017" s="15"/>
      <c r="D119017" s="12"/>
      <c r="E119017" s="12"/>
      <c r="F119017" s="13"/>
      <c r="G119017" s="12"/>
      <c r="H119017" s="12"/>
      <c r="I119017" s="12"/>
      <c r="J119017" s="12"/>
      <c r="K119017" s="12"/>
      <c r="L119017" s="208"/>
      <c r="M119017" s="209"/>
      <c r="N119017" s="209"/>
      <c r="O119017" s="209"/>
    </row>
    <row r="119018" spans="1:15" s="210" customFormat="1" x14ac:dyDescent="0.3">
      <c r="A119018" s="12"/>
      <c r="B119018" s="15"/>
      <c r="C119018" s="15"/>
      <c r="D119018" s="12"/>
      <c r="E119018" s="12"/>
      <c r="F119018" s="13"/>
      <c r="G119018" s="12"/>
      <c r="H119018" s="12"/>
      <c r="I119018" s="12"/>
      <c r="J119018" s="12"/>
      <c r="K119018" s="12"/>
      <c r="L119018" s="208"/>
      <c r="M119018" s="209"/>
      <c r="N119018" s="209"/>
      <c r="O119018" s="209"/>
    </row>
    <row r="119019" spans="1:15" s="210" customFormat="1" x14ac:dyDescent="0.3">
      <c r="A119019" s="12"/>
      <c r="B119019" s="15"/>
      <c r="C119019" s="15"/>
      <c r="D119019" s="12"/>
      <c r="E119019" s="12"/>
      <c r="F119019" s="13"/>
      <c r="G119019" s="12"/>
      <c r="H119019" s="12"/>
      <c r="I119019" s="12"/>
      <c r="J119019" s="12"/>
      <c r="K119019" s="12"/>
      <c r="L119019" s="208"/>
      <c r="M119019" s="209"/>
      <c r="N119019" s="209"/>
      <c r="O119019" s="209"/>
    </row>
    <row r="119020" spans="1:15" s="210" customFormat="1" x14ac:dyDescent="0.3">
      <c r="A119020" s="12"/>
      <c r="B119020" s="15"/>
      <c r="C119020" s="15"/>
      <c r="D119020" s="12"/>
      <c r="E119020" s="12"/>
      <c r="F119020" s="13"/>
      <c r="G119020" s="12"/>
      <c r="H119020" s="12"/>
      <c r="I119020" s="12"/>
      <c r="J119020" s="12"/>
      <c r="K119020" s="12"/>
      <c r="L119020" s="208"/>
      <c r="M119020" s="209"/>
      <c r="N119020" s="209"/>
      <c r="O119020" s="209"/>
    </row>
    <row r="119021" spans="1:15" s="210" customFormat="1" x14ac:dyDescent="0.3">
      <c r="A119021" s="12"/>
      <c r="B119021" s="15"/>
      <c r="C119021" s="15"/>
      <c r="D119021" s="12"/>
      <c r="E119021" s="12"/>
      <c r="F119021" s="13"/>
      <c r="G119021" s="12"/>
      <c r="H119021" s="12"/>
      <c r="I119021" s="12"/>
      <c r="J119021" s="12"/>
      <c r="K119021" s="12"/>
      <c r="L119021" s="208"/>
      <c r="M119021" s="209"/>
      <c r="N119021" s="209"/>
      <c r="O119021" s="209"/>
    </row>
    <row r="119022" spans="1:15" s="210" customFormat="1" x14ac:dyDescent="0.3">
      <c r="A119022" s="12"/>
      <c r="B119022" s="15"/>
      <c r="C119022" s="15"/>
      <c r="D119022" s="12"/>
      <c r="E119022" s="12"/>
      <c r="F119022" s="13"/>
      <c r="G119022" s="12"/>
      <c r="H119022" s="12"/>
      <c r="I119022" s="12"/>
      <c r="J119022" s="12"/>
      <c r="K119022" s="12"/>
      <c r="L119022" s="208"/>
      <c r="M119022" s="209"/>
      <c r="N119022" s="209"/>
      <c r="O119022" s="209"/>
    </row>
    <row r="119023" spans="1:15" s="210" customFormat="1" x14ac:dyDescent="0.3">
      <c r="A119023" s="12"/>
      <c r="B119023" s="15"/>
      <c r="C119023" s="15"/>
      <c r="D119023" s="12"/>
      <c r="E119023" s="12"/>
      <c r="F119023" s="13"/>
      <c r="G119023" s="12"/>
      <c r="H119023" s="12"/>
      <c r="I119023" s="12"/>
      <c r="J119023" s="12"/>
      <c r="K119023" s="12"/>
      <c r="L119023" s="208"/>
      <c r="M119023" s="209"/>
      <c r="N119023" s="209"/>
      <c r="O119023" s="209"/>
    </row>
    <row r="119024" spans="1:15" s="210" customFormat="1" x14ac:dyDescent="0.3">
      <c r="A119024" s="12"/>
      <c r="B119024" s="15"/>
      <c r="C119024" s="15"/>
      <c r="D119024" s="12"/>
      <c r="E119024" s="12"/>
      <c r="F119024" s="13"/>
      <c r="G119024" s="12"/>
      <c r="H119024" s="12"/>
      <c r="I119024" s="12"/>
      <c r="J119024" s="12"/>
      <c r="K119024" s="12"/>
      <c r="L119024" s="208"/>
      <c r="M119024" s="209"/>
      <c r="N119024" s="209"/>
      <c r="O119024" s="209"/>
    </row>
    <row r="119025" spans="1:15" s="210" customFormat="1" x14ac:dyDescent="0.3">
      <c r="A119025" s="12"/>
      <c r="B119025" s="15"/>
      <c r="C119025" s="15"/>
      <c r="D119025" s="12"/>
      <c r="E119025" s="12"/>
      <c r="F119025" s="13"/>
      <c r="G119025" s="12"/>
      <c r="H119025" s="12"/>
      <c r="I119025" s="12"/>
      <c r="J119025" s="12"/>
      <c r="K119025" s="12"/>
      <c r="L119025" s="208"/>
      <c r="M119025" s="209"/>
      <c r="N119025" s="209"/>
      <c r="O119025" s="209"/>
    </row>
    <row r="119026" spans="1:15" s="210" customFormat="1" x14ac:dyDescent="0.3">
      <c r="A119026" s="12"/>
      <c r="B119026" s="15"/>
      <c r="C119026" s="15"/>
      <c r="D119026" s="12"/>
      <c r="E119026" s="12"/>
      <c r="F119026" s="13"/>
      <c r="G119026" s="12"/>
      <c r="H119026" s="12"/>
      <c r="I119026" s="12"/>
      <c r="J119026" s="12"/>
      <c r="K119026" s="12"/>
      <c r="L119026" s="208"/>
      <c r="M119026" s="209"/>
      <c r="N119026" s="209"/>
      <c r="O119026" s="209"/>
    </row>
    <row r="119027" spans="1:15" s="210" customFormat="1" x14ac:dyDescent="0.3">
      <c r="A119027" s="12"/>
      <c r="B119027" s="15"/>
      <c r="C119027" s="15"/>
      <c r="D119027" s="12"/>
      <c r="E119027" s="12"/>
      <c r="F119027" s="13"/>
      <c r="G119027" s="12"/>
      <c r="H119027" s="12"/>
      <c r="I119027" s="12"/>
      <c r="J119027" s="12"/>
      <c r="K119027" s="12"/>
      <c r="L119027" s="208"/>
      <c r="M119027" s="209"/>
      <c r="N119027" s="209"/>
      <c r="O119027" s="209"/>
    </row>
    <row r="119028" spans="1:15" s="210" customFormat="1" x14ac:dyDescent="0.3">
      <c r="A119028" s="12"/>
      <c r="B119028" s="15"/>
      <c r="C119028" s="15"/>
      <c r="D119028" s="12"/>
      <c r="E119028" s="12"/>
      <c r="F119028" s="13"/>
      <c r="G119028" s="12"/>
      <c r="H119028" s="12"/>
      <c r="I119028" s="12"/>
      <c r="J119028" s="12"/>
      <c r="K119028" s="12"/>
      <c r="L119028" s="208"/>
      <c r="M119028" s="209"/>
      <c r="N119028" s="209"/>
      <c r="O119028" s="209"/>
    </row>
    <row r="119029" spans="1:15" s="210" customFormat="1" x14ac:dyDescent="0.3">
      <c r="A119029" s="12"/>
      <c r="B119029" s="15"/>
      <c r="C119029" s="15"/>
      <c r="D119029" s="12"/>
      <c r="E119029" s="12"/>
      <c r="F119029" s="13"/>
      <c r="G119029" s="12"/>
      <c r="H119029" s="12"/>
      <c r="I119029" s="12"/>
      <c r="J119029" s="12"/>
      <c r="K119029" s="12"/>
      <c r="L119029" s="208"/>
      <c r="M119029" s="209"/>
      <c r="N119029" s="209"/>
      <c r="O119029" s="209"/>
    </row>
    <row r="119030" spans="1:15" s="210" customFormat="1" x14ac:dyDescent="0.3">
      <c r="A119030" s="12"/>
      <c r="B119030" s="15"/>
      <c r="C119030" s="15"/>
      <c r="D119030" s="12"/>
      <c r="E119030" s="12"/>
      <c r="F119030" s="13"/>
      <c r="G119030" s="12"/>
      <c r="H119030" s="12"/>
      <c r="I119030" s="12"/>
      <c r="J119030" s="12"/>
      <c r="K119030" s="12"/>
      <c r="L119030" s="208"/>
      <c r="M119030" s="209"/>
      <c r="N119030" s="209"/>
      <c r="O119030" s="209"/>
    </row>
    <row r="119031" spans="1:15" s="210" customFormat="1" x14ac:dyDescent="0.3">
      <c r="A119031" s="12"/>
      <c r="B119031" s="15"/>
      <c r="C119031" s="15"/>
      <c r="D119031" s="12"/>
      <c r="E119031" s="12"/>
      <c r="F119031" s="13"/>
      <c r="G119031" s="12"/>
      <c r="H119031" s="12"/>
      <c r="I119031" s="12"/>
      <c r="J119031" s="12"/>
      <c r="K119031" s="12"/>
      <c r="L119031" s="208"/>
      <c r="M119031" s="209"/>
      <c r="N119031" s="209"/>
      <c r="O119031" s="209"/>
    </row>
    <row r="119032" spans="1:15" s="210" customFormat="1" x14ac:dyDescent="0.3">
      <c r="A119032" s="12"/>
      <c r="B119032" s="15"/>
      <c r="C119032" s="15"/>
      <c r="D119032" s="12"/>
      <c r="E119032" s="12"/>
      <c r="F119032" s="13"/>
      <c r="G119032" s="12"/>
      <c r="H119032" s="12"/>
      <c r="I119032" s="12"/>
      <c r="J119032" s="12"/>
      <c r="K119032" s="12"/>
      <c r="L119032" s="208"/>
      <c r="M119032" s="209"/>
      <c r="N119032" s="209"/>
      <c r="O119032" s="209"/>
    </row>
    <row r="119033" spans="1:15" s="210" customFormat="1" x14ac:dyDescent="0.3">
      <c r="A119033" s="12"/>
      <c r="B119033" s="15"/>
      <c r="C119033" s="15"/>
      <c r="D119033" s="12"/>
      <c r="E119033" s="12"/>
      <c r="F119033" s="13"/>
      <c r="G119033" s="12"/>
      <c r="H119033" s="12"/>
      <c r="I119033" s="12"/>
      <c r="J119033" s="12"/>
      <c r="K119033" s="12"/>
      <c r="L119033" s="208"/>
      <c r="M119033" s="209"/>
      <c r="N119033" s="209"/>
      <c r="O119033" s="209"/>
    </row>
    <row r="119034" spans="1:15" s="210" customFormat="1" x14ac:dyDescent="0.3">
      <c r="A119034" s="12"/>
      <c r="B119034" s="15"/>
      <c r="C119034" s="15"/>
      <c r="D119034" s="12"/>
      <c r="E119034" s="12"/>
      <c r="F119034" s="13"/>
      <c r="G119034" s="12"/>
      <c r="H119034" s="12"/>
      <c r="I119034" s="12"/>
      <c r="J119034" s="12"/>
      <c r="K119034" s="12"/>
      <c r="L119034" s="208"/>
      <c r="M119034" s="209"/>
      <c r="N119034" s="209"/>
      <c r="O119034" s="209"/>
    </row>
    <row r="119035" spans="1:15" s="210" customFormat="1" x14ac:dyDescent="0.3">
      <c r="A119035" s="12"/>
      <c r="B119035" s="15"/>
      <c r="C119035" s="15"/>
      <c r="D119035" s="12"/>
      <c r="E119035" s="12"/>
      <c r="F119035" s="13"/>
      <c r="G119035" s="12"/>
      <c r="H119035" s="12"/>
      <c r="I119035" s="12"/>
      <c r="J119035" s="12"/>
      <c r="K119035" s="12"/>
      <c r="L119035" s="208"/>
      <c r="M119035" s="209"/>
      <c r="N119035" s="209"/>
      <c r="O119035" s="209"/>
    </row>
    <row r="119036" spans="1:15" s="210" customFormat="1" x14ac:dyDescent="0.3">
      <c r="A119036" s="12"/>
      <c r="B119036" s="15"/>
      <c r="C119036" s="15"/>
      <c r="D119036" s="12"/>
      <c r="E119036" s="12"/>
      <c r="F119036" s="13"/>
      <c r="G119036" s="12"/>
      <c r="H119036" s="12"/>
      <c r="I119036" s="12"/>
      <c r="J119036" s="12"/>
      <c r="K119036" s="12"/>
      <c r="L119036" s="208"/>
      <c r="M119036" s="209"/>
      <c r="N119036" s="209"/>
      <c r="O119036" s="209"/>
    </row>
    <row r="119037" spans="1:15" s="210" customFormat="1" x14ac:dyDescent="0.3">
      <c r="A119037" s="12"/>
      <c r="B119037" s="15"/>
      <c r="C119037" s="15"/>
      <c r="D119037" s="12"/>
      <c r="E119037" s="12"/>
      <c r="F119037" s="13"/>
      <c r="G119037" s="12"/>
      <c r="H119037" s="12"/>
      <c r="I119037" s="12"/>
      <c r="J119037" s="12"/>
      <c r="K119037" s="12"/>
      <c r="L119037" s="208"/>
      <c r="M119037" s="209"/>
      <c r="N119037" s="209"/>
      <c r="O119037" s="209"/>
    </row>
    <row r="119038" spans="1:15" s="210" customFormat="1" x14ac:dyDescent="0.3">
      <c r="A119038" s="12"/>
      <c r="B119038" s="15"/>
      <c r="C119038" s="15"/>
      <c r="D119038" s="12"/>
      <c r="E119038" s="12"/>
      <c r="F119038" s="13"/>
      <c r="G119038" s="12"/>
      <c r="H119038" s="12"/>
      <c r="I119038" s="12"/>
      <c r="J119038" s="12"/>
      <c r="K119038" s="12"/>
      <c r="L119038" s="208"/>
      <c r="M119038" s="209"/>
      <c r="N119038" s="209"/>
      <c r="O119038" s="209"/>
    </row>
    <row r="119039" spans="1:15" s="210" customFormat="1" x14ac:dyDescent="0.3">
      <c r="A119039" s="12"/>
      <c r="B119039" s="15"/>
      <c r="C119039" s="15"/>
      <c r="D119039" s="12"/>
      <c r="E119039" s="12"/>
      <c r="F119039" s="13"/>
      <c r="G119039" s="12"/>
      <c r="H119039" s="12"/>
      <c r="I119039" s="12"/>
      <c r="J119039" s="12"/>
      <c r="K119039" s="12"/>
      <c r="L119039" s="208"/>
      <c r="M119039" s="209"/>
      <c r="N119039" s="209"/>
      <c r="O119039" s="209"/>
    </row>
    <row r="119040" spans="1:15" s="210" customFormat="1" x14ac:dyDescent="0.3">
      <c r="A119040" s="12"/>
      <c r="B119040" s="15"/>
      <c r="C119040" s="15"/>
      <c r="D119040" s="12"/>
      <c r="E119040" s="12"/>
      <c r="F119040" s="13"/>
      <c r="G119040" s="12"/>
      <c r="H119040" s="12"/>
      <c r="I119040" s="12"/>
      <c r="J119040" s="12"/>
      <c r="K119040" s="12"/>
      <c r="L119040" s="208"/>
      <c r="M119040" s="209"/>
      <c r="N119040" s="209"/>
      <c r="O119040" s="209"/>
    </row>
    <row r="119041" spans="1:15" s="210" customFormat="1" x14ac:dyDescent="0.3">
      <c r="A119041" s="12"/>
      <c r="B119041" s="15"/>
      <c r="C119041" s="15"/>
      <c r="D119041" s="12"/>
      <c r="E119041" s="12"/>
      <c r="F119041" s="13"/>
      <c r="G119041" s="12"/>
      <c r="H119041" s="12"/>
      <c r="I119041" s="12"/>
      <c r="J119041" s="12"/>
      <c r="K119041" s="12"/>
      <c r="L119041" s="208"/>
      <c r="M119041" s="209"/>
      <c r="N119041" s="209"/>
      <c r="O119041" s="209"/>
    </row>
    <row r="119042" spans="1:15" s="210" customFormat="1" x14ac:dyDescent="0.3">
      <c r="A119042" s="12"/>
      <c r="B119042" s="15"/>
      <c r="C119042" s="15"/>
      <c r="D119042" s="12"/>
      <c r="E119042" s="12"/>
      <c r="F119042" s="13"/>
      <c r="G119042" s="12"/>
      <c r="H119042" s="12"/>
      <c r="I119042" s="12"/>
      <c r="J119042" s="12"/>
      <c r="K119042" s="12"/>
      <c r="L119042" s="208"/>
      <c r="M119042" s="209"/>
      <c r="N119042" s="209"/>
      <c r="O119042" s="209"/>
    </row>
    <row r="119043" spans="1:15" s="210" customFormat="1" x14ac:dyDescent="0.3">
      <c r="A119043" s="12"/>
      <c r="B119043" s="15"/>
      <c r="C119043" s="15"/>
      <c r="D119043" s="12"/>
      <c r="E119043" s="12"/>
      <c r="F119043" s="13"/>
      <c r="G119043" s="12"/>
      <c r="H119043" s="12"/>
      <c r="I119043" s="12"/>
      <c r="J119043" s="12"/>
      <c r="K119043" s="12"/>
      <c r="L119043" s="208"/>
      <c r="M119043" s="209"/>
      <c r="N119043" s="209"/>
      <c r="O119043" s="209"/>
    </row>
    <row r="119044" spans="1:15" s="210" customFormat="1" x14ac:dyDescent="0.3">
      <c r="A119044" s="12"/>
      <c r="B119044" s="15"/>
      <c r="C119044" s="15"/>
      <c r="D119044" s="12"/>
      <c r="E119044" s="12"/>
      <c r="F119044" s="13"/>
      <c r="G119044" s="12"/>
      <c r="H119044" s="12"/>
      <c r="I119044" s="12"/>
      <c r="J119044" s="12"/>
      <c r="K119044" s="12"/>
      <c r="L119044" s="208"/>
      <c r="M119044" s="209"/>
      <c r="N119044" s="209"/>
      <c r="O119044" s="209"/>
    </row>
    <row r="119045" spans="1:15" s="210" customFormat="1" x14ac:dyDescent="0.3">
      <c r="A119045" s="12"/>
      <c r="B119045" s="15"/>
      <c r="C119045" s="15"/>
      <c r="D119045" s="12"/>
      <c r="E119045" s="12"/>
      <c r="F119045" s="13"/>
      <c r="G119045" s="12"/>
      <c r="H119045" s="12"/>
      <c r="I119045" s="12"/>
      <c r="J119045" s="12"/>
      <c r="K119045" s="12"/>
      <c r="L119045" s="208"/>
      <c r="M119045" s="209"/>
      <c r="N119045" s="209"/>
      <c r="O119045" s="209"/>
    </row>
    <row r="119046" spans="1:15" s="210" customFormat="1" x14ac:dyDescent="0.3">
      <c r="A119046" s="12"/>
      <c r="B119046" s="15"/>
      <c r="C119046" s="15"/>
      <c r="D119046" s="12"/>
      <c r="E119046" s="12"/>
      <c r="F119046" s="13"/>
      <c r="G119046" s="12"/>
      <c r="H119046" s="12"/>
      <c r="I119046" s="12"/>
      <c r="J119046" s="12"/>
      <c r="K119046" s="12"/>
      <c r="L119046" s="208"/>
      <c r="M119046" s="209"/>
      <c r="N119046" s="209"/>
      <c r="O119046" s="209"/>
    </row>
    <row r="119047" spans="1:15" s="210" customFormat="1" x14ac:dyDescent="0.3">
      <c r="A119047" s="12"/>
      <c r="B119047" s="15"/>
      <c r="C119047" s="15"/>
      <c r="D119047" s="12"/>
      <c r="E119047" s="12"/>
      <c r="F119047" s="13"/>
      <c r="G119047" s="12"/>
      <c r="H119047" s="12"/>
      <c r="I119047" s="12"/>
      <c r="J119047" s="12"/>
      <c r="K119047" s="12"/>
      <c r="L119047" s="208"/>
      <c r="M119047" s="209"/>
      <c r="N119047" s="209"/>
      <c r="O119047" s="209"/>
    </row>
    <row r="119048" spans="1:15" s="210" customFormat="1" x14ac:dyDescent="0.3">
      <c r="A119048" s="12"/>
      <c r="B119048" s="15"/>
      <c r="C119048" s="15"/>
      <c r="D119048" s="12"/>
      <c r="E119048" s="12"/>
      <c r="F119048" s="13"/>
      <c r="G119048" s="12"/>
      <c r="H119048" s="12"/>
      <c r="I119048" s="12"/>
      <c r="J119048" s="12"/>
      <c r="K119048" s="12"/>
      <c r="L119048" s="208"/>
      <c r="M119048" s="209"/>
      <c r="N119048" s="209"/>
      <c r="O119048" s="209"/>
    </row>
    <row r="119049" spans="1:15" s="210" customFormat="1" x14ac:dyDescent="0.3">
      <c r="A119049" s="12"/>
      <c r="B119049" s="15"/>
      <c r="C119049" s="15"/>
      <c r="D119049" s="12"/>
      <c r="E119049" s="12"/>
      <c r="F119049" s="13"/>
      <c r="G119049" s="12"/>
      <c r="H119049" s="12"/>
      <c r="I119049" s="12"/>
      <c r="J119049" s="12"/>
      <c r="K119049" s="12"/>
      <c r="L119049" s="208"/>
      <c r="M119049" s="209"/>
      <c r="N119049" s="209"/>
      <c r="O119049" s="209"/>
    </row>
    <row r="119050" spans="1:15" s="210" customFormat="1" x14ac:dyDescent="0.3">
      <c r="A119050" s="12"/>
      <c r="B119050" s="15"/>
      <c r="C119050" s="15"/>
      <c r="D119050" s="12"/>
      <c r="E119050" s="12"/>
      <c r="F119050" s="13"/>
      <c r="G119050" s="12"/>
      <c r="H119050" s="12"/>
      <c r="I119050" s="12"/>
      <c r="J119050" s="12"/>
      <c r="K119050" s="12"/>
      <c r="L119050" s="208"/>
      <c r="M119050" s="209"/>
      <c r="N119050" s="209"/>
      <c r="O119050" s="209"/>
    </row>
    <row r="119051" spans="1:15" s="210" customFormat="1" x14ac:dyDescent="0.3">
      <c r="A119051" s="12"/>
      <c r="B119051" s="15"/>
      <c r="C119051" s="15"/>
      <c r="D119051" s="12"/>
      <c r="E119051" s="12"/>
      <c r="F119051" s="13"/>
      <c r="G119051" s="12"/>
      <c r="H119051" s="12"/>
      <c r="I119051" s="12"/>
      <c r="J119051" s="12"/>
      <c r="K119051" s="12"/>
      <c r="L119051" s="208"/>
      <c r="M119051" s="209"/>
      <c r="N119051" s="209"/>
      <c r="O119051" s="209"/>
    </row>
    <row r="119052" spans="1:15" s="210" customFormat="1" x14ac:dyDescent="0.3">
      <c r="A119052" s="12"/>
      <c r="B119052" s="15"/>
      <c r="C119052" s="15"/>
      <c r="D119052" s="12"/>
      <c r="E119052" s="12"/>
      <c r="F119052" s="13"/>
      <c r="G119052" s="12"/>
      <c r="H119052" s="12"/>
      <c r="I119052" s="12"/>
      <c r="J119052" s="12"/>
      <c r="K119052" s="12"/>
      <c r="L119052" s="208"/>
      <c r="M119052" s="209"/>
      <c r="N119052" s="209"/>
      <c r="O119052" s="209"/>
    </row>
    <row r="119053" spans="1:15" s="210" customFormat="1" x14ac:dyDescent="0.3">
      <c r="A119053" s="12"/>
      <c r="B119053" s="15"/>
      <c r="C119053" s="15"/>
      <c r="D119053" s="12"/>
      <c r="E119053" s="12"/>
      <c r="F119053" s="13"/>
      <c r="G119053" s="12"/>
      <c r="H119053" s="12"/>
      <c r="I119053" s="12"/>
      <c r="J119053" s="12"/>
      <c r="K119053" s="12"/>
      <c r="L119053" s="208"/>
      <c r="M119053" s="209"/>
      <c r="N119053" s="209"/>
      <c r="O119053" s="209"/>
    </row>
    <row r="119054" spans="1:15" s="210" customFormat="1" x14ac:dyDescent="0.3">
      <c r="A119054" s="12"/>
      <c r="B119054" s="15"/>
      <c r="C119054" s="15"/>
      <c r="D119054" s="12"/>
      <c r="E119054" s="12"/>
      <c r="F119054" s="13"/>
      <c r="G119054" s="12"/>
      <c r="H119054" s="12"/>
      <c r="I119054" s="12"/>
      <c r="J119054" s="12"/>
      <c r="K119054" s="12"/>
      <c r="L119054" s="208"/>
      <c r="M119054" s="209"/>
      <c r="N119054" s="209"/>
      <c r="O119054" s="209"/>
    </row>
    <row r="119055" spans="1:15" s="210" customFormat="1" x14ac:dyDescent="0.3">
      <c r="A119055" s="12"/>
      <c r="B119055" s="15"/>
      <c r="C119055" s="15"/>
      <c r="D119055" s="12"/>
      <c r="E119055" s="12"/>
      <c r="F119055" s="13"/>
      <c r="G119055" s="12"/>
      <c r="H119055" s="12"/>
      <c r="I119055" s="12"/>
      <c r="J119055" s="12"/>
      <c r="K119055" s="12"/>
      <c r="L119055" s="208"/>
      <c r="M119055" s="209"/>
      <c r="N119055" s="209"/>
      <c r="O119055" s="209"/>
    </row>
    <row r="119056" spans="1:15" s="210" customFormat="1" x14ac:dyDescent="0.3">
      <c r="A119056" s="12"/>
      <c r="B119056" s="15"/>
      <c r="C119056" s="15"/>
      <c r="D119056" s="12"/>
      <c r="E119056" s="12"/>
      <c r="F119056" s="13"/>
      <c r="G119056" s="12"/>
      <c r="H119056" s="12"/>
      <c r="I119056" s="12"/>
      <c r="J119056" s="12"/>
      <c r="K119056" s="12"/>
      <c r="L119056" s="208"/>
      <c r="M119056" s="209"/>
      <c r="N119056" s="209"/>
      <c r="O119056" s="209"/>
    </row>
    <row r="119057" spans="1:15" s="210" customFormat="1" x14ac:dyDescent="0.3">
      <c r="A119057" s="12"/>
      <c r="B119057" s="15"/>
      <c r="C119057" s="15"/>
      <c r="D119057" s="12"/>
      <c r="E119057" s="12"/>
      <c r="F119057" s="13"/>
      <c r="G119057" s="12"/>
      <c r="H119057" s="12"/>
      <c r="I119057" s="12"/>
      <c r="J119057" s="12"/>
      <c r="K119057" s="12"/>
      <c r="L119057" s="208"/>
      <c r="M119057" s="209"/>
      <c r="N119057" s="209"/>
      <c r="O119057" s="209"/>
    </row>
    <row r="119058" spans="1:15" s="210" customFormat="1" x14ac:dyDescent="0.3">
      <c r="A119058" s="12"/>
      <c r="B119058" s="15"/>
      <c r="C119058" s="15"/>
      <c r="D119058" s="12"/>
      <c r="E119058" s="12"/>
      <c r="F119058" s="13"/>
      <c r="G119058" s="12"/>
      <c r="H119058" s="12"/>
      <c r="I119058" s="12"/>
      <c r="J119058" s="12"/>
      <c r="K119058" s="12"/>
      <c r="L119058" s="208"/>
      <c r="M119058" s="209"/>
      <c r="N119058" s="209"/>
      <c r="O119058" s="209"/>
    </row>
    <row r="119059" spans="1:15" s="210" customFormat="1" x14ac:dyDescent="0.3">
      <c r="A119059" s="12"/>
      <c r="B119059" s="15"/>
      <c r="C119059" s="15"/>
      <c r="D119059" s="12"/>
      <c r="E119059" s="12"/>
      <c r="F119059" s="13"/>
      <c r="G119059" s="12"/>
      <c r="H119059" s="12"/>
      <c r="I119059" s="12"/>
      <c r="J119059" s="12"/>
      <c r="K119059" s="12"/>
      <c r="L119059" s="208"/>
      <c r="M119059" s="209"/>
      <c r="N119059" s="209"/>
      <c r="O119059" s="209"/>
    </row>
    <row r="119060" spans="1:15" s="210" customFormat="1" x14ac:dyDescent="0.3">
      <c r="A119060" s="12"/>
      <c r="B119060" s="15"/>
      <c r="C119060" s="15"/>
      <c r="D119060" s="12"/>
      <c r="E119060" s="12"/>
      <c r="F119060" s="13"/>
      <c r="G119060" s="12"/>
      <c r="H119060" s="12"/>
      <c r="I119060" s="12"/>
      <c r="J119060" s="12"/>
      <c r="K119060" s="12"/>
      <c r="L119060" s="208"/>
      <c r="M119060" s="209"/>
      <c r="N119060" s="209"/>
      <c r="O119060" s="209"/>
    </row>
    <row r="119061" spans="1:15" s="210" customFormat="1" x14ac:dyDescent="0.3">
      <c r="A119061" s="12"/>
      <c r="B119061" s="15"/>
      <c r="C119061" s="15"/>
      <c r="D119061" s="12"/>
      <c r="E119061" s="12"/>
      <c r="F119061" s="13"/>
      <c r="G119061" s="12"/>
      <c r="H119061" s="12"/>
      <c r="I119061" s="12"/>
      <c r="J119061" s="12"/>
      <c r="K119061" s="12"/>
      <c r="L119061" s="208"/>
      <c r="M119061" s="209"/>
      <c r="N119061" s="209"/>
      <c r="O119061" s="209"/>
    </row>
    <row r="119062" spans="1:15" s="210" customFormat="1" x14ac:dyDescent="0.3">
      <c r="A119062" s="12"/>
      <c r="B119062" s="15"/>
      <c r="C119062" s="15"/>
      <c r="D119062" s="12"/>
      <c r="E119062" s="12"/>
      <c r="F119062" s="13"/>
      <c r="G119062" s="12"/>
      <c r="H119062" s="12"/>
      <c r="I119062" s="12"/>
      <c r="J119062" s="12"/>
      <c r="K119062" s="12"/>
      <c r="L119062" s="208"/>
      <c r="M119062" s="209"/>
      <c r="N119062" s="209"/>
      <c r="O119062" s="209"/>
    </row>
    <row r="119063" spans="1:15" s="210" customFormat="1" x14ac:dyDescent="0.3">
      <c r="A119063" s="12"/>
      <c r="B119063" s="15"/>
      <c r="C119063" s="15"/>
      <c r="D119063" s="12"/>
      <c r="E119063" s="12"/>
      <c r="F119063" s="13"/>
      <c r="G119063" s="12"/>
      <c r="H119063" s="12"/>
      <c r="I119063" s="12"/>
      <c r="J119063" s="12"/>
      <c r="K119063" s="12"/>
      <c r="L119063" s="208"/>
      <c r="M119063" s="209"/>
      <c r="N119063" s="209"/>
      <c r="O119063" s="209"/>
    </row>
    <row r="119064" spans="1:15" s="210" customFormat="1" x14ac:dyDescent="0.3">
      <c r="A119064" s="12"/>
      <c r="B119064" s="15"/>
      <c r="C119064" s="15"/>
      <c r="D119064" s="12"/>
      <c r="E119064" s="12"/>
      <c r="F119064" s="13"/>
      <c r="G119064" s="12"/>
      <c r="H119064" s="12"/>
      <c r="I119064" s="12"/>
      <c r="J119064" s="12"/>
      <c r="K119064" s="12"/>
      <c r="L119064" s="208"/>
      <c r="M119064" s="209"/>
      <c r="N119064" s="209"/>
      <c r="O119064" s="209"/>
    </row>
    <row r="119065" spans="1:15" s="210" customFormat="1" x14ac:dyDescent="0.3">
      <c r="A119065" s="12"/>
      <c r="B119065" s="15"/>
      <c r="C119065" s="15"/>
      <c r="D119065" s="12"/>
      <c r="E119065" s="12"/>
      <c r="F119065" s="13"/>
      <c r="G119065" s="12"/>
      <c r="H119065" s="12"/>
      <c r="I119065" s="12"/>
      <c r="J119065" s="12"/>
      <c r="K119065" s="12"/>
      <c r="L119065" s="208"/>
      <c r="M119065" s="209"/>
      <c r="N119065" s="209"/>
      <c r="O119065" s="209"/>
    </row>
    <row r="119066" spans="1:15" s="210" customFormat="1" x14ac:dyDescent="0.3">
      <c r="A119066" s="12"/>
      <c r="B119066" s="15"/>
      <c r="C119066" s="15"/>
      <c r="D119066" s="12"/>
      <c r="E119066" s="12"/>
      <c r="F119066" s="13"/>
      <c r="G119066" s="12"/>
      <c r="H119066" s="12"/>
      <c r="I119066" s="12"/>
      <c r="J119066" s="12"/>
      <c r="K119066" s="12"/>
      <c r="L119066" s="208"/>
      <c r="M119066" s="209"/>
      <c r="N119066" s="209"/>
      <c r="O119066" s="209"/>
    </row>
    <row r="119067" spans="1:15" s="210" customFormat="1" x14ac:dyDescent="0.3">
      <c r="A119067" s="12"/>
      <c r="B119067" s="15"/>
      <c r="C119067" s="15"/>
      <c r="D119067" s="12"/>
      <c r="E119067" s="12"/>
      <c r="F119067" s="13"/>
      <c r="G119067" s="12"/>
      <c r="H119067" s="12"/>
      <c r="I119067" s="12"/>
      <c r="J119067" s="12"/>
      <c r="K119067" s="12"/>
      <c r="L119067" s="208"/>
      <c r="M119067" s="209"/>
      <c r="N119067" s="209"/>
      <c r="O119067" s="209"/>
    </row>
    <row r="119068" spans="1:15" s="210" customFormat="1" x14ac:dyDescent="0.3">
      <c r="A119068" s="12"/>
      <c r="B119068" s="15"/>
      <c r="C119068" s="15"/>
      <c r="D119068" s="12"/>
      <c r="E119068" s="12"/>
      <c r="F119068" s="13"/>
      <c r="G119068" s="12"/>
      <c r="H119068" s="12"/>
      <c r="I119068" s="12"/>
      <c r="J119068" s="12"/>
      <c r="K119068" s="12"/>
      <c r="L119068" s="208"/>
      <c r="M119068" s="209"/>
      <c r="N119068" s="209"/>
      <c r="O119068" s="209"/>
    </row>
    <row r="119069" spans="1:15" s="210" customFormat="1" x14ac:dyDescent="0.3">
      <c r="A119069" s="12"/>
      <c r="B119069" s="15"/>
      <c r="C119069" s="15"/>
      <c r="D119069" s="12"/>
      <c r="E119069" s="12"/>
      <c r="F119069" s="13"/>
      <c r="G119069" s="12"/>
      <c r="H119069" s="12"/>
      <c r="I119069" s="12"/>
      <c r="J119069" s="12"/>
      <c r="K119069" s="12"/>
      <c r="L119069" s="208"/>
      <c r="M119069" s="209"/>
      <c r="N119069" s="209"/>
      <c r="O119069" s="209"/>
    </row>
    <row r="119070" spans="1:15" s="210" customFormat="1" x14ac:dyDescent="0.3">
      <c r="A119070" s="12"/>
      <c r="B119070" s="15"/>
      <c r="C119070" s="15"/>
      <c r="D119070" s="12"/>
      <c r="E119070" s="12"/>
      <c r="F119070" s="13"/>
      <c r="G119070" s="12"/>
      <c r="H119070" s="12"/>
      <c r="I119070" s="12"/>
      <c r="J119070" s="12"/>
      <c r="K119070" s="12"/>
      <c r="L119070" s="208"/>
      <c r="M119070" s="209"/>
      <c r="N119070" s="209"/>
      <c r="O119070" s="209"/>
    </row>
    <row r="119071" spans="1:15" s="210" customFormat="1" x14ac:dyDescent="0.3">
      <c r="A119071" s="12"/>
      <c r="B119071" s="15"/>
      <c r="C119071" s="15"/>
      <c r="D119071" s="12"/>
      <c r="E119071" s="12"/>
      <c r="F119071" s="13"/>
      <c r="G119071" s="12"/>
      <c r="H119071" s="12"/>
      <c r="I119071" s="12"/>
      <c r="J119071" s="12"/>
      <c r="K119071" s="12"/>
      <c r="L119071" s="208"/>
      <c r="M119071" s="209"/>
      <c r="N119071" s="209"/>
      <c r="O119071" s="209"/>
    </row>
    <row r="119072" spans="1:15" s="210" customFormat="1" x14ac:dyDescent="0.3">
      <c r="A119072" s="12"/>
      <c r="B119072" s="15"/>
      <c r="C119072" s="15"/>
      <c r="D119072" s="12"/>
      <c r="E119072" s="12"/>
      <c r="F119072" s="13"/>
      <c r="G119072" s="12"/>
      <c r="H119072" s="12"/>
      <c r="I119072" s="12"/>
      <c r="J119072" s="12"/>
      <c r="K119072" s="12"/>
      <c r="L119072" s="208"/>
      <c r="M119072" s="209"/>
      <c r="N119072" s="209"/>
      <c r="O119072" s="209"/>
    </row>
    <row r="119073" spans="1:15" s="210" customFormat="1" x14ac:dyDescent="0.3">
      <c r="A119073" s="12"/>
      <c r="B119073" s="15"/>
      <c r="C119073" s="15"/>
      <c r="D119073" s="12"/>
      <c r="E119073" s="12"/>
      <c r="F119073" s="13"/>
      <c r="G119073" s="12"/>
      <c r="H119073" s="12"/>
      <c r="I119073" s="12"/>
      <c r="J119073" s="12"/>
      <c r="K119073" s="12"/>
      <c r="L119073" s="208"/>
      <c r="M119073" s="209"/>
      <c r="N119073" s="209"/>
      <c r="O119073" s="209"/>
    </row>
    <row r="119074" spans="1:15" s="210" customFormat="1" x14ac:dyDescent="0.3">
      <c r="A119074" s="12"/>
      <c r="B119074" s="15"/>
      <c r="C119074" s="15"/>
      <c r="D119074" s="12"/>
      <c r="E119074" s="12"/>
      <c r="F119074" s="13"/>
      <c r="G119074" s="12"/>
      <c r="H119074" s="12"/>
      <c r="I119074" s="12"/>
      <c r="J119074" s="12"/>
      <c r="K119074" s="12"/>
      <c r="L119074" s="208"/>
      <c r="M119074" s="209"/>
      <c r="N119074" s="209"/>
      <c r="O119074" s="209"/>
    </row>
    <row r="119075" spans="1:15" s="210" customFormat="1" x14ac:dyDescent="0.3">
      <c r="A119075" s="12"/>
      <c r="B119075" s="15"/>
      <c r="C119075" s="15"/>
      <c r="D119075" s="12"/>
      <c r="E119075" s="12"/>
      <c r="F119075" s="13"/>
      <c r="G119075" s="12"/>
      <c r="H119075" s="12"/>
      <c r="I119075" s="12"/>
      <c r="J119075" s="12"/>
      <c r="K119075" s="12"/>
      <c r="L119075" s="208"/>
      <c r="M119075" s="209"/>
      <c r="N119075" s="209"/>
      <c r="O119075" s="209"/>
    </row>
    <row r="119076" spans="1:15" s="210" customFormat="1" x14ac:dyDescent="0.3">
      <c r="A119076" s="12"/>
      <c r="B119076" s="15"/>
      <c r="C119076" s="15"/>
      <c r="D119076" s="12"/>
      <c r="E119076" s="12"/>
      <c r="F119076" s="13"/>
      <c r="G119076" s="12"/>
      <c r="H119076" s="12"/>
      <c r="I119076" s="12"/>
      <c r="J119076" s="12"/>
      <c r="K119076" s="12"/>
      <c r="L119076" s="208"/>
      <c r="M119076" s="209"/>
      <c r="N119076" s="209"/>
      <c r="O119076" s="209"/>
    </row>
    <row r="119077" spans="1:15" s="210" customFormat="1" x14ac:dyDescent="0.3">
      <c r="A119077" s="12"/>
      <c r="B119077" s="15"/>
      <c r="C119077" s="15"/>
      <c r="D119077" s="12"/>
      <c r="E119077" s="12"/>
      <c r="F119077" s="13"/>
      <c r="G119077" s="12"/>
      <c r="H119077" s="12"/>
      <c r="I119077" s="12"/>
      <c r="J119077" s="12"/>
      <c r="K119077" s="12"/>
      <c r="L119077" s="208"/>
      <c r="M119077" s="209"/>
      <c r="N119077" s="209"/>
      <c r="O119077" s="209"/>
    </row>
    <row r="119078" spans="1:15" s="210" customFormat="1" x14ac:dyDescent="0.3">
      <c r="A119078" s="12"/>
      <c r="B119078" s="15"/>
      <c r="C119078" s="15"/>
      <c r="D119078" s="12"/>
      <c r="E119078" s="12"/>
      <c r="F119078" s="13"/>
      <c r="G119078" s="12"/>
      <c r="H119078" s="12"/>
      <c r="I119078" s="12"/>
      <c r="J119078" s="12"/>
      <c r="K119078" s="12"/>
      <c r="L119078" s="208"/>
      <c r="M119078" s="209"/>
      <c r="N119078" s="209"/>
      <c r="O119078" s="209"/>
    </row>
    <row r="119079" spans="1:15" s="210" customFormat="1" x14ac:dyDescent="0.3">
      <c r="A119079" s="12"/>
      <c r="B119079" s="15"/>
      <c r="C119079" s="15"/>
      <c r="D119079" s="12"/>
      <c r="E119079" s="12"/>
      <c r="F119079" s="13"/>
      <c r="G119079" s="12"/>
      <c r="H119079" s="12"/>
      <c r="I119079" s="12"/>
      <c r="J119079" s="12"/>
      <c r="K119079" s="12"/>
      <c r="L119079" s="208"/>
      <c r="M119079" s="209"/>
      <c r="N119079" s="209"/>
      <c r="O119079" s="209"/>
    </row>
    <row r="119080" spans="1:15" s="210" customFormat="1" x14ac:dyDescent="0.3">
      <c r="A119080" s="12"/>
      <c r="B119080" s="15"/>
      <c r="C119080" s="15"/>
      <c r="D119080" s="12"/>
      <c r="E119080" s="12"/>
      <c r="F119080" s="13"/>
      <c r="G119080" s="12"/>
      <c r="H119080" s="12"/>
      <c r="I119080" s="12"/>
      <c r="J119080" s="12"/>
      <c r="K119080" s="12"/>
      <c r="L119080" s="208"/>
      <c r="M119080" s="209"/>
      <c r="N119080" s="209"/>
      <c r="O119080" s="209"/>
    </row>
    <row r="119081" spans="1:15" s="210" customFormat="1" x14ac:dyDescent="0.3">
      <c r="A119081" s="12"/>
      <c r="B119081" s="15"/>
      <c r="C119081" s="15"/>
      <c r="D119081" s="12"/>
      <c r="E119081" s="12"/>
      <c r="F119081" s="13"/>
      <c r="G119081" s="12"/>
      <c r="H119081" s="12"/>
      <c r="I119081" s="12"/>
      <c r="J119081" s="12"/>
      <c r="K119081" s="12"/>
      <c r="L119081" s="208"/>
      <c r="M119081" s="209"/>
      <c r="N119081" s="209"/>
      <c r="O119081" s="209"/>
    </row>
    <row r="119082" spans="1:15" s="210" customFormat="1" x14ac:dyDescent="0.3">
      <c r="A119082" s="12"/>
      <c r="B119082" s="15"/>
      <c r="C119082" s="15"/>
      <c r="D119082" s="12"/>
      <c r="E119082" s="12"/>
      <c r="F119082" s="13"/>
      <c r="G119082" s="12"/>
      <c r="H119082" s="12"/>
      <c r="I119082" s="12"/>
      <c r="J119082" s="12"/>
      <c r="K119082" s="12"/>
      <c r="L119082" s="208"/>
      <c r="M119082" s="209"/>
      <c r="N119082" s="209"/>
      <c r="O119082" s="209"/>
    </row>
    <row r="119083" spans="1:15" s="210" customFormat="1" x14ac:dyDescent="0.3">
      <c r="A119083" s="12"/>
      <c r="B119083" s="15"/>
      <c r="C119083" s="15"/>
      <c r="D119083" s="12"/>
      <c r="E119083" s="12"/>
      <c r="F119083" s="13"/>
      <c r="G119083" s="12"/>
      <c r="H119083" s="12"/>
      <c r="I119083" s="12"/>
      <c r="J119083" s="12"/>
      <c r="K119083" s="12"/>
      <c r="L119083" s="208"/>
      <c r="M119083" s="209"/>
      <c r="N119083" s="209"/>
      <c r="O119083" s="209"/>
    </row>
    <row r="119084" spans="1:15" s="210" customFormat="1" x14ac:dyDescent="0.3">
      <c r="A119084" s="12"/>
      <c r="B119084" s="15"/>
      <c r="C119084" s="15"/>
      <c r="D119084" s="12"/>
      <c r="E119084" s="12"/>
      <c r="F119084" s="13"/>
      <c r="G119084" s="12"/>
      <c r="H119084" s="12"/>
      <c r="I119084" s="12"/>
      <c r="J119084" s="12"/>
      <c r="K119084" s="12"/>
      <c r="L119084" s="208"/>
      <c r="M119084" s="209"/>
      <c r="N119084" s="209"/>
      <c r="O119084" s="209"/>
    </row>
    <row r="119085" spans="1:15" s="210" customFormat="1" x14ac:dyDescent="0.3">
      <c r="A119085" s="12"/>
      <c r="B119085" s="15"/>
      <c r="C119085" s="15"/>
      <c r="D119085" s="12"/>
      <c r="E119085" s="12"/>
      <c r="F119085" s="13"/>
      <c r="G119085" s="12"/>
      <c r="H119085" s="12"/>
      <c r="I119085" s="12"/>
      <c r="J119085" s="12"/>
      <c r="K119085" s="12"/>
      <c r="L119085" s="208"/>
      <c r="M119085" s="209"/>
      <c r="N119085" s="209"/>
      <c r="O119085" s="209"/>
    </row>
    <row r="119086" spans="1:15" s="210" customFormat="1" x14ac:dyDescent="0.3">
      <c r="A119086" s="12"/>
      <c r="B119086" s="15"/>
      <c r="C119086" s="15"/>
      <c r="D119086" s="12"/>
      <c r="E119086" s="12"/>
      <c r="F119086" s="13"/>
      <c r="G119086" s="12"/>
      <c r="H119086" s="12"/>
      <c r="I119086" s="12"/>
      <c r="J119086" s="12"/>
      <c r="K119086" s="12"/>
      <c r="L119086" s="208"/>
      <c r="M119086" s="209"/>
      <c r="N119086" s="209"/>
      <c r="O119086" s="209"/>
    </row>
    <row r="119087" spans="1:15" s="210" customFormat="1" x14ac:dyDescent="0.3">
      <c r="A119087" s="12"/>
      <c r="B119087" s="15"/>
      <c r="C119087" s="15"/>
      <c r="D119087" s="12"/>
      <c r="E119087" s="12"/>
      <c r="F119087" s="13"/>
      <c r="G119087" s="12"/>
      <c r="H119087" s="12"/>
      <c r="I119087" s="12"/>
      <c r="J119087" s="12"/>
      <c r="K119087" s="12"/>
      <c r="L119087" s="208"/>
      <c r="M119087" s="209"/>
      <c r="N119087" s="209"/>
      <c r="O119087" s="209"/>
    </row>
    <row r="119088" spans="1:15" s="210" customFormat="1" x14ac:dyDescent="0.3">
      <c r="A119088" s="12"/>
      <c r="B119088" s="15"/>
      <c r="C119088" s="15"/>
      <c r="D119088" s="12"/>
      <c r="E119088" s="12"/>
      <c r="F119088" s="13"/>
      <c r="G119088" s="12"/>
      <c r="H119088" s="12"/>
      <c r="I119088" s="12"/>
      <c r="J119088" s="12"/>
      <c r="K119088" s="12"/>
      <c r="L119088" s="208"/>
      <c r="M119088" s="209"/>
      <c r="N119088" s="209"/>
      <c r="O119088" s="209"/>
    </row>
    <row r="119089" spans="1:15" s="210" customFormat="1" x14ac:dyDescent="0.3">
      <c r="A119089" s="12"/>
      <c r="B119089" s="15"/>
      <c r="C119089" s="15"/>
      <c r="D119089" s="12"/>
      <c r="E119089" s="12"/>
      <c r="F119089" s="13"/>
      <c r="G119089" s="12"/>
      <c r="H119089" s="12"/>
      <c r="I119089" s="12"/>
      <c r="J119089" s="12"/>
      <c r="K119089" s="12"/>
      <c r="L119089" s="208"/>
      <c r="M119089" s="209"/>
      <c r="N119089" s="209"/>
      <c r="O119089" s="209"/>
    </row>
    <row r="119090" spans="1:15" s="210" customFormat="1" x14ac:dyDescent="0.3">
      <c r="A119090" s="12"/>
      <c r="B119090" s="15"/>
      <c r="C119090" s="15"/>
      <c r="D119090" s="12"/>
      <c r="E119090" s="12"/>
      <c r="F119090" s="13"/>
      <c r="G119090" s="12"/>
      <c r="H119090" s="12"/>
      <c r="I119090" s="12"/>
      <c r="J119090" s="12"/>
      <c r="K119090" s="12"/>
      <c r="L119090" s="208"/>
      <c r="M119090" s="209"/>
      <c r="N119090" s="209"/>
      <c r="O119090" s="209"/>
    </row>
    <row r="119091" spans="1:15" s="210" customFormat="1" x14ac:dyDescent="0.3">
      <c r="A119091" s="12"/>
      <c r="B119091" s="15"/>
      <c r="C119091" s="15"/>
      <c r="D119091" s="12"/>
      <c r="E119091" s="12"/>
      <c r="F119091" s="13"/>
      <c r="G119091" s="12"/>
      <c r="H119091" s="12"/>
      <c r="I119091" s="12"/>
      <c r="J119091" s="12"/>
      <c r="K119091" s="12"/>
      <c r="L119091" s="208"/>
      <c r="M119091" s="209"/>
      <c r="N119091" s="209"/>
      <c r="O119091" s="209"/>
    </row>
    <row r="119092" spans="1:15" s="210" customFormat="1" x14ac:dyDescent="0.3">
      <c r="A119092" s="12"/>
      <c r="B119092" s="15"/>
      <c r="C119092" s="15"/>
      <c r="D119092" s="12"/>
      <c r="E119092" s="12"/>
      <c r="F119092" s="13"/>
      <c r="G119092" s="12"/>
      <c r="H119092" s="12"/>
      <c r="I119092" s="12"/>
      <c r="J119092" s="12"/>
      <c r="K119092" s="12"/>
      <c r="L119092" s="208"/>
      <c r="M119092" s="209"/>
      <c r="N119092" s="209"/>
      <c r="O119092" s="209"/>
    </row>
    <row r="119093" spans="1:15" s="210" customFormat="1" x14ac:dyDescent="0.3">
      <c r="A119093" s="12"/>
      <c r="B119093" s="15"/>
      <c r="C119093" s="15"/>
      <c r="D119093" s="12"/>
      <c r="E119093" s="12"/>
      <c r="F119093" s="13"/>
      <c r="G119093" s="12"/>
      <c r="H119093" s="12"/>
      <c r="I119093" s="12"/>
      <c r="J119093" s="12"/>
      <c r="K119093" s="12"/>
      <c r="L119093" s="208"/>
      <c r="M119093" s="209"/>
      <c r="N119093" s="209"/>
      <c r="O119093" s="209"/>
    </row>
    <row r="119094" spans="1:15" s="210" customFormat="1" x14ac:dyDescent="0.3">
      <c r="A119094" s="12"/>
      <c r="B119094" s="15"/>
      <c r="C119094" s="15"/>
      <c r="D119094" s="12"/>
      <c r="E119094" s="12"/>
      <c r="F119094" s="13"/>
      <c r="G119094" s="12"/>
      <c r="H119094" s="12"/>
      <c r="I119094" s="12"/>
      <c r="J119094" s="12"/>
      <c r="K119094" s="12"/>
      <c r="L119094" s="208"/>
      <c r="M119094" s="209"/>
      <c r="N119094" s="209"/>
      <c r="O119094" s="209"/>
    </row>
    <row r="119095" spans="1:15" s="210" customFormat="1" x14ac:dyDescent="0.3">
      <c r="A119095" s="12"/>
      <c r="B119095" s="15"/>
      <c r="C119095" s="15"/>
      <c r="D119095" s="12"/>
      <c r="E119095" s="12"/>
      <c r="F119095" s="13"/>
      <c r="G119095" s="12"/>
      <c r="H119095" s="12"/>
      <c r="I119095" s="12"/>
      <c r="J119095" s="12"/>
      <c r="K119095" s="12"/>
      <c r="L119095" s="208"/>
      <c r="M119095" s="209"/>
      <c r="N119095" s="209"/>
      <c r="O119095" s="209"/>
    </row>
    <row r="119096" spans="1:15" s="210" customFormat="1" x14ac:dyDescent="0.3">
      <c r="A119096" s="12"/>
      <c r="B119096" s="15"/>
      <c r="C119096" s="15"/>
      <c r="D119096" s="12"/>
      <c r="E119096" s="12"/>
      <c r="F119096" s="13"/>
      <c r="G119096" s="12"/>
      <c r="H119096" s="12"/>
      <c r="I119096" s="12"/>
      <c r="J119096" s="12"/>
      <c r="K119096" s="12"/>
      <c r="L119096" s="208"/>
      <c r="M119096" s="209"/>
      <c r="N119096" s="209"/>
      <c r="O119096" s="209"/>
    </row>
    <row r="119097" spans="1:15" s="210" customFormat="1" x14ac:dyDescent="0.3">
      <c r="A119097" s="12"/>
      <c r="B119097" s="15"/>
      <c r="C119097" s="15"/>
      <c r="D119097" s="12"/>
      <c r="E119097" s="12"/>
      <c r="F119097" s="13"/>
      <c r="G119097" s="12"/>
      <c r="H119097" s="12"/>
      <c r="I119097" s="12"/>
      <c r="J119097" s="12"/>
      <c r="K119097" s="12"/>
      <c r="L119097" s="208"/>
      <c r="M119097" s="209"/>
      <c r="N119097" s="209"/>
      <c r="O119097" s="209"/>
    </row>
    <row r="119098" spans="1:15" s="210" customFormat="1" x14ac:dyDescent="0.3">
      <c r="A119098" s="12"/>
      <c r="B119098" s="15"/>
      <c r="C119098" s="15"/>
      <c r="D119098" s="12"/>
      <c r="E119098" s="12"/>
      <c r="F119098" s="13"/>
      <c r="G119098" s="12"/>
      <c r="H119098" s="12"/>
      <c r="I119098" s="12"/>
      <c r="J119098" s="12"/>
      <c r="K119098" s="12"/>
      <c r="L119098" s="208"/>
      <c r="M119098" s="209"/>
      <c r="N119098" s="209"/>
      <c r="O119098" s="209"/>
    </row>
    <row r="119099" spans="1:15" s="210" customFormat="1" x14ac:dyDescent="0.3">
      <c r="A119099" s="12"/>
      <c r="B119099" s="15"/>
      <c r="C119099" s="15"/>
      <c r="D119099" s="12"/>
      <c r="E119099" s="12"/>
      <c r="F119099" s="13"/>
      <c r="G119099" s="12"/>
      <c r="H119099" s="12"/>
      <c r="I119099" s="12"/>
      <c r="J119099" s="12"/>
      <c r="K119099" s="12"/>
      <c r="L119099" s="208"/>
      <c r="M119099" s="209"/>
      <c r="N119099" s="209"/>
      <c r="O119099" s="209"/>
    </row>
    <row r="119100" spans="1:15" s="210" customFormat="1" x14ac:dyDescent="0.3">
      <c r="A119100" s="12"/>
      <c r="B119100" s="15"/>
      <c r="C119100" s="15"/>
      <c r="D119100" s="12"/>
      <c r="E119100" s="12"/>
      <c r="F119100" s="13"/>
      <c r="G119100" s="12"/>
      <c r="H119100" s="12"/>
      <c r="I119100" s="12"/>
      <c r="J119100" s="12"/>
      <c r="K119100" s="12"/>
      <c r="L119100" s="208"/>
      <c r="M119100" s="209"/>
      <c r="N119100" s="209"/>
      <c r="O119100" s="209"/>
    </row>
    <row r="119101" spans="1:15" s="210" customFormat="1" x14ac:dyDescent="0.3">
      <c r="A119101" s="12"/>
      <c r="B119101" s="15"/>
      <c r="C119101" s="15"/>
      <c r="D119101" s="12"/>
      <c r="E119101" s="12"/>
      <c r="F119101" s="13"/>
      <c r="G119101" s="12"/>
      <c r="H119101" s="12"/>
      <c r="I119101" s="12"/>
      <c r="J119101" s="12"/>
      <c r="K119101" s="12"/>
      <c r="L119101" s="208"/>
      <c r="M119101" s="209"/>
      <c r="N119101" s="209"/>
      <c r="O119101" s="209"/>
    </row>
    <row r="119102" spans="1:15" s="210" customFormat="1" x14ac:dyDescent="0.3">
      <c r="A119102" s="12"/>
      <c r="B119102" s="15"/>
      <c r="C119102" s="15"/>
      <c r="D119102" s="12"/>
      <c r="E119102" s="12"/>
      <c r="F119102" s="13"/>
      <c r="G119102" s="12"/>
      <c r="H119102" s="12"/>
      <c r="I119102" s="12"/>
      <c r="J119102" s="12"/>
      <c r="K119102" s="12"/>
      <c r="L119102" s="208"/>
      <c r="M119102" s="209"/>
      <c r="N119102" s="209"/>
      <c r="O119102" s="209"/>
    </row>
    <row r="119103" spans="1:15" s="210" customFormat="1" x14ac:dyDescent="0.3">
      <c r="A119103" s="12"/>
      <c r="B119103" s="15"/>
      <c r="C119103" s="15"/>
      <c r="D119103" s="12"/>
      <c r="E119103" s="12"/>
      <c r="F119103" s="13"/>
      <c r="G119103" s="12"/>
      <c r="H119103" s="12"/>
      <c r="I119103" s="12"/>
      <c r="J119103" s="12"/>
      <c r="K119103" s="12"/>
      <c r="L119103" s="208"/>
      <c r="M119103" s="209"/>
      <c r="N119103" s="209"/>
      <c r="O119103" s="209"/>
    </row>
    <row r="119104" spans="1:15" s="210" customFormat="1" x14ac:dyDescent="0.3">
      <c r="A119104" s="12"/>
      <c r="B119104" s="15"/>
      <c r="C119104" s="15"/>
      <c r="D119104" s="12"/>
      <c r="E119104" s="12"/>
      <c r="F119104" s="13"/>
      <c r="G119104" s="12"/>
      <c r="H119104" s="12"/>
      <c r="I119104" s="12"/>
      <c r="J119104" s="12"/>
      <c r="K119104" s="12"/>
      <c r="L119104" s="208"/>
      <c r="M119104" s="209"/>
      <c r="N119104" s="209"/>
      <c r="O119104" s="209"/>
    </row>
    <row r="119105" spans="1:15" s="210" customFormat="1" x14ac:dyDescent="0.3">
      <c r="A119105" s="12"/>
      <c r="B119105" s="15"/>
      <c r="C119105" s="15"/>
      <c r="D119105" s="12"/>
      <c r="E119105" s="12"/>
      <c r="F119105" s="13"/>
      <c r="G119105" s="12"/>
      <c r="H119105" s="12"/>
      <c r="I119105" s="12"/>
      <c r="J119105" s="12"/>
      <c r="K119105" s="12"/>
      <c r="L119105" s="208"/>
      <c r="M119105" s="209"/>
      <c r="N119105" s="209"/>
      <c r="O119105" s="209"/>
    </row>
    <row r="119106" spans="1:15" s="210" customFormat="1" x14ac:dyDescent="0.3">
      <c r="A119106" s="12"/>
      <c r="B119106" s="15"/>
      <c r="C119106" s="15"/>
      <c r="D119106" s="12"/>
      <c r="E119106" s="12"/>
      <c r="F119106" s="13"/>
      <c r="G119106" s="12"/>
      <c r="H119106" s="12"/>
      <c r="I119106" s="12"/>
      <c r="J119106" s="12"/>
      <c r="K119106" s="12"/>
      <c r="L119106" s="208"/>
      <c r="M119106" s="209"/>
      <c r="N119106" s="209"/>
      <c r="O119106" s="209"/>
    </row>
    <row r="119107" spans="1:15" s="210" customFormat="1" x14ac:dyDescent="0.3">
      <c r="A119107" s="12"/>
      <c r="B119107" s="15"/>
      <c r="C119107" s="15"/>
      <c r="D119107" s="12"/>
      <c r="E119107" s="12"/>
      <c r="F119107" s="13"/>
      <c r="G119107" s="12"/>
      <c r="H119107" s="12"/>
      <c r="I119107" s="12"/>
      <c r="J119107" s="12"/>
      <c r="K119107" s="12"/>
      <c r="L119107" s="208"/>
      <c r="M119107" s="209"/>
      <c r="N119107" s="209"/>
      <c r="O119107" s="209"/>
    </row>
    <row r="119108" spans="1:15" s="210" customFormat="1" x14ac:dyDescent="0.3">
      <c r="A119108" s="12"/>
      <c r="B119108" s="15"/>
      <c r="C119108" s="15"/>
      <c r="D119108" s="12"/>
      <c r="E119108" s="12"/>
      <c r="F119108" s="13"/>
      <c r="G119108" s="12"/>
      <c r="H119108" s="12"/>
      <c r="I119108" s="12"/>
      <c r="J119108" s="12"/>
      <c r="K119108" s="12"/>
      <c r="L119108" s="208"/>
      <c r="M119108" s="209"/>
      <c r="N119108" s="209"/>
      <c r="O119108" s="209"/>
    </row>
    <row r="119109" spans="1:15" s="210" customFormat="1" x14ac:dyDescent="0.3">
      <c r="A119109" s="12"/>
      <c r="B119109" s="15"/>
      <c r="C119109" s="15"/>
      <c r="D119109" s="12"/>
      <c r="E119109" s="12"/>
      <c r="F119109" s="13"/>
      <c r="G119109" s="12"/>
      <c r="H119109" s="12"/>
      <c r="I119109" s="12"/>
      <c r="J119109" s="12"/>
      <c r="K119109" s="12"/>
      <c r="L119109" s="208"/>
      <c r="M119109" s="209"/>
      <c r="N119109" s="209"/>
      <c r="O119109" s="209"/>
    </row>
    <row r="119110" spans="1:15" s="210" customFormat="1" x14ac:dyDescent="0.3">
      <c r="A119110" s="12"/>
      <c r="B119110" s="15"/>
      <c r="C119110" s="15"/>
      <c r="D119110" s="12"/>
      <c r="E119110" s="12"/>
      <c r="F119110" s="13"/>
      <c r="G119110" s="12"/>
      <c r="H119110" s="12"/>
      <c r="I119110" s="12"/>
      <c r="J119110" s="12"/>
      <c r="K119110" s="12"/>
      <c r="L119110" s="208"/>
      <c r="M119110" s="209"/>
      <c r="N119110" s="209"/>
      <c r="O119110" s="209"/>
    </row>
    <row r="119111" spans="1:15" s="210" customFormat="1" x14ac:dyDescent="0.3">
      <c r="A119111" s="12"/>
      <c r="B119111" s="15"/>
      <c r="C119111" s="15"/>
      <c r="D119111" s="12"/>
      <c r="E119111" s="12"/>
      <c r="F119111" s="13"/>
      <c r="G119111" s="12"/>
      <c r="H119111" s="12"/>
      <c r="I119111" s="12"/>
      <c r="J119111" s="12"/>
      <c r="K119111" s="12"/>
      <c r="L119111" s="208"/>
      <c r="M119111" s="209"/>
      <c r="N119111" s="209"/>
      <c r="O119111" s="209"/>
    </row>
    <row r="119112" spans="1:15" s="210" customFormat="1" x14ac:dyDescent="0.3">
      <c r="A119112" s="12"/>
      <c r="B119112" s="15"/>
      <c r="C119112" s="15"/>
      <c r="D119112" s="12"/>
      <c r="E119112" s="12"/>
      <c r="F119112" s="13"/>
      <c r="G119112" s="12"/>
      <c r="H119112" s="12"/>
      <c r="I119112" s="12"/>
      <c r="J119112" s="12"/>
      <c r="K119112" s="12"/>
      <c r="L119112" s="208"/>
      <c r="M119112" s="209"/>
      <c r="N119112" s="209"/>
      <c r="O119112" s="209"/>
    </row>
    <row r="119113" spans="1:15" s="210" customFormat="1" x14ac:dyDescent="0.3">
      <c r="A119113" s="12"/>
      <c r="B119113" s="15"/>
      <c r="C119113" s="15"/>
      <c r="D119113" s="12"/>
      <c r="E119113" s="12"/>
      <c r="F119113" s="13"/>
      <c r="G119113" s="12"/>
      <c r="H119113" s="12"/>
      <c r="I119113" s="12"/>
      <c r="J119113" s="12"/>
      <c r="K119113" s="12"/>
      <c r="L119113" s="208"/>
      <c r="M119113" s="209"/>
      <c r="N119113" s="209"/>
      <c r="O119113" s="209"/>
    </row>
    <row r="119114" spans="1:15" s="210" customFormat="1" x14ac:dyDescent="0.3">
      <c r="A119114" s="12"/>
      <c r="B119114" s="15"/>
      <c r="C119114" s="15"/>
      <c r="D119114" s="12"/>
      <c r="E119114" s="12"/>
      <c r="F119114" s="13"/>
      <c r="G119114" s="12"/>
      <c r="H119114" s="12"/>
      <c r="I119114" s="12"/>
      <c r="J119114" s="12"/>
      <c r="K119114" s="12"/>
      <c r="L119114" s="208"/>
      <c r="M119114" s="209"/>
      <c r="N119114" s="209"/>
      <c r="O119114" s="209"/>
    </row>
    <row r="119115" spans="1:15" s="210" customFormat="1" x14ac:dyDescent="0.3">
      <c r="A119115" s="12"/>
      <c r="B119115" s="15"/>
      <c r="C119115" s="15"/>
      <c r="D119115" s="12"/>
      <c r="E119115" s="12"/>
      <c r="F119115" s="13"/>
      <c r="G119115" s="12"/>
      <c r="H119115" s="12"/>
      <c r="I119115" s="12"/>
      <c r="J119115" s="12"/>
      <c r="K119115" s="12"/>
      <c r="L119115" s="208"/>
      <c r="M119115" s="209"/>
      <c r="N119115" s="209"/>
      <c r="O119115" s="209"/>
    </row>
    <row r="119116" spans="1:15" s="210" customFormat="1" x14ac:dyDescent="0.3">
      <c r="A119116" s="12"/>
      <c r="B119116" s="15"/>
      <c r="C119116" s="15"/>
      <c r="D119116" s="12"/>
      <c r="E119116" s="12"/>
      <c r="F119116" s="13"/>
      <c r="G119116" s="12"/>
      <c r="H119116" s="12"/>
      <c r="I119116" s="12"/>
      <c r="J119116" s="12"/>
      <c r="K119116" s="12"/>
      <c r="L119116" s="208"/>
      <c r="M119116" s="209"/>
      <c r="N119116" s="209"/>
      <c r="O119116" s="209"/>
    </row>
    <row r="119117" spans="1:15" s="210" customFormat="1" x14ac:dyDescent="0.3">
      <c r="A119117" s="12"/>
      <c r="B119117" s="15"/>
      <c r="C119117" s="15"/>
      <c r="D119117" s="12"/>
      <c r="E119117" s="12"/>
      <c r="F119117" s="13"/>
      <c r="G119117" s="12"/>
      <c r="H119117" s="12"/>
      <c r="I119117" s="12"/>
      <c r="J119117" s="12"/>
      <c r="K119117" s="12"/>
      <c r="L119117" s="208"/>
      <c r="M119117" s="209"/>
      <c r="N119117" s="209"/>
      <c r="O119117" s="209"/>
    </row>
    <row r="119118" spans="1:15" s="210" customFormat="1" x14ac:dyDescent="0.3">
      <c r="A119118" s="12"/>
      <c r="B119118" s="15"/>
      <c r="C119118" s="15"/>
      <c r="D119118" s="12"/>
      <c r="E119118" s="12"/>
      <c r="F119118" s="13"/>
      <c r="G119118" s="12"/>
      <c r="H119118" s="12"/>
      <c r="I119118" s="12"/>
      <c r="J119118" s="12"/>
      <c r="K119118" s="12"/>
      <c r="L119118" s="208"/>
      <c r="M119118" s="209"/>
      <c r="N119118" s="209"/>
      <c r="O119118" s="209"/>
    </row>
    <row r="119119" spans="1:15" s="210" customFormat="1" x14ac:dyDescent="0.3">
      <c r="A119119" s="12"/>
      <c r="B119119" s="15"/>
      <c r="C119119" s="15"/>
      <c r="D119119" s="12"/>
      <c r="E119119" s="12"/>
      <c r="F119119" s="13"/>
      <c r="G119119" s="12"/>
      <c r="H119119" s="12"/>
      <c r="I119119" s="12"/>
      <c r="J119119" s="12"/>
      <c r="K119119" s="12"/>
      <c r="L119119" s="208"/>
      <c r="M119119" s="209"/>
      <c r="N119119" s="209"/>
      <c r="O119119" s="209"/>
    </row>
    <row r="119120" spans="1:15" s="210" customFormat="1" x14ac:dyDescent="0.3">
      <c r="A119120" s="12"/>
      <c r="B119120" s="15"/>
      <c r="C119120" s="15"/>
      <c r="D119120" s="12"/>
      <c r="E119120" s="12"/>
      <c r="F119120" s="13"/>
      <c r="G119120" s="12"/>
      <c r="H119120" s="12"/>
      <c r="I119120" s="12"/>
      <c r="J119120" s="12"/>
      <c r="K119120" s="12"/>
      <c r="L119120" s="208"/>
      <c r="M119120" s="209"/>
      <c r="N119120" s="209"/>
      <c r="O119120" s="209"/>
    </row>
    <row r="119121" spans="1:15" s="210" customFormat="1" x14ac:dyDescent="0.3">
      <c r="A119121" s="12"/>
      <c r="B119121" s="15"/>
      <c r="C119121" s="15"/>
      <c r="D119121" s="12"/>
      <c r="E119121" s="12"/>
      <c r="F119121" s="13"/>
      <c r="G119121" s="12"/>
      <c r="H119121" s="12"/>
      <c r="I119121" s="12"/>
      <c r="J119121" s="12"/>
      <c r="K119121" s="12"/>
      <c r="L119121" s="208"/>
      <c r="M119121" s="209"/>
      <c r="N119121" s="209"/>
      <c r="O119121" s="209"/>
    </row>
    <row r="119122" spans="1:15" s="210" customFormat="1" x14ac:dyDescent="0.3">
      <c r="A119122" s="12"/>
      <c r="B119122" s="15"/>
      <c r="C119122" s="15"/>
      <c r="D119122" s="12"/>
      <c r="E119122" s="12"/>
      <c r="F119122" s="13"/>
      <c r="G119122" s="12"/>
      <c r="H119122" s="12"/>
      <c r="I119122" s="12"/>
      <c r="J119122" s="12"/>
      <c r="K119122" s="12"/>
      <c r="L119122" s="208"/>
      <c r="M119122" s="209"/>
      <c r="N119122" s="209"/>
      <c r="O119122" s="209"/>
    </row>
    <row r="119123" spans="1:15" s="210" customFormat="1" x14ac:dyDescent="0.3">
      <c r="A119123" s="12"/>
      <c r="B119123" s="15"/>
      <c r="C119123" s="15"/>
      <c r="D119123" s="12"/>
      <c r="E119123" s="12"/>
      <c r="F119123" s="13"/>
      <c r="G119123" s="12"/>
      <c r="H119123" s="12"/>
      <c r="I119123" s="12"/>
      <c r="J119123" s="12"/>
      <c r="K119123" s="12"/>
      <c r="L119123" s="208"/>
      <c r="M119123" s="209"/>
      <c r="N119123" s="209"/>
      <c r="O119123" s="209"/>
    </row>
    <row r="119124" spans="1:15" s="210" customFormat="1" x14ac:dyDescent="0.3">
      <c r="A119124" s="12"/>
      <c r="B119124" s="15"/>
      <c r="C119124" s="15"/>
      <c r="D119124" s="12"/>
      <c r="E119124" s="12"/>
      <c r="F119124" s="13"/>
      <c r="G119124" s="12"/>
      <c r="H119124" s="12"/>
      <c r="I119124" s="12"/>
      <c r="J119124" s="12"/>
      <c r="K119124" s="12"/>
      <c r="L119124" s="208"/>
      <c r="M119124" s="209"/>
      <c r="N119124" s="209"/>
      <c r="O119124" s="209"/>
    </row>
    <row r="119125" spans="1:15" s="210" customFormat="1" x14ac:dyDescent="0.3">
      <c r="A119125" s="12"/>
      <c r="B119125" s="15"/>
      <c r="C119125" s="15"/>
      <c r="D119125" s="12"/>
      <c r="E119125" s="12"/>
      <c r="F119125" s="13"/>
      <c r="G119125" s="12"/>
      <c r="H119125" s="12"/>
      <c r="I119125" s="12"/>
      <c r="J119125" s="12"/>
      <c r="K119125" s="12"/>
      <c r="L119125" s="208"/>
      <c r="M119125" s="209"/>
      <c r="N119125" s="209"/>
      <c r="O119125" s="209"/>
    </row>
    <row r="119126" spans="1:15" s="210" customFormat="1" x14ac:dyDescent="0.3">
      <c r="A119126" s="12"/>
      <c r="B119126" s="15"/>
      <c r="C119126" s="15"/>
      <c r="D119126" s="12"/>
      <c r="E119126" s="12"/>
      <c r="F119126" s="13"/>
      <c r="G119126" s="12"/>
      <c r="H119126" s="12"/>
      <c r="I119126" s="12"/>
      <c r="J119126" s="12"/>
      <c r="K119126" s="12"/>
      <c r="L119126" s="208"/>
      <c r="M119126" s="209"/>
      <c r="N119126" s="209"/>
      <c r="O119126" s="209"/>
    </row>
    <row r="119127" spans="1:15" s="210" customFormat="1" x14ac:dyDescent="0.3">
      <c r="A119127" s="12"/>
      <c r="B119127" s="15"/>
      <c r="C119127" s="15"/>
      <c r="D119127" s="12"/>
      <c r="E119127" s="12"/>
      <c r="F119127" s="13"/>
      <c r="G119127" s="12"/>
      <c r="H119127" s="12"/>
      <c r="I119127" s="12"/>
      <c r="J119127" s="12"/>
      <c r="K119127" s="12"/>
      <c r="L119127" s="208"/>
      <c r="M119127" s="209"/>
      <c r="N119127" s="209"/>
      <c r="O119127" s="209"/>
    </row>
    <row r="119128" spans="1:15" s="210" customFormat="1" x14ac:dyDescent="0.3">
      <c r="A119128" s="12"/>
      <c r="B119128" s="15"/>
      <c r="C119128" s="15"/>
      <c r="D119128" s="12"/>
      <c r="E119128" s="12"/>
      <c r="F119128" s="13"/>
      <c r="G119128" s="12"/>
      <c r="H119128" s="12"/>
      <c r="I119128" s="12"/>
      <c r="J119128" s="12"/>
      <c r="K119128" s="12"/>
      <c r="L119128" s="208"/>
      <c r="M119128" s="209"/>
      <c r="N119128" s="209"/>
      <c r="O119128" s="209"/>
    </row>
    <row r="119129" spans="1:15" s="210" customFormat="1" x14ac:dyDescent="0.3">
      <c r="A119129" s="12"/>
      <c r="B119129" s="15"/>
      <c r="C119129" s="15"/>
      <c r="D119129" s="12"/>
      <c r="E119129" s="12"/>
      <c r="F119129" s="13"/>
      <c r="G119129" s="12"/>
      <c r="H119129" s="12"/>
      <c r="I119129" s="12"/>
      <c r="J119129" s="12"/>
      <c r="K119129" s="12"/>
      <c r="L119129" s="208"/>
      <c r="M119129" s="209"/>
      <c r="N119129" s="209"/>
      <c r="O119129" s="209"/>
    </row>
    <row r="119130" spans="1:15" s="210" customFormat="1" x14ac:dyDescent="0.3">
      <c r="A119130" s="12"/>
      <c r="B119130" s="15"/>
      <c r="C119130" s="15"/>
      <c r="D119130" s="12"/>
      <c r="E119130" s="12"/>
      <c r="F119130" s="13"/>
      <c r="G119130" s="12"/>
      <c r="H119130" s="12"/>
      <c r="I119130" s="12"/>
      <c r="J119130" s="12"/>
      <c r="K119130" s="12"/>
      <c r="L119130" s="208"/>
      <c r="M119130" s="209"/>
      <c r="N119130" s="209"/>
      <c r="O119130" s="209"/>
    </row>
    <row r="119131" spans="1:15" s="210" customFormat="1" x14ac:dyDescent="0.3">
      <c r="A119131" s="12"/>
      <c r="B119131" s="15"/>
      <c r="C119131" s="15"/>
      <c r="D119131" s="12"/>
      <c r="E119131" s="12"/>
      <c r="F119131" s="13"/>
      <c r="G119131" s="12"/>
      <c r="H119131" s="12"/>
      <c r="I119131" s="12"/>
      <c r="J119131" s="12"/>
      <c r="K119131" s="12"/>
      <c r="L119131" s="208"/>
      <c r="M119131" s="209"/>
      <c r="N119131" s="209"/>
      <c r="O119131" s="209"/>
    </row>
    <row r="119132" spans="1:15" s="210" customFormat="1" x14ac:dyDescent="0.3">
      <c r="A119132" s="12"/>
      <c r="B119132" s="15"/>
      <c r="C119132" s="15"/>
      <c r="D119132" s="12"/>
      <c r="E119132" s="12"/>
      <c r="F119132" s="13"/>
      <c r="G119132" s="12"/>
      <c r="H119132" s="12"/>
      <c r="I119132" s="12"/>
      <c r="J119132" s="12"/>
      <c r="K119132" s="12"/>
      <c r="L119132" s="208"/>
      <c r="M119132" s="209"/>
      <c r="N119132" s="209"/>
      <c r="O119132" s="209"/>
    </row>
    <row r="119133" spans="1:15" s="210" customFormat="1" x14ac:dyDescent="0.3">
      <c r="A119133" s="12"/>
      <c r="B119133" s="15"/>
      <c r="C119133" s="15"/>
      <c r="D119133" s="12"/>
      <c r="E119133" s="12"/>
      <c r="F119133" s="13"/>
      <c r="G119133" s="12"/>
      <c r="H119133" s="12"/>
      <c r="I119133" s="12"/>
      <c r="J119133" s="12"/>
      <c r="K119133" s="12"/>
      <c r="L119133" s="208"/>
      <c r="M119133" s="209"/>
      <c r="N119133" s="209"/>
      <c r="O119133" s="209"/>
    </row>
    <row r="119134" spans="1:15" s="210" customFormat="1" x14ac:dyDescent="0.3">
      <c r="A119134" s="12"/>
      <c r="B119134" s="15"/>
      <c r="C119134" s="15"/>
      <c r="D119134" s="12"/>
      <c r="E119134" s="12"/>
      <c r="F119134" s="13"/>
      <c r="G119134" s="12"/>
      <c r="H119134" s="12"/>
      <c r="I119134" s="12"/>
      <c r="J119134" s="12"/>
      <c r="K119134" s="12"/>
      <c r="L119134" s="208"/>
      <c r="M119134" s="209"/>
      <c r="N119134" s="209"/>
      <c r="O119134" s="209"/>
    </row>
    <row r="119135" spans="1:15" s="210" customFormat="1" x14ac:dyDescent="0.3">
      <c r="A119135" s="12"/>
      <c r="B119135" s="15"/>
      <c r="C119135" s="15"/>
      <c r="D119135" s="12"/>
      <c r="E119135" s="12"/>
      <c r="F119135" s="13"/>
      <c r="G119135" s="12"/>
      <c r="H119135" s="12"/>
      <c r="I119135" s="12"/>
      <c r="J119135" s="12"/>
      <c r="K119135" s="12"/>
      <c r="L119135" s="208"/>
      <c r="M119135" s="209"/>
      <c r="N119135" s="209"/>
      <c r="O119135" s="209"/>
    </row>
    <row r="119136" spans="1:15" s="210" customFormat="1" x14ac:dyDescent="0.3">
      <c r="A119136" s="12"/>
      <c r="B119136" s="15"/>
      <c r="C119136" s="15"/>
      <c r="D119136" s="12"/>
      <c r="E119136" s="12"/>
      <c r="F119136" s="13"/>
      <c r="G119136" s="12"/>
      <c r="H119136" s="12"/>
      <c r="I119136" s="12"/>
      <c r="J119136" s="12"/>
      <c r="K119136" s="12"/>
      <c r="L119136" s="208"/>
      <c r="M119136" s="209"/>
      <c r="N119136" s="209"/>
      <c r="O119136" s="209"/>
    </row>
    <row r="119137" spans="1:15" s="210" customFormat="1" x14ac:dyDescent="0.3">
      <c r="A119137" s="12"/>
      <c r="B119137" s="15"/>
      <c r="C119137" s="15"/>
      <c r="D119137" s="12"/>
      <c r="E119137" s="12"/>
      <c r="F119137" s="13"/>
      <c r="G119137" s="12"/>
      <c r="H119137" s="12"/>
      <c r="I119137" s="12"/>
      <c r="J119137" s="12"/>
      <c r="K119137" s="12"/>
      <c r="L119137" s="208"/>
      <c r="M119137" s="209"/>
      <c r="N119137" s="209"/>
      <c r="O119137" s="209"/>
    </row>
    <row r="119138" spans="1:15" s="210" customFormat="1" x14ac:dyDescent="0.3">
      <c r="A119138" s="12"/>
      <c r="B119138" s="15"/>
      <c r="C119138" s="15"/>
      <c r="D119138" s="12"/>
      <c r="E119138" s="12"/>
      <c r="F119138" s="13"/>
      <c r="G119138" s="12"/>
      <c r="H119138" s="12"/>
      <c r="I119138" s="12"/>
      <c r="J119138" s="12"/>
      <c r="K119138" s="12"/>
      <c r="L119138" s="208"/>
      <c r="M119138" s="209"/>
      <c r="N119138" s="209"/>
      <c r="O119138" s="209"/>
    </row>
    <row r="119139" spans="1:15" s="210" customFormat="1" x14ac:dyDescent="0.3">
      <c r="A119139" s="12"/>
      <c r="B119139" s="15"/>
      <c r="C119139" s="15"/>
      <c r="D119139" s="12"/>
      <c r="E119139" s="12"/>
      <c r="F119139" s="13"/>
      <c r="G119139" s="12"/>
      <c r="H119139" s="12"/>
      <c r="I119139" s="12"/>
      <c r="J119139" s="12"/>
      <c r="K119139" s="12"/>
      <c r="L119139" s="208"/>
      <c r="M119139" s="209"/>
      <c r="N119139" s="209"/>
      <c r="O119139" s="209"/>
    </row>
    <row r="119140" spans="1:15" s="210" customFormat="1" x14ac:dyDescent="0.3">
      <c r="A119140" s="12"/>
      <c r="B119140" s="15"/>
      <c r="C119140" s="15"/>
      <c r="D119140" s="12"/>
      <c r="E119140" s="12"/>
      <c r="F119140" s="13"/>
      <c r="G119140" s="12"/>
      <c r="H119140" s="12"/>
      <c r="I119140" s="12"/>
      <c r="J119140" s="12"/>
      <c r="K119140" s="12"/>
      <c r="L119140" s="208"/>
      <c r="M119140" s="209"/>
      <c r="N119140" s="209"/>
      <c r="O119140" s="209"/>
    </row>
    <row r="119141" spans="1:15" s="210" customFormat="1" x14ac:dyDescent="0.3">
      <c r="A119141" s="12"/>
      <c r="B119141" s="15"/>
      <c r="C119141" s="15"/>
      <c r="D119141" s="12"/>
      <c r="E119141" s="12"/>
      <c r="F119141" s="13"/>
      <c r="G119141" s="12"/>
      <c r="H119141" s="12"/>
      <c r="I119141" s="12"/>
      <c r="J119141" s="12"/>
      <c r="K119141" s="12"/>
      <c r="L119141" s="208"/>
      <c r="M119141" s="209"/>
      <c r="N119141" s="209"/>
      <c r="O119141" s="209"/>
    </row>
    <row r="119142" spans="1:15" s="210" customFormat="1" x14ac:dyDescent="0.3">
      <c r="A119142" s="12"/>
      <c r="B119142" s="15"/>
      <c r="C119142" s="15"/>
      <c r="D119142" s="12"/>
      <c r="E119142" s="12"/>
      <c r="F119142" s="13"/>
      <c r="G119142" s="12"/>
      <c r="H119142" s="12"/>
      <c r="I119142" s="12"/>
      <c r="J119142" s="12"/>
      <c r="K119142" s="12"/>
      <c r="L119142" s="208"/>
      <c r="M119142" s="209"/>
      <c r="N119142" s="209"/>
      <c r="O119142" s="209"/>
    </row>
    <row r="119143" spans="1:15" s="210" customFormat="1" x14ac:dyDescent="0.3">
      <c r="A119143" s="12"/>
      <c r="B119143" s="15"/>
      <c r="C119143" s="15"/>
      <c r="D119143" s="12"/>
      <c r="E119143" s="12"/>
      <c r="F119143" s="13"/>
      <c r="G119143" s="12"/>
      <c r="H119143" s="12"/>
      <c r="I119143" s="12"/>
      <c r="J119143" s="12"/>
      <c r="K119143" s="12"/>
      <c r="L119143" s="208"/>
      <c r="M119143" s="209"/>
      <c r="N119143" s="209"/>
      <c r="O119143" s="209"/>
    </row>
    <row r="119144" spans="1:15" s="210" customFormat="1" x14ac:dyDescent="0.3">
      <c r="A119144" s="12"/>
      <c r="B119144" s="15"/>
      <c r="C119144" s="15"/>
      <c r="D119144" s="12"/>
      <c r="E119144" s="12"/>
      <c r="F119144" s="13"/>
      <c r="G119144" s="12"/>
      <c r="H119144" s="12"/>
      <c r="I119144" s="12"/>
      <c r="J119144" s="12"/>
      <c r="K119144" s="12"/>
      <c r="L119144" s="208"/>
      <c r="M119144" s="209"/>
      <c r="N119144" s="209"/>
      <c r="O119144" s="209"/>
    </row>
    <row r="119145" spans="1:15" s="210" customFormat="1" x14ac:dyDescent="0.3">
      <c r="A119145" s="12"/>
      <c r="B119145" s="15"/>
      <c r="C119145" s="15"/>
      <c r="D119145" s="12"/>
      <c r="E119145" s="12"/>
      <c r="F119145" s="13"/>
      <c r="G119145" s="12"/>
      <c r="H119145" s="12"/>
      <c r="I119145" s="12"/>
      <c r="J119145" s="12"/>
      <c r="K119145" s="12"/>
      <c r="L119145" s="208"/>
      <c r="M119145" s="209"/>
      <c r="N119145" s="209"/>
      <c r="O119145" s="209"/>
    </row>
    <row r="119146" spans="1:15" s="210" customFormat="1" x14ac:dyDescent="0.3">
      <c r="A119146" s="12"/>
      <c r="B119146" s="15"/>
      <c r="C119146" s="15"/>
      <c r="D119146" s="12"/>
      <c r="E119146" s="12"/>
      <c r="F119146" s="13"/>
      <c r="G119146" s="12"/>
      <c r="H119146" s="12"/>
      <c r="I119146" s="12"/>
      <c r="J119146" s="12"/>
      <c r="K119146" s="12"/>
      <c r="L119146" s="208"/>
      <c r="M119146" s="209"/>
      <c r="N119146" s="209"/>
      <c r="O119146" s="209"/>
    </row>
    <row r="119147" spans="1:15" s="210" customFormat="1" x14ac:dyDescent="0.3">
      <c r="A119147" s="12"/>
      <c r="B119147" s="15"/>
      <c r="C119147" s="15"/>
      <c r="D119147" s="12"/>
      <c r="E119147" s="12"/>
      <c r="F119147" s="13"/>
      <c r="G119147" s="12"/>
      <c r="H119147" s="12"/>
      <c r="I119147" s="12"/>
      <c r="J119147" s="12"/>
      <c r="K119147" s="12"/>
      <c r="L119147" s="208"/>
      <c r="M119147" s="209"/>
      <c r="N119147" s="209"/>
      <c r="O119147" s="209"/>
    </row>
    <row r="119148" spans="1:15" s="210" customFormat="1" x14ac:dyDescent="0.3">
      <c r="A119148" s="12"/>
      <c r="B119148" s="15"/>
      <c r="C119148" s="15"/>
      <c r="D119148" s="12"/>
      <c r="E119148" s="12"/>
      <c r="F119148" s="13"/>
      <c r="G119148" s="12"/>
      <c r="H119148" s="12"/>
      <c r="I119148" s="12"/>
      <c r="J119148" s="12"/>
      <c r="K119148" s="12"/>
      <c r="L119148" s="208"/>
      <c r="M119148" s="209"/>
      <c r="N119148" s="209"/>
      <c r="O119148" s="209"/>
    </row>
    <row r="119149" spans="1:15" s="210" customFormat="1" x14ac:dyDescent="0.3">
      <c r="A119149" s="12"/>
      <c r="B119149" s="15"/>
      <c r="C119149" s="15"/>
      <c r="D119149" s="12"/>
      <c r="E119149" s="12"/>
      <c r="F119149" s="13"/>
      <c r="G119149" s="12"/>
      <c r="H119149" s="12"/>
      <c r="I119149" s="12"/>
      <c r="J119149" s="12"/>
      <c r="K119149" s="12"/>
      <c r="L119149" s="208"/>
      <c r="M119149" s="209"/>
      <c r="N119149" s="209"/>
      <c r="O119149" s="209"/>
    </row>
    <row r="119150" spans="1:15" s="210" customFormat="1" x14ac:dyDescent="0.3">
      <c r="A119150" s="12"/>
      <c r="B119150" s="15"/>
      <c r="C119150" s="15"/>
      <c r="D119150" s="12"/>
      <c r="E119150" s="12"/>
      <c r="F119150" s="13"/>
      <c r="G119150" s="12"/>
      <c r="H119150" s="12"/>
      <c r="I119150" s="12"/>
      <c r="J119150" s="12"/>
      <c r="K119150" s="12"/>
      <c r="L119150" s="208"/>
      <c r="M119150" s="209"/>
      <c r="N119150" s="209"/>
      <c r="O119150" s="209"/>
    </row>
    <row r="119151" spans="1:15" s="210" customFormat="1" x14ac:dyDescent="0.3">
      <c r="A119151" s="12"/>
      <c r="B119151" s="15"/>
      <c r="C119151" s="15"/>
      <c r="D119151" s="12"/>
      <c r="E119151" s="12"/>
      <c r="F119151" s="13"/>
      <c r="G119151" s="12"/>
      <c r="H119151" s="12"/>
      <c r="I119151" s="12"/>
      <c r="J119151" s="12"/>
      <c r="K119151" s="12"/>
      <c r="L119151" s="208"/>
      <c r="M119151" s="209"/>
      <c r="N119151" s="209"/>
      <c r="O119151" s="209"/>
    </row>
    <row r="119152" spans="1:15" s="210" customFormat="1" x14ac:dyDescent="0.3">
      <c r="A119152" s="12"/>
      <c r="B119152" s="15"/>
      <c r="C119152" s="15"/>
      <c r="D119152" s="12"/>
      <c r="E119152" s="12"/>
      <c r="F119152" s="13"/>
      <c r="G119152" s="12"/>
      <c r="H119152" s="12"/>
      <c r="I119152" s="12"/>
      <c r="J119152" s="12"/>
      <c r="K119152" s="12"/>
      <c r="L119152" s="208"/>
      <c r="M119152" s="209"/>
      <c r="N119152" s="209"/>
      <c r="O119152" s="209"/>
    </row>
    <row r="119153" spans="1:15" s="210" customFormat="1" x14ac:dyDescent="0.3">
      <c r="A119153" s="12"/>
      <c r="B119153" s="15"/>
      <c r="C119153" s="15"/>
      <c r="D119153" s="12"/>
      <c r="E119153" s="12"/>
      <c r="F119153" s="13"/>
      <c r="G119153" s="12"/>
      <c r="H119153" s="12"/>
      <c r="I119153" s="12"/>
      <c r="J119153" s="12"/>
      <c r="K119153" s="12"/>
      <c r="L119153" s="208"/>
      <c r="M119153" s="209"/>
      <c r="N119153" s="209"/>
      <c r="O119153" s="209"/>
    </row>
    <row r="119154" spans="1:15" s="210" customFormat="1" x14ac:dyDescent="0.3">
      <c r="A119154" s="12"/>
      <c r="B119154" s="15"/>
      <c r="C119154" s="15"/>
      <c r="D119154" s="12"/>
      <c r="E119154" s="12"/>
      <c r="F119154" s="13"/>
      <c r="G119154" s="12"/>
      <c r="H119154" s="12"/>
      <c r="I119154" s="12"/>
      <c r="J119154" s="12"/>
      <c r="K119154" s="12"/>
      <c r="L119154" s="208"/>
      <c r="M119154" s="209"/>
      <c r="N119154" s="209"/>
      <c r="O119154" s="209"/>
    </row>
    <row r="119155" spans="1:15" s="210" customFormat="1" x14ac:dyDescent="0.3">
      <c r="A119155" s="12"/>
      <c r="B119155" s="15"/>
      <c r="C119155" s="15"/>
      <c r="D119155" s="12"/>
      <c r="E119155" s="12"/>
      <c r="F119155" s="13"/>
      <c r="G119155" s="12"/>
      <c r="H119155" s="12"/>
      <c r="I119155" s="12"/>
      <c r="J119155" s="12"/>
      <c r="K119155" s="12"/>
      <c r="L119155" s="208"/>
      <c r="M119155" s="209"/>
      <c r="N119155" s="209"/>
      <c r="O119155" s="209"/>
    </row>
    <row r="119156" spans="1:15" s="210" customFormat="1" x14ac:dyDescent="0.3">
      <c r="A119156" s="12"/>
      <c r="B119156" s="15"/>
      <c r="C119156" s="15"/>
      <c r="D119156" s="12"/>
      <c r="E119156" s="12"/>
      <c r="F119156" s="13"/>
      <c r="G119156" s="12"/>
      <c r="H119156" s="12"/>
      <c r="I119156" s="12"/>
      <c r="J119156" s="12"/>
      <c r="K119156" s="12"/>
      <c r="L119156" s="208"/>
      <c r="M119156" s="209"/>
      <c r="N119156" s="209"/>
      <c r="O119156" s="209"/>
    </row>
    <row r="119157" spans="1:15" s="210" customFormat="1" x14ac:dyDescent="0.3">
      <c r="A119157" s="12"/>
      <c r="B119157" s="15"/>
      <c r="C119157" s="15"/>
      <c r="D119157" s="12"/>
      <c r="E119157" s="12"/>
      <c r="F119157" s="13"/>
      <c r="G119157" s="12"/>
      <c r="H119157" s="12"/>
      <c r="I119157" s="12"/>
      <c r="J119157" s="12"/>
      <c r="K119157" s="12"/>
      <c r="L119157" s="208"/>
      <c r="M119157" s="209"/>
      <c r="N119157" s="209"/>
      <c r="O119157" s="209"/>
    </row>
    <row r="119158" spans="1:15" s="210" customFormat="1" x14ac:dyDescent="0.3">
      <c r="A119158" s="12"/>
      <c r="B119158" s="15"/>
      <c r="C119158" s="15"/>
      <c r="D119158" s="12"/>
      <c r="E119158" s="12"/>
      <c r="F119158" s="13"/>
      <c r="G119158" s="12"/>
      <c r="H119158" s="12"/>
      <c r="I119158" s="12"/>
      <c r="J119158" s="12"/>
      <c r="K119158" s="12"/>
      <c r="L119158" s="208"/>
      <c r="M119158" s="209"/>
      <c r="N119158" s="209"/>
      <c r="O119158" s="209"/>
    </row>
    <row r="119159" spans="1:15" s="210" customFormat="1" x14ac:dyDescent="0.3">
      <c r="A119159" s="12"/>
      <c r="B119159" s="15"/>
      <c r="C119159" s="15"/>
      <c r="D119159" s="12"/>
      <c r="E119159" s="12"/>
      <c r="F119159" s="13"/>
      <c r="G119159" s="12"/>
      <c r="H119159" s="12"/>
      <c r="I119159" s="12"/>
      <c r="J119159" s="12"/>
      <c r="K119159" s="12"/>
      <c r="L119159" s="208"/>
      <c r="M119159" s="209"/>
      <c r="N119159" s="209"/>
      <c r="O119159" s="209"/>
    </row>
    <row r="119160" spans="1:15" s="210" customFormat="1" x14ac:dyDescent="0.3">
      <c r="A119160" s="12"/>
      <c r="B119160" s="15"/>
      <c r="C119160" s="15"/>
      <c r="D119160" s="12"/>
      <c r="E119160" s="12"/>
      <c r="F119160" s="13"/>
      <c r="G119160" s="12"/>
      <c r="H119160" s="12"/>
      <c r="I119160" s="12"/>
      <c r="J119160" s="12"/>
      <c r="K119160" s="12"/>
      <c r="L119160" s="208"/>
      <c r="M119160" s="209"/>
      <c r="N119160" s="209"/>
      <c r="O119160" s="209"/>
    </row>
    <row r="119161" spans="1:15" s="210" customFormat="1" x14ac:dyDescent="0.3">
      <c r="A119161" s="12"/>
      <c r="B119161" s="15"/>
      <c r="C119161" s="15"/>
      <c r="D119161" s="12"/>
      <c r="E119161" s="12"/>
      <c r="F119161" s="13"/>
      <c r="G119161" s="12"/>
      <c r="H119161" s="12"/>
      <c r="I119161" s="12"/>
      <c r="J119161" s="12"/>
      <c r="K119161" s="12"/>
      <c r="L119161" s="208"/>
      <c r="M119161" s="209"/>
      <c r="N119161" s="209"/>
      <c r="O119161" s="209"/>
    </row>
    <row r="119162" spans="1:15" s="210" customFormat="1" x14ac:dyDescent="0.3">
      <c r="A119162" s="12"/>
      <c r="B119162" s="15"/>
      <c r="C119162" s="15"/>
      <c r="D119162" s="12"/>
      <c r="E119162" s="12"/>
      <c r="F119162" s="13"/>
      <c r="G119162" s="12"/>
      <c r="H119162" s="12"/>
      <c r="I119162" s="12"/>
      <c r="J119162" s="12"/>
      <c r="K119162" s="12"/>
      <c r="L119162" s="208"/>
      <c r="M119162" s="209"/>
      <c r="N119162" s="209"/>
      <c r="O119162" s="209"/>
    </row>
    <row r="119163" spans="1:15" s="210" customFormat="1" x14ac:dyDescent="0.3">
      <c r="A119163" s="12"/>
      <c r="B119163" s="15"/>
      <c r="C119163" s="15"/>
      <c r="D119163" s="12"/>
      <c r="E119163" s="12"/>
      <c r="F119163" s="13"/>
      <c r="G119163" s="12"/>
      <c r="H119163" s="12"/>
      <c r="I119163" s="12"/>
      <c r="J119163" s="12"/>
      <c r="K119163" s="12"/>
      <c r="L119163" s="208"/>
      <c r="M119163" s="209"/>
      <c r="N119163" s="209"/>
      <c r="O119163" s="209"/>
    </row>
    <row r="119164" spans="1:15" s="210" customFormat="1" x14ac:dyDescent="0.3">
      <c r="A119164" s="12"/>
      <c r="B119164" s="15"/>
      <c r="C119164" s="15"/>
      <c r="D119164" s="12"/>
      <c r="E119164" s="12"/>
      <c r="F119164" s="13"/>
      <c r="G119164" s="12"/>
      <c r="H119164" s="12"/>
      <c r="I119164" s="12"/>
      <c r="J119164" s="12"/>
      <c r="K119164" s="12"/>
      <c r="L119164" s="208"/>
      <c r="M119164" s="209"/>
      <c r="N119164" s="209"/>
      <c r="O119164" s="209"/>
    </row>
    <row r="119165" spans="1:15" s="210" customFormat="1" x14ac:dyDescent="0.3">
      <c r="A119165" s="12"/>
      <c r="B119165" s="15"/>
      <c r="C119165" s="15"/>
      <c r="D119165" s="12"/>
      <c r="E119165" s="12"/>
      <c r="F119165" s="13"/>
      <c r="G119165" s="12"/>
      <c r="H119165" s="12"/>
      <c r="I119165" s="12"/>
      <c r="J119165" s="12"/>
      <c r="K119165" s="12"/>
      <c r="L119165" s="208"/>
      <c r="M119165" s="209"/>
      <c r="N119165" s="209"/>
      <c r="O119165" s="209"/>
    </row>
    <row r="119166" spans="1:15" s="210" customFormat="1" x14ac:dyDescent="0.3">
      <c r="A119166" s="12"/>
      <c r="B119166" s="15"/>
      <c r="C119166" s="15"/>
      <c r="D119166" s="12"/>
      <c r="E119166" s="12"/>
      <c r="F119166" s="13"/>
      <c r="G119166" s="12"/>
      <c r="H119166" s="12"/>
      <c r="I119166" s="12"/>
      <c r="J119166" s="12"/>
      <c r="K119166" s="12"/>
      <c r="L119166" s="208"/>
      <c r="M119166" s="209"/>
      <c r="N119166" s="209"/>
      <c r="O119166" s="209"/>
    </row>
    <row r="119167" spans="1:15" s="210" customFormat="1" x14ac:dyDescent="0.3">
      <c r="A119167" s="12"/>
      <c r="B119167" s="15"/>
      <c r="C119167" s="15"/>
      <c r="D119167" s="12"/>
      <c r="E119167" s="12"/>
      <c r="F119167" s="13"/>
      <c r="G119167" s="12"/>
      <c r="H119167" s="12"/>
      <c r="I119167" s="12"/>
      <c r="J119167" s="12"/>
      <c r="K119167" s="12"/>
      <c r="L119167" s="208"/>
      <c r="M119167" s="209"/>
      <c r="N119167" s="209"/>
      <c r="O119167" s="209"/>
    </row>
    <row r="119168" spans="1:15" s="210" customFormat="1" x14ac:dyDescent="0.3">
      <c r="A119168" s="12"/>
      <c r="B119168" s="15"/>
      <c r="C119168" s="15"/>
      <c r="D119168" s="12"/>
      <c r="E119168" s="12"/>
      <c r="F119168" s="13"/>
      <c r="G119168" s="12"/>
      <c r="H119168" s="12"/>
      <c r="I119168" s="12"/>
      <c r="J119168" s="12"/>
      <c r="K119168" s="12"/>
      <c r="L119168" s="208"/>
      <c r="M119168" s="209"/>
      <c r="N119168" s="209"/>
      <c r="O119168" s="209"/>
    </row>
    <row r="119169" spans="1:15" s="210" customFormat="1" x14ac:dyDescent="0.3">
      <c r="A119169" s="12"/>
      <c r="B119169" s="15"/>
      <c r="C119169" s="15"/>
      <c r="D119169" s="12"/>
      <c r="E119169" s="12"/>
      <c r="F119169" s="13"/>
      <c r="G119169" s="12"/>
      <c r="H119169" s="12"/>
      <c r="I119169" s="12"/>
      <c r="J119169" s="12"/>
      <c r="K119169" s="12"/>
      <c r="L119169" s="208"/>
      <c r="M119169" s="209"/>
      <c r="N119169" s="209"/>
      <c r="O119169" s="209"/>
    </row>
    <row r="119170" spans="1:15" s="210" customFormat="1" x14ac:dyDescent="0.3">
      <c r="A119170" s="12"/>
      <c r="B119170" s="15"/>
      <c r="C119170" s="15"/>
      <c r="D119170" s="12"/>
      <c r="E119170" s="12"/>
      <c r="F119170" s="13"/>
      <c r="G119170" s="12"/>
      <c r="H119170" s="12"/>
      <c r="I119170" s="12"/>
      <c r="J119170" s="12"/>
      <c r="K119170" s="12"/>
      <c r="L119170" s="208"/>
      <c r="M119170" s="209"/>
      <c r="N119170" s="209"/>
      <c r="O119170" s="209"/>
    </row>
    <row r="119171" spans="1:15" s="210" customFormat="1" x14ac:dyDescent="0.3">
      <c r="A119171" s="12"/>
      <c r="B119171" s="15"/>
      <c r="C119171" s="15"/>
      <c r="D119171" s="12"/>
      <c r="E119171" s="12"/>
      <c r="F119171" s="13"/>
      <c r="G119171" s="12"/>
      <c r="H119171" s="12"/>
      <c r="I119171" s="12"/>
      <c r="J119171" s="12"/>
      <c r="K119171" s="12"/>
      <c r="L119171" s="208"/>
      <c r="M119171" s="209"/>
      <c r="N119171" s="209"/>
      <c r="O119171" s="209"/>
    </row>
    <row r="119172" spans="1:15" s="210" customFormat="1" x14ac:dyDescent="0.3">
      <c r="A119172" s="12"/>
      <c r="B119172" s="15"/>
      <c r="C119172" s="15"/>
      <c r="D119172" s="12"/>
      <c r="E119172" s="12"/>
      <c r="F119172" s="13"/>
      <c r="G119172" s="12"/>
      <c r="H119172" s="12"/>
      <c r="I119172" s="12"/>
      <c r="J119172" s="12"/>
      <c r="K119172" s="12"/>
      <c r="L119172" s="208"/>
      <c r="M119172" s="209"/>
      <c r="N119172" s="209"/>
      <c r="O119172" s="209"/>
    </row>
    <row r="119173" spans="1:15" s="210" customFormat="1" x14ac:dyDescent="0.3">
      <c r="A119173" s="12"/>
      <c r="B119173" s="15"/>
      <c r="C119173" s="15"/>
      <c r="D119173" s="12"/>
      <c r="E119173" s="12"/>
      <c r="F119173" s="13"/>
      <c r="G119173" s="12"/>
      <c r="H119173" s="12"/>
      <c r="I119173" s="12"/>
      <c r="J119173" s="12"/>
      <c r="K119173" s="12"/>
      <c r="L119173" s="208"/>
      <c r="M119173" s="209"/>
      <c r="N119173" s="209"/>
      <c r="O119173" s="209"/>
    </row>
    <row r="119174" spans="1:15" s="210" customFormat="1" x14ac:dyDescent="0.3">
      <c r="A119174" s="12"/>
      <c r="B119174" s="15"/>
      <c r="C119174" s="15"/>
      <c r="D119174" s="12"/>
      <c r="E119174" s="12"/>
      <c r="F119174" s="13"/>
      <c r="G119174" s="12"/>
      <c r="H119174" s="12"/>
      <c r="I119174" s="12"/>
      <c r="J119174" s="12"/>
      <c r="K119174" s="12"/>
      <c r="L119174" s="208"/>
      <c r="M119174" s="209"/>
      <c r="N119174" s="209"/>
      <c r="O119174" s="209"/>
    </row>
    <row r="119175" spans="1:15" s="210" customFormat="1" x14ac:dyDescent="0.3">
      <c r="A119175" s="12"/>
      <c r="B119175" s="15"/>
      <c r="C119175" s="15"/>
      <c r="D119175" s="12"/>
      <c r="E119175" s="12"/>
      <c r="F119175" s="13"/>
      <c r="G119175" s="12"/>
      <c r="H119175" s="12"/>
      <c r="I119175" s="12"/>
      <c r="J119175" s="12"/>
      <c r="K119175" s="12"/>
      <c r="L119175" s="208"/>
      <c r="M119175" s="209"/>
      <c r="N119175" s="209"/>
      <c r="O119175" s="209"/>
    </row>
    <row r="119176" spans="1:15" s="210" customFormat="1" x14ac:dyDescent="0.3">
      <c r="A119176" s="12"/>
      <c r="B119176" s="15"/>
      <c r="C119176" s="15"/>
      <c r="D119176" s="12"/>
      <c r="E119176" s="12"/>
      <c r="F119176" s="13"/>
      <c r="G119176" s="12"/>
      <c r="H119176" s="12"/>
      <c r="I119176" s="12"/>
      <c r="J119176" s="12"/>
      <c r="K119176" s="12"/>
      <c r="L119176" s="208"/>
      <c r="M119176" s="209"/>
      <c r="N119176" s="209"/>
      <c r="O119176" s="209"/>
    </row>
    <row r="119177" spans="1:15" s="210" customFormat="1" x14ac:dyDescent="0.3">
      <c r="A119177" s="12"/>
      <c r="B119177" s="15"/>
      <c r="C119177" s="15"/>
      <c r="D119177" s="12"/>
      <c r="E119177" s="12"/>
      <c r="F119177" s="13"/>
      <c r="G119177" s="12"/>
      <c r="H119177" s="12"/>
      <c r="I119177" s="12"/>
      <c r="J119177" s="12"/>
      <c r="K119177" s="12"/>
      <c r="L119177" s="208"/>
      <c r="M119177" s="209"/>
      <c r="N119177" s="209"/>
      <c r="O119177" s="209"/>
    </row>
    <row r="119178" spans="1:15" s="210" customFormat="1" x14ac:dyDescent="0.3">
      <c r="A119178" s="12"/>
      <c r="B119178" s="15"/>
      <c r="C119178" s="15"/>
      <c r="D119178" s="12"/>
      <c r="E119178" s="12"/>
      <c r="F119178" s="13"/>
      <c r="G119178" s="12"/>
      <c r="H119178" s="12"/>
      <c r="I119178" s="12"/>
      <c r="J119178" s="12"/>
      <c r="K119178" s="12"/>
      <c r="L119178" s="208"/>
      <c r="M119178" s="209"/>
      <c r="N119178" s="209"/>
      <c r="O119178" s="209"/>
    </row>
    <row r="119179" spans="1:15" s="210" customFormat="1" x14ac:dyDescent="0.3">
      <c r="A119179" s="12"/>
      <c r="B119179" s="15"/>
      <c r="C119179" s="15"/>
      <c r="D119179" s="12"/>
      <c r="E119179" s="12"/>
      <c r="F119179" s="13"/>
      <c r="G119179" s="12"/>
      <c r="H119179" s="12"/>
      <c r="I119179" s="12"/>
      <c r="J119179" s="12"/>
      <c r="K119179" s="12"/>
      <c r="L119179" s="208"/>
      <c r="M119179" s="209"/>
      <c r="N119179" s="209"/>
      <c r="O119179" s="209"/>
    </row>
    <row r="119180" spans="1:15" s="210" customFormat="1" x14ac:dyDescent="0.3">
      <c r="A119180" s="12"/>
      <c r="B119180" s="15"/>
      <c r="C119180" s="15"/>
      <c r="D119180" s="12"/>
      <c r="E119180" s="12"/>
      <c r="F119180" s="13"/>
      <c r="G119180" s="12"/>
      <c r="H119180" s="12"/>
      <c r="I119180" s="12"/>
      <c r="J119180" s="12"/>
      <c r="K119180" s="12"/>
      <c r="L119180" s="208"/>
      <c r="M119180" s="209"/>
      <c r="N119180" s="209"/>
      <c r="O119180" s="209"/>
    </row>
    <row r="119181" spans="1:15" s="210" customFormat="1" x14ac:dyDescent="0.3">
      <c r="A119181" s="12"/>
      <c r="B119181" s="15"/>
      <c r="C119181" s="15"/>
      <c r="D119181" s="12"/>
      <c r="E119181" s="12"/>
      <c r="F119181" s="13"/>
      <c r="G119181" s="12"/>
      <c r="H119181" s="12"/>
      <c r="I119181" s="12"/>
      <c r="J119181" s="12"/>
      <c r="K119181" s="12"/>
      <c r="L119181" s="208"/>
      <c r="M119181" s="209"/>
      <c r="N119181" s="209"/>
      <c r="O119181" s="209"/>
    </row>
    <row r="119182" spans="1:15" s="210" customFormat="1" x14ac:dyDescent="0.3">
      <c r="A119182" s="12"/>
      <c r="B119182" s="15"/>
      <c r="C119182" s="15"/>
      <c r="D119182" s="12"/>
      <c r="E119182" s="12"/>
      <c r="F119182" s="13"/>
      <c r="G119182" s="12"/>
      <c r="H119182" s="12"/>
      <c r="I119182" s="12"/>
      <c r="J119182" s="12"/>
      <c r="K119182" s="12"/>
      <c r="L119182" s="208"/>
      <c r="M119182" s="209"/>
      <c r="N119182" s="209"/>
      <c r="O119182" s="209"/>
    </row>
    <row r="119183" spans="1:15" s="210" customFormat="1" x14ac:dyDescent="0.3">
      <c r="A119183" s="12"/>
      <c r="B119183" s="15"/>
      <c r="C119183" s="15"/>
      <c r="D119183" s="12"/>
      <c r="E119183" s="12"/>
      <c r="F119183" s="13"/>
      <c r="G119183" s="12"/>
      <c r="H119183" s="12"/>
      <c r="I119183" s="12"/>
      <c r="J119183" s="12"/>
      <c r="K119183" s="12"/>
      <c r="L119183" s="208"/>
      <c r="M119183" s="209"/>
      <c r="N119183" s="209"/>
      <c r="O119183" s="209"/>
    </row>
    <row r="119184" spans="1:15" s="210" customFormat="1" x14ac:dyDescent="0.3">
      <c r="A119184" s="12"/>
      <c r="B119184" s="15"/>
      <c r="C119184" s="15"/>
      <c r="D119184" s="12"/>
      <c r="E119184" s="12"/>
      <c r="F119184" s="13"/>
      <c r="G119184" s="12"/>
      <c r="H119184" s="12"/>
      <c r="I119184" s="12"/>
      <c r="J119184" s="12"/>
      <c r="K119184" s="12"/>
      <c r="L119184" s="208"/>
      <c r="M119184" s="209"/>
      <c r="N119184" s="209"/>
      <c r="O119184" s="209"/>
    </row>
    <row r="119185" spans="1:15" s="210" customFormat="1" x14ac:dyDescent="0.3">
      <c r="A119185" s="12"/>
      <c r="B119185" s="15"/>
      <c r="C119185" s="15"/>
      <c r="D119185" s="12"/>
      <c r="E119185" s="12"/>
      <c r="F119185" s="13"/>
      <c r="G119185" s="12"/>
      <c r="H119185" s="12"/>
      <c r="I119185" s="12"/>
      <c r="J119185" s="12"/>
      <c r="K119185" s="12"/>
      <c r="L119185" s="208"/>
      <c r="M119185" s="209"/>
      <c r="N119185" s="209"/>
      <c r="O119185" s="209"/>
    </row>
    <row r="119186" spans="1:15" s="210" customFormat="1" x14ac:dyDescent="0.3">
      <c r="A119186" s="12"/>
      <c r="B119186" s="15"/>
      <c r="C119186" s="15"/>
      <c r="D119186" s="12"/>
      <c r="E119186" s="12"/>
      <c r="F119186" s="13"/>
      <c r="G119186" s="12"/>
      <c r="H119186" s="12"/>
      <c r="I119186" s="12"/>
      <c r="J119186" s="12"/>
      <c r="K119186" s="12"/>
      <c r="L119186" s="208"/>
      <c r="M119186" s="209"/>
      <c r="N119186" s="209"/>
      <c r="O119186" s="209"/>
    </row>
    <row r="119187" spans="1:15" s="210" customFormat="1" x14ac:dyDescent="0.3">
      <c r="A119187" s="12"/>
      <c r="B119187" s="15"/>
      <c r="C119187" s="15"/>
      <c r="D119187" s="12"/>
      <c r="E119187" s="12"/>
      <c r="F119187" s="13"/>
      <c r="G119187" s="12"/>
      <c r="H119187" s="12"/>
      <c r="I119187" s="12"/>
      <c r="J119187" s="12"/>
      <c r="K119187" s="12"/>
      <c r="L119187" s="208"/>
      <c r="M119187" s="209"/>
      <c r="N119187" s="209"/>
      <c r="O119187" s="209"/>
    </row>
    <row r="119188" spans="1:15" s="210" customFormat="1" x14ac:dyDescent="0.3">
      <c r="A119188" s="12"/>
      <c r="B119188" s="15"/>
      <c r="C119188" s="15"/>
      <c r="D119188" s="12"/>
      <c r="E119188" s="12"/>
      <c r="F119188" s="13"/>
      <c r="G119188" s="12"/>
      <c r="H119188" s="12"/>
      <c r="I119188" s="12"/>
      <c r="J119188" s="12"/>
      <c r="K119188" s="12"/>
      <c r="L119188" s="208"/>
      <c r="M119188" s="209"/>
      <c r="N119188" s="209"/>
      <c r="O119188" s="209"/>
    </row>
    <row r="119189" spans="1:15" s="210" customFormat="1" x14ac:dyDescent="0.3">
      <c r="A119189" s="12"/>
      <c r="B119189" s="15"/>
      <c r="C119189" s="15"/>
      <c r="D119189" s="12"/>
      <c r="E119189" s="12"/>
      <c r="F119189" s="13"/>
      <c r="G119189" s="12"/>
      <c r="H119189" s="12"/>
      <c r="I119189" s="12"/>
      <c r="J119189" s="12"/>
      <c r="K119189" s="12"/>
      <c r="L119189" s="208"/>
      <c r="M119189" s="209"/>
      <c r="N119189" s="209"/>
      <c r="O119189" s="209"/>
    </row>
    <row r="119190" spans="1:15" s="210" customFormat="1" x14ac:dyDescent="0.3">
      <c r="A119190" s="12"/>
      <c r="B119190" s="15"/>
      <c r="C119190" s="15"/>
      <c r="D119190" s="12"/>
      <c r="E119190" s="12"/>
      <c r="F119190" s="13"/>
      <c r="G119190" s="12"/>
      <c r="H119190" s="12"/>
      <c r="I119190" s="12"/>
      <c r="J119190" s="12"/>
      <c r="K119190" s="12"/>
      <c r="L119190" s="208"/>
      <c r="M119190" s="209"/>
      <c r="N119190" s="209"/>
      <c r="O119190" s="209"/>
    </row>
    <row r="119191" spans="1:15" s="210" customFormat="1" x14ac:dyDescent="0.3">
      <c r="A119191" s="12"/>
      <c r="B119191" s="15"/>
      <c r="C119191" s="15"/>
      <c r="D119191" s="12"/>
      <c r="E119191" s="12"/>
      <c r="F119191" s="13"/>
      <c r="G119191" s="12"/>
      <c r="H119191" s="12"/>
      <c r="I119191" s="12"/>
      <c r="J119191" s="12"/>
      <c r="K119191" s="12"/>
      <c r="L119191" s="208"/>
      <c r="M119191" s="209"/>
      <c r="N119191" s="209"/>
      <c r="O119191" s="209"/>
    </row>
    <row r="119192" spans="1:15" s="210" customFormat="1" x14ac:dyDescent="0.3">
      <c r="A119192" s="12"/>
      <c r="B119192" s="15"/>
      <c r="C119192" s="15"/>
      <c r="D119192" s="12"/>
      <c r="E119192" s="12"/>
      <c r="F119192" s="13"/>
      <c r="G119192" s="12"/>
      <c r="H119192" s="12"/>
      <c r="I119192" s="12"/>
      <c r="J119192" s="12"/>
      <c r="K119192" s="12"/>
      <c r="L119192" s="208"/>
      <c r="M119192" s="209"/>
      <c r="N119192" s="209"/>
      <c r="O119192" s="209"/>
    </row>
    <row r="119193" spans="1:15" s="210" customFormat="1" x14ac:dyDescent="0.3">
      <c r="A119193" s="12"/>
      <c r="B119193" s="15"/>
      <c r="C119193" s="15"/>
      <c r="D119193" s="12"/>
      <c r="E119193" s="12"/>
      <c r="F119193" s="13"/>
      <c r="G119193" s="12"/>
      <c r="H119193" s="12"/>
      <c r="I119193" s="12"/>
      <c r="J119193" s="12"/>
      <c r="K119193" s="12"/>
      <c r="L119193" s="208"/>
      <c r="M119193" s="209"/>
      <c r="N119193" s="209"/>
      <c r="O119193" s="209"/>
    </row>
    <row r="119194" spans="1:15" s="210" customFormat="1" x14ac:dyDescent="0.3">
      <c r="A119194" s="12"/>
      <c r="B119194" s="15"/>
      <c r="C119194" s="15"/>
      <c r="D119194" s="12"/>
      <c r="E119194" s="12"/>
      <c r="F119194" s="13"/>
      <c r="G119194" s="12"/>
      <c r="H119194" s="12"/>
      <c r="I119194" s="12"/>
      <c r="J119194" s="12"/>
      <c r="K119194" s="12"/>
      <c r="L119194" s="208"/>
      <c r="M119194" s="209"/>
      <c r="N119194" s="209"/>
      <c r="O119194" s="209"/>
    </row>
    <row r="119195" spans="1:15" s="210" customFormat="1" x14ac:dyDescent="0.3">
      <c r="A119195" s="12"/>
      <c r="B119195" s="15"/>
      <c r="C119195" s="15"/>
      <c r="D119195" s="12"/>
      <c r="E119195" s="12"/>
      <c r="F119195" s="13"/>
      <c r="G119195" s="12"/>
      <c r="H119195" s="12"/>
      <c r="I119195" s="12"/>
      <c r="J119195" s="12"/>
      <c r="K119195" s="12"/>
      <c r="L119195" s="208"/>
      <c r="M119195" s="209"/>
      <c r="N119195" s="209"/>
      <c r="O119195" s="209"/>
    </row>
    <row r="119196" spans="1:15" s="210" customFormat="1" x14ac:dyDescent="0.3">
      <c r="A119196" s="12"/>
      <c r="B119196" s="15"/>
      <c r="C119196" s="15"/>
      <c r="D119196" s="12"/>
      <c r="E119196" s="12"/>
      <c r="F119196" s="13"/>
      <c r="G119196" s="12"/>
      <c r="H119196" s="12"/>
      <c r="I119196" s="12"/>
      <c r="J119196" s="12"/>
      <c r="K119196" s="12"/>
      <c r="L119196" s="208"/>
      <c r="M119196" s="209"/>
      <c r="N119196" s="209"/>
      <c r="O119196" s="209"/>
    </row>
    <row r="119197" spans="1:15" s="210" customFormat="1" x14ac:dyDescent="0.3">
      <c r="A119197" s="12"/>
      <c r="B119197" s="15"/>
      <c r="C119197" s="15"/>
      <c r="D119197" s="12"/>
      <c r="E119197" s="12"/>
      <c r="F119197" s="13"/>
      <c r="G119197" s="12"/>
      <c r="H119197" s="12"/>
      <c r="I119197" s="12"/>
      <c r="J119197" s="12"/>
      <c r="K119197" s="12"/>
      <c r="L119197" s="208"/>
      <c r="M119197" s="209"/>
      <c r="N119197" s="209"/>
      <c r="O119197" s="209"/>
    </row>
    <row r="119198" spans="1:15" s="210" customFormat="1" x14ac:dyDescent="0.3">
      <c r="A119198" s="12"/>
      <c r="B119198" s="15"/>
      <c r="C119198" s="15"/>
      <c r="D119198" s="12"/>
      <c r="E119198" s="12"/>
      <c r="F119198" s="13"/>
      <c r="G119198" s="12"/>
      <c r="H119198" s="12"/>
      <c r="I119198" s="12"/>
      <c r="J119198" s="12"/>
      <c r="K119198" s="12"/>
      <c r="L119198" s="208"/>
      <c r="M119198" s="209"/>
      <c r="N119198" s="209"/>
      <c r="O119198" s="209"/>
    </row>
    <row r="119199" spans="1:15" s="210" customFormat="1" x14ac:dyDescent="0.3">
      <c r="A119199" s="12"/>
      <c r="B119199" s="15"/>
      <c r="C119199" s="15"/>
      <c r="D119199" s="12"/>
      <c r="E119199" s="12"/>
      <c r="F119199" s="13"/>
      <c r="G119199" s="12"/>
      <c r="H119199" s="12"/>
      <c r="I119199" s="12"/>
      <c r="J119199" s="12"/>
      <c r="K119199" s="12"/>
      <c r="L119199" s="208"/>
      <c r="M119199" s="209"/>
      <c r="N119199" s="209"/>
      <c r="O119199" s="209"/>
    </row>
    <row r="119200" spans="1:15" s="210" customFormat="1" x14ac:dyDescent="0.3">
      <c r="A119200" s="12"/>
      <c r="B119200" s="15"/>
      <c r="C119200" s="15"/>
      <c r="D119200" s="12"/>
      <c r="E119200" s="12"/>
      <c r="F119200" s="13"/>
      <c r="G119200" s="12"/>
      <c r="H119200" s="12"/>
      <c r="I119200" s="12"/>
      <c r="J119200" s="12"/>
      <c r="K119200" s="12"/>
      <c r="L119200" s="208"/>
      <c r="M119200" s="209"/>
      <c r="N119200" s="209"/>
      <c r="O119200" s="209"/>
    </row>
    <row r="119201" spans="1:15" s="210" customFormat="1" x14ac:dyDescent="0.3">
      <c r="A119201" s="12"/>
      <c r="B119201" s="15"/>
      <c r="C119201" s="15"/>
      <c r="D119201" s="12"/>
      <c r="E119201" s="12"/>
      <c r="F119201" s="13"/>
      <c r="G119201" s="12"/>
      <c r="H119201" s="12"/>
      <c r="I119201" s="12"/>
      <c r="J119201" s="12"/>
      <c r="K119201" s="12"/>
      <c r="L119201" s="208"/>
      <c r="M119201" s="209"/>
      <c r="N119201" s="209"/>
      <c r="O119201" s="209"/>
    </row>
    <row r="119202" spans="1:15" s="210" customFormat="1" x14ac:dyDescent="0.3">
      <c r="A119202" s="12"/>
      <c r="B119202" s="15"/>
      <c r="C119202" s="15"/>
      <c r="D119202" s="12"/>
      <c r="E119202" s="12"/>
      <c r="F119202" s="13"/>
      <c r="G119202" s="12"/>
      <c r="H119202" s="12"/>
      <c r="I119202" s="12"/>
      <c r="J119202" s="12"/>
      <c r="K119202" s="12"/>
      <c r="L119202" s="208"/>
      <c r="M119202" s="209"/>
      <c r="N119202" s="209"/>
      <c r="O119202" s="209"/>
    </row>
    <row r="119203" spans="1:15" s="210" customFormat="1" x14ac:dyDescent="0.3">
      <c r="A119203" s="12"/>
      <c r="B119203" s="15"/>
      <c r="C119203" s="15"/>
      <c r="D119203" s="12"/>
      <c r="E119203" s="12"/>
      <c r="F119203" s="13"/>
      <c r="G119203" s="12"/>
      <c r="H119203" s="12"/>
      <c r="I119203" s="12"/>
      <c r="J119203" s="12"/>
      <c r="K119203" s="12"/>
      <c r="L119203" s="208"/>
      <c r="M119203" s="209"/>
      <c r="N119203" s="209"/>
      <c r="O119203" s="209"/>
    </row>
    <row r="119204" spans="1:15" s="210" customFormat="1" x14ac:dyDescent="0.3">
      <c r="A119204" s="12"/>
      <c r="B119204" s="15"/>
      <c r="C119204" s="15"/>
      <c r="D119204" s="12"/>
      <c r="E119204" s="12"/>
      <c r="F119204" s="13"/>
      <c r="G119204" s="12"/>
      <c r="H119204" s="12"/>
      <c r="I119204" s="12"/>
      <c r="J119204" s="12"/>
      <c r="K119204" s="12"/>
      <c r="L119204" s="208"/>
      <c r="M119204" s="209"/>
      <c r="N119204" s="209"/>
      <c r="O119204" s="209"/>
    </row>
    <row r="119205" spans="1:15" s="210" customFormat="1" x14ac:dyDescent="0.3">
      <c r="A119205" s="12"/>
      <c r="B119205" s="15"/>
      <c r="C119205" s="15"/>
      <c r="D119205" s="12"/>
      <c r="E119205" s="12"/>
      <c r="F119205" s="13"/>
      <c r="G119205" s="12"/>
      <c r="H119205" s="12"/>
      <c r="I119205" s="12"/>
      <c r="J119205" s="12"/>
      <c r="K119205" s="12"/>
      <c r="L119205" s="208"/>
      <c r="M119205" s="209"/>
      <c r="N119205" s="209"/>
      <c r="O119205" s="209"/>
    </row>
    <row r="119206" spans="1:15" s="210" customFormat="1" x14ac:dyDescent="0.3">
      <c r="A119206" s="12"/>
      <c r="B119206" s="15"/>
      <c r="C119206" s="15"/>
      <c r="D119206" s="12"/>
      <c r="E119206" s="12"/>
      <c r="F119206" s="13"/>
      <c r="G119206" s="12"/>
      <c r="H119206" s="12"/>
      <c r="I119206" s="12"/>
      <c r="J119206" s="12"/>
      <c r="K119206" s="12"/>
      <c r="L119206" s="208"/>
      <c r="M119206" s="209"/>
      <c r="N119206" s="209"/>
      <c r="O119206" s="209"/>
    </row>
    <row r="119207" spans="1:15" s="210" customFormat="1" x14ac:dyDescent="0.3">
      <c r="A119207" s="12"/>
      <c r="B119207" s="15"/>
      <c r="C119207" s="15"/>
      <c r="D119207" s="12"/>
      <c r="E119207" s="12"/>
      <c r="F119207" s="13"/>
      <c r="G119207" s="12"/>
      <c r="H119207" s="12"/>
      <c r="I119207" s="12"/>
      <c r="J119207" s="12"/>
      <c r="K119207" s="12"/>
      <c r="L119207" s="208"/>
      <c r="M119207" s="209"/>
      <c r="N119207" s="209"/>
      <c r="O119207" s="209"/>
    </row>
    <row r="119208" spans="1:15" s="210" customFormat="1" x14ac:dyDescent="0.3">
      <c r="A119208" s="12"/>
      <c r="B119208" s="15"/>
      <c r="C119208" s="15"/>
      <c r="D119208" s="12"/>
      <c r="E119208" s="12"/>
      <c r="F119208" s="13"/>
      <c r="G119208" s="12"/>
      <c r="H119208" s="12"/>
      <c r="I119208" s="12"/>
      <c r="J119208" s="12"/>
      <c r="K119208" s="12"/>
      <c r="L119208" s="208"/>
      <c r="M119208" s="209"/>
      <c r="N119208" s="209"/>
      <c r="O119208" s="209"/>
    </row>
    <row r="119209" spans="1:15" s="210" customFormat="1" x14ac:dyDescent="0.3">
      <c r="A119209" s="12"/>
      <c r="B119209" s="15"/>
      <c r="C119209" s="15"/>
      <c r="D119209" s="12"/>
      <c r="E119209" s="12"/>
      <c r="F119209" s="13"/>
      <c r="G119209" s="12"/>
      <c r="H119209" s="12"/>
      <c r="I119209" s="12"/>
      <c r="J119209" s="12"/>
      <c r="K119209" s="12"/>
      <c r="L119209" s="208"/>
      <c r="M119209" s="209"/>
      <c r="N119209" s="209"/>
      <c r="O119209" s="209"/>
    </row>
    <row r="119210" spans="1:15" s="210" customFormat="1" x14ac:dyDescent="0.3">
      <c r="A119210" s="12"/>
      <c r="B119210" s="15"/>
      <c r="C119210" s="15"/>
      <c r="D119210" s="12"/>
      <c r="E119210" s="12"/>
      <c r="F119210" s="13"/>
      <c r="G119210" s="12"/>
      <c r="H119210" s="12"/>
      <c r="I119210" s="12"/>
      <c r="J119210" s="12"/>
      <c r="K119210" s="12"/>
      <c r="L119210" s="208"/>
      <c r="M119210" s="209"/>
      <c r="N119210" s="209"/>
      <c r="O119210" s="209"/>
    </row>
    <row r="119211" spans="1:15" s="210" customFormat="1" x14ac:dyDescent="0.3">
      <c r="A119211" s="12"/>
      <c r="B119211" s="15"/>
      <c r="C119211" s="15"/>
      <c r="D119211" s="12"/>
      <c r="E119211" s="12"/>
      <c r="F119211" s="13"/>
      <c r="G119211" s="12"/>
      <c r="H119211" s="12"/>
      <c r="I119211" s="12"/>
      <c r="J119211" s="12"/>
      <c r="K119211" s="12"/>
      <c r="L119211" s="208"/>
      <c r="M119211" s="209"/>
      <c r="N119211" s="209"/>
      <c r="O119211" s="209"/>
    </row>
    <row r="119212" spans="1:15" s="210" customFormat="1" x14ac:dyDescent="0.3">
      <c r="A119212" s="12"/>
      <c r="B119212" s="15"/>
      <c r="C119212" s="15"/>
      <c r="D119212" s="12"/>
      <c r="E119212" s="12"/>
      <c r="F119212" s="13"/>
      <c r="G119212" s="12"/>
      <c r="H119212" s="12"/>
      <c r="I119212" s="12"/>
      <c r="J119212" s="12"/>
      <c r="K119212" s="12"/>
      <c r="L119212" s="208"/>
      <c r="M119212" s="209"/>
      <c r="N119212" s="209"/>
      <c r="O119212" s="209"/>
    </row>
    <row r="119213" spans="1:15" s="210" customFormat="1" x14ac:dyDescent="0.3">
      <c r="A119213" s="12"/>
      <c r="B119213" s="15"/>
      <c r="C119213" s="15"/>
      <c r="D119213" s="12"/>
      <c r="E119213" s="12"/>
      <c r="F119213" s="13"/>
      <c r="G119213" s="12"/>
      <c r="H119213" s="12"/>
      <c r="I119213" s="12"/>
      <c r="J119213" s="12"/>
      <c r="K119213" s="12"/>
      <c r="L119213" s="208"/>
      <c r="M119213" s="209"/>
      <c r="N119213" s="209"/>
      <c r="O119213" s="209"/>
    </row>
    <row r="119214" spans="1:15" s="210" customFormat="1" x14ac:dyDescent="0.3">
      <c r="A119214" s="12"/>
      <c r="B119214" s="15"/>
      <c r="C119214" s="15"/>
      <c r="D119214" s="12"/>
      <c r="E119214" s="12"/>
      <c r="F119214" s="13"/>
      <c r="G119214" s="12"/>
      <c r="H119214" s="12"/>
      <c r="I119214" s="12"/>
      <c r="J119214" s="12"/>
      <c r="K119214" s="12"/>
      <c r="L119214" s="208"/>
      <c r="M119214" s="209"/>
      <c r="N119214" s="209"/>
      <c r="O119214" s="209"/>
    </row>
    <row r="119215" spans="1:15" s="210" customFormat="1" x14ac:dyDescent="0.3">
      <c r="A119215" s="12"/>
      <c r="B119215" s="15"/>
      <c r="C119215" s="15"/>
      <c r="D119215" s="12"/>
      <c r="E119215" s="12"/>
      <c r="F119215" s="13"/>
      <c r="G119215" s="12"/>
      <c r="H119215" s="12"/>
      <c r="I119215" s="12"/>
      <c r="J119215" s="12"/>
      <c r="K119215" s="12"/>
      <c r="L119215" s="208"/>
      <c r="M119215" s="209"/>
      <c r="N119215" s="209"/>
      <c r="O119215" s="209"/>
    </row>
    <row r="119216" spans="1:15" s="210" customFormat="1" x14ac:dyDescent="0.3">
      <c r="A119216" s="12"/>
      <c r="B119216" s="15"/>
      <c r="C119216" s="15"/>
      <c r="D119216" s="12"/>
      <c r="E119216" s="12"/>
      <c r="F119216" s="13"/>
      <c r="G119216" s="12"/>
      <c r="H119216" s="12"/>
      <c r="I119216" s="12"/>
      <c r="J119216" s="12"/>
      <c r="K119216" s="12"/>
      <c r="L119216" s="208"/>
      <c r="M119216" s="209"/>
      <c r="N119216" s="209"/>
      <c r="O119216" s="209"/>
    </row>
    <row r="119217" spans="1:15" s="210" customFormat="1" x14ac:dyDescent="0.3">
      <c r="A119217" s="12"/>
      <c r="B119217" s="15"/>
      <c r="C119217" s="15"/>
      <c r="D119217" s="12"/>
      <c r="E119217" s="12"/>
      <c r="F119217" s="13"/>
      <c r="G119217" s="12"/>
      <c r="H119217" s="12"/>
      <c r="I119217" s="12"/>
      <c r="J119217" s="12"/>
      <c r="K119217" s="12"/>
      <c r="L119217" s="208"/>
      <c r="M119217" s="209"/>
      <c r="N119217" s="209"/>
      <c r="O119217" s="209"/>
    </row>
    <row r="119218" spans="1:15" s="210" customFormat="1" x14ac:dyDescent="0.3">
      <c r="A119218" s="12"/>
      <c r="B119218" s="15"/>
      <c r="C119218" s="15"/>
      <c r="D119218" s="12"/>
      <c r="E119218" s="12"/>
      <c r="F119218" s="13"/>
      <c r="G119218" s="12"/>
      <c r="H119218" s="12"/>
      <c r="I119218" s="12"/>
      <c r="J119218" s="12"/>
      <c r="K119218" s="12"/>
      <c r="L119218" s="208"/>
      <c r="M119218" s="209"/>
      <c r="N119218" s="209"/>
      <c r="O119218" s="209"/>
    </row>
    <row r="119219" spans="1:15" s="210" customFormat="1" x14ac:dyDescent="0.3">
      <c r="A119219" s="12"/>
      <c r="B119219" s="15"/>
      <c r="C119219" s="15"/>
      <c r="D119219" s="12"/>
      <c r="E119219" s="12"/>
      <c r="F119219" s="13"/>
      <c r="G119219" s="12"/>
      <c r="H119219" s="12"/>
      <c r="I119219" s="12"/>
      <c r="J119219" s="12"/>
      <c r="K119219" s="12"/>
      <c r="L119219" s="208"/>
      <c r="M119219" s="209"/>
      <c r="N119219" s="209"/>
      <c r="O119219" s="209"/>
    </row>
    <row r="119220" spans="1:15" s="210" customFormat="1" x14ac:dyDescent="0.3">
      <c r="A119220" s="12"/>
      <c r="B119220" s="15"/>
      <c r="C119220" s="15"/>
      <c r="D119220" s="12"/>
      <c r="E119220" s="12"/>
      <c r="F119220" s="13"/>
      <c r="G119220" s="12"/>
      <c r="H119220" s="12"/>
      <c r="I119220" s="12"/>
      <c r="J119220" s="12"/>
      <c r="K119220" s="12"/>
      <c r="L119220" s="208"/>
      <c r="M119220" s="209"/>
      <c r="N119220" s="209"/>
      <c r="O119220" s="209"/>
    </row>
    <row r="119221" spans="1:15" s="210" customFormat="1" x14ac:dyDescent="0.3">
      <c r="A119221" s="12"/>
      <c r="B119221" s="15"/>
      <c r="C119221" s="15"/>
      <c r="D119221" s="12"/>
      <c r="E119221" s="12"/>
      <c r="F119221" s="13"/>
      <c r="G119221" s="12"/>
      <c r="H119221" s="12"/>
      <c r="I119221" s="12"/>
      <c r="J119221" s="12"/>
      <c r="K119221" s="12"/>
      <c r="L119221" s="208"/>
      <c r="M119221" s="209"/>
      <c r="N119221" s="209"/>
      <c r="O119221" s="209"/>
    </row>
    <row r="119222" spans="1:15" s="210" customFormat="1" x14ac:dyDescent="0.3">
      <c r="A119222" s="12"/>
      <c r="B119222" s="15"/>
      <c r="C119222" s="15"/>
      <c r="D119222" s="12"/>
      <c r="E119222" s="12"/>
      <c r="F119222" s="13"/>
      <c r="G119222" s="12"/>
      <c r="H119222" s="12"/>
      <c r="I119222" s="12"/>
      <c r="J119222" s="12"/>
      <c r="K119222" s="12"/>
      <c r="L119222" s="208"/>
      <c r="M119222" s="209"/>
      <c r="N119222" s="209"/>
      <c r="O119222" s="209"/>
    </row>
    <row r="119223" spans="1:15" s="210" customFormat="1" x14ac:dyDescent="0.3">
      <c r="A119223" s="12"/>
      <c r="B119223" s="15"/>
      <c r="C119223" s="15"/>
      <c r="D119223" s="12"/>
      <c r="E119223" s="12"/>
      <c r="F119223" s="13"/>
      <c r="G119223" s="12"/>
      <c r="H119223" s="12"/>
      <c r="I119223" s="12"/>
      <c r="J119223" s="12"/>
      <c r="K119223" s="12"/>
      <c r="L119223" s="208"/>
      <c r="M119223" s="209"/>
      <c r="N119223" s="209"/>
      <c r="O119223" s="209"/>
    </row>
    <row r="119224" spans="1:15" s="210" customFormat="1" x14ac:dyDescent="0.3">
      <c r="A119224" s="12"/>
      <c r="B119224" s="15"/>
      <c r="C119224" s="15"/>
      <c r="D119224" s="12"/>
      <c r="E119224" s="12"/>
      <c r="F119224" s="13"/>
      <c r="G119224" s="12"/>
      <c r="H119224" s="12"/>
      <c r="I119224" s="12"/>
      <c r="J119224" s="12"/>
      <c r="K119224" s="12"/>
      <c r="L119224" s="208"/>
      <c r="M119224" s="209"/>
      <c r="N119224" s="209"/>
      <c r="O119224" s="209"/>
    </row>
    <row r="119225" spans="1:15" s="210" customFormat="1" x14ac:dyDescent="0.3">
      <c r="A119225" s="12"/>
      <c r="B119225" s="15"/>
      <c r="C119225" s="15"/>
      <c r="D119225" s="12"/>
      <c r="E119225" s="12"/>
      <c r="F119225" s="13"/>
      <c r="G119225" s="12"/>
      <c r="H119225" s="12"/>
      <c r="I119225" s="12"/>
      <c r="J119225" s="12"/>
      <c r="K119225" s="12"/>
      <c r="L119225" s="208"/>
      <c r="M119225" s="209"/>
      <c r="N119225" s="209"/>
      <c r="O119225" s="209"/>
    </row>
    <row r="119226" spans="1:15" s="210" customFormat="1" x14ac:dyDescent="0.3">
      <c r="A119226" s="12"/>
      <c r="B119226" s="15"/>
      <c r="C119226" s="15"/>
      <c r="D119226" s="12"/>
      <c r="E119226" s="12"/>
      <c r="F119226" s="13"/>
      <c r="G119226" s="12"/>
      <c r="H119226" s="12"/>
      <c r="I119226" s="12"/>
      <c r="J119226" s="12"/>
      <c r="K119226" s="12"/>
      <c r="L119226" s="208"/>
      <c r="M119226" s="209"/>
      <c r="N119226" s="209"/>
      <c r="O119226" s="209"/>
    </row>
    <row r="119227" spans="1:15" s="210" customFormat="1" x14ac:dyDescent="0.3">
      <c r="A119227" s="12"/>
      <c r="B119227" s="15"/>
      <c r="C119227" s="15"/>
      <c r="D119227" s="12"/>
      <c r="E119227" s="12"/>
      <c r="F119227" s="13"/>
      <c r="G119227" s="12"/>
      <c r="H119227" s="12"/>
      <c r="I119227" s="12"/>
      <c r="J119227" s="12"/>
      <c r="K119227" s="12"/>
      <c r="L119227" s="208"/>
      <c r="M119227" s="209"/>
      <c r="N119227" s="209"/>
      <c r="O119227" s="209"/>
    </row>
    <row r="119228" spans="1:15" s="210" customFormat="1" x14ac:dyDescent="0.3">
      <c r="A119228" s="12"/>
      <c r="B119228" s="15"/>
      <c r="C119228" s="15"/>
      <c r="D119228" s="12"/>
      <c r="E119228" s="12"/>
      <c r="F119228" s="13"/>
      <c r="G119228" s="12"/>
      <c r="H119228" s="12"/>
      <c r="I119228" s="12"/>
      <c r="J119228" s="12"/>
      <c r="K119228" s="12"/>
      <c r="L119228" s="208"/>
      <c r="M119228" s="209"/>
      <c r="N119228" s="209"/>
      <c r="O119228" s="209"/>
    </row>
    <row r="119229" spans="1:15" s="210" customFormat="1" x14ac:dyDescent="0.3">
      <c r="A119229" s="12"/>
      <c r="B119229" s="15"/>
      <c r="C119229" s="15"/>
      <c r="D119229" s="12"/>
      <c r="E119229" s="12"/>
      <c r="F119229" s="13"/>
      <c r="G119229" s="12"/>
      <c r="H119229" s="12"/>
      <c r="I119229" s="12"/>
      <c r="J119229" s="12"/>
      <c r="K119229" s="12"/>
      <c r="L119229" s="208"/>
      <c r="M119229" s="209"/>
      <c r="N119229" s="209"/>
      <c r="O119229" s="209"/>
    </row>
    <row r="119230" spans="1:15" s="210" customFormat="1" x14ac:dyDescent="0.3">
      <c r="A119230" s="12"/>
      <c r="B119230" s="15"/>
      <c r="C119230" s="15"/>
      <c r="D119230" s="12"/>
      <c r="E119230" s="12"/>
      <c r="F119230" s="13"/>
      <c r="G119230" s="12"/>
      <c r="H119230" s="12"/>
      <c r="I119230" s="12"/>
      <c r="J119230" s="12"/>
      <c r="K119230" s="12"/>
      <c r="L119230" s="208"/>
      <c r="M119230" s="209"/>
      <c r="N119230" s="209"/>
      <c r="O119230" s="209"/>
    </row>
    <row r="119231" spans="1:15" s="210" customFormat="1" x14ac:dyDescent="0.3">
      <c r="A119231" s="12"/>
      <c r="B119231" s="15"/>
      <c r="C119231" s="15"/>
      <c r="D119231" s="12"/>
      <c r="E119231" s="12"/>
      <c r="F119231" s="13"/>
      <c r="G119231" s="12"/>
      <c r="H119231" s="12"/>
      <c r="I119231" s="12"/>
      <c r="J119231" s="12"/>
      <c r="K119231" s="12"/>
      <c r="L119231" s="208"/>
      <c r="M119231" s="209"/>
      <c r="N119231" s="209"/>
      <c r="O119231" s="209"/>
    </row>
    <row r="119232" spans="1:15" s="210" customFormat="1" x14ac:dyDescent="0.3">
      <c r="A119232" s="12"/>
      <c r="B119232" s="15"/>
      <c r="C119232" s="15"/>
      <c r="D119232" s="12"/>
      <c r="E119232" s="12"/>
      <c r="F119232" s="13"/>
      <c r="G119232" s="12"/>
      <c r="H119232" s="12"/>
      <c r="I119232" s="12"/>
      <c r="J119232" s="12"/>
      <c r="K119232" s="12"/>
      <c r="L119232" s="208"/>
      <c r="M119232" s="209"/>
      <c r="N119232" s="209"/>
      <c r="O119232" s="209"/>
    </row>
    <row r="119233" spans="1:15" s="210" customFormat="1" x14ac:dyDescent="0.3">
      <c r="A119233" s="12"/>
      <c r="B119233" s="15"/>
      <c r="C119233" s="15"/>
      <c r="D119233" s="12"/>
      <c r="E119233" s="12"/>
      <c r="F119233" s="13"/>
      <c r="G119233" s="12"/>
      <c r="H119233" s="12"/>
      <c r="I119233" s="12"/>
      <c r="J119233" s="12"/>
      <c r="K119233" s="12"/>
      <c r="L119233" s="208"/>
      <c r="M119233" s="209"/>
      <c r="N119233" s="209"/>
      <c r="O119233" s="209"/>
    </row>
    <row r="119234" spans="1:15" s="210" customFormat="1" x14ac:dyDescent="0.3">
      <c r="A119234" s="12"/>
      <c r="B119234" s="15"/>
      <c r="C119234" s="15"/>
      <c r="D119234" s="12"/>
      <c r="E119234" s="12"/>
      <c r="F119234" s="13"/>
      <c r="G119234" s="12"/>
      <c r="H119234" s="12"/>
      <c r="I119234" s="12"/>
      <c r="J119234" s="12"/>
      <c r="K119234" s="12"/>
      <c r="L119234" s="208"/>
      <c r="M119234" s="209"/>
      <c r="N119234" s="209"/>
      <c r="O119234" s="209"/>
    </row>
    <row r="119235" spans="1:15" s="210" customFormat="1" x14ac:dyDescent="0.3">
      <c r="A119235" s="12"/>
      <c r="B119235" s="15"/>
      <c r="C119235" s="15"/>
      <c r="D119235" s="12"/>
      <c r="E119235" s="12"/>
      <c r="F119235" s="13"/>
      <c r="G119235" s="12"/>
      <c r="H119235" s="12"/>
      <c r="I119235" s="12"/>
      <c r="J119235" s="12"/>
      <c r="K119235" s="12"/>
      <c r="L119235" s="208"/>
      <c r="M119235" s="209"/>
      <c r="N119235" s="209"/>
      <c r="O119235" s="209"/>
    </row>
    <row r="119236" spans="1:15" s="210" customFormat="1" x14ac:dyDescent="0.3">
      <c r="A119236" s="12"/>
      <c r="B119236" s="15"/>
      <c r="C119236" s="15"/>
      <c r="D119236" s="12"/>
      <c r="E119236" s="12"/>
      <c r="F119236" s="13"/>
      <c r="G119236" s="12"/>
      <c r="H119236" s="12"/>
      <c r="I119236" s="12"/>
      <c r="J119236" s="12"/>
      <c r="K119236" s="12"/>
      <c r="L119236" s="208"/>
      <c r="M119236" s="209"/>
      <c r="N119236" s="209"/>
      <c r="O119236" s="209"/>
    </row>
    <row r="119237" spans="1:15" s="210" customFormat="1" x14ac:dyDescent="0.3">
      <c r="A119237" s="12"/>
      <c r="B119237" s="15"/>
      <c r="C119237" s="15"/>
      <c r="D119237" s="12"/>
      <c r="E119237" s="12"/>
      <c r="F119237" s="13"/>
      <c r="G119237" s="12"/>
      <c r="H119237" s="12"/>
      <c r="I119237" s="12"/>
      <c r="J119237" s="12"/>
      <c r="K119237" s="12"/>
      <c r="L119237" s="208"/>
      <c r="M119237" s="209"/>
      <c r="N119237" s="209"/>
      <c r="O119237" s="209"/>
    </row>
    <row r="119238" spans="1:15" s="210" customFormat="1" x14ac:dyDescent="0.3">
      <c r="A119238" s="12"/>
      <c r="B119238" s="15"/>
      <c r="C119238" s="15"/>
      <c r="D119238" s="12"/>
      <c r="E119238" s="12"/>
      <c r="F119238" s="13"/>
      <c r="G119238" s="12"/>
      <c r="H119238" s="12"/>
      <c r="I119238" s="12"/>
      <c r="J119238" s="12"/>
      <c r="K119238" s="12"/>
      <c r="L119238" s="208"/>
      <c r="M119238" s="209"/>
      <c r="N119238" s="209"/>
      <c r="O119238" s="209"/>
    </row>
    <row r="119239" spans="1:15" s="210" customFormat="1" x14ac:dyDescent="0.3">
      <c r="A119239" s="12"/>
      <c r="B119239" s="15"/>
      <c r="C119239" s="15"/>
      <c r="D119239" s="12"/>
      <c r="E119239" s="12"/>
      <c r="F119239" s="13"/>
      <c r="G119239" s="12"/>
      <c r="H119239" s="12"/>
      <c r="I119239" s="12"/>
      <c r="J119239" s="12"/>
      <c r="K119239" s="12"/>
      <c r="L119239" s="208"/>
      <c r="M119239" s="209"/>
      <c r="N119239" s="209"/>
      <c r="O119239" s="209"/>
    </row>
    <row r="119240" spans="1:15" s="210" customFormat="1" x14ac:dyDescent="0.3">
      <c r="A119240" s="12"/>
      <c r="B119240" s="15"/>
      <c r="C119240" s="15"/>
      <c r="D119240" s="12"/>
      <c r="E119240" s="12"/>
      <c r="F119240" s="13"/>
      <c r="G119240" s="12"/>
      <c r="H119240" s="12"/>
      <c r="I119240" s="12"/>
      <c r="J119240" s="12"/>
      <c r="K119240" s="12"/>
      <c r="L119240" s="208"/>
      <c r="M119240" s="209"/>
      <c r="N119240" s="209"/>
      <c r="O119240" s="209"/>
    </row>
    <row r="119241" spans="1:15" s="210" customFormat="1" x14ac:dyDescent="0.3">
      <c r="A119241" s="12"/>
      <c r="B119241" s="15"/>
      <c r="C119241" s="15"/>
      <c r="D119241" s="12"/>
      <c r="E119241" s="12"/>
      <c r="F119241" s="13"/>
      <c r="G119241" s="12"/>
      <c r="H119241" s="12"/>
      <c r="I119241" s="12"/>
      <c r="J119241" s="12"/>
      <c r="K119241" s="12"/>
      <c r="L119241" s="208"/>
      <c r="M119241" s="209"/>
      <c r="N119241" s="209"/>
      <c r="O119241" s="209"/>
    </row>
    <row r="119242" spans="1:15" s="210" customFormat="1" x14ac:dyDescent="0.3">
      <c r="A119242" s="12"/>
      <c r="B119242" s="15"/>
      <c r="C119242" s="15"/>
      <c r="D119242" s="12"/>
      <c r="E119242" s="12"/>
      <c r="F119242" s="13"/>
      <c r="G119242" s="12"/>
      <c r="H119242" s="12"/>
      <c r="I119242" s="12"/>
      <c r="J119242" s="12"/>
      <c r="K119242" s="12"/>
      <c r="L119242" s="208"/>
      <c r="M119242" s="209"/>
      <c r="N119242" s="209"/>
      <c r="O119242" s="209"/>
    </row>
    <row r="119243" spans="1:15" s="210" customFormat="1" x14ac:dyDescent="0.3">
      <c r="A119243" s="12"/>
      <c r="B119243" s="15"/>
      <c r="C119243" s="15"/>
      <c r="D119243" s="12"/>
      <c r="E119243" s="12"/>
      <c r="F119243" s="13"/>
      <c r="G119243" s="12"/>
      <c r="H119243" s="12"/>
      <c r="I119243" s="12"/>
      <c r="J119243" s="12"/>
      <c r="K119243" s="12"/>
      <c r="L119243" s="208"/>
      <c r="M119243" s="209"/>
      <c r="N119243" s="209"/>
      <c r="O119243" s="209"/>
    </row>
    <row r="119244" spans="1:15" s="210" customFormat="1" x14ac:dyDescent="0.3">
      <c r="A119244" s="12"/>
      <c r="B119244" s="15"/>
      <c r="C119244" s="15"/>
      <c r="D119244" s="12"/>
      <c r="E119244" s="12"/>
      <c r="F119244" s="13"/>
      <c r="G119244" s="12"/>
      <c r="H119244" s="12"/>
      <c r="I119244" s="12"/>
      <c r="J119244" s="12"/>
      <c r="K119244" s="12"/>
      <c r="L119244" s="208"/>
      <c r="M119244" s="209"/>
      <c r="N119244" s="209"/>
      <c r="O119244" s="209"/>
    </row>
    <row r="119245" spans="1:15" s="210" customFormat="1" x14ac:dyDescent="0.3">
      <c r="A119245" s="12"/>
      <c r="B119245" s="15"/>
      <c r="C119245" s="15"/>
      <c r="D119245" s="12"/>
      <c r="E119245" s="12"/>
      <c r="F119245" s="13"/>
      <c r="G119245" s="12"/>
      <c r="H119245" s="12"/>
      <c r="I119245" s="12"/>
      <c r="J119245" s="12"/>
      <c r="K119245" s="12"/>
      <c r="L119245" s="208"/>
      <c r="M119245" s="209"/>
      <c r="N119245" s="209"/>
      <c r="O119245" s="209"/>
    </row>
    <row r="119246" spans="1:15" s="210" customFormat="1" x14ac:dyDescent="0.3">
      <c r="A119246" s="12"/>
      <c r="B119246" s="15"/>
      <c r="C119246" s="15"/>
      <c r="D119246" s="12"/>
      <c r="E119246" s="12"/>
      <c r="F119246" s="13"/>
      <c r="G119246" s="12"/>
      <c r="H119246" s="12"/>
      <c r="I119246" s="12"/>
      <c r="J119246" s="12"/>
      <c r="K119246" s="12"/>
      <c r="L119246" s="208"/>
      <c r="M119246" s="209"/>
      <c r="N119246" s="209"/>
      <c r="O119246" s="209"/>
    </row>
    <row r="119247" spans="1:15" s="210" customFormat="1" x14ac:dyDescent="0.3">
      <c r="A119247" s="12"/>
      <c r="B119247" s="15"/>
      <c r="C119247" s="15"/>
      <c r="D119247" s="12"/>
      <c r="E119247" s="12"/>
      <c r="F119247" s="13"/>
      <c r="G119247" s="12"/>
      <c r="H119247" s="12"/>
      <c r="I119247" s="12"/>
      <c r="J119247" s="12"/>
      <c r="K119247" s="12"/>
      <c r="L119247" s="208"/>
      <c r="M119247" s="209"/>
      <c r="N119247" s="209"/>
      <c r="O119247" s="209"/>
    </row>
    <row r="119248" spans="1:15" s="210" customFormat="1" x14ac:dyDescent="0.3">
      <c r="A119248" s="12"/>
      <c r="B119248" s="15"/>
      <c r="C119248" s="15"/>
      <c r="D119248" s="12"/>
      <c r="E119248" s="12"/>
      <c r="F119248" s="13"/>
      <c r="G119248" s="12"/>
      <c r="H119248" s="12"/>
      <c r="I119248" s="12"/>
      <c r="J119248" s="12"/>
      <c r="K119248" s="12"/>
      <c r="L119248" s="208"/>
      <c r="M119248" s="209"/>
      <c r="N119248" s="209"/>
      <c r="O119248" s="209"/>
    </row>
    <row r="119249" spans="1:15" s="210" customFormat="1" x14ac:dyDescent="0.3">
      <c r="A119249" s="12"/>
      <c r="B119249" s="15"/>
      <c r="C119249" s="15"/>
      <c r="D119249" s="12"/>
      <c r="E119249" s="12"/>
      <c r="F119249" s="13"/>
      <c r="G119249" s="12"/>
      <c r="H119249" s="12"/>
      <c r="I119249" s="12"/>
      <c r="J119249" s="12"/>
      <c r="K119249" s="12"/>
      <c r="L119249" s="208"/>
      <c r="M119249" s="209"/>
      <c r="N119249" s="209"/>
      <c r="O119249" s="209"/>
    </row>
    <row r="119250" spans="1:15" s="210" customFormat="1" x14ac:dyDescent="0.3">
      <c r="A119250" s="12"/>
      <c r="B119250" s="15"/>
      <c r="C119250" s="15"/>
      <c r="D119250" s="12"/>
      <c r="E119250" s="12"/>
      <c r="F119250" s="13"/>
      <c r="G119250" s="12"/>
      <c r="H119250" s="12"/>
      <c r="I119250" s="12"/>
      <c r="J119250" s="12"/>
      <c r="K119250" s="12"/>
      <c r="L119250" s="208"/>
      <c r="M119250" s="209"/>
      <c r="N119250" s="209"/>
      <c r="O119250" s="209"/>
    </row>
    <row r="119251" spans="1:15" s="210" customFormat="1" x14ac:dyDescent="0.3">
      <c r="A119251" s="12"/>
      <c r="B119251" s="15"/>
      <c r="C119251" s="15"/>
      <c r="D119251" s="12"/>
      <c r="E119251" s="12"/>
      <c r="F119251" s="13"/>
      <c r="G119251" s="12"/>
      <c r="H119251" s="12"/>
      <c r="I119251" s="12"/>
      <c r="J119251" s="12"/>
      <c r="K119251" s="12"/>
      <c r="L119251" s="208"/>
      <c r="M119251" s="209"/>
      <c r="N119251" s="209"/>
      <c r="O119251" s="209"/>
    </row>
    <row r="119252" spans="1:15" s="210" customFormat="1" x14ac:dyDescent="0.3">
      <c r="A119252" s="12"/>
      <c r="B119252" s="15"/>
      <c r="C119252" s="15"/>
      <c r="D119252" s="12"/>
      <c r="E119252" s="12"/>
      <c r="F119252" s="13"/>
      <c r="G119252" s="12"/>
      <c r="H119252" s="12"/>
      <c r="I119252" s="12"/>
      <c r="J119252" s="12"/>
      <c r="K119252" s="12"/>
      <c r="L119252" s="208"/>
      <c r="M119252" s="209"/>
      <c r="N119252" s="209"/>
      <c r="O119252" s="209"/>
    </row>
    <row r="119253" spans="1:15" s="210" customFormat="1" x14ac:dyDescent="0.3">
      <c r="A119253" s="12"/>
      <c r="B119253" s="15"/>
      <c r="C119253" s="15"/>
      <c r="D119253" s="12"/>
      <c r="E119253" s="12"/>
      <c r="F119253" s="13"/>
      <c r="G119253" s="12"/>
      <c r="H119253" s="12"/>
      <c r="I119253" s="12"/>
      <c r="J119253" s="12"/>
      <c r="K119253" s="12"/>
      <c r="L119253" s="208"/>
      <c r="M119253" s="209"/>
      <c r="N119253" s="209"/>
      <c r="O119253" s="209"/>
    </row>
    <row r="119254" spans="1:15" s="210" customFormat="1" x14ac:dyDescent="0.3">
      <c r="A119254" s="12"/>
      <c r="B119254" s="15"/>
      <c r="C119254" s="15"/>
      <c r="D119254" s="12"/>
      <c r="E119254" s="12"/>
      <c r="F119254" s="13"/>
      <c r="G119254" s="12"/>
      <c r="H119254" s="12"/>
      <c r="I119254" s="12"/>
      <c r="J119254" s="12"/>
      <c r="K119254" s="12"/>
      <c r="L119254" s="208"/>
      <c r="M119254" s="209"/>
      <c r="N119254" s="209"/>
      <c r="O119254" s="209"/>
    </row>
    <row r="119255" spans="1:15" s="210" customFormat="1" x14ac:dyDescent="0.3">
      <c r="A119255" s="12"/>
      <c r="B119255" s="15"/>
      <c r="C119255" s="15"/>
      <c r="D119255" s="12"/>
      <c r="E119255" s="12"/>
      <c r="F119255" s="13"/>
      <c r="G119255" s="12"/>
      <c r="H119255" s="12"/>
      <c r="I119255" s="12"/>
      <c r="J119255" s="12"/>
      <c r="K119255" s="12"/>
      <c r="L119255" s="208"/>
      <c r="M119255" s="209"/>
      <c r="N119255" s="209"/>
      <c r="O119255" s="209"/>
    </row>
    <row r="119256" spans="1:15" s="210" customFormat="1" x14ac:dyDescent="0.3">
      <c r="A119256" s="12"/>
      <c r="B119256" s="15"/>
      <c r="C119256" s="15"/>
      <c r="D119256" s="12"/>
      <c r="E119256" s="12"/>
      <c r="F119256" s="13"/>
      <c r="G119256" s="12"/>
      <c r="H119256" s="12"/>
      <c r="I119256" s="12"/>
      <c r="J119256" s="12"/>
      <c r="K119256" s="12"/>
      <c r="L119256" s="208"/>
      <c r="M119256" s="209"/>
      <c r="N119256" s="209"/>
      <c r="O119256" s="209"/>
    </row>
    <row r="119257" spans="1:15" s="210" customFormat="1" x14ac:dyDescent="0.3">
      <c r="A119257" s="12"/>
      <c r="B119257" s="15"/>
      <c r="C119257" s="15"/>
      <c r="D119257" s="12"/>
      <c r="E119257" s="12"/>
      <c r="F119257" s="13"/>
      <c r="G119257" s="12"/>
      <c r="H119257" s="12"/>
      <c r="I119257" s="12"/>
      <c r="J119257" s="12"/>
      <c r="K119257" s="12"/>
      <c r="L119257" s="208"/>
      <c r="M119257" s="209"/>
      <c r="N119257" s="209"/>
      <c r="O119257" s="209"/>
    </row>
    <row r="119258" spans="1:15" s="210" customFormat="1" x14ac:dyDescent="0.3">
      <c r="A119258" s="12"/>
      <c r="B119258" s="15"/>
      <c r="C119258" s="15"/>
      <c r="D119258" s="12"/>
      <c r="E119258" s="12"/>
      <c r="F119258" s="13"/>
      <c r="G119258" s="12"/>
      <c r="H119258" s="12"/>
      <c r="I119258" s="12"/>
      <c r="J119258" s="12"/>
      <c r="K119258" s="12"/>
      <c r="L119258" s="208"/>
      <c r="M119258" s="209"/>
      <c r="N119258" s="209"/>
      <c r="O119258" s="209"/>
    </row>
    <row r="119259" spans="1:15" s="210" customFormat="1" x14ac:dyDescent="0.3">
      <c r="A119259" s="12"/>
      <c r="B119259" s="15"/>
      <c r="C119259" s="15"/>
      <c r="D119259" s="12"/>
      <c r="E119259" s="12"/>
      <c r="F119259" s="13"/>
      <c r="G119259" s="12"/>
      <c r="H119259" s="12"/>
      <c r="I119259" s="12"/>
      <c r="J119259" s="12"/>
      <c r="K119259" s="12"/>
      <c r="L119259" s="208"/>
      <c r="M119259" s="209"/>
      <c r="N119259" s="209"/>
      <c r="O119259" s="209"/>
    </row>
    <row r="119260" spans="1:15" s="210" customFormat="1" x14ac:dyDescent="0.3">
      <c r="A119260" s="12"/>
      <c r="B119260" s="15"/>
      <c r="C119260" s="15"/>
      <c r="D119260" s="12"/>
      <c r="E119260" s="12"/>
      <c r="F119260" s="13"/>
      <c r="G119260" s="12"/>
      <c r="H119260" s="12"/>
      <c r="I119260" s="12"/>
      <c r="J119260" s="12"/>
      <c r="K119260" s="12"/>
      <c r="L119260" s="208"/>
      <c r="M119260" s="209"/>
      <c r="N119260" s="209"/>
      <c r="O119260" s="209"/>
    </row>
    <row r="119261" spans="1:15" s="210" customFormat="1" x14ac:dyDescent="0.3">
      <c r="A119261" s="12"/>
      <c r="B119261" s="15"/>
      <c r="C119261" s="15"/>
      <c r="D119261" s="12"/>
      <c r="E119261" s="12"/>
      <c r="F119261" s="13"/>
      <c r="G119261" s="12"/>
      <c r="H119261" s="12"/>
      <c r="I119261" s="12"/>
      <c r="J119261" s="12"/>
      <c r="K119261" s="12"/>
      <c r="L119261" s="208"/>
      <c r="M119261" s="209"/>
      <c r="N119261" s="209"/>
      <c r="O119261" s="209"/>
    </row>
    <row r="119262" spans="1:15" s="210" customFormat="1" x14ac:dyDescent="0.3">
      <c r="A119262" s="12"/>
      <c r="B119262" s="15"/>
      <c r="C119262" s="15"/>
      <c r="D119262" s="12"/>
      <c r="E119262" s="12"/>
      <c r="F119262" s="13"/>
      <c r="G119262" s="12"/>
      <c r="H119262" s="12"/>
      <c r="I119262" s="12"/>
      <c r="J119262" s="12"/>
      <c r="K119262" s="12"/>
      <c r="L119262" s="208"/>
      <c r="M119262" s="209"/>
      <c r="N119262" s="209"/>
      <c r="O119262" s="209"/>
    </row>
    <row r="119263" spans="1:15" s="210" customFormat="1" x14ac:dyDescent="0.3">
      <c r="A119263" s="12"/>
      <c r="B119263" s="15"/>
      <c r="C119263" s="15"/>
      <c r="D119263" s="12"/>
      <c r="E119263" s="12"/>
      <c r="F119263" s="13"/>
      <c r="G119263" s="12"/>
      <c r="H119263" s="12"/>
      <c r="I119263" s="12"/>
      <c r="J119263" s="12"/>
      <c r="K119263" s="12"/>
      <c r="L119263" s="208"/>
      <c r="M119263" s="209"/>
      <c r="N119263" s="209"/>
      <c r="O119263" s="209"/>
    </row>
    <row r="119264" spans="1:15" s="210" customFormat="1" x14ac:dyDescent="0.3">
      <c r="A119264" s="12"/>
      <c r="B119264" s="15"/>
      <c r="C119264" s="15"/>
      <c r="D119264" s="12"/>
      <c r="E119264" s="12"/>
      <c r="F119264" s="13"/>
      <c r="G119264" s="12"/>
      <c r="H119264" s="12"/>
      <c r="I119264" s="12"/>
      <c r="J119264" s="12"/>
      <c r="K119264" s="12"/>
      <c r="L119264" s="208"/>
      <c r="M119264" s="209"/>
      <c r="N119264" s="209"/>
      <c r="O119264" s="209"/>
    </row>
    <row r="119265" spans="1:15" s="210" customFormat="1" x14ac:dyDescent="0.3">
      <c r="A119265" s="12"/>
      <c r="B119265" s="15"/>
      <c r="C119265" s="15"/>
      <c r="D119265" s="12"/>
      <c r="E119265" s="12"/>
      <c r="F119265" s="13"/>
      <c r="G119265" s="12"/>
      <c r="H119265" s="12"/>
      <c r="I119265" s="12"/>
      <c r="J119265" s="12"/>
      <c r="K119265" s="12"/>
      <c r="L119265" s="208"/>
      <c r="M119265" s="209"/>
      <c r="N119265" s="209"/>
      <c r="O119265" s="209"/>
    </row>
    <row r="119266" spans="1:15" s="210" customFormat="1" x14ac:dyDescent="0.3">
      <c r="A119266" s="12"/>
      <c r="B119266" s="15"/>
      <c r="C119266" s="15"/>
      <c r="D119266" s="12"/>
      <c r="E119266" s="12"/>
      <c r="F119266" s="13"/>
      <c r="G119266" s="12"/>
      <c r="H119266" s="12"/>
      <c r="I119266" s="12"/>
      <c r="J119266" s="12"/>
      <c r="K119266" s="12"/>
      <c r="L119266" s="208"/>
      <c r="M119266" s="209"/>
      <c r="N119266" s="209"/>
      <c r="O119266" s="209"/>
    </row>
    <row r="119267" spans="1:15" s="210" customFormat="1" x14ac:dyDescent="0.3">
      <c r="A119267" s="12"/>
      <c r="B119267" s="15"/>
      <c r="C119267" s="15"/>
      <c r="D119267" s="12"/>
      <c r="E119267" s="12"/>
      <c r="F119267" s="13"/>
      <c r="G119267" s="12"/>
      <c r="H119267" s="12"/>
      <c r="I119267" s="12"/>
      <c r="J119267" s="12"/>
      <c r="K119267" s="12"/>
      <c r="L119267" s="208"/>
      <c r="M119267" s="209"/>
      <c r="N119267" s="209"/>
      <c r="O119267" s="209"/>
    </row>
    <row r="119268" spans="1:15" s="210" customFormat="1" x14ac:dyDescent="0.3">
      <c r="A119268" s="12"/>
      <c r="B119268" s="15"/>
      <c r="C119268" s="15"/>
      <c r="D119268" s="12"/>
      <c r="E119268" s="12"/>
      <c r="F119268" s="13"/>
      <c r="G119268" s="12"/>
      <c r="H119268" s="12"/>
      <c r="I119268" s="12"/>
      <c r="J119268" s="12"/>
      <c r="K119268" s="12"/>
      <c r="L119268" s="208"/>
      <c r="M119268" s="209"/>
      <c r="N119268" s="209"/>
      <c r="O119268" s="209"/>
    </row>
    <row r="119269" spans="1:15" s="210" customFormat="1" x14ac:dyDescent="0.3">
      <c r="A119269" s="12"/>
      <c r="B119269" s="15"/>
      <c r="C119269" s="15"/>
      <c r="D119269" s="12"/>
      <c r="E119269" s="12"/>
      <c r="F119269" s="13"/>
      <c r="G119269" s="12"/>
      <c r="H119269" s="12"/>
      <c r="I119269" s="12"/>
      <c r="J119269" s="12"/>
      <c r="K119269" s="12"/>
      <c r="L119269" s="208"/>
      <c r="M119269" s="209"/>
      <c r="N119269" s="209"/>
      <c r="O119269" s="209"/>
    </row>
    <row r="119270" spans="1:15" s="210" customFormat="1" x14ac:dyDescent="0.3">
      <c r="A119270" s="12"/>
      <c r="B119270" s="15"/>
      <c r="C119270" s="15"/>
      <c r="D119270" s="12"/>
      <c r="E119270" s="12"/>
      <c r="F119270" s="13"/>
      <c r="G119270" s="12"/>
      <c r="H119270" s="12"/>
      <c r="I119270" s="12"/>
      <c r="J119270" s="12"/>
      <c r="K119270" s="12"/>
      <c r="L119270" s="208"/>
      <c r="M119270" s="209"/>
      <c r="N119270" s="209"/>
      <c r="O119270" s="209"/>
    </row>
    <row r="119271" spans="1:15" s="210" customFormat="1" x14ac:dyDescent="0.3">
      <c r="A119271" s="12"/>
      <c r="B119271" s="15"/>
      <c r="C119271" s="15"/>
      <c r="D119271" s="12"/>
      <c r="E119271" s="12"/>
      <c r="F119271" s="13"/>
      <c r="G119271" s="12"/>
      <c r="H119271" s="12"/>
      <c r="I119271" s="12"/>
      <c r="J119271" s="12"/>
      <c r="K119271" s="12"/>
      <c r="L119271" s="208"/>
      <c r="M119271" s="209"/>
      <c r="N119271" s="209"/>
      <c r="O119271" s="209"/>
    </row>
    <row r="119272" spans="1:15" s="210" customFormat="1" x14ac:dyDescent="0.3">
      <c r="A119272" s="12"/>
      <c r="B119272" s="15"/>
      <c r="C119272" s="15"/>
      <c r="D119272" s="12"/>
      <c r="E119272" s="12"/>
      <c r="F119272" s="13"/>
      <c r="G119272" s="12"/>
      <c r="H119272" s="12"/>
      <c r="I119272" s="12"/>
      <c r="J119272" s="12"/>
      <c r="K119272" s="12"/>
      <c r="L119272" s="208"/>
      <c r="M119272" s="209"/>
      <c r="N119272" s="209"/>
      <c r="O119272" s="209"/>
    </row>
    <row r="119273" spans="1:15" s="210" customFormat="1" x14ac:dyDescent="0.3">
      <c r="A119273" s="12"/>
      <c r="B119273" s="15"/>
      <c r="C119273" s="15"/>
      <c r="D119273" s="12"/>
      <c r="E119273" s="12"/>
      <c r="F119273" s="13"/>
      <c r="G119273" s="12"/>
      <c r="H119273" s="12"/>
      <c r="I119273" s="12"/>
      <c r="J119273" s="12"/>
      <c r="K119273" s="12"/>
      <c r="L119273" s="208"/>
      <c r="M119273" s="209"/>
      <c r="N119273" s="209"/>
      <c r="O119273" s="209"/>
    </row>
    <row r="119274" spans="1:15" s="210" customFormat="1" x14ac:dyDescent="0.3">
      <c r="A119274" s="12"/>
      <c r="B119274" s="15"/>
      <c r="C119274" s="15"/>
      <c r="D119274" s="12"/>
      <c r="E119274" s="12"/>
      <c r="F119274" s="13"/>
      <c r="G119274" s="12"/>
      <c r="H119274" s="12"/>
      <c r="I119274" s="12"/>
      <c r="J119274" s="12"/>
      <c r="K119274" s="12"/>
      <c r="L119274" s="208"/>
      <c r="M119274" s="209"/>
      <c r="N119274" s="209"/>
      <c r="O119274" s="209"/>
    </row>
    <row r="119275" spans="1:15" s="210" customFormat="1" x14ac:dyDescent="0.3">
      <c r="A119275" s="12"/>
      <c r="B119275" s="15"/>
      <c r="C119275" s="15"/>
      <c r="D119275" s="12"/>
      <c r="E119275" s="12"/>
      <c r="F119275" s="13"/>
      <c r="G119275" s="12"/>
      <c r="H119275" s="12"/>
      <c r="I119275" s="12"/>
      <c r="J119275" s="12"/>
      <c r="K119275" s="12"/>
      <c r="L119275" s="208"/>
      <c r="M119275" s="209"/>
      <c r="N119275" s="209"/>
      <c r="O119275" s="209"/>
    </row>
    <row r="119276" spans="1:15" s="210" customFormat="1" x14ac:dyDescent="0.3">
      <c r="A119276" s="12"/>
      <c r="B119276" s="15"/>
      <c r="C119276" s="15"/>
      <c r="D119276" s="12"/>
      <c r="E119276" s="12"/>
      <c r="F119276" s="13"/>
      <c r="G119276" s="12"/>
      <c r="H119276" s="12"/>
      <c r="I119276" s="12"/>
      <c r="J119276" s="12"/>
      <c r="K119276" s="12"/>
      <c r="L119276" s="208"/>
      <c r="M119276" s="209"/>
      <c r="N119276" s="209"/>
      <c r="O119276" s="209"/>
    </row>
    <row r="119277" spans="1:15" s="210" customFormat="1" x14ac:dyDescent="0.3">
      <c r="A119277" s="12"/>
      <c r="B119277" s="15"/>
      <c r="C119277" s="15"/>
      <c r="D119277" s="12"/>
      <c r="E119277" s="12"/>
      <c r="F119277" s="13"/>
      <c r="G119277" s="12"/>
      <c r="H119277" s="12"/>
      <c r="I119277" s="12"/>
      <c r="J119277" s="12"/>
      <c r="K119277" s="12"/>
      <c r="L119277" s="208"/>
      <c r="M119277" s="209"/>
      <c r="N119277" s="209"/>
      <c r="O119277" s="209"/>
    </row>
    <row r="119278" spans="1:15" s="210" customFormat="1" x14ac:dyDescent="0.3">
      <c r="A119278" s="12"/>
      <c r="B119278" s="15"/>
      <c r="C119278" s="15"/>
      <c r="D119278" s="12"/>
      <c r="E119278" s="12"/>
      <c r="F119278" s="13"/>
      <c r="G119278" s="12"/>
      <c r="H119278" s="12"/>
      <c r="I119278" s="12"/>
      <c r="J119278" s="12"/>
      <c r="K119278" s="12"/>
      <c r="L119278" s="208"/>
      <c r="M119278" s="209"/>
      <c r="N119278" s="209"/>
      <c r="O119278" s="209"/>
    </row>
    <row r="119279" spans="1:15" s="210" customFormat="1" x14ac:dyDescent="0.3">
      <c r="A119279" s="12"/>
      <c r="B119279" s="15"/>
      <c r="C119279" s="15"/>
      <c r="D119279" s="12"/>
      <c r="E119279" s="12"/>
      <c r="F119279" s="13"/>
      <c r="G119279" s="12"/>
      <c r="H119279" s="12"/>
      <c r="I119279" s="12"/>
      <c r="J119279" s="12"/>
      <c r="K119279" s="12"/>
      <c r="L119279" s="208"/>
      <c r="M119279" s="209"/>
      <c r="N119279" s="209"/>
      <c r="O119279" s="209"/>
    </row>
    <row r="119280" spans="1:15" s="210" customFormat="1" x14ac:dyDescent="0.3">
      <c r="A119280" s="12"/>
      <c r="B119280" s="15"/>
      <c r="C119280" s="15"/>
      <c r="D119280" s="12"/>
      <c r="E119280" s="12"/>
      <c r="F119280" s="13"/>
      <c r="G119280" s="12"/>
      <c r="H119280" s="12"/>
      <c r="I119280" s="12"/>
      <c r="J119280" s="12"/>
      <c r="K119280" s="12"/>
      <c r="L119280" s="208"/>
      <c r="M119280" s="209"/>
      <c r="N119280" s="209"/>
      <c r="O119280" s="209"/>
    </row>
    <row r="119281" spans="1:15" s="210" customFormat="1" x14ac:dyDescent="0.3">
      <c r="A119281" s="12"/>
      <c r="B119281" s="15"/>
      <c r="C119281" s="15"/>
      <c r="D119281" s="12"/>
      <c r="E119281" s="12"/>
      <c r="F119281" s="13"/>
      <c r="G119281" s="12"/>
      <c r="H119281" s="12"/>
      <c r="I119281" s="12"/>
      <c r="J119281" s="12"/>
      <c r="K119281" s="12"/>
      <c r="L119281" s="208"/>
      <c r="M119281" s="209"/>
      <c r="N119281" s="209"/>
      <c r="O119281" s="209"/>
    </row>
    <row r="119282" spans="1:15" s="210" customFormat="1" x14ac:dyDescent="0.3">
      <c r="A119282" s="12"/>
      <c r="B119282" s="15"/>
      <c r="C119282" s="15"/>
      <c r="D119282" s="12"/>
      <c r="E119282" s="12"/>
      <c r="F119282" s="13"/>
      <c r="G119282" s="12"/>
      <c r="H119282" s="12"/>
      <c r="I119282" s="12"/>
      <c r="J119282" s="12"/>
      <c r="K119282" s="12"/>
      <c r="L119282" s="208"/>
      <c r="M119282" s="209"/>
      <c r="N119282" s="209"/>
      <c r="O119282" s="209"/>
    </row>
    <row r="119283" spans="1:15" s="210" customFormat="1" x14ac:dyDescent="0.3">
      <c r="A119283" s="12"/>
      <c r="B119283" s="15"/>
      <c r="C119283" s="15"/>
      <c r="D119283" s="12"/>
      <c r="E119283" s="12"/>
      <c r="F119283" s="13"/>
      <c r="G119283" s="12"/>
      <c r="H119283" s="12"/>
      <c r="I119283" s="12"/>
      <c r="J119283" s="12"/>
      <c r="K119283" s="12"/>
      <c r="L119283" s="208"/>
      <c r="M119283" s="209"/>
      <c r="N119283" s="209"/>
      <c r="O119283" s="209"/>
    </row>
    <row r="119284" spans="1:15" s="210" customFormat="1" x14ac:dyDescent="0.3">
      <c r="A119284" s="12"/>
      <c r="B119284" s="15"/>
      <c r="C119284" s="15"/>
      <c r="D119284" s="12"/>
      <c r="E119284" s="12"/>
      <c r="F119284" s="13"/>
      <c r="G119284" s="12"/>
      <c r="H119284" s="12"/>
      <c r="I119284" s="12"/>
      <c r="J119284" s="12"/>
      <c r="K119284" s="12"/>
      <c r="L119284" s="208"/>
      <c r="M119284" s="209"/>
      <c r="N119284" s="209"/>
      <c r="O119284" s="209"/>
    </row>
    <row r="119285" spans="1:15" s="210" customFormat="1" x14ac:dyDescent="0.3">
      <c r="A119285" s="12"/>
      <c r="B119285" s="15"/>
      <c r="C119285" s="15"/>
      <c r="D119285" s="12"/>
      <c r="E119285" s="12"/>
      <c r="F119285" s="13"/>
      <c r="G119285" s="12"/>
      <c r="H119285" s="12"/>
      <c r="I119285" s="12"/>
      <c r="J119285" s="12"/>
      <c r="K119285" s="12"/>
      <c r="L119285" s="208"/>
      <c r="M119285" s="209"/>
      <c r="N119285" s="209"/>
      <c r="O119285" s="209"/>
    </row>
    <row r="119286" spans="1:15" s="210" customFormat="1" x14ac:dyDescent="0.3">
      <c r="A119286" s="12"/>
      <c r="B119286" s="15"/>
      <c r="C119286" s="15"/>
      <c r="D119286" s="12"/>
      <c r="E119286" s="12"/>
      <c r="F119286" s="13"/>
      <c r="G119286" s="12"/>
      <c r="H119286" s="12"/>
      <c r="I119286" s="12"/>
      <c r="J119286" s="12"/>
      <c r="K119286" s="12"/>
      <c r="L119286" s="208"/>
      <c r="M119286" s="209"/>
      <c r="N119286" s="209"/>
      <c r="O119286" s="209"/>
    </row>
    <row r="119287" spans="1:15" s="210" customFormat="1" x14ac:dyDescent="0.3">
      <c r="A119287" s="12"/>
      <c r="B119287" s="15"/>
      <c r="C119287" s="15"/>
      <c r="D119287" s="12"/>
      <c r="E119287" s="12"/>
      <c r="F119287" s="13"/>
      <c r="G119287" s="12"/>
      <c r="H119287" s="12"/>
      <c r="I119287" s="12"/>
      <c r="J119287" s="12"/>
      <c r="K119287" s="12"/>
      <c r="L119287" s="208"/>
      <c r="M119287" s="209"/>
      <c r="N119287" s="209"/>
      <c r="O119287" s="209"/>
    </row>
    <row r="119288" spans="1:15" s="210" customFormat="1" x14ac:dyDescent="0.3">
      <c r="A119288" s="12"/>
      <c r="B119288" s="15"/>
      <c r="C119288" s="15"/>
      <c r="D119288" s="12"/>
      <c r="E119288" s="12"/>
      <c r="F119288" s="13"/>
      <c r="G119288" s="12"/>
      <c r="H119288" s="12"/>
      <c r="I119288" s="12"/>
      <c r="J119288" s="12"/>
      <c r="K119288" s="12"/>
      <c r="L119288" s="208"/>
      <c r="M119288" s="209"/>
      <c r="N119288" s="209"/>
      <c r="O119288" s="209"/>
    </row>
    <row r="119289" spans="1:15" s="210" customFormat="1" x14ac:dyDescent="0.3">
      <c r="A119289" s="12"/>
      <c r="B119289" s="15"/>
      <c r="C119289" s="15"/>
      <c r="D119289" s="12"/>
      <c r="E119289" s="12"/>
      <c r="F119289" s="13"/>
      <c r="G119289" s="12"/>
      <c r="H119289" s="12"/>
      <c r="I119289" s="12"/>
      <c r="J119289" s="12"/>
      <c r="K119289" s="12"/>
      <c r="L119289" s="208"/>
      <c r="M119289" s="209"/>
      <c r="N119289" s="209"/>
      <c r="O119289" s="209"/>
    </row>
    <row r="119290" spans="1:15" s="210" customFormat="1" x14ac:dyDescent="0.3">
      <c r="A119290" s="12"/>
      <c r="B119290" s="15"/>
      <c r="C119290" s="15"/>
      <c r="D119290" s="12"/>
      <c r="E119290" s="12"/>
      <c r="F119290" s="13"/>
      <c r="G119290" s="12"/>
      <c r="H119290" s="12"/>
      <c r="I119290" s="12"/>
      <c r="J119290" s="12"/>
      <c r="K119290" s="12"/>
      <c r="L119290" s="208"/>
      <c r="M119290" s="209"/>
      <c r="N119290" s="209"/>
      <c r="O119290" s="209"/>
    </row>
    <row r="119291" spans="1:15" s="210" customFormat="1" x14ac:dyDescent="0.3">
      <c r="A119291" s="12"/>
      <c r="B119291" s="15"/>
      <c r="C119291" s="15"/>
      <c r="D119291" s="12"/>
      <c r="E119291" s="12"/>
      <c r="F119291" s="13"/>
      <c r="G119291" s="12"/>
      <c r="H119291" s="12"/>
      <c r="I119291" s="12"/>
      <c r="J119291" s="12"/>
      <c r="K119291" s="12"/>
      <c r="L119291" s="208"/>
      <c r="M119291" s="209"/>
      <c r="N119291" s="209"/>
      <c r="O119291" s="209"/>
    </row>
    <row r="119292" spans="1:15" s="210" customFormat="1" x14ac:dyDescent="0.3">
      <c r="A119292" s="12"/>
      <c r="B119292" s="15"/>
      <c r="C119292" s="15"/>
      <c r="D119292" s="12"/>
      <c r="E119292" s="12"/>
      <c r="F119292" s="13"/>
      <c r="G119292" s="12"/>
      <c r="H119292" s="12"/>
      <c r="I119292" s="12"/>
      <c r="J119292" s="12"/>
      <c r="K119292" s="12"/>
      <c r="L119292" s="208"/>
      <c r="M119292" s="209"/>
      <c r="N119292" s="209"/>
      <c r="O119292" s="209"/>
    </row>
    <row r="119293" spans="1:15" s="210" customFormat="1" x14ac:dyDescent="0.3">
      <c r="A119293" s="12"/>
      <c r="B119293" s="15"/>
      <c r="C119293" s="15"/>
      <c r="D119293" s="12"/>
      <c r="E119293" s="12"/>
      <c r="F119293" s="13"/>
      <c r="G119293" s="12"/>
      <c r="H119293" s="12"/>
      <c r="I119293" s="12"/>
      <c r="J119293" s="12"/>
      <c r="K119293" s="12"/>
      <c r="L119293" s="208"/>
      <c r="M119293" s="209"/>
      <c r="N119293" s="209"/>
      <c r="O119293" s="209"/>
    </row>
    <row r="119294" spans="1:15" s="210" customFormat="1" x14ac:dyDescent="0.3">
      <c r="A119294" s="12"/>
      <c r="B119294" s="15"/>
      <c r="C119294" s="15"/>
      <c r="D119294" s="12"/>
      <c r="E119294" s="12"/>
      <c r="F119294" s="13"/>
      <c r="G119294" s="12"/>
      <c r="H119294" s="12"/>
      <c r="I119294" s="12"/>
      <c r="J119294" s="12"/>
      <c r="K119294" s="12"/>
      <c r="L119294" s="208"/>
      <c r="M119294" s="209"/>
      <c r="N119294" s="209"/>
      <c r="O119294" s="209"/>
    </row>
    <row r="119295" spans="1:15" s="210" customFormat="1" x14ac:dyDescent="0.3">
      <c r="A119295" s="12"/>
      <c r="B119295" s="15"/>
      <c r="C119295" s="15"/>
      <c r="D119295" s="12"/>
      <c r="E119295" s="12"/>
      <c r="F119295" s="13"/>
      <c r="G119295" s="12"/>
      <c r="H119295" s="12"/>
      <c r="I119295" s="12"/>
      <c r="J119295" s="12"/>
      <c r="K119295" s="12"/>
      <c r="L119295" s="208"/>
      <c r="M119295" s="209"/>
      <c r="N119295" s="209"/>
      <c r="O119295" s="209"/>
    </row>
    <row r="119296" spans="1:15" s="210" customFormat="1" x14ac:dyDescent="0.3">
      <c r="A119296" s="12"/>
      <c r="B119296" s="15"/>
      <c r="C119296" s="15"/>
      <c r="D119296" s="12"/>
      <c r="E119296" s="12"/>
      <c r="F119296" s="13"/>
      <c r="G119296" s="12"/>
      <c r="H119296" s="12"/>
      <c r="I119296" s="12"/>
      <c r="J119296" s="12"/>
      <c r="K119296" s="12"/>
      <c r="L119296" s="208"/>
      <c r="M119296" s="209"/>
      <c r="N119296" s="209"/>
      <c r="O119296" s="209"/>
    </row>
    <row r="119297" spans="1:15" s="210" customFormat="1" x14ac:dyDescent="0.3">
      <c r="A119297" s="12"/>
      <c r="B119297" s="15"/>
      <c r="C119297" s="15"/>
      <c r="D119297" s="12"/>
      <c r="E119297" s="12"/>
      <c r="F119297" s="13"/>
      <c r="G119297" s="12"/>
      <c r="H119297" s="12"/>
      <c r="I119297" s="12"/>
      <c r="J119297" s="12"/>
      <c r="K119297" s="12"/>
      <c r="L119297" s="208"/>
      <c r="M119297" s="209"/>
      <c r="N119297" s="209"/>
      <c r="O119297" s="209"/>
    </row>
    <row r="119298" spans="1:15" s="210" customFormat="1" x14ac:dyDescent="0.3">
      <c r="A119298" s="12"/>
      <c r="B119298" s="15"/>
      <c r="C119298" s="15"/>
      <c r="D119298" s="12"/>
      <c r="E119298" s="12"/>
      <c r="F119298" s="13"/>
      <c r="G119298" s="12"/>
      <c r="H119298" s="12"/>
      <c r="I119298" s="12"/>
      <c r="J119298" s="12"/>
      <c r="K119298" s="12"/>
      <c r="L119298" s="208"/>
      <c r="M119298" s="209"/>
      <c r="N119298" s="209"/>
      <c r="O119298" s="209"/>
    </row>
    <row r="119299" spans="1:15" s="210" customFormat="1" x14ac:dyDescent="0.3">
      <c r="A119299" s="12"/>
      <c r="B119299" s="15"/>
      <c r="C119299" s="15"/>
      <c r="D119299" s="12"/>
      <c r="E119299" s="12"/>
      <c r="F119299" s="13"/>
      <c r="G119299" s="12"/>
      <c r="H119299" s="12"/>
      <c r="I119299" s="12"/>
      <c r="J119299" s="12"/>
      <c r="K119299" s="12"/>
      <c r="L119299" s="208"/>
      <c r="M119299" s="209"/>
      <c r="N119299" s="209"/>
      <c r="O119299" s="209"/>
    </row>
    <row r="119300" spans="1:15" s="210" customFormat="1" x14ac:dyDescent="0.3">
      <c r="A119300" s="12"/>
      <c r="B119300" s="15"/>
      <c r="C119300" s="15"/>
      <c r="D119300" s="12"/>
      <c r="E119300" s="12"/>
      <c r="F119300" s="13"/>
      <c r="G119300" s="12"/>
      <c r="H119300" s="12"/>
      <c r="I119300" s="12"/>
      <c r="J119300" s="12"/>
      <c r="K119300" s="12"/>
      <c r="L119300" s="208"/>
      <c r="M119300" s="209"/>
      <c r="N119300" s="209"/>
      <c r="O119300" s="209"/>
    </row>
    <row r="119301" spans="1:15" s="210" customFormat="1" x14ac:dyDescent="0.3">
      <c r="A119301" s="12"/>
      <c r="B119301" s="15"/>
      <c r="C119301" s="15"/>
      <c r="D119301" s="12"/>
      <c r="E119301" s="12"/>
      <c r="F119301" s="13"/>
      <c r="G119301" s="12"/>
      <c r="H119301" s="12"/>
      <c r="I119301" s="12"/>
      <c r="J119301" s="12"/>
      <c r="K119301" s="12"/>
      <c r="L119301" s="208"/>
      <c r="M119301" s="209"/>
      <c r="N119301" s="209"/>
      <c r="O119301" s="209"/>
    </row>
    <row r="119302" spans="1:15" s="210" customFormat="1" x14ac:dyDescent="0.3">
      <c r="A119302" s="12"/>
      <c r="B119302" s="15"/>
      <c r="C119302" s="15"/>
      <c r="D119302" s="12"/>
      <c r="E119302" s="12"/>
      <c r="F119302" s="13"/>
      <c r="G119302" s="12"/>
      <c r="H119302" s="12"/>
      <c r="I119302" s="12"/>
      <c r="J119302" s="12"/>
      <c r="K119302" s="12"/>
      <c r="L119302" s="208"/>
      <c r="M119302" s="209"/>
      <c r="N119302" s="209"/>
      <c r="O119302" s="209"/>
    </row>
    <row r="119303" spans="1:15" s="210" customFormat="1" x14ac:dyDescent="0.3">
      <c r="A119303" s="12"/>
      <c r="B119303" s="15"/>
      <c r="C119303" s="15"/>
      <c r="D119303" s="12"/>
      <c r="E119303" s="12"/>
      <c r="F119303" s="13"/>
      <c r="G119303" s="12"/>
      <c r="H119303" s="12"/>
      <c r="I119303" s="12"/>
      <c r="J119303" s="12"/>
      <c r="K119303" s="12"/>
      <c r="L119303" s="208"/>
      <c r="M119303" s="209"/>
      <c r="N119303" s="209"/>
      <c r="O119303" s="209"/>
    </row>
    <row r="119304" spans="1:15" s="210" customFormat="1" x14ac:dyDescent="0.3">
      <c r="A119304" s="12"/>
      <c r="B119304" s="15"/>
      <c r="C119304" s="15"/>
      <c r="D119304" s="12"/>
      <c r="E119304" s="12"/>
      <c r="F119304" s="13"/>
      <c r="G119304" s="12"/>
      <c r="H119304" s="12"/>
      <c r="I119304" s="12"/>
      <c r="J119304" s="12"/>
      <c r="K119304" s="12"/>
      <c r="L119304" s="208"/>
      <c r="M119304" s="209"/>
      <c r="N119304" s="209"/>
      <c r="O119304" s="209"/>
    </row>
    <row r="119305" spans="1:15" s="210" customFormat="1" x14ac:dyDescent="0.3">
      <c r="A119305" s="12"/>
      <c r="B119305" s="15"/>
      <c r="C119305" s="15"/>
      <c r="D119305" s="12"/>
      <c r="E119305" s="12"/>
      <c r="F119305" s="13"/>
      <c r="G119305" s="12"/>
      <c r="H119305" s="12"/>
      <c r="I119305" s="12"/>
      <c r="J119305" s="12"/>
      <c r="K119305" s="12"/>
      <c r="L119305" s="208"/>
      <c r="M119305" s="209"/>
      <c r="N119305" s="209"/>
      <c r="O119305" s="209"/>
    </row>
    <row r="119306" spans="1:15" s="210" customFormat="1" x14ac:dyDescent="0.3">
      <c r="A119306" s="12"/>
      <c r="B119306" s="15"/>
      <c r="C119306" s="15"/>
      <c r="D119306" s="12"/>
      <c r="E119306" s="12"/>
      <c r="F119306" s="13"/>
      <c r="G119306" s="12"/>
      <c r="H119306" s="12"/>
      <c r="I119306" s="12"/>
      <c r="J119306" s="12"/>
      <c r="K119306" s="12"/>
      <c r="L119306" s="208"/>
      <c r="M119306" s="209"/>
      <c r="N119306" s="209"/>
      <c r="O119306" s="209"/>
    </row>
    <row r="119307" spans="1:15" s="210" customFormat="1" x14ac:dyDescent="0.3">
      <c r="A119307" s="12"/>
      <c r="B119307" s="15"/>
      <c r="C119307" s="15"/>
      <c r="D119307" s="12"/>
      <c r="E119307" s="12"/>
      <c r="F119307" s="13"/>
      <c r="G119307" s="12"/>
      <c r="H119307" s="12"/>
      <c r="I119307" s="12"/>
      <c r="J119307" s="12"/>
      <c r="K119307" s="12"/>
      <c r="L119307" s="208"/>
      <c r="M119307" s="209"/>
      <c r="N119307" s="209"/>
      <c r="O119307" s="209"/>
    </row>
    <row r="119308" spans="1:15" s="210" customFormat="1" x14ac:dyDescent="0.3">
      <c r="A119308" s="12"/>
      <c r="B119308" s="15"/>
      <c r="C119308" s="15"/>
      <c r="D119308" s="12"/>
      <c r="E119308" s="12"/>
      <c r="F119308" s="13"/>
      <c r="G119308" s="12"/>
      <c r="H119308" s="12"/>
      <c r="I119308" s="12"/>
      <c r="J119308" s="12"/>
      <c r="K119308" s="12"/>
      <c r="L119308" s="208"/>
      <c r="M119308" s="209"/>
      <c r="N119308" s="209"/>
      <c r="O119308" s="209"/>
    </row>
    <row r="119309" spans="1:15" s="210" customFormat="1" x14ac:dyDescent="0.3">
      <c r="A119309" s="12"/>
      <c r="B119309" s="15"/>
      <c r="C119309" s="15"/>
      <c r="D119309" s="12"/>
      <c r="E119309" s="12"/>
      <c r="F119309" s="13"/>
      <c r="G119309" s="12"/>
      <c r="H119309" s="12"/>
      <c r="I119309" s="12"/>
      <c r="J119309" s="12"/>
      <c r="K119309" s="12"/>
      <c r="L119309" s="208"/>
      <c r="M119309" s="209"/>
      <c r="N119309" s="209"/>
      <c r="O119309" s="209"/>
    </row>
    <row r="119310" spans="1:15" s="210" customFormat="1" x14ac:dyDescent="0.3">
      <c r="A119310" s="12"/>
      <c r="B119310" s="15"/>
      <c r="C119310" s="15"/>
      <c r="D119310" s="12"/>
      <c r="E119310" s="12"/>
      <c r="F119310" s="13"/>
      <c r="G119310" s="12"/>
      <c r="H119310" s="12"/>
      <c r="I119310" s="12"/>
      <c r="J119310" s="12"/>
      <c r="K119310" s="12"/>
      <c r="L119310" s="208"/>
      <c r="M119310" s="209"/>
      <c r="N119310" s="209"/>
      <c r="O119310" s="209"/>
    </row>
    <row r="119311" spans="1:15" s="210" customFormat="1" x14ac:dyDescent="0.3">
      <c r="A119311" s="12"/>
      <c r="B119311" s="15"/>
      <c r="C119311" s="15"/>
      <c r="D119311" s="12"/>
      <c r="E119311" s="12"/>
      <c r="F119311" s="13"/>
      <c r="G119311" s="12"/>
      <c r="H119311" s="12"/>
      <c r="I119311" s="12"/>
      <c r="J119311" s="12"/>
      <c r="K119311" s="12"/>
      <c r="L119311" s="208"/>
      <c r="M119311" s="209"/>
      <c r="N119311" s="209"/>
      <c r="O119311" s="209"/>
    </row>
    <row r="119312" spans="1:15" s="210" customFormat="1" x14ac:dyDescent="0.3">
      <c r="A119312" s="12"/>
      <c r="B119312" s="15"/>
      <c r="C119312" s="15"/>
      <c r="D119312" s="12"/>
      <c r="E119312" s="12"/>
      <c r="F119312" s="13"/>
      <c r="G119312" s="12"/>
      <c r="H119312" s="12"/>
      <c r="I119312" s="12"/>
      <c r="J119312" s="12"/>
      <c r="K119312" s="12"/>
      <c r="L119312" s="208"/>
      <c r="M119312" s="209"/>
      <c r="N119312" s="209"/>
      <c r="O119312" s="209"/>
    </row>
    <row r="119313" spans="1:15" s="210" customFormat="1" x14ac:dyDescent="0.3">
      <c r="A119313" s="12"/>
      <c r="B119313" s="15"/>
      <c r="C119313" s="15"/>
      <c r="D119313" s="12"/>
      <c r="E119313" s="12"/>
      <c r="F119313" s="13"/>
      <c r="G119313" s="12"/>
      <c r="H119313" s="12"/>
      <c r="I119313" s="12"/>
      <c r="J119313" s="12"/>
      <c r="K119313" s="12"/>
      <c r="L119313" s="208"/>
      <c r="M119313" s="209"/>
      <c r="N119313" s="209"/>
      <c r="O119313" s="209"/>
    </row>
    <row r="119314" spans="1:15" s="210" customFormat="1" x14ac:dyDescent="0.3">
      <c r="A119314" s="12"/>
      <c r="B119314" s="15"/>
      <c r="C119314" s="15"/>
      <c r="D119314" s="12"/>
      <c r="E119314" s="12"/>
      <c r="F119314" s="13"/>
      <c r="G119314" s="12"/>
      <c r="H119314" s="12"/>
      <c r="I119314" s="12"/>
      <c r="J119314" s="12"/>
      <c r="K119314" s="12"/>
      <c r="L119314" s="208"/>
      <c r="M119314" s="209"/>
      <c r="N119314" s="209"/>
      <c r="O119314" s="209"/>
    </row>
    <row r="119315" spans="1:15" s="210" customFormat="1" x14ac:dyDescent="0.3">
      <c r="A119315" s="12"/>
      <c r="B119315" s="15"/>
      <c r="C119315" s="15"/>
      <c r="D119315" s="12"/>
      <c r="E119315" s="12"/>
      <c r="F119315" s="13"/>
      <c r="G119315" s="12"/>
      <c r="H119315" s="12"/>
      <c r="I119315" s="12"/>
      <c r="J119315" s="12"/>
      <c r="K119315" s="12"/>
      <c r="L119315" s="208"/>
      <c r="M119315" s="209"/>
      <c r="N119315" s="209"/>
      <c r="O119315" s="209"/>
    </row>
    <row r="119316" spans="1:15" s="210" customFormat="1" x14ac:dyDescent="0.3">
      <c r="A119316" s="12"/>
      <c r="B119316" s="15"/>
      <c r="C119316" s="15"/>
      <c r="D119316" s="12"/>
      <c r="E119316" s="12"/>
      <c r="F119316" s="13"/>
      <c r="G119316" s="12"/>
      <c r="H119316" s="12"/>
      <c r="I119316" s="12"/>
      <c r="J119316" s="12"/>
      <c r="K119316" s="12"/>
      <c r="L119316" s="208"/>
      <c r="M119316" s="209"/>
      <c r="N119316" s="209"/>
      <c r="O119316" s="209"/>
    </row>
    <row r="119317" spans="1:15" s="210" customFormat="1" x14ac:dyDescent="0.3">
      <c r="A119317" s="12"/>
      <c r="B119317" s="15"/>
      <c r="C119317" s="15"/>
      <c r="D119317" s="12"/>
      <c r="E119317" s="12"/>
      <c r="F119317" s="13"/>
      <c r="G119317" s="12"/>
      <c r="H119317" s="12"/>
      <c r="I119317" s="12"/>
      <c r="J119317" s="12"/>
      <c r="K119317" s="12"/>
      <c r="L119317" s="208"/>
      <c r="M119317" s="209"/>
      <c r="N119317" s="209"/>
      <c r="O119317" s="209"/>
    </row>
    <row r="119318" spans="1:15" s="210" customFormat="1" x14ac:dyDescent="0.3">
      <c r="A119318" s="12"/>
      <c r="B119318" s="15"/>
      <c r="C119318" s="15"/>
      <c r="D119318" s="12"/>
      <c r="E119318" s="12"/>
      <c r="F119318" s="13"/>
      <c r="G119318" s="12"/>
      <c r="H119318" s="12"/>
      <c r="I119318" s="12"/>
      <c r="J119318" s="12"/>
      <c r="K119318" s="12"/>
      <c r="L119318" s="208"/>
      <c r="M119318" s="209"/>
      <c r="N119318" s="209"/>
      <c r="O119318" s="209"/>
    </row>
    <row r="119319" spans="1:15" s="210" customFormat="1" x14ac:dyDescent="0.3">
      <c r="A119319" s="12"/>
      <c r="B119319" s="15"/>
      <c r="C119319" s="15"/>
      <c r="D119319" s="12"/>
      <c r="E119319" s="12"/>
      <c r="F119319" s="13"/>
      <c r="G119319" s="12"/>
      <c r="H119319" s="12"/>
      <c r="I119319" s="12"/>
      <c r="J119319" s="12"/>
      <c r="K119319" s="12"/>
      <c r="L119319" s="208"/>
      <c r="M119319" s="209"/>
      <c r="N119319" s="209"/>
      <c r="O119319" s="209"/>
    </row>
    <row r="119320" spans="1:15" s="210" customFormat="1" x14ac:dyDescent="0.3">
      <c r="A119320" s="12"/>
      <c r="B119320" s="15"/>
      <c r="C119320" s="15"/>
      <c r="D119320" s="12"/>
      <c r="E119320" s="12"/>
      <c r="F119320" s="13"/>
      <c r="G119320" s="12"/>
      <c r="H119320" s="12"/>
      <c r="I119320" s="12"/>
      <c r="J119320" s="12"/>
      <c r="K119320" s="12"/>
      <c r="L119320" s="208"/>
      <c r="M119320" s="209"/>
      <c r="N119320" s="209"/>
      <c r="O119320" s="209"/>
    </row>
    <row r="119321" spans="1:15" s="210" customFormat="1" x14ac:dyDescent="0.3">
      <c r="A119321" s="12"/>
      <c r="B119321" s="15"/>
      <c r="C119321" s="15"/>
      <c r="D119321" s="12"/>
      <c r="E119321" s="12"/>
      <c r="F119321" s="13"/>
      <c r="G119321" s="12"/>
      <c r="H119321" s="12"/>
      <c r="I119321" s="12"/>
      <c r="J119321" s="12"/>
      <c r="K119321" s="12"/>
      <c r="L119321" s="208"/>
      <c r="M119321" s="209"/>
      <c r="N119321" s="209"/>
      <c r="O119321" s="209"/>
    </row>
    <row r="119322" spans="1:15" s="210" customFormat="1" x14ac:dyDescent="0.3">
      <c r="A119322" s="12"/>
      <c r="B119322" s="15"/>
      <c r="C119322" s="15"/>
      <c r="D119322" s="12"/>
      <c r="E119322" s="12"/>
      <c r="F119322" s="13"/>
      <c r="G119322" s="12"/>
      <c r="H119322" s="12"/>
      <c r="I119322" s="12"/>
      <c r="J119322" s="12"/>
      <c r="K119322" s="12"/>
      <c r="L119322" s="208"/>
      <c r="M119322" s="209"/>
      <c r="N119322" s="209"/>
      <c r="O119322" s="209"/>
    </row>
    <row r="119323" spans="1:15" s="210" customFormat="1" x14ac:dyDescent="0.3">
      <c r="A119323" s="12"/>
      <c r="B119323" s="15"/>
      <c r="C119323" s="15"/>
      <c r="D119323" s="12"/>
      <c r="E119323" s="12"/>
      <c r="F119323" s="13"/>
      <c r="G119323" s="12"/>
      <c r="H119323" s="12"/>
      <c r="I119323" s="12"/>
      <c r="J119323" s="12"/>
      <c r="K119323" s="12"/>
      <c r="L119323" s="208"/>
      <c r="M119323" s="209"/>
      <c r="N119323" s="209"/>
      <c r="O119323" s="209"/>
    </row>
    <row r="119324" spans="1:15" s="210" customFormat="1" x14ac:dyDescent="0.3">
      <c r="A119324" s="12"/>
      <c r="B119324" s="15"/>
      <c r="C119324" s="15"/>
      <c r="D119324" s="12"/>
      <c r="E119324" s="12"/>
      <c r="F119324" s="13"/>
      <c r="G119324" s="12"/>
      <c r="H119324" s="12"/>
      <c r="I119324" s="12"/>
      <c r="J119324" s="12"/>
      <c r="K119324" s="12"/>
      <c r="L119324" s="208"/>
      <c r="M119324" s="209"/>
      <c r="N119324" s="209"/>
      <c r="O119324" s="209"/>
    </row>
    <row r="119325" spans="1:15" s="210" customFormat="1" x14ac:dyDescent="0.3">
      <c r="A119325" s="12"/>
      <c r="B119325" s="15"/>
      <c r="C119325" s="15"/>
      <c r="D119325" s="12"/>
      <c r="E119325" s="12"/>
      <c r="F119325" s="13"/>
      <c r="G119325" s="12"/>
      <c r="H119325" s="12"/>
      <c r="I119325" s="12"/>
      <c r="J119325" s="12"/>
      <c r="K119325" s="12"/>
      <c r="L119325" s="208"/>
      <c r="M119325" s="209"/>
      <c r="N119325" s="209"/>
      <c r="O119325" s="209"/>
    </row>
    <row r="119326" spans="1:15" s="210" customFormat="1" x14ac:dyDescent="0.3">
      <c r="A119326" s="12"/>
      <c r="B119326" s="15"/>
      <c r="C119326" s="15"/>
      <c r="D119326" s="12"/>
      <c r="E119326" s="12"/>
      <c r="F119326" s="13"/>
      <c r="G119326" s="12"/>
      <c r="H119326" s="12"/>
      <c r="I119326" s="12"/>
      <c r="J119326" s="12"/>
      <c r="K119326" s="12"/>
      <c r="L119326" s="208"/>
      <c r="M119326" s="209"/>
      <c r="N119326" s="209"/>
      <c r="O119326" s="209"/>
    </row>
    <row r="119327" spans="1:15" s="210" customFormat="1" x14ac:dyDescent="0.3">
      <c r="A119327" s="12"/>
      <c r="B119327" s="15"/>
      <c r="C119327" s="15"/>
      <c r="D119327" s="12"/>
      <c r="E119327" s="12"/>
      <c r="F119327" s="13"/>
      <c r="G119327" s="12"/>
      <c r="H119327" s="12"/>
      <c r="I119327" s="12"/>
      <c r="J119327" s="12"/>
      <c r="K119327" s="12"/>
      <c r="L119327" s="208"/>
      <c r="M119327" s="209"/>
      <c r="N119327" s="209"/>
      <c r="O119327" s="209"/>
    </row>
    <row r="119328" spans="1:15" s="210" customFormat="1" x14ac:dyDescent="0.3">
      <c r="A119328" s="12"/>
      <c r="B119328" s="15"/>
      <c r="C119328" s="15"/>
      <c r="D119328" s="12"/>
      <c r="E119328" s="12"/>
      <c r="F119328" s="13"/>
      <c r="G119328" s="12"/>
      <c r="H119328" s="12"/>
      <c r="I119328" s="12"/>
      <c r="J119328" s="12"/>
      <c r="K119328" s="12"/>
      <c r="L119328" s="208"/>
      <c r="M119328" s="209"/>
      <c r="N119328" s="209"/>
      <c r="O119328" s="209"/>
    </row>
    <row r="119329" spans="1:15" s="210" customFormat="1" x14ac:dyDescent="0.3">
      <c r="A119329" s="12"/>
      <c r="B119329" s="15"/>
      <c r="C119329" s="15"/>
      <c r="D119329" s="12"/>
      <c r="E119329" s="12"/>
      <c r="F119329" s="13"/>
      <c r="G119329" s="12"/>
      <c r="H119329" s="12"/>
      <c r="I119329" s="12"/>
      <c r="J119329" s="12"/>
      <c r="K119329" s="12"/>
      <c r="L119329" s="208"/>
      <c r="M119329" s="209"/>
      <c r="N119329" s="209"/>
      <c r="O119329" s="209"/>
    </row>
    <row r="119330" spans="1:15" s="210" customFormat="1" x14ac:dyDescent="0.3">
      <c r="A119330" s="12"/>
      <c r="B119330" s="15"/>
      <c r="C119330" s="15"/>
      <c r="D119330" s="12"/>
      <c r="E119330" s="12"/>
      <c r="F119330" s="13"/>
      <c r="G119330" s="12"/>
      <c r="H119330" s="12"/>
      <c r="I119330" s="12"/>
      <c r="J119330" s="12"/>
      <c r="K119330" s="12"/>
      <c r="L119330" s="208"/>
      <c r="M119330" s="209"/>
      <c r="N119330" s="209"/>
      <c r="O119330" s="209"/>
    </row>
    <row r="119331" spans="1:15" s="210" customFormat="1" x14ac:dyDescent="0.3">
      <c r="A119331" s="12"/>
      <c r="B119331" s="15"/>
      <c r="C119331" s="15"/>
      <c r="D119331" s="12"/>
      <c r="E119331" s="12"/>
      <c r="F119331" s="13"/>
      <c r="G119331" s="12"/>
      <c r="H119331" s="12"/>
      <c r="I119331" s="12"/>
      <c r="J119331" s="12"/>
      <c r="K119331" s="12"/>
      <c r="L119331" s="208"/>
      <c r="M119331" s="209"/>
      <c r="N119331" s="209"/>
      <c r="O119331" s="209"/>
    </row>
    <row r="119332" spans="1:15" s="210" customFormat="1" x14ac:dyDescent="0.3">
      <c r="A119332" s="12"/>
      <c r="B119332" s="15"/>
      <c r="C119332" s="15"/>
      <c r="D119332" s="12"/>
      <c r="E119332" s="12"/>
      <c r="F119332" s="13"/>
      <c r="G119332" s="12"/>
      <c r="H119332" s="12"/>
      <c r="I119332" s="12"/>
      <c r="J119332" s="12"/>
      <c r="K119332" s="12"/>
      <c r="L119332" s="208"/>
      <c r="M119332" s="209"/>
      <c r="N119332" s="209"/>
      <c r="O119332" s="209"/>
    </row>
    <row r="119333" spans="1:15" s="210" customFormat="1" x14ac:dyDescent="0.3">
      <c r="A119333" s="12"/>
      <c r="B119333" s="15"/>
      <c r="C119333" s="15"/>
      <c r="D119333" s="12"/>
      <c r="E119333" s="12"/>
      <c r="F119333" s="13"/>
      <c r="G119333" s="12"/>
      <c r="H119333" s="12"/>
      <c r="I119333" s="12"/>
      <c r="J119333" s="12"/>
      <c r="K119333" s="12"/>
      <c r="L119333" s="208"/>
      <c r="M119333" s="209"/>
      <c r="N119333" s="209"/>
      <c r="O119333" s="209"/>
    </row>
    <row r="119334" spans="1:15" s="210" customFormat="1" x14ac:dyDescent="0.3">
      <c r="A119334" s="12"/>
      <c r="B119334" s="15"/>
      <c r="C119334" s="15"/>
      <c r="D119334" s="12"/>
      <c r="E119334" s="12"/>
      <c r="F119334" s="13"/>
      <c r="G119334" s="12"/>
      <c r="H119334" s="12"/>
      <c r="I119334" s="12"/>
      <c r="J119334" s="12"/>
      <c r="K119334" s="12"/>
      <c r="L119334" s="208"/>
      <c r="M119334" s="209"/>
      <c r="N119334" s="209"/>
      <c r="O119334" s="209"/>
    </row>
    <row r="119335" spans="1:15" s="210" customFormat="1" x14ac:dyDescent="0.3">
      <c r="A119335" s="12"/>
      <c r="B119335" s="15"/>
      <c r="C119335" s="15"/>
      <c r="D119335" s="12"/>
      <c r="E119335" s="12"/>
      <c r="F119335" s="13"/>
      <c r="G119335" s="12"/>
      <c r="H119335" s="12"/>
      <c r="I119335" s="12"/>
      <c r="J119335" s="12"/>
      <c r="K119335" s="12"/>
      <c r="L119335" s="208"/>
      <c r="M119335" s="209"/>
      <c r="N119335" s="209"/>
      <c r="O119335" s="209"/>
    </row>
    <row r="119336" spans="1:15" s="210" customFormat="1" x14ac:dyDescent="0.3">
      <c r="A119336" s="12"/>
      <c r="B119336" s="15"/>
      <c r="C119336" s="15"/>
      <c r="D119336" s="12"/>
      <c r="E119336" s="12"/>
      <c r="F119336" s="13"/>
      <c r="G119336" s="12"/>
      <c r="H119336" s="12"/>
      <c r="I119336" s="12"/>
      <c r="J119336" s="12"/>
      <c r="K119336" s="12"/>
      <c r="L119336" s="208"/>
      <c r="M119336" s="209"/>
      <c r="N119336" s="209"/>
      <c r="O119336" s="209"/>
    </row>
    <row r="119337" spans="1:15" s="210" customFormat="1" x14ac:dyDescent="0.3">
      <c r="A119337" s="12"/>
      <c r="B119337" s="15"/>
      <c r="C119337" s="15"/>
      <c r="D119337" s="12"/>
      <c r="E119337" s="12"/>
      <c r="F119337" s="13"/>
      <c r="G119337" s="12"/>
      <c r="H119337" s="12"/>
      <c r="I119337" s="12"/>
      <c r="J119337" s="12"/>
      <c r="K119337" s="12"/>
      <c r="L119337" s="208"/>
      <c r="M119337" s="209"/>
      <c r="N119337" s="209"/>
      <c r="O119337" s="209"/>
    </row>
    <row r="119338" spans="1:15" s="210" customFormat="1" x14ac:dyDescent="0.3">
      <c r="A119338" s="12"/>
      <c r="B119338" s="15"/>
      <c r="C119338" s="15"/>
      <c r="D119338" s="12"/>
      <c r="E119338" s="12"/>
      <c r="F119338" s="13"/>
      <c r="G119338" s="12"/>
      <c r="H119338" s="12"/>
      <c r="I119338" s="12"/>
      <c r="J119338" s="12"/>
      <c r="K119338" s="12"/>
      <c r="L119338" s="208"/>
      <c r="M119338" s="209"/>
      <c r="N119338" s="209"/>
      <c r="O119338" s="209"/>
    </row>
    <row r="119339" spans="1:15" s="210" customFormat="1" x14ac:dyDescent="0.3">
      <c r="A119339" s="12"/>
      <c r="B119339" s="15"/>
      <c r="C119339" s="15"/>
      <c r="D119339" s="12"/>
      <c r="E119339" s="12"/>
      <c r="F119339" s="13"/>
      <c r="G119339" s="12"/>
      <c r="H119339" s="12"/>
      <c r="I119339" s="12"/>
      <c r="J119339" s="12"/>
      <c r="K119339" s="12"/>
      <c r="L119339" s="208"/>
      <c r="M119339" s="209"/>
      <c r="N119339" s="209"/>
      <c r="O119339" s="209"/>
    </row>
    <row r="119340" spans="1:15" s="210" customFormat="1" x14ac:dyDescent="0.3">
      <c r="A119340" s="12"/>
      <c r="B119340" s="15"/>
      <c r="C119340" s="15"/>
      <c r="D119340" s="12"/>
      <c r="E119340" s="12"/>
      <c r="F119340" s="13"/>
      <c r="G119340" s="12"/>
      <c r="H119340" s="12"/>
      <c r="I119340" s="12"/>
      <c r="J119340" s="12"/>
      <c r="K119340" s="12"/>
      <c r="L119340" s="208"/>
      <c r="M119340" s="209"/>
      <c r="N119340" s="209"/>
      <c r="O119340" s="209"/>
    </row>
    <row r="119341" spans="1:15" s="210" customFormat="1" x14ac:dyDescent="0.3">
      <c r="A119341" s="12"/>
      <c r="B119341" s="15"/>
      <c r="C119341" s="15"/>
      <c r="D119341" s="12"/>
      <c r="E119341" s="12"/>
      <c r="F119341" s="13"/>
      <c r="G119341" s="12"/>
      <c r="H119341" s="12"/>
      <c r="I119341" s="12"/>
      <c r="J119341" s="12"/>
      <c r="K119341" s="12"/>
      <c r="L119341" s="208"/>
      <c r="M119341" s="209"/>
      <c r="N119341" s="209"/>
      <c r="O119341" s="209"/>
    </row>
    <row r="119342" spans="1:15" s="210" customFormat="1" x14ac:dyDescent="0.3">
      <c r="A119342" s="12"/>
      <c r="B119342" s="15"/>
      <c r="C119342" s="15"/>
      <c r="D119342" s="12"/>
      <c r="E119342" s="12"/>
      <c r="F119342" s="13"/>
      <c r="G119342" s="12"/>
      <c r="H119342" s="12"/>
      <c r="I119342" s="12"/>
      <c r="J119342" s="12"/>
      <c r="K119342" s="12"/>
      <c r="L119342" s="208"/>
      <c r="M119342" s="209"/>
      <c r="N119342" s="209"/>
      <c r="O119342" s="209"/>
    </row>
    <row r="119343" spans="1:15" s="210" customFormat="1" x14ac:dyDescent="0.3">
      <c r="A119343" s="12"/>
      <c r="B119343" s="15"/>
      <c r="C119343" s="15"/>
      <c r="D119343" s="12"/>
      <c r="E119343" s="12"/>
      <c r="F119343" s="13"/>
      <c r="G119343" s="12"/>
      <c r="H119343" s="12"/>
      <c r="I119343" s="12"/>
      <c r="J119343" s="12"/>
      <c r="K119343" s="12"/>
      <c r="L119343" s="208"/>
      <c r="M119343" s="209"/>
      <c r="N119343" s="209"/>
      <c r="O119343" s="209"/>
    </row>
    <row r="119344" spans="1:15" s="210" customFormat="1" x14ac:dyDescent="0.3">
      <c r="A119344" s="12"/>
      <c r="B119344" s="15"/>
      <c r="C119344" s="15"/>
      <c r="D119344" s="12"/>
      <c r="E119344" s="12"/>
      <c r="F119344" s="13"/>
      <c r="G119344" s="12"/>
      <c r="H119344" s="12"/>
      <c r="I119344" s="12"/>
      <c r="J119344" s="12"/>
      <c r="K119344" s="12"/>
      <c r="L119344" s="208"/>
      <c r="M119344" s="209"/>
      <c r="N119344" s="209"/>
      <c r="O119344" s="209"/>
    </row>
    <row r="119345" spans="1:15" s="210" customFormat="1" x14ac:dyDescent="0.3">
      <c r="A119345" s="12"/>
      <c r="B119345" s="15"/>
      <c r="C119345" s="15"/>
      <c r="D119345" s="12"/>
      <c r="E119345" s="12"/>
      <c r="F119345" s="13"/>
      <c r="G119345" s="12"/>
      <c r="H119345" s="12"/>
      <c r="I119345" s="12"/>
      <c r="J119345" s="12"/>
      <c r="K119345" s="12"/>
      <c r="L119345" s="208"/>
      <c r="M119345" s="209"/>
      <c r="N119345" s="209"/>
      <c r="O119345" s="209"/>
    </row>
    <row r="119346" spans="1:15" s="210" customFormat="1" x14ac:dyDescent="0.3">
      <c r="A119346" s="12"/>
      <c r="B119346" s="15"/>
      <c r="C119346" s="15"/>
      <c r="D119346" s="12"/>
      <c r="E119346" s="12"/>
      <c r="F119346" s="13"/>
      <c r="G119346" s="12"/>
      <c r="H119346" s="12"/>
      <c r="I119346" s="12"/>
      <c r="J119346" s="12"/>
      <c r="K119346" s="12"/>
      <c r="L119346" s="208"/>
      <c r="M119346" s="209"/>
      <c r="N119346" s="209"/>
      <c r="O119346" s="209"/>
    </row>
    <row r="119347" spans="1:15" s="210" customFormat="1" x14ac:dyDescent="0.3">
      <c r="A119347" s="12"/>
      <c r="B119347" s="15"/>
      <c r="C119347" s="15"/>
      <c r="D119347" s="12"/>
      <c r="E119347" s="12"/>
      <c r="F119347" s="13"/>
      <c r="G119347" s="12"/>
      <c r="H119347" s="12"/>
      <c r="I119347" s="12"/>
      <c r="J119347" s="12"/>
      <c r="K119347" s="12"/>
      <c r="L119347" s="208"/>
      <c r="M119347" s="209"/>
      <c r="N119347" s="209"/>
      <c r="O119347" s="209"/>
    </row>
    <row r="119348" spans="1:15" s="210" customFormat="1" x14ac:dyDescent="0.3">
      <c r="A119348" s="12"/>
      <c r="B119348" s="15"/>
      <c r="C119348" s="15"/>
      <c r="D119348" s="12"/>
      <c r="E119348" s="12"/>
      <c r="F119348" s="13"/>
      <c r="G119348" s="12"/>
      <c r="H119348" s="12"/>
      <c r="I119348" s="12"/>
      <c r="J119348" s="12"/>
      <c r="K119348" s="12"/>
      <c r="L119348" s="208"/>
      <c r="M119348" s="209"/>
      <c r="N119348" s="209"/>
      <c r="O119348" s="209"/>
    </row>
    <row r="119349" spans="1:15" s="210" customFormat="1" x14ac:dyDescent="0.3">
      <c r="A119349" s="12"/>
      <c r="B119349" s="15"/>
      <c r="C119349" s="15"/>
      <c r="D119349" s="12"/>
      <c r="E119349" s="12"/>
      <c r="F119349" s="13"/>
      <c r="G119349" s="12"/>
      <c r="H119349" s="12"/>
      <c r="I119349" s="12"/>
      <c r="J119349" s="12"/>
      <c r="K119349" s="12"/>
      <c r="L119349" s="208"/>
      <c r="M119349" s="209"/>
      <c r="N119349" s="209"/>
      <c r="O119349" s="209"/>
    </row>
    <row r="119350" spans="1:15" s="210" customFormat="1" x14ac:dyDescent="0.3">
      <c r="A119350" s="12"/>
      <c r="B119350" s="15"/>
      <c r="C119350" s="15"/>
      <c r="D119350" s="12"/>
      <c r="E119350" s="12"/>
      <c r="F119350" s="13"/>
      <c r="G119350" s="12"/>
      <c r="H119350" s="12"/>
      <c r="I119350" s="12"/>
      <c r="J119350" s="12"/>
      <c r="K119350" s="12"/>
      <c r="L119350" s="208"/>
      <c r="M119350" s="209"/>
      <c r="N119350" s="209"/>
      <c r="O119350" s="209"/>
    </row>
    <row r="119351" spans="1:15" s="210" customFormat="1" x14ac:dyDescent="0.3">
      <c r="A119351" s="12"/>
      <c r="B119351" s="15"/>
      <c r="C119351" s="15"/>
      <c r="D119351" s="12"/>
      <c r="E119351" s="12"/>
      <c r="F119351" s="13"/>
      <c r="G119351" s="12"/>
      <c r="H119351" s="12"/>
      <c r="I119351" s="12"/>
      <c r="J119351" s="12"/>
      <c r="K119351" s="12"/>
      <c r="L119351" s="208"/>
      <c r="M119351" s="209"/>
      <c r="N119351" s="209"/>
      <c r="O119351" s="209"/>
    </row>
    <row r="119352" spans="1:15" s="210" customFormat="1" x14ac:dyDescent="0.3">
      <c r="A119352" s="12"/>
      <c r="B119352" s="15"/>
      <c r="C119352" s="15"/>
      <c r="D119352" s="12"/>
      <c r="E119352" s="12"/>
      <c r="F119352" s="13"/>
      <c r="G119352" s="12"/>
      <c r="H119352" s="12"/>
      <c r="I119352" s="12"/>
      <c r="J119352" s="12"/>
      <c r="K119352" s="12"/>
      <c r="L119352" s="208"/>
      <c r="M119352" s="209"/>
      <c r="N119352" s="209"/>
      <c r="O119352" s="209"/>
    </row>
    <row r="119353" spans="1:15" s="210" customFormat="1" x14ac:dyDescent="0.3">
      <c r="A119353" s="12"/>
      <c r="B119353" s="15"/>
      <c r="C119353" s="15"/>
      <c r="D119353" s="12"/>
      <c r="E119353" s="12"/>
      <c r="F119353" s="13"/>
      <c r="G119353" s="12"/>
      <c r="H119353" s="12"/>
      <c r="I119353" s="12"/>
      <c r="J119353" s="12"/>
      <c r="K119353" s="12"/>
      <c r="L119353" s="208"/>
      <c r="M119353" s="209"/>
      <c r="N119353" s="209"/>
      <c r="O119353" s="209"/>
    </row>
    <row r="119354" spans="1:15" s="210" customFormat="1" x14ac:dyDescent="0.3">
      <c r="A119354" s="12"/>
      <c r="B119354" s="15"/>
      <c r="C119354" s="15"/>
      <c r="D119354" s="12"/>
      <c r="E119354" s="12"/>
      <c r="F119354" s="13"/>
      <c r="G119354" s="12"/>
      <c r="H119354" s="12"/>
      <c r="I119354" s="12"/>
      <c r="J119354" s="12"/>
      <c r="K119354" s="12"/>
      <c r="L119354" s="208"/>
      <c r="M119354" s="209"/>
      <c r="N119354" s="209"/>
      <c r="O119354" s="209"/>
    </row>
    <row r="119355" spans="1:15" s="210" customFormat="1" x14ac:dyDescent="0.3">
      <c r="A119355" s="12"/>
      <c r="B119355" s="15"/>
      <c r="C119355" s="15"/>
      <c r="D119355" s="12"/>
      <c r="E119355" s="12"/>
      <c r="F119355" s="13"/>
      <c r="G119355" s="12"/>
      <c r="H119355" s="12"/>
      <c r="I119355" s="12"/>
      <c r="J119355" s="12"/>
      <c r="K119355" s="12"/>
      <c r="L119355" s="208"/>
      <c r="M119355" s="209"/>
      <c r="N119355" s="209"/>
      <c r="O119355" s="209"/>
    </row>
    <row r="119356" spans="1:15" s="210" customFormat="1" x14ac:dyDescent="0.3">
      <c r="A119356" s="12"/>
      <c r="B119356" s="15"/>
      <c r="C119356" s="15"/>
      <c r="D119356" s="12"/>
      <c r="E119356" s="12"/>
      <c r="F119356" s="13"/>
      <c r="G119356" s="12"/>
      <c r="H119356" s="12"/>
      <c r="I119356" s="12"/>
      <c r="J119356" s="12"/>
      <c r="K119356" s="12"/>
      <c r="L119356" s="208"/>
      <c r="M119356" s="209"/>
      <c r="N119356" s="209"/>
      <c r="O119356" s="209"/>
    </row>
    <row r="119357" spans="1:15" s="210" customFormat="1" x14ac:dyDescent="0.3">
      <c r="A119357" s="12"/>
      <c r="B119357" s="15"/>
      <c r="C119357" s="15"/>
      <c r="D119357" s="12"/>
      <c r="E119357" s="12"/>
      <c r="F119357" s="13"/>
      <c r="G119357" s="12"/>
      <c r="H119357" s="12"/>
      <c r="I119357" s="12"/>
      <c r="J119357" s="12"/>
      <c r="K119357" s="12"/>
      <c r="L119357" s="208"/>
      <c r="M119357" s="209"/>
      <c r="N119357" s="209"/>
      <c r="O119357" s="209"/>
    </row>
    <row r="119358" spans="1:15" s="210" customFormat="1" x14ac:dyDescent="0.3">
      <c r="A119358" s="12"/>
      <c r="B119358" s="15"/>
      <c r="C119358" s="15"/>
      <c r="D119358" s="12"/>
      <c r="E119358" s="12"/>
      <c r="F119358" s="13"/>
      <c r="G119358" s="12"/>
      <c r="H119358" s="12"/>
      <c r="I119358" s="12"/>
      <c r="J119358" s="12"/>
      <c r="K119358" s="12"/>
      <c r="L119358" s="208"/>
      <c r="M119358" s="209"/>
      <c r="N119358" s="209"/>
      <c r="O119358" s="209"/>
    </row>
    <row r="119359" spans="1:15" s="210" customFormat="1" x14ac:dyDescent="0.3">
      <c r="A119359" s="12"/>
      <c r="B119359" s="15"/>
      <c r="C119359" s="15"/>
      <c r="D119359" s="12"/>
      <c r="E119359" s="12"/>
      <c r="F119359" s="13"/>
      <c r="G119359" s="12"/>
      <c r="H119359" s="12"/>
      <c r="I119359" s="12"/>
      <c r="J119359" s="12"/>
      <c r="K119359" s="12"/>
      <c r="L119359" s="208"/>
      <c r="M119359" s="209"/>
      <c r="N119359" s="209"/>
      <c r="O119359" s="209"/>
    </row>
    <row r="119360" spans="1:15" s="210" customFormat="1" x14ac:dyDescent="0.3">
      <c r="A119360" s="12"/>
      <c r="B119360" s="15"/>
      <c r="C119360" s="15"/>
      <c r="D119360" s="12"/>
      <c r="E119360" s="12"/>
      <c r="F119360" s="13"/>
      <c r="G119360" s="12"/>
      <c r="H119360" s="12"/>
      <c r="I119360" s="12"/>
      <c r="J119360" s="12"/>
      <c r="K119360" s="12"/>
      <c r="L119360" s="208"/>
      <c r="M119360" s="209"/>
      <c r="N119360" s="209"/>
      <c r="O119360" s="209"/>
    </row>
    <row r="119361" spans="1:15" s="210" customFormat="1" x14ac:dyDescent="0.3">
      <c r="A119361" s="12"/>
      <c r="B119361" s="15"/>
      <c r="C119361" s="15"/>
      <c r="D119361" s="12"/>
      <c r="E119361" s="12"/>
      <c r="F119361" s="13"/>
      <c r="G119361" s="12"/>
      <c r="H119361" s="12"/>
      <c r="I119361" s="12"/>
      <c r="J119361" s="12"/>
      <c r="K119361" s="12"/>
      <c r="L119361" s="208"/>
      <c r="M119361" s="209"/>
      <c r="N119361" s="209"/>
      <c r="O119361" s="209"/>
    </row>
    <row r="119362" spans="1:15" s="210" customFormat="1" x14ac:dyDescent="0.3">
      <c r="A119362" s="12"/>
      <c r="B119362" s="15"/>
      <c r="C119362" s="15"/>
      <c r="D119362" s="12"/>
      <c r="E119362" s="12"/>
      <c r="F119362" s="13"/>
      <c r="G119362" s="12"/>
      <c r="H119362" s="12"/>
      <c r="I119362" s="12"/>
      <c r="J119362" s="12"/>
      <c r="K119362" s="12"/>
      <c r="L119362" s="208"/>
      <c r="M119362" s="209"/>
      <c r="N119362" s="209"/>
      <c r="O119362" s="209"/>
    </row>
    <row r="119363" spans="1:15" s="210" customFormat="1" x14ac:dyDescent="0.3">
      <c r="A119363" s="12"/>
      <c r="B119363" s="15"/>
      <c r="C119363" s="15"/>
      <c r="D119363" s="12"/>
      <c r="E119363" s="12"/>
      <c r="F119363" s="13"/>
      <c r="G119363" s="12"/>
      <c r="H119363" s="12"/>
      <c r="I119363" s="12"/>
      <c r="J119363" s="12"/>
      <c r="K119363" s="12"/>
      <c r="L119363" s="208"/>
      <c r="M119363" s="209"/>
      <c r="N119363" s="209"/>
      <c r="O119363" s="209"/>
    </row>
    <row r="119364" spans="1:15" s="210" customFormat="1" x14ac:dyDescent="0.3">
      <c r="A119364" s="12"/>
      <c r="B119364" s="15"/>
      <c r="C119364" s="15"/>
      <c r="D119364" s="12"/>
      <c r="E119364" s="12"/>
      <c r="F119364" s="13"/>
      <c r="G119364" s="12"/>
      <c r="H119364" s="12"/>
      <c r="I119364" s="12"/>
      <c r="J119364" s="12"/>
      <c r="K119364" s="12"/>
      <c r="L119364" s="208"/>
      <c r="M119364" s="209"/>
      <c r="N119364" s="209"/>
      <c r="O119364" s="209"/>
    </row>
    <row r="119365" spans="1:15" s="210" customFormat="1" x14ac:dyDescent="0.3">
      <c r="A119365" s="12"/>
      <c r="B119365" s="15"/>
      <c r="C119365" s="15"/>
      <c r="D119365" s="12"/>
      <c r="E119365" s="12"/>
      <c r="F119365" s="13"/>
      <c r="G119365" s="12"/>
      <c r="H119365" s="12"/>
      <c r="I119365" s="12"/>
      <c r="J119365" s="12"/>
      <c r="K119365" s="12"/>
      <c r="L119365" s="208"/>
      <c r="M119365" s="209"/>
      <c r="N119365" s="209"/>
      <c r="O119365" s="209"/>
    </row>
    <row r="119366" spans="1:15" s="210" customFormat="1" x14ac:dyDescent="0.3">
      <c r="A119366" s="12"/>
      <c r="B119366" s="15"/>
      <c r="C119366" s="15"/>
      <c r="D119366" s="12"/>
      <c r="E119366" s="12"/>
      <c r="F119366" s="13"/>
      <c r="G119366" s="12"/>
      <c r="H119366" s="12"/>
      <c r="I119366" s="12"/>
      <c r="J119366" s="12"/>
      <c r="K119366" s="12"/>
      <c r="L119366" s="208"/>
      <c r="M119366" s="209"/>
      <c r="N119366" s="209"/>
      <c r="O119366" s="209"/>
    </row>
    <row r="119367" spans="1:15" s="210" customFormat="1" x14ac:dyDescent="0.3">
      <c r="A119367" s="12"/>
      <c r="B119367" s="15"/>
      <c r="C119367" s="15"/>
      <c r="D119367" s="12"/>
      <c r="E119367" s="12"/>
      <c r="F119367" s="13"/>
      <c r="G119367" s="12"/>
      <c r="H119367" s="12"/>
      <c r="I119367" s="12"/>
      <c r="J119367" s="12"/>
      <c r="K119367" s="12"/>
      <c r="L119367" s="208"/>
      <c r="M119367" s="209"/>
      <c r="N119367" s="209"/>
      <c r="O119367" s="209"/>
    </row>
    <row r="119368" spans="1:15" s="210" customFormat="1" x14ac:dyDescent="0.3">
      <c r="A119368" s="12"/>
      <c r="B119368" s="15"/>
      <c r="C119368" s="15"/>
      <c r="D119368" s="12"/>
      <c r="E119368" s="12"/>
      <c r="F119368" s="13"/>
      <c r="G119368" s="12"/>
      <c r="H119368" s="12"/>
      <c r="I119368" s="12"/>
      <c r="J119368" s="12"/>
      <c r="K119368" s="12"/>
      <c r="L119368" s="208"/>
      <c r="M119368" s="209"/>
      <c r="N119368" s="209"/>
      <c r="O119368" s="209"/>
    </row>
    <row r="119369" spans="1:15" s="210" customFormat="1" x14ac:dyDescent="0.3">
      <c r="A119369" s="12"/>
      <c r="B119369" s="15"/>
      <c r="C119369" s="15"/>
      <c r="D119369" s="12"/>
      <c r="E119369" s="12"/>
      <c r="F119369" s="13"/>
      <c r="G119369" s="12"/>
      <c r="H119369" s="12"/>
      <c r="I119369" s="12"/>
      <c r="J119369" s="12"/>
      <c r="K119369" s="12"/>
      <c r="L119369" s="208"/>
      <c r="M119369" s="209"/>
      <c r="N119369" s="209"/>
      <c r="O119369" s="209"/>
    </row>
    <row r="119370" spans="1:15" s="210" customFormat="1" x14ac:dyDescent="0.3">
      <c r="A119370" s="12"/>
      <c r="B119370" s="15"/>
      <c r="C119370" s="15"/>
      <c r="D119370" s="12"/>
      <c r="E119370" s="12"/>
      <c r="F119370" s="13"/>
      <c r="G119370" s="12"/>
      <c r="H119370" s="12"/>
      <c r="I119370" s="12"/>
      <c r="J119370" s="12"/>
      <c r="K119370" s="12"/>
      <c r="L119370" s="208"/>
      <c r="M119370" s="209"/>
      <c r="N119370" s="209"/>
      <c r="O119370" s="209"/>
    </row>
    <row r="119371" spans="1:15" s="210" customFormat="1" x14ac:dyDescent="0.3">
      <c r="A119371" s="12"/>
      <c r="B119371" s="15"/>
      <c r="C119371" s="15"/>
      <c r="D119371" s="12"/>
      <c r="E119371" s="12"/>
      <c r="F119371" s="13"/>
      <c r="G119371" s="12"/>
      <c r="H119371" s="12"/>
      <c r="I119371" s="12"/>
      <c r="J119371" s="12"/>
      <c r="K119371" s="12"/>
      <c r="L119371" s="208"/>
      <c r="M119371" s="209"/>
      <c r="N119371" s="209"/>
      <c r="O119371" s="209"/>
    </row>
    <row r="119372" spans="1:15" s="210" customFormat="1" x14ac:dyDescent="0.3">
      <c r="A119372" s="12"/>
      <c r="B119372" s="15"/>
      <c r="C119372" s="15"/>
      <c r="D119372" s="12"/>
      <c r="E119372" s="12"/>
      <c r="F119372" s="13"/>
      <c r="G119372" s="12"/>
      <c r="H119372" s="12"/>
      <c r="I119372" s="12"/>
      <c r="J119372" s="12"/>
      <c r="K119372" s="12"/>
      <c r="L119372" s="208"/>
      <c r="M119372" s="209"/>
      <c r="N119372" s="209"/>
      <c r="O119372" s="209"/>
    </row>
    <row r="119373" spans="1:15" s="210" customFormat="1" x14ac:dyDescent="0.3">
      <c r="A119373" s="12"/>
      <c r="B119373" s="15"/>
      <c r="C119373" s="15"/>
      <c r="D119373" s="12"/>
      <c r="E119373" s="12"/>
      <c r="F119373" s="13"/>
      <c r="G119373" s="12"/>
      <c r="H119373" s="12"/>
      <c r="I119373" s="12"/>
      <c r="J119373" s="12"/>
      <c r="K119373" s="12"/>
      <c r="L119373" s="208"/>
      <c r="M119373" s="209"/>
      <c r="N119373" s="209"/>
      <c r="O119373" s="209"/>
    </row>
    <row r="119374" spans="1:15" s="210" customFormat="1" x14ac:dyDescent="0.3">
      <c r="A119374" s="12"/>
      <c r="B119374" s="15"/>
      <c r="C119374" s="15"/>
      <c r="D119374" s="12"/>
      <c r="E119374" s="12"/>
      <c r="F119374" s="13"/>
      <c r="G119374" s="12"/>
      <c r="H119374" s="12"/>
      <c r="I119374" s="12"/>
      <c r="J119374" s="12"/>
      <c r="K119374" s="12"/>
      <c r="L119374" s="208"/>
      <c r="M119374" s="209"/>
      <c r="N119374" s="209"/>
      <c r="O119374" s="209"/>
    </row>
    <row r="119375" spans="1:15" s="210" customFormat="1" x14ac:dyDescent="0.3">
      <c r="A119375" s="12"/>
      <c r="B119375" s="15"/>
      <c r="C119375" s="15"/>
      <c r="D119375" s="12"/>
      <c r="E119375" s="12"/>
      <c r="F119375" s="13"/>
      <c r="G119375" s="12"/>
      <c r="H119375" s="12"/>
      <c r="I119375" s="12"/>
      <c r="J119375" s="12"/>
      <c r="K119375" s="12"/>
      <c r="L119375" s="208"/>
      <c r="M119375" s="209"/>
      <c r="N119375" s="209"/>
      <c r="O119375" s="209"/>
    </row>
    <row r="119376" spans="1:15" s="210" customFormat="1" x14ac:dyDescent="0.3">
      <c r="A119376" s="12"/>
      <c r="B119376" s="15"/>
      <c r="C119376" s="15"/>
      <c r="D119376" s="12"/>
      <c r="E119376" s="12"/>
      <c r="F119376" s="13"/>
      <c r="G119376" s="12"/>
      <c r="H119376" s="12"/>
      <c r="I119376" s="12"/>
      <c r="J119376" s="12"/>
      <c r="K119376" s="12"/>
      <c r="L119376" s="208"/>
      <c r="M119376" s="209"/>
      <c r="N119376" s="209"/>
      <c r="O119376" s="209"/>
    </row>
    <row r="119377" spans="1:15" s="210" customFormat="1" x14ac:dyDescent="0.3">
      <c r="A119377" s="12"/>
      <c r="B119377" s="15"/>
      <c r="C119377" s="15"/>
      <c r="D119377" s="12"/>
      <c r="E119377" s="12"/>
      <c r="F119377" s="13"/>
      <c r="G119377" s="12"/>
      <c r="H119377" s="12"/>
      <c r="I119377" s="12"/>
      <c r="J119377" s="12"/>
      <c r="K119377" s="12"/>
      <c r="L119377" s="208"/>
      <c r="M119377" s="209"/>
      <c r="N119377" s="209"/>
      <c r="O119377" s="209"/>
    </row>
    <row r="119378" spans="1:15" s="210" customFormat="1" x14ac:dyDescent="0.3">
      <c r="A119378" s="12"/>
      <c r="B119378" s="15"/>
      <c r="C119378" s="15"/>
      <c r="D119378" s="12"/>
      <c r="E119378" s="12"/>
      <c r="F119378" s="13"/>
      <c r="G119378" s="12"/>
      <c r="H119378" s="12"/>
      <c r="I119378" s="12"/>
      <c r="J119378" s="12"/>
      <c r="K119378" s="12"/>
      <c r="L119378" s="208"/>
      <c r="M119378" s="209"/>
      <c r="N119378" s="209"/>
      <c r="O119378" s="209"/>
    </row>
    <row r="119379" spans="1:15" s="210" customFormat="1" x14ac:dyDescent="0.3">
      <c r="A119379" s="12"/>
      <c r="B119379" s="15"/>
      <c r="C119379" s="15"/>
      <c r="D119379" s="12"/>
      <c r="E119379" s="12"/>
      <c r="F119379" s="13"/>
      <c r="G119379" s="12"/>
      <c r="H119379" s="12"/>
      <c r="I119379" s="12"/>
      <c r="J119379" s="12"/>
      <c r="K119379" s="12"/>
      <c r="L119379" s="208"/>
      <c r="M119379" s="209"/>
      <c r="N119379" s="209"/>
      <c r="O119379" s="209"/>
    </row>
    <row r="119380" spans="1:15" s="210" customFormat="1" x14ac:dyDescent="0.3">
      <c r="A119380" s="12"/>
      <c r="B119380" s="15"/>
      <c r="C119380" s="15"/>
      <c r="D119380" s="12"/>
      <c r="E119380" s="12"/>
      <c r="F119380" s="13"/>
      <c r="G119380" s="12"/>
      <c r="H119380" s="12"/>
      <c r="I119380" s="12"/>
      <c r="J119380" s="12"/>
      <c r="K119380" s="12"/>
      <c r="L119380" s="208"/>
      <c r="M119380" s="209"/>
      <c r="N119380" s="209"/>
      <c r="O119380" s="209"/>
    </row>
    <row r="119381" spans="1:15" s="210" customFormat="1" x14ac:dyDescent="0.3">
      <c r="A119381" s="12"/>
      <c r="B119381" s="15"/>
      <c r="C119381" s="15"/>
      <c r="D119381" s="12"/>
      <c r="E119381" s="12"/>
      <c r="F119381" s="13"/>
      <c r="G119381" s="12"/>
      <c r="H119381" s="12"/>
      <c r="I119381" s="12"/>
      <c r="J119381" s="12"/>
      <c r="K119381" s="12"/>
      <c r="L119381" s="208"/>
      <c r="M119381" s="209"/>
      <c r="N119381" s="209"/>
      <c r="O119381" s="209"/>
    </row>
    <row r="119382" spans="1:15" s="210" customFormat="1" x14ac:dyDescent="0.3">
      <c r="A119382" s="12"/>
      <c r="B119382" s="15"/>
      <c r="C119382" s="15"/>
      <c r="D119382" s="12"/>
      <c r="E119382" s="12"/>
      <c r="F119382" s="13"/>
      <c r="G119382" s="12"/>
      <c r="H119382" s="12"/>
      <c r="I119382" s="12"/>
      <c r="J119382" s="12"/>
      <c r="K119382" s="12"/>
      <c r="L119382" s="208"/>
      <c r="M119382" s="209"/>
      <c r="N119382" s="209"/>
      <c r="O119382" s="209"/>
    </row>
    <row r="119383" spans="1:15" s="210" customFormat="1" x14ac:dyDescent="0.3">
      <c r="A119383" s="12"/>
      <c r="B119383" s="15"/>
      <c r="C119383" s="15"/>
      <c r="D119383" s="12"/>
      <c r="E119383" s="12"/>
      <c r="F119383" s="13"/>
      <c r="G119383" s="12"/>
      <c r="H119383" s="12"/>
      <c r="I119383" s="12"/>
      <c r="J119383" s="12"/>
      <c r="K119383" s="12"/>
      <c r="L119383" s="208"/>
      <c r="M119383" s="209"/>
      <c r="N119383" s="209"/>
      <c r="O119383" s="209"/>
    </row>
    <row r="119384" spans="1:15" s="210" customFormat="1" x14ac:dyDescent="0.3">
      <c r="A119384" s="12"/>
      <c r="B119384" s="15"/>
      <c r="C119384" s="15"/>
      <c r="D119384" s="12"/>
      <c r="E119384" s="12"/>
      <c r="F119384" s="13"/>
      <c r="G119384" s="12"/>
      <c r="H119384" s="12"/>
      <c r="I119384" s="12"/>
      <c r="J119384" s="12"/>
      <c r="K119384" s="12"/>
      <c r="L119384" s="208"/>
      <c r="M119384" s="209"/>
      <c r="N119384" s="209"/>
      <c r="O119384" s="209"/>
    </row>
    <row r="119385" spans="1:15" s="210" customFormat="1" x14ac:dyDescent="0.3">
      <c r="A119385" s="12"/>
      <c r="B119385" s="15"/>
      <c r="C119385" s="15"/>
      <c r="D119385" s="12"/>
      <c r="E119385" s="12"/>
      <c r="F119385" s="13"/>
      <c r="G119385" s="12"/>
      <c r="H119385" s="12"/>
      <c r="I119385" s="12"/>
      <c r="J119385" s="12"/>
      <c r="K119385" s="12"/>
      <c r="L119385" s="208"/>
      <c r="M119385" s="209"/>
      <c r="N119385" s="209"/>
      <c r="O119385" s="209"/>
    </row>
    <row r="119386" spans="1:15" s="210" customFormat="1" x14ac:dyDescent="0.3">
      <c r="A119386" s="12"/>
      <c r="B119386" s="15"/>
      <c r="C119386" s="15"/>
      <c r="D119386" s="12"/>
      <c r="E119386" s="12"/>
      <c r="F119386" s="13"/>
      <c r="G119386" s="12"/>
      <c r="H119386" s="12"/>
      <c r="I119386" s="12"/>
      <c r="J119386" s="12"/>
      <c r="K119386" s="12"/>
      <c r="L119386" s="208"/>
      <c r="M119386" s="209"/>
      <c r="N119386" s="209"/>
      <c r="O119386" s="209"/>
    </row>
    <row r="119387" spans="1:15" s="210" customFormat="1" x14ac:dyDescent="0.3">
      <c r="A119387" s="12"/>
      <c r="B119387" s="15"/>
      <c r="C119387" s="15"/>
      <c r="D119387" s="12"/>
      <c r="E119387" s="12"/>
      <c r="F119387" s="13"/>
      <c r="G119387" s="12"/>
      <c r="H119387" s="12"/>
      <c r="I119387" s="12"/>
      <c r="J119387" s="12"/>
      <c r="K119387" s="12"/>
      <c r="L119387" s="208"/>
      <c r="M119387" s="209"/>
      <c r="N119387" s="209"/>
      <c r="O119387" s="209"/>
    </row>
    <row r="119388" spans="1:15" s="210" customFormat="1" x14ac:dyDescent="0.3">
      <c r="A119388" s="12"/>
      <c r="B119388" s="15"/>
      <c r="C119388" s="15"/>
      <c r="D119388" s="12"/>
      <c r="E119388" s="12"/>
      <c r="F119388" s="13"/>
      <c r="G119388" s="12"/>
      <c r="H119388" s="12"/>
      <c r="I119388" s="12"/>
      <c r="J119388" s="12"/>
      <c r="K119388" s="12"/>
      <c r="L119388" s="208"/>
      <c r="M119388" s="209"/>
      <c r="N119388" s="209"/>
      <c r="O119388" s="209"/>
    </row>
    <row r="119389" spans="1:15" s="210" customFormat="1" x14ac:dyDescent="0.3">
      <c r="A119389" s="12"/>
      <c r="B119389" s="15"/>
      <c r="C119389" s="15"/>
      <c r="D119389" s="12"/>
      <c r="E119389" s="12"/>
      <c r="F119389" s="13"/>
      <c r="G119389" s="12"/>
      <c r="H119389" s="12"/>
      <c r="I119389" s="12"/>
      <c r="J119389" s="12"/>
      <c r="K119389" s="12"/>
      <c r="L119389" s="208"/>
      <c r="M119389" s="209"/>
      <c r="N119389" s="209"/>
      <c r="O119389" s="209"/>
    </row>
    <row r="119390" spans="1:15" s="210" customFormat="1" x14ac:dyDescent="0.3">
      <c r="A119390" s="12"/>
      <c r="B119390" s="15"/>
      <c r="C119390" s="15"/>
      <c r="D119390" s="12"/>
      <c r="E119390" s="12"/>
      <c r="F119390" s="13"/>
      <c r="G119390" s="12"/>
      <c r="H119390" s="12"/>
      <c r="I119390" s="12"/>
      <c r="J119390" s="12"/>
      <c r="K119390" s="12"/>
      <c r="L119390" s="208"/>
      <c r="M119390" s="209"/>
      <c r="N119390" s="209"/>
      <c r="O119390" s="209"/>
    </row>
    <row r="119391" spans="1:15" s="210" customFormat="1" x14ac:dyDescent="0.3">
      <c r="A119391" s="12"/>
      <c r="B119391" s="15"/>
      <c r="C119391" s="15"/>
      <c r="D119391" s="12"/>
      <c r="E119391" s="12"/>
      <c r="F119391" s="13"/>
      <c r="G119391" s="12"/>
      <c r="H119391" s="12"/>
      <c r="I119391" s="12"/>
      <c r="J119391" s="12"/>
      <c r="K119391" s="12"/>
      <c r="L119391" s="208"/>
      <c r="M119391" s="209"/>
      <c r="N119391" s="209"/>
      <c r="O119391" s="209"/>
    </row>
    <row r="119392" spans="1:15" s="210" customFormat="1" x14ac:dyDescent="0.3">
      <c r="A119392" s="12"/>
      <c r="B119392" s="15"/>
      <c r="C119392" s="15"/>
      <c r="D119392" s="12"/>
      <c r="E119392" s="12"/>
      <c r="F119392" s="13"/>
      <c r="G119392" s="12"/>
      <c r="H119392" s="12"/>
      <c r="I119392" s="12"/>
      <c r="J119392" s="12"/>
      <c r="K119392" s="12"/>
      <c r="L119392" s="208"/>
      <c r="M119392" s="209"/>
      <c r="N119392" s="209"/>
      <c r="O119392" s="209"/>
    </row>
    <row r="119393" spans="1:15" s="210" customFormat="1" x14ac:dyDescent="0.3">
      <c r="A119393" s="12"/>
      <c r="B119393" s="15"/>
      <c r="C119393" s="15"/>
      <c r="D119393" s="12"/>
      <c r="E119393" s="12"/>
      <c r="F119393" s="13"/>
      <c r="G119393" s="12"/>
      <c r="H119393" s="12"/>
      <c r="I119393" s="12"/>
      <c r="J119393" s="12"/>
      <c r="K119393" s="12"/>
      <c r="L119393" s="208"/>
      <c r="M119393" s="209"/>
      <c r="N119393" s="209"/>
      <c r="O119393" s="209"/>
    </row>
    <row r="119394" spans="1:15" s="210" customFormat="1" x14ac:dyDescent="0.3">
      <c r="A119394" s="12"/>
      <c r="B119394" s="15"/>
      <c r="C119394" s="15"/>
      <c r="D119394" s="12"/>
      <c r="E119394" s="12"/>
      <c r="F119394" s="13"/>
      <c r="G119394" s="12"/>
      <c r="H119394" s="12"/>
      <c r="I119394" s="12"/>
      <c r="J119394" s="12"/>
      <c r="K119394" s="12"/>
      <c r="L119394" s="208"/>
      <c r="M119394" s="209"/>
      <c r="N119394" s="209"/>
      <c r="O119394" s="209"/>
    </row>
    <row r="119395" spans="1:15" s="210" customFormat="1" x14ac:dyDescent="0.3">
      <c r="A119395" s="12"/>
      <c r="B119395" s="15"/>
      <c r="C119395" s="15"/>
      <c r="D119395" s="12"/>
      <c r="E119395" s="12"/>
      <c r="F119395" s="13"/>
      <c r="G119395" s="12"/>
      <c r="H119395" s="12"/>
      <c r="I119395" s="12"/>
      <c r="J119395" s="12"/>
      <c r="K119395" s="12"/>
      <c r="L119395" s="208"/>
      <c r="M119395" s="209"/>
      <c r="N119395" s="209"/>
      <c r="O119395" s="209"/>
    </row>
    <row r="119396" spans="1:15" s="210" customFormat="1" x14ac:dyDescent="0.3">
      <c r="A119396" s="12"/>
      <c r="B119396" s="15"/>
      <c r="C119396" s="15"/>
      <c r="D119396" s="12"/>
      <c r="E119396" s="12"/>
      <c r="F119396" s="13"/>
      <c r="G119396" s="12"/>
      <c r="H119396" s="12"/>
      <c r="I119396" s="12"/>
      <c r="J119396" s="12"/>
      <c r="K119396" s="12"/>
      <c r="L119396" s="208"/>
      <c r="M119396" s="209"/>
      <c r="N119396" s="209"/>
      <c r="O119396" s="209"/>
    </row>
    <row r="119397" spans="1:15" s="210" customFormat="1" x14ac:dyDescent="0.3">
      <c r="A119397" s="12"/>
      <c r="B119397" s="15"/>
      <c r="C119397" s="15"/>
      <c r="D119397" s="12"/>
      <c r="E119397" s="12"/>
      <c r="F119397" s="13"/>
      <c r="G119397" s="12"/>
      <c r="H119397" s="12"/>
      <c r="I119397" s="12"/>
      <c r="J119397" s="12"/>
      <c r="K119397" s="12"/>
      <c r="L119397" s="208"/>
      <c r="M119397" s="209"/>
      <c r="N119397" s="209"/>
      <c r="O119397" s="209"/>
    </row>
    <row r="119398" spans="1:15" s="210" customFormat="1" x14ac:dyDescent="0.3">
      <c r="A119398" s="12"/>
      <c r="B119398" s="15"/>
      <c r="C119398" s="15"/>
      <c r="D119398" s="12"/>
      <c r="E119398" s="12"/>
      <c r="F119398" s="13"/>
      <c r="G119398" s="12"/>
      <c r="H119398" s="12"/>
      <c r="I119398" s="12"/>
      <c r="J119398" s="12"/>
      <c r="K119398" s="12"/>
      <c r="L119398" s="208"/>
      <c r="M119398" s="209"/>
      <c r="N119398" s="209"/>
      <c r="O119398" s="209"/>
    </row>
    <row r="119399" spans="1:15" s="210" customFormat="1" x14ac:dyDescent="0.3">
      <c r="A119399" s="12"/>
      <c r="B119399" s="15"/>
      <c r="C119399" s="15"/>
      <c r="D119399" s="12"/>
      <c r="E119399" s="12"/>
      <c r="F119399" s="13"/>
      <c r="G119399" s="12"/>
      <c r="H119399" s="12"/>
      <c r="I119399" s="12"/>
      <c r="J119399" s="12"/>
      <c r="K119399" s="12"/>
      <c r="L119399" s="208"/>
      <c r="M119399" s="209"/>
      <c r="N119399" s="209"/>
      <c r="O119399" s="209"/>
    </row>
    <row r="119400" spans="1:15" s="210" customFormat="1" x14ac:dyDescent="0.3">
      <c r="A119400" s="12"/>
      <c r="B119400" s="15"/>
      <c r="C119400" s="15"/>
      <c r="D119400" s="12"/>
      <c r="E119400" s="12"/>
      <c r="F119400" s="13"/>
      <c r="G119400" s="12"/>
      <c r="H119400" s="12"/>
      <c r="I119400" s="12"/>
      <c r="J119400" s="12"/>
      <c r="K119400" s="12"/>
      <c r="L119400" s="208"/>
      <c r="M119400" s="209"/>
      <c r="N119400" s="209"/>
      <c r="O119400" s="209"/>
    </row>
    <row r="119401" spans="1:15" s="210" customFormat="1" x14ac:dyDescent="0.3">
      <c r="A119401" s="12"/>
      <c r="B119401" s="15"/>
      <c r="C119401" s="15"/>
      <c r="D119401" s="12"/>
      <c r="E119401" s="12"/>
      <c r="F119401" s="13"/>
      <c r="G119401" s="12"/>
      <c r="H119401" s="12"/>
      <c r="I119401" s="12"/>
      <c r="J119401" s="12"/>
      <c r="K119401" s="12"/>
      <c r="L119401" s="208"/>
      <c r="M119401" s="209"/>
      <c r="N119401" s="209"/>
      <c r="O119401" s="209"/>
    </row>
    <row r="119402" spans="1:15" s="210" customFormat="1" x14ac:dyDescent="0.3">
      <c r="A119402" s="12"/>
      <c r="B119402" s="15"/>
      <c r="C119402" s="15"/>
      <c r="D119402" s="12"/>
      <c r="E119402" s="12"/>
      <c r="F119402" s="13"/>
      <c r="G119402" s="12"/>
      <c r="H119402" s="12"/>
      <c r="I119402" s="12"/>
      <c r="J119402" s="12"/>
      <c r="K119402" s="12"/>
      <c r="L119402" s="208"/>
      <c r="M119402" s="209"/>
      <c r="N119402" s="209"/>
      <c r="O119402" s="209"/>
    </row>
    <row r="119403" spans="1:15" s="210" customFormat="1" x14ac:dyDescent="0.3">
      <c r="A119403" s="12"/>
      <c r="B119403" s="15"/>
      <c r="C119403" s="15"/>
      <c r="D119403" s="12"/>
      <c r="E119403" s="12"/>
      <c r="F119403" s="13"/>
      <c r="G119403" s="12"/>
      <c r="H119403" s="12"/>
      <c r="I119403" s="12"/>
      <c r="J119403" s="12"/>
      <c r="K119403" s="12"/>
      <c r="L119403" s="208"/>
      <c r="M119403" s="209"/>
      <c r="N119403" s="209"/>
      <c r="O119403" s="209"/>
    </row>
    <row r="119404" spans="1:15" s="210" customFormat="1" x14ac:dyDescent="0.3">
      <c r="A119404" s="12"/>
      <c r="B119404" s="15"/>
      <c r="C119404" s="15"/>
      <c r="D119404" s="12"/>
      <c r="E119404" s="12"/>
      <c r="F119404" s="13"/>
      <c r="G119404" s="12"/>
      <c r="H119404" s="12"/>
      <c r="I119404" s="12"/>
      <c r="J119404" s="12"/>
      <c r="K119404" s="12"/>
      <c r="L119404" s="208"/>
      <c r="M119404" s="209"/>
      <c r="N119404" s="209"/>
      <c r="O119404" s="209"/>
    </row>
    <row r="119405" spans="1:15" s="210" customFormat="1" x14ac:dyDescent="0.3">
      <c r="A119405" s="12"/>
      <c r="B119405" s="15"/>
      <c r="C119405" s="15"/>
      <c r="D119405" s="12"/>
      <c r="E119405" s="12"/>
      <c r="F119405" s="13"/>
      <c r="G119405" s="12"/>
      <c r="H119405" s="12"/>
      <c r="I119405" s="12"/>
      <c r="J119405" s="12"/>
      <c r="K119405" s="12"/>
      <c r="L119405" s="208"/>
      <c r="M119405" s="209"/>
      <c r="N119405" s="209"/>
      <c r="O119405" s="209"/>
    </row>
    <row r="119406" spans="1:15" s="210" customFormat="1" x14ac:dyDescent="0.3">
      <c r="A119406" s="12"/>
      <c r="B119406" s="15"/>
      <c r="C119406" s="15"/>
      <c r="D119406" s="12"/>
      <c r="E119406" s="12"/>
      <c r="F119406" s="13"/>
      <c r="G119406" s="12"/>
      <c r="H119406" s="12"/>
      <c r="I119406" s="12"/>
      <c r="J119406" s="12"/>
      <c r="K119406" s="12"/>
      <c r="L119406" s="208"/>
      <c r="M119406" s="209"/>
      <c r="N119406" s="209"/>
      <c r="O119406" s="209"/>
    </row>
    <row r="119407" spans="1:15" s="210" customFormat="1" x14ac:dyDescent="0.3">
      <c r="A119407" s="12"/>
      <c r="B119407" s="15"/>
      <c r="C119407" s="15"/>
      <c r="D119407" s="12"/>
      <c r="E119407" s="12"/>
      <c r="F119407" s="13"/>
      <c r="G119407" s="12"/>
      <c r="H119407" s="12"/>
      <c r="I119407" s="12"/>
      <c r="J119407" s="12"/>
      <c r="K119407" s="12"/>
      <c r="L119407" s="208"/>
      <c r="M119407" s="209"/>
      <c r="N119407" s="209"/>
      <c r="O119407" s="209"/>
    </row>
    <row r="119408" spans="1:15" s="210" customFormat="1" x14ac:dyDescent="0.3">
      <c r="A119408" s="12"/>
      <c r="B119408" s="15"/>
      <c r="C119408" s="15"/>
      <c r="D119408" s="12"/>
      <c r="E119408" s="12"/>
      <c r="F119408" s="13"/>
      <c r="G119408" s="12"/>
      <c r="H119408" s="12"/>
      <c r="I119408" s="12"/>
      <c r="J119408" s="12"/>
      <c r="K119408" s="12"/>
      <c r="L119408" s="208"/>
      <c r="M119408" s="209"/>
      <c r="N119408" s="209"/>
      <c r="O119408" s="209"/>
    </row>
    <row r="119409" spans="1:15" s="210" customFormat="1" x14ac:dyDescent="0.3">
      <c r="A119409" s="12"/>
      <c r="B119409" s="15"/>
      <c r="C119409" s="15"/>
      <c r="D119409" s="12"/>
      <c r="E119409" s="12"/>
      <c r="F119409" s="13"/>
      <c r="G119409" s="12"/>
      <c r="H119409" s="12"/>
      <c r="I119409" s="12"/>
      <c r="J119409" s="12"/>
      <c r="K119409" s="12"/>
      <c r="L119409" s="208"/>
      <c r="M119409" s="209"/>
      <c r="N119409" s="209"/>
      <c r="O119409" s="209"/>
    </row>
    <row r="119410" spans="1:15" s="210" customFormat="1" x14ac:dyDescent="0.3">
      <c r="A119410" s="12"/>
      <c r="B119410" s="15"/>
      <c r="C119410" s="15"/>
      <c r="D119410" s="12"/>
      <c r="E119410" s="12"/>
      <c r="F119410" s="13"/>
      <c r="G119410" s="12"/>
      <c r="H119410" s="12"/>
      <c r="I119410" s="12"/>
      <c r="J119410" s="12"/>
      <c r="K119410" s="12"/>
      <c r="L119410" s="208"/>
      <c r="M119410" s="209"/>
      <c r="N119410" s="209"/>
      <c r="O119410" s="209"/>
    </row>
    <row r="119411" spans="1:15" s="210" customFormat="1" x14ac:dyDescent="0.3">
      <c r="A119411" s="12"/>
      <c r="B119411" s="15"/>
      <c r="C119411" s="15"/>
      <c r="D119411" s="12"/>
      <c r="E119411" s="12"/>
      <c r="F119411" s="13"/>
      <c r="G119411" s="12"/>
      <c r="H119411" s="12"/>
      <c r="I119411" s="12"/>
      <c r="J119411" s="12"/>
      <c r="K119411" s="12"/>
      <c r="L119411" s="208"/>
      <c r="M119411" s="209"/>
      <c r="N119411" s="209"/>
      <c r="O119411" s="209"/>
    </row>
    <row r="119412" spans="1:15" s="210" customFormat="1" x14ac:dyDescent="0.3">
      <c r="A119412" s="12"/>
      <c r="B119412" s="15"/>
      <c r="C119412" s="15"/>
      <c r="D119412" s="12"/>
      <c r="E119412" s="12"/>
      <c r="F119412" s="13"/>
      <c r="G119412" s="12"/>
      <c r="H119412" s="12"/>
      <c r="I119412" s="12"/>
      <c r="J119412" s="12"/>
      <c r="K119412" s="12"/>
      <c r="L119412" s="208"/>
      <c r="M119412" s="209"/>
      <c r="N119412" s="209"/>
      <c r="O119412" s="209"/>
    </row>
    <row r="119413" spans="1:15" s="210" customFormat="1" x14ac:dyDescent="0.3">
      <c r="A119413" s="12"/>
      <c r="B119413" s="15"/>
      <c r="C119413" s="15"/>
      <c r="D119413" s="12"/>
      <c r="E119413" s="12"/>
      <c r="F119413" s="13"/>
      <c r="G119413" s="12"/>
      <c r="H119413" s="12"/>
      <c r="I119413" s="12"/>
      <c r="J119413" s="12"/>
      <c r="K119413" s="12"/>
      <c r="L119413" s="208"/>
      <c r="M119413" s="209"/>
      <c r="N119413" s="209"/>
      <c r="O119413" s="209"/>
    </row>
    <row r="119414" spans="1:15" s="210" customFormat="1" x14ac:dyDescent="0.3">
      <c r="A119414" s="12"/>
      <c r="B119414" s="15"/>
      <c r="C119414" s="15"/>
      <c r="D119414" s="12"/>
      <c r="E119414" s="12"/>
      <c r="F119414" s="13"/>
      <c r="G119414" s="12"/>
      <c r="H119414" s="12"/>
      <c r="I119414" s="12"/>
      <c r="J119414" s="12"/>
      <c r="K119414" s="12"/>
      <c r="L119414" s="208"/>
      <c r="M119414" s="209"/>
      <c r="N119414" s="209"/>
      <c r="O119414" s="209"/>
    </row>
    <row r="119415" spans="1:15" s="210" customFormat="1" x14ac:dyDescent="0.3">
      <c r="A119415" s="12"/>
      <c r="B119415" s="15"/>
      <c r="C119415" s="15"/>
      <c r="D119415" s="12"/>
      <c r="E119415" s="12"/>
      <c r="F119415" s="13"/>
      <c r="G119415" s="12"/>
      <c r="H119415" s="12"/>
      <c r="I119415" s="12"/>
      <c r="J119415" s="12"/>
      <c r="K119415" s="12"/>
      <c r="L119415" s="208"/>
      <c r="M119415" s="209"/>
      <c r="N119415" s="209"/>
      <c r="O119415" s="209"/>
    </row>
    <row r="119416" spans="1:15" s="210" customFormat="1" x14ac:dyDescent="0.3">
      <c r="A119416" s="12"/>
      <c r="B119416" s="15"/>
      <c r="C119416" s="15"/>
      <c r="D119416" s="12"/>
      <c r="E119416" s="12"/>
      <c r="F119416" s="13"/>
      <c r="G119416" s="12"/>
      <c r="H119416" s="12"/>
      <c r="I119416" s="12"/>
      <c r="J119416" s="12"/>
      <c r="K119416" s="12"/>
      <c r="L119416" s="208"/>
      <c r="M119416" s="209"/>
      <c r="N119416" s="209"/>
      <c r="O119416" s="209"/>
    </row>
    <row r="119417" spans="1:15" s="210" customFormat="1" x14ac:dyDescent="0.3">
      <c r="A119417" s="12"/>
      <c r="B119417" s="15"/>
      <c r="C119417" s="15"/>
      <c r="D119417" s="12"/>
      <c r="E119417" s="12"/>
      <c r="F119417" s="13"/>
      <c r="G119417" s="12"/>
      <c r="H119417" s="12"/>
      <c r="I119417" s="12"/>
      <c r="J119417" s="12"/>
      <c r="K119417" s="12"/>
      <c r="L119417" s="208"/>
      <c r="M119417" s="209"/>
      <c r="N119417" s="209"/>
      <c r="O119417" s="209"/>
    </row>
    <row r="119418" spans="1:15" s="210" customFormat="1" x14ac:dyDescent="0.3">
      <c r="A119418" s="12"/>
      <c r="B119418" s="15"/>
      <c r="C119418" s="15"/>
      <c r="D119418" s="12"/>
      <c r="E119418" s="12"/>
      <c r="F119418" s="13"/>
      <c r="G119418" s="12"/>
      <c r="H119418" s="12"/>
      <c r="I119418" s="12"/>
      <c r="J119418" s="12"/>
      <c r="K119418" s="12"/>
      <c r="L119418" s="208"/>
      <c r="M119418" s="209"/>
      <c r="N119418" s="209"/>
      <c r="O119418" s="209"/>
    </row>
    <row r="119419" spans="1:15" s="210" customFormat="1" x14ac:dyDescent="0.3">
      <c r="A119419" s="12"/>
      <c r="B119419" s="15"/>
      <c r="C119419" s="15"/>
      <c r="D119419" s="12"/>
      <c r="E119419" s="12"/>
      <c r="F119419" s="13"/>
      <c r="G119419" s="12"/>
      <c r="H119419" s="12"/>
      <c r="I119419" s="12"/>
      <c r="J119419" s="12"/>
      <c r="K119419" s="12"/>
      <c r="L119419" s="208"/>
      <c r="M119419" s="209"/>
      <c r="N119419" s="209"/>
      <c r="O119419" s="209"/>
    </row>
    <row r="119420" spans="1:15" s="210" customFormat="1" x14ac:dyDescent="0.3">
      <c r="A119420" s="12"/>
      <c r="B119420" s="15"/>
      <c r="C119420" s="15"/>
      <c r="D119420" s="12"/>
      <c r="E119420" s="12"/>
      <c r="F119420" s="13"/>
      <c r="G119420" s="12"/>
      <c r="H119420" s="12"/>
      <c r="I119420" s="12"/>
      <c r="J119420" s="12"/>
      <c r="K119420" s="12"/>
      <c r="L119420" s="208"/>
      <c r="M119420" s="209"/>
      <c r="N119420" s="209"/>
      <c r="O119420" s="209"/>
    </row>
    <row r="119421" spans="1:15" s="210" customFormat="1" x14ac:dyDescent="0.3">
      <c r="A119421" s="12"/>
      <c r="B119421" s="15"/>
      <c r="C119421" s="15"/>
      <c r="D119421" s="12"/>
      <c r="E119421" s="12"/>
      <c r="F119421" s="13"/>
      <c r="G119421" s="12"/>
      <c r="H119421" s="12"/>
      <c r="I119421" s="12"/>
      <c r="J119421" s="12"/>
      <c r="K119421" s="12"/>
      <c r="L119421" s="208"/>
      <c r="M119421" s="209"/>
      <c r="N119421" s="209"/>
      <c r="O119421" s="209"/>
    </row>
    <row r="119422" spans="1:15" s="210" customFormat="1" x14ac:dyDescent="0.3">
      <c r="A119422" s="12"/>
      <c r="B119422" s="15"/>
      <c r="C119422" s="15"/>
      <c r="D119422" s="12"/>
      <c r="E119422" s="12"/>
      <c r="F119422" s="13"/>
      <c r="G119422" s="12"/>
      <c r="H119422" s="12"/>
      <c r="I119422" s="12"/>
      <c r="J119422" s="12"/>
      <c r="K119422" s="12"/>
      <c r="L119422" s="208"/>
      <c r="M119422" s="209"/>
      <c r="N119422" s="209"/>
      <c r="O119422" s="209"/>
    </row>
    <row r="119423" spans="1:15" s="210" customFormat="1" x14ac:dyDescent="0.3">
      <c r="A119423" s="12"/>
      <c r="B119423" s="15"/>
      <c r="C119423" s="15"/>
      <c r="D119423" s="12"/>
      <c r="E119423" s="12"/>
      <c r="F119423" s="13"/>
      <c r="G119423" s="12"/>
      <c r="H119423" s="12"/>
      <c r="I119423" s="12"/>
      <c r="J119423" s="12"/>
      <c r="K119423" s="12"/>
      <c r="L119423" s="208"/>
      <c r="M119423" s="209"/>
      <c r="N119423" s="209"/>
      <c r="O119423" s="209"/>
    </row>
    <row r="119424" spans="1:15" s="210" customFormat="1" x14ac:dyDescent="0.3">
      <c r="A119424" s="12"/>
      <c r="B119424" s="15"/>
      <c r="C119424" s="15"/>
      <c r="D119424" s="12"/>
      <c r="E119424" s="12"/>
      <c r="F119424" s="13"/>
      <c r="G119424" s="12"/>
      <c r="H119424" s="12"/>
      <c r="I119424" s="12"/>
      <c r="J119424" s="12"/>
      <c r="K119424" s="12"/>
      <c r="L119424" s="208"/>
      <c r="M119424" s="209"/>
      <c r="N119424" s="209"/>
      <c r="O119424" s="209"/>
    </row>
    <row r="119425" spans="1:15" s="210" customFormat="1" x14ac:dyDescent="0.3">
      <c r="A119425" s="12"/>
      <c r="B119425" s="15"/>
      <c r="C119425" s="15"/>
      <c r="D119425" s="12"/>
      <c r="E119425" s="12"/>
      <c r="F119425" s="13"/>
      <c r="G119425" s="12"/>
      <c r="H119425" s="12"/>
      <c r="I119425" s="12"/>
      <c r="J119425" s="12"/>
      <c r="K119425" s="12"/>
      <c r="L119425" s="208"/>
      <c r="M119425" s="209"/>
      <c r="N119425" s="209"/>
      <c r="O119425" s="209"/>
    </row>
    <row r="119426" spans="1:15" s="210" customFormat="1" x14ac:dyDescent="0.3">
      <c r="A119426" s="12"/>
      <c r="B119426" s="15"/>
      <c r="C119426" s="15"/>
      <c r="D119426" s="12"/>
      <c r="E119426" s="12"/>
      <c r="F119426" s="13"/>
      <c r="G119426" s="12"/>
      <c r="H119426" s="12"/>
      <c r="I119426" s="12"/>
      <c r="J119426" s="12"/>
      <c r="K119426" s="12"/>
      <c r="L119426" s="208"/>
      <c r="M119426" s="209"/>
      <c r="N119426" s="209"/>
      <c r="O119426" s="209"/>
    </row>
    <row r="119427" spans="1:15" s="210" customFormat="1" x14ac:dyDescent="0.3">
      <c r="A119427" s="12"/>
      <c r="B119427" s="15"/>
      <c r="C119427" s="15"/>
      <c r="D119427" s="12"/>
      <c r="E119427" s="12"/>
      <c r="F119427" s="13"/>
      <c r="G119427" s="12"/>
      <c r="H119427" s="12"/>
      <c r="I119427" s="12"/>
      <c r="J119427" s="12"/>
      <c r="K119427" s="12"/>
      <c r="L119427" s="208"/>
      <c r="M119427" s="209"/>
      <c r="N119427" s="209"/>
      <c r="O119427" s="209"/>
    </row>
    <row r="119428" spans="1:15" s="210" customFormat="1" x14ac:dyDescent="0.3">
      <c r="A119428" s="12"/>
      <c r="B119428" s="15"/>
      <c r="C119428" s="15"/>
      <c r="D119428" s="12"/>
      <c r="E119428" s="12"/>
      <c r="F119428" s="13"/>
      <c r="G119428" s="12"/>
      <c r="H119428" s="12"/>
      <c r="I119428" s="12"/>
      <c r="J119428" s="12"/>
      <c r="K119428" s="12"/>
      <c r="L119428" s="208"/>
      <c r="M119428" s="209"/>
      <c r="N119428" s="209"/>
      <c r="O119428" s="209"/>
    </row>
    <row r="119429" spans="1:15" s="210" customFormat="1" x14ac:dyDescent="0.3">
      <c r="A119429" s="12"/>
      <c r="B119429" s="15"/>
      <c r="C119429" s="15"/>
      <c r="D119429" s="12"/>
      <c r="E119429" s="12"/>
      <c r="F119429" s="13"/>
      <c r="G119429" s="12"/>
      <c r="H119429" s="12"/>
      <c r="I119429" s="12"/>
      <c r="J119429" s="12"/>
      <c r="K119429" s="12"/>
      <c r="L119429" s="208"/>
      <c r="M119429" s="209"/>
      <c r="N119429" s="209"/>
      <c r="O119429" s="209"/>
    </row>
    <row r="119430" spans="1:15" s="210" customFormat="1" x14ac:dyDescent="0.3">
      <c r="A119430" s="12"/>
      <c r="B119430" s="15"/>
      <c r="C119430" s="15"/>
      <c r="D119430" s="12"/>
      <c r="E119430" s="12"/>
      <c r="F119430" s="13"/>
      <c r="G119430" s="12"/>
      <c r="H119430" s="12"/>
      <c r="I119430" s="12"/>
      <c r="J119430" s="12"/>
      <c r="K119430" s="12"/>
      <c r="L119430" s="208"/>
      <c r="M119430" s="209"/>
      <c r="N119430" s="209"/>
      <c r="O119430" s="209"/>
    </row>
    <row r="119431" spans="1:15" s="210" customFormat="1" x14ac:dyDescent="0.3">
      <c r="A119431" s="12"/>
      <c r="B119431" s="15"/>
      <c r="C119431" s="15"/>
      <c r="D119431" s="12"/>
      <c r="E119431" s="12"/>
      <c r="F119431" s="13"/>
      <c r="G119431" s="12"/>
      <c r="H119431" s="12"/>
      <c r="I119431" s="12"/>
      <c r="J119431" s="12"/>
      <c r="K119431" s="12"/>
      <c r="L119431" s="208"/>
      <c r="M119431" s="209"/>
      <c r="N119431" s="209"/>
      <c r="O119431" s="209"/>
    </row>
    <row r="119432" spans="1:15" s="210" customFormat="1" x14ac:dyDescent="0.3">
      <c r="A119432" s="12"/>
      <c r="B119432" s="15"/>
      <c r="C119432" s="15"/>
      <c r="D119432" s="12"/>
      <c r="E119432" s="12"/>
      <c r="F119432" s="13"/>
      <c r="G119432" s="12"/>
      <c r="H119432" s="12"/>
      <c r="I119432" s="12"/>
      <c r="J119432" s="12"/>
      <c r="K119432" s="12"/>
      <c r="L119432" s="208"/>
      <c r="M119432" s="209"/>
      <c r="N119432" s="209"/>
      <c r="O119432" s="209"/>
    </row>
    <row r="119433" spans="1:15" s="210" customFormat="1" x14ac:dyDescent="0.3">
      <c r="A119433" s="12"/>
      <c r="B119433" s="15"/>
      <c r="C119433" s="15"/>
      <c r="D119433" s="12"/>
      <c r="E119433" s="12"/>
      <c r="F119433" s="13"/>
      <c r="G119433" s="12"/>
      <c r="H119433" s="12"/>
      <c r="I119433" s="12"/>
      <c r="J119433" s="12"/>
      <c r="K119433" s="12"/>
      <c r="L119433" s="208"/>
      <c r="M119433" s="209"/>
      <c r="N119433" s="209"/>
      <c r="O119433" s="209"/>
    </row>
    <row r="119434" spans="1:15" s="210" customFormat="1" x14ac:dyDescent="0.3">
      <c r="A119434" s="12"/>
      <c r="B119434" s="15"/>
      <c r="C119434" s="15"/>
      <c r="D119434" s="12"/>
      <c r="E119434" s="12"/>
      <c r="F119434" s="13"/>
      <c r="G119434" s="12"/>
      <c r="H119434" s="12"/>
      <c r="I119434" s="12"/>
      <c r="J119434" s="12"/>
      <c r="K119434" s="12"/>
      <c r="L119434" s="208"/>
      <c r="M119434" s="209"/>
      <c r="N119434" s="209"/>
      <c r="O119434" s="209"/>
    </row>
    <row r="119435" spans="1:15" s="210" customFormat="1" x14ac:dyDescent="0.3">
      <c r="A119435" s="12"/>
      <c r="B119435" s="15"/>
      <c r="C119435" s="15"/>
      <c r="D119435" s="12"/>
      <c r="E119435" s="12"/>
      <c r="F119435" s="13"/>
      <c r="G119435" s="12"/>
      <c r="H119435" s="12"/>
      <c r="I119435" s="12"/>
      <c r="J119435" s="12"/>
      <c r="K119435" s="12"/>
      <c r="L119435" s="208"/>
      <c r="M119435" s="209"/>
      <c r="N119435" s="209"/>
      <c r="O119435" s="209"/>
    </row>
    <row r="119436" spans="1:15" s="210" customFormat="1" x14ac:dyDescent="0.3">
      <c r="A119436" s="12"/>
      <c r="B119436" s="15"/>
      <c r="C119436" s="15"/>
      <c r="D119436" s="12"/>
      <c r="E119436" s="12"/>
      <c r="F119436" s="13"/>
      <c r="G119436" s="12"/>
      <c r="H119436" s="12"/>
      <c r="I119436" s="12"/>
      <c r="J119436" s="12"/>
      <c r="K119436" s="12"/>
      <c r="L119436" s="208"/>
      <c r="M119436" s="209"/>
      <c r="N119436" s="209"/>
      <c r="O119436" s="209"/>
    </row>
    <row r="119437" spans="1:15" s="210" customFormat="1" x14ac:dyDescent="0.3">
      <c r="A119437" s="12"/>
      <c r="B119437" s="15"/>
      <c r="C119437" s="15"/>
      <c r="D119437" s="12"/>
      <c r="E119437" s="12"/>
      <c r="F119437" s="13"/>
      <c r="G119437" s="12"/>
      <c r="H119437" s="12"/>
      <c r="I119437" s="12"/>
      <c r="J119437" s="12"/>
      <c r="K119437" s="12"/>
      <c r="L119437" s="208"/>
      <c r="M119437" s="209"/>
      <c r="N119437" s="209"/>
      <c r="O119437" s="209"/>
    </row>
    <row r="119438" spans="1:15" s="210" customFormat="1" x14ac:dyDescent="0.3">
      <c r="A119438" s="12"/>
      <c r="B119438" s="15"/>
      <c r="C119438" s="15"/>
      <c r="D119438" s="12"/>
      <c r="E119438" s="12"/>
      <c r="F119438" s="13"/>
      <c r="G119438" s="12"/>
      <c r="H119438" s="12"/>
      <c r="I119438" s="12"/>
      <c r="J119438" s="12"/>
      <c r="K119438" s="12"/>
      <c r="L119438" s="208"/>
      <c r="M119438" s="209"/>
      <c r="N119438" s="209"/>
      <c r="O119438" s="209"/>
    </row>
    <row r="119439" spans="1:15" s="210" customFormat="1" x14ac:dyDescent="0.3">
      <c r="A119439" s="12"/>
      <c r="B119439" s="15"/>
      <c r="C119439" s="15"/>
      <c r="D119439" s="12"/>
      <c r="E119439" s="12"/>
      <c r="F119439" s="13"/>
      <c r="G119439" s="12"/>
      <c r="H119439" s="12"/>
      <c r="I119439" s="12"/>
      <c r="J119439" s="12"/>
      <c r="K119439" s="12"/>
      <c r="L119439" s="208"/>
      <c r="M119439" s="209"/>
      <c r="N119439" s="209"/>
      <c r="O119439" s="209"/>
    </row>
    <row r="119440" spans="1:15" s="210" customFormat="1" x14ac:dyDescent="0.3">
      <c r="A119440" s="12"/>
      <c r="B119440" s="15"/>
      <c r="C119440" s="15"/>
      <c r="D119440" s="12"/>
      <c r="E119440" s="12"/>
      <c r="F119440" s="13"/>
      <c r="G119440" s="12"/>
      <c r="H119440" s="12"/>
      <c r="I119440" s="12"/>
      <c r="J119440" s="12"/>
      <c r="K119440" s="12"/>
      <c r="L119440" s="208"/>
      <c r="M119440" s="209"/>
      <c r="N119440" s="209"/>
      <c r="O119440" s="209"/>
    </row>
    <row r="119441" spans="1:15" s="210" customFormat="1" x14ac:dyDescent="0.3">
      <c r="A119441" s="12"/>
      <c r="B119441" s="15"/>
      <c r="C119441" s="15"/>
      <c r="D119441" s="12"/>
      <c r="E119441" s="12"/>
      <c r="F119441" s="13"/>
      <c r="G119441" s="12"/>
      <c r="H119441" s="12"/>
      <c r="I119441" s="12"/>
      <c r="J119441" s="12"/>
      <c r="K119441" s="12"/>
      <c r="L119441" s="208"/>
      <c r="M119441" s="209"/>
      <c r="N119441" s="209"/>
      <c r="O119441" s="209"/>
    </row>
    <row r="119442" spans="1:15" s="210" customFormat="1" x14ac:dyDescent="0.3">
      <c r="A119442" s="12"/>
      <c r="B119442" s="15"/>
      <c r="C119442" s="15"/>
      <c r="D119442" s="12"/>
      <c r="E119442" s="12"/>
      <c r="F119442" s="13"/>
      <c r="G119442" s="12"/>
      <c r="H119442" s="12"/>
      <c r="I119442" s="12"/>
      <c r="J119442" s="12"/>
      <c r="K119442" s="12"/>
      <c r="L119442" s="208"/>
      <c r="M119442" s="209"/>
      <c r="N119442" s="209"/>
      <c r="O119442" s="209"/>
    </row>
    <row r="119443" spans="1:15" s="210" customFormat="1" x14ac:dyDescent="0.3">
      <c r="A119443" s="12"/>
      <c r="B119443" s="15"/>
      <c r="C119443" s="15"/>
      <c r="D119443" s="12"/>
      <c r="E119443" s="12"/>
      <c r="F119443" s="13"/>
      <c r="G119443" s="12"/>
      <c r="H119443" s="12"/>
      <c r="I119443" s="12"/>
      <c r="J119443" s="12"/>
      <c r="K119443" s="12"/>
      <c r="L119443" s="208"/>
      <c r="M119443" s="209"/>
      <c r="N119443" s="209"/>
      <c r="O119443" s="209"/>
    </row>
    <row r="119444" spans="1:15" s="210" customFormat="1" x14ac:dyDescent="0.3">
      <c r="A119444" s="12"/>
      <c r="B119444" s="15"/>
      <c r="C119444" s="15"/>
      <c r="D119444" s="12"/>
      <c r="E119444" s="12"/>
      <c r="F119444" s="13"/>
      <c r="G119444" s="12"/>
      <c r="H119444" s="12"/>
      <c r="I119444" s="12"/>
      <c r="J119444" s="12"/>
      <c r="K119444" s="12"/>
      <c r="L119444" s="208"/>
      <c r="M119444" s="209"/>
      <c r="N119444" s="209"/>
      <c r="O119444" s="209"/>
    </row>
    <row r="119445" spans="1:15" s="210" customFormat="1" x14ac:dyDescent="0.3">
      <c r="A119445" s="12"/>
      <c r="B119445" s="15"/>
      <c r="C119445" s="15"/>
      <c r="D119445" s="12"/>
      <c r="E119445" s="12"/>
      <c r="F119445" s="13"/>
      <c r="G119445" s="12"/>
      <c r="H119445" s="12"/>
      <c r="I119445" s="12"/>
      <c r="J119445" s="12"/>
      <c r="K119445" s="12"/>
      <c r="L119445" s="208"/>
      <c r="M119445" s="209"/>
      <c r="N119445" s="209"/>
      <c r="O119445" s="209"/>
    </row>
    <row r="119446" spans="1:15" s="210" customFormat="1" x14ac:dyDescent="0.3">
      <c r="A119446" s="12"/>
      <c r="B119446" s="15"/>
      <c r="C119446" s="15"/>
      <c r="D119446" s="12"/>
      <c r="E119446" s="12"/>
      <c r="F119446" s="13"/>
      <c r="G119446" s="12"/>
      <c r="H119446" s="12"/>
      <c r="I119446" s="12"/>
      <c r="J119446" s="12"/>
      <c r="K119446" s="12"/>
      <c r="L119446" s="208"/>
      <c r="M119446" s="209"/>
      <c r="N119446" s="209"/>
      <c r="O119446" s="209"/>
    </row>
    <row r="119447" spans="1:15" s="210" customFormat="1" x14ac:dyDescent="0.3">
      <c r="A119447" s="12"/>
      <c r="B119447" s="15"/>
      <c r="C119447" s="15"/>
      <c r="D119447" s="12"/>
      <c r="E119447" s="12"/>
      <c r="F119447" s="13"/>
      <c r="G119447" s="12"/>
      <c r="H119447" s="12"/>
      <c r="I119447" s="12"/>
      <c r="J119447" s="12"/>
      <c r="K119447" s="12"/>
      <c r="L119447" s="208"/>
      <c r="M119447" s="209"/>
      <c r="N119447" s="209"/>
      <c r="O119447" s="209"/>
    </row>
    <row r="119448" spans="1:15" s="210" customFormat="1" x14ac:dyDescent="0.3">
      <c r="A119448" s="12"/>
      <c r="B119448" s="15"/>
      <c r="C119448" s="15"/>
      <c r="D119448" s="12"/>
      <c r="E119448" s="12"/>
      <c r="F119448" s="13"/>
      <c r="G119448" s="12"/>
      <c r="H119448" s="12"/>
      <c r="I119448" s="12"/>
      <c r="J119448" s="12"/>
      <c r="K119448" s="12"/>
      <c r="L119448" s="208"/>
      <c r="M119448" s="209"/>
      <c r="N119448" s="209"/>
      <c r="O119448" s="209"/>
    </row>
    <row r="119449" spans="1:15" s="210" customFormat="1" x14ac:dyDescent="0.3">
      <c r="A119449" s="12"/>
      <c r="B119449" s="15"/>
      <c r="C119449" s="15"/>
      <c r="D119449" s="12"/>
      <c r="E119449" s="12"/>
      <c r="F119449" s="13"/>
      <c r="G119449" s="12"/>
      <c r="H119449" s="12"/>
      <c r="I119449" s="12"/>
      <c r="J119449" s="12"/>
      <c r="K119449" s="12"/>
      <c r="L119449" s="208"/>
      <c r="M119449" s="209"/>
      <c r="N119449" s="209"/>
      <c r="O119449" s="209"/>
    </row>
    <row r="119450" spans="1:15" s="210" customFormat="1" x14ac:dyDescent="0.3">
      <c r="A119450" s="12"/>
      <c r="B119450" s="15"/>
      <c r="C119450" s="15"/>
      <c r="D119450" s="12"/>
      <c r="E119450" s="12"/>
      <c r="F119450" s="13"/>
      <c r="G119450" s="12"/>
      <c r="H119450" s="12"/>
      <c r="I119450" s="12"/>
      <c r="J119450" s="12"/>
      <c r="K119450" s="12"/>
      <c r="L119450" s="208"/>
      <c r="M119450" s="209"/>
      <c r="N119450" s="209"/>
      <c r="O119450" s="209"/>
    </row>
    <row r="119451" spans="1:15" s="210" customFormat="1" x14ac:dyDescent="0.3">
      <c r="A119451" s="12"/>
      <c r="B119451" s="15"/>
      <c r="C119451" s="15"/>
      <c r="D119451" s="12"/>
      <c r="E119451" s="12"/>
      <c r="F119451" s="13"/>
      <c r="G119451" s="12"/>
      <c r="H119451" s="12"/>
      <c r="I119451" s="12"/>
      <c r="J119451" s="12"/>
      <c r="K119451" s="12"/>
      <c r="L119451" s="208"/>
      <c r="M119451" s="209"/>
      <c r="N119451" s="209"/>
      <c r="O119451" s="209"/>
    </row>
    <row r="119452" spans="1:15" s="210" customFormat="1" x14ac:dyDescent="0.3">
      <c r="A119452" s="12"/>
      <c r="B119452" s="15"/>
      <c r="C119452" s="15"/>
      <c r="D119452" s="12"/>
      <c r="E119452" s="12"/>
      <c r="F119452" s="13"/>
      <c r="G119452" s="12"/>
      <c r="H119452" s="12"/>
      <c r="I119452" s="12"/>
      <c r="J119452" s="12"/>
      <c r="K119452" s="12"/>
      <c r="L119452" s="208"/>
      <c r="M119452" s="209"/>
      <c r="N119452" s="209"/>
      <c r="O119452" s="209"/>
    </row>
    <row r="119453" spans="1:15" s="210" customFormat="1" x14ac:dyDescent="0.3">
      <c r="A119453" s="12"/>
      <c r="B119453" s="15"/>
      <c r="C119453" s="15"/>
      <c r="D119453" s="12"/>
      <c r="E119453" s="12"/>
      <c r="F119453" s="13"/>
      <c r="G119453" s="12"/>
      <c r="H119453" s="12"/>
      <c r="I119453" s="12"/>
      <c r="J119453" s="12"/>
      <c r="K119453" s="12"/>
      <c r="L119453" s="208"/>
      <c r="M119453" s="209"/>
      <c r="N119453" s="209"/>
      <c r="O119453" s="209"/>
    </row>
    <row r="119454" spans="1:15" s="210" customFormat="1" x14ac:dyDescent="0.3">
      <c r="A119454" s="12"/>
      <c r="B119454" s="15"/>
      <c r="C119454" s="15"/>
      <c r="D119454" s="12"/>
      <c r="E119454" s="12"/>
      <c r="F119454" s="13"/>
      <c r="G119454" s="12"/>
      <c r="H119454" s="12"/>
      <c r="I119454" s="12"/>
      <c r="J119454" s="12"/>
      <c r="K119454" s="12"/>
      <c r="L119454" s="208"/>
      <c r="M119454" s="209"/>
      <c r="N119454" s="209"/>
      <c r="O119454" s="209"/>
    </row>
    <row r="119455" spans="1:15" s="210" customFormat="1" x14ac:dyDescent="0.3">
      <c r="A119455" s="12"/>
      <c r="B119455" s="15"/>
      <c r="C119455" s="15"/>
      <c r="D119455" s="12"/>
      <c r="E119455" s="12"/>
      <c r="F119455" s="13"/>
      <c r="G119455" s="12"/>
      <c r="H119455" s="12"/>
      <c r="I119455" s="12"/>
      <c r="J119455" s="12"/>
      <c r="K119455" s="12"/>
      <c r="L119455" s="208"/>
      <c r="M119455" s="209"/>
      <c r="N119455" s="209"/>
      <c r="O119455" s="209"/>
    </row>
    <row r="119456" spans="1:15" s="210" customFormat="1" x14ac:dyDescent="0.3">
      <c r="A119456" s="12"/>
      <c r="B119456" s="15"/>
      <c r="C119456" s="15"/>
      <c r="D119456" s="12"/>
      <c r="E119456" s="12"/>
      <c r="F119456" s="13"/>
      <c r="G119456" s="12"/>
      <c r="H119456" s="12"/>
      <c r="I119456" s="12"/>
      <c r="J119456" s="12"/>
      <c r="K119456" s="12"/>
      <c r="L119456" s="208"/>
      <c r="M119456" s="209"/>
      <c r="N119456" s="209"/>
      <c r="O119456" s="209"/>
    </row>
    <row r="119457" spans="1:15" s="210" customFormat="1" x14ac:dyDescent="0.3">
      <c r="A119457" s="12"/>
      <c r="B119457" s="15"/>
      <c r="C119457" s="15"/>
      <c r="D119457" s="12"/>
      <c r="E119457" s="12"/>
      <c r="F119457" s="13"/>
      <c r="G119457" s="12"/>
      <c r="H119457" s="12"/>
      <c r="I119457" s="12"/>
      <c r="J119457" s="12"/>
      <c r="K119457" s="12"/>
      <c r="L119457" s="208"/>
      <c r="M119457" s="209"/>
      <c r="N119457" s="209"/>
      <c r="O119457" s="209"/>
    </row>
    <row r="119458" spans="1:15" s="210" customFormat="1" x14ac:dyDescent="0.3">
      <c r="A119458" s="12"/>
      <c r="B119458" s="15"/>
      <c r="C119458" s="15"/>
      <c r="D119458" s="12"/>
      <c r="E119458" s="12"/>
      <c r="F119458" s="13"/>
      <c r="G119458" s="12"/>
      <c r="H119458" s="12"/>
      <c r="I119458" s="12"/>
      <c r="J119458" s="12"/>
      <c r="K119458" s="12"/>
      <c r="L119458" s="208"/>
      <c r="M119458" s="209"/>
      <c r="N119458" s="209"/>
      <c r="O119458" s="209"/>
    </row>
    <row r="119459" spans="1:15" s="210" customFormat="1" x14ac:dyDescent="0.3">
      <c r="A119459" s="12"/>
      <c r="B119459" s="15"/>
      <c r="C119459" s="15"/>
      <c r="D119459" s="12"/>
      <c r="E119459" s="12"/>
      <c r="F119459" s="13"/>
      <c r="G119459" s="12"/>
      <c r="H119459" s="12"/>
      <c r="I119459" s="12"/>
      <c r="J119459" s="12"/>
      <c r="K119459" s="12"/>
      <c r="L119459" s="208"/>
      <c r="M119459" s="209"/>
      <c r="N119459" s="209"/>
      <c r="O119459" s="209"/>
    </row>
    <row r="119460" spans="1:15" s="210" customFormat="1" x14ac:dyDescent="0.3">
      <c r="A119460" s="12"/>
      <c r="B119460" s="15"/>
      <c r="C119460" s="15"/>
      <c r="D119460" s="12"/>
      <c r="E119460" s="12"/>
      <c r="F119460" s="13"/>
      <c r="G119460" s="12"/>
      <c r="H119460" s="12"/>
      <c r="I119460" s="12"/>
      <c r="J119460" s="12"/>
      <c r="K119460" s="12"/>
      <c r="L119460" s="208"/>
      <c r="M119460" s="209"/>
      <c r="N119460" s="209"/>
      <c r="O119460" s="209"/>
    </row>
    <row r="119461" spans="1:15" s="210" customFormat="1" x14ac:dyDescent="0.3">
      <c r="A119461" s="12"/>
      <c r="B119461" s="15"/>
      <c r="C119461" s="15"/>
      <c r="D119461" s="12"/>
      <c r="E119461" s="12"/>
      <c r="F119461" s="13"/>
      <c r="G119461" s="12"/>
      <c r="H119461" s="12"/>
      <c r="I119461" s="12"/>
      <c r="J119461" s="12"/>
      <c r="K119461" s="12"/>
      <c r="L119461" s="208"/>
      <c r="M119461" s="209"/>
      <c r="N119461" s="209"/>
      <c r="O119461" s="209"/>
    </row>
    <row r="119462" spans="1:15" s="210" customFormat="1" x14ac:dyDescent="0.3">
      <c r="A119462" s="12"/>
      <c r="B119462" s="15"/>
      <c r="C119462" s="15"/>
      <c r="D119462" s="12"/>
      <c r="E119462" s="12"/>
      <c r="F119462" s="13"/>
      <c r="G119462" s="12"/>
      <c r="H119462" s="12"/>
      <c r="I119462" s="12"/>
      <c r="J119462" s="12"/>
      <c r="K119462" s="12"/>
      <c r="L119462" s="208"/>
      <c r="M119462" s="209"/>
      <c r="N119462" s="209"/>
      <c r="O119462" s="209"/>
    </row>
    <row r="119463" spans="1:15" s="210" customFormat="1" x14ac:dyDescent="0.3">
      <c r="A119463" s="12"/>
      <c r="B119463" s="15"/>
      <c r="C119463" s="15"/>
      <c r="D119463" s="12"/>
      <c r="E119463" s="12"/>
      <c r="F119463" s="13"/>
      <c r="G119463" s="12"/>
      <c r="H119463" s="12"/>
      <c r="I119463" s="12"/>
      <c r="J119463" s="12"/>
      <c r="K119463" s="12"/>
      <c r="L119463" s="208"/>
      <c r="M119463" s="209"/>
      <c r="N119463" s="209"/>
      <c r="O119463" s="209"/>
    </row>
    <row r="119464" spans="1:15" s="210" customFormat="1" x14ac:dyDescent="0.3">
      <c r="A119464" s="12"/>
      <c r="B119464" s="15"/>
      <c r="C119464" s="15"/>
      <c r="D119464" s="12"/>
      <c r="E119464" s="12"/>
      <c r="F119464" s="13"/>
      <c r="G119464" s="12"/>
      <c r="H119464" s="12"/>
      <c r="I119464" s="12"/>
      <c r="J119464" s="12"/>
      <c r="K119464" s="12"/>
      <c r="L119464" s="208"/>
      <c r="M119464" s="209"/>
      <c r="N119464" s="209"/>
      <c r="O119464" s="209"/>
    </row>
    <row r="119465" spans="1:15" s="210" customFormat="1" x14ac:dyDescent="0.3">
      <c r="A119465" s="12"/>
      <c r="B119465" s="15"/>
      <c r="C119465" s="15"/>
      <c r="D119465" s="12"/>
      <c r="E119465" s="12"/>
      <c r="F119465" s="13"/>
      <c r="G119465" s="12"/>
      <c r="H119465" s="12"/>
      <c r="I119465" s="12"/>
      <c r="J119465" s="12"/>
      <c r="K119465" s="12"/>
      <c r="L119465" s="208"/>
      <c r="M119465" s="209"/>
      <c r="N119465" s="209"/>
      <c r="O119465" s="209"/>
    </row>
    <row r="119466" spans="1:15" s="210" customFormat="1" x14ac:dyDescent="0.3">
      <c r="A119466" s="12"/>
      <c r="B119466" s="15"/>
      <c r="C119466" s="15"/>
      <c r="D119466" s="12"/>
      <c r="E119466" s="12"/>
      <c r="F119466" s="13"/>
      <c r="G119466" s="12"/>
      <c r="H119466" s="12"/>
      <c r="I119466" s="12"/>
      <c r="J119466" s="12"/>
      <c r="K119466" s="12"/>
      <c r="L119466" s="208"/>
      <c r="M119466" s="209"/>
      <c r="N119466" s="209"/>
      <c r="O119466" s="209"/>
    </row>
    <row r="119467" spans="1:15" s="210" customFormat="1" x14ac:dyDescent="0.3">
      <c r="A119467" s="12"/>
      <c r="B119467" s="15"/>
      <c r="C119467" s="15"/>
      <c r="D119467" s="12"/>
      <c r="E119467" s="12"/>
      <c r="F119467" s="13"/>
      <c r="G119467" s="12"/>
      <c r="H119467" s="12"/>
      <c r="I119467" s="12"/>
      <c r="J119467" s="12"/>
      <c r="K119467" s="12"/>
      <c r="L119467" s="208"/>
      <c r="M119467" s="209"/>
      <c r="N119467" s="209"/>
      <c r="O119467" s="209"/>
    </row>
    <row r="119468" spans="1:15" s="210" customFormat="1" x14ac:dyDescent="0.3">
      <c r="A119468" s="12"/>
      <c r="B119468" s="15"/>
      <c r="C119468" s="15"/>
      <c r="D119468" s="12"/>
      <c r="E119468" s="12"/>
      <c r="F119468" s="13"/>
      <c r="G119468" s="12"/>
      <c r="H119468" s="12"/>
      <c r="I119468" s="12"/>
      <c r="J119468" s="12"/>
      <c r="K119468" s="12"/>
      <c r="L119468" s="208"/>
      <c r="M119468" s="209"/>
      <c r="N119468" s="209"/>
      <c r="O119468" s="209"/>
    </row>
    <row r="119469" spans="1:15" s="210" customFormat="1" x14ac:dyDescent="0.3">
      <c r="A119469" s="12"/>
      <c r="B119469" s="15"/>
      <c r="C119469" s="15"/>
      <c r="D119469" s="12"/>
      <c r="E119469" s="12"/>
      <c r="F119469" s="13"/>
      <c r="G119469" s="12"/>
      <c r="H119469" s="12"/>
      <c r="I119469" s="12"/>
      <c r="J119469" s="12"/>
      <c r="K119469" s="12"/>
      <c r="L119469" s="208"/>
      <c r="M119469" s="209"/>
      <c r="N119469" s="209"/>
      <c r="O119469" s="209"/>
    </row>
    <row r="119470" spans="1:15" s="210" customFormat="1" x14ac:dyDescent="0.3">
      <c r="A119470" s="12"/>
      <c r="B119470" s="15"/>
      <c r="C119470" s="15"/>
      <c r="D119470" s="12"/>
      <c r="E119470" s="12"/>
      <c r="F119470" s="13"/>
      <c r="G119470" s="12"/>
      <c r="H119470" s="12"/>
      <c r="I119470" s="12"/>
      <c r="J119470" s="12"/>
      <c r="K119470" s="12"/>
      <c r="L119470" s="208"/>
      <c r="M119470" s="209"/>
      <c r="N119470" s="209"/>
      <c r="O119470" s="209"/>
    </row>
    <row r="119471" spans="1:15" s="210" customFormat="1" x14ac:dyDescent="0.3">
      <c r="A119471" s="12"/>
      <c r="B119471" s="15"/>
      <c r="C119471" s="15"/>
      <c r="D119471" s="12"/>
      <c r="E119471" s="12"/>
      <c r="F119471" s="13"/>
      <c r="G119471" s="12"/>
      <c r="H119471" s="12"/>
      <c r="I119471" s="12"/>
      <c r="J119471" s="12"/>
      <c r="K119471" s="12"/>
      <c r="L119471" s="208"/>
      <c r="M119471" s="209"/>
      <c r="N119471" s="209"/>
      <c r="O119471" s="209"/>
    </row>
    <row r="119472" spans="1:15" s="210" customFormat="1" x14ac:dyDescent="0.3">
      <c r="A119472" s="12"/>
      <c r="B119472" s="15"/>
      <c r="C119472" s="15"/>
      <c r="D119472" s="12"/>
      <c r="E119472" s="12"/>
      <c r="F119472" s="13"/>
      <c r="G119472" s="12"/>
      <c r="H119472" s="12"/>
      <c r="I119472" s="12"/>
      <c r="J119472" s="12"/>
      <c r="K119472" s="12"/>
      <c r="L119472" s="208"/>
      <c r="M119472" s="209"/>
      <c r="N119472" s="209"/>
      <c r="O119472" s="209"/>
    </row>
    <row r="119473" spans="1:15" s="210" customFormat="1" x14ac:dyDescent="0.3">
      <c r="A119473" s="12"/>
      <c r="B119473" s="15"/>
      <c r="C119473" s="15"/>
      <c r="D119473" s="12"/>
      <c r="E119473" s="12"/>
      <c r="F119473" s="13"/>
      <c r="G119473" s="12"/>
      <c r="H119473" s="12"/>
      <c r="I119473" s="12"/>
      <c r="J119473" s="12"/>
      <c r="K119473" s="12"/>
      <c r="L119473" s="208"/>
      <c r="M119473" s="209"/>
      <c r="N119473" s="209"/>
      <c r="O119473" s="209"/>
    </row>
    <row r="119474" spans="1:15" s="210" customFormat="1" x14ac:dyDescent="0.3">
      <c r="A119474" s="12"/>
      <c r="B119474" s="15"/>
      <c r="C119474" s="15"/>
      <c r="D119474" s="12"/>
      <c r="E119474" s="12"/>
      <c r="F119474" s="13"/>
      <c r="G119474" s="12"/>
      <c r="H119474" s="12"/>
      <c r="I119474" s="12"/>
      <c r="J119474" s="12"/>
      <c r="K119474" s="12"/>
      <c r="L119474" s="208"/>
      <c r="M119474" s="209"/>
      <c r="N119474" s="209"/>
      <c r="O119474" s="209"/>
    </row>
    <row r="119475" spans="1:15" s="210" customFormat="1" x14ac:dyDescent="0.3">
      <c r="A119475" s="12"/>
      <c r="B119475" s="15"/>
      <c r="C119475" s="15"/>
      <c r="D119475" s="12"/>
      <c r="E119475" s="12"/>
      <c r="F119475" s="13"/>
      <c r="G119475" s="12"/>
      <c r="H119475" s="12"/>
      <c r="I119475" s="12"/>
      <c r="J119475" s="12"/>
      <c r="K119475" s="12"/>
      <c r="L119475" s="208"/>
      <c r="M119475" s="209"/>
      <c r="N119475" s="209"/>
      <c r="O119475" s="209"/>
    </row>
    <row r="119476" spans="1:15" s="210" customFormat="1" x14ac:dyDescent="0.3">
      <c r="A119476" s="12"/>
      <c r="B119476" s="15"/>
      <c r="C119476" s="15"/>
      <c r="D119476" s="12"/>
      <c r="E119476" s="12"/>
      <c r="F119476" s="13"/>
      <c r="G119476" s="12"/>
      <c r="H119476" s="12"/>
      <c r="I119476" s="12"/>
      <c r="J119476" s="12"/>
      <c r="K119476" s="12"/>
      <c r="L119476" s="208"/>
      <c r="M119476" s="209"/>
      <c r="N119476" s="209"/>
      <c r="O119476" s="209"/>
    </row>
    <row r="119477" spans="1:15" s="210" customFormat="1" x14ac:dyDescent="0.3">
      <c r="A119477" s="12"/>
      <c r="B119477" s="15"/>
      <c r="C119477" s="15"/>
      <c r="D119477" s="12"/>
      <c r="E119477" s="12"/>
      <c r="F119477" s="13"/>
      <c r="G119477" s="12"/>
      <c r="H119477" s="12"/>
      <c r="I119477" s="12"/>
      <c r="J119477" s="12"/>
      <c r="K119477" s="12"/>
      <c r="L119477" s="208"/>
      <c r="M119477" s="209"/>
      <c r="N119477" s="209"/>
      <c r="O119477" s="209"/>
    </row>
    <row r="119478" spans="1:15" s="210" customFormat="1" x14ac:dyDescent="0.3">
      <c r="A119478" s="12"/>
      <c r="B119478" s="15"/>
      <c r="C119478" s="15"/>
      <c r="D119478" s="12"/>
      <c r="E119478" s="12"/>
      <c r="F119478" s="13"/>
      <c r="G119478" s="12"/>
      <c r="H119478" s="12"/>
      <c r="I119478" s="12"/>
      <c r="J119478" s="12"/>
      <c r="K119478" s="12"/>
      <c r="L119478" s="208"/>
      <c r="M119478" s="209"/>
      <c r="N119478" s="209"/>
      <c r="O119478" s="209"/>
    </row>
    <row r="119479" spans="1:15" s="210" customFormat="1" x14ac:dyDescent="0.3">
      <c r="A119479" s="12"/>
      <c r="B119479" s="15"/>
      <c r="C119479" s="15"/>
      <c r="D119479" s="12"/>
      <c r="E119479" s="12"/>
      <c r="F119479" s="13"/>
      <c r="G119479" s="12"/>
      <c r="H119479" s="12"/>
      <c r="I119479" s="12"/>
      <c r="J119479" s="12"/>
      <c r="K119479" s="12"/>
      <c r="L119479" s="208"/>
      <c r="M119479" s="209"/>
      <c r="N119479" s="209"/>
      <c r="O119479" s="209"/>
    </row>
    <row r="119480" spans="1:15" s="210" customFormat="1" x14ac:dyDescent="0.3">
      <c r="A119480" s="12"/>
      <c r="B119480" s="15"/>
      <c r="C119480" s="15"/>
      <c r="D119480" s="12"/>
      <c r="E119480" s="12"/>
      <c r="F119480" s="13"/>
      <c r="G119480" s="12"/>
      <c r="H119480" s="12"/>
      <c r="I119480" s="12"/>
      <c r="J119480" s="12"/>
      <c r="K119480" s="12"/>
      <c r="L119480" s="208"/>
      <c r="M119480" s="209"/>
      <c r="N119480" s="209"/>
      <c r="O119480" s="209"/>
    </row>
    <row r="119481" spans="1:15" s="210" customFormat="1" x14ac:dyDescent="0.3">
      <c r="A119481" s="12"/>
      <c r="B119481" s="15"/>
      <c r="C119481" s="15"/>
      <c r="D119481" s="12"/>
      <c r="E119481" s="12"/>
      <c r="F119481" s="13"/>
      <c r="G119481" s="12"/>
      <c r="H119481" s="12"/>
      <c r="I119481" s="12"/>
      <c r="J119481" s="12"/>
      <c r="K119481" s="12"/>
      <c r="L119481" s="208"/>
      <c r="M119481" s="209"/>
      <c r="N119481" s="209"/>
      <c r="O119481" s="209"/>
    </row>
    <row r="119482" spans="1:15" s="210" customFormat="1" x14ac:dyDescent="0.3">
      <c r="A119482" s="12"/>
      <c r="B119482" s="15"/>
      <c r="C119482" s="15"/>
      <c r="D119482" s="12"/>
      <c r="E119482" s="12"/>
      <c r="F119482" s="13"/>
      <c r="G119482" s="12"/>
      <c r="H119482" s="12"/>
      <c r="I119482" s="12"/>
      <c r="J119482" s="12"/>
      <c r="K119482" s="12"/>
      <c r="L119482" s="208"/>
      <c r="M119482" s="209"/>
      <c r="N119482" s="209"/>
      <c r="O119482" s="209"/>
    </row>
    <row r="119483" spans="1:15" s="210" customFormat="1" x14ac:dyDescent="0.3">
      <c r="A119483" s="12"/>
      <c r="B119483" s="15"/>
      <c r="C119483" s="15"/>
      <c r="D119483" s="12"/>
      <c r="E119483" s="12"/>
      <c r="F119483" s="13"/>
      <c r="G119483" s="12"/>
      <c r="H119483" s="12"/>
      <c r="I119483" s="12"/>
      <c r="J119483" s="12"/>
      <c r="K119483" s="12"/>
      <c r="L119483" s="208"/>
      <c r="M119483" s="209"/>
      <c r="N119483" s="209"/>
      <c r="O119483" s="209"/>
    </row>
    <row r="119484" spans="1:15" s="210" customFormat="1" x14ac:dyDescent="0.3">
      <c r="A119484" s="12"/>
      <c r="B119484" s="15"/>
      <c r="C119484" s="15"/>
      <c r="D119484" s="12"/>
      <c r="E119484" s="12"/>
      <c r="F119484" s="13"/>
      <c r="G119484" s="12"/>
      <c r="H119484" s="12"/>
      <c r="I119484" s="12"/>
      <c r="J119484" s="12"/>
      <c r="K119484" s="12"/>
      <c r="L119484" s="208"/>
      <c r="M119484" s="209"/>
      <c r="N119484" s="209"/>
      <c r="O119484" s="209"/>
    </row>
    <row r="119485" spans="1:15" s="210" customFormat="1" x14ac:dyDescent="0.3">
      <c r="A119485" s="12"/>
      <c r="B119485" s="15"/>
      <c r="C119485" s="15"/>
      <c r="D119485" s="12"/>
      <c r="E119485" s="12"/>
      <c r="F119485" s="13"/>
      <c r="G119485" s="12"/>
      <c r="H119485" s="12"/>
      <c r="I119485" s="12"/>
      <c r="J119485" s="12"/>
      <c r="K119485" s="12"/>
      <c r="L119485" s="208"/>
      <c r="M119485" s="209"/>
      <c r="N119485" s="209"/>
      <c r="O119485" s="209"/>
    </row>
    <row r="119486" spans="1:15" s="210" customFormat="1" x14ac:dyDescent="0.3">
      <c r="A119486" s="12"/>
      <c r="B119486" s="15"/>
      <c r="C119486" s="15"/>
      <c r="D119486" s="12"/>
      <c r="E119486" s="12"/>
      <c r="F119486" s="13"/>
      <c r="G119486" s="12"/>
      <c r="H119486" s="12"/>
      <c r="I119486" s="12"/>
      <c r="J119486" s="12"/>
      <c r="K119486" s="12"/>
      <c r="L119486" s="208"/>
      <c r="M119486" s="209"/>
      <c r="N119486" s="209"/>
      <c r="O119486" s="209"/>
    </row>
    <row r="119487" spans="1:15" s="210" customFormat="1" x14ac:dyDescent="0.3">
      <c r="A119487" s="12"/>
      <c r="B119487" s="15"/>
      <c r="C119487" s="15"/>
      <c r="D119487" s="12"/>
      <c r="E119487" s="12"/>
      <c r="F119487" s="13"/>
      <c r="G119487" s="12"/>
      <c r="H119487" s="12"/>
      <c r="I119487" s="12"/>
      <c r="J119487" s="12"/>
      <c r="K119487" s="12"/>
      <c r="L119487" s="208"/>
      <c r="M119487" s="209"/>
      <c r="N119487" s="209"/>
      <c r="O119487" s="209"/>
    </row>
    <row r="119488" spans="1:15" s="210" customFormat="1" x14ac:dyDescent="0.3">
      <c r="A119488" s="12"/>
      <c r="B119488" s="15"/>
      <c r="C119488" s="15"/>
      <c r="D119488" s="12"/>
      <c r="E119488" s="12"/>
      <c r="F119488" s="13"/>
      <c r="G119488" s="12"/>
      <c r="H119488" s="12"/>
      <c r="I119488" s="12"/>
      <c r="J119488" s="12"/>
      <c r="K119488" s="12"/>
      <c r="L119488" s="208"/>
      <c r="M119488" s="209"/>
      <c r="N119488" s="209"/>
      <c r="O119488" s="209"/>
    </row>
    <row r="119489" spans="1:15" s="210" customFormat="1" x14ac:dyDescent="0.3">
      <c r="A119489" s="12"/>
      <c r="B119489" s="15"/>
      <c r="C119489" s="15"/>
      <c r="D119489" s="12"/>
      <c r="E119489" s="12"/>
      <c r="F119489" s="13"/>
      <c r="G119489" s="12"/>
      <c r="H119489" s="12"/>
      <c r="I119489" s="12"/>
      <c r="J119489" s="12"/>
      <c r="K119489" s="12"/>
      <c r="L119489" s="208"/>
      <c r="M119489" s="209"/>
      <c r="N119489" s="209"/>
      <c r="O119489" s="209"/>
    </row>
    <row r="119490" spans="1:15" s="210" customFormat="1" x14ac:dyDescent="0.3">
      <c r="A119490" s="12"/>
      <c r="B119490" s="15"/>
      <c r="C119490" s="15"/>
      <c r="D119490" s="12"/>
      <c r="E119490" s="12"/>
      <c r="F119490" s="13"/>
      <c r="G119490" s="12"/>
      <c r="H119490" s="12"/>
      <c r="I119490" s="12"/>
      <c r="J119490" s="12"/>
      <c r="K119490" s="12"/>
      <c r="L119490" s="208"/>
      <c r="M119490" s="209"/>
      <c r="N119490" s="209"/>
      <c r="O119490" s="209"/>
    </row>
    <row r="119491" spans="1:15" s="210" customFormat="1" x14ac:dyDescent="0.3">
      <c r="A119491" s="12"/>
      <c r="B119491" s="15"/>
      <c r="C119491" s="15"/>
      <c r="D119491" s="12"/>
      <c r="E119491" s="12"/>
      <c r="F119491" s="13"/>
      <c r="G119491" s="12"/>
      <c r="H119491" s="12"/>
      <c r="I119491" s="12"/>
      <c r="J119491" s="12"/>
      <c r="K119491" s="12"/>
      <c r="L119491" s="208"/>
      <c r="M119491" s="209"/>
      <c r="N119491" s="209"/>
      <c r="O119491" s="209"/>
    </row>
    <row r="119492" spans="1:15" s="210" customFormat="1" x14ac:dyDescent="0.3">
      <c r="A119492" s="12"/>
      <c r="B119492" s="15"/>
      <c r="C119492" s="15"/>
      <c r="D119492" s="12"/>
      <c r="E119492" s="12"/>
      <c r="F119492" s="13"/>
      <c r="G119492" s="12"/>
      <c r="H119492" s="12"/>
      <c r="I119492" s="12"/>
      <c r="J119492" s="12"/>
      <c r="K119492" s="12"/>
      <c r="L119492" s="208"/>
      <c r="M119492" s="209"/>
      <c r="N119492" s="209"/>
      <c r="O119492" s="209"/>
    </row>
    <row r="119493" spans="1:15" s="210" customFormat="1" x14ac:dyDescent="0.3">
      <c r="A119493" s="12"/>
      <c r="B119493" s="15"/>
      <c r="C119493" s="15"/>
      <c r="D119493" s="12"/>
      <c r="E119493" s="12"/>
      <c r="F119493" s="13"/>
      <c r="G119493" s="12"/>
      <c r="H119493" s="12"/>
      <c r="I119493" s="12"/>
      <c r="J119493" s="12"/>
      <c r="K119493" s="12"/>
      <c r="L119493" s="208"/>
      <c r="M119493" s="209"/>
      <c r="N119493" s="209"/>
      <c r="O119493" s="209"/>
    </row>
    <row r="119494" spans="1:15" s="210" customFormat="1" x14ac:dyDescent="0.3">
      <c r="A119494" s="12"/>
      <c r="B119494" s="15"/>
      <c r="C119494" s="15"/>
      <c r="D119494" s="12"/>
      <c r="E119494" s="12"/>
      <c r="F119494" s="13"/>
      <c r="G119494" s="12"/>
      <c r="H119494" s="12"/>
      <c r="I119494" s="12"/>
      <c r="J119494" s="12"/>
      <c r="K119494" s="12"/>
      <c r="L119494" s="208"/>
      <c r="M119494" s="209"/>
      <c r="N119494" s="209"/>
      <c r="O119494" s="209"/>
    </row>
    <row r="119495" spans="1:15" s="210" customFormat="1" x14ac:dyDescent="0.3">
      <c r="A119495" s="12"/>
      <c r="B119495" s="15"/>
      <c r="C119495" s="15"/>
      <c r="D119495" s="12"/>
      <c r="E119495" s="12"/>
      <c r="F119495" s="13"/>
      <c r="G119495" s="12"/>
      <c r="H119495" s="12"/>
      <c r="I119495" s="12"/>
      <c r="J119495" s="12"/>
      <c r="K119495" s="12"/>
      <c r="L119495" s="208"/>
      <c r="M119495" s="209"/>
      <c r="N119495" s="209"/>
      <c r="O119495" s="209"/>
    </row>
    <row r="119496" spans="1:15" s="210" customFormat="1" x14ac:dyDescent="0.3">
      <c r="A119496" s="12"/>
      <c r="B119496" s="15"/>
      <c r="C119496" s="15"/>
      <c r="D119496" s="12"/>
      <c r="E119496" s="12"/>
      <c r="F119496" s="13"/>
      <c r="G119496" s="12"/>
      <c r="H119496" s="12"/>
      <c r="I119496" s="12"/>
      <c r="J119496" s="12"/>
      <c r="K119496" s="12"/>
      <c r="L119496" s="208"/>
      <c r="M119496" s="209"/>
      <c r="N119496" s="209"/>
      <c r="O119496" s="209"/>
    </row>
    <row r="119497" spans="1:15" s="210" customFormat="1" x14ac:dyDescent="0.3">
      <c r="A119497" s="12"/>
      <c r="B119497" s="15"/>
      <c r="C119497" s="15"/>
      <c r="D119497" s="12"/>
      <c r="E119497" s="12"/>
      <c r="F119497" s="13"/>
      <c r="G119497" s="12"/>
      <c r="H119497" s="12"/>
      <c r="I119497" s="12"/>
      <c r="J119497" s="12"/>
      <c r="K119497" s="12"/>
      <c r="L119497" s="208"/>
      <c r="M119497" s="209"/>
      <c r="N119497" s="209"/>
      <c r="O119497" s="209"/>
    </row>
    <row r="119498" spans="1:15" s="210" customFormat="1" x14ac:dyDescent="0.3">
      <c r="A119498" s="12"/>
      <c r="B119498" s="15"/>
      <c r="C119498" s="15"/>
      <c r="D119498" s="12"/>
      <c r="E119498" s="12"/>
      <c r="F119498" s="13"/>
      <c r="G119498" s="12"/>
      <c r="H119498" s="12"/>
      <c r="I119498" s="12"/>
      <c r="J119498" s="12"/>
      <c r="K119498" s="12"/>
      <c r="L119498" s="208"/>
      <c r="M119498" s="209"/>
      <c r="N119498" s="209"/>
      <c r="O119498" s="209"/>
    </row>
    <row r="119499" spans="1:15" s="210" customFormat="1" x14ac:dyDescent="0.3">
      <c r="A119499" s="12"/>
      <c r="B119499" s="15"/>
      <c r="C119499" s="15"/>
      <c r="D119499" s="12"/>
      <c r="E119499" s="12"/>
      <c r="F119499" s="13"/>
      <c r="G119499" s="12"/>
      <c r="H119499" s="12"/>
      <c r="I119499" s="12"/>
      <c r="J119499" s="12"/>
      <c r="K119499" s="12"/>
      <c r="L119499" s="208"/>
      <c r="M119499" s="209"/>
      <c r="N119499" s="209"/>
      <c r="O119499" s="209"/>
    </row>
    <row r="119500" spans="1:15" s="210" customFormat="1" x14ac:dyDescent="0.3">
      <c r="A119500" s="12"/>
      <c r="B119500" s="15"/>
      <c r="C119500" s="15"/>
      <c r="D119500" s="12"/>
      <c r="E119500" s="12"/>
      <c r="F119500" s="13"/>
      <c r="G119500" s="12"/>
      <c r="H119500" s="12"/>
      <c r="I119500" s="12"/>
      <c r="J119500" s="12"/>
      <c r="K119500" s="12"/>
      <c r="L119500" s="208"/>
      <c r="M119500" s="209"/>
      <c r="N119500" s="209"/>
      <c r="O119500" s="209"/>
    </row>
    <row r="119501" spans="1:15" s="210" customFormat="1" x14ac:dyDescent="0.3">
      <c r="A119501" s="12"/>
      <c r="B119501" s="15"/>
      <c r="C119501" s="15"/>
      <c r="D119501" s="12"/>
      <c r="E119501" s="12"/>
      <c r="F119501" s="13"/>
      <c r="G119501" s="12"/>
      <c r="H119501" s="12"/>
      <c r="I119501" s="12"/>
      <c r="J119501" s="12"/>
      <c r="K119501" s="12"/>
      <c r="L119501" s="208"/>
      <c r="M119501" s="209"/>
      <c r="N119501" s="209"/>
      <c r="O119501" s="209"/>
    </row>
    <row r="119502" spans="1:15" s="210" customFormat="1" x14ac:dyDescent="0.3">
      <c r="A119502" s="12"/>
      <c r="B119502" s="15"/>
      <c r="C119502" s="15"/>
      <c r="D119502" s="12"/>
      <c r="E119502" s="12"/>
      <c r="F119502" s="13"/>
      <c r="G119502" s="12"/>
      <c r="H119502" s="12"/>
      <c r="I119502" s="12"/>
      <c r="J119502" s="12"/>
      <c r="K119502" s="12"/>
      <c r="L119502" s="208"/>
      <c r="M119502" s="209"/>
      <c r="N119502" s="209"/>
      <c r="O119502" s="209"/>
    </row>
    <row r="119503" spans="1:15" s="210" customFormat="1" x14ac:dyDescent="0.3">
      <c r="A119503" s="12"/>
      <c r="B119503" s="15"/>
      <c r="C119503" s="15"/>
      <c r="D119503" s="12"/>
      <c r="E119503" s="12"/>
      <c r="F119503" s="13"/>
      <c r="G119503" s="12"/>
      <c r="H119503" s="12"/>
      <c r="I119503" s="12"/>
      <c r="J119503" s="12"/>
      <c r="K119503" s="12"/>
      <c r="L119503" s="208"/>
      <c r="M119503" s="209"/>
      <c r="N119503" s="209"/>
      <c r="O119503" s="209"/>
    </row>
    <row r="119504" spans="1:15" s="210" customFormat="1" x14ac:dyDescent="0.3">
      <c r="A119504" s="12"/>
      <c r="B119504" s="15"/>
      <c r="C119504" s="15"/>
      <c r="D119504" s="12"/>
      <c r="E119504" s="12"/>
      <c r="F119504" s="13"/>
      <c r="G119504" s="12"/>
      <c r="H119504" s="12"/>
      <c r="I119504" s="12"/>
      <c r="J119504" s="12"/>
      <c r="K119504" s="12"/>
      <c r="L119504" s="208"/>
      <c r="M119504" s="209"/>
      <c r="N119504" s="209"/>
      <c r="O119504" s="209"/>
    </row>
    <row r="119505" spans="1:15" s="210" customFormat="1" x14ac:dyDescent="0.3">
      <c r="A119505" s="12"/>
      <c r="B119505" s="15"/>
      <c r="C119505" s="15"/>
      <c r="D119505" s="12"/>
      <c r="E119505" s="12"/>
      <c r="F119505" s="13"/>
      <c r="G119505" s="12"/>
      <c r="H119505" s="12"/>
      <c r="I119505" s="12"/>
      <c r="J119505" s="12"/>
      <c r="K119505" s="12"/>
      <c r="L119505" s="208"/>
      <c r="M119505" s="209"/>
      <c r="N119505" s="209"/>
      <c r="O119505" s="209"/>
    </row>
    <row r="119506" spans="1:15" s="210" customFormat="1" x14ac:dyDescent="0.3">
      <c r="A119506" s="12"/>
      <c r="B119506" s="15"/>
      <c r="C119506" s="15"/>
      <c r="D119506" s="12"/>
      <c r="E119506" s="12"/>
      <c r="F119506" s="13"/>
      <c r="G119506" s="12"/>
      <c r="H119506" s="12"/>
      <c r="I119506" s="12"/>
      <c r="J119506" s="12"/>
      <c r="K119506" s="12"/>
      <c r="L119506" s="208"/>
      <c r="M119506" s="209"/>
      <c r="N119506" s="209"/>
      <c r="O119506" s="209"/>
    </row>
    <row r="119507" spans="1:15" s="210" customFormat="1" x14ac:dyDescent="0.3">
      <c r="A119507" s="12"/>
      <c r="B119507" s="15"/>
      <c r="C119507" s="15"/>
      <c r="D119507" s="12"/>
      <c r="E119507" s="12"/>
      <c r="F119507" s="13"/>
      <c r="G119507" s="12"/>
      <c r="H119507" s="12"/>
      <c r="I119507" s="12"/>
      <c r="J119507" s="12"/>
      <c r="K119507" s="12"/>
      <c r="L119507" s="208"/>
      <c r="M119507" s="209"/>
      <c r="N119507" s="209"/>
      <c r="O119507" s="209"/>
    </row>
    <row r="119508" spans="1:15" s="210" customFormat="1" x14ac:dyDescent="0.3">
      <c r="A119508" s="12"/>
      <c r="B119508" s="15"/>
      <c r="C119508" s="15"/>
      <c r="D119508" s="12"/>
      <c r="E119508" s="12"/>
      <c r="F119508" s="13"/>
      <c r="G119508" s="12"/>
      <c r="H119508" s="12"/>
      <c r="I119508" s="12"/>
      <c r="J119508" s="12"/>
      <c r="K119508" s="12"/>
      <c r="L119508" s="208"/>
      <c r="M119508" s="209"/>
      <c r="N119508" s="209"/>
      <c r="O119508" s="209"/>
    </row>
    <row r="119509" spans="1:15" s="210" customFormat="1" x14ac:dyDescent="0.3">
      <c r="A119509" s="12"/>
      <c r="B119509" s="15"/>
      <c r="C119509" s="15"/>
      <c r="D119509" s="12"/>
      <c r="E119509" s="12"/>
      <c r="F119509" s="13"/>
      <c r="G119509" s="12"/>
      <c r="H119509" s="12"/>
      <c r="I119509" s="12"/>
      <c r="J119509" s="12"/>
      <c r="K119509" s="12"/>
      <c r="L119509" s="208"/>
      <c r="M119509" s="209"/>
      <c r="N119509" s="209"/>
      <c r="O119509" s="209"/>
    </row>
    <row r="119510" spans="1:15" s="210" customFormat="1" x14ac:dyDescent="0.3">
      <c r="A119510" s="12"/>
      <c r="B119510" s="15"/>
      <c r="C119510" s="15"/>
      <c r="D119510" s="12"/>
      <c r="E119510" s="12"/>
      <c r="F119510" s="13"/>
      <c r="G119510" s="12"/>
      <c r="H119510" s="12"/>
      <c r="I119510" s="12"/>
      <c r="J119510" s="12"/>
      <c r="K119510" s="12"/>
      <c r="L119510" s="208"/>
      <c r="M119510" s="209"/>
      <c r="N119510" s="209"/>
      <c r="O119510" s="209"/>
    </row>
    <row r="119511" spans="1:15" s="210" customFormat="1" x14ac:dyDescent="0.3">
      <c r="A119511" s="12"/>
      <c r="B119511" s="15"/>
      <c r="C119511" s="15"/>
      <c r="D119511" s="12"/>
      <c r="E119511" s="12"/>
      <c r="F119511" s="13"/>
      <c r="G119511" s="12"/>
      <c r="H119511" s="12"/>
      <c r="I119511" s="12"/>
      <c r="J119511" s="12"/>
      <c r="K119511" s="12"/>
      <c r="L119511" s="208"/>
      <c r="M119511" s="209"/>
      <c r="N119511" s="209"/>
      <c r="O119511" s="209"/>
    </row>
    <row r="119512" spans="1:15" s="210" customFormat="1" x14ac:dyDescent="0.3">
      <c r="A119512" s="12"/>
      <c r="B119512" s="15"/>
      <c r="C119512" s="15"/>
      <c r="D119512" s="12"/>
      <c r="E119512" s="12"/>
      <c r="F119512" s="13"/>
      <c r="G119512" s="12"/>
      <c r="H119512" s="12"/>
      <c r="I119512" s="12"/>
      <c r="J119512" s="12"/>
      <c r="K119512" s="12"/>
      <c r="L119512" s="208"/>
      <c r="M119512" s="209"/>
      <c r="N119512" s="209"/>
      <c r="O119512" s="209"/>
    </row>
    <row r="119513" spans="1:15" s="210" customFormat="1" x14ac:dyDescent="0.3">
      <c r="A119513" s="12"/>
      <c r="B119513" s="15"/>
      <c r="C119513" s="15"/>
      <c r="D119513" s="12"/>
      <c r="E119513" s="12"/>
      <c r="F119513" s="13"/>
      <c r="G119513" s="12"/>
      <c r="H119513" s="12"/>
      <c r="I119513" s="12"/>
      <c r="J119513" s="12"/>
      <c r="K119513" s="12"/>
      <c r="L119513" s="208"/>
      <c r="M119513" s="209"/>
      <c r="N119513" s="209"/>
      <c r="O119513" s="209"/>
    </row>
    <row r="119514" spans="1:15" s="210" customFormat="1" x14ac:dyDescent="0.3">
      <c r="A119514" s="12"/>
      <c r="B119514" s="15"/>
      <c r="C119514" s="15"/>
      <c r="D119514" s="12"/>
      <c r="E119514" s="12"/>
      <c r="F119514" s="13"/>
      <c r="G119514" s="12"/>
      <c r="H119514" s="12"/>
      <c r="I119514" s="12"/>
      <c r="J119514" s="12"/>
      <c r="K119514" s="12"/>
      <c r="L119514" s="208"/>
      <c r="M119514" s="209"/>
      <c r="N119514" s="209"/>
      <c r="O119514" s="209"/>
    </row>
    <row r="119515" spans="1:15" s="210" customFormat="1" x14ac:dyDescent="0.3">
      <c r="A119515" s="12"/>
      <c r="B119515" s="15"/>
      <c r="C119515" s="15"/>
      <c r="D119515" s="12"/>
      <c r="E119515" s="12"/>
      <c r="F119515" s="13"/>
      <c r="G119515" s="12"/>
      <c r="H119515" s="12"/>
      <c r="I119515" s="12"/>
      <c r="J119515" s="12"/>
      <c r="K119515" s="12"/>
      <c r="L119515" s="208"/>
      <c r="M119515" s="209"/>
      <c r="N119515" s="209"/>
      <c r="O119515" s="209"/>
    </row>
    <row r="119516" spans="1:15" s="210" customFormat="1" x14ac:dyDescent="0.3">
      <c r="A119516" s="12"/>
      <c r="B119516" s="15"/>
      <c r="C119516" s="15"/>
      <c r="D119516" s="12"/>
      <c r="E119516" s="12"/>
      <c r="F119516" s="13"/>
      <c r="G119516" s="12"/>
      <c r="H119516" s="12"/>
      <c r="I119516" s="12"/>
      <c r="J119516" s="12"/>
      <c r="K119516" s="12"/>
      <c r="L119516" s="208"/>
      <c r="M119516" s="209"/>
      <c r="N119516" s="209"/>
      <c r="O119516" s="209"/>
    </row>
    <row r="119517" spans="1:15" s="210" customFormat="1" x14ac:dyDescent="0.3">
      <c r="A119517" s="12"/>
      <c r="B119517" s="15"/>
      <c r="C119517" s="15"/>
      <c r="D119517" s="12"/>
      <c r="E119517" s="12"/>
      <c r="F119517" s="13"/>
      <c r="G119517" s="12"/>
      <c r="H119517" s="12"/>
      <c r="I119517" s="12"/>
      <c r="J119517" s="12"/>
      <c r="K119517" s="12"/>
      <c r="L119517" s="208"/>
      <c r="M119517" s="209"/>
      <c r="N119517" s="209"/>
      <c r="O119517" s="209"/>
    </row>
    <row r="119518" spans="1:15" s="210" customFormat="1" x14ac:dyDescent="0.3">
      <c r="A119518" s="12"/>
      <c r="B119518" s="15"/>
      <c r="C119518" s="15"/>
      <c r="D119518" s="12"/>
      <c r="E119518" s="12"/>
      <c r="F119518" s="13"/>
      <c r="G119518" s="12"/>
      <c r="H119518" s="12"/>
      <c r="I119518" s="12"/>
      <c r="J119518" s="12"/>
      <c r="K119518" s="12"/>
      <c r="L119518" s="208"/>
      <c r="M119518" s="209"/>
      <c r="N119518" s="209"/>
      <c r="O119518" s="209"/>
    </row>
    <row r="119519" spans="1:15" s="210" customFormat="1" x14ac:dyDescent="0.3">
      <c r="A119519" s="12"/>
      <c r="B119519" s="15"/>
      <c r="C119519" s="15"/>
      <c r="D119519" s="12"/>
      <c r="E119519" s="12"/>
      <c r="F119519" s="13"/>
      <c r="G119519" s="12"/>
      <c r="H119519" s="12"/>
      <c r="I119519" s="12"/>
      <c r="J119519" s="12"/>
      <c r="K119519" s="12"/>
      <c r="L119519" s="208"/>
      <c r="M119519" s="209"/>
      <c r="N119519" s="209"/>
      <c r="O119519" s="209"/>
    </row>
    <row r="119520" spans="1:15" s="210" customFormat="1" x14ac:dyDescent="0.3">
      <c r="A119520" s="12"/>
      <c r="B119520" s="15"/>
      <c r="C119520" s="15"/>
      <c r="D119520" s="12"/>
      <c r="E119520" s="12"/>
      <c r="F119520" s="13"/>
      <c r="G119520" s="12"/>
      <c r="H119520" s="12"/>
      <c r="I119520" s="12"/>
      <c r="J119520" s="12"/>
      <c r="K119520" s="12"/>
      <c r="L119520" s="208"/>
      <c r="M119520" s="209"/>
      <c r="N119520" s="209"/>
      <c r="O119520" s="209"/>
    </row>
    <row r="119521" spans="1:15" s="210" customFormat="1" x14ac:dyDescent="0.3">
      <c r="A119521" s="12"/>
      <c r="B119521" s="15"/>
      <c r="C119521" s="15"/>
      <c r="D119521" s="12"/>
      <c r="E119521" s="12"/>
      <c r="F119521" s="13"/>
      <c r="G119521" s="12"/>
      <c r="H119521" s="12"/>
      <c r="I119521" s="12"/>
      <c r="J119521" s="12"/>
      <c r="K119521" s="12"/>
      <c r="L119521" s="208"/>
      <c r="M119521" s="209"/>
      <c r="N119521" s="209"/>
      <c r="O119521" s="209"/>
    </row>
    <row r="119522" spans="1:15" s="210" customFormat="1" x14ac:dyDescent="0.3">
      <c r="A119522" s="12"/>
      <c r="B119522" s="15"/>
      <c r="C119522" s="15"/>
      <c r="D119522" s="12"/>
      <c r="E119522" s="12"/>
      <c r="F119522" s="13"/>
      <c r="G119522" s="12"/>
      <c r="H119522" s="12"/>
      <c r="I119522" s="12"/>
      <c r="J119522" s="12"/>
      <c r="K119522" s="12"/>
      <c r="L119522" s="208"/>
      <c r="M119522" s="209"/>
      <c r="N119522" s="209"/>
      <c r="O119522" s="209"/>
    </row>
    <row r="119523" spans="1:15" s="210" customFormat="1" x14ac:dyDescent="0.3">
      <c r="A119523" s="12"/>
      <c r="B119523" s="15"/>
      <c r="C119523" s="15"/>
      <c r="D119523" s="12"/>
      <c r="E119523" s="12"/>
      <c r="F119523" s="13"/>
      <c r="G119523" s="12"/>
      <c r="H119523" s="12"/>
      <c r="I119523" s="12"/>
      <c r="J119523" s="12"/>
      <c r="K119523" s="12"/>
      <c r="L119523" s="208"/>
      <c r="M119523" s="209"/>
      <c r="N119523" s="209"/>
      <c r="O119523" s="209"/>
    </row>
    <row r="119524" spans="1:15" s="210" customFormat="1" x14ac:dyDescent="0.3">
      <c r="A119524" s="12"/>
      <c r="B119524" s="15"/>
      <c r="C119524" s="15"/>
      <c r="D119524" s="12"/>
      <c r="E119524" s="12"/>
      <c r="F119524" s="13"/>
      <c r="G119524" s="12"/>
      <c r="H119524" s="12"/>
      <c r="I119524" s="12"/>
      <c r="J119524" s="12"/>
      <c r="K119524" s="12"/>
      <c r="L119524" s="208"/>
      <c r="M119524" s="209"/>
      <c r="N119524" s="209"/>
      <c r="O119524" s="209"/>
    </row>
    <row r="119525" spans="1:15" s="210" customFormat="1" x14ac:dyDescent="0.3">
      <c r="A119525" s="12"/>
      <c r="B119525" s="15"/>
      <c r="C119525" s="15"/>
      <c r="D119525" s="12"/>
      <c r="E119525" s="12"/>
      <c r="F119525" s="13"/>
      <c r="G119525" s="12"/>
      <c r="H119525" s="12"/>
      <c r="I119525" s="12"/>
      <c r="J119525" s="12"/>
      <c r="K119525" s="12"/>
      <c r="L119525" s="208"/>
      <c r="M119525" s="209"/>
      <c r="N119525" s="209"/>
      <c r="O119525" s="209"/>
    </row>
    <row r="119526" spans="1:15" s="210" customFormat="1" x14ac:dyDescent="0.3">
      <c r="A119526" s="12"/>
      <c r="B119526" s="15"/>
      <c r="C119526" s="15"/>
      <c r="D119526" s="12"/>
      <c r="E119526" s="12"/>
      <c r="F119526" s="13"/>
      <c r="G119526" s="12"/>
      <c r="H119526" s="12"/>
      <c r="I119526" s="12"/>
      <c r="J119526" s="12"/>
      <c r="K119526" s="12"/>
      <c r="L119526" s="208"/>
      <c r="M119526" s="209"/>
      <c r="N119526" s="209"/>
      <c r="O119526" s="209"/>
    </row>
    <row r="119527" spans="1:15" s="210" customFormat="1" x14ac:dyDescent="0.3">
      <c r="A119527" s="12"/>
      <c r="B119527" s="15"/>
      <c r="C119527" s="15"/>
      <c r="D119527" s="12"/>
      <c r="E119527" s="12"/>
      <c r="F119527" s="13"/>
      <c r="G119527" s="12"/>
      <c r="H119527" s="12"/>
      <c r="I119527" s="12"/>
      <c r="J119527" s="12"/>
      <c r="K119527" s="12"/>
      <c r="L119527" s="208"/>
      <c r="M119527" s="209"/>
      <c r="N119527" s="209"/>
      <c r="O119527" s="209"/>
    </row>
    <row r="119528" spans="1:15" s="210" customFormat="1" x14ac:dyDescent="0.3">
      <c r="A119528" s="12"/>
      <c r="B119528" s="15"/>
      <c r="C119528" s="15"/>
      <c r="D119528" s="12"/>
      <c r="E119528" s="12"/>
      <c r="F119528" s="13"/>
      <c r="G119528" s="12"/>
      <c r="H119528" s="12"/>
      <c r="I119528" s="12"/>
      <c r="J119528" s="12"/>
      <c r="K119528" s="12"/>
      <c r="L119528" s="208"/>
      <c r="M119528" s="209"/>
      <c r="N119528" s="209"/>
      <c r="O119528" s="209"/>
    </row>
    <row r="119529" spans="1:15" s="210" customFormat="1" x14ac:dyDescent="0.3">
      <c r="A119529" s="12"/>
      <c r="B119529" s="15"/>
      <c r="C119529" s="15"/>
      <c r="D119529" s="12"/>
      <c r="E119529" s="12"/>
      <c r="F119529" s="13"/>
      <c r="G119529" s="12"/>
      <c r="H119529" s="12"/>
      <c r="I119529" s="12"/>
      <c r="J119529" s="12"/>
      <c r="K119529" s="12"/>
      <c r="L119529" s="208"/>
      <c r="M119529" s="209"/>
      <c r="N119529" s="209"/>
      <c r="O119529" s="209"/>
    </row>
    <row r="119530" spans="1:15" s="210" customFormat="1" x14ac:dyDescent="0.3">
      <c r="A119530" s="12"/>
      <c r="B119530" s="15"/>
      <c r="C119530" s="15"/>
      <c r="D119530" s="12"/>
      <c r="E119530" s="12"/>
      <c r="F119530" s="13"/>
      <c r="G119530" s="12"/>
      <c r="H119530" s="12"/>
      <c r="I119530" s="12"/>
      <c r="J119530" s="12"/>
      <c r="K119530" s="12"/>
      <c r="L119530" s="208"/>
      <c r="M119530" s="209"/>
      <c r="N119530" s="209"/>
      <c r="O119530" s="209"/>
    </row>
    <row r="119531" spans="1:15" s="210" customFormat="1" x14ac:dyDescent="0.3">
      <c r="A119531" s="12"/>
      <c r="B119531" s="15"/>
      <c r="C119531" s="15"/>
      <c r="D119531" s="12"/>
      <c r="E119531" s="12"/>
      <c r="F119531" s="13"/>
      <c r="G119531" s="12"/>
      <c r="H119531" s="12"/>
      <c r="I119531" s="12"/>
      <c r="J119531" s="12"/>
      <c r="K119531" s="12"/>
      <c r="L119531" s="208"/>
      <c r="M119531" s="209"/>
      <c r="N119531" s="209"/>
      <c r="O119531" s="209"/>
    </row>
    <row r="119532" spans="1:15" s="210" customFormat="1" x14ac:dyDescent="0.3">
      <c r="A119532" s="12"/>
      <c r="B119532" s="15"/>
      <c r="C119532" s="15"/>
      <c r="D119532" s="12"/>
      <c r="E119532" s="12"/>
      <c r="F119532" s="13"/>
      <c r="G119532" s="12"/>
      <c r="H119532" s="12"/>
      <c r="I119532" s="12"/>
      <c r="J119532" s="12"/>
      <c r="K119532" s="12"/>
      <c r="L119532" s="208"/>
      <c r="M119532" s="209"/>
      <c r="N119532" s="209"/>
      <c r="O119532" s="209"/>
    </row>
    <row r="119533" spans="1:15" s="210" customFormat="1" x14ac:dyDescent="0.3">
      <c r="A119533" s="12"/>
      <c r="B119533" s="15"/>
      <c r="C119533" s="15"/>
      <c r="D119533" s="12"/>
      <c r="E119533" s="12"/>
      <c r="F119533" s="13"/>
      <c r="G119533" s="12"/>
      <c r="H119533" s="12"/>
      <c r="I119533" s="12"/>
      <c r="J119533" s="12"/>
      <c r="K119533" s="12"/>
      <c r="L119533" s="208"/>
      <c r="M119533" s="209"/>
      <c r="N119533" s="209"/>
      <c r="O119533" s="209"/>
    </row>
    <row r="119534" spans="1:15" s="210" customFormat="1" x14ac:dyDescent="0.3">
      <c r="A119534" s="12"/>
      <c r="B119534" s="15"/>
      <c r="C119534" s="15"/>
      <c r="D119534" s="12"/>
      <c r="E119534" s="12"/>
      <c r="F119534" s="13"/>
      <c r="G119534" s="12"/>
      <c r="H119534" s="12"/>
      <c r="I119534" s="12"/>
      <c r="J119534" s="12"/>
      <c r="K119534" s="12"/>
      <c r="L119534" s="208"/>
      <c r="M119534" s="209"/>
      <c r="N119534" s="209"/>
      <c r="O119534" s="209"/>
    </row>
    <row r="119535" spans="1:15" s="210" customFormat="1" x14ac:dyDescent="0.3">
      <c r="A119535" s="12"/>
      <c r="B119535" s="15"/>
      <c r="C119535" s="15"/>
      <c r="D119535" s="12"/>
      <c r="E119535" s="12"/>
      <c r="F119535" s="13"/>
      <c r="G119535" s="12"/>
      <c r="H119535" s="12"/>
      <c r="I119535" s="12"/>
      <c r="J119535" s="12"/>
      <c r="K119535" s="12"/>
      <c r="L119535" s="208"/>
      <c r="M119535" s="209"/>
      <c r="N119535" s="209"/>
      <c r="O119535" s="209"/>
    </row>
    <row r="119536" spans="1:15" s="210" customFormat="1" x14ac:dyDescent="0.3">
      <c r="A119536" s="12"/>
      <c r="B119536" s="15"/>
      <c r="C119536" s="15"/>
      <c r="D119536" s="12"/>
      <c r="E119536" s="12"/>
      <c r="F119536" s="13"/>
      <c r="G119536" s="12"/>
      <c r="H119536" s="12"/>
      <c r="I119536" s="12"/>
      <c r="J119536" s="12"/>
      <c r="K119536" s="12"/>
      <c r="L119536" s="208"/>
      <c r="M119536" s="209"/>
      <c r="N119536" s="209"/>
      <c r="O119536" s="209"/>
    </row>
    <row r="119537" spans="1:15" s="210" customFormat="1" x14ac:dyDescent="0.3">
      <c r="A119537" s="12"/>
      <c r="B119537" s="15"/>
      <c r="C119537" s="15"/>
      <c r="D119537" s="12"/>
      <c r="E119537" s="12"/>
      <c r="F119537" s="13"/>
      <c r="G119537" s="12"/>
      <c r="H119537" s="12"/>
      <c r="I119537" s="12"/>
      <c r="J119537" s="12"/>
      <c r="K119537" s="12"/>
      <c r="L119537" s="208"/>
      <c r="M119537" s="209"/>
      <c r="N119537" s="209"/>
      <c r="O119537" s="209"/>
    </row>
    <row r="119538" spans="1:15" s="210" customFormat="1" x14ac:dyDescent="0.3">
      <c r="A119538" s="12"/>
      <c r="B119538" s="15"/>
      <c r="C119538" s="15"/>
      <c r="D119538" s="12"/>
      <c r="E119538" s="12"/>
      <c r="F119538" s="13"/>
      <c r="G119538" s="12"/>
      <c r="H119538" s="12"/>
      <c r="I119538" s="12"/>
      <c r="J119538" s="12"/>
      <c r="K119538" s="12"/>
      <c r="L119538" s="208"/>
      <c r="M119538" s="209"/>
      <c r="N119538" s="209"/>
      <c r="O119538" s="209"/>
    </row>
    <row r="119539" spans="1:15" s="210" customFormat="1" x14ac:dyDescent="0.3">
      <c r="A119539" s="12"/>
      <c r="B119539" s="15"/>
      <c r="C119539" s="15"/>
      <c r="D119539" s="12"/>
      <c r="E119539" s="12"/>
      <c r="F119539" s="13"/>
      <c r="G119539" s="12"/>
      <c r="H119539" s="12"/>
      <c r="I119539" s="12"/>
      <c r="J119539" s="12"/>
      <c r="K119539" s="12"/>
      <c r="L119539" s="208"/>
      <c r="M119539" s="209"/>
      <c r="N119539" s="209"/>
      <c r="O119539" s="209"/>
    </row>
    <row r="119540" spans="1:15" s="210" customFormat="1" x14ac:dyDescent="0.3">
      <c r="A119540" s="12"/>
      <c r="B119540" s="15"/>
      <c r="C119540" s="15"/>
      <c r="D119540" s="12"/>
      <c r="E119540" s="12"/>
      <c r="F119540" s="13"/>
      <c r="G119540" s="12"/>
      <c r="H119540" s="12"/>
      <c r="I119540" s="12"/>
      <c r="J119540" s="12"/>
      <c r="K119540" s="12"/>
      <c r="L119540" s="208"/>
      <c r="M119540" s="209"/>
      <c r="N119540" s="209"/>
      <c r="O119540" s="209"/>
    </row>
    <row r="119541" spans="1:15" s="210" customFormat="1" x14ac:dyDescent="0.3">
      <c r="A119541" s="12"/>
      <c r="B119541" s="15"/>
      <c r="C119541" s="15"/>
      <c r="D119541" s="12"/>
      <c r="E119541" s="12"/>
      <c r="F119541" s="13"/>
      <c r="G119541" s="12"/>
      <c r="H119541" s="12"/>
      <c r="I119541" s="12"/>
      <c r="J119541" s="12"/>
      <c r="K119541" s="12"/>
      <c r="L119541" s="208"/>
      <c r="M119541" s="209"/>
      <c r="N119541" s="209"/>
      <c r="O119541" s="209"/>
    </row>
    <row r="119542" spans="1:15" s="210" customFormat="1" x14ac:dyDescent="0.3">
      <c r="A119542" s="12"/>
      <c r="B119542" s="15"/>
      <c r="C119542" s="15"/>
      <c r="D119542" s="12"/>
      <c r="E119542" s="12"/>
      <c r="F119542" s="13"/>
      <c r="G119542" s="12"/>
      <c r="H119542" s="12"/>
      <c r="I119542" s="12"/>
      <c r="J119542" s="12"/>
      <c r="K119542" s="12"/>
      <c r="L119542" s="208"/>
      <c r="M119542" s="209"/>
      <c r="N119542" s="209"/>
      <c r="O119542" s="209"/>
    </row>
    <row r="119543" spans="1:15" s="210" customFormat="1" x14ac:dyDescent="0.3">
      <c r="A119543" s="12"/>
      <c r="B119543" s="15"/>
      <c r="C119543" s="15"/>
      <c r="D119543" s="12"/>
      <c r="E119543" s="12"/>
      <c r="F119543" s="13"/>
      <c r="G119543" s="12"/>
      <c r="H119543" s="12"/>
      <c r="I119543" s="12"/>
      <c r="J119543" s="12"/>
      <c r="K119543" s="12"/>
      <c r="L119543" s="208"/>
      <c r="M119543" s="209"/>
      <c r="N119543" s="209"/>
      <c r="O119543" s="209"/>
    </row>
    <row r="119544" spans="1:15" s="210" customFormat="1" x14ac:dyDescent="0.3">
      <c r="A119544" s="12"/>
      <c r="B119544" s="15"/>
      <c r="C119544" s="15"/>
      <c r="D119544" s="12"/>
      <c r="E119544" s="12"/>
      <c r="F119544" s="13"/>
      <c r="G119544" s="12"/>
      <c r="H119544" s="12"/>
      <c r="I119544" s="12"/>
      <c r="J119544" s="12"/>
      <c r="K119544" s="12"/>
      <c r="L119544" s="208"/>
      <c r="M119544" s="209"/>
      <c r="N119544" s="209"/>
      <c r="O119544" s="209"/>
    </row>
    <row r="119545" spans="1:15" s="210" customFormat="1" x14ac:dyDescent="0.3">
      <c r="A119545" s="12"/>
      <c r="B119545" s="15"/>
      <c r="C119545" s="15"/>
      <c r="D119545" s="12"/>
      <c r="E119545" s="12"/>
      <c r="F119545" s="13"/>
      <c r="G119545" s="12"/>
      <c r="H119545" s="12"/>
      <c r="I119545" s="12"/>
      <c r="J119545" s="12"/>
      <c r="K119545" s="12"/>
      <c r="L119545" s="208"/>
      <c r="M119545" s="209"/>
      <c r="N119545" s="209"/>
      <c r="O119545" s="209"/>
    </row>
    <row r="119546" spans="1:15" s="210" customFormat="1" x14ac:dyDescent="0.3">
      <c r="A119546" s="12"/>
      <c r="B119546" s="15"/>
      <c r="C119546" s="15"/>
      <c r="D119546" s="12"/>
      <c r="E119546" s="12"/>
      <c r="F119546" s="13"/>
      <c r="G119546" s="12"/>
      <c r="H119546" s="12"/>
      <c r="I119546" s="12"/>
      <c r="J119546" s="12"/>
      <c r="K119546" s="12"/>
      <c r="L119546" s="208"/>
      <c r="M119546" s="209"/>
      <c r="N119546" s="209"/>
      <c r="O119546" s="209"/>
    </row>
    <row r="119547" spans="1:15" s="210" customFormat="1" x14ac:dyDescent="0.3">
      <c r="A119547" s="12"/>
      <c r="B119547" s="15"/>
      <c r="C119547" s="15"/>
      <c r="D119547" s="12"/>
      <c r="E119547" s="12"/>
      <c r="F119547" s="13"/>
      <c r="G119547" s="12"/>
      <c r="H119547" s="12"/>
      <c r="I119547" s="12"/>
      <c r="J119547" s="12"/>
      <c r="K119547" s="12"/>
      <c r="L119547" s="208"/>
      <c r="M119547" s="209"/>
      <c r="N119547" s="209"/>
      <c r="O119547" s="209"/>
    </row>
    <row r="119548" spans="1:15" s="210" customFormat="1" x14ac:dyDescent="0.3">
      <c r="A119548" s="12"/>
      <c r="B119548" s="15"/>
      <c r="C119548" s="15"/>
      <c r="D119548" s="12"/>
      <c r="E119548" s="12"/>
      <c r="F119548" s="13"/>
      <c r="G119548" s="12"/>
      <c r="H119548" s="12"/>
      <c r="I119548" s="12"/>
      <c r="J119548" s="12"/>
      <c r="K119548" s="12"/>
      <c r="L119548" s="208"/>
      <c r="M119548" s="209"/>
      <c r="N119548" s="209"/>
      <c r="O119548" s="209"/>
    </row>
    <row r="119549" spans="1:15" s="210" customFormat="1" x14ac:dyDescent="0.3">
      <c r="A119549" s="12"/>
      <c r="B119549" s="15"/>
      <c r="C119549" s="15"/>
      <c r="D119549" s="12"/>
      <c r="E119549" s="12"/>
      <c r="F119549" s="13"/>
      <c r="G119549" s="12"/>
      <c r="H119549" s="12"/>
      <c r="I119549" s="12"/>
      <c r="J119549" s="12"/>
      <c r="K119549" s="12"/>
      <c r="L119549" s="208"/>
      <c r="M119549" s="209"/>
      <c r="N119549" s="209"/>
      <c r="O119549" s="209"/>
    </row>
    <row r="119550" spans="1:15" s="210" customFormat="1" x14ac:dyDescent="0.3">
      <c r="A119550" s="12"/>
      <c r="B119550" s="15"/>
      <c r="C119550" s="15"/>
      <c r="D119550" s="12"/>
      <c r="E119550" s="12"/>
      <c r="F119550" s="13"/>
      <c r="G119550" s="12"/>
      <c r="H119550" s="12"/>
      <c r="I119550" s="12"/>
      <c r="J119550" s="12"/>
      <c r="K119550" s="12"/>
      <c r="L119550" s="208"/>
      <c r="M119550" s="209"/>
      <c r="N119550" s="209"/>
      <c r="O119550" s="209"/>
    </row>
    <row r="119551" spans="1:15" s="210" customFormat="1" x14ac:dyDescent="0.3">
      <c r="A119551" s="12"/>
      <c r="B119551" s="15"/>
      <c r="C119551" s="15"/>
      <c r="D119551" s="12"/>
      <c r="E119551" s="12"/>
      <c r="F119551" s="13"/>
      <c r="G119551" s="12"/>
      <c r="H119551" s="12"/>
      <c r="I119551" s="12"/>
      <c r="J119551" s="12"/>
      <c r="K119551" s="12"/>
      <c r="L119551" s="208"/>
      <c r="M119551" s="209"/>
      <c r="N119551" s="209"/>
      <c r="O119551" s="209"/>
    </row>
    <row r="119552" spans="1:15" s="210" customFormat="1" x14ac:dyDescent="0.3">
      <c r="A119552" s="12"/>
      <c r="B119552" s="15"/>
      <c r="C119552" s="15"/>
      <c r="D119552" s="12"/>
      <c r="E119552" s="12"/>
      <c r="F119552" s="13"/>
      <c r="G119552" s="12"/>
      <c r="H119552" s="12"/>
      <c r="I119552" s="12"/>
      <c r="J119552" s="12"/>
      <c r="K119552" s="12"/>
      <c r="L119552" s="208"/>
      <c r="M119552" s="209"/>
      <c r="N119552" s="209"/>
      <c r="O119552" s="209"/>
    </row>
    <row r="119553" spans="1:15" s="210" customFormat="1" x14ac:dyDescent="0.3">
      <c r="A119553" s="12"/>
      <c r="B119553" s="15"/>
      <c r="C119553" s="15"/>
      <c r="D119553" s="12"/>
      <c r="E119553" s="12"/>
      <c r="F119553" s="13"/>
      <c r="G119553" s="12"/>
      <c r="H119553" s="12"/>
      <c r="I119553" s="12"/>
      <c r="J119553" s="12"/>
      <c r="K119553" s="12"/>
      <c r="L119553" s="208"/>
      <c r="M119553" s="209"/>
      <c r="N119553" s="209"/>
      <c r="O119553" s="209"/>
    </row>
    <row r="119554" spans="1:15" s="210" customFormat="1" x14ac:dyDescent="0.3">
      <c r="A119554" s="12"/>
      <c r="B119554" s="15"/>
      <c r="C119554" s="15"/>
      <c r="D119554" s="12"/>
      <c r="E119554" s="12"/>
      <c r="F119554" s="13"/>
      <c r="G119554" s="12"/>
      <c r="H119554" s="12"/>
      <c r="I119554" s="12"/>
      <c r="J119554" s="12"/>
      <c r="K119554" s="12"/>
      <c r="L119554" s="208"/>
      <c r="M119554" s="209"/>
      <c r="N119554" s="209"/>
      <c r="O119554" s="209"/>
    </row>
    <row r="119555" spans="1:15" s="210" customFormat="1" x14ac:dyDescent="0.3">
      <c r="A119555" s="12"/>
      <c r="B119555" s="15"/>
      <c r="C119555" s="15"/>
      <c r="D119555" s="12"/>
      <c r="E119555" s="12"/>
      <c r="F119555" s="13"/>
      <c r="G119555" s="12"/>
      <c r="H119555" s="12"/>
      <c r="I119555" s="12"/>
      <c r="J119555" s="12"/>
      <c r="K119555" s="12"/>
      <c r="L119555" s="208"/>
      <c r="M119555" s="209"/>
      <c r="N119555" s="209"/>
      <c r="O119555" s="209"/>
    </row>
    <row r="119556" spans="1:15" s="210" customFormat="1" x14ac:dyDescent="0.3">
      <c r="A119556" s="12"/>
      <c r="B119556" s="15"/>
      <c r="C119556" s="15"/>
      <c r="D119556" s="12"/>
      <c r="E119556" s="12"/>
      <c r="F119556" s="13"/>
      <c r="G119556" s="12"/>
      <c r="H119556" s="12"/>
      <c r="I119556" s="12"/>
      <c r="J119556" s="12"/>
      <c r="K119556" s="12"/>
      <c r="L119556" s="208"/>
      <c r="M119556" s="209"/>
      <c r="N119556" s="209"/>
      <c r="O119556" s="209"/>
    </row>
    <row r="119557" spans="1:15" s="210" customFormat="1" x14ac:dyDescent="0.3">
      <c r="A119557" s="12"/>
      <c r="B119557" s="15"/>
      <c r="C119557" s="15"/>
      <c r="D119557" s="12"/>
      <c r="E119557" s="12"/>
      <c r="F119557" s="13"/>
      <c r="G119557" s="12"/>
      <c r="H119557" s="12"/>
      <c r="I119557" s="12"/>
      <c r="J119557" s="12"/>
      <c r="K119557" s="12"/>
      <c r="L119557" s="208"/>
      <c r="M119557" s="209"/>
      <c r="N119557" s="209"/>
      <c r="O119557" s="209"/>
    </row>
    <row r="119558" spans="1:15" s="210" customFormat="1" x14ac:dyDescent="0.3">
      <c r="A119558" s="12"/>
      <c r="B119558" s="15"/>
      <c r="C119558" s="15"/>
      <c r="D119558" s="12"/>
      <c r="E119558" s="12"/>
      <c r="F119558" s="13"/>
      <c r="G119558" s="12"/>
      <c r="H119558" s="12"/>
      <c r="I119558" s="12"/>
      <c r="J119558" s="12"/>
      <c r="K119558" s="12"/>
      <c r="L119558" s="208"/>
      <c r="M119558" s="209"/>
      <c r="N119558" s="209"/>
      <c r="O119558" s="209"/>
    </row>
    <row r="119559" spans="1:15" s="210" customFormat="1" x14ac:dyDescent="0.3">
      <c r="A119559" s="12"/>
      <c r="B119559" s="15"/>
      <c r="C119559" s="15"/>
      <c r="D119559" s="12"/>
      <c r="E119559" s="12"/>
      <c r="F119559" s="13"/>
      <c r="G119559" s="12"/>
      <c r="H119559" s="12"/>
      <c r="I119559" s="12"/>
      <c r="J119559" s="12"/>
      <c r="K119559" s="12"/>
      <c r="L119559" s="208"/>
      <c r="M119559" s="209"/>
      <c r="N119559" s="209"/>
      <c r="O119559" s="209"/>
    </row>
    <row r="119560" spans="1:15" s="210" customFormat="1" x14ac:dyDescent="0.3">
      <c r="A119560" s="12"/>
      <c r="B119560" s="15"/>
      <c r="C119560" s="15"/>
      <c r="D119560" s="12"/>
      <c r="E119560" s="12"/>
      <c r="F119560" s="13"/>
      <c r="G119560" s="12"/>
      <c r="H119560" s="12"/>
      <c r="I119560" s="12"/>
      <c r="J119560" s="12"/>
      <c r="K119560" s="12"/>
      <c r="L119560" s="208"/>
      <c r="M119560" s="209"/>
      <c r="N119560" s="209"/>
      <c r="O119560" s="209"/>
    </row>
    <row r="119561" spans="1:15" s="210" customFormat="1" x14ac:dyDescent="0.3">
      <c r="A119561" s="12"/>
      <c r="B119561" s="15"/>
      <c r="C119561" s="15"/>
      <c r="D119561" s="12"/>
      <c r="E119561" s="12"/>
      <c r="F119561" s="13"/>
      <c r="G119561" s="12"/>
      <c r="H119561" s="12"/>
      <c r="I119561" s="12"/>
      <c r="J119561" s="12"/>
      <c r="K119561" s="12"/>
      <c r="L119561" s="208"/>
      <c r="M119561" s="209"/>
      <c r="N119561" s="209"/>
      <c r="O119561" s="209"/>
    </row>
    <row r="119562" spans="1:15" s="210" customFormat="1" x14ac:dyDescent="0.3">
      <c r="A119562" s="12"/>
      <c r="B119562" s="15"/>
      <c r="C119562" s="15"/>
      <c r="D119562" s="12"/>
      <c r="E119562" s="12"/>
      <c r="F119562" s="13"/>
      <c r="G119562" s="12"/>
      <c r="H119562" s="12"/>
      <c r="I119562" s="12"/>
      <c r="J119562" s="12"/>
      <c r="K119562" s="12"/>
      <c r="L119562" s="208"/>
      <c r="M119562" s="209"/>
      <c r="N119562" s="209"/>
      <c r="O119562" s="209"/>
    </row>
    <row r="119563" spans="1:15" s="210" customFormat="1" x14ac:dyDescent="0.3">
      <c r="A119563" s="12"/>
      <c r="B119563" s="15"/>
      <c r="C119563" s="15"/>
      <c r="D119563" s="12"/>
      <c r="E119563" s="12"/>
      <c r="F119563" s="13"/>
      <c r="G119563" s="12"/>
      <c r="H119563" s="12"/>
      <c r="I119563" s="12"/>
      <c r="J119563" s="12"/>
      <c r="K119563" s="12"/>
      <c r="L119563" s="208"/>
      <c r="M119563" s="209"/>
      <c r="N119563" s="209"/>
      <c r="O119563" s="209"/>
    </row>
    <row r="119564" spans="1:15" s="210" customFormat="1" x14ac:dyDescent="0.3">
      <c r="A119564" s="12"/>
      <c r="B119564" s="15"/>
      <c r="C119564" s="15"/>
      <c r="D119564" s="12"/>
      <c r="E119564" s="12"/>
      <c r="F119564" s="13"/>
      <c r="G119564" s="12"/>
      <c r="H119564" s="12"/>
      <c r="I119564" s="12"/>
      <c r="J119564" s="12"/>
      <c r="K119564" s="12"/>
      <c r="L119564" s="208"/>
      <c r="M119564" s="209"/>
      <c r="N119564" s="209"/>
      <c r="O119564" s="209"/>
    </row>
    <row r="119565" spans="1:15" s="210" customFormat="1" x14ac:dyDescent="0.3">
      <c r="A119565" s="12"/>
      <c r="B119565" s="15"/>
      <c r="C119565" s="15"/>
      <c r="D119565" s="12"/>
      <c r="E119565" s="12"/>
      <c r="F119565" s="13"/>
      <c r="G119565" s="12"/>
      <c r="H119565" s="12"/>
      <c r="I119565" s="12"/>
      <c r="J119565" s="12"/>
      <c r="K119565" s="12"/>
      <c r="L119565" s="208"/>
      <c r="M119565" s="209"/>
      <c r="N119565" s="209"/>
      <c r="O119565" s="209"/>
    </row>
    <row r="119566" spans="1:15" s="210" customFormat="1" x14ac:dyDescent="0.3">
      <c r="A119566" s="12"/>
      <c r="B119566" s="15"/>
      <c r="C119566" s="15"/>
      <c r="D119566" s="12"/>
      <c r="E119566" s="12"/>
      <c r="F119566" s="13"/>
      <c r="G119566" s="12"/>
      <c r="H119566" s="12"/>
      <c r="I119566" s="12"/>
      <c r="J119566" s="12"/>
      <c r="K119566" s="12"/>
      <c r="L119566" s="208"/>
      <c r="M119566" s="209"/>
      <c r="N119566" s="209"/>
      <c r="O119566" s="209"/>
    </row>
    <row r="119567" spans="1:15" s="210" customFormat="1" x14ac:dyDescent="0.3">
      <c r="A119567" s="12"/>
      <c r="B119567" s="15"/>
      <c r="C119567" s="15"/>
      <c r="D119567" s="12"/>
      <c r="E119567" s="12"/>
      <c r="F119567" s="13"/>
      <c r="G119567" s="12"/>
      <c r="H119567" s="12"/>
      <c r="I119567" s="12"/>
      <c r="J119567" s="12"/>
      <c r="K119567" s="12"/>
      <c r="L119567" s="208"/>
      <c r="M119567" s="209"/>
      <c r="N119567" s="209"/>
      <c r="O119567" s="209"/>
    </row>
    <row r="119568" spans="1:15" s="210" customFormat="1" x14ac:dyDescent="0.3">
      <c r="A119568" s="12"/>
      <c r="B119568" s="15"/>
      <c r="C119568" s="15"/>
      <c r="D119568" s="12"/>
      <c r="E119568" s="12"/>
      <c r="F119568" s="13"/>
      <c r="G119568" s="12"/>
      <c r="H119568" s="12"/>
      <c r="I119568" s="12"/>
      <c r="J119568" s="12"/>
      <c r="K119568" s="12"/>
      <c r="L119568" s="208"/>
      <c r="M119568" s="209"/>
      <c r="N119568" s="209"/>
      <c r="O119568" s="209"/>
    </row>
    <row r="119569" spans="1:15" s="210" customFormat="1" x14ac:dyDescent="0.3">
      <c r="A119569" s="12"/>
      <c r="B119569" s="15"/>
      <c r="C119569" s="15"/>
      <c r="D119569" s="12"/>
      <c r="E119569" s="12"/>
      <c r="F119569" s="13"/>
      <c r="G119569" s="12"/>
      <c r="H119569" s="12"/>
      <c r="I119569" s="12"/>
      <c r="J119569" s="12"/>
      <c r="K119569" s="12"/>
      <c r="L119569" s="208"/>
      <c r="M119569" s="209"/>
      <c r="N119569" s="209"/>
      <c r="O119569" s="209"/>
    </row>
    <row r="119570" spans="1:15" s="210" customFormat="1" x14ac:dyDescent="0.3">
      <c r="A119570" s="12"/>
      <c r="B119570" s="15"/>
      <c r="C119570" s="15"/>
      <c r="D119570" s="12"/>
      <c r="E119570" s="12"/>
      <c r="F119570" s="13"/>
      <c r="G119570" s="12"/>
      <c r="H119570" s="12"/>
      <c r="I119570" s="12"/>
      <c r="J119570" s="12"/>
      <c r="K119570" s="12"/>
      <c r="L119570" s="208"/>
      <c r="M119570" s="209"/>
      <c r="N119570" s="209"/>
      <c r="O119570" s="209"/>
    </row>
    <row r="119571" spans="1:15" s="210" customFormat="1" x14ac:dyDescent="0.3">
      <c r="A119571" s="12"/>
      <c r="B119571" s="15"/>
      <c r="C119571" s="15"/>
      <c r="D119571" s="12"/>
      <c r="E119571" s="12"/>
      <c r="F119571" s="13"/>
      <c r="G119571" s="12"/>
      <c r="H119571" s="12"/>
      <c r="I119571" s="12"/>
      <c r="J119571" s="12"/>
      <c r="K119571" s="12"/>
      <c r="L119571" s="208"/>
      <c r="M119571" s="209"/>
      <c r="N119571" s="209"/>
      <c r="O119571" s="209"/>
    </row>
    <row r="119572" spans="1:15" s="210" customFormat="1" x14ac:dyDescent="0.3">
      <c r="A119572" s="12"/>
      <c r="B119572" s="15"/>
      <c r="C119572" s="15"/>
      <c r="D119572" s="12"/>
      <c r="E119572" s="12"/>
      <c r="F119572" s="13"/>
      <c r="G119572" s="12"/>
      <c r="H119572" s="12"/>
      <c r="I119572" s="12"/>
      <c r="J119572" s="12"/>
      <c r="K119572" s="12"/>
      <c r="L119572" s="208"/>
      <c r="M119572" s="209"/>
      <c r="N119572" s="209"/>
      <c r="O119572" s="209"/>
    </row>
    <row r="119573" spans="1:15" s="210" customFormat="1" x14ac:dyDescent="0.3">
      <c r="A119573" s="12"/>
      <c r="B119573" s="15"/>
      <c r="C119573" s="15"/>
      <c r="D119573" s="12"/>
      <c r="E119573" s="12"/>
      <c r="F119573" s="13"/>
      <c r="G119573" s="12"/>
      <c r="H119573" s="12"/>
      <c r="I119573" s="12"/>
      <c r="J119573" s="12"/>
      <c r="K119573" s="12"/>
      <c r="L119573" s="208"/>
      <c r="M119573" s="209"/>
      <c r="N119573" s="209"/>
      <c r="O119573" s="209"/>
    </row>
    <row r="119574" spans="1:15" s="210" customFormat="1" x14ac:dyDescent="0.3">
      <c r="A119574" s="12"/>
      <c r="B119574" s="15"/>
      <c r="C119574" s="15"/>
      <c r="D119574" s="12"/>
      <c r="E119574" s="12"/>
      <c r="F119574" s="13"/>
      <c r="G119574" s="12"/>
      <c r="H119574" s="12"/>
      <c r="I119574" s="12"/>
      <c r="J119574" s="12"/>
      <c r="K119574" s="12"/>
      <c r="L119574" s="208"/>
      <c r="M119574" s="209"/>
      <c r="N119574" s="209"/>
      <c r="O119574" s="209"/>
    </row>
    <row r="119575" spans="1:15" s="210" customFormat="1" x14ac:dyDescent="0.3">
      <c r="A119575" s="12"/>
      <c r="B119575" s="15"/>
      <c r="C119575" s="15"/>
      <c r="D119575" s="12"/>
      <c r="E119575" s="12"/>
      <c r="F119575" s="13"/>
      <c r="G119575" s="12"/>
      <c r="H119575" s="12"/>
      <c r="I119575" s="12"/>
      <c r="J119575" s="12"/>
      <c r="K119575" s="12"/>
      <c r="L119575" s="208"/>
      <c r="M119575" s="209"/>
      <c r="N119575" s="209"/>
      <c r="O119575" s="209"/>
    </row>
    <row r="119576" spans="1:15" s="210" customFormat="1" x14ac:dyDescent="0.3">
      <c r="A119576" s="12"/>
      <c r="B119576" s="15"/>
      <c r="C119576" s="15"/>
      <c r="D119576" s="12"/>
      <c r="E119576" s="12"/>
      <c r="F119576" s="13"/>
      <c r="G119576" s="12"/>
      <c r="H119576" s="12"/>
      <c r="I119576" s="12"/>
      <c r="J119576" s="12"/>
      <c r="K119576" s="12"/>
      <c r="L119576" s="208"/>
      <c r="M119576" s="209"/>
      <c r="N119576" s="209"/>
      <c r="O119576" s="209"/>
    </row>
    <row r="119577" spans="1:15" s="210" customFormat="1" x14ac:dyDescent="0.3">
      <c r="A119577" s="12"/>
      <c r="B119577" s="15"/>
      <c r="C119577" s="15"/>
      <c r="D119577" s="12"/>
      <c r="E119577" s="12"/>
      <c r="F119577" s="13"/>
      <c r="G119577" s="12"/>
      <c r="H119577" s="12"/>
      <c r="I119577" s="12"/>
      <c r="J119577" s="12"/>
      <c r="K119577" s="12"/>
      <c r="L119577" s="208"/>
      <c r="M119577" s="209"/>
      <c r="N119577" s="209"/>
      <c r="O119577" s="209"/>
    </row>
    <row r="119578" spans="1:15" s="210" customFormat="1" x14ac:dyDescent="0.3">
      <c r="A119578" s="12"/>
      <c r="B119578" s="15"/>
      <c r="C119578" s="15"/>
      <c r="D119578" s="12"/>
      <c r="E119578" s="12"/>
      <c r="F119578" s="13"/>
      <c r="G119578" s="12"/>
      <c r="H119578" s="12"/>
      <c r="I119578" s="12"/>
      <c r="J119578" s="12"/>
      <c r="K119578" s="12"/>
      <c r="L119578" s="208"/>
      <c r="M119578" s="209"/>
      <c r="N119578" s="209"/>
      <c r="O119578" s="209"/>
    </row>
    <row r="119579" spans="1:15" s="210" customFormat="1" x14ac:dyDescent="0.3">
      <c r="A119579" s="12"/>
      <c r="B119579" s="15"/>
      <c r="C119579" s="15"/>
      <c r="D119579" s="12"/>
      <c r="E119579" s="12"/>
      <c r="F119579" s="13"/>
      <c r="G119579" s="12"/>
      <c r="H119579" s="12"/>
      <c r="I119579" s="12"/>
      <c r="J119579" s="12"/>
      <c r="K119579" s="12"/>
      <c r="L119579" s="208"/>
      <c r="M119579" s="209"/>
      <c r="N119579" s="209"/>
      <c r="O119579" s="209"/>
    </row>
    <row r="119580" spans="1:15" s="210" customFormat="1" x14ac:dyDescent="0.3">
      <c r="A119580" s="12"/>
      <c r="B119580" s="15"/>
      <c r="C119580" s="15"/>
      <c r="D119580" s="12"/>
      <c r="E119580" s="12"/>
      <c r="F119580" s="13"/>
      <c r="G119580" s="12"/>
      <c r="H119580" s="12"/>
      <c r="I119580" s="12"/>
      <c r="J119580" s="12"/>
      <c r="K119580" s="12"/>
      <c r="L119580" s="208"/>
      <c r="M119580" s="209"/>
      <c r="N119580" s="209"/>
      <c r="O119580" s="209"/>
    </row>
    <row r="119581" spans="1:15" s="210" customFormat="1" x14ac:dyDescent="0.3">
      <c r="A119581" s="12"/>
      <c r="B119581" s="15"/>
      <c r="C119581" s="15"/>
      <c r="D119581" s="12"/>
      <c r="E119581" s="12"/>
      <c r="F119581" s="13"/>
      <c r="G119581" s="12"/>
      <c r="H119581" s="12"/>
      <c r="I119581" s="12"/>
      <c r="J119581" s="12"/>
      <c r="K119581" s="12"/>
      <c r="L119581" s="208"/>
      <c r="M119581" s="209"/>
      <c r="N119581" s="209"/>
      <c r="O119581" s="209"/>
    </row>
    <row r="119582" spans="1:15" s="210" customFormat="1" x14ac:dyDescent="0.3">
      <c r="A119582" s="12"/>
      <c r="B119582" s="15"/>
      <c r="C119582" s="15"/>
      <c r="D119582" s="12"/>
      <c r="E119582" s="12"/>
      <c r="F119582" s="13"/>
      <c r="G119582" s="12"/>
      <c r="H119582" s="12"/>
      <c r="I119582" s="12"/>
      <c r="J119582" s="12"/>
      <c r="K119582" s="12"/>
      <c r="L119582" s="208"/>
      <c r="M119582" s="209"/>
      <c r="N119582" s="209"/>
      <c r="O119582" s="209"/>
    </row>
    <row r="119583" spans="1:15" s="210" customFormat="1" x14ac:dyDescent="0.3">
      <c r="A119583" s="12"/>
      <c r="B119583" s="15"/>
      <c r="C119583" s="15"/>
      <c r="D119583" s="12"/>
      <c r="E119583" s="12"/>
      <c r="F119583" s="13"/>
      <c r="G119583" s="12"/>
      <c r="H119583" s="12"/>
      <c r="I119583" s="12"/>
      <c r="J119583" s="12"/>
      <c r="K119583" s="12"/>
      <c r="L119583" s="208"/>
      <c r="M119583" s="209"/>
      <c r="N119583" s="209"/>
      <c r="O119583" s="209"/>
    </row>
    <row r="119584" spans="1:15" s="210" customFormat="1" x14ac:dyDescent="0.3">
      <c r="A119584" s="12"/>
      <c r="B119584" s="15"/>
      <c r="C119584" s="15"/>
      <c r="D119584" s="12"/>
      <c r="E119584" s="12"/>
      <c r="F119584" s="13"/>
      <c r="G119584" s="12"/>
      <c r="H119584" s="12"/>
      <c r="I119584" s="12"/>
      <c r="J119584" s="12"/>
      <c r="K119584" s="12"/>
      <c r="L119584" s="208"/>
      <c r="M119584" s="209"/>
      <c r="N119584" s="209"/>
      <c r="O119584" s="209"/>
    </row>
    <row r="119585" spans="1:15" s="210" customFormat="1" x14ac:dyDescent="0.3">
      <c r="A119585" s="12"/>
      <c r="B119585" s="15"/>
      <c r="C119585" s="15"/>
      <c r="D119585" s="12"/>
      <c r="E119585" s="12"/>
      <c r="F119585" s="13"/>
      <c r="G119585" s="12"/>
      <c r="H119585" s="12"/>
      <c r="I119585" s="12"/>
      <c r="J119585" s="12"/>
      <c r="K119585" s="12"/>
      <c r="L119585" s="208"/>
      <c r="M119585" s="209"/>
      <c r="N119585" s="209"/>
      <c r="O119585" s="209"/>
    </row>
    <row r="119586" spans="1:15" s="210" customFormat="1" x14ac:dyDescent="0.3">
      <c r="A119586" s="12"/>
      <c r="B119586" s="15"/>
      <c r="C119586" s="15"/>
      <c r="D119586" s="12"/>
      <c r="E119586" s="12"/>
      <c r="F119586" s="13"/>
      <c r="G119586" s="12"/>
      <c r="H119586" s="12"/>
      <c r="I119586" s="12"/>
      <c r="J119586" s="12"/>
      <c r="K119586" s="12"/>
      <c r="L119586" s="208"/>
      <c r="M119586" s="209"/>
      <c r="N119586" s="209"/>
      <c r="O119586" s="209"/>
    </row>
    <row r="119587" spans="1:15" s="210" customFormat="1" x14ac:dyDescent="0.3">
      <c r="A119587" s="12"/>
      <c r="B119587" s="15"/>
      <c r="C119587" s="15"/>
      <c r="D119587" s="12"/>
      <c r="E119587" s="12"/>
      <c r="F119587" s="13"/>
      <c r="G119587" s="12"/>
      <c r="H119587" s="12"/>
      <c r="I119587" s="12"/>
      <c r="J119587" s="12"/>
      <c r="K119587" s="12"/>
      <c r="L119587" s="208"/>
      <c r="M119587" s="209"/>
      <c r="N119587" s="209"/>
      <c r="O119587" s="209"/>
    </row>
    <row r="119588" spans="1:15" s="210" customFormat="1" x14ac:dyDescent="0.3">
      <c r="A119588" s="12"/>
      <c r="B119588" s="15"/>
      <c r="C119588" s="15"/>
      <c r="D119588" s="12"/>
      <c r="E119588" s="12"/>
      <c r="F119588" s="13"/>
      <c r="G119588" s="12"/>
      <c r="H119588" s="12"/>
      <c r="I119588" s="12"/>
      <c r="J119588" s="12"/>
      <c r="K119588" s="12"/>
      <c r="L119588" s="208"/>
      <c r="M119588" s="209"/>
      <c r="N119588" s="209"/>
      <c r="O119588" s="209"/>
    </row>
    <row r="119589" spans="1:15" s="210" customFormat="1" x14ac:dyDescent="0.3">
      <c r="A119589" s="12"/>
      <c r="B119589" s="15"/>
      <c r="C119589" s="15"/>
      <c r="D119589" s="12"/>
      <c r="E119589" s="12"/>
      <c r="F119589" s="13"/>
      <c r="G119589" s="12"/>
      <c r="H119589" s="12"/>
      <c r="I119589" s="12"/>
      <c r="J119589" s="12"/>
      <c r="K119589" s="12"/>
      <c r="L119589" s="208"/>
      <c r="M119589" s="209"/>
      <c r="N119589" s="209"/>
      <c r="O119589" s="209"/>
    </row>
    <row r="119590" spans="1:15" s="210" customFormat="1" x14ac:dyDescent="0.3">
      <c r="A119590" s="12"/>
      <c r="B119590" s="15"/>
      <c r="C119590" s="15"/>
      <c r="D119590" s="12"/>
      <c r="E119590" s="12"/>
      <c r="F119590" s="13"/>
      <c r="G119590" s="12"/>
      <c r="H119590" s="12"/>
      <c r="I119590" s="12"/>
      <c r="J119590" s="12"/>
      <c r="K119590" s="12"/>
      <c r="L119590" s="208"/>
      <c r="M119590" s="209"/>
      <c r="N119590" s="209"/>
      <c r="O119590" s="209"/>
    </row>
    <row r="119591" spans="1:15" s="210" customFormat="1" x14ac:dyDescent="0.3">
      <c r="A119591" s="12"/>
      <c r="B119591" s="15"/>
      <c r="C119591" s="15"/>
      <c r="D119591" s="12"/>
      <c r="E119591" s="12"/>
      <c r="F119591" s="13"/>
      <c r="G119591" s="12"/>
      <c r="H119591" s="12"/>
      <c r="I119591" s="12"/>
      <c r="J119591" s="12"/>
      <c r="K119591" s="12"/>
      <c r="L119591" s="208"/>
      <c r="M119591" s="209"/>
      <c r="N119591" s="209"/>
      <c r="O119591" s="209"/>
    </row>
    <row r="119592" spans="1:15" s="210" customFormat="1" x14ac:dyDescent="0.3">
      <c r="A119592" s="12"/>
      <c r="B119592" s="15"/>
      <c r="C119592" s="15"/>
      <c r="D119592" s="12"/>
      <c r="E119592" s="12"/>
      <c r="F119592" s="13"/>
      <c r="G119592" s="12"/>
      <c r="H119592" s="12"/>
      <c r="I119592" s="12"/>
      <c r="J119592" s="12"/>
      <c r="K119592" s="12"/>
      <c r="L119592" s="208"/>
      <c r="M119592" s="209"/>
      <c r="N119592" s="209"/>
      <c r="O119592" s="209"/>
    </row>
    <row r="119593" spans="1:15" s="210" customFormat="1" x14ac:dyDescent="0.3">
      <c r="A119593" s="12"/>
      <c r="B119593" s="15"/>
      <c r="C119593" s="15"/>
      <c r="D119593" s="12"/>
      <c r="E119593" s="12"/>
      <c r="F119593" s="13"/>
      <c r="G119593" s="12"/>
      <c r="H119593" s="12"/>
      <c r="I119593" s="12"/>
      <c r="J119593" s="12"/>
      <c r="K119593" s="12"/>
      <c r="L119593" s="208"/>
      <c r="M119593" s="209"/>
      <c r="N119593" s="209"/>
      <c r="O119593" s="209"/>
    </row>
    <row r="119594" spans="1:15" s="210" customFormat="1" x14ac:dyDescent="0.3">
      <c r="A119594" s="12"/>
      <c r="B119594" s="15"/>
      <c r="C119594" s="15"/>
      <c r="D119594" s="12"/>
      <c r="E119594" s="12"/>
      <c r="F119594" s="13"/>
      <c r="G119594" s="12"/>
      <c r="H119594" s="12"/>
      <c r="I119594" s="12"/>
      <c r="J119594" s="12"/>
      <c r="K119594" s="12"/>
      <c r="L119594" s="208"/>
      <c r="M119594" s="209"/>
      <c r="N119594" s="209"/>
      <c r="O119594" s="209"/>
    </row>
    <row r="119595" spans="1:15" s="210" customFormat="1" x14ac:dyDescent="0.3">
      <c r="A119595" s="12"/>
      <c r="B119595" s="15"/>
      <c r="C119595" s="15"/>
      <c r="D119595" s="12"/>
      <c r="E119595" s="12"/>
      <c r="F119595" s="13"/>
      <c r="G119595" s="12"/>
      <c r="H119595" s="12"/>
      <c r="I119595" s="12"/>
      <c r="J119595" s="12"/>
      <c r="K119595" s="12"/>
      <c r="L119595" s="208"/>
      <c r="M119595" s="209"/>
      <c r="N119595" s="209"/>
      <c r="O119595" s="209"/>
    </row>
    <row r="119596" spans="1:15" s="210" customFormat="1" x14ac:dyDescent="0.3">
      <c r="A119596" s="12"/>
      <c r="B119596" s="15"/>
      <c r="C119596" s="15"/>
      <c r="D119596" s="12"/>
      <c r="E119596" s="12"/>
      <c r="F119596" s="13"/>
      <c r="G119596" s="12"/>
      <c r="H119596" s="12"/>
      <c r="I119596" s="12"/>
      <c r="J119596" s="12"/>
      <c r="K119596" s="12"/>
      <c r="L119596" s="208"/>
      <c r="M119596" s="209"/>
      <c r="N119596" s="209"/>
      <c r="O119596" s="209"/>
    </row>
    <row r="119597" spans="1:15" s="210" customFormat="1" x14ac:dyDescent="0.3">
      <c r="A119597" s="12"/>
      <c r="B119597" s="15"/>
      <c r="C119597" s="15"/>
      <c r="D119597" s="12"/>
      <c r="E119597" s="12"/>
      <c r="F119597" s="13"/>
      <c r="G119597" s="12"/>
      <c r="H119597" s="12"/>
      <c r="I119597" s="12"/>
      <c r="J119597" s="12"/>
      <c r="K119597" s="12"/>
      <c r="L119597" s="208"/>
      <c r="M119597" s="209"/>
      <c r="N119597" s="209"/>
      <c r="O119597" s="209"/>
    </row>
    <row r="119598" spans="1:15" s="210" customFormat="1" x14ac:dyDescent="0.3">
      <c r="A119598" s="12"/>
      <c r="B119598" s="15"/>
      <c r="C119598" s="15"/>
      <c r="D119598" s="12"/>
      <c r="E119598" s="12"/>
      <c r="F119598" s="13"/>
      <c r="G119598" s="12"/>
      <c r="H119598" s="12"/>
      <c r="I119598" s="12"/>
      <c r="J119598" s="12"/>
      <c r="K119598" s="12"/>
      <c r="L119598" s="208"/>
      <c r="M119598" s="209"/>
      <c r="N119598" s="209"/>
      <c r="O119598" s="209"/>
    </row>
    <row r="119599" spans="1:15" s="210" customFormat="1" x14ac:dyDescent="0.3">
      <c r="A119599" s="12"/>
      <c r="B119599" s="15"/>
      <c r="C119599" s="15"/>
      <c r="D119599" s="12"/>
      <c r="E119599" s="12"/>
      <c r="F119599" s="13"/>
      <c r="G119599" s="12"/>
      <c r="H119599" s="12"/>
      <c r="I119599" s="12"/>
      <c r="J119599" s="12"/>
      <c r="K119599" s="12"/>
      <c r="L119599" s="208"/>
      <c r="M119599" s="209"/>
      <c r="N119599" s="209"/>
      <c r="O119599" s="209"/>
    </row>
    <row r="119600" spans="1:15" s="210" customFormat="1" x14ac:dyDescent="0.3">
      <c r="A119600" s="12"/>
      <c r="B119600" s="15"/>
      <c r="C119600" s="15"/>
      <c r="D119600" s="12"/>
      <c r="E119600" s="12"/>
      <c r="F119600" s="13"/>
      <c r="G119600" s="12"/>
      <c r="H119600" s="12"/>
      <c r="I119600" s="12"/>
      <c r="J119600" s="12"/>
      <c r="K119600" s="12"/>
      <c r="L119600" s="208"/>
      <c r="M119600" s="209"/>
      <c r="N119600" s="209"/>
      <c r="O119600" s="209"/>
    </row>
    <row r="119601" spans="1:15" s="210" customFormat="1" x14ac:dyDescent="0.3">
      <c r="A119601" s="12"/>
      <c r="B119601" s="15"/>
      <c r="C119601" s="15"/>
      <c r="D119601" s="12"/>
      <c r="E119601" s="12"/>
      <c r="F119601" s="13"/>
      <c r="G119601" s="12"/>
      <c r="H119601" s="12"/>
      <c r="I119601" s="12"/>
      <c r="J119601" s="12"/>
      <c r="K119601" s="12"/>
      <c r="L119601" s="208"/>
      <c r="M119601" s="209"/>
      <c r="N119601" s="209"/>
      <c r="O119601" s="209"/>
    </row>
    <row r="119602" spans="1:15" s="210" customFormat="1" x14ac:dyDescent="0.3">
      <c r="A119602" s="12"/>
      <c r="B119602" s="15"/>
      <c r="C119602" s="15"/>
      <c r="D119602" s="12"/>
      <c r="E119602" s="12"/>
      <c r="F119602" s="13"/>
      <c r="G119602" s="12"/>
      <c r="H119602" s="12"/>
      <c r="I119602" s="12"/>
      <c r="J119602" s="12"/>
      <c r="K119602" s="12"/>
      <c r="L119602" s="208"/>
      <c r="M119602" s="209"/>
      <c r="N119602" s="209"/>
      <c r="O119602" s="209"/>
    </row>
    <row r="119603" spans="1:15" s="210" customFormat="1" x14ac:dyDescent="0.3">
      <c r="A119603" s="12"/>
      <c r="B119603" s="15"/>
      <c r="C119603" s="15"/>
      <c r="D119603" s="12"/>
      <c r="E119603" s="12"/>
      <c r="F119603" s="13"/>
      <c r="G119603" s="12"/>
      <c r="H119603" s="12"/>
      <c r="I119603" s="12"/>
      <c r="J119603" s="12"/>
      <c r="K119603" s="12"/>
      <c r="L119603" s="208"/>
      <c r="M119603" s="209"/>
      <c r="N119603" s="209"/>
      <c r="O119603" s="209"/>
    </row>
    <row r="119604" spans="1:15" s="210" customFormat="1" x14ac:dyDescent="0.3">
      <c r="A119604" s="12"/>
      <c r="B119604" s="15"/>
      <c r="C119604" s="15"/>
      <c r="D119604" s="12"/>
      <c r="E119604" s="12"/>
      <c r="F119604" s="13"/>
      <c r="G119604" s="12"/>
      <c r="H119604" s="12"/>
      <c r="I119604" s="12"/>
      <c r="J119604" s="12"/>
      <c r="K119604" s="12"/>
      <c r="L119604" s="208"/>
      <c r="M119604" s="209"/>
      <c r="N119604" s="209"/>
      <c r="O119604" s="209"/>
    </row>
    <row r="119605" spans="1:15" s="210" customFormat="1" x14ac:dyDescent="0.3">
      <c r="A119605" s="12"/>
      <c r="B119605" s="15"/>
      <c r="C119605" s="15"/>
      <c r="D119605" s="12"/>
      <c r="E119605" s="12"/>
      <c r="F119605" s="13"/>
      <c r="G119605" s="12"/>
      <c r="H119605" s="12"/>
      <c r="I119605" s="12"/>
      <c r="J119605" s="12"/>
      <c r="K119605" s="12"/>
      <c r="L119605" s="208"/>
      <c r="M119605" s="209"/>
      <c r="N119605" s="209"/>
      <c r="O119605" s="209"/>
    </row>
    <row r="119606" spans="1:15" s="210" customFormat="1" x14ac:dyDescent="0.3">
      <c r="A119606" s="12"/>
      <c r="B119606" s="15"/>
      <c r="C119606" s="15"/>
      <c r="D119606" s="12"/>
      <c r="E119606" s="12"/>
      <c r="F119606" s="13"/>
      <c r="G119606" s="12"/>
      <c r="H119606" s="12"/>
      <c r="I119606" s="12"/>
      <c r="J119606" s="12"/>
      <c r="K119606" s="12"/>
      <c r="L119606" s="208"/>
      <c r="M119606" s="209"/>
      <c r="N119606" s="209"/>
      <c r="O119606" s="209"/>
    </row>
    <row r="119607" spans="1:15" s="210" customFormat="1" x14ac:dyDescent="0.3">
      <c r="A119607" s="12"/>
      <c r="B119607" s="15"/>
      <c r="C119607" s="15"/>
      <c r="D119607" s="12"/>
      <c r="E119607" s="12"/>
      <c r="F119607" s="13"/>
      <c r="G119607" s="12"/>
      <c r="H119607" s="12"/>
      <c r="I119607" s="12"/>
      <c r="J119607" s="12"/>
      <c r="K119607" s="12"/>
      <c r="L119607" s="208"/>
      <c r="M119607" s="209"/>
      <c r="N119607" s="209"/>
      <c r="O119607" s="209"/>
    </row>
    <row r="119608" spans="1:15" s="210" customFormat="1" x14ac:dyDescent="0.3">
      <c r="A119608" s="12"/>
      <c r="B119608" s="15"/>
      <c r="C119608" s="15"/>
      <c r="D119608" s="12"/>
      <c r="E119608" s="12"/>
      <c r="F119608" s="13"/>
      <c r="G119608" s="12"/>
      <c r="H119608" s="12"/>
      <c r="I119608" s="12"/>
      <c r="J119608" s="12"/>
      <c r="K119608" s="12"/>
      <c r="L119608" s="208"/>
      <c r="M119608" s="209"/>
      <c r="N119608" s="209"/>
      <c r="O119608" s="209"/>
    </row>
    <row r="119609" spans="1:15" s="210" customFormat="1" x14ac:dyDescent="0.3">
      <c r="A119609" s="12"/>
      <c r="B119609" s="15"/>
      <c r="C119609" s="15"/>
      <c r="D119609" s="12"/>
      <c r="E119609" s="12"/>
      <c r="F119609" s="13"/>
      <c r="G119609" s="12"/>
      <c r="H119609" s="12"/>
      <c r="I119609" s="12"/>
      <c r="J119609" s="12"/>
      <c r="K119609" s="12"/>
      <c r="L119609" s="208"/>
      <c r="M119609" s="209"/>
      <c r="N119609" s="209"/>
      <c r="O119609" s="209"/>
    </row>
    <row r="119610" spans="1:15" s="210" customFormat="1" x14ac:dyDescent="0.3">
      <c r="A119610" s="12"/>
      <c r="B119610" s="15"/>
      <c r="C119610" s="15"/>
      <c r="D119610" s="12"/>
      <c r="E119610" s="12"/>
      <c r="F119610" s="13"/>
      <c r="G119610" s="12"/>
      <c r="H119610" s="12"/>
      <c r="I119610" s="12"/>
      <c r="J119610" s="12"/>
      <c r="K119610" s="12"/>
      <c r="L119610" s="208"/>
      <c r="M119610" s="209"/>
      <c r="N119610" s="209"/>
      <c r="O119610" s="209"/>
    </row>
    <row r="119611" spans="1:15" s="210" customFormat="1" x14ac:dyDescent="0.3">
      <c r="A119611" s="12"/>
      <c r="B119611" s="15"/>
      <c r="C119611" s="15"/>
      <c r="D119611" s="12"/>
      <c r="E119611" s="12"/>
      <c r="F119611" s="13"/>
      <c r="G119611" s="12"/>
      <c r="H119611" s="12"/>
      <c r="I119611" s="12"/>
      <c r="J119611" s="12"/>
      <c r="K119611" s="12"/>
      <c r="L119611" s="208"/>
      <c r="M119611" s="209"/>
      <c r="N119611" s="209"/>
      <c r="O119611" s="209"/>
    </row>
    <row r="119612" spans="1:15" s="210" customFormat="1" x14ac:dyDescent="0.3">
      <c r="A119612" s="12"/>
      <c r="B119612" s="15"/>
      <c r="C119612" s="15"/>
      <c r="D119612" s="12"/>
      <c r="E119612" s="12"/>
      <c r="F119612" s="13"/>
      <c r="G119612" s="12"/>
      <c r="H119612" s="12"/>
      <c r="I119612" s="12"/>
      <c r="J119612" s="12"/>
      <c r="K119612" s="12"/>
      <c r="L119612" s="208"/>
      <c r="M119612" s="209"/>
      <c r="N119612" s="209"/>
      <c r="O119612" s="209"/>
    </row>
    <row r="119613" spans="1:15" s="210" customFormat="1" x14ac:dyDescent="0.3">
      <c r="A119613" s="12"/>
      <c r="B119613" s="15"/>
      <c r="C119613" s="15"/>
      <c r="D119613" s="12"/>
      <c r="E119613" s="12"/>
      <c r="F119613" s="13"/>
      <c r="G119613" s="12"/>
      <c r="H119613" s="12"/>
      <c r="I119613" s="12"/>
      <c r="J119613" s="12"/>
      <c r="K119613" s="12"/>
      <c r="L119613" s="208"/>
      <c r="M119613" s="209"/>
      <c r="N119613" s="209"/>
      <c r="O119613" s="209"/>
    </row>
    <row r="119614" spans="1:15" s="210" customFormat="1" x14ac:dyDescent="0.3">
      <c r="A119614" s="12"/>
      <c r="B119614" s="15"/>
      <c r="C119614" s="15"/>
      <c r="D119614" s="12"/>
      <c r="E119614" s="12"/>
      <c r="F119614" s="13"/>
      <c r="G119614" s="12"/>
      <c r="H119614" s="12"/>
      <c r="I119614" s="12"/>
      <c r="J119614" s="12"/>
      <c r="K119614" s="12"/>
      <c r="L119614" s="208"/>
      <c r="M119614" s="209"/>
      <c r="N119614" s="209"/>
      <c r="O119614" s="209"/>
    </row>
    <row r="119615" spans="1:15" s="210" customFormat="1" x14ac:dyDescent="0.3">
      <c r="A119615" s="12"/>
      <c r="B119615" s="15"/>
      <c r="C119615" s="15"/>
      <c r="D119615" s="12"/>
      <c r="E119615" s="12"/>
      <c r="F119615" s="13"/>
      <c r="G119615" s="12"/>
      <c r="H119615" s="12"/>
      <c r="I119615" s="12"/>
      <c r="J119615" s="12"/>
      <c r="K119615" s="12"/>
      <c r="L119615" s="208"/>
      <c r="M119615" s="209"/>
      <c r="N119615" s="209"/>
      <c r="O119615" s="209"/>
    </row>
    <row r="119616" spans="1:15" s="210" customFormat="1" x14ac:dyDescent="0.3">
      <c r="A119616" s="12"/>
      <c r="B119616" s="15"/>
      <c r="C119616" s="15"/>
      <c r="D119616" s="12"/>
      <c r="E119616" s="12"/>
      <c r="F119616" s="13"/>
      <c r="G119616" s="12"/>
      <c r="H119616" s="12"/>
      <c r="I119616" s="12"/>
      <c r="J119616" s="12"/>
      <c r="K119616" s="12"/>
      <c r="L119616" s="208"/>
      <c r="M119616" s="209"/>
      <c r="N119616" s="209"/>
      <c r="O119616" s="209"/>
    </row>
    <row r="119617" spans="1:15" s="210" customFormat="1" x14ac:dyDescent="0.3">
      <c r="A119617" s="12"/>
      <c r="B119617" s="15"/>
      <c r="C119617" s="15"/>
      <c r="D119617" s="12"/>
      <c r="E119617" s="12"/>
      <c r="F119617" s="13"/>
      <c r="G119617" s="12"/>
      <c r="H119617" s="12"/>
      <c r="I119617" s="12"/>
      <c r="J119617" s="12"/>
      <c r="K119617" s="12"/>
      <c r="L119617" s="208"/>
      <c r="M119617" s="209"/>
      <c r="N119617" s="209"/>
      <c r="O119617" s="209"/>
    </row>
    <row r="119618" spans="1:15" s="210" customFormat="1" x14ac:dyDescent="0.3">
      <c r="A119618" s="12"/>
      <c r="B119618" s="15"/>
      <c r="C119618" s="15"/>
      <c r="D119618" s="12"/>
      <c r="E119618" s="12"/>
      <c r="F119618" s="13"/>
      <c r="G119618" s="12"/>
      <c r="H119618" s="12"/>
      <c r="I119618" s="12"/>
      <c r="J119618" s="12"/>
      <c r="K119618" s="12"/>
      <c r="L119618" s="208"/>
      <c r="M119618" s="209"/>
      <c r="N119618" s="209"/>
      <c r="O119618" s="209"/>
    </row>
    <row r="119619" spans="1:15" s="210" customFormat="1" x14ac:dyDescent="0.3">
      <c r="A119619" s="12"/>
      <c r="B119619" s="15"/>
      <c r="C119619" s="15"/>
      <c r="D119619" s="12"/>
      <c r="E119619" s="12"/>
      <c r="F119619" s="13"/>
      <c r="G119619" s="12"/>
      <c r="H119619" s="12"/>
      <c r="I119619" s="12"/>
      <c r="J119619" s="12"/>
      <c r="K119619" s="12"/>
      <c r="L119619" s="208"/>
      <c r="M119619" s="209"/>
      <c r="N119619" s="209"/>
      <c r="O119619" s="209"/>
    </row>
    <row r="119620" spans="1:15" s="210" customFormat="1" x14ac:dyDescent="0.3">
      <c r="A119620" s="12"/>
      <c r="B119620" s="15"/>
      <c r="C119620" s="15"/>
      <c r="D119620" s="12"/>
      <c r="E119620" s="12"/>
      <c r="F119620" s="13"/>
      <c r="G119620" s="12"/>
      <c r="H119620" s="12"/>
      <c r="I119620" s="12"/>
      <c r="J119620" s="12"/>
      <c r="K119620" s="12"/>
      <c r="L119620" s="208"/>
      <c r="M119620" s="209"/>
      <c r="N119620" s="209"/>
      <c r="O119620" s="209"/>
    </row>
    <row r="119621" spans="1:15" s="210" customFormat="1" x14ac:dyDescent="0.3">
      <c r="A119621" s="12"/>
      <c r="B119621" s="15"/>
      <c r="C119621" s="15"/>
      <c r="D119621" s="12"/>
      <c r="E119621" s="12"/>
      <c r="F119621" s="13"/>
      <c r="G119621" s="12"/>
      <c r="H119621" s="12"/>
      <c r="I119621" s="12"/>
      <c r="J119621" s="12"/>
      <c r="K119621" s="12"/>
      <c r="L119621" s="208"/>
      <c r="M119621" s="209"/>
      <c r="N119621" s="209"/>
      <c r="O119621" s="209"/>
    </row>
    <row r="119622" spans="1:15" s="210" customFormat="1" x14ac:dyDescent="0.3">
      <c r="A119622" s="12"/>
      <c r="B119622" s="15"/>
      <c r="C119622" s="15"/>
      <c r="D119622" s="12"/>
      <c r="E119622" s="12"/>
      <c r="F119622" s="13"/>
      <c r="G119622" s="12"/>
      <c r="H119622" s="12"/>
      <c r="I119622" s="12"/>
      <c r="J119622" s="12"/>
      <c r="K119622" s="12"/>
      <c r="L119622" s="208"/>
      <c r="M119622" s="209"/>
      <c r="N119622" s="209"/>
      <c r="O119622" s="209"/>
    </row>
    <row r="119623" spans="1:15" s="210" customFormat="1" x14ac:dyDescent="0.3">
      <c r="A119623" s="12"/>
      <c r="B119623" s="15"/>
      <c r="C119623" s="15"/>
      <c r="D119623" s="12"/>
      <c r="E119623" s="12"/>
      <c r="F119623" s="13"/>
      <c r="G119623" s="12"/>
      <c r="H119623" s="12"/>
      <c r="I119623" s="12"/>
      <c r="J119623" s="12"/>
      <c r="K119623" s="12"/>
      <c r="L119623" s="208"/>
      <c r="M119623" s="209"/>
      <c r="N119623" s="209"/>
      <c r="O119623" s="209"/>
    </row>
    <row r="119624" spans="1:15" s="210" customFormat="1" x14ac:dyDescent="0.3">
      <c r="A119624" s="12"/>
      <c r="B119624" s="15"/>
      <c r="C119624" s="15"/>
      <c r="D119624" s="12"/>
      <c r="E119624" s="12"/>
      <c r="F119624" s="13"/>
      <c r="G119624" s="12"/>
      <c r="H119624" s="12"/>
      <c r="I119624" s="12"/>
      <c r="J119624" s="12"/>
      <c r="K119624" s="12"/>
      <c r="L119624" s="208"/>
      <c r="M119624" s="209"/>
      <c r="N119624" s="209"/>
      <c r="O119624" s="209"/>
    </row>
    <row r="119625" spans="1:15" s="210" customFormat="1" x14ac:dyDescent="0.3">
      <c r="A119625" s="12"/>
      <c r="B119625" s="15"/>
      <c r="C119625" s="15"/>
      <c r="D119625" s="12"/>
      <c r="E119625" s="12"/>
      <c r="F119625" s="13"/>
      <c r="G119625" s="12"/>
      <c r="H119625" s="12"/>
      <c r="I119625" s="12"/>
      <c r="J119625" s="12"/>
      <c r="K119625" s="12"/>
      <c r="L119625" s="208"/>
      <c r="M119625" s="209"/>
      <c r="N119625" s="209"/>
      <c r="O119625" s="209"/>
    </row>
    <row r="119626" spans="1:15" s="210" customFormat="1" x14ac:dyDescent="0.3">
      <c r="A119626" s="12"/>
      <c r="B119626" s="15"/>
      <c r="C119626" s="15"/>
      <c r="D119626" s="12"/>
      <c r="E119626" s="12"/>
      <c r="F119626" s="13"/>
      <c r="G119626" s="12"/>
      <c r="H119626" s="12"/>
      <c r="I119626" s="12"/>
      <c r="J119626" s="12"/>
      <c r="K119626" s="12"/>
      <c r="L119626" s="208"/>
      <c r="M119626" s="209"/>
      <c r="N119626" s="209"/>
      <c r="O119626" s="209"/>
    </row>
    <row r="119627" spans="1:15" s="210" customFormat="1" x14ac:dyDescent="0.3">
      <c r="A119627" s="12"/>
      <c r="B119627" s="15"/>
      <c r="C119627" s="15"/>
      <c r="D119627" s="12"/>
      <c r="E119627" s="12"/>
      <c r="F119627" s="13"/>
      <c r="G119627" s="12"/>
      <c r="H119627" s="12"/>
      <c r="I119627" s="12"/>
      <c r="J119627" s="12"/>
      <c r="K119627" s="12"/>
      <c r="L119627" s="208"/>
      <c r="M119627" s="209"/>
      <c r="N119627" s="209"/>
      <c r="O119627" s="209"/>
    </row>
    <row r="119628" spans="1:15" s="210" customFormat="1" x14ac:dyDescent="0.3">
      <c r="A119628" s="12"/>
      <c r="B119628" s="15"/>
      <c r="C119628" s="15"/>
      <c r="D119628" s="12"/>
      <c r="E119628" s="12"/>
      <c r="F119628" s="13"/>
      <c r="G119628" s="12"/>
      <c r="H119628" s="12"/>
      <c r="I119628" s="12"/>
      <c r="J119628" s="12"/>
      <c r="K119628" s="12"/>
      <c r="L119628" s="208"/>
      <c r="M119628" s="209"/>
      <c r="N119628" s="209"/>
      <c r="O119628" s="209"/>
    </row>
    <row r="119629" spans="1:15" s="210" customFormat="1" x14ac:dyDescent="0.3">
      <c r="A119629" s="12"/>
      <c r="B119629" s="15"/>
      <c r="C119629" s="15"/>
      <c r="D119629" s="12"/>
      <c r="E119629" s="12"/>
      <c r="F119629" s="13"/>
      <c r="G119629" s="12"/>
      <c r="H119629" s="12"/>
      <c r="I119629" s="12"/>
      <c r="J119629" s="12"/>
      <c r="K119629" s="12"/>
      <c r="L119629" s="208"/>
      <c r="M119629" s="209"/>
      <c r="N119629" s="209"/>
      <c r="O119629" s="209"/>
    </row>
    <row r="119630" spans="1:15" s="210" customFormat="1" x14ac:dyDescent="0.3">
      <c r="A119630" s="12"/>
      <c r="B119630" s="15"/>
      <c r="C119630" s="15"/>
      <c r="D119630" s="12"/>
      <c r="E119630" s="12"/>
      <c r="F119630" s="13"/>
      <c r="G119630" s="12"/>
      <c r="H119630" s="12"/>
      <c r="I119630" s="12"/>
      <c r="J119630" s="12"/>
      <c r="K119630" s="12"/>
      <c r="L119630" s="208"/>
      <c r="M119630" s="209"/>
      <c r="N119630" s="209"/>
      <c r="O119630" s="209"/>
    </row>
    <row r="119631" spans="1:15" s="210" customFormat="1" x14ac:dyDescent="0.3">
      <c r="A119631" s="12"/>
      <c r="B119631" s="15"/>
      <c r="C119631" s="15"/>
      <c r="D119631" s="12"/>
      <c r="E119631" s="12"/>
      <c r="F119631" s="13"/>
      <c r="G119631" s="12"/>
      <c r="H119631" s="12"/>
      <c r="I119631" s="12"/>
      <c r="J119631" s="12"/>
      <c r="K119631" s="12"/>
      <c r="L119631" s="208"/>
      <c r="M119631" s="209"/>
      <c r="N119631" s="209"/>
      <c r="O119631" s="209"/>
    </row>
    <row r="119632" spans="1:15" s="210" customFormat="1" x14ac:dyDescent="0.3">
      <c r="A119632" s="12"/>
      <c r="B119632" s="15"/>
      <c r="C119632" s="15"/>
      <c r="D119632" s="12"/>
      <c r="E119632" s="12"/>
      <c r="F119632" s="13"/>
      <c r="G119632" s="12"/>
      <c r="H119632" s="12"/>
      <c r="I119632" s="12"/>
      <c r="J119632" s="12"/>
      <c r="K119632" s="12"/>
      <c r="L119632" s="208"/>
      <c r="M119632" s="209"/>
      <c r="N119632" s="209"/>
      <c r="O119632" s="209"/>
    </row>
    <row r="119633" spans="1:15" s="210" customFormat="1" x14ac:dyDescent="0.3">
      <c r="A119633" s="12"/>
      <c r="B119633" s="15"/>
      <c r="C119633" s="15"/>
      <c r="D119633" s="12"/>
      <c r="E119633" s="12"/>
      <c r="F119633" s="13"/>
      <c r="G119633" s="12"/>
      <c r="H119633" s="12"/>
      <c r="I119633" s="12"/>
      <c r="J119633" s="12"/>
      <c r="K119633" s="12"/>
      <c r="L119633" s="208"/>
      <c r="M119633" s="209"/>
      <c r="N119633" s="209"/>
      <c r="O119633" s="209"/>
    </row>
    <row r="119634" spans="1:15" s="210" customFormat="1" x14ac:dyDescent="0.3">
      <c r="A119634" s="12"/>
      <c r="B119634" s="15"/>
      <c r="C119634" s="15"/>
      <c r="D119634" s="12"/>
      <c r="E119634" s="12"/>
      <c r="F119634" s="13"/>
      <c r="G119634" s="12"/>
      <c r="H119634" s="12"/>
      <c r="I119634" s="12"/>
      <c r="J119634" s="12"/>
      <c r="K119634" s="12"/>
      <c r="L119634" s="208"/>
      <c r="M119634" s="209"/>
      <c r="N119634" s="209"/>
      <c r="O119634" s="209"/>
    </row>
    <row r="119635" spans="1:15" s="210" customFormat="1" x14ac:dyDescent="0.3">
      <c r="A119635" s="12"/>
      <c r="B119635" s="15"/>
      <c r="C119635" s="15"/>
      <c r="D119635" s="12"/>
      <c r="E119635" s="12"/>
      <c r="F119635" s="13"/>
      <c r="G119635" s="12"/>
      <c r="H119635" s="12"/>
      <c r="I119635" s="12"/>
      <c r="J119635" s="12"/>
      <c r="K119635" s="12"/>
      <c r="L119635" s="208"/>
      <c r="M119635" s="209"/>
      <c r="N119635" s="209"/>
      <c r="O119635" s="209"/>
    </row>
    <row r="119636" spans="1:15" s="210" customFormat="1" x14ac:dyDescent="0.3">
      <c r="A119636" s="12"/>
      <c r="B119636" s="15"/>
      <c r="C119636" s="15"/>
      <c r="D119636" s="12"/>
      <c r="E119636" s="12"/>
      <c r="F119636" s="13"/>
      <c r="G119636" s="12"/>
      <c r="H119636" s="12"/>
      <c r="I119636" s="12"/>
      <c r="J119636" s="12"/>
      <c r="K119636" s="12"/>
      <c r="L119636" s="208"/>
      <c r="M119636" s="209"/>
      <c r="N119636" s="209"/>
      <c r="O119636" s="209"/>
    </row>
    <row r="119637" spans="1:15" s="210" customFormat="1" x14ac:dyDescent="0.3">
      <c r="A119637" s="12"/>
      <c r="B119637" s="15"/>
      <c r="C119637" s="15"/>
      <c r="D119637" s="12"/>
      <c r="E119637" s="12"/>
      <c r="F119637" s="13"/>
      <c r="G119637" s="12"/>
      <c r="H119637" s="12"/>
      <c r="I119637" s="12"/>
      <c r="J119637" s="12"/>
      <c r="K119637" s="12"/>
      <c r="L119637" s="208"/>
      <c r="M119637" s="209"/>
      <c r="N119637" s="209"/>
      <c r="O119637" s="209"/>
    </row>
    <row r="119638" spans="1:15" s="210" customFormat="1" x14ac:dyDescent="0.3">
      <c r="A119638" s="12"/>
      <c r="B119638" s="15"/>
      <c r="C119638" s="15"/>
      <c r="D119638" s="12"/>
      <c r="E119638" s="12"/>
      <c r="F119638" s="13"/>
      <c r="G119638" s="12"/>
      <c r="H119638" s="12"/>
      <c r="I119638" s="12"/>
      <c r="J119638" s="12"/>
      <c r="K119638" s="12"/>
      <c r="L119638" s="208"/>
      <c r="M119638" s="209"/>
      <c r="N119638" s="209"/>
      <c r="O119638" s="209"/>
    </row>
    <row r="119639" spans="1:15" s="210" customFormat="1" x14ac:dyDescent="0.3">
      <c r="A119639" s="12"/>
      <c r="B119639" s="15"/>
      <c r="C119639" s="15"/>
      <c r="D119639" s="12"/>
      <c r="E119639" s="12"/>
      <c r="F119639" s="13"/>
      <c r="G119639" s="12"/>
      <c r="H119639" s="12"/>
      <c r="I119639" s="12"/>
      <c r="J119639" s="12"/>
      <c r="K119639" s="12"/>
      <c r="L119639" s="208"/>
      <c r="M119639" s="209"/>
      <c r="N119639" s="209"/>
      <c r="O119639" s="209"/>
    </row>
    <row r="119640" spans="1:15" s="210" customFormat="1" x14ac:dyDescent="0.3">
      <c r="A119640" s="12"/>
      <c r="B119640" s="15"/>
      <c r="C119640" s="15"/>
      <c r="D119640" s="12"/>
      <c r="E119640" s="12"/>
      <c r="F119640" s="13"/>
      <c r="G119640" s="12"/>
      <c r="H119640" s="12"/>
      <c r="I119640" s="12"/>
      <c r="J119640" s="12"/>
      <c r="K119640" s="12"/>
      <c r="L119640" s="208"/>
      <c r="M119640" s="209"/>
      <c r="N119640" s="209"/>
      <c r="O119640" s="209"/>
    </row>
    <row r="119641" spans="1:15" s="210" customFormat="1" x14ac:dyDescent="0.3">
      <c r="A119641" s="12"/>
      <c r="B119641" s="15"/>
      <c r="C119641" s="15"/>
      <c r="D119641" s="12"/>
      <c r="E119641" s="12"/>
      <c r="F119641" s="13"/>
      <c r="G119641" s="12"/>
      <c r="H119641" s="12"/>
      <c r="I119641" s="12"/>
      <c r="J119641" s="12"/>
      <c r="K119641" s="12"/>
      <c r="L119641" s="208"/>
      <c r="M119641" s="209"/>
      <c r="N119641" s="209"/>
      <c r="O119641" s="209"/>
    </row>
    <row r="119642" spans="1:15" s="210" customFormat="1" x14ac:dyDescent="0.3">
      <c r="A119642" s="12"/>
      <c r="B119642" s="15"/>
      <c r="C119642" s="15"/>
      <c r="D119642" s="12"/>
      <c r="E119642" s="12"/>
      <c r="F119642" s="13"/>
      <c r="G119642" s="12"/>
      <c r="H119642" s="12"/>
      <c r="I119642" s="12"/>
      <c r="J119642" s="12"/>
      <c r="K119642" s="12"/>
      <c r="L119642" s="208"/>
      <c r="M119642" s="209"/>
      <c r="N119642" s="209"/>
      <c r="O119642" s="209"/>
    </row>
    <row r="119643" spans="1:15" s="210" customFormat="1" x14ac:dyDescent="0.3">
      <c r="A119643" s="12"/>
      <c r="B119643" s="15"/>
      <c r="C119643" s="15"/>
      <c r="D119643" s="12"/>
      <c r="E119643" s="12"/>
      <c r="F119643" s="13"/>
      <c r="G119643" s="12"/>
      <c r="H119643" s="12"/>
      <c r="I119643" s="12"/>
      <c r="J119643" s="12"/>
      <c r="K119643" s="12"/>
      <c r="L119643" s="208"/>
      <c r="M119643" s="209"/>
      <c r="N119643" s="209"/>
      <c r="O119643" s="209"/>
    </row>
    <row r="119644" spans="1:15" s="210" customFormat="1" x14ac:dyDescent="0.3">
      <c r="A119644" s="12"/>
      <c r="B119644" s="15"/>
      <c r="C119644" s="15"/>
      <c r="D119644" s="12"/>
      <c r="E119644" s="12"/>
      <c r="F119644" s="13"/>
      <c r="G119644" s="12"/>
      <c r="H119644" s="12"/>
      <c r="I119644" s="12"/>
      <c r="J119644" s="12"/>
      <c r="K119644" s="12"/>
      <c r="L119644" s="208"/>
      <c r="M119644" s="209"/>
      <c r="N119644" s="209"/>
      <c r="O119644" s="209"/>
    </row>
    <row r="119645" spans="1:15" s="210" customFormat="1" x14ac:dyDescent="0.3">
      <c r="A119645" s="12"/>
      <c r="B119645" s="15"/>
      <c r="C119645" s="15"/>
      <c r="D119645" s="12"/>
      <c r="E119645" s="12"/>
      <c r="F119645" s="13"/>
      <c r="G119645" s="12"/>
      <c r="H119645" s="12"/>
      <c r="I119645" s="12"/>
      <c r="J119645" s="12"/>
      <c r="K119645" s="12"/>
      <c r="L119645" s="208"/>
      <c r="M119645" s="209"/>
      <c r="N119645" s="209"/>
      <c r="O119645" s="209"/>
    </row>
    <row r="119646" spans="1:15" s="210" customFormat="1" x14ac:dyDescent="0.3">
      <c r="A119646" s="12"/>
      <c r="B119646" s="15"/>
      <c r="C119646" s="15"/>
      <c r="D119646" s="12"/>
      <c r="E119646" s="12"/>
      <c r="F119646" s="13"/>
      <c r="G119646" s="12"/>
      <c r="H119646" s="12"/>
      <c r="I119646" s="12"/>
      <c r="J119646" s="12"/>
      <c r="K119646" s="12"/>
      <c r="L119646" s="208"/>
      <c r="M119646" s="209"/>
      <c r="N119646" s="209"/>
      <c r="O119646" s="209"/>
    </row>
    <row r="119647" spans="1:15" s="210" customFormat="1" x14ac:dyDescent="0.3">
      <c r="A119647" s="12"/>
      <c r="B119647" s="15"/>
      <c r="C119647" s="15"/>
      <c r="D119647" s="12"/>
      <c r="E119647" s="12"/>
      <c r="F119647" s="13"/>
      <c r="G119647" s="12"/>
      <c r="H119647" s="12"/>
      <c r="I119647" s="12"/>
      <c r="J119647" s="12"/>
      <c r="K119647" s="12"/>
      <c r="L119647" s="208"/>
      <c r="M119647" s="209"/>
      <c r="N119647" s="209"/>
      <c r="O119647" s="209"/>
    </row>
    <row r="119648" spans="1:15" s="210" customFormat="1" x14ac:dyDescent="0.3">
      <c r="A119648" s="12"/>
      <c r="B119648" s="15"/>
      <c r="C119648" s="15"/>
      <c r="D119648" s="12"/>
      <c r="E119648" s="12"/>
      <c r="F119648" s="13"/>
      <c r="G119648" s="12"/>
      <c r="H119648" s="12"/>
      <c r="I119648" s="12"/>
      <c r="J119648" s="12"/>
      <c r="K119648" s="12"/>
      <c r="L119648" s="208"/>
      <c r="M119648" s="209"/>
      <c r="N119648" s="209"/>
      <c r="O119648" s="209"/>
    </row>
    <row r="119649" spans="1:15" s="210" customFormat="1" x14ac:dyDescent="0.3">
      <c r="A119649" s="12"/>
      <c r="B119649" s="15"/>
      <c r="C119649" s="15"/>
      <c r="D119649" s="12"/>
      <c r="E119649" s="12"/>
      <c r="F119649" s="13"/>
      <c r="G119649" s="12"/>
      <c r="H119649" s="12"/>
      <c r="I119649" s="12"/>
      <c r="J119649" s="12"/>
      <c r="K119649" s="12"/>
      <c r="L119649" s="208"/>
      <c r="M119649" s="209"/>
      <c r="N119649" s="209"/>
      <c r="O119649" s="209"/>
    </row>
    <row r="119650" spans="1:15" s="210" customFormat="1" x14ac:dyDescent="0.3">
      <c r="A119650" s="12"/>
      <c r="B119650" s="15"/>
      <c r="C119650" s="15"/>
      <c r="D119650" s="12"/>
      <c r="E119650" s="12"/>
      <c r="F119650" s="13"/>
      <c r="G119650" s="12"/>
      <c r="H119650" s="12"/>
      <c r="I119650" s="12"/>
      <c r="J119650" s="12"/>
      <c r="K119650" s="12"/>
      <c r="L119650" s="208"/>
      <c r="M119650" s="209"/>
      <c r="N119650" s="209"/>
      <c r="O119650" s="209"/>
    </row>
    <row r="119651" spans="1:15" s="210" customFormat="1" x14ac:dyDescent="0.3">
      <c r="A119651" s="12"/>
      <c r="B119651" s="15"/>
      <c r="C119651" s="15"/>
      <c r="D119651" s="12"/>
      <c r="E119651" s="12"/>
      <c r="F119651" s="13"/>
      <c r="G119651" s="12"/>
      <c r="H119651" s="12"/>
      <c r="I119651" s="12"/>
      <c r="J119651" s="12"/>
      <c r="K119651" s="12"/>
      <c r="L119651" s="208"/>
      <c r="M119651" s="209"/>
      <c r="N119651" s="209"/>
      <c r="O119651" s="209"/>
    </row>
    <row r="119652" spans="1:15" s="210" customFormat="1" x14ac:dyDescent="0.3">
      <c r="A119652" s="12"/>
      <c r="B119652" s="15"/>
      <c r="C119652" s="15"/>
      <c r="D119652" s="12"/>
      <c r="E119652" s="12"/>
      <c r="F119652" s="13"/>
      <c r="G119652" s="12"/>
      <c r="H119652" s="12"/>
      <c r="I119652" s="12"/>
      <c r="J119652" s="12"/>
      <c r="K119652" s="12"/>
      <c r="L119652" s="208"/>
      <c r="M119652" s="209"/>
      <c r="N119652" s="209"/>
      <c r="O119652" s="209"/>
    </row>
    <row r="119653" spans="1:15" s="210" customFormat="1" x14ac:dyDescent="0.3">
      <c r="A119653" s="12"/>
      <c r="B119653" s="15"/>
      <c r="C119653" s="15"/>
      <c r="D119653" s="12"/>
      <c r="E119653" s="12"/>
      <c r="F119653" s="13"/>
      <c r="G119653" s="12"/>
      <c r="H119653" s="12"/>
      <c r="I119653" s="12"/>
      <c r="J119653" s="12"/>
      <c r="K119653" s="12"/>
      <c r="L119653" s="208"/>
      <c r="M119653" s="209"/>
      <c r="N119653" s="209"/>
      <c r="O119653" s="209"/>
    </row>
    <row r="119654" spans="1:15" s="210" customFormat="1" x14ac:dyDescent="0.3">
      <c r="A119654" s="12"/>
      <c r="B119654" s="15"/>
      <c r="C119654" s="15"/>
      <c r="D119654" s="12"/>
      <c r="E119654" s="12"/>
      <c r="F119654" s="13"/>
      <c r="G119654" s="12"/>
      <c r="H119654" s="12"/>
      <c r="I119654" s="12"/>
      <c r="J119654" s="12"/>
      <c r="K119654" s="12"/>
      <c r="L119654" s="208"/>
      <c r="M119654" s="209"/>
      <c r="N119654" s="209"/>
      <c r="O119654" s="209"/>
    </row>
    <row r="119655" spans="1:15" s="210" customFormat="1" x14ac:dyDescent="0.3">
      <c r="A119655" s="12"/>
      <c r="B119655" s="15"/>
      <c r="C119655" s="15"/>
      <c r="D119655" s="12"/>
      <c r="E119655" s="12"/>
      <c r="F119655" s="13"/>
      <c r="G119655" s="12"/>
      <c r="H119655" s="12"/>
      <c r="I119655" s="12"/>
      <c r="J119655" s="12"/>
      <c r="K119655" s="12"/>
      <c r="L119655" s="208"/>
      <c r="M119655" s="209"/>
      <c r="N119655" s="209"/>
      <c r="O119655" s="209"/>
    </row>
    <row r="119656" spans="1:15" s="210" customFormat="1" x14ac:dyDescent="0.3">
      <c r="A119656" s="12"/>
      <c r="B119656" s="15"/>
      <c r="C119656" s="15"/>
      <c r="D119656" s="12"/>
      <c r="E119656" s="12"/>
      <c r="F119656" s="13"/>
      <c r="G119656" s="12"/>
      <c r="H119656" s="12"/>
      <c r="I119656" s="12"/>
      <c r="J119656" s="12"/>
      <c r="K119656" s="12"/>
      <c r="L119656" s="208"/>
      <c r="M119656" s="209"/>
      <c r="N119656" s="209"/>
      <c r="O119656" s="209"/>
    </row>
    <row r="119657" spans="1:15" s="210" customFormat="1" x14ac:dyDescent="0.3">
      <c r="A119657" s="12"/>
      <c r="B119657" s="15"/>
      <c r="C119657" s="15"/>
      <c r="D119657" s="12"/>
      <c r="E119657" s="12"/>
      <c r="F119657" s="13"/>
      <c r="G119657" s="12"/>
      <c r="H119657" s="12"/>
      <c r="I119657" s="12"/>
      <c r="J119657" s="12"/>
      <c r="K119657" s="12"/>
      <c r="L119657" s="208"/>
      <c r="M119657" s="209"/>
      <c r="N119657" s="209"/>
      <c r="O119657" s="209"/>
    </row>
    <row r="119658" spans="1:15" s="210" customFormat="1" x14ac:dyDescent="0.3">
      <c r="A119658" s="12"/>
      <c r="B119658" s="15"/>
      <c r="C119658" s="15"/>
      <c r="D119658" s="12"/>
      <c r="E119658" s="12"/>
      <c r="F119658" s="13"/>
      <c r="G119658" s="12"/>
      <c r="H119658" s="12"/>
      <c r="I119658" s="12"/>
      <c r="J119658" s="12"/>
      <c r="K119658" s="12"/>
      <c r="L119658" s="208"/>
      <c r="M119658" s="209"/>
      <c r="N119658" s="209"/>
      <c r="O119658" s="209"/>
    </row>
    <row r="119659" spans="1:15" s="210" customFormat="1" x14ac:dyDescent="0.3">
      <c r="A119659" s="12"/>
      <c r="B119659" s="15"/>
      <c r="C119659" s="15"/>
      <c r="D119659" s="12"/>
      <c r="E119659" s="12"/>
      <c r="F119659" s="13"/>
      <c r="G119659" s="12"/>
      <c r="H119659" s="12"/>
      <c r="I119659" s="12"/>
      <c r="J119659" s="12"/>
      <c r="K119659" s="12"/>
      <c r="L119659" s="208"/>
      <c r="M119659" s="209"/>
      <c r="N119659" s="209"/>
      <c r="O119659" s="209"/>
    </row>
    <row r="119660" spans="1:15" s="210" customFormat="1" x14ac:dyDescent="0.3">
      <c r="A119660" s="12"/>
      <c r="B119660" s="15"/>
      <c r="C119660" s="15"/>
      <c r="D119660" s="12"/>
      <c r="E119660" s="12"/>
      <c r="F119660" s="13"/>
      <c r="G119660" s="12"/>
      <c r="H119660" s="12"/>
      <c r="I119660" s="12"/>
      <c r="J119660" s="12"/>
      <c r="K119660" s="12"/>
      <c r="L119660" s="208"/>
      <c r="M119660" s="209"/>
      <c r="N119660" s="209"/>
      <c r="O119660" s="209"/>
    </row>
    <row r="119661" spans="1:15" s="210" customFormat="1" x14ac:dyDescent="0.3">
      <c r="A119661" s="12"/>
      <c r="B119661" s="15"/>
      <c r="C119661" s="15"/>
      <c r="D119661" s="12"/>
      <c r="E119661" s="12"/>
      <c r="F119661" s="13"/>
      <c r="G119661" s="12"/>
      <c r="H119661" s="12"/>
      <c r="I119661" s="12"/>
      <c r="J119661" s="12"/>
      <c r="K119661" s="12"/>
      <c r="L119661" s="208"/>
      <c r="M119661" s="209"/>
      <c r="N119661" s="209"/>
      <c r="O119661" s="209"/>
    </row>
    <row r="119662" spans="1:15" s="210" customFormat="1" x14ac:dyDescent="0.3">
      <c r="A119662" s="12"/>
      <c r="B119662" s="15"/>
      <c r="C119662" s="15"/>
      <c r="D119662" s="12"/>
      <c r="E119662" s="12"/>
      <c r="F119662" s="13"/>
      <c r="G119662" s="12"/>
      <c r="H119662" s="12"/>
      <c r="I119662" s="12"/>
      <c r="J119662" s="12"/>
      <c r="K119662" s="12"/>
      <c r="L119662" s="208"/>
      <c r="M119662" s="209"/>
      <c r="N119662" s="209"/>
      <c r="O119662" s="209"/>
    </row>
    <row r="119663" spans="1:15" s="210" customFormat="1" x14ac:dyDescent="0.3">
      <c r="A119663" s="12"/>
      <c r="B119663" s="15"/>
      <c r="C119663" s="15"/>
      <c r="D119663" s="12"/>
      <c r="E119663" s="12"/>
      <c r="F119663" s="13"/>
      <c r="G119663" s="12"/>
      <c r="H119663" s="12"/>
      <c r="I119663" s="12"/>
      <c r="J119663" s="12"/>
      <c r="K119663" s="12"/>
      <c r="L119663" s="208"/>
      <c r="M119663" s="209"/>
      <c r="N119663" s="209"/>
      <c r="O119663" s="209"/>
    </row>
    <row r="119664" spans="1:15" s="210" customFormat="1" x14ac:dyDescent="0.3">
      <c r="A119664" s="12"/>
      <c r="B119664" s="15"/>
      <c r="C119664" s="15"/>
      <c r="D119664" s="12"/>
      <c r="E119664" s="12"/>
      <c r="F119664" s="13"/>
      <c r="G119664" s="12"/>
      <c r="H119664" s="12"/>
      <c r="I119664" s="12"/>
      <c r="J119664" s="12"/>
      <c r="K119664" s="12"/>
      <c r="L119664" s="208"/>
      <c r="M119664" s="209"/>
      <c r="N119664" s="209"/>
      <c r="O119664" s="209"/>
    </row>
    <row r="119665" spans="1:15" s="210" customFormat="1" x14ac:dyDescent="0.3">
      <c r="A119665" s="12"/>
      <c r="B119665" s="15"/>
      <c r="C119665" s="15"/>
      <c r="D119665" s="12"/>
      <c r="E119665" s="12"/>
      <c r="F119665" s="13"/>
      <c r="G119665" s="12"/>
      <c r="H119665" s="12"/>
      <c r="I119665" s="12"/>
      <c r="J119665" s="12"/>
      <c r="K119665" s="12"/>
      <c r="L119665" s="208"/>
      <c r="M119665" s="209"/>
      <c r="N119665" s="209"/>
      <c r="O119665" s="209"/>
    </row>
    <row r="119666" spans="1:15" s="210" customFormat="1" x14ac:dyDescent="0.3">
      <c r="A119666" s="12"/>
      <c r="B119666" s="15"/>
      <c r="C119666" s="15"/>
      <c r="D119666" s="12"/>
      <c r="E119666" s="12"/>
      <c r="F119666" s="13"/>
      <c r="G119666" s="12"/>
      <c r="H119666" s="12"/>
      <c r="I119666" s="12"/>
      <c r="J119666" s="12"/>
      <c r="K119666" s="12"/>
      <c r="L119666" s="208"/>
      <c r="M119666" s="209"/>
      <c r="N119666" s="209"/>
      <c r="O119666" s="209"/>
    </row>
    <row r="119667" spans="1:15" s="210" customFormat="1" x14ac:dyDescent="0.3">
      <c r="A119667" s="12"/>
      <c r="B119667" s="15"/>
      <c r="C119667" s="15"/>
      <c r="D119667" s="12"/>
      <c r="E119667" s="12"/>
      <c r="F119667" s="13"/>
      <c r="G119667" s="12"/>
      <c r="H119667" s="12"/>
      <c r="I119667" s="12"/>
      <c r="J119667" s="12"/>
      <c r="K119667" s="12"/>
      <c r="L119667" s="208"/>
      <c r="M119667" s="209"/>
      <c r="N119667" s="209"/>
      <c r="O119667" s="209"/>
    </row>
    <row r="119668" spans="1:15" s="210" customFormat="1" x14ac:dyDescent="0.3">
      <c r="A119668" s="12"/>
      <c r="B119668" s="15"/>
      <c r="C119668" s="15"/>
      <c r="D119668" s="12"/>
      <c r="E119668" s="12"/>
      <c r="F119668" s="13"/>
      <c r="G119668" s="12"/>
      <c r="H119668" s="12"/>
      <c r="I119668" s="12"/>
      <c r="J119668" s="12"/>
      <c r="K119668" s="12"/>
      <c r="L119668" s="208"/>
      <c r="M119668" s="209"/>
      <c r="N119668" s="209"/>
      <c r="O119668" s="209"/>
    </row>
    <row r="119669" spans="1:15" s="210" customFormat="1" x14ac:dyDescent="0.3">
      <c r="A119669" s="12"/>
      <c r="B119669" s="15"/>
      <c r="C119669" s="15"/>
      <c r="D119669" s="12"/>
      <c r="E119669" s="12"/>
      <c r="F119669" s="13"/>
      <c r="G119669" s="12"/>
      <c r="H119669" s="12"/>
      <c r="I119669" s="12"/>
      <c r="J119669" s="12"/>
      <c r="K119669" s="12"/>
      <c r="L119669" s="208"/>
      <c r="M119669" s="209"/>
      <c r="N119669" s="209"/>
      <c r="O119669" s="209"/>
    </row>
    <row r="119670" spans="1:15" s="210" customFormat="1" x14ac:dyDescent="0.3">
      <c r="A119670" s="12"/>
      <c r="B119670" s="15"/>
      <c r="C119670" s="15"/>
      <c r="D119670" s="12"/>
      <c r="E119670" s="12"/>
      <c r="F119670" s="13"/>
      <c r="G119670" s="12"/>
      <c r="H119670" s="12"/>
      <c r="I119670" s="12"/>
      <c r="J119670" s="12"/>
      <c r="K119670" s="12"/>
      <c r="L119670" s="208"/>
      <c r="M119670" s="209"/>
      <c r="N119670" s="209"/>
      <c r="O119670" s="209"/>
    </row>
    <row r="119671" spans="1:15" s="210" customFormat="1" x14ac:dyDescent="0.3">
      <c r="A119671" s="12"/>
      <c r="B119671" s="15"/>
      <c r="C119671" s="15"/>
      <c r="D119671" s="12"/>
      <c r="E119671" s="12"/>
      <c r="F119671" s="13"/>
      <c r="G119671" s="12"/>
      <c r="H119671" s="12"/>
      <c r="I119671" s="12"/>
      <c r="J119671" s="12"/>
      <c r="K119671" s="12"/>
      <c r="L119671" s="208"/>
      <c r="M119671" s="209"/>
      <c r="N119671" s="209"/>
      <c r="O119671" s="209"/>
    </row>
    <row r="119672" spans="1:15" s="210" customFormat="1" x14ac:dyDescent="0.3">
      <c r="A119672" s="12"/>
      <c r="B119672" s="15"/>
      <c r="C119672" s="15"/>
      <c r="D119672" s="12"/>
      <c r="E119672" s="12"/>
      <c r="F119672" s="13"/>
      <c r="G119672" s="12"/>
      <c r="H119672" s="12"/>
      <c r="I119672" s="12"/>
      <c r="J119672" s="12"/>
      <c r="K119672" s="12"/>
      <c r="L119672" s="208"/>
      <c r="M119672" s="209"/>
      <c r="N119672" s="209"/>
      <c r="O119672" s="209"/>
    </row>
    <row r="119673" spans="1:15" s="210" customFormat="1" x14ac:dyDescent="0.3">
      <c r="A119673" s="12"/>
      <c r="B119673" s="15"/>
      <c r="C119673" s="15"/>
      <c r="D119673" s="12"/>
      <c r="E119673" s="12"/>
      <c r="F119673" s="13"/>
      <c r="G119673" s="12"/>
      <c r="H119673" s="12"/>
      <c r="I119673" s="12"/>
      <c r="J119673" s="12"/>
      <c r="K119673" s="12"/>
      <c r="L119673" s="208"/>
      <c r="M119673" s="209"/>
      <c r="N119673" s="209"/>
      <c r="O119673" s="209"/>
    </row>
    <row r="119674" spans="1:15" s="210" customFormat="1" x14ac:dyDescent="0.3">
      <c r="A119674" s="12"/>
      <c r="B119674" s="15"/>
      <c r="C119674" s="15"/>
      <c r="D119674" s="12"/>
      <c r="E119674" s="12"/>
      <c r="F119674" s="13"/>
      <c r="G119674" s="12"/>
      <c r="H119674" s="12"/>
      <c r="I119674" s="12"/>
      <c r="J119674" s="12"/>
      <c r="K119674" s="12"/>
      <c r="L119674" s="208"/>
      <c r="M119674" s="209"/>
      <c r="N119674" s="209"/>
      <c r="O119674" s="209"/>
    </row>
    <row r="119675" spans="1:15" s="210" customFormat="1" x14ac:dyDescent="0.3">
      <c r="A119675" s="12"/>
      <c r="B119675" s="15"/>
      <c r="C119675" s="15"/>
      <c r="D119675" s="12"/>
      <c r="E119675" s="12"/>
      <c r="F119675" s="13"/>
      <c r="G119675" s="12"/>
      <c r="H119675" s="12"/>
      <c r="I119675" s="12"/>
      <c r="J119675" s="12"/>
      <c r="K119675" s="12"/>
      <c r="L119675" s="208"/>
      <c r="M119675" s="209"/>
      <c r="N119675" s="209"/>
      <c r="O119675" s="209"/>
    </row>
    <row r="119676" spans="1:15" s="210" customFormat="1" x14ac:dyDescent="0.3">
      <c r="A119676" s="12"/>
      <c r="B119676" s="15"/>
      <c r="C119676" s="15"/>
      <c r="D119676" s="12"/>
      <c r="E119676" s="12"/>
      <c r="F119676" s="13"/>
      <c r="G119676" s="12"/>
      <c r="H119676" s="12"/>
      <c r="I119676" s="12"/>
      <c r="J119676" s="12"/>
      <c r="K119676" s="12"/>
      <c r="L119676" s="208"/>
      <c r="M119676" s="209"/>
      <c r="N119676" s="209"/>
      <c r="O119676" s="209"/>
    </row>
    <row r="119677" spans="1:15" s="210" customFormat="1" x14ac:dyDescent="0.3">
      <c r="A119677" s="12"/>
      <c r="B119677" s="15"/>
      <c r="C119677" s="15"/>
      <c r="D119677" s="12"/>
      <c r="E119677" s="12"/>
      <c r="F119677" s="13"/>
      <c r="G119677" s="12"/>
      <c r="H119677" s="12"/>
      <c r="I119677" s="12"/>
      <c r="J119677" s="12"/>
      <c r="K119677" s="12"/>
      <c r="L119677" s="208"/>
      <c r="M119677" s="209"/>
      <c r="N119677" s="209"/>
      <c r="O119677" s="209"/>
    </row>
    <row r="119678" spans="1:15" s="210" customFormat="1" x14ac:dyDescent="0.3">
      <c r="A119678" s="12"/>
      <c r="B119678" s="15"/>
      <c r="C119678" s="15"/>
      <c r="D119678" s="12"/>
      <c r="E119678" s="12"/>
      <c r="F119678" s="13"/>
      <c r="G119678" s="12"/>
      <c r="H119678" s="12"/>
      <c r="I119678" s="12"/>
      <c r="J119678" s="12"/>
      <c r="K119678" s="12"/>
      <c r="L119678" s="208"/>
      <c r="M119678" s="209"/>
      <c r="N119678" s="209"/>
      <c r="O119678" s="209"/>
    </row>
    <row r="119679" spans="1:15" s="210" customFormat="1" x14ac:dyDescent="0.3">
      <c r="A119679" s="12"/>
      <c r="B119679" s="15"/>
      <c r="C119679" s="15"/>
      <c r="D119679" s="12"/>
      <c r="E119679" s="12"/>
      <c r="F119679" s="13"/>
      <c r="G119679" s="12"/>
      <c r="H119679" s="12"/>
      <c r="I119679" s="12"/>
      <c r="J119679" s="12"/>
      <c r="K119679" s="12"/>
      <c r="L119679" s="208"/>
      <c r="M119679" s="209"/>
      <c r="N119679" s="209"/>
      <c r="O119679" s="209"/>
    </row>
    <row r="119680" spans="1:15" s="210" customFormat="1" x14ac:dyDescent="0.3">
      <c r="A119680" s="12"/>
      <c r="B119680" s="15"/>
      <c r="C119680" s="15"/>
      <c r="D119680" s="12"/>
      <c r="E119680" s="12"/>
      <c r="F119680" s="13"/>
      <c r="G119680" s="12"/>
      <c r="H119680" s="12"/>
      <c r="I119680" s="12"/>
      <c r="J119680" s="12"/>
      <c r="K119680" s="12"/>
      <c r="L119680" s="208"/>
      <c r="M119680" s="209"/>
      <c r="N119680" s="209"/>
      <c r="O119680" s="209"/>
    </row>
    <row r="119681" spans="1:15" s="210" customFormat="1" x14ac:dyDescent="0.3">
      <c r="A119681" s="12"/>
      <c r="B119681" s="15"/>
      <c r="C119681" s="15"/>
      <c r="D119681" s="12"/>
      <c r="E119681" s="12"/>
      <c r="F119681" s="13"/>
      <c r="G119681" s="12"/>
      <c r="H119681" s="12"/>
      <c r="I119681" s="12"/>
      <c r="J119681" s="12"/>
      <c r="K119681" s="12"/>
      <c r="L119681" s="208"/>
      <c r="M119681" s="209"/>
      <c r="N119681" s="209"/>
      <c r="O119681" s="209"/>
    </row>
    <row r="119682" spans="1:15" s="210" customFormat="1" x14ac:dyDescent="0.3">
      <c r="A119682" s="12"/>
      <c r="B119682" s="15"/>
      <c r="C119682" s="15"/>
      <c r="D119682" s="12"/>
      <c r="E119682" s="12"/>
      <c r="F119682" s="13"/>
      <c r="G119682" s="12"/>
      <c r="H119682" s="12"/>
      <c r="I119682" s="12"/>
      <c r="J119682" s="12"/>
      <c r="K119682" s="12"/>
      <c r="L119682" s="208"/>
      <c r="M119682" s="209"/>
      <c r="N119682" s="209"/>
      <c r="O119682" s="209"/>
    </row>
    <row r="119683" spans="1:15" s="210" customFormat="1" x14ac:dyDescent="0.3">
      <c r="A119683" s="12"/>
      <c r="B119683" s="15"/>
      <c r="C119683" s="15"/>
      <c r="D119683" s="12"/>
      <c r="E119683" s="12"/>
      <c r="F119683" s="13"/>
      <c r="G119683" s="12"/>
      <c r="H119683" s="12"/>
      <c r="I119683" s="12"/>
      <c r="J119683" s="12"/>
      <c r="K119683" s="12"/>
      <c r="L119683" s="208"/>
      <c r="M119683" s="209"/>
      <c r="N119683" s="209"/>
      <c r="O119683" s="209"/>
    </row>
    <row r="119684" spans="1:15" s="210" customFormat="1" x14ac:dyDescent="0.3">
      <c r="A119684" s="12"/>
      <c r="B119684" s="15"/>
      <c r="C119684" s="15"/>
      <c r="D119684" s="12"/>
      <c r="E119684" s="12"/>
      <c r="F119684" s="13"/>
      <c r="G119684" s="12"/>
      <c r="H119684" s="12"/>
      <c r="I119684" s="12"/>
      <c r="J119684" s="12"/>
      <c r="K119684" s="12"/>
      <c r="L119684" s="208"/>
      <c r="M119684" s="209"/>
      <c r="N119684" s="209"/>
      <c r="O119684" s="209"/>
    </row>
    <row r="119685" spans="1:15" s="210" customFormat="1" x14ac:dyDescent="0.3">
      <c r="A119685" s="12"/>
      <c r="B119685" s="15"/>
      <c r="C119685" s="15"/>
      <c r="D119685" s="12"/>
      <c r="E119685" s="12"/>
      <c r="F119685" s="13"/>
      <c r="G119685" s="12"/>
      <c r="H119685" s="12"/>
      <c r="I119685" s="12"/>
      <c r="J119685" s="12"/>
      <c r="K119685" s="12"/>
      <c r="L119685" s="208"/>
      <c r="M119685" s="209"/>
      <c r="N119685" s="209"/>
      <c r="O119685" s="209"/>
    </row>
    <row r="119686" spans="1:15" s="210" customFormat="1" x14ac:dyDescent="0.3">
      <c r="A119686" s="12"/>
      <c r="B119686" s="15"/>
      <c r="C119686" s="15"/>
      <c r="D119686" s="12"/>
      <c r="E119686" s="12"/>
      <c r="F119686" s="13"/>
      <c r="G119686" s="12"/>
      <c r="H119686" s="12"/>
      <c r="I119686" s="12"/>
      <c r="J119686" s="12"/>
      <c r="K119686" s="12"/>
      <c r="L119686" s="208"/>
      <c r="M119686" s="209"/>
      <c r="N119686" s="209"/>
      <c r="O119686" s="209"/>
    </row>
    <row r="119687" spans="1:15" s="210" customFormat="1" x14ac:dyDescent="0.3">
      <c r="A119687" s="12"/>
      <c r="B119687" s="15"/>
      <c r="C119687" s="15"/>
      <c r="D119687" s="12"/>
      <c r="E119687" s="12"/>
      <c r="F119687" s="13"/>
      <c r="G119687" s="12"/>
      <c r="H119687" s="12"/>
      <c r="I119687" s="12"/>
      <c r="J119687" s="12"/>
      <c r="K119687" s="12"/>
      <c r="L119687" s="208"/>
      <c r="M119687" s="209"/>
      <c r="N119687" s="209"/>
      <c r="O119687" s="209"/>
    </row>
    <row r="119688" spans="1:15" s="210" customFormat="1" x14ac:dyDescent="0.3">
      <c r="A119688" s="12"/>
      <c r="B119688" s="15"/>
      <c r="C119688" s="15"/>
      <c r="D119688" s="12"/>
      <c r="E119688" s="12"/>
      <c r="F119688" s="13"/>
      <c r="G119688" s="12"/>
      <c r="H119688" s="12"/>
      <c r="I119688" s="12"/>
      <c r="J119688" s="12"/>
      <c r="K119688" s="12"/>
      <c r="L119688" s="208"/>
      <c r="M119688" s="209"/>
      <c r="N119688" s="209"/>
      <c r="O119688" s="209"/>
    </row>
    <row r="119689" spans="1:15" s="210" customFormat="1" x14ac:dyDescent="0.3">
      <c r="A119689" s="12"/>
      <c r="B119689" s="15"/>
      <c r="C119689" s="15"/>
      <c r="D119689" s="12"/>
      <c r="E119689" s="12"/>
      <c r="F119689" s="13"/>
      <c r="G119689" s="12"/>
      <c r="H119689" s="12"/>
      <c r="I119689" s="12"/>
      <c r="J119689" s="12"/>
      <c r="K119689" s="12"/>
      <c r="L119689" s="208"/>
      <c r="M119689" s="209"/>
      <c r="N119689" s="209"/>
      <c r="O119689" s="209"/>
    </row>
    <row r="119690" spans="1:15" s="210" customFormat="1" x14ac:dyDescent="0.3">
      <c r="A119690" s="12"/>
      <c r="B119690" s="15"/>
      <c r="C119690" s="15"/>
      <c r="D119690" s="12"/>
      <c r="E119690" s="12"/>
      <c r="F119690" s="13"/>
      <c r="G119690" s="12"/>
      <c r="H119690" s="12"/>
      <c r="I119690" s="12"/>
      <c r="J119690" s="12"/>
      <c r="K119690" s="12"/>
      <c r="L119690" s="208"/>
      <c r="M119690" s="209"/>
      <c r="N119690" s="209"/>
      <c r="O119690" s="209"/>
    </row>
    <row r="119691" spans="1:15" s="210" customFormat="1" x14ac:dyDescent="0.3">
      <c r="A119691" s="12"/>
      <c r="B119691" s="15"/>
      <c r="C119691" s="15"/>
      <c r="D119691" s="12"/>
      <c r="E119691" s="12"/>
      <c r="F119691" s="13"/>
      <c r="G119691" s="12"/>
      <c r="H119691" s="12"/>
      <c r="I119691" s="12"/>
      <c r="J119691" s="12"/>
      <c r="K119691" s="12"/>
      <c r="L119691" s="208"/>
      <c r="M119691" s="209"/>
      <c r="N119691" s="209"/>
      <c r="O119691" s="209"/>
    </row>
    <row r="119692" spans="1:15" s="210" customFormat="1" x14ac:dyDescent="0.3">
      <c r="A119692" s="12"/>
      <c r="B119692" s="15"/>
      <c r="C119692" s="15"/>
      <c r="D119692" s="12"/>
      <c r="E119692" s="12"/>
      <c r="F119692" s="13"/>
      <c r="G119692" s="12"/>
      <c r="H119692" s="12"/>
      <c r="I119692" s="12"/>
      <c r="J119692" s="12"/>
      <c r="K119692" s="12"/>
      <c r="L119692" s="208"/>
      <c r="M119692" s="209"/>
      <c r="N119692" s="209"/>
      <c r="O119692" s="209"/>
    </row>
    <row r="119693" spans="1:15" s="210" customFormat="1" x14ac:dyDescent="0.3">
      <c r="A119693" s="12"/>
      <c r="B119693" s="15"/>
      <c r="C119693" s="15"/>
      <c r="D119693" s="12"/>
      <c r="E119693" s="12"/>
      <c r="F119693" s="13"/>
      <c r="G119693" s="12"/>
      <c r="H119693" s="12"/>
      <c r="I119693" s="12"/>
      <c r="J119693" s="12"/>
      <c r="K119693" s="12"/>
      <c r="L119693" s="208"/>
      <c r="M119693" s="209"/>
      <c r="N119693" s="209"/>
      <c r="O119693" s="209"/>
    </row>
    <row r="119694" spans="1:15" s="210" customFormat="1" x14ac:dyDescent="0.3">
      <c r="A119694" s="12"/>
      <c r="B119694" s="15"/>
      <c r="C119694" s="15"/>
      <c r="D119694" s="12"/>
      <c r="E119694" s="12"/>
      <c r="F119694" s="13"/>
      <c r="G119694" s="12"/>
      <c r="H119694" s="12"/>
      <c r="I119694" s="12"/>
      <c r="J119694" s="12"/>
      <c r="K119694" s="12"/>
      <c r="L119694" s="208"/>
      <c r="M119694" s="209"/>
      <c r="N119694" s="209"/>
      <c r="O119694" s="209"/>
    </row>
    <row r="119695" spans="1:15" s="210" customFormat="1" x14ac:dyDescent="0.3">
      <c r="A119695" s="12"/>
      <c r="B119695" s="15"/>
      <c r="C119695" s="15"/>
      <c r="D119695" s="12"/>
      <c r="E119695" s="12"/>
      <c r="F119695" s="13"/>
      <c r="G119695" s="12"/>
      <c r="H119695" s="12"/>
      <c r="I119695" s="12"/>
      <c r="J119695" s="12"/>
      <c r="K119695" s="12"/>
      <c r="L119695" s="208"/>
      <c r="M119695" s="209"/>
      <c r="N119695" s="209"/>
      <c r="O119695" s="209"/>
    </row>
    <row r="119696" spans="1:15" s="210" customFormat="1" x14ac:dyDescent="0.3">
      <c r="A119696" s="12"/>
      <c r="B119696" s="15"/>
      <c r="C119696" s="15"/>
      <c r="D119696" s="12"/>
      <c r="E119696" s="12"/>
      <c r="F119696" s="13"/>
      <c r="G119696" s="12"/>
      <c r="H119696" s="12"/>
      <c r="I119696" s="12"/>
      <c r="J119696" s="12"/>
      <c r="K119696" s="12"/>
      <c r="L119696" s="208"/>
      <c r="M119696" s="209"/>
      <c r="N119696" s="209"/>
      <c r="O119696" s="209"/>
    </row>
    <row r="119697" spans="1:15" s="210" customFormat="1" x14ac:dyDescent="0.3">
      <c r="A119697" s="12"/>
      <c r="B119697" s="15"/>
      <c r="C119697" s="15"/>
      <c r="D119697" s="12"/>
      <c r="E119697" s="12"/>
      <c r="F119697" s="13"/>
      <c r="G119697" s="12"/>
      <c r="H119697" s="12"/>
      <c r="I119697" s="12"/>
      <c r="J119697" s="12"/>
      <c r="K119697" s="12"/>
      <c r="L119697" s="208"/>
      <c r="M119697" s="209"/>
      <c r="N119697" s="209"/>
      <c r="O119697" s="209"/>
    </row>
    <row r="119698" spans="1:15" s="210" customFormat="1" x14ac:dyDescent="0.3">
      <c r="A119698" s="12"/>
      <c r="B119698" s="15"/>
      <c r="C119698" s="15"/>
      <c r="D119698" s="12"/>
      <c r="E119698" s="12"/>
      <c r="F119698" s="13"/>
      <c r="G119698" s="12"/>
      <c r="H119698" s="12"/>
      <c r="I119698" s="12"/>
      <c r="J119698" s="12"/>
      <c r="K119698" s="12"/>
      <c r="L119698" s="208"/>
      <c r="M119698" s="209"/>
      <c r="N119698" s="209"/>
      <c r="O119698" s="209"/>
    </row>
    <row r="119699" spans="1:15" s="210" customFormat="1" x14ac:dyDescent="0.3">
      <c r="A119699" s="12"/>
      <c r="B119699" s="15"/>
      <c r="C119699" s="15"/>
      <c r="D119699" s="12"/>
      <c r="E119699" s="12"/>
      <c r="F119699" s="13"/>
      <c r="G119699" s="12"/>
      <c r="H119699" s="12"/>
      <c r="I119699" s="12"/>
      <c r="J119699" s="12"/>
      <c r="K119699" s="12"/>
      <c r="L119699" s="208"/>
      <c r="M119699" s="209"/>
      <c r="N119699" s="209"/>
      <c r="O119699" s="209"/>
    </row>
    <row r="119700" spans="1:15" s="210" customFormat="1" x14ac:dyDescent="0.3">
      <c r="A119700" s="12"/>
      <c r="B119700" s="15"/>
      <c r="C119700" s="15"/>
      <c r="D119700" s="12"/>
      <c r="E119700" s="12"/>
      <c r="F119700" s="13"/>
      <c r="G119700" s="12"/>
      <c r="H119700" s="12"/>
      <c r="I119700" s="12"/>
      <c r="J119700" s="12"/>
      <c r="K119700" s="12"/>
      <c r="L119700" s="208"/>
      <c r="M119700" s="209"/>
      <c r="N119700" s="209"/>
      <c r="O119700" s="209"/>
    </row>
    <row r="119701" spans="1:15" s="210" customFormat="1" x14ac:dyDescent="0.3">
      <c r="A119701" s="12"/>
      <c r="B119701" s="15"/>
      <c r="C119701" s="15"/>
      <c r="D119701" s="12"/>
      <c r="E119701" s="12"/>
      <c r="F119701" s="13"/>
      <c r="G119701" s="12"/>
      <c r="H119701" s="12"/>
      <c r="I119701" s="12"/>
      <c r="J119701" s="12"/>
      <c r="K119701" s="12"/>
      <c r="L119701" s="208"/>
      <c r="M119701" s="209"/>
      <c r="N119701" s="209"/>
      <c r="O119701" s="209"/>
    </row>
    <row r="119702" spans="1:15" s="210" customFormat="1" x14ac:dyDescent="0.3">
      <c r="A119702" s="12"/>
      <c r="B119702" s="15"/>
      <c r="C119702" s="15"/>
      <c r="D119702" s="12"/>
      <c r="E119702" s="12"/>
      <c r="F119702" s="13"/>
      <c r="G119702" s="12"/>
      <c r="H119702" s="12"/>
      <c r="I119702" s="12"/>
      <c r="J119702" s="12"/>
      <c r="K119702" s="12"/>
      <c r="L119702" s="208"/>
      <c r="M119702" s="209"/>
      <c r="N119702" s="209"/>
      <c r="O119702" s="209"/>
    </row>
    <row r="119703" spans="1:15" s="210" customFormat="1" x14ac:dyDescent="0.3">
      <c r="A119703" s="12"/>
      <c r="B119703" s="15"/>
      <c r="C119703" s="15"/>
      <c r="D119703" s="12"/>
      <c r="E119703" s="12"/>
      <c r="F119703" s="13"/>
      <c r="G119703" s="12"/>
      <c r="H119703" s="12"/>
      <c r="I119703" s="12"/>
      <c r="J119703" s="12"/>
      <c r="K119703" s="12"/>
      <c r="L119703" s="208"/>
      <c r="M119703" s="209"/>
      <c r="N119703" s="209"/>
      <c r="O119703" s="209"/>
    </row>
    <row r="119704" spans="1:15" s="210" customFormat="1" x14ac:dyDescent="0.3">
      <c r="A119704" s="12"/>
      <c r="B119704" s="15"/>
      <c r="C119704" s="15"/>
      <c r="D119704" s="12"/>
      <c r="E119704" s="12"/>
      <c r="F119704" s="13"/>
      <c r="G119704" s="12"/>
      <c r="H119704" s="12"/>
      <c r="I119704" s="12"/>
      <c r="J119704" s="12"/>
      <c r="K119704" s="12"/>
      <c r="L119704" s="208"/>
      <c r="M119704" s="209"/>
      <c r="N119704" s="209"/>
      <c r="O119704" s="209"/>
    </row>
    <row r="119705" spans="1:15" s="210" customFormat="1" x14ac:dyDescent="0.3">
      <c r="A119705" s="12"/>
      <c r="B119705" s="15"/>
      <c r="C119705" s="15"/>
      <c r="D119705" s="12"/>
      <c r="E119705" s="12"/>
      <c r="F119705" s="13"/>
      <c r="G119705" s="12"/>
      <c r="H119705" s="12"/>
      <c r="I119705" s="12"/>
      <c r="J119705" s="12"/>
      <c r="K119705" s="12"/>
      <c r="L119705" s="208"/>
      <c r="M119705" s="209"/>
      <c r="N119705" s="209"/>
      <c r="O119705" s="209"/>
    </row>
    <row r="119706" spans="1:15" s="210" customFormat="1" x14ac:dyDescent="0.3">
      <c r="A119706" s="12"/>
      <c r="B119706" s="15"/>
      <c r="C119706" s="15"/>
      <c r="D119706" s="12"/>
      <c r="E119706" s="12"/>
      <c r="F119706" s="13"/>
      <c r="G119706" s="12"/>
      <c r="H119706" s="12"/>
      <c r="I119706" s="12"/>
      <c r="J119706" s="12"/>
      <c r="K119706" s="12"/>
      <c r="L119706" s="208"/>
      <c r="M119706" s="209"/>
      <c r="N119706" s="209"/>
      <c r="O119706" s="209"/>
    </row>
    <row r="119707" spans="1:15" s="210" customFormat="1" x14ac:dyDescent="0.3">
      <c r="A119707" s="12"/>
      <c r="B119707" s="15"/>
      <c r="C119707" s="15"/>
      <c r="D119707" s="12"/>
      <c r="E119707" s="12"/>
      <c r="F119707" s="13"/>
      <c r="G119707" s="12"/>
      <c r="H119707" s="12"/>
      <c r="I119707" s="12"/>
      <c r="J119707" s="12"/>
      <c r="K119707" s="12"/>
      <c r="L119707" s="208"/>
      <c r="M119707" s="209"/>
      <c r="N119707" s="209"/>
      <c r="O119707" s="209"/>
    </row>
    <row r="119708" spans="1:15" s="210" customFormat="1" x14ac:dyDescent="0.3">
      <c r="A119708" s="12"/>
      <c r="B119708" s="15"/>
      <c r="C119708" s="15"/>
      <c r="D119708" s="12"/>
      <c r="E119708" s="12"/>
      <c r="F119708" s="13"/>
      <c r="G119708" s="12"/>
      <c r="H119708" s="12"/>
      <c r="I119708" s="12"/>
      <c r="J119708" s="12"/>
      <c r="K119708" s="12"/>
      <c r="L119708" s="208"/>
      <c r="M119708" s="209"/>
      <c r="N119708" s="209"/>
      <c r="O119708" s="209"/>
    </row>
    <row r="119709" spans="1:15" s="210" customFormat="1" x14ac:dyDescent="0.3">
      <c r="A119709" s="12"/>
      <c r="B119709" s="15"/>
      <c r="C119709" s="15"/>
      <c r="D119709" s="12"/>
      <c r="E119709" s="12"/>
      <c r="F119709" s="13"/>
      <c r="G119709" s="12"/>
      <c r="H119709" s="12"/>
      <c r="I119709" s="12"/>
      <c r="J119709" s="12"/>
      <c r="K119709" s="12"/>
      <c r="L119709" s="208"/>
      <c r="M119709" s="209"/>
      <c r="N119709" s="209"/>
      <c r="O119709" s="209"/>
    </row>
    <row r="119710" spans="1:15" s="210" customFormat="1" x14ac:dyDescent="0.3">
      <c r="A119710" s="12"/>
      <c r="B119710" s="15"/>
      <c r="C119710" s="15"/>
      <c r="D119710" s="12"/>
      <c r="E119710" s="12"/>
      <c r="F119710" s="13"/>
      <c r="G119710" s="12"/>
      <c r="H119710" s="12"/>
      <c r="I119710" s="12"/>
      <c r="J119710" s="12"/>
      <c r="K119710" s="12"/>
      <c r="L119710" s="208"/>
      <c r="M119710" s="209"/>
      <c r="N119710" s="209"/>
      <c r="O119710" s="209"/>
    </row>
    <row r="119711" spans="1:15" s="210" customFormat="1" x14ac:dyDescent="0.3">
      <c r="A119711" s="12"/>
      <c r="B119711" s="15"/>
      <c r="C119711" s="15"/>
      <c r="D119711" s="12"/>
      <c r="E119711" s="12"/>
      <c r="F119711" s="13"/>
      <c r="G119711" s="12"/>
      <c r="H119711" s="12"/>
      <c r="I119711" s="12"/>
      <c r="J119711" s="12"/>
      <c r="K119711" s="12"/>
      <c r="L119711" s="208"/>
      <c r="M119711" s="209"/>
      <c r="N119711" s="209"/>
      <c r="O119711" s="209"/>
    </row>
    <row r="119712" spans="1:15" s="210" customFormat="1" x14ac:dyDescent="0.3">
      <c r="A119712" s="12"/>
      <c r="B119712" s="15"/>
      <c r="C119712" s="15"/>
      <c r="D119712" s="12"/>
      <c r="E119712" s="12"/>
      <c r="F119712" s="13"/>
      <c r="G119712" s="12"/>
      <c r="H119712" s="12"/>
      <c r="I119712" s="12"/>
      <c r="J119712" s="12"/>
      <c r="K119712" s="12"/>
      <c r="L119712" s="208"/>
      <c r="M119712" s="209"/>
      <c r="N119712" s="209"/>
      <c r="O119712" s="209"/>
    </row>
    <row r="119713" spans="1:15" s="210" customFormat="1" x14ac:dyDescent="0.3">
      <c r="A119713" s="12"/>
      <c r="B119713" s="15"/>
      <c r="C119713" s="15"/>
      <c r="D119713" s="12"/>
      <c r="E119713" s="12"/>
      <c r="F119713" s="13"/>
      <c r="G119713" s="12"/>
      <c r="H119713" s="12"/>
      <c r="I119713" s="12"/>
      <c r="J119713" s="12"/>
      <c r="K119713" s="12"/>
      <c r="L119713" s="208"/>
      <c r="M119713" s="209"/>
      <c r="N119713" s="209"/>
      <c r="O119713" s="209"/>
    </row>
    <row r="119714" spans="1:15" s="210" customFormat="1" x14ac:dyDescent="0.3">
      <c r="A119714" s="12"/>
      <c r="B119714" s="15"/>
      <c r="C119714" s="15"/>
      <c r="D119714" s="12"/>
      <c r="E119714" s="12"/>
      <c r="F119714" s="13"/>
      <c r="G119714" s="12"/>
      <c r="H119714" s="12"/>
      <c r="I119714" s="12"/>
      <c r="J119714" s="12"/>
      <c r="K119714" s="12"/>
      <c r="L119714" s="208"/>
      <c r="M119714" s="209"/>
      <c r="N119714" s="209"/>
      <c r="O119714" s="209"/>
    </row>
    <row r="119715" spans="1:15" s="210" customFormat="1" x14ac:dyDescent="0.3">
      <c r="A119715" s="12"/>
      <c r="B119715" s="15"/>
      <c r="C119715" s="15"/>
      <c r="D119715" s="12"/>
      <c r="E119715" s="12"/>
      <c r="F119715" s="13"/>
      <c r="G119715" s="12"/>
      <c r="H119715" s="12"/>
      <c r="I119715" s="12"/>
      <c r="J119715" s="12"/>
      <c r="K119715" s="12"/>
      <c r="L119715" s="208"/>
      <c r="M119715" s="209"/>
      <c r="N119715" s="209"/>
      <c r="O119715" s="209"/>
    </row>
    <row r="119716" spans="1:15" s="210" customFormat="1" x14ac:dyDescent="0.3">
      <c r="A119716" s="12"/>
      <c r="B119716" s="15"/>
      <c r="C119716" s="15"/>
      <c r="D119716" s="12"/>
      <c r="E119716" s="12"/>
      <c r="F119716" s="13"/>
      <c r="G119716" s="12"/>
      <c r="H119716" s="12"/>
      <c r="I119716" s="12"/>
      <c r="J119716" s="12"/>
      <c r="K119716" s="12"/>
      <c r="L119716" s="208"/>
      <c r="M119716" s="209"/>
      <c r="N119716" s="209"/>
      <c r="O119716" s="209"/>
    </row>
    <row r="119717" spans="1:15" s="210" customFormat="1" x14ac:dyDescent="0.3">
      <c r="A119717" s="12"/>
      <c r="B119717" s="15"/>
      <c r="C119717" s="15"/>
      <c r="D119717" s="12"/>
      <c r="E119717" s="12"/>
      <c r="F119717" s="13"/>
      <c r="G119717" s="12"/>
      <c r="H119717" s="12"/>
      <c r="I119717" s="12"/>
      <c r="J119717" s="12"/>
      <c r="K119717" s="12"/>
      <c r="L119717" s="208"/>
      <c r="M119717" s="209"/>
      <c r="N119717" s="209"/>
      <c r="O119717" s="209"/>
    </row>
    <row r="119718" spans="1:15" s="210" customFormat="1" x14ac:dyDescent="0.3">
      <c r="A119718" s="12"/>
      <c r="B119718" s="15"/>
      <c r="C119718" s="15"/>
      <c r="D119718" s="12"/>
      <c r="E119718" s="12"/>
      <c r="F119718" s="13"/>
      <c r="G119718" s="12"/>
      <c r="H119718" s="12"/>
      <c r="I119718" s="12"/>
      <c r="J119718" s="12"/>
      <c r="K119718" s="12"/>
      <c r="L119718" s="208"/>
      <c r="M119718" s="209"/>
      <c r="N119718" s="209"/>
      <c r="O119718" s="209"/>
    </row>
    <row r="119719" spans="1:15" s="210" customFormat="1" x14ac:dyDescent="0.3">
      <c r="A119719" s="12"/>
      <c r="B119719" s="15"/>
      <c r="C119719" s="15"/>
      <c r="D119719" s="12"/>
      <c r="E119719" s="12"/>
      <c r="F119719" s="13"/>
      <c r="G119719" s="12"/>
      <c r="H119719" s="12"/>
      <c r="I119719" s="12"/>
      <c r="J119719" s="12"/>
      <c r="K119719" s="12"/>
      <c r="L119719" s="208"/>
      <c r="M119719" s="209"/>
      <c r="N119719" s="209"/>
      <c r="O119719" s="209"/>
    </row>
    <row r="119720" spans="1:15" s="210" customFormat="1" x14ac:dyDescent="0.3">
      <c r="A119720" s="12"/>
      <c r="B119720" s="15"/>
      <c r="C119720" s="15"/>
      <c r="D119720" s="12"/>
      <c r="E119720" s="12"/>
      <c r="F119720" s="13"/>
      <c r="G119720" s="12"/>
      <c r="H119720" s="12"/>
      <c r="I119720" s="12"/>
      <c r="J119720" s="12"/>
      <c r="K119720" s="12"/>
      <c r="L119720" s="208"/>
      <c r="M119720" s="209"/>
      <c r="N119720" s="209"/>
      <c r="O119720" s="209"/>
    </row>
    <row r="119721" spans="1:15" s="210" customFormat="1" x14ac:dyDescent="0.3">
      <c r="A119721" s="12"/>
      <c r="B119721" s="15"/>
      <c r="C119721" s="15"/>
      <c r="D119721" s="12"/>
      <c r="E119721" s="12"/>
      <c r="F119721" s="13"/>
      <c r="G119721" s="12"/>
      <c r="H119721" s="12"/>
      <c r="I119721" s="12"/>
      <c r="J119721" s="12"/>
      <c r="K119721" s="12"/>
      <c r="L119721" s="208"/>
      <c r="M119721" s="209"/>
      <c r="N119721" s="209"/>
      <c r="O119721" s="209"/>
    </row>
    <row r="119722" spans="1:15" s="210" customFormat="1" x14ac:dyDescent="0.3">
      <c r="A119722" s="12"/>
      <c r="B119722" s="15"/>
      <c r="C119722" s="15"/>
      <c r="D119722" s="12"/>
      <c r="E119722" s="12"/>
      <c r="F119722" s="13"/>
      <c r="G119722" s="12"/>
      <c r="H119722" s="12"/>
      <c r="I119722" s="12"/>
      <c r="J119722" s="12"/>
      <c r="K119722" s="12"/>
      <c r="L119722" s="208"/>
      <c r="M119722" s="209"/>
      <c r="N119722" s="209"/>
      <c r="O119722" s="209"/>
    </row>
    <row r="119723" spans="1:15" s="210" customFormat="1" x14ac:dyDescent="0.3">
      <c r="A119723" s="12"/>
      <c r="B119723" s="15"/>
      <c r="C119723" s="15"/>
      <c r="D119723" s="12"/>
      <c r="E119723" s="12"/>
      <c r="F119723" s="13"/>
      <c r="G119723" s="12"/>
      <c r="H119723" s="12"/>
      <c r="I119723" s="12"/>
      <c r="J119723" s="12"/>
      <c r="K119723" s="12"/>
      <c r="L119723" s="208"/>
      <c r="M119723" s="209"/>
      <c r="N119723" s="209"/>
      <c r="O119723" s="209"/>
    </row>
    <row r="119724" spans="1:15" s="210" customFormat="1" x14ac:dyDescent="0.3">
      <c r="A119724" s="12"/>
      <c r="B119724" s="15"/>
      <c r="C119724" s="15"/>
      <c r="D119724" s="12"/>
      <c r="E119724" s="12"/>
      <c r="F119724" s="13"/>
      <c r="G119724" s="12"/>
      <c r="H119724" s="12"/>
      <c r="I119724" s="12"/>
      <c r="J119724" s="12"/>
      <c r="K119724" s="12"/>
      <c r="L119724" s="208"/>
      <c r="M119724" s="209"/>
      <c r="N119724" s="209"/>
      <c r="O119724" s="209"/>
    </row>
    <row r="119725" spans="1:15" s="210" customFormat="1" x14ac:dyDescent="0.3">
      <c r="A119725" s="12"/>
      <c r="B119725" s="15"/>
      <c r="C119725" s="15"/>
      <c r="D119725" s="12"/>
      <c r="E119725" s="12"/>
      <c r="F119725" s="13"/>
      <c r="G119725" s="12"/>
      <c r="H119725" s="12"/>
      <c r="I119725" s="12"/>
      <c r="J119725" s="12"/>
      <c r="K119725" s="12"/>
      <c r="L119725" s="208"/>
      <c r="M119725" s="209"/>
      <c r="N119725" s="209"/>
      <c r="O119725" s="209"/>
    </row>
    <row r="119726" spans="1:15" s="210" customFormat="1" x14ac:dyDescent="0.3">
      <c r="A119726" s="12"/>
      <c r="B119726" s="15"/>
      <c r="C119726" s="15"/>
      <c r="D119726" s="12"/>
      <c r="E119726" s="12"/>
      <c r="F119726" s="13"/>
      <c r="G119726" s="12"/>
      <c r="H119726" s="12"/>
      <c r="I119726" s="12"/>
      <c r="J119726" s="12"/>
      <c r="K119726" s="12"/>
      <c r="L119726" s="208"/>
      <c r="M119726" s="209"/>
      <c r="N119726" s="209"/>
      <c r="O119726" s="209"/>
    </row>
    <row r="119727" spans="1:15" s="210" customFormat="1" x14ac:dyDescent="0.3">
      <c r="A119727" s="12"/>
      <c r="B119727" s="15"/>
      <c r="C119727" s="15"/>
      <c r="D119727" s="12"/>
      <c r="E119727" s="12"/>
      <c r="F119727" s="13"/>
      <c r="G119727" s="12"/>
      <c r="H119727" s="12"/>
      <c r="I119727" s="12"/>
      <c r="J119727" s="12"/>
      <c r="K119727" s="12"/>
      <c r="L119727" s="208"/>
      <c r="M119727" s="209"/>
      <c r="N119727" s="209"/>
      <c r="O119727" s="209"/>
    </row>
    <row r="119728" spans="1:15" s="210" customFormat="1" x14ac:dyDescent="0.3">
      <c r="A119728" s="12"/>
      <c r="B119728" s="15"/>
      <c r="C119728" s="15"/>
      <c r="D119728" s="12"/>
      <c r="E119728" s="12"/>
      <c r="F119728" s="13"/>
      <c r="G119728" s="12"/>
      <c r="H119728" s="12"/>
      <c r="I119728" s="12"/>
      <c r="J119728" s="12"/>
      <c r="K119728" s="12"/>
      <c r="L119728" s="208"/>
      <c r="M119728" s="209"/>
      <c r="N119728" s="209"/>
      <c r="O119728" s="209"/>
    </row>
    <row r="119729" spans="1:15" s="210" customFormat="1" x14ac:dyDescent="0.3">
      <c r="A119729" s="12"/>
      <c r="B119729" s="15"/>
      <c r="C119729" s="15"/>
      <c r="D119729" s="12"/>
      <c r="E119729" s="12"/>
      <c r="F119729" s="13"/>
      <c r="G119729" s="12"/>
      <c r="H119729" s="12"/>
      <c r="I119729" s="12"/>
      <c r="J119729" s="12"/>
      <c r="K119729" s="12"/>
      <c r="L119729" s="208"/>
      <c r="M119729" s="209"/>
      <c r="N119729" s="209"/>
      <c r="O119729" s="209"/>
    </row>
    <row r="119730" spans="1:15" s="210" customFormat="1" x14ac:dyDescent="0.3">
      <c r="A119730" s="12"/>
      <c r="B119730" s="15"/>
      <c r="C119730" s="15"/>
      <c r="D119730" s="12"/>
      <c r="E119730" s="12"/>
      <c r="F119730" s="13"/>
      <c r="G119730" s="12"/>
      <c r="H119730" s="12"/>
      <c r="I119730" s="12"/>
      <c r="J119730" s="12"/>
      <c r="K119730" s="12"/>
      <c r="L119730" s="208"/>
      <c r="M119730" s="209"/>
      <c r="N119730" s="209"/>
      <c r="O119730" s="209"/>
    </row>
    <row r="119731" spans="1:15" s="210" customFormat="1" x14ac:dyDescent="0.3">
      <c r="A119731" s="12"/>
      <c r="B119731" s="15"/>
      <c r="C119731" s="15"/>
      <c r="D119731" s="12"/>
      <c r="E119731" s="12"/>
      <c r="F119731" s="13"/>
      <c r="G119731" s="12"/>
      <c r="H119731" s="12"/>
      <c r="I119731" s="12"/>
      <c r="J119731" s="12"/>
      <c r="K119731" s="12"/>
      <c r="L119731" s="208"/>
      <c r="M119731" s="209"/>
      <c r="N119731" s="209"/>
      <c r="O119731" s="209"/>
    </row>
    <row r="119732" spans="1:15" s="210" customFormat="1" x14ac:dyDescent="0.3">
      <c r="A119732" s="12"/>
      <c r="B119732" s="15"/>
      <c r="C119732" s="15"/>
      <c r="D119732" s="12"/>
      <c r="E119732" s="12"/>
      <c r="F119732" s="13"/>
      <c r="G119732" s="12"/>
      <c r="H119732" s="12"/>
      <c r="I119732" s="12"/>
      <c r="J119732" s="12"/>
      <c r="K119732" s="12"/>
      <c r="L119732" s="208"/>
      <c r="M119732" s="209"/>
      <c r="N119732" s="209"/>
      <c r="O119732" s="209"/>
    </row>
    <row r="119733" spans="1:15" s="210" customFormat="1" x14ac:dyDescent="0.3">
      <c r="A119733" s="12"/>
      <c r="B119733" s="15"/>
      <c r="C119733" s="15"/>
      <c r="D119733" s="12"/>
      <c r="E119733" s="12"/>
      <c r="F119733" s="13"/>
      <c r="G119733" s="12"/>
      <c r="H119733" s="12"/>
      <c r="I119733" s="12"/>
      <c r="J119733" s="12"/>
      <c r="K119733" s="12"/>
      <c r="L119733" s="208"/>
      <c r="M119733" s="209"/>
      <c r="N119733" s="209"/>
      <c r="O119733" s="209"/>
    </row>
    <row r="119734" spans="1:15" s="210" customFormat="1" x14ac:dyDescent="0.3">
      <c r="A119734" s="12"/>
      <c r="B119734" s="15"/>
      <c r="C119734" s="15"/>
      <c r="D119734" s="12"/>
      <c r="E119734" s="12"/>
      <c r="F119734" s="13"/>
      <c r="G119734" s="12"/>
      <c r="H119734" s="12"/>
      <c r="I119734" s="12"/>
      <c r="J119734" s="12"/>
      <c r="K119734" s="12"/>
      <c r="L119734" s="208"/>
      <c r="M119734" s="209"/>
      <c r="N119734" s="209"/>
      <c r="O119734" s="209"/>
    </row>
    <row r="119735" spans="1:15" s="210" customFormat="1" x14ac:dyDescent="0.3">
      <c r="A119735" s="12"/>
      <c r="B119735" s="15"/>
      <c r="C119735" s="15"/>
      <c r="D119735" s="12"/>
      <c r="E119735" s="12"/>
      <c r="F119735" s="13"/>
      <c r="G119735" s="12"/>
      <c r="H119735" s="12"/>
      <c r="I119735" s="12"/>
      <c r="J119735" s="12"/>
      <c r="K119735" s="12"/>
      <c r="L119735" s="208"/>
      <c r="M119735" s="209"/>
      <c r="N119735" s="209"/>
      <c r="O119735" s="209"/>
    </row>
    <row r="119736" spans="1:15" s="210" customFormat="1" x14ac:dyDescent="0.3">
      <c r="A119736" s="12"/>
      <c r="B119736" s="15"/>
      <c r="C119736" s="15"/>
      <c r="D119736" s="12"/>
      <c r="E119736" s="12"/>
      <c r="F119736" s="13"/>
      <c r="G119736" s="12"/>
      <c r="H119736" s="12"/>
      <c r="I119736" s="12"/>
      <c r="J119736" s="12"/>
      <c r="K119736" s="12"/>
      <c r="L119736" s="208"/>
      <c r="M119736" s="209"/>
      <c r="N119736" s="209"/>
      <c r="O119736" s="209"/>
    </row>
    <row r="119737" spans="1:15" s="210" customFormat="1" x14ac:dyDescent="0.3">
      <c r="A119737" s="12"/>
      <c r="B119737" s="15"/>
      <c r="C119737" s="15"/>
      <c r="D119737" s="12"/>
      <c r="E119737" s="12"/>
      <c r="F119737" s="13"/>
      <c r="G119737" s="12"/>
      <c r="H119737" s="12"/>
      <c r="I119737" s="12"/>
      <c r="J119737" s="12"/>
      <c r="K119737" s="12"/>
      <c r="L119737" s="208"/>
      <c r="M119737" s="209"/>
      <c r="N119737" s="209"/>
      <c r="O119737" s="209"/>
    </row>
    <row r="119738" spans="1:15" s="210" customFormat="1" x14ac:dyDescent="0.3">
      <c r="A119738" s="12"/>
      <c r="B119738" s="15"/>
      <c r="C119738" s="15"/>
      <c r="D119738" s="12"/>
      <c r="E119738" s="12"/>
      <c r="F119738" s="13"/>
      <c r="G119738" s="12"/>
      <c r="H119738" s="12"/>
      <c r="I119738" s="12"/>
      <c r="J119738" s="12"/>
      <c r="K119738" s="12"/>
      <c r="L119738" s="208"/>
      <c r="M119738" s="209"/>
      <c r="N119738" s="209"/>
      <c r="O119738" s="209"/>
    </row>
    <row r="119739" spans="1:15" s="210" customFormat="1" x14ac:dyDescent="0.3">
      <c r="A119739" s="12"/>
      <c r="B119739" s="15"/>
      <c r="C119739" s="15"/>
      <c r="D119739" s="12"/>
      <c r="E119739" s="12"/>
      <c r="F119739" s="13"/>
      <c r="G119739" s="12"/>
      <c r="H119739" s="12"/>
      <c r="I119739" s="12"/>
      <c r="J119739" s="12"/>
      <c r="K119739" s="12"/>
      <c r="L119739" s="208"/>
      <c r="M119739" s="209"/>
      <c r="N119739" s="209"/>
      <c r="O119739" s="209"/>
    </row>
    <row r="119740" spans="1:15" s="210" customFormat="1" x14ac:dyDescent="0.3">
      <c r="A119740" s="12"/>
      <c r="B119740" s="15"/>
      <c r="C119740" s="15"/>
      <c r="D119740" s="12"/>
      <c r="E119740" s="12"/>
      <c r="F119740" s="13"/>
      <c r="G119740" s="12"/>
      <c r="H119740" s="12"/>
      <c r="I119740" s="12"/>
      <c r="J119740" s="12"/>
      <c r="K119740" s="12"/>
      <c r="L119740" s="208"/>
      <c r="M119740" s="209"/>
      <c r="N119740" s="209"/>
      <c r="O119740" s="209"/>
    </row>
    <row r="119741" spans="1:15" s="210" customFormat="1" x14ac:dyDescent="0.3">
      <c r="A119741" s="12"/>
      <c r="B119741" s="15"/>
      <c r="C119741" s="15"/>
      <c r="D119741" s="12"/>
      <c r="E119741" s="12"/>
      <c r="F119741" s="13"/>
      <c r="G119741" s="12"/>
      <c r="H119741" s="12"/>
      <c r="I119741" s="12"/>
      <c r="J119741" s="12"/>
      <c r="K119741" s="12"/>
      <c r="L119741" s="208"/>
      <c r="M119741" s="209"/>
      <c r="N119741" s="209"/>
      <c r="O119741" s="209"/>
    </row>
    <row r="119742" spans="1:15" s="210" customFormat="1" x14ac:dyDescent="0.3">
      <c r="A119742" s="12"/>
      <c r="B119742" s="15"/>
      <c r="C119742" s="15"/>
      <c r="D119742" s="12"/>
      <c r="E119742" s="12"/>
      <c r="F119742" s="13"/>
      <c r="G119742" s="12"/>
      <c r="H119742" s="12"/>
      <c r="I119742" s="12"/>
      <c r="J119742" s="12"/>
      <c r="K119742" s="12"/>
      <c r="L119742" s="208"/>
      <c r="M119742" s="209"/>
      <c r="N119742" s="209"/>
      <c r="O119742" s="209"/>
    </row>
    <row r="119743" spans="1:15" s="210" customFormat="1" x14ac:dyDescent="0.3">
      <c r="A119743" s="12"/>
      <c r="B119743" s="15"/>
      <c r="C119743" s="15"/>
      <c r="D119743" s="12"/>
      <c r="E119743" s="12"/>
      <c r="F119743" s="13"/>
      <c r="G119743" s="12"/>
      <c r="H119743" s="12"/>
      <c r="I119743" s="12"/>
      <c r="J119743" s="12"/>
      <c r="K119743" s="12"/>
      <c r="L119743" s="208"/>
      <c r="M119743" s="209"/>
      <c r="N119743" s="209"/>
      <c r="O119743" s="209"/>
    </row>
    <row r="119744" spans="1:15" s="210" customFormat="1" x14ac:dyDescent="0.3">
      <c r="A119744" s="12"/>
      <c r="B119744" s="15"/>
      <c r="C119744" s="15"/>
      <c r="D119744" s="12"/>
      <c r="E119744" s="12"/>
      <c r="F119744" s="13"/>
      <c r="G119744" s="12"/>
      <c r="H119744" s="12"/>
      <c r="I119744" s="12"/>
      <c r="J119744" s="12"/>
      <c r="K119744" s="12"/>
      <c r="L119744" s="208"/>
      <c r="M119744" s="209"/>
      <c r="N119744" s="209"/>
      <c r="O119744" s="209"/>
    </row>
    <row r="119745" spans="1:15" s="210" customFormat="1" x14ac:dyDescent="0.3">
      <c r="A119745" s="12"/>
      <c r="B119745" s="15"/>
      <c r="C119745" s="15"/>
      <c r="D119745" s="12"/>
      <c r="E119745" s="12"/>
      <c r="F119745" s="13"/>
      <c r="G119745" s="12"/>
      <c r="H119745" s="12"/>
      <c r="I119745" s="12"/>
      <c r="J119745" s="12"/>
      <c r="K119745" s="12"/>
      <c r="L119745" s="208"/>
      <c r="M119745" s="209"/>
      <c r="N119745" s="209"/>
      <c r="O119745" s="209"/>
    </row>
    <row r="119746" spans="1:15" s="210" customFormat="1" x14ac:dyDescent="0.3">
      <c r="A119746" s="12"/>
      <c r="B119746" s="15"/>
      <c r="C119746" s="15"/>
      <c r="D119746" s="12"/>
      <c r="E119746" s="12"/>
      <c r="F119746" s="13"/>
      <c r="G119746" s="12"/>
      <c r="H119746" s="12"/>
      <c r="I119746" s="12"/>
      <c r="J119746" s="12"/>
      <c r="K119746" s="12"/>
      <c r="L119746" s="208"/>
      <c r="M119746" s="209"/>
      <c r="N119746" s="209"/>
      <c r="O119746" s="209"/>
    </row>
    <row r="119747" spans="1:15" s="210" customFormat="1" x14ac:dyDescent="0.3">
      <c r="A119747" s="12"/>
      <c r="B119747" s="15"/>
      <c r="C119747" s="15"/>
      <c r="D119747" s="12"/>
      <c r="E119747" s="12"/>
      <c r="F119747" s="13"/>
      <c r="G119747" s="12"/>
      <c r="H119747" s="12"/>
      <c r="I119747" s="12"/>
      <c r="J119747" s="12"/>
      <c r="K119747" s="12"/>
      <c r="L119747" s="208"/>
      <c r="M119747" s="209"/>
      <c r="N119747" s="209"/>
      <c r="O119747" s="209"/>
    </row>
    <row r="119748" spans="1:15" s="210" customFormat="1" x14ac:dyDescent="0.3">
      <c r="A119748" s="12"/>
      <c r="B119748" s="15"/>
      <c r="C119748" s="15"/>
      <c r="D119748" s="12"/>
      <c r="E119748" s="12"/>
      <c r="F119748" s="13"/>
      <c r="G119748" s="12"/>
      <c r="H119748" s="12"/>
      <c r="I119748" s="12"/>
      <c r="J119748" s="12"/>
      <c r="K119748" s="12"/>
      <c r="L119748" s="208"/>
      <c r="M119748" s="209"/>
      <c r="N119748" s="209"/>
      <c r="O119748" s="209"/>
    </row>
    <row r="119749" spans="1:15" s="210" customFormat="1" x14ac:dyDescent="0.3">
      <c r="A119749" s="12"/>
      <c r="B119749" s="15"/>
      <c r="C119749" s="15"/>
      <c r="D119749" s="12"/>
      <c r="E119749" s="12"/>
      <c r="F119749" s="13"/>
      <c r="G119749" s="12"/>
      <c r="H119749" s="12"/>
      <c r="I119749" s="12"/>
      <c r="J119749" s="12"/>
      <c r="K119749" s="12"/>
      <c r="L119749" s="208"/>
      <c r="M119749" s="209"/>
      <c r="N119749" s="209"/>
      <c r="O119749" s="209"/>
    </row>
    <row r="119750" spans="1:15" s="210" customFormat="1" x14ac:dyDescent="0.3">
      <c r="A119750" s="12"/>
      <c r="B119750" s="15"/>
      <c r="C119750" s="15"/>
      <c r="D119750" s="12"/>
      <c r="E119750" s="12"/>
      <c r="F119750" s="13"/>
      <c r="G119750" s="12"/>
      <c r="H119750" s="12"/>
      <c r="I119750" s="12"/>
      <c r="J119750" s="12"/>
      <c r="K119750" s="12"/>
      <c r="L119750" s="208"/>
      <c r="M119750" s="209"/>
      <c r="N119750" s="209"/>
      <c r="O119750" s="209"/>
    </row>
    <row r="119751" spans="1:15" s="210" customFormat="1" x14ac:dyDescent="0.3">
      <c r="A119751" s="12"/>
      <c r="B119751" s="15"/>
      <c r="C119751" s="15"/>
      <c r="D119751" s="12"/>
      <c r="E119751" s="12"/>
      <c r="F119751" s="13"/>
      <c r="G119751" s="12"/>
      <c r="H119751" s="12"/>
      <c r="I119751" s="12"/>
      <c r="J119751" s="12"/>
      <c r="K119751" s="12"/>
      <c r="L119751" s="208"/>
      <c r="M119751" s="209"/>
      <c r="N119751" s="209"/>
      <c r="O119751" s="209"/>
    </row>
    <row r="119752" spans="1:15" s="210" customFormat="1" x14ac:dyDescent="0.3">
      <c r="A119752" s="12"/>
      <c r="B119752" s="15"/>
      <c r="C119752" s="15"/>
      <c r="D119752" s="12"/>
      <c r="E119752" s="12"/>
      <c r="F119752" s="13"/>
      <c r="G119752" s="12"/>
      <c r="H119752" s="12"/>
      <c r="I119752" s="12"/>
      <c r="J119752" s="12"/>
      <c r="K119752" s="12"/>
      <c r="L119752" s="208"/>
      <c r="M119752" s="209"/>
      <c r="N119752" s="209"/>
      <c r="O119752" s="209"/>
    </row>
    <row r="119753" spans="1:15" s="210" customFormat="1" x14ac:dyDescent="0.3">
      <c r="A119753" s="12"/>
      <c r="B119753" s="15"/>
      <c r="C119753" s="15"/>
      <c r="D119753" s="12"/>
      <c r="E119753" s="12"/>
      <c r="F119753" s="13"/>
      <c r="G119753" s="12"/>
      <c r="H119753" s="12"/>
      <c r="I119753" s="12"/>
      <c r="J119753" s="12"/>
      <c r="K119753" s="12"/>
      <c r="L119753" s="208"/>
      <c r="M119753" s="209"/>
      <c r="N119753" s="209"/>
      <c r="O119753" s="209"/>
    </row>
    <row r="119754" spans="1:15" s="210" customFormat="1" x14ac:dyDescent="0.3">
      <c r="A119754" s="12"/>
      <c r="B119754" s="15"/>
      <c r="C119754" s="15"/>
      <c r="D119754" s="12"/>
      <c r="E119754" s="12"/>
      <c r="F119754" s="13"/>
      <c r="G119754" s="12"/>
      <c r="H119754" s="12"/>
      <c r="I119754" s="12"/>
      <c r="J119754" s="12"/>
      <c r="K119754" s="12"/>
      <c r="L119754" s="208"/>
      <c r="M119754" s="209"/>
      <c r="N119754" s="209"/>
      <c r="O119754" s="209"/>
    </row>
    <row r="119755" spans="1:15" s="210" customFormat="1" x14ac:dyDescent="0.3">
      <c r="A119755" s="12"/>
      <c r="B119755" s="15"/>
      <c r="C119755" s="15"/>
      <c r="D119755" s="12"/>
      <c r="E119755" s="12"/>
      <c r="F119755" s="13"/>
      <c r="G119755" s="12"/>
      <c r="H119755" s="12"/>
      <c r="I119755" s="12"/>
      <c r="J119755" s="12"/>
      <c r="K119755" s="12"/>
      <c r="L119755" s="208"/>
      <c r="M119755" s="209"/>
      <c r="N119755" s="209"/>
      <c r="O119755" s="209"/>
    </row>
    <row r="119756" spans="1:15" s="210" customFormat="1" x14ac:dyDescent="0.3">
      <c r="A119756" s="12"/>
      <c r="B119756" s="15"/>
      <c r="C119756" s="15"/>
      <c r="D119756" s="12"/>
      <c r="E119756" s="12"/>
      <c r="F119756" s="13"/>
      <c r="G119756" s="12"/>
      <c r="H119756" s="12"/>
      <c r="I119756" s="12"/>
      <c r="J119756" s="12"/>
      <c r="K119756" s="12"/>
      <c r="L119756" s="208"/>
      <c r="M119756" s="209"/>
      <c r="N119756" s="209"/>
      <c r="O119756" s="209"/>
    </row>
    <row r="119757" spans="1:15" s="210" customFormat="1" x14ac:dyDescent="0.3">
      <c r="A119757" s="12"/>
      <c r="B119757" s="15"/>
      <c r="C119757" s="15"/>
      <c r="D119757" s="12"/>
      <c r="E119757" s="12"/>
      <c r="F119757" s="13"/>
      <c r="G119757" s="12"/>
      <c r="H119757" s="12"/>
      <c r="I119757" s="12"/>
      <c r="J119757" s="12"/>
      <c r="K119757" s="12"/>
      <c r="L119757" s="208"/>
      <c r="M119757" s="209"/>
      <c r="N119757" s="209"/>
      <c r="O119757" s="209"/>
    </row>
    <row r="119758" spans="1:15" s="210" customFormat="1" x14ac:dyDescent="0.3">
      <c r="A119758" s="12"/>
      <c r="B119758" s="15"/>
      <c r="C119758" s="15"/>
      <c r="D119758" s="12"/>
      <c r="E119758" s="12"/>
      <c r="F119758" s="13"/>
      <c r="G119758" s="12"/>
      <c r="H119758" s="12"/>
      <c r="I119758" s="12"/>
      <c r="J119758" s="12"/>
      <c r="K119758" s="12"/>
      <c r="L119758" s="208"/>
      <c r="M119758" s="209"/>
      <c r="N119758" s="209"/>
      <c r="O119758" s="209"/>
    </row>
    <row r="119759" spans="1:15" s="210" customFormat="1" x14ac:dyDescent="0.3">
      <c r="A119759" s="12"/>
      <c r="B119759" s="15"/>
      <c r="C119759" s="15"/>
      <c r="D119759" s="12"/>
      <c r="E119759" s="12"/>
      <c r="F119759" s="13"/>
      <c r="G119759" s="12"/>
      <c r="H119759" s="12"/>
      <c r="I119759" s="12"/>
      <c r="J119759" s="12"/>
      <c r="K119759" s="12"/>
      <c r="L119759" s="208"/>
      <c r="M119759" s="209"/>
      <c r="N119759" s="209"/>
      <c r="O119759" s="209"/>
    </row>
    <row r="119760" spans="1:15" s="210" customFormat="1" x14ac:dyDescent="0.3">
      <c r="A119760" s="12"/>
      <c r="B119760" s="15"/>
      <c r="C119760" s="15"/>
      <c r="D119760" s="12"/>
      <c r="E119760" s="12"/>
      <c r="F119760" s="13"/>
      <c r="G119760" s="12"/>
      <c r="H119760" s="12"/>
      <c r="I119760" s="12"/>
      <c r="J119760" s="12"/>
      <c r="K119760" s="12"/>
      <c r="L119760" s="208"/>
      <c r="M119760" s="209"/>
      <c r="N119760" s="209"/>
      <c r="O119760" s="209"/>
    </row>
    <row r="119761" spans="1:15" s="210" customFormat="1" x14ac:dyDescent="0.3">
      <c r="A119761" s="12"/>
      <c r="B119761" s="15"/>
      <c r="C119761" s="15"/>
      <c r="D119761" s="12"/>
      <c r="E119761" s="12"/>
      <c r="F119761" s="13"/>
      <c r="G119761" s="12"/>
      <c r="H119761" s="12"/>
      <c r="I119761" s="12"/>
      <c r="J119761" s="12"/>
      <c r="K119761" s="12"/>
      <c r="L119761" s="208"/>
      <c r="M119761" s="209"/>
      <c r="N119761" s="209"/>
      <c r="O119761" s="209"/>
    </row>
    <row r="119762" spans="1:15" s="210" customFormat="1" x14ac:dyDescent="0.3">
      <c r="A119762" s="12"/>
      <c r="B119762" s="15"/>
      <c r="C119762" s="15"/>
      <c r="D119762" s="12"/>
      <c r="E119762" s="12"/>
      <c r="F119762" s="13"/>
      <c r="G119762" s="12"/>
      <c r="H119762" s="12"/>
      <c r="I119762" s="12"/>
      <c r="J119762" s="12"/>
      <c r="K119762" s="12"/>
      <c r="L119762" s="208"/>
      <c r="M119762" s="209"/>
      <c r="N119762" s="209"/>
      <c r="O119762" s="209"/>
    </row>
    <row r="119763" spans="1:15" s="210" customFormat="1" x14ac:dyDescent="0.3">
      <c r="A119763" s="12"/>
      <c r="B119763" s="15"/>
      <c r="C119763" s="15"/>
      <c r="D119763" s="12"/>
      <c r="E119763" s="12"/>
      <c r="F119763" s="13"/>
      <c r="G119763" s="12"/>
      <c r="H119763" s="12"/>
      <c r="I119763" s="12"/>
      <c r="J119763" s="12"/>
      <c r="K119763" s="12"/>
      <c r="L119763" s="208"/>
      <c r="M119763" s="209"/>
      <c r="N119763" s="209"/>
      <c r="O119763" s="209"/>
    </row>
    <row r="119764" spans="1:15" s="210" customFormat="1" x14ac:dyDescent="0.3">
      <c r="A119764" s="12"/>
      <c r="B119764" s="15"/>
      <c r="C119764" s="15"/>
      <c r="D119764" s="12"/>
      <c r="E119764" s="12"/>
      <c r="F119764" s="13"/>
      <c r="G119764" s="12"/>
      <c r="H119764" s="12"/>
      <c r="I119764" s="12"/>
      <c r="J119764" s="12"/>
      <c r="K119764" s="12"/>
      <c r="L119764" s="208"/>
      <c r="M119764" s="209"/>
      <c r="N119764" s="209"/>
      <c r="O119764" s="209"/>
    </row>
    <row r="119765" spans="1:15" s="210" customFormat="1" x14ac:dyDescent="0.3">
      <c r="A119765" s="12"/>
      <c r="B119765" s="15"/>
      <c r="C119765" s="15"/>
      <c r="D119765" s="12"/>
      <c r="E119765" s="12"/>
      <c r="F119765" s="13"/>
      <c r="G119765" s="12"/>
      <c r="H119765" s="12"/>
      <c r="I119765" s="12"/>
      <c r="J119765" s="12"/>
      <c r="K119765" s="12"/>
      <c r="L119765" s="208"/>
      <c r="M119765" s="209"/>
      <c r="N119765" s="209"/>
      <c r="O119765" s="209"/>
    </row>
    <row r="119766" spans="1:15" s="210" customFormat="1" x14ac:dyDescent="0.3">
      <c r="A119766" s="12"/>
      <c r="B119766" s="15"/>
      <c r="C119766" s="15"/>
      <c r="D119766" s="12"/>
      <c r="E119766" s="12"/>
      <c r="F119766" s="13"/>
      <c r="G119766" s="12"/>
      <c r="H119766" s="12"/>
      <c r="I119766" s="12"/>
      <c r="J119766" s="12"/>
      <c r="K119766" s="12"/>
      <c r="L119766" s="208"/>
      <c r="M119766" s="209"/>
      <c r="N119766" s="209"/>
      <c r="O119766" s="209"/>
    </row>
    <row r="119767" spans="1:15" s="210" customFormat="1" x14ac:dyDescent="0.3">
      <c r="A119767" s="12"/>
      <c r="B119767" s="15"/>
      <c r="C119767" s="15"/>
      <c r="D119767" s="12"/>
      <c r="E119767" s="12"/>
      <c r="F119767" s="13"/>
      <c r="G119767" s="12"/>
      <c r="H119767" s="12"/>
      <c r="I119767" s="12"/>
      <c r="J119767" s="12"/>
      <c r="K119767" s="12"/>
      <c r="L119767" s="208"/>
      <c r="M119767" s="209"/>
      <c r="N119767" s="209"/>
      <c r="O119767" s="209"/>
    </row>
    <row r="119768" spans="1:15" s="210" customFormat="1" x14ac:dyDescent="0.3">
      <c r="A119768" s="12"/>
      <c r="B119768" s="15"/>
      <c r="C119768" s="15"/>
      <c r="D119768" s="12"/>
      <c r="E119768" s="12"/>
      <c r="F119768" s="13"/>
      <c r="G119768" s="12"/>
      <c r="H119768" s="12"/>
      <c r="I119768" s="12"/>
      <c r="J119768" s="12"/>
      <c r="K119768" s="12"/>
      <c r="L119768" s="208"/>
      <c r="M119768" s="209"/>
      <c r="N119768" s="209"/>
      <c r="O119768" s="209"/>
    </row>
    <row r="119769" spans="1:15" s="210" customFormat="1" x14ac:dyDescent="0.3">
      <c r="A119769" s="12"/>
      <c r="B119769" s="15"/>
      <c r="C119769" s="15"/>
      <c r="D119769" s="12"/>
      <c r="E119769" s="12"/>
      <c r="F119769" s="13"/>
      <c r="G119769" s="12"/>
      <c r="H119769" s="12"/>
      <c r="I119769" s="12"/>
      <c r="J119769" s="12"/>
      <c r="K119769" s="12"/>
      <c r="L119769" s="208"/>
      <c r="M119769" s="209"/>
      <c r="N119769" s="209"/>
      <c r="O119769" s="209"/>
    </row>
    <row r="119770" spans="1:15" s="210" customFormat="1" x14ac:dyDescent="0.3">
      <c r="A119770" s="12"/>
      <c r="B119770" s="15"/>
      <c r="C119770" s="15"/>
      <c r="D119770" s="12"/>
      <c r="E119770" s="12"/>
      <c r="F119770" s="13"/>
      <c r="G119770" s="12"/>
      <c r="H119770" s="12"/>
      <c r="I119770" s="12"/>
      <c r="J119770" s="12"/>
      <c r="K119770" s="12"/>
      <c r="L119770" s="208"/>
      <c r="M119770" s="209"/>
      <c r="N119770" s="209"/>
      <c r="O119770" s="209"/>
    </row>
    <row r="119771" spans="1:15" s="210" customFormat="1" x14ac:dyDescent="0.3">
      <c r="A119771" s="12"/>
      <c r="B119771" s="15"/>
      <c r="C119771" s="15"/>
      <c r="D119771" s="12"/>
      <c r="E119771" s="12"/>
      <c r="F119771" s="13"/>
      <c r="G119771" s="12"/>
      <c r="H119771" s="12"/>
      <c r="I119771" s="12"/>
      <c r="J119771" s="12"/>
      <c r="K119771" s="12"/>
      <c r="L119771" s="208"/>
      <c r="M119771" s="209"/>
      <c r="N119771" s="209"/>
      <c r="O119771" s="209"/>
    </row>
    <row r="119772" spans="1:15" s="210" customFormat="1" x14ac:dyDescent="0.3">
      <c r="A119772" s="12"/>
      <c r="B119772" s="15"/>
      <c r="C119772" s="15"/>
      <c r="D119772" s="12"/>
      <c r="E119772" s="12"/>
      <c r="F119772" s="13"/>
      <c r="G119772" s="12"/>
      <c r="H119772" s="12"/>
      <c r="I119772" s="12"/>
      <c r="J119772" s="12"/>
      <c r="K119772" s="12"/>
      <c r="L119772" s="208"/>
      <c r="M119772" s="209"/>
      <c r="N119772" s="209"/>
      <c r="O119772" s="209"/>
    </row>
    <row r="119773" spans="1:15" s="210" customFormat="1" x14ac:dyDescent="0.3">
      <c r="A119773" s="12"/>
      <c r="B119773" s="15"/>
      <c r="C119773" s="15"/>
      <c r="D119773" s="12"/>
      <c r="E119773" s="12"/>
      <c r="F119773" s="13"/>
      <c r="G119773" s="12"/>
      <c r="H119773" s="12"/>
      <c r="I119773" s="12"/>
      <c r="J119773" s="12"/>
      <c r="K119773" s="12"/>
      <c r="L119773" s="208"/>
      <c r="M119773" s="209"/>
      <c r="N119773" s="209"/>
      <c r="O119773" s="209"/>
    </row>
    <row r="119774" spans="1:15" s="210" customFormat="1" x14ac:dyDescent="0.3">
      <c r="A119774" s="12"/>
      <c r="B119774" s="15"/>
      <c r="C119774" s="15"/>
      <c r="D119774" s="12"/>
      <c r="E119774" s="12"/>
      <c r="F119774" s="13"/>
      <c r="G119774" s="12"/>
      <c r="H119774" s="12"/>
      <c r="I119774" s="12"/>
      <c r="J119774" s="12"/>
      <c r="K119774" s="12"/>
      <c r="L119774" s="208"/>
      <c r="M119774" s="209"/>
      <c r="N119774" s="209"/>
      <c r="O119774" s="209"/>
    </row>
    <row r="119775" spans="1:15" s="210" customFormat="1" x14ac:dyDescent="0.3">
      <c r="A119775" s="12"/>
      <c r="B119775" s="15"/>
      <c r="C119775" s="15"/>
      <c r="D119775" s="12"/>
      <c r="E119775" s="12"/>
      <c r="F119775" s="13"/>
      <c r="G119775" s="12"/>
      <c r="H119775" s="12"/>
      <c r="I119775" s="12"/>
      <c r="J119775" s="12"/>
      <c r="K119775" s="12"/>
      <c r="L119775" s="208"/>
      <c r="M119775" s="209"/>
      <c r="N119775" s="209"/>
      <c r="O119775" s="209"/>
    </row>
    <row r="119776" spans="1:15" s="210" customFormat="1" x14ac:dyDescent="0.3">
      <c r="A119776" s="12"/>
      <c r="B119776" s="15"/>
      <c r="C119776" s="15"/>
      <c r="D119776" s="12"/>
      <c r="E119776" s="12"/>
      <c r="F119776" s="13"/>
      <c r="G119776" s="12"/>
      <c r="H119776" s="12"/>
      <c r="I119776" s="12"/>
      <c r="J119776" s="12"/>
      <c r="K119776" s="12"/>
      <c r="L119776" s="208"/>
      <c r="M119776" s="209"/>
      <c r="N119776" s="209"/>
      <c r="O119776" s="209"/>
    </row>
    <row r="119777" spans="1:15" s="210" customFormat="1" x14ac:dyDescent="0.3">
      <c r="A119777" s="12"/>
      <c r="B119777" s="15"/>
      <c r="C119777" s="15"/>
      <c r="D119777" s="12"/>
      <c r="E119777" s="12"/>
      <c r="F119777" s="13"/>
      <c r="G119777" s="12"/>
      <c r="H119777" s="12"/>
      <c r="I119777" s="12"/>
      <c r="J119777" s="12"/>
      <c r="K119777" s="12"/>
      <c r="L119777" s="208"/>
      <c r="M119777" s="209"/>
      <c r="N119777" s="209"/>
      <c r="O119777" s="209"/>
    </row>
    <row r="119778" spans="1:15" s="210" customFormat="1" x14ac:dyDescent="0.3">
      <c r="A119778" s="12"/>
      <c r="B119778" s="15"/>
      <c r="C119778" s="15"/>
      <c r="D119778" s="12"/>
      <c r="E119778" s="12"/>
      <c r="F119778" s="13"/>
      <c r="G119778" s="12"/>
      <c r="H119778" s="12"/>
      <c r="I119778" s="12"/>
      <c r="J119778" s="12"/>
      <c r="K119778" s="12"/>
      <c r="L119778" s="208"/>
      <c r="M119778" s="209"/>
      <c r="N119778" s="209"/>
      <c r="O119778" s="209"/>
    </row>
    <row r="119779" spans="1:15" s="210" customFormat="1" x14ac:dyDescent="0.3">
      <c r="A119779" s="12"/>
      <c r="B119779" s="15"/>
      <c r="C119779" s="15"/>
      <c r="D119779" s="12"/>
      <c r="E119779" s="12"/>
      <c r="F119779" s="13"/>
      <c r="G119779" s="12"/>
      <c r="H119779" s="12"/>
      <c r="I119779" s="12"/>
      <c r="J119779" s="12"/>
      <c r="K119779" s="12"/>
      <c r="L119779" s="208"/>
      <c r="M119779" s="209"/>
      <c r="N119779" s="209"/>
      <c r="O119779" s="209"/>
    </row>
    <row r="119780" spans="1:15" s="210" customFormat="1" x14ac:dyDescent="0.3">
      <c r="A119780" s="12"/>
      <c r="B119780" s="15"/>
      <c r="C119780" s="15"/>
      <c r="D119780" s="12"/>
      <c r="E119780" s="12"/>
      <c r="F119780" s="13"/>
      <c r="G119780" s="12"/>
      <c r="H119780" s="12"/>
      <c r="I119780" s="12"/>
      <c r="J119780" s="12"/>
      <c r="K119780" s="12"/>
      <c r="L119780" s="208"/>
      <c r="M119780" s="209"/>
      <c r="N119780" s="209"/>
      <c r="O119780" s="209"/>
    </row>
    <row r="119781" spans="1:15" s="210" customFormat="1" x14ac:dyDescent="0.3">
      <c r="A119781" s="12"/>
      <c r="B119781" s="15"/>
      <c r="C119781" s="15"/>
      <c r="D119781" s="12"/>
      <c r="E119781" s="12"/>
      <c r="F119781" s="13"/>
      <c r="G119781" s="12"/>
      <c r="H119781" s="12"/>
      <c r="I119781" s="12"/>
      <c r="J119781" s="12"/>
      <c r="K119781" s="12"/>
      <c r="L119781" s="208"/>
      <c r="M119781" s="209"/>
      <c r="N119781" s="209"/>
      <c r="O119781" s="209"/>
    </row>
    <row r="119782" spans="1:15" s="210" customFormat="1" x14ac:dyDescent="0.3">
      <c r="A119782" s="12"/>
      <c r="B119782" s="15"/>
      <c r="C119782" s="15"/>
      <c r="D119782" s="12"/>
      <c r="E119782" s="12"/>
      <c r="F119782" s="13"/>
      <c r="G119782" s="12"/>
      <c r="H119782" s="12"/>
      <c r="I119782" s="12"/>
      <c r="J119782" s="12"/>
      <c r="K119782" s="12"/>
      <c r="L119782" s="208"/>
      <c r="M119782" s="209"/>
      <c r="N119782" s="209"/>
      <c r="O119782" s="209"/>
    </row>
    <row r="119783" spans="1:15" s="210" customFormat="1" x14ac:dyDescent="0.3">
      <c r="A119783" s="12"/>
      <c r="B119783" s="15"/>
      <c r="C119783" s="15"/>
      <c r="D119783" s="12"/>
      <c r="E119783" s="12"/>
      <c r="F119783" s="13"/>
      <c r="G119783" s="12"/>
      <c r="H119783" s="12"/>
      <c r="I119783" s="12"/>
      <c r="J119783" s="12"/>
      <c r="K119783" s="12"/>
      <c r="L119783" s="208"/>
      <c r="M119783" s="209"/>
      <c r="N119783" s="209"/>
      <c r="O119783" s="209"/>
    </row>
    <row r="119784" spans="1:15" s="210" customFormat="1" x14ac:dyDescent="0.3">
      <c r="A119784" s="12"/>
      <c r="B119784" s="15"/>
      <c r="C119784" s="15"/>
      <c r="D119784" s="12"/>
      <c r="E119784" s="12"/>
      <c r="F119784" s="13"/>
      <c r="G119784" s="12"/>
      <c r="H119784" s="12"/>
      <c r="I119784" s="12"/>
      <c r="J119784" s="12"/>
      <c r="K119784" s="12"/>
      <c r="L119784" s="208"/>
      <c r="M119784" s="209"/>
      <c r="N119784" s="209"/>
      <c r="O119784" s="209"/>
    </row>
    <row r="119785" spans="1:15" s="210" customFormat="1" x14ac:dyDescent="0.3">
      <c r="A119785" s="12"/>
      <c r="B119785" s="15"/>
      <c r="C119785" s="15"/>
      <c r="D119785" s="12"/>
      <c r="E119785" s="12"/>
      <c r="F119785" s="13"/>
      <c r="G119785" s="12"/>
      <c r="H119785" s="12"/>
      <c r="I119785" s="12"/>
      <c r="J119785" s="12"/>
      <c r="K119785" s="12"/>
      <c r="L119785" s="208"/>
      <c r="M119785" s="209"/>
      <c r="N119785" s="209"/>
      <c r="O119785" s="209"/>
    </row>
    <row r="119786" spans="1:15" s="210" customFormat="1" x14ac:dyDescent="0.3">
      <c r="A119786" s="12"/>
      <c r="B119786" s="15"/>
      <c r="C119786" s="15"/>
      <c r="D119786" s="12"/>
      <c r="E119786" s="12"/>
      <c r="F119786" s="13"/>
      <c r="G119786" s="12"/>
      <c r="H119786" s="12"/>
      <c r="I119786" s="12"/>
      <c r="J119786" s="12"/>
      <c r="K119786" s="12"/>
      <c r="L119786" s="208"/>
      <c r="M119786" s="209"/>
      <c r="N119786" s="209"/>
      <c r="O119786" s="209"/>
    </row>
    <row r="119787" spans="1:15" s="210" customFormat="1" x14ac:dyDescent="0.3">
      <c r="A119787" s="12"/>
      <c r="B119787" s="15"/>
      <c r="C119787" s="15"/>
      <c r="D119787" s="12"/>
      <c r="E119787" s="12"/>
      <c r="F119787" s="13"/>
      <c r="G119787" s="12"/>
      <c r="H119787" s="12"/>
      <c r="I119787" s="12"/>
      <c r="J119787" s="12"/>
      <c r="K119787" s="12"/>
      <c r="L119787" s="208"/>
      <c r="M119787" s="209"/>
      <c r="N119787" s="209"/>
      <c r="O119787" s="209"/>
    </row>
    <row r="119788" spans="1:15" s="210" customFormat="1" x14ac:dyDescent="0.3">
      <c r="A119788" s="12"/>
      <c r="B119788" s="15"/>
      <c r="C119788" s="15"/>
      <c r="D119788" s="12"/>
      <c r="E119788" s="12"/>
      <c r="F119788" s="13"/>
      <c r="G119788" s="12"/>
      <c r="H119788" s="12"/>
      <c r="I119788" s="12"/>
      <c r="J119788" s="12"/>
      <c r="K119788" s="12"/>
      <c r="L119788" s="208"/>
      <c r="M119788" s="209"/>
      <c r="N119788" s="209"/>
      <c r="O119788" s="209"/>
    </row>
    <row r="119789" spans="1:15" s="210" customFormat="1" x14ac:dyDescent="0.3">
      <c r="A119789" s="12"/>
      <c r="B119789" s="15"/>
      <c r="C119789" s="15"/>
      <c r="D119789" s="12"/>
      <c r="E119789" s="12"/>
      <c r="F119789" s="13"/>
      <c r="G119789" s="12"/>
      <c r="H119789" s="12"/>
      <c r="I119789" s="12"/>
      <c r="J119789" s="12"/>
      <c r="K119789" s="12"/>
      <c r="L119789" s="208"/>
      <c r="M119789" s="209"/>
      <c r="N119789" s="209"/>
      <c r="O119789" s="209"/>
    </row>
    <row r="119790" spans="1:15" s="210" customFormat="1" x14ac:dyDescent="0.3">
      <c r="A119790" s="12"/>
      <c r="B119790" s="15"/>
      <c r="C119790" s="15"/>
      <c r="D119790" s="12"/>
      <c r="E119790" s="12"/>
      <c r="F119790" s="13"/>
      <c r="G119790" s="12"/>
      <c r="H119790" s="12"/>
      <c r="I119790" s="12"/>
      <c r="J119790" s="12"/>
      <c r="K119790" s="12"/>
      <c r="L119790" s="208"/>
      <c r="M119790" s="209"/>
      <c r="N119790" s="209"/>
      <c r="O119790" s="209"/>
    </row>
    <row r="119791" spans="1:15" s="210" customFormat="1" x14ac:dyDescent="0.3">
      <c r="A119791" s="12"/>
      <c r="B119791" s="15"/>
      <c r="C119791" s="15"/>
      <c r="D119791" s="12"/>
      <c r="E119791" s="12"/>
      <c r="F119791" s="13"/>
      <c r="G119791" s="12"/>
      <c r="H119791" s="12"/>
      <c r="I119791" s="12"/>
      <c r="J119791" s="12"/>
      <c r="K119791" s="12"/>
      <c r="L119791" s="208"/>
      <c r="M119791" s="209"/>
      <c r="N119791" s="209"/>
      <c r="O119791" s="209"/>
    </row>
    <row r="119792" spans="1:15" s="210" customFormat="1" x14ac:dyDescent="0.3">
      <c r="A119792" s="12"/>
      <c r="B119792" s="15"/>
      <c r="C119792" s="15"/>
      <c r="D119792" s="12"/>
      <c r="E119792" s="12"/>
      <c r="F119792" s="13"/>
      <c r="G119792" s="12"/>
      <c r="H119792" s="12"/>
      <c r="I119792" s="12"/>
      <c r="J119792" s="12"/>
      <c r="K119792" s="12"/>
      <c r="L119792" s="208"/>
      <c r="M119792" s="209"/>
      <c r="N119792" s="209"/>
      <c r="O119792" s="209"/>
    </row>
    <row r="119793" spans="1:15" s="210" customFormat="1" x14ac:dyDescent="0.3">
      <c r="A119793" s="12"/>
      <c r="B119793" s="15"/>
      <c r="C119793" s="15"/>
      <c r="D119793" s="12"/>
      <c r="E119793" s="12"/>
      <c r="F119793" s="13"/>
      <c r="G119793" s="12"/>
      <c r="H119793" s="12"/>
      <c r="I119793" s="12"/>
      <c r="J119793" s="12"/>
      <c r="K119793" s="12"/>
      <c r="L119793" s="208"/>
      <c r="M119793" s="209"/>
      <c r="N119793" s="209"/>
      <c r="O119793" s="209"/>
    </row>
    <row r="119794" spans="1:15" s="210" customFormat="1" x14ac:dyDescent="0.3">
      <c r="A119794" s="12"/>
      <c r="B119794" s="15"/>
      <c r="C119794" s="15"/>
      <c r="D119794" s="12"/>
      <c r="E119794" s="12"/>
      <c r="F119794" s="13"/>
      <c r="G119794" s="12"/>
      <c r="H119794" s="12"/>
      <c r="I119794" s="12"/>
      <c r="J119794" s="12"/>
      <c r="K119794" s="12"/>
      <c r="L119794" s="208"/>
      <c r="M119794" s="209"/>
      <c r="N119794" s="209"/>
      <c r="O119794" s="209"/>
    </row>
    <row r="119795" spans="1:15" s="210" customFormat="1" x14ac:dyDescent="0.3">
      <c r="A119795" s="12"/>
      <c r="B119795" s="15"/>
      <c r="C119795" s="15"/>
      <c r="D119795" s="12"/>
      <c r="E119795" s="12"/>
      <c r="F119795" s="13"/>
      <c r="G119795" s="12"/>
      <c r="H119795" s="12"/>
      <c r="I119795" s="12"/>
      <c r="J119795" s="12"/>
      <c r="K119795" s="12"/>
      <c r="L119795" s="208"/>
      <c r="M119795" s="209"/>
      <c r="N119795" s="209"/>
      <c r="O119795" s="209"/>
    </row>
    <row r="119796" spans="1:15" s="210" customFormat="1" x14ac:dyDescent="0.3">
      <c r="A119796" s="12"/>
      <c r="B119796" s="15"/>
      <c r="C119796" s="15"/>
      <c r="D119796" s="12"/>
      <c r="E119796" s="12"/>
      <c r="F119796" s="13"/>
      <c r="G119796" s="12"/>
      <c r="H119796" s="12"/>
      <c r="I119796" s="12"/>
      <c r="J119796" s="12"/>
      <c r="K119796" s="12"/>
      <c r="L119796" s="208"/>
      <c r="M119796" s="209"/>
      <c r="N119796" s="209"/>
      <c r="O119796" s="209"/>
    </row>
    <row r="119797" spans="1:15" s="210" customFormat="1" x14ac:dyDescent="0.3">
      <c r="A119797" s="12"/>
      <c r="B119797" s="15"/>
      <c r="C119797" s="15"/>
      <c r="D119797" s="12"/>
      <c r="E119797" s="12"/>
      <c r="F119797" s="13"/>
      <c r="G119797" s="12"/>
      <c r="H119797" s="12"/>
      <c r="I119797" s="12"/>
      <c r="J119797" s="12"/>
      <c r="K119797" s="12"/>
      <c r="L119797" s="208"/>
      <c r="M119797" s="209"/>
      <c r="N119797" s="209"/>
      <c r="O119797" s="209"/>
    </row>
    <row r="119798" spans="1:15" s="210" customFormat="1" x14ac:dyDescent="0.3">
      <c r="A119798" s="12"/>
      <c r="B119798" s="15"/>
      <c r="C119798" s="15"/>
      <c r="D119798" s="12"/>
      <c r="E119798" s="12"/>
      <c r="F119798" s="13"/>
      <c r="G119798" s="12"/>
      <c r="H119798" s="12"/>
      <c r="I119798" s="12"/>
      <c r="J119798" s="12"/>
      <c r="K119798" s="12"/>
      <c r="L119798" s="208"/>
      <c r="M119798" s="209"/>
      <c r="N119798" s="209"/>
      <c r="O119798" s="209"/>
    </row>
    <row r="119799" spans="1:15" s="210" customFormat="1" x14ac:dyDescent="0.3">
      <c r="A119799" s="12"/>
      <c r="B119799" s="15"/>
      <c r="C119799" s="15"/>
      <c r="D119799" s="12"/>
      <c r="E119799" s="12"/>
      <c r="F119799" s="13"/>
      <c r="G119799" s="12"/>
      <c r="H119799" s="12"/>
      <c r="I119799" s="12"/>
      <c r="J119799" s="12"/>
      <c r="K119799" s="12"/>
      <c r="L119799" s="208"/>
      <c r="M119799" s="209"/>
      <c r="N119799" s="209"/>
      <c r="O119799" s="209"/>
    </row>
    <row r="119800" spans="1:15" s="210" customFormat="1" x14ac:dyDescent="0.3">
      <c r="A119800" s="12"/>
      <c r="B119800" s="15"/>
      <c r="C119800" s="15"/>
      <c r="D119800" s="12"/>
      <c r="E119800" s="12"/>
      <c r="F119800" s="13"/>
      <c r="G119800" s="12"/>
      <c r="H119800" s="12"/>
      <c r="I119800" s="12"/>
      <c r="J119800" s="12"/>
      <c r="K119800" s="12"/>
      <c r="L119800" s="208"/>
      <c r="M119800" s="209"/>
      <c r="N119800" s="209"/>
      <c r="O119800" s="209"/>
    </row>
    <row r="119801" spans="1:15" s="210" customFormat="1" x14ac:dyDescent="0.3">
      <c r="A119801" s="12"/>
      <c r="B119801" s="15"/>
      <c r="C119801" s="15"/>
      <c r="D119801" s="12"/>
      <c r="E119801" s="12"/>
      <c r="F119801" s="13"/>
      <c r="G119801" s="12"/>
      <c r="H119801" s="12"/>
      <c r="I119801" s="12"/>
      <c r="J119801" s="12"/>
      <c r="K119801" s="12"/>
      <c r="L119801" s="208"/>
      <c r="M119801" s="209"/>
      <c r="N119801" s="209"/>
      <c r="O119801" s="209"/>
    </row>
    <row r="119802" spans="1:15" s="210" customFormat="1" x14ac:dyDescent="0.3">
      <c r="A119802" s="12"/>
      <c r="B119802" s="15"/>
      <c r="C119802" s="15"/>
      <c r="D119802" s="12"/>
      <c r="E119802" s="12"/>
      <c r="F119802" s="13"/>
      <c r="G119802" s="12"/>
      <c r="H119802" s="12"/>
      <c r="I119802" s="12"/>
      <c r="J119802" s="12"/>
      <c r="K119802" s="12"/>
      <c r="L119802" s="208"/>
      <c r="M119802" s="209"/>
      <c r="N119802" s="209"/>
      <c r="O119802" s="209"/>
    </row>
    <row r="119803" spans="1:15" s="210" customFormat="1" x14ac:dyDescent="0.3">
      <c r="A119803" s="12"/>
      <c r="B119803" s="15"/>
      <c r="C119803" s="15"/>
      <c r="D119803" s="12"/>
      <c r="E119803" s="12"/>
      <c r="F119803" s="13"/>
      <c r="G119803" s="12"/>
      <c r="H119803" s="12"/>
      <c r="I119803" s="12"/>
      <c r="J119803" s="12"/>
      <c r="K119803" s="12"/>
      <c r="L119803" s="208"/>
      <c r="M119803" s="209"/>
      <c r="N119803" s="209"/>
      <c r="O119803" s="209"/>
    </row>
    <row r="119804" spans="1:15" s="210" customFormat="1" x14ac:dyDescent="0.3">
      <c r="A119804" s="12"/>
      <c r="B119804" s="15"/>
      <c r="C119804" s="15"/>
      <c r="D119804" s="12"/>
      <c r="E119804" s="12"/>
      <c r="F119804" s="13"/>
      <c r="G119804" s="12"/>
      <c r="H119804" s="12"/>
      <c r="I119804" s="12"/>
      <c r="J119804" s="12"/>
      <c r="K119804" s="12"/>
      <c r="L119804" s="208"/>
      <c r="M119804" s="209"/>
      <c r="N119804" s="209"/>
      <c r="O119804" s="209"/>
    </row>
    <row r="119805" spans="1:15" s="210" customFormat="1" x14ac:dyDescent="0.3">
      <c r="A119805" s="12"/>
      <c r="B119805" s="15"/>
      <c r="C119805" s="15"/>
      <c r="D119805" s="12"/>
      <c r="E119805" s="12"/>
      <c r="F119805" s="13"/>
      <c r="G119805" s="12"/>
      <c r="H119805" s="12"/>
      <c r="I119805" s="12"/>
      <c r="J119805" s="12"/>
      <c r="K119805" s="12"/>
      <c r="L119805" s="208"/>
      <c r="M119805" s="209"/>
      <c r="N119805" s="209"/>
      <c r="O119805" s="209"/>
    </row>
    <row r="119806" spans="1:15" s="210" customFormat="1" x14ac:dyDescent="0.3">
      <c r="A119806" s="12"/>
      <c r="B119806" s="15"/>
      <c r="C119806" s="15"/>
      <c r="D119806" s="12"/>
      <c r="E119806" s="12"/>
      <c r="F119806" s="13"/>
      <c r="G119806" s="12"/>
      <c r="H119806" s="12"/>
      <c r="I119806" s="12"/>
      <c r="J119806" s="12"/>
      <c r="K119806" s="12"/>
      <c r="L119806" s="208"/>
      <c r="M119806" s="209"/>
      <c r="N119806" s="209"/>
      <c r="O119806" s="209"/>
    </row>
    <row r="119807" spans="1:15" s="210" customFormat="1" x14ac:dyDescent="0.3">
      <c r="A119807" s="12"/>
      <c r="B119807" s="15"/>
      <c r="C119807" s="15"/>
      <c r="D119807" s="12"/>
      <c r="E119807" s="12"/>
      <c r="F119807" s="13"/>
      <c r="G119807" s="12"/>
      <c r="H119807" s="12"/>
      <c r="I119807" s="12"/>
      <c r="J119807" s="12"/>
      <c r="K119807" s="12"/>
      <c r="L119807" s="208"/>
      <c r="M119807" s="209"/>
      <c r="N119807" s="209"/>
      <c r="O119807" s="209"/>
    </row>
    <row r="119808" spans="1:15" s="210" customFormat="1" x14ac:dyDescent="0.3">
      <c r="A119808" s="12"/>
      <c r="B119808" s="15"/>
      <c r="C119808" s="15"/>
      <c r="D119808" s="12"/>
      <c r="E119808" s="12"/>
      <c r="F119808" s="13"/>
      <c r="G119808" s="12"/>
      <c r="H119808" s="12"/>
      <c r="I119808" s="12"/>
      <c r="J119808" s="12"/>
      <c r="K119808" s="12"/>
      <c r="L119808" s="208"/>
      <c r="M119808" s="209"/>
      <c r="N119808" s="209"/>
      <c r="O119808" s="209"/>
    </row>
    <row r="119809" spans="1:15" s="210" customFormat="1" x14ac:dyDescent="0.3">
      <c r="A119809" s="12"/>
      <c r="B119809" s="15"/>
      <c r="C119809" s="15"/>
      <c r="D119809" s="12"/>
      <c r="E119809" s="12"/>
      <c r="F119809" s="13"/>
      <c r="G119809" s="12"/>
      <c r="H119809" s="12"/>
      <c r="I119809" s="12"/>
      <c r="J119809" s="12"/>
      <c r="K119809" s="12"/>
      <c r="L119809" s="208"/>
      <c r="M119809" s="209"/>
      <c r="N119809" s="209"/>
      <c r="O119809" s="209"/>
    </row>
    <row r="119810" spans="1:15" s="210" customFormat="1" x14ac:dyDescent="0.3">
      <c r="A119810" s="12"/>
      <c r="B119810" s="15"/>
      <c r="C119810" s="15"/>
      <c r="D119810" s="12"/>
      <c r="E119810" s="12"/>
      <c r="F119810" s="13"/>
      <c r="G119810" s="12"/>
      <c r="H119810" s="12"/>
      <c r="I119810" s="12"/>
      <c r="J119810" s="12"/>
      <c r="K119810" s="12"/>
      <c r="L119810" s="208"/>
      <c r="M119810" s="209"/>
      <c r="N119810" s="209"/>
      <c r="O119810" s="209"/>
    </row>
    <row r="119811" spans="1:15" s="210" customFormat="1" x14ac:dyDescent="0.3">
      <c r="A119811" s="12"/>
      <c r="B119811" s="15"/>
      <c r="C119811" s="15"/>
      <c r="D119811" s="12"/>
      <c r="E119811" s="12"/>
      <c r="F119811" s="13"/>
      <c r="G119811" s="12"/>
      <c r="H119811" s="12"/>
      <c r="I119811" s="12"/>
      <c r="J119811" s="12"/>
      <c r="K119811" s="12"/>
      <c r="L119811" s="208"/>
      <c r="M119811" s="209"/>
      <c r="N119811" s="209"/>
      <c r="O119811" s="209"/>
    </row>
    <row r="119812" spans="1:15" s="210" customFormat="1" x14ac:dyDescent="0.3">
      <c r="A119812" s="12"/>
      <c r="B119812" s="15"/>
      <c r="C119812" s="15"/>
      <c r="D119812" s="12"/>
      <c r="E119812" s="12"/>
      <c r="F119812" s="13"/>
      <c r="G119812" s="12"/>
      <c r="H119812" s="12"/>
      <c r="I119812" s="12"/>
      <c r="J119812" s="12"/>
      <c r="K119812" s="12"/>
      <c r="L119812" s="208"/>
      <c r="M119812" s="209"/>
      <c r="N119812" s="209"/>
      <c r="O119812" s="209"/>
    </row>
    <row r="119813" spans="1:15" s="210" customFormat="1" x14ac:dyDescent="0.3">
      <c r="A119813" s="12"/>
      <c r="B119813" s="15"/>
      <c r="C119813" s="15"/>
      <c r="D119813" s="12"/>
      <c r="E119813" s="12"/>
      <c r="F119813" s="13"/>
      <c r="G119813" s="12"/>
      <c r="H119813" s="12"/>
      <c r="I119813" s="12"/>
      <c r="J119813" s="12"/>
      <c r="K119813" s="12"/>
      <c r="L119813" s="208"/>
      <c r="M119813" s="209"/>
      <c r="N119813" s="209"/>
      <c r="O119813" s="209"/>
    </row>
    <row r="119814" spans="1:15" s="210" customFormat="1" x14ac:dyDescent="0.3">
      <c r="A119814" s="12"/>
      <c r="B119814" s="15"/>
      <c r="C119814" s="15"/>
      <c r="D119814" s="12"/>
      <c r="E119814" s="12"/>
      <c r="F119814" s="13"/>
      <c r="G119814" s="12"/>
      <c r="H119814" s="12"/>
      <c r="I119814" s="12"/>
      <c r="J119814" s="12"/>
      <c r="K119814" s="12"/>
      <c r="L119814" s="208"/>
      <c r="M119814" s="209"/>
      <c r="N119814" s="209"/>
      <c r="O119814" s="209"/>
    </row>
    <row r="119815" spans="1:15" s="210" customFormat="1" x14ac:dyDescent="0.3">
      <c r="A119815" s="12"/>
      <c r="B119815" s="15"/>
      <c r="C119815" s="15"/>
      <c r="D119815" s="12"/>
      <c r="E119815" s="12"/>
      <c r="F119815" s="13"/>
      <c r="G119815" s="12"/>
      <c r="H119815" s="12"/>
      <c r="I119815" s="12"/>
      <c r="J119815" s="12"/>
      <c r="K119815" s="12"/>
      <c r="L119815" s="208"/>
      <c r="M119815" s="209"/>
      <c r="N119815" s="209"/>
      <c r="O119815" s="209"/>
    </row>
    <row r="119816" spans="1:15" s="210" customFormat="1" x14ac:dyDescent="0.3">
      <c r="A119816" s="12"/>
      <c r="B119816" s="15"/>
      <c r="C119816" s="15"/>
      <c r="D119816" s="12"/>
      <c r="E119816" s="12"/>
      <c r="F119816" s="13"/>
      <c r="G119816" s="12"/>
      <c r="H119816" s="12"/>
      <c r="I119816" s="12"/>
      <c r="J119816" s="12"/>
      <c r="K119816" s="12"/>
      <c r="L119816" s="208"/>
      <c r="M119816" s="209"/>
      <c r="N119816" s="209"/>
      <c r="O119816" s="209"/>
    </row>
    <row r="119817" spans="1:15" s="210" customFormat="1" x14ac:dyDescent="0.3">
      <c r="A119817" s="12"/>
      <c r="B119817" s="15"/>
      <c r="C119817" s="15"/>
      <c r="D119817" s="12"/>
      <c r="E119817" s="12"/>
      <c r="F119817" s="13"/>
      <c r="G119817" s="12"/>
      <c r="H119817" s="12"/>
      <c r="I119817" s="12"/>
      <c r="J119817" s="12"/>
      <c r="K119817" s="12"/>
      <c r="L119817" s="208"/>
      <c r="M119817" s="209"/>
      <c r="N119817" s="209"/>
      <c r="O119817" s="209"/>
    </row>
    <row r="119818" spans="1:15" s="210" customFormat="1" x14ac:dyDescent="0.3">
      <c r="A119818" s="12"/>
      <c r="B119818" s="15"/>
      <c r="C119818" s="15"/>
      <c r="D119818" s="12"/>
      <c r="E119818" s="12"/>
      <c r="F119818" s="13"/>
      <c r="G119818" s="12"/>
      <c r="H119818" s="12"/>
      <c r="I119818" s="12"/>
      <c r="J119818" s="12"/>
      <c r="K119818" s="12"/>
      <c r="L119818" s="208"/>
      <c r="M119818" s="209"/>
      <c r="N119818" s="209"/>
      <c r="O119818" s="209"/>
    </row>
    <row r="119819" spans="1:15" s="210" customFormat="1" x14ac:dyDescent="0.3">
      <c r="A119819" s="12"/>
      <c r="B119819" s="15"/>
      <c r="C119819" s="15"/>
      <c r="D119819" s="12"/>
      <c r="E119819" s="12"/>
      <c r="F119819" s="13"/>
      <c r="G119819" s="12"/>
      <c r="H119819" s="12"/>
      <c r="I119819" s="12"/>
      <c r="J119819" s="12"/>
      <c r="K119819" s="12"/>
      <c r="L119819" s="208"/>
      <c r="M119819" s="209"/>
      <c r="N119819" s="209"/>
      <c r="O119819" s="209"/>
    </row>
    <row r="119820" spans="1:15" s="210" customFormat="1" x14ac:dyDescent="0.3">
      <c r="A119820" s="12"/>
      <c r="B119820" s="15"/>
      <c r="C119820" s="15"/>
      <c r="D119820" s="12"/>
      <c r="E119820" s="12"/>
      <c r="F119820" s="13"/>
      <c r="G119820" s="12"/>
      <c r="H119820" s="12"/>
      <c r="I119820" s="12"/>
      <c r="J119820" s="12"/>
      <c r="K119820" s="12"/>
      <c r="L119820" s="208"/>
      <c r="M119820" s="209"/>
      <c r="N119820" s="209"/>
      <c r="O119820" s="209"/>
    </row>
    <row r="119821" spans="1:15" s="210" customFormat="1" x14ac:dyDescent="0.3">
      <c r="A119821" s="12"/>
      <c r="B119821" s="15"/>
      <c r="C119821" s="15"/>
      <c r="D119821" s="12"/>
      <c r="E119821" s="12"/>
      <c r="F119821" s="13"/>
      <c r="G119821" s="12"/>
      <c r="H119821" s="12"/>
      <c r="I119821" s="12"/>
      <c r="J119821" s="12"/>
      <c r="K119821" s="12"/>
      <c r="L119821" s="208"/>
      <c r="M119821" s="209"/>
      <c r="N119821" s="209"/>
      <c r="O119821" s="209"/>
    </row>
    <row r="119822" spans="1:15" s="210" customFormat="1" x14ac:dyDescent="0.3">
      <c r="A119822" s="12"/>
      <c r="B119822" s="15"/>
      <c r="C119822" s="15"/>
      <c r="D119822" s="12"/>
      <c r="E119822" s="12"/>
      <c r="F119822" s="13"/>
      <c r="G119822" s="12"/>
      <c r="H119822" s="12"/>
      <c r="I119822" s="12"/>
      <c r="J119822" s="12"/>
      <c r="K119822" s="12"/>
      <c r="L119822" s="208"/>
      <c r="M119822" s="209"/>
      <c r="N119822" s="209"/>
      <c r="O119822" s="209"/>
    </row>
    <row r="119823" spans="1:15" s="210" customFormat="1" x14ac:dyDescent="0.3">
      <c r="A119823" s="12"/>
      <c r="B119823" s="15"/>
      <c r="C119823" s="15"/>
      <c r="D119823" s="12"/>
      <c r="E119823" s="12"/>
      <c r="F119823" s="13"/>
      <c r="G119823" s="12"/>
      <c r="H119823" s="12"/>
      <c r="I119823" s="12"/>
      <c r="J119823" s="12"/>
      <c r="K119823" s="12"/>
      <c r="L119823" s="208"/>
      <c r="M119823" s="209"/>
      <c r="N119823" s="209"/>
      <c r="O119823" s="209"/>
    </row>
    <row r="119824" spans="1:15" s="210" customFormat="1" x14ac:dyDescent="0.3">
      <c r="A119824" s="12"/>
      <c r="B119824" s="15"/>
      <c r="C119824" s="15"/>
      <c r="D119824" s="12"/>
      <c r="E119824" s="12"/>
      <c r="F119824" s="13"/>
      <c r="G119824" s="12"/>
      <c r="H119824" s="12"/>
      <c r="I119824" s="12"/>
      <c r="J119824" s="12"/>
      <c r="K119824" s="12"/>
      <c r="L119824" s="208"/>
      <c r="M119824" s="209"/>
      <c r="N119824" s="209"/>
      <c r="O119824" s="209"/>
    </row>
    <row r="119825" spans="1:15" s="210" customFormat="1" x14ac:dyDescent="0.3">
      <c r="A119825" s="12"/>
      <c r="B119825" s="15"/>
      <c r="C119825" s="15"/>
      <c r="D119825" s="12"/>
      <c r="E119825" s="12"/>
      <c r="F119825" s="13"/>
      <c r="G119825" s="12"/>
      <c r="H119825" s="12"/>
      <c r="I119825" s="12"/>
      <c r="J119825" s="12"/>
      <c r="K119825" s="12"/>
      <c r="L119825" s="208"/>
      <c r="M119825" s="209"/>
      <c r="N119825" s="209"/>
      <c r="O119825" s="209"/>
    </row>
    <row r="119826" spans="1:15" s="210" customFormat="1" x14ac:dyDescent="0.3">
      <c r="A119826" s="12"/>
      <c r="B119826" s="15"/>
      <c r="C119826" s="15"/>
      <c r="D119826" s="12"/>
      <c r="E119826" s="12"/>
      <c r="F119826" s="13"/>
      <c r="G119826" s="12"/>
      <c r="H119826" s="12"/>
      <c r="I119826" s="12"/>
      <c r="J119826" s="12"/>
      <c r="K119826" s="12"/>
      <c r="L119826" s="208"/>
      <c r="M119826" s="209"/>
      <c r="N119826" s="209"/>
      <c r="O119826" s="209"/>
    </row>
    <row r="119827" spans="1:15" s="210" customFormat="1" x14ac:dyDescent="0.3">
      <c r="A119827" s="12"/>
      <c r="B119827" s="15"/>
      <c r="C119827" s="15"/>
      <c r="D119827" s="12"/>
      <c r="E119827" s="12"/>
      <c r="F119827" s="13"/>
      <c r="G119827" s="12"/>
      <c r="H119827" s="12"/>
      <c r="I119827" s="12"/>
      <c r="J119827" s="12"/>
      <c r="K119827" s="12"/>
      <c r="L119827" s="208"/>
      <c r="M119827" s="209"/>
      <c r="N119827" s="209"/>
      <c r="O119827" s="209"/>
    </row>
    <row r="119828" spans="1:15" s="210" customFormat="1" x14ac:dyDescent="0.3">
      <c r="A119828" s="12"/>
      <c r="B119828" s="15"/>
      <c r="C119828" s="15"/>
      <c r="D119828" s="12"/>
      <c r="E119828" s="12"/>
      <c r="F119828" s="13"/>
      <c r="G119828" s="12"/>
      <c r="H119828" s="12"/>
      <c r="I119828" s="12"/>
      <c r="J119828" s="12"/>
      <c r="K119828" s="12"/>
      <c r="L119828" s="208"/>
      <c r="M119828" s="209"/>
      <c r="N119828" s="209"/>
      <c r="O119828" s="209"/>
    </row>
    <row r="119829" spans="1:15" s="210" customFormat="1" x14ac:dyDescent="0.3">
      <c r="A119829" s="12"/>
      <c r="B119829" s="15"/>
      <c r="C119829" s="15"/>
      <c r="D119829" s="12"/>
      <c r="E119829" s="12"/>
      <c r="F119829" s="13"/>
      <c r="G119829" s="12"/>
      <c r="H119829" s="12"/>
      <c r="I119829" s="12"/>
      <c r="J119829" s="12"/>
      <c r="K119829" s="12"/>
      <c r="L119829" s="208"/>
      <c r="M119829" s="209"/>
      <c r="N119829" s="209"/>
      <c r="O119829" s="209"/>
    </row>
    <row r="119830" spans="1:15" s="210" customFormat="1" x14ac:dyDescent="0.3">
      <c r="A119830" s="12"/>
      <c r="B119830" s="15"/>
      <c r="C119830" s="15"/>
      <c r="D119830" s="12"/>
      <c r="E119830" s="12"/>
      <c r="F119830" s="13"/>
      <c r="G119830" s="12"/>
      <c r="H119830" s="12"/>
      <c r="I119830" s="12"/>
      <c r="J119830" s="12"/>
      <c r="K119830" s="12"/>
      <c r="L119830" s="208"/>
      <c r="M119830" s="209"/>
      <c r="N119830" s="209"/>
      <c r="O119830" s="209"/>
    </row>
    <row r="119831" spans="1:15" s="210" customFormat="1" x14ac:dyDescent="0.3">
      <c r="A119831" s="12"/>
      <c r="B119831" s="15"/>
      <c r="C119831" s="15"/>
      <c r="D119831" s="12"/>
      <c r="E119831" s="12"/>
      <c r="F119831" s="13"/>
      <c r="G119831" s="12"/>
      <c r="H119831" s="12"/>
      <c r="I119831" s="12"/>
      <c r="J119831" s="12"/>
      <c r="K119831" s="12"/>
      <c r="L119831" s="208"/>
      <c r="M119831" s="209"/>
      <c r="N119831" s="209"/>
      <c r="O119831" s="209"/>
    </row>
    <row r="119832" spans="1:15" s="210" customFormat="1" x14ac:dyDescent="0.3">
      <c r="A119832" s="12"/>
      <c r="B119832" s="15"/>
      <c r="C119832" s="15"/>
      <c r="D119832" s="12"/>
      <c r="E119832" s="12"/>
      <c r="F119832" s="13"/>
      <c r="G119832" s="12"/>
      <c r="H119832" s="12"/>
      <c r="I119832" s="12"/>
      <c r="J119832" s="12"/>
      <c r="K119832" s="12"/>
      <c r="L119832" s="208"/>
      <c r="M119832" s="209"/>
      <c r="N119832" s="209"/>
      <c r="O119832" s="209"/>
    </row>
    <row r="119833" spans="1:15" s="210" customFormat="1" x14ac:dyDescent="0.3">
      <c r="A119833" s="12"/>
      <c r="B119833" s="15"/>
      <c r="C119833" s="15"/>
      <c r="D119833" s="12"/>
      <c r="E119833" s="12"/>
      <c r="F119833" s="13"/>
      <c r="G119833" s="12"/>
      <c r="H119833" s="12"/>
      <c r="I119833" s="12"/>
      <c r="J119833" s="12"/>
      <c r="K119833" s="12"/>
      <c r="L119833" s="208"/>
      <c r="M119833" s="209"/>
      <c r="N119833" s="209"/>
      <c r="O119833" s="209"/>
    </row>
    <row r="119834" spans="1:15" s="210" customFormat="1" x14ac:dyDescent="0.3">
      <c r="A119834" s="12"/>
      <c r="B119834" s="15"/>
      <c r="C119834" s="15"/>
      <c r="D119834" s="12"/>
      <c r="E119834" s="12"/>
      <c r="F119834" s="13"/>
      <c r="G119834" s="12"/>
      <c r="H119834" s="12"/>
      <c r="I119834" s="12"/>
      <c r="J119834" s="12"/>
      <c r="K119834" s="12"/>
      <c r="L119834" s="208"/>
      <c r="M119834" s="209"/>
      <c r="N119834" s="209"/>
      <c r="O119834" s="209"/>
    </row>
    <row r="119835" spans="1:15" s="210" customFormat="1" x14ac:dyDescent="0.3">
      <c r="A119835" s="12"/>
      <c r="B119835" s="15"/>
      <c r="C119835" s="15"/>
      <c r="D119835" s="12"/>
      <c r="E119835" s="12"/>
      <c r="F119835" s="13"/>
      <c r="G119835" s="12"/>
      <c r="H119835" s="12"/>
      <c r="I119835" s="12"/>
      <c r="J119835" s="12"/>
      <c r="K119835" s="12"/>
      <c r="L119835" s="208"/>
      <c r="M119835" s="209"/>
      <c r="N119835" s="209"/>
      <c r="O119835" s="209"/>
    </row>
    <row r="119836" spans="1:15" s="210" customFormat="1" x14ac:dyDescent="0.3">
      <c r="A119836" s="12"/>
      <c r="B119836" s="15"/>
      <c r="C119836" s="15"/>
      <c r="D119836" s="12"/>
      <c r="E119836" s="12"/>
      <c r="F119836" s="13"/>
      <c r="G119836" s="12"/>
      <c r="H119836" s="12"/>
      <c r="I119836" s="12"/>
      <c r="J119836" s="12"/>
      <c r="K119836" s="12"/>
      <c r="L119836" s="208"/>
      <c r="M119836" s="209"/>
      <c r="N119836" s="209"/>
      <c r="O119836" s="209"/>
    </row>
    <row r="119837" spans="1:15" s="210" customFormat="1" x14ac:dyDescent="0.3">
      <c r="A119837" s="12"/>
      <c r="B119837" s="15"/>
      <c r="C119837" s="15"/>
      <c r="D119837" s="12"/>
      <c r="E119837" s="12"/>
      <c r="F119837" s="13"/>
      <c r="G119837" s="12"/>
      <c r="H119837" s="12"/>
      <c r="I119837" s="12"/>
      <c r="J119837" s="12"/>
      <c r="K119837" s="12"/>
      <c r="L119837" s="208"/>
      <c r="M119837" s="209"/>
      <c r="N119837" s="209"/>
      <c r="O119837" s="209"/>
    </row>
    <row r="119838" spans="1:15" s="210" customFormat="1" x14ac:dyDescent="0.3">
      <c r="A119838" s="12"/>
      <c r="B119838" s="15"/>
      <c r="C119838" s="15"/>
      <c r="D119838" s="12"/>
      <c r="E119838" s="12"/>
      <c r="F119838" s="13"/>
      <c r="G119838" s="12"/>
      <c r="H119838" s="12"/>
      <c r="I119838" s="12"/>
      <c r="J119838" s="12"/>
      <c r="K119838" s="12"/>
      <c r="L119838" s="208"/>
      <c r="M119838" s="209"/>
      <c r="N119838" s="209"/>
      <c r="O119838" s="209"/>
    </row>
    <row r="119839" spans="1:15" s="210" customFormat="1" x14ac:dyDescent="0.3">
      <c r="A119839" s="12"/>
      <c r="B119839" s="15"/>
      <c r="C119839" s="15"/>
      <c r="D119839" s="12"/>
      <c r="E119839" s="12"/>
      <c r="F119839" s="13"/>
      <c r="G119839" s="12"/>
      <c r="H119839" s="12"/>
      <c r="I119839" s="12"/>
      <c r="J119839" s="12"/>
      <c r="K119839" s="12"/>
      <c r="L119839" s="208"/>
      <c r="M119839" s="209"/>
      <c r="N119839" s="209"/>
      <c r="O119839" s="209"/>
    </row>
    <row r="119840" spans="1:15" s="210" customFormat="1" x14ac:dyDescent="0.3">
      <c r="A119840" s="12"/>
      <c r="B119840" s="15"/>
      <c r="C119840" s="15"/>
      <c r="D119840" s="12"/>
      <c r="E119840" s="12"/>
      <c r="F119840" s="13"/>
      <c r="G119840" s="12"/>
      <c r="H119840" s="12"/>
      <c r="I119840" s="12"/>
      <c r="J119840" s="12"/>
      <c r="K119840" s="12"/>
      <c r="L119840" s="208"/>
      <c r="M119840" s="209"/>
      <c r="N119840" s="209"/>
      <c r="O119840" s="209"/>
    </row>
    <row r="119841" spans="1:15" s="210" customFormat="1" x14ac:dyDescent="0.3">
      <c r="A119841" s="12"/>
      <c r="B119841" s="15"/>
      <c r="C119841" s="15"/>
      <c r="D119841" s="12"/>
      <c r="E119841" s="12"/>
      <c r="F119841" s="13"/>
      <c r="G119841" s="12"/>
      <c r="H119841" s="12"/>
      <c r="I119841" s="12"/>
      <c r="J119841" s="12"/>
      <c r="K119841" s="12"/>
      <c r="L119841" s="208"/>
      <c r="M119841" s="209"/>
      <c r="N119841" s="209"/>
      <c r="O119841" s="209"/>
    </row>
    <row r="119842" spans="1:15" s="210" customFormat="1" x14ac:dyDescent="0.3">
      <c r="A119842" s="12"/>
      <c r="B119842" s="15"/>
      <c r="C119842" s="15"/>
      <c r="D119842" s="12"/>
      <c r="E119842" s="12"/>
      <c r="F119842" s="13"/>
      <c r="G119842" s="12"/>
      <c r="H119842" s="12"/>
      <c r="I119842" s="12"/>
      <c r="J119842" s="12"/>
      <c r="K119842" s="12"/>
      <c r="L119842" s="208"/>
      <c r="M119842" s="209"/>
      <c r="N119842" s="209"/>
      <c r="O119842" s="209"/>
    </row>
    <row r="119843" spans="1:15" s="210" customFormat="1" x14ac:dyDescent="0.3">
      <c r="A119843" s="12"/>
      <c r="B119843" s="15"/>
      <c r="C119843" s="15"/>
      <c r="D119843" s="12"/>
      <c r="E119843" s="12"/>
      <c r="F119843" s="13"/>
      <c r="G119843" s="12"/>
      <c r="H119843" s="12"/>
      <c r="I119843" s="12"/>
      <c r="J119843" s="12"/>
      <c r="K119843" s="12"/>
      <c r="L119843" s="208"/>
      <c r="M119843" s="209"/>
      <c r="N119843" s="209"/>
      <c r="O119843" s="209"/>
    </row>
    <row r="119844" spans="1:15" s="210" customFormat="1" x14ac:dyDescent="0.3">
      <c r="A119844" s="12"/>
      <c r="B119844" s="15"/>
      <c r="C119844" s="15"/>
      <c r="D119844" s="12"/>
      <c r="E119844" s="12"/>
      <c r="F119844" s="13"/>
      <c r="G119844" s="12"/>
      <c r="H119844" s="12"/>
      <c r="I119844" s="12"/>
      <c r="J119844" s="12"/>
      <c r="K119844" s="12"/>
      <c r="L119844" s="208"/>
      <c r="M119844" s="209"/>
      <c r="N119844" s="209"/>
      <c r="O119844" s="209"/>
    </row>
    <row r="119845" spans="1:15" s="210" customFormat="1" x14ac:dyDescent="0.3">
      <c r="A119845" s="12"/>
      <c r="B119845" s="15"/>
      <c r="C119845" s="15"/>
      <c r="D119845" s="12"/>
      <c r="E119845" s="12"/>
      <c r="F119845" s="13"/>
      <c r="G119845" s="12"/>
      <c r="H119845" s="12"/>
      <c r="I119845" s="12"/>
      <c r="J119845" s="12"/>
      <c r="K119845" s="12"/>
      <c r="L119845" s="208"/>
      <c r="M119845" s="209"/>
      <c r="N119845" s="209"/>
      <c r="O119845" s="209"/>
    </row>
    <row r="119846" spans="1:15" s="210" customFormat="1" x14ac:dyDescent="0.3">
      <c r="A119846" s="12"/>
      <c r="B119846" s="15"/>
      <c r="C119846" s="15"/>
      <c r="D119846" s="12"/>
      <c r="E119846" s="12"/>
      <c r="F119846" s="13"/>
      <c r="G119846" s="12"/>
      <c r="H119846" s="12"/>
      <c r="I119846" s="12"/>
      <c r="J119846" s="12"/>
      <c r="K119846" s="12"/>
      <c r="L119846" s="208"/>
      <c r="M119846" s="209"/>
      <c r="N119846" s="209"/>
      <c r="O119846" s="209"/>
    </row>
    <row r="119847" spans="1:15" s="210" customFormat="1" x14ac:dyDescent="0.3">
      <c r="A119847" s="12"/>
      <c r="B119847" s="15"/>
      <c r="C119847" s="15"/>
      <c r="D119847" s="12"/>
      <c r="E119847" s="12"/>
      <c r="F119847" s="13"/>
      <c r="G119847" s="12"/>
      <c r="H119847" s="12"/>
      <c r="I119847" s="12"/>
      <c r="J119847" s="12"/>
      <c r="K119847" s="12"/>
      <c r="L119847" s="208"/>
      <c r="M119847" s="209"/>
      <c r="N119847" s="209"/>
      <c r="O119847" s="209"/>
    </row>
    <row r="119848" spans="1:15" s="210" customFormat="1" x14ac:dyDescent="0.3">
      <c r="A119848" s="12"/>
      <c r="B119848" s="15"/>
      <c r="C119848" s="15"/>
      <c r="D119848" s="12"/>
      <c r="E119848" s="12"/>
      <c r="F119848" s="13"/>
      <c r="G119848" s="12"/>
      <c r="H119848" s="12"/>
      <c r="I119848" s="12"/>
      <c r="J119848" s="12"/>
      <c r="K119848" s="12"/>
      <c r="L119848" s="208"/>
      <c r="M119848" s="209"/>
      <c r="N119848" s="209"/>
      <c r="O119848" s="209"/>
    </row>
    <row r="119849" spans="1:15" s="210" customFormat="1" x14ac:dyDescent="0.3">
      <c r="A119849" s="12"/>
      <c r="B119849" s="15"/>
      <c r="C119849" s="15"/>
      <c r="D119849" s="12"/>
      <c r="E119849" s="12"/>
      <c r="F119849" s="13"/>
      <c r="G119849" s="12"/>
      <c r="H119849" s="12"/>
      <c r="I119849" s="12"/>
      <c r="J119849" s="12"/>
      <c r="K119849" s="12"/>
      <c r="L119849" s="208"/>
      <c r="M119849" s="209"/>
      <c r="N119849" s="209"/>
      <c r="O119849" s="209"/>
    </row>
    <row r="119850" spans="1:15" s="210" customFormat="1" x14ac:dyDescent="0.3">
      <c r="A119850" s="12"/>
      <c r="B119850" s="15"/>
      <c r="C119850" s="15"/>
      <c r="D119850" s="12"/>
      <c r="E119850" s="12"/>
      <c r="F119850" s="13"/>
      <c r="G119850" s="12"/>
      <c r="H119850" s="12"/>
      <c r="I119850" s="12"/>
      <c r="J119850" s="12"/>
      <c r="K119850" s="12"/>
      <c r="L119850" s="208"/>
      <c r="M119850" s="209"/>
      <c r="N119850" s="209"/>
      <c r="O119850" s="209"/>
    </row>
    <row r="119851" spans="1:15" s="210" customFormat="1" x14ac:dyDescent="0.3">
      <c r="A119851" s="12"/>
      <c r="B119851" s="15"/>
      <c r="C119851" s="15"/>
      <c r="D119851" s="12"/>
      <c r="E119851" s="12"/>
      <c r="F119851" s="13"/>
      <c r="G119851" s="12"/>
      <c r="H119851" s="12"/>
      <c r="I119851" s="12"/>
      <c r="J119851" s="12"/>
      <c r="K119851" s="12"/>
      <c r="L119851" s="208"/>
      <c r="M119851" s="209"/>
      <c r="N119851" s="209"/>
      <c r="O119851" s="209"/>
    </row>
    <row r="119852" spans="1:15" s="210" customFormat="1" x14ac:dyDescent="0.3">
      <c r="A119852" s="12"/>
      <c r="B119852" s="15"/>
      <c r="C119852" s="15"/>
      <c r="D119852" s="12"/>
      <c r="E119852" s="12"/>
      <c r="F119852" s="13"/>
      <c r="G119852" s="12"/>
      <c r="H119852" s="12"/>
      <c r="I119852" s="12"/>
      <c r="J119852" s="12"/>
      <c r="K119852" s="12"/>
      <c r="L119852" s="208"/>
      <c r="M119852" s="209"/>
      <c r="N119852" s="209"/>
      <c r="O119852" s="209"/>
    </row>
    <row r="119853" spans="1:15" s="210" customFormat="1" x14ac:dyDescent="0.3">
      <c r="A119853" s="12"/>
      <c r="B119853" s="15"/>
      <c r="C119853" s="15"/>
      <c r="D119853" s="12"/>
      <c r="E119853" s="12"/>
      <c r="F119853" s="13"/>
      <c r="G119853" s="12"/>
      <c r="H119853" s="12"/>
      <c r="I119853" s="12"/>
      <c r="J119853" s="12"/>
      <c r="K119853" s="12"/>
      <c r="L119853" s="208"/>
      <c r="M119853" s="209"/>
      <c r="N119853" s="209"/>
      <c r="O119853" s="209"/>
    </row>
    <row r="119854" spans="1:15" s="210" customFormat="1" x14ac:dyDescent="0.3">
      <c r="A119854" s="12"/>
      <c r="B119854" s="15"/>
      <c r="C119854" s="15"/>
      <c r="D119854" s="12"/>
      <c r="E119854" s="12"/>
      <c r="F119854" s="13"/>
      <c r="G119854" s="12"/>
      <c r="H119854" s="12"/>
      <c r="I119854" s="12"/>
      <c r="J119854" s="12"/>
      <c r="K119854" s="12"/>
      <c r="L119854" s="208"/>
      <c r="M119854" s="209"/>
      <c r="N119854" s="209"/>
      <c r="O119854" s="209"/>
    </row>
    <row r="119855" spans="1:15" s="210" customFormat="1" x14ac:dyDescent="0.3">
      <c r="A119855" s="12"/>
      <c r="B119855" s="15"/>
      <c r="C119855" s="15"/>
      <c r="D119855" s="12"/>
      <c r="E119855" s="12"/>
      <c r="F119855" s="13"/>
      <c r="G119855" s="12"/>
      <c r="H119855" s="12"/>
      <c r="I119855" s="12"/>
      <c r="J119855" s="12"/>
      <c r="K119855" s="12"/>
      <c r="L119855" s="208"/>
      <c r="M119855" s="209"/>
      <c r="N119855" s="209"/>
      <c r="O119855" s="209"/>
    </row>
    <row r="119856" spans="1:15" s="210" customFormat="1" x14ac:dyDescent="0.3">
      <c r="A119856" s="12"/>
      <c r="B119856" s="15"/>
      <c r="C119856" s="15"/>
      <c r="D119856" s="12"/>
      <c r="E119856" s="12"/>
      <c r="F119856" s="13"/>
      <c r="G119856" s="12"/>
      <c r="H119856" s="12"/>
      <c r="I119856" s="12"/>
      <c r="J119856" s="12"/>
      <c r="K119856" s="12"/>
      <c r="L119856" s="208"/>
      <c r="M119856" s="209"/>
      <c r="N119856" s="209"/>
      <c r="O119856" s="209"/>
    </row>
    <row r="119857" spans="1:15" s="210" customFormat="1" x14ac:dyDescent="0.3">
      <c r="A119857" s="12"/>
      <c r="B119857" s="15"/>
      <c r="C119857" s="15"/>
      <c r="D119857" s="12"/>
      <c r="E119857" s="12"/>
      <c r="F119857" s="13"/>
      <c r="G119857" s="12"/>
      <c r="H119857" s="12"/>
      <c r="I119857" s="12"/>
      <c r="J119857" s="12"/>
      <c r="K119857" s="12"/>
      <c r="L119857" s="208"/>
      <c r="M119857" s="209"/>
      <c r="N119857" s="209"/>
      <c r="O119857" s="209"/>
    </row>
    <row r="119858" spans="1:15" s="210" customFormat="1" x14ac:dyDescent="0.3">
      <c r="A119858" s="12"/>
      <c r="B119858" s="15"/>
      <c r="C119858" s="15"/>
      <c r="D119858" s="12"/>
      <c r="E119858" s="12"/>
      <c r="F119858" s="13"/>
      <c r="G119858" s="12"/>
      <c r="H119858" s="12"/>
      <c r="I119858" s="12"/>
      <c r="J119858" s="12"/>
      <c r="K119858" s="12"/>
      <c r="L119858" s="208"/>
      <c r="M119858" s="209"/>
      <c r="N119858" s="209"/>
      <c r="O119858" s="209"/>
    </row>
    <row r="119859" spans="1:15" s="210" customFormat="1" x14ac:dyDescent="0.3">
      <c r="A119859" s="12"/>
      <c r="B119859" s="15"/>
      <c r="C119859" s="15"/>
      <c r="D119859" s="12"/>
      <c r="E119859" s="12"/>
      <c r="F119859" s="13"/>
      <c r="G119859" s="12"/>
      <c r="H119859" s="12"/>
      <c r="I119859" s="12"/>
      <c r="J119859" s="12"/>
      <c r="K119859" s="12"/>
      <c r="L119859" s="208"/>
      <c r="M119859" s="209"/>
      <c r="N119859" s="209"/>
      <c r="O119859" s="209"/>
    </row>
    <row r="119860" spans="1:15" s="210" customFormat="1" x14ac:dyDescent="0.3">
      <c r="A119860" s="12"/>
      <c r="B119860" s="15"/>
      <c r="C119860" s="15"/>
      <c r="D119860" s="12"/>
      <c r="E119860" s="12"/>
      <c r="F119860" s="13"/>
      <c r="G119860" s="12"/>
      <c r="H119860" s="12"/>
      <c r="I119860" s="12"/>
      <c r="J119860" s="12"/>
      <c r="K119860" s="12"/>
      <c r="L119860" s="208"/>
      <c r="M119860" s="209"/>
      <c r="N119860" s="209"/>
      <c r="O119860" s="209"/>
    </row>
    <row r="119861" spans="1:15" s="210" customFormat="1" x14ac:dyDescent="0.3">
      <c r="A119861" s="12"/>
      <c r="B119861" s="15"/>
      <c r="C119861" s="15"/>
      <c r="D119861" s="12"/>
      <c r="E119861" s="12"/>
      <c r="F119861" s="13"/>
      <c r="G119861" s="12"/>
      <c r="H119861" s="12"/>
      <c r="I119861" s="12"/>
      <c r="J119861" s="12"/>
      <c r="K119861" s="12"/>
      <c r="L119861" s="208"/>
      <c r="M119861" s="209"/>
      <c r="N119861" s="209"/>
      <c r="O119861" s="209"/>
    </row>
    <row r="119862" spans="1:15" s="210" customFormat="1" x14ac:dyDescent="0.3">
      <c r="A119862" s="12"/>
      <c r="B119862" s="15"/>
      <c r="C119862" s="15"/>
      <c r="D119862" s="12"/>
      <c r="E119862" s="12"/>
      <c r="F119862" s="13"/>
      <c r="G119862" s="12"/>
      <c r="H119862" s="12"/>
      <c r="I119862" s="12"/>
      <c r="J119862" s="12"/>
      <c r="K119862" s="12"/>
      <c r="L119862" s="208"/>
      <c r="M119862" s="209"/>
      <c r="N119862" s="209"/>
      <c r="O119862" s="209"/>
    </row>
    <row r="119863" spans="1:15" s="210" customFormat="1" x14ac:dyDescent="0.3">
      <c r="A119863" s="12"/>
      <c r="B119863" s="15"/>
      <c r="C119863" s="15"/>
      <c r="D119863" s="12"/>
      <c r="E119863" s="12"/>
      <c r="F119863" s="13"/>
      <c r="G119863" s="12"/>
      <c r="H119863" s="12"/>
      <c r="I119863" s="12"/>
      <c r="J119863" s="12"/>
      <c r="K119863" s="12"/>
      <c r="L119863" s="208"/>
      <c r="M119863" s="209"/>
      <c r="N119863" s="209"/>
      <c r="O119863" s="209"/>
    </row>
    <row r="119864" spans="1:15" s="210" customFormat="1" x14ac:dyDescent="0.3">
      <c r="A119864" s="12"/>
      <c r="B119864" s="15"/>
      <c r="C119864" s="15"/>
      <c r="D119864" s="12"/>
      <c r="E119864" s="12"/>
      <c r="F119864" s="13"/>
      <c r="G119864" s="12"/>
      <c r="H119864" s="12"/>
      <c r="I119864" s="12"/>
      <c r="J119864" s="12"/>
      <c r="K119864" s="12"/>
      <c r="L119864" s="208"/>
      <c r="M119864" s="209"/>
      <c r="N119864" s="209"/>
      <c r="O119864" s="209"/>
    </row>
    <row r="119865" spans="1:15" s="210" customFormat="1" x14ac:dyDescent="0.3">
      <c r="A119865" s="12"/>
      <c r="B119865" s="15"/>
      <c r="C119865" s="15"/>
      <c r="D119865" s="12"/>
      <c r="E119865" s="12"/>
      <c r="F119865" s="13"/>
      <c r="G119865" s="12"/>
      <c r="H119865" s="12"/>
      <c r="I119865" s="12"/>
      <c r="J119865" s="12"/>
      <c r="K119865" s="12"/>
      <c r="L119865" s="208"/>
      <c r="M119865" s="209"/>
      <c r="N119865" s="209"/>
      <c r="O119865" s="209"/>
    </row>
    <row r="119866" spans="1:15" s="210" customFormat="1" x14ac:dyDescent="0.3">
      <c r="A119866" s="12"/>
      <c r="B119866" s="15"/>
      <c r="C119866" s="15"/>
      <c r="D119866" s="12"/>
      <c r="E119866" s="12"/>
      <c r="F119866" s="13"/>
      <c r="G119866" s="12"/>
      <c r="H119866" s="12"/>
      <c r="I119866" s="12"/>
      <c r="J119866" s="12"/>
      <c r="K119866" s="12"/>
      <c r="L119866" s="208"/>
      <c r="M119866" s="209"/>
      <c r="N119866" s="209"/>
      <c r="O119866" s="209"/>
    </row>
    <row r="119867" spans="1:15" s="210" customFormat="1" x14ac:dyDescent="0.3">
      <c r="A119867" s="12"/>
      <c r="B119867" s="15"/>
      <c r="C119867" s="15"/>
      <c r="D119867" s="12"/>
      <c r="E119867" s="12"/>
      <c r="F119867" s="13"/>
      <c r="G119867" s="12"/>
      <c r="H119867" s="12"/>
      <c r="I119867" s="12"/>
      <c r="J119867" s="12"/>
      <c r="K119867" s="12"/>
      <c r="L119867" s="208"/>
      <c r="M119867" s="209"/>
      <c r="N119867" s="209"/>
      <c r="O119867" s="209"/>
    </row>
    <row r="119868" spans="1:15" s="210" customFormat="1" x14ac:dyDescent="0.3">
      <c r="A119868" s="12"/>
      <c r="B119868" s="15"/>
      <c r="C119868" s="15"/>
      <c r="D119868" s="12"/>
      <c r="E119868" s="12"/>
      <c r="F119868" s="13"/>
      <c r="G119868" s="12"/>
      <c r="H119868" s="12"/>
      <c r="I119868" s="12"/>
      <c r="J119868" s="12"/>
      <c r="K119868" s="12"/>
      <c r="L119868" s="208"/>
      <c r="M119868" s="209"/>
      <c r="N119868" s="209"/>
      <c r="O119868" s="209"/>
    </row>
    <row r="119869" spans="1:15" s="210" customFormat="1" x14ac:dyDescent="0.3">
      <c r="A119869" s="12"/>
      <c r="B119869" s="15"/>
      <c r="C119869" s="15"/>
      <c r="D119869" s="12"/>
      <c r="E119869" s="12"/>
      <c r="F119869" s="13"/>
      <c r="G119869" s="12"/>
      <c r="H119869" s="12"/>
      <c r="I119869" s="12"/>
      <c r="J119869" s="12"/>
      <c r="K119869" s="12"/>
      <c r="L119869" s="208"/>
      <c r="M119869" s="209"/>
      <c r="N119869" s="209"/>
      <c r="O119869" s="209"/>
    </row>
    <row r="119870" spans="1:15" s="210" customFormat="1" x14ac:dyDescent="0.3">
      <c r="A119870" s="12"/>
      <c r="B119870" s="15"/>
      <c r="C119870" s="15"/>
      <c r="D119870" s="12"/>
      <c r="E119870" s="12"/>
      <c r="F119870" s="13"/>
      <c r="G119870" s="12"/>
      <c r="H119870" s="12"/>
      <c r="I119870" s="12"/>
      <c r="J119870" s="12"/>
      <c r="K119870" s="12"/>
      <c r="L119870" s="208"/>
      <c r="M119870" s="209"/>
      <c r="N119870" s="209"/>
      <c r="O119870" s="209"/>
    </row>
    <row r="119871" spans="1:15" s="210" customFormat="1" x14ac:dyDescent="0.3">
      <c r="A119871" s="12"/>
      <c r="B119871" s="15"/>
      <c r="C119871" s="15"/>
      <c r="D119871" s="12"/>
      <c r="E119871" s="12"/>
      <c r="F119871" s="13"/>
      <c r="G119871" s="12"/>
      <c r="H119871" s="12"/>
      <c r="I119871" s="12"/>
      <c r="J119871" s="12"/>
      <c r="K119871" s="12"/>
      <c r="L119871" s="208"/>
      <c r="M119871" s="209"/>
      <c r="N119871" s="209"/>
      <c r="O119871" s="209"/>
    </row>
    <row r="119872" spans="1:15" s="210" customFormat="1" x14ac:dyDescent="0.3">
      <c r="A119872" s="12"/>
      <c r="B119872" s="15"/>
      <c r="C119872" s="15"/>
      <c r="D119872" s="12"/>
      <c r="E119872" s="12"/>
      <c r="F119872" s="13"/>
      <c r="G119872" s="12"/>
      <c r="H119872" s="12"/>
      <c r="I119872" s="12"/>
      <c r="J119872" s="12"/>
      <c r="K119872" s="12"/>
      <c r="L119872" s="208"/>
      <c r="M119872" s="209"/>
      <c r="N119872" s="209"/>
      <c r="O119872" s="209"/>
    </row>
    <row r="119873" spans="1:15" s="210" customFormat="1" x14ac:dyDescent="0.3">
      <c r="A119873" s="12"/>
      <c r="B119873" s="15"/>
      <c r="C119873" s="15"/>
      <c r="D119873" s="12"/>
      <c r="E119873" s="12"/>
      <c r="F119873" s="13"/>
      <c r="G119873" s="12"/>
      <c r="H119873" s="12"/>
      <c r="I119873" s="12"/>
      <c r="J119873" s="12"/>
      <c r="K119873" s="12"/>
      <c r="L119873" s="208"/>
      <c r="M119873" s="209"/>
      <c r="N119873" s="209"/>
      <c r="O119873" s="209"/>
    </row>
    <row r="119874" spans="1:15" s="210" customFormat="1" x14ac:dyDescent="0.3">
      <c r="A119874" s="12"/>
      <c r="B119874" s="15"/>
      <c r="C119874" s="15"/>
      <c r="D119874" s="12"/>
      <c r="E119874" s="12"/>
      <c r="F119874" s="13"/>
      <c r="G119874" s="12"/>
      <c r="H119874" s="12"/>
      <c r="I119874" s="12"/>
      <c r="J119874" s="12"/>
      <c r="K119874" s="12"/>
      <c r="L119874" s="208"/>
      <c r="M119874" s="209"/>
      <c r="N119874" s="209"/>
      <c r="O119874" s="209"/>
    </row>
    <row r="119875" spans="1:15" s="210" customFormat="1" x14ac:dyDescent="0.3">
      <c r="A119875" s="12"/>
      <c r="B119875" s="15"/>
      <c r="C119875" s="15"/>
      <c r="D119875" s="12"/>
      <c r="E119875" s="12"/>
      <c r="F119875" s="13"/>
      <c r="G119875" s="12"/>
      <c r="H119875" s="12"/>
      <c r="I119875" s="12"/>
      <c r="J119875" s="12"/>
      <c r="K119875" s="12"/>
      <c r="L119875" s="208"/>
      <c r="M119875" s="209"/>
      <c r="N119875" s="209"/>
      <c r="O119875" s="209"/>
    </row>
    <row r="119876" spans="1:15" s="210" customFormat="1" x14ac:dyDescent="0.3">
      <c r="A119876" s="12"/>
      <c r="B119876" s="15"/>
      <c r="C119876" s="15"/>
      <c r="D119876" s="12"/>
      <c r="E119876" s="12"/>
      <c r="F119876" s="13"/>
      <c r="G119876" s="12"/>
      <c r="H119876" s="12"/>
      <c r="I119876" s="12"/>
      <c r="J119876" s="12"/>
      <c r="K119876" s="12"/>
      <c r="L119876" s="208"/>
      <c r="M119876" s="209"/>
      <c r="N119876" s="209"/>
      <c r="O119876" s="209"/>
    </row>
    <row r="119877" spans="1:15" s="210" customFormat="1" x14ac:dyDescent="0.3">
      <c r="A119877" s="12"/>
      <c r="B119877" s="15"/>
      <c r="C119877" s="15"/>
      <c r="D119877" s="12"/>
      <c r="E119877" s="12"/>
      <c r="F119877" s="13"/>
      <c r="G119877" s="12"/>
      <c r="H119877" s="12"/>
      <c r="I119877" s="12"/>
      <c r="J119877" s="12"/>
      <c r="K119877" s="12"/>
      <c r="L119877" s="208"/>
      <c r="M119877" s="209"/>
      <c r="N119877" s="209"/>
      <c r="O119877" s="209"/>
    </row>
    <row r="119878" spans="1:15" s="210" customFormat="1" x14ac:dyDescent="0.3">
      <c r="A119878" s="12"/>
      <c r="B119878" s="15"/>
      <c r="C119878" s="15"/>
      <c r="D119878" s="12"/>
      <c r="E119878" s="12"/>
      <c r="F119878" s="13"/>
      <c r="G119878" s="12"/>
      <c r="H119878" s="12"/>
      <c r="I119878" s="12"/>
      <c r="J119878" s="12"/>
      <c r="K119878" s="12"/>
      <c r="L119878" s="208"/>
      <c r="M119878" s="209"/>
      <c r="N119878" s="209"/>
      <c r="O119878" s="209"/>
    </row>
    <row r="119879" spans="1:15" s="210" customFormat="1" x14ac:dyDescent="0.3">
      <c r="A119879" s="12"/>
      <c r="B119879" s="15"/>
      <c r="C119879" s="15"/>
      <c r="D119879" s="12"/>
      <c r="E119879" s="12"/>
      <c r="F119879" s="13"/>
      <c r="G119879" s="12"/>
      <c r="H119879" s="12"/>
      <c r="I119879" s="12"/>
      <c r="J119879" s="12"/>
      <c r="K119879" s="12"/>
      <c r="L119879" s="208"/>
      <c r="M119879" s="209"/>
      <c r="N119879" s="209"/>
      <c r="O119879" s="209"/>
    </row>
    <row r="119880" spans="1:15" s="210" customFormat="1" x14ac:dyDescent="0.3">
      <c r="A119880" s="12"/>
      <c r="B119880" s="15"/>
      <c r="C119880" s="15"/>
      <c r="D119880" s="12"/>
      <c r="E119880" s="12"/>
      <c r="F119880" s="13"/>
      <c r="G119880" s="12"/>
      <c r="H119880" s="12"/>
      <c r="I119880" s="12"/>
      <c r="J119880" s="12"/>
      <c r="K119880" s="12"/>
      <c r="L119880" s="208"/>
      <c r="M119880" s="209"/>
      <c r="N119880" s="209"/>
      <c r="O119880" s="209"/>
    </row>
    <row r="119881" spans="1:15" s="210" customFormat="1" x14ac:dyDescent="0.3">
      <c r="A119881" s="12"/>
      <c r="B119881" s="15"/>
      <c r="C119881" s="15"/>
      <c r="D119881" s="12"/>
      <c r="E119881" s="12"/>
      <c r="F119881" s="13"/>
      <c r="G119881" s="12"/>
      <c r="H119881" s="12"/>
      <c r="I119881" s="12"/>
      <c r="J119881" s="12"/>
      <c r="K119881" s="12"/>
      <c r="L119881" s="208"/>
      <c r="M119881" s="209"/>
      <c r="N119881" s="209"/>
      <c r="O119881" s="209"/>
    </row>
    <row r="119882" spans="1:15" s="210" customFormat="1" x14ac:dyDescent="0.3">
      <c r="A119882" s="12"/>
      <c r="B119882" s="15"/>
      <c r="C119882" s="15"/>
      <c r="D119882" s="12"/>
      <c r="E119882" s="12"/>
      <c r="F119882" s="13"/>
      <c r="G119882" s="12"/>
      <c r="H119882" s="12"/>
      <c r="I119882" s="12"/>
      <c r="J119882" s="12"/>
      <c r="K119882" s="12"/>
      <c r="L119882" s="208"/>
      <c r="M119882" s="209"/>
      <c r="N119882" s="209"/>
      <c r="O119882" s="209"/>
    </row>
    <row r="119883" spans="1:15" s="210" customFormat="1" x14ac:dyDescent="0.3">
      <c r="A119883" s="12"/>
      <c r="B119883" s="15"/>
      <c r="C119883" s="15"/>
      <c r="D119883" s="12"/>
      <c r="E119883" s="12"/>
      <c r="F119883" s="13"/>
      <c r="G119883" s="12"/>
      <c r="H119883" s="12"/>
      <c r="I119883" s="12"/>
      <c r="J119883" s="12"/>
      <c r="K119883" s="12"/>
      <c r="L119883" s="208"/>
      <c r="M119883" s="209"/>
      <c r="N119883" s="209"/>
      <c r="O119883" s="209"/>
    </row>
    <row r="119884" spans="1:15" s="210" customFormat="1" x14ac:dyDescent="0.3">
      <c r="A119884" s="12"/>
      <c r="B119884" s="15"/>
      <c r="C119884" s="15"/>
      <c r="D119884" s="12"/>
      <c r="E119884" s="12"/>
      <c r="F119884" s="13"/>
      <c r="G119884" s="12"/>
      <c r="H119884" s="12"/>
      <c r="I119884" s="12"/>
      <c r="J119884" s="12"/>
      <c r="K119884" s="12"/>
      <c r="L119884" s="208"/>
      <c r="M119884" s="209"/>
      <c r="N119884" s="209"/>
      <c r="O119884" s="209"/>
    </row>
    <row r="119885" spans="1:15" s="210" customFormat="1" x14ac:dyDescent="0.3">
      <c r="A119885" s="12"/>
      <c r="B119885" s="15"/>
      <c r="C119885" s="15"/>
      <c r="D119885" s="12"/>
      <c r="E119885" s="12"/>
      <c r="F119885" s="13"/>
      <c r="G119885" s="12"/>
      <c r="H119885" s="12"/>
      <c r="I119885" s="12"/>
      <c r="J119885" s="12"/>
      <c r="K119885" s="12"/>
      <c r="L119885" s="208"/>
      <c r="M119885" s="209"/>
      <c r="N119885" s="209"/>
      <c r="O119885" s="209"/>
    </row>
    <row r="119886" spans="1:15" s="210" customFormat="1" x14ac:dyDescent="0.3">
      <c r="A119886" s="12"/>
      <c r="B119886" s="15"/>
      <c r="C119886" s="15"/>
      <c r="D119886" s="12"/>
      <c r="E119886" s="12"/>
      <c r="F119886" s="13"/>
      <c r="G119886" s="12"/>
      <c r="H119886" s="12"/>
      <c r="I119886" s="12"/>
      <c r="J119886" s="12"/>
      <c r="K119886" s="12"/>
      <c r="L119886" s="208"/>
      <c r="M119886" s="209"/>
      <c r="N119886" s="209"/>
      <c r="O119886" s="209"/>
    </row>
    <row r="119887" spans="1:15" s="210" customFormat="1" x14ac:dyDescent="0.3">
      <c r="A119887" s="12"/>
      <c r="B119887" s="15"/>
      <c r="C119887" s="15"/>
      <c r="D119887" s="12"/>
      <c r="E119887" s="12"/>
      <c r="F119887" s="13"/>
      <c r="G119887" s="12"/>
      <c r="H119887" s="12"/>
      <c r="I119887" s="12"/>
      <c r="J119887" s="12"/>
      <c r="K119887" s="12"/>
      <c r="L119887" s="208"/>
      <c r="M119887" s="209"/>
      <c r="N119887" s="209"/>
      <c r="O119887" s="209"/>
    </row>
    <row r="119888" spans="1:15" s="210" customFormat="1" x14ac:dyDescent="0.3">
      <c r="A119888" s="12"/>
      <c r="B119888" s="15"/>
      <c r="C119888" s="15"/>
      <c r="D119888" s="12"/>
      <c r="E119888" s="12"/>
      <c r="F119888" s="13"/>
      <c r="G119888" s="12"/>
      <c r="H119888" s="12"/>
      <c r="I119888" s="12"/>
      <c r="J119888" s="12"/>
      <c r="K119888" s="12"/>
      <c r="L119888" s="208"/>
      <c r="M119888" s="209"/>
      <c r="N119888" s="209"/>
      <c r="O119888" s="209"/>
    </row>
    <row r="119889" spans="1:15" s="210" customFormat="1" x14ac:dyDescent="0.3">
      <c r="A119889" s="12"/>
      <c r="B119889" s="15"/>
      <c r="C119889" s="15"/>
      <c r="D119889" s="12"/>
      <c r="E119889" s="12"/>
      <c r="F119889" s="13"/>
      <c r="G119889" s="12"/>
      <c r="H119889" s="12"/>
      <c r="I119889" s="12"/>
      <c r="J119889" s="12"/>
      <c r="K119889" s="12"/>
      <c r="L119889" s="208"/>
      <c r="M119889" s="209"/>
      <c r="N119889" s="209"/>
      <c r="O119889" s="209"/>
    </row>
    <row r="119890" spans="1:15" s="210" customFormat="1" x14ac:dyDescent="0.3">
      <c r="A119890" s="12"/>
      <c r="B119890" s="15"/>
      <c r="C119890" s="15"/>
      <c r="D119890" s="12"/>
      <c r="E119890" s="12"/>
      <c r="F119890" s="13"/>
      <c r="G119890" s="12"/>
      <c r="H119890" s="12"/>
      <c r="I119890" s="12"/>
      <c r="J119890" s="12"/>
      <c r="K119890" s="12"/>
      <c r="L119890" s="208"/>
      <c r="M119890" s="209"/>
      <c r="N119890" s="209"/>
      <c r="O119890" s="209"/>
    </row>
    <row r="119891" spans="1:15" s="210" customFormat="1" x14ac:dyDescent="0.3">
      <c r="A119891" s="12"/>
      <c r="B119891" s="15"/>
      <c r="C119891" s="15"/>
      <c r="D119891" s="12"/>
      <c r="E119891" s="12"/>
      <c r="F119891" s="13"/>
      <c r="G119891" s="12"/>
      <c r="H119891" s="12"/>
      <c r="I119891" s="12"/>
      <c r="J119891" s="12"/>
      <c r="K119891" s="12"/>
      <c r="L119891" s="208"/>
      <c r="M119891" s="209"/>
      <c r="N119891" s="209"/>
      <c r="O119891" s="209"/>
    </row>
    <row r="119892" spans="1:15" s="210" customFormat="1" x14ac:dyDescent="0.3">
      <c r="A119892" s="12"/>
      <c r="B119892" s="15"/>
      <c r="C119892" s="15"/>
      <c r="D119892" s="12"/>
      <c r="E119892" s="12"/>
      <c r="F119892" s="13"/>
      <c r="G119892" s="12"/>
      <c r="H119892" s="12"/>
      <c r="I119892" s="12"/>
      <c r="J119892" s="12"/>
      <c r="K119892" s="12"/>
      <c r="L119892" s="208"/>
      <c r="M119892" s="209"/>
      <c r="N119892" s="209"/>
      <c r="O119892" s="209"/>
    </row>
    <row r="119893" spans="1:15" s="210" customFormat="1" x14ac:dyDescent="0.3">
      <c r="A119893" s="12"/>
      <c r="B119893" s="15"/>
      <c r="C119893" s="15"/>
      <c r="D119893" s="12"/>
      <c r="E119893" s="12"/>
      <c r="F119893" s="13"/>
      <c r="G119893" s="12"/>
      <c r="H119893" s="12"/>
      <c r="I119893" s="12"/>
      <c r="J119893" s="12"/>
      <c r="K119893" s="12"/>
      <c r="L119893" s="208"/>
      <c r="M119893" s="209"/>
      <c r="N119893" s="209"/>
      <c r="O119893" s="209"/>
    </row>
    <row r="119894" spans="1:15" s="210" customFormat="1" x14ac:dyDescent="0.3">
      <c r="A119894" s="12"/>
      <c r="B119894" s="15"/>
      <c r="C119894" s="15"/>
      <c r="D119894" s="12"/>
      <c r="E119894" s="12"/>
      <c r="F119894" s="13"/>
      <c r="G119894" s="12"/>
      <c r="H119894" s="12"/>
      <c r="I119894" s="12"/>
      <c r="J119894" s="12"/>
      <c r="K119894" s="12"/>
      <c r="L119894" s="208"/>
      <c r="M119894" s="209"/>
      <c r="N119894" s="209"/>
      <c r="O119894" s="209"/>
    </row>
    <row r="119895" spans="1:15" s="210" customFormat="1" x14ac:dyDescent="0.3">
      <c r="A119895" s="12"/>
      <c r="B119895" s="15"/>
      <c r="C119895" s="15"/>
      <c r="D119895" s="12"/>
      <c r="E119895" s="12"/>
      <c r="F119895" s="13"/>
      <c r="G119895" s="12"/>
      <c r="H119895" s="12"/>
      <c r="I119895" s="12"/>
      <c r="J119895" s="12"/>
      <c r="K119895" s="12"/>
      <c r="L119895" s="208"/>
      <c r="M119895" s="209"/>
      <c r="N119895" s="209"/>
      <c r="O119895" s="209"/>
    </row>
    <row r="119896" spans="1:15" s="210" customFormat="1" x14ac:dyDescent="0.3">
      <c r="A119896" s="12"/>
      <c r="B119896" s="15"/>
      <c r="C119896" s="15"/>
      <c r="D119896" s="12"/>
      <c r="E119896" s="12"/>
      <c r="F119896" s="13"/>
      <c r="G119896" s="12"/>
      <c r="H119896" s="12"/>
      <c r="I119896" s="12"/>
      <c r="J119896" s="12"/>
      <c r="K119896" s="12"/>
      <c r="L119896" s="208"/>
      <c r="M119896" s="209"/>
      <c r="N119896" s="209"/>
      <c r="O119896" s="209"/>
    </row>
    <row r="119897" spans="1:15" s="210" customFormat="1" x14ac:dyDescent="0.3">
      <c r="A119897" s="12"/>
      <c r="B119897" s="15"/>
      <c r="C119897" s="15"/>
      <c r="D119897" s="12"/>
      <c r="E119897" s="12"/>
      <c r="F119897" s="13"/>
      <c r="G119897" s="12"/>
      <c r="H119897" s="12"/>
      <c r="I119897" s="12"/>
      <c r="J119897" s="12"/>
      <c r="K119897" s="12"/>
      <c r="L119897" s="208"/>
      <c r="M119897" s="209"/>
      <c r="N119897" s="209"/>
      <c r="O119897" s="209"/>
    </row>
    <row r="119898" spans="1:15" s="210" customFormat="1" x14ac:dyDescent="0.3">
      <c r="A119898" s="12"/>
      <c r="B119898" s="15"/>
      <c r="C119898" s="15"/>
      <c r="D119898" s="12"/>
      <c r="E119898" s="12"/>
      <c r="F119898" s="13"/>
      <c r="G119898" s="12"/>
      <c r="H119898" s="12"/>
      <c r="I119898" s="12"/>
      <c r="J119898" s="12"/>
      <c r="K119898" s="12"/>
      <c r="L119898" s="208"/>
      <c r="M119898" s="209"/>
      <c r="N119898" s="209"/>
      <c r="O119898" s="209"/>
    </row>
    <row r="119899" spans="1:15" s="210" customFormat="1" x14ac:dyDescent="0.3">
      <c r="A119899" s="12"/>
      <c r="B119899" s="15"/>
      <c r="C119899" s="15"/>
      <c r="D119899" s="12"/>
      <c r="E119899" s="12"/>
      <c r="F119899" s="13"/>
      <c r="G119899" s="12"/>
      <c r="H119899" s="12"/>
      <c r="I119899" s="12"/>
      <c r="J119899" s="12"/>
      <c r="K119899" s="12"/>
      <c r="L119899" s="208"/>
      <c r="M119899" s="209"/>
      <c r="N119899" s="209"/>
      <c r="O119899" s="209"/>
    </row>
    <row r="119900" spans="1:15" s="210" customFormat="1" x14ac:dyDescent="0.3">
      <c r="A119900" s="12"/>
      <c r="B119900" s="15"/>
      <c r="C119900" s="15"/>
      <c r="D119900" s="12"/>
      <c r="E119900" s="12"/>
      <c r="F119900" s="13"/>
      <c r="G119900" s="12"/>
      <c r="H119900" s="12"/>
      <c r="I119900" s="12"/>
      <c r="J119900" s="12"/>
      <c r="K119900" s="12"/>
      <c r="L119900" s="208"/>
      <c r="M119900" s="209"/>
      <c r="N119900" s="209"/>
      <c r="O119900" s="209"/>
    </row>
    <row r="119901" spans="1:15" s="210" customFormat="1" x14ac:dyDescent="0.3">
      <c r="A119901" s="12"/>
      <c r="B119901" s="15"/>
      <c r="C119901" s="15"/>
      <c r="D119901" s="12"/>
      <c r="E119901" s="12"/>
      <c r="F119901" s="13"/>
      <c r="G119901" s="12"/>
      <c r="H119901" s="12"/>
      <c r="I119901" s="12"/>
      <c r="J119901" s="12"/>
      <c r="K119901" s="12"/>
      <c r="L119901" s="208"/>
      <c r="M119901" s="209"/>
      <c r="N119901" s="209"/>
      <c r="O119901" s="209"/>
    </row>
    <row r="119902" spans="1:15" s="210" customFormat="1" x14ac:dyDescent="0.3">
      <c r="A119902" s="12"/>
      <c r="B119902" s="15"/>
      <c r="C119902" s="15"/>
      <c r="D119902" s="12"/>
      <c r="E119902" s="12"/>
      <c r="F119902" s="13"/>
      <c r="G119902" s="12"/>
      <c r="H119902" s="12"/>
      <c r="I119902" s="12"/>
      <c r="J119902" s="12"/>
      <c r="K119902" s="12"/>
      <c r="L119902" s="208"/>
      <c r="M119902" s="209"/>
      <c r="N119902" s="209"/>
      <c r="O119902" s="209"/>
    </row>
    <row r="119903" spans="1:15" s="210" customFormat="1" x14ac:dyDescent="0.3">
      <c r="A119903" s="12"/>
      <c r="B119903" s="15"/>
      <c r="C119903" s="15"/>
      <c r="D119903" s="12"/>
      <c r="E119903" s="12"/>
      <c r="F119903" s="13"/>
      <c r="G119903" s="12"/>
      <c r="H119903" s="12"/>
      <c r="I119903" s="12"/>
      <c r="J119903" s="12"/>
      <c r="K119903" s="12"/>
      <c r="L119903" s="208"/>
      <c r="M119903" s="209"/>
      <c r="N119903" s="209"/>
      <c r="O119903" s="209"/>
    </row>
    <row r="119904" spans="1:15" s="210" customFormat="1" x14ac:dyDescent="0.3">
      <c r="A119904" s="12"/>
      <c r="B119904" s="15"/>
      <c r="C119904" s="15"/>
      <c r="D119904" s="12"/>
      <c r="E119904" s="12"/>
      <c r="F119904" s="13"/>
      <c r="G119904" s="12"/>
      <c r="H119904" s="12"/>
      <c r="I119904" s="12"/>
      <c r="J119904" s="12"/>
      <c r="K119904" s="12"/>
      <c r="L119904" s="208"/>
      <c r="M119904" s="209"/>
      <c r="N119904" s="209"/>
      <c r="O119904" s="209"/>
    </row>
    <row r="119905" spans="1:15" s="210" customFormat="1" x14ac:dyDescent="0.3">
      <c r="A119905" s="12"/>
      <c r="B119905" s="15"/>
      <c r="C119905" s="15"/>
      <c r="D119905" s="12"/>
      <c r="E119905" s="12"/>
      <c r="F119905" s="13"/>
      <c r="G119905" s="12"/>
      <c r="H119905" s="12"/>
      <c r="I119905" s="12"/>
      <c r="J119905" s="12"/>
      <c r="K119905" s="12"/>
      <c r="L119905" s="208"/>
      <c r="M119905" s="209"/>
      <c r="N119905" s="209"/>
      <c r="O119905" s="209"/>
    </row>
    <row r="119906" spans="1:15" s="210" customFormat="1" x14ac:dyDescent="0.3">
      <c r="A119906" s="12"/>
      <c r="B119906" s="15"/>
      <c r="C119906" s="15"/>
      <c r="D119906" s="12"/>
      <c r="E119906" s="12"/>
      <c r="F119906" s="13"/>
      <c r="G119906" s="12"/>
      <c r="H119906" s="12"/>
      <c r="I119906" s="12"/>
      <c r="J119906" s="12"/>
      <c r="K119906" s="12"/>
      <c r="L119906" s="208"/>
      <c r="M119906" s="209"/>
      <c r="N119906" s="209"/>
      <c r="O119906" s="209"/>
    </row>
    <row r="119907" spans="1:15" s="210" customFormat="1" x14ac:dyDescent="0.3">
      <c r="A119907" s="12"/>
      <c r="B119907" s="15"/>
      <c r="C119907" s="15"/>
      <c r="D119907" s="12"/>
      <c r="E119907" s="12"/>
      <c r="F119907" s="13"/>
      <c r="G119907" s="12"/>
      <c r="H119907" s="12"/>
      <c r="I119907" s="12"/>
      <c r="J119907" s="12"/>
      <c r="K119907" s="12"/>
      <c r="L119907" s="208"/>
      <c r="M119907" s="209"/>
      <c r="N119907" s="209"/>
      <c r="O119907" s="209"/>
    </row>
    <row r="119908" spans="1:15" s="210" customFormat="1" x14ac:dyDescent="0.3">
      <c r="A119908" s="12"/>
      <c r="B119908" s="15"/>
      <c r="C119908" s="15"/>
      <c r="D119908" s="12"/>
      <c r="E119908" s="12"/>
      <c r="F119908" s="13"/>
      <c r="G119908" s="12"/>
      <c r="H119908" s="12"/>
      <c r="I119908" s="12"/>
      <c r="J119908" s="12"/>
      <c r="K119908" s="12"/>
      <c r="L119908" s="208"/>
      <c r="M119908" s="209"/>
      <c r="N119908" s="209"/>
      <c r="O119908" s="209"/>
    </row>
    <row r="119909" spans="1:15" s="210" customFormat="1" x14ac:dyDescent="0.3">
      <c r="A119909" s="12"/>
      <c r="B119909" s="15"/>
      <c r="C119909" s="15"/>
      <c r="D119909" s="12"/>
      <c r="E119909" s="12"/>
      <c r="F119909" s="13"/>
      <c r="G119909" s="12"/>
      <c r="H119909" s="12"/>
      <c r="I119909" s="12"/>
      <c r="J119909" s="12"/>
      <c r="K119909" s="12"/>
      <c r="L119909" s="208"/>
      <c r="M119909" s="209"/>
      <c r="N119909" s="209"/>
      <c r="O119909" s="209"/>
    </row>
    <row r="119910" spans="1:15" s="210" customFormat="1" x14ac:dyDescent="0.3">
      <c r="A119910" s="12"/>
      <c r="B119910" s="15"/>
      <c r="C119910" s="15"/>
      <c r="D119910" s="12"/>
      <c r="E119910" s="12"/>
      <c r="F119910" s="13"/>
      <c r="G119910" s="12"/>
      <c r="H119910" s="12"/>
      <c r="I119910" s="12"/>
      <c r="J119910" s="12"/>
      <c r="K119910" s="12"/>
      <c r="L119910" s="208"/>
      <c r="M119910" s="209"/>
      <c r="N119910" s="209"/>
      <c r="O119910" s="209"/>
    </row>
    <row r="119911" spans="1:15" s="210" customFormat="1" x14ac:dyDescent="0.3">
      <c r="A119911" s="12"/>
      <c r="B119911" s="15"/>
      <c r="C119911" s="15"/>
      <c r="D119911" s="12"/>
      <c r="E119911" s="12"/>
      <c r="F119911" s="13"/>
      <c r="G119911" s="12"/>
      <c r="H119911" s="12"/>
      <c r="I119911" s="12"/>
      <c r="J119911" s="12"/>
      <c r="K119911" s="12"/>
      <c r="L119911" s="208"/>
      <c r="M119911" s="209"/>
      <c r="N119911" s="209"/>
      <c r="O119911" s="209"/>
    </row>
    <row r="119912" spans="1:15" s="210" customFormat="1" x14ac:dyDescent="0.3">
      <c r="A119912" s="12"/>
      <c r="B119912" s="15"/>
      <c r="C119912" s="15"/>
      <c r="D119912" s="12"/>
      <c r="E119912" s="12"/>
      <c r="F119912" s="13"/>
      <c r="G119912" s="12"/>
      <c r="H119912" s="12"/>
      <c r="I119912" s="12"/>
      <c r="J119912" s="12"/>
      <c r="K119912" s="12"/>
      <c r="L119912" s="208"/>
      <c r="M119912" s="209"/>
      <c r="N119912" s="209"/>
      <c r="O119912" s="209"/>
    </row>
    <row r="119913" spans="1:15" s="210" customFormat="1" x14ac:dyDescent="0.3">
      <c r="A119913" s="12"/>
      <c r="B119913" s="15"/>
      <c r="C119913" s="15"/>
      <c r="D119913" s="12"/>
      <c r="E119913" s="12"/>
      <c r="F119913" s="13"/>
      <c r="G119913" s="12"/>
      <c r="H119913" s="12"/>
      <c r="I119913" s="12"/>
      <c r="J119913" s="12"/>
      <c r="K119913" s="12"/>
      <c r="L119913" s="208"/>
      <c r="M119913" s="209"/>
      <c r="N119913" s="209"/>
      <c r="O119913" s="209"/>
    </row>
    <row r="119914" spans="1:15" s="210" customFormat="1" x14ac:dyDescent="0.3">
      <c r="A119914" s="12"/>
      <c r="B119914" s="15"/>
      <c r="C119914" s="15"/>
      <c r="D119914" s="12"/>
      <c r="E119914" s="12"/>
      <c r="F119914" s="13"/>
      <c r="G119914" s="12"/>
      <c r="H119914" s="12"/>
      <c r="I119914" s="12"/>
      <c r="J119914" s="12"/>
      <c r="K119914" s="12"/>
      <c r="L119914" s="208"/>
      <c r="M119914" s="209"/>
      <c r="N119914" s="209"/>
      <c r="O119914" s="209"/>
    </row>
    <row r="119915" spans="1:15" s="210" customFormat="1" x14ac:dyDescent="0.3">
      <c r="A119915" s="12"/>
      <c r="B119915" s="15"/>
      <c r="C119915" s="15"/>
      <c r="D119915" s="12"/>
      <c r="E119915" s="12"/>
      <c r="F119915" s="13"/>
      <c r="G119915" s="12"/>
      <c r="H119915" s="12"/>
      <c r="I119915" s="12"/>
      <c r="J119915" s="12"/>
      <c r="K119915" s="12"/>
      <c r="L119915" s="208"/>
      <c r="M119915" s="209"/>
      <c r="N119915" s="209"/>
      <c r="O119915" s="209"/>
    </row>
    <row r="119916" spans="1:15" s="210" customFormat="1" x14ac:dyDescent="0.3">
      <c r="A119916" s="12"/>
      <c r="B119916" s="15"/>
      <c r="C119916" s="15"/>
      <c r="D119916" s="12"/>
      <c r="E119916" s="12"/>
      <c r="F119916" s="13"/>
      <c r="G119916" s="12"/>
      <c r="H119916" s="12"/>
      <c r="I119916" s="12"/>
      <c r="J119916" s="12"/>
      <c r="K119916" s="12"/>
      <c r="L119916" s="208"/>
      <c r="M119916" s="209"/>
      <c r="N119916" s="209"/>
      <c r="O119916" s="209"/>
    </row>
    <row r="119917" spans="1:15" s="210" customFormat="1" x14ac:dyDescent="0.3">
      <c r="A119917" s="12"/>
      <c r="B119917" s="15"/>
      <c r="C119917" s="15"/>
      <c r="D119917" s="12"/>
      <c r="E119917" s="12"/>
      <c r="F119917" s="13"/>
      <c r="G119917" s="12"/>
      <c r="H119917" s="12"/>
      <c r="I119917" s="12"/>
      <c r="J119917" s="12"/>
      <c r="K119917" s="12"/>
      <c r="L119917" s="208"/>
      <c r="M119917" s="209"/>
      <c r="N119917" s="209"/>
      <c r="O119917" s="209"/>
    </row>
    <row r="119918" spans="1:15" s="210" customFormat="1" x14ac:dyDescent="0.3">
      <c r="A119918" s="12"/>
      <c r="B119918" s="15"/>
      <c r="C119918" s="15"/>
      <c r="D119918" s="12"/>
      <c r="E119918" s="12"/>
      <c r="F119918" s="13"/>
      <c r="G119918" s="12"/>
      <c r="H119918" s="12"/>
      <c r="I119918" s="12"/>
      <c r="J119918" s="12"/>
      <c r="K119918" s="12"/>
      <c r="L119918" s="208"/>
      <c r="M119918" s="209"/>
      <c r="N119918" s="209"/>
      <c r="O119918" s="209"/>
    </row>
    <row r="119919" spans="1:15" s="210" customFormat="1" x14ac:dyDescent="0.3">
      <c r="A119919" s="12"/>
      <c r="B119919" s="15"/>
      <c r="C119919" s="15"/>
      <c r="D119919" s="12"/>
      <c r="E119919" s="12"/>
      <c r="F119919" s="13"/>
      <c r="G119919" s="12"/>
      <c r="H119919" s="12"/>
      <c r="I119919" s="12"/>
      <c r="J119919" s="12"/>
      <c r="K119919" s="12"/>
      <c r="L119919" s="208"/>
      <c r="M119919" s="209"/>
      <c r="N119919" s="209"/>
      <c r="O119919" s="209"/>
    </row>
    <row r="119920" spans="1:15" s="210" customFormat="1" x14ac:dyDescent="0.3">
      <c r="A119920" s="12"/>
      <c r="B119920" s="15"/>
      <c r="C119920" s="15"/>
      <c r="D119920" s="12"/>
      <c r="E119920" s="12"/>
      <c r="F119920" s="13"/>
      <c r="G119920" s="12"/>
      <c r="H119920" s="12"/>
      <c r="I119920" s="12"/>
      <c r="J119920" s="12"/>
      <c r="K119920" s="12"/>
      <c r="L119920" s="208"/>
      <c r="M119920" s="209"/>
      <c r="N119920" s="209"/>
      <c r="O119920" s="209"/>
    </row>
    <row r="119921" spans="1:15" s="210" customFormat="1" x14ac:dyDescent="0.3">
      <c r="A119921" s="12"/>
      <c r="B119921" s="15"/>
      <c r="C119921" s="15"/>
      <c r="D119921" s="12"/>
      <c r="E119921" s="12"/>
      <c r="F119921" s="13"/>
      <c r="G119921" s="12"/>
      <c r="H119921" s="12"/>
      <c r="I119921" s="12"/>
      <c r="J119921" s="12"/>
      <c r="K119921" s="12"/>
      <c r="L119921" s="208"/>
      <c r="M119921" s="209"/>
      <c r="N119921" s="209"/>
      <c r="O119921" s="209"/>
    </row>
    <row r="119922" spans="1:15" s="210" customFormat="1" x14ac:dyDescent="0.3">
      <c r="A119922" s="12"/>
      <c r="B119922" s="15"/>
      <c r="C119922" s="15"/>
      <c r="D119922" s="12"/>
      <c r="E119922" s="12"/>
      <c r="F119922" s="13"/>
      <c r="G119922" s="12"/>
      <c r="H119922" s="12"/>
      <c r="I119922" s="12"/>
      <c r="J119922" s="12"/>
      <c r="K119922" s="12"/>
      <c r="L119922" s="208"/>
      <c r="M119922" s="209"/>
      <c r="N119922" s="209"/>
      <c r="O119922" s="209"/>
    </row>
    <row r="119923" spans="1:15" s="210" customFormat="1" x14ac:dyDescent="0.3">
      <c r="A119923" s="12"/>
      <c r="B119923" s="15"/>
      <c r="C119923" s="15"/>
      <c r="D119923" s="12"/>
      <c r="E119923" s="12"/>
      <c r="F119923" s="13"/>
      <c r="G119923" s="12"/>
      <c r="H119923" s="12"/>
      <c r="I119923" s="12"/>
      <c r="J119923" s="12"/>
      <c r="K119923" s="12"/>
      <c r="L119923" s="208"/>
      <c r="M119923" s="209"/>
      <c r="N119923" s="209"/>
      <c r="O119923" s="209"/>
    </row>
    <row r="119924" spans="1:15" s="210" customFormat="1" x14ac:dyDescent="0.3">
      <c r="A119924" s="12"/>
      <c r="B119924" s="15"/>
      <c r="C119924" s="15"/>
      <c r="D119924" s="12"/>
      <c r="E119924" s="12"/>
      <c r="F119924" s="13"/>
      <c r="G119924" s="12"/>
      <c r="H119924" s="12"/>
      <c r="I119924" s="12"/>
      <c r="J119924" s="12"/>
      <c r="K119924" s="12"/>
      <c r="L119924" s="208"/>
      <c r="M119924" s="209"/>
      <c r="N119924" s="209"/>
      <c r="O119924" s="209"/>
    </row>
    <row r="119925" spans="1:15" s="210" customFormat="1" x14ac:dyDescent="0.3">
      <c r="A119925" s="12"/>
      <c r="B119925" s="15"/>
      <c r="C119925" s="15"/>
      <c r="D119925" s="12"/>
      <c r="E119925" s="12"/>
      <c r="F119925" s="13"/>
      <c r="G119925" s="12"/>
      <c r="H119925" s="12"/>
      <c r="I119925" s="12"/>
      <c r="J119925" s="12"/>
      <c r="K119925" s="12"/>
      <c r="L119925" s="208"/>
      <c r="M119925" s="209"/>
      <c r="N119925" s="209"/>
      <c r="O119925" s="209"/>
    </row>
    <row r="119926" spans="1:15" s="210" customFormat="1" x14ac:dyDescent="0.3">
      <c r="A119926" s="12"/>
      <c r="B119926" s="15"/>
      <c r="C119926" s="15"/>
      <c r="D119926" s="12"/>
      <c r="E119926" s="12"/>
      <c r="F119926" s="13"/>
      <c r="G119926" s="12"/>
      <c r="H119926" s="12"/>
      <c r="I119926" s="12"/>
      <c r="J119926" s="12"/>
      <c r="K119926" s="12"/>
      <c r="L119926" s="208"/>
      <c r="M119926" s="209"/>
      <c r="N119926" s="209"/>
      <c r="O119926" s="209"/>
    </row>
    <row r="119927" spans="1:15" s="210" customFormat="1" x14ac:dyDescent="0.3">
      <c r="A119927" s="12"/>
      <c r="B119927" s="15"/>
      <c r="C119927" s="15"/>
      <c r="D119927" s="12"/>
      <c r="E119927" s="12"/>
      <c r="F119927" s="13"/>
      <c r="G119927" s="12"/>
      <c r="H119927" s="12"/>
      <c r="I119927" s="12"/>
      <c r="J119927" s="12"/>
      <c r="K119927" s="12"/>
      <c r="L119927" s="208"/>
      <c r="M119927" s="209"/>
      <c r="N119927" s="209"/>
      <c r="O119927" s="209"/>
    </row>
    <row r="119928" spans="1:15" s="210" customFormat="1" x14ac:dyDescent="0.3">
      <c r="A119928" s="12"/>
      <c r="B119928" s="15"/>
      <c r="C119928" s="15"/>
      <c r="D119928" s="12"/>
      <c r="E119928" s="12"/>
      <c r="F119928" s="13"/>
      <c r="G119928" s="12"/>
      <c r="H119928" s="12"/>
      <c r="I119928" s="12"/>
      <c r="J119928" s="12"/>
      <c r="K119928" s="12"/>
      <c r="L119928" s="208"/>
      <c r="M119928" s="209"/>
      <c r="N119928" s="209"/>
      <c r="O119928" s="209"/>
    </row>
    <row r="119929" spans="1:15" s="210" customFormat="1" x14ac:dyDescent="0.3">
      <c r="A119929" s="12"/>
      <c r="B119929" s="15"/>
      <c r="C119929" s="15"/>
      <c r="D119929" s="12"/>
      <c r="E119929" s="12"/>
      <c r="F119929" s="13"/>
      <c r="G119929" s="12"/>
      <c r="H119929" s="12"/>
      <c r="I119929" s="12"/>
      <c r="J119929" s="12"/>
      <c r="K119929" s="12"/>
      <c r="L119929" s="208"/>
      <c r="M119929" s="209"/>
      <c r="N119929" s="209"/>
      <c r="O119929" s="209"/>
    </row>
    <row r="119930" spans="1:15" s="210" customFormat="1" x14ac:dyDescent="0.3">
      <c r="A119930" s="12"/>
      <c r="B119930" s="15"/>
      <c r="C119930" s="15"/>
      <c r="D119930" s="12"/>
      <c r="E119930" s="12"/>
      <c r="F119930" s="13"/>
      <c r="G119930" s="12"/>
      <c r="H119930" s="12"/>
      <c r="I119930" s="12"/>
      <c r="J119930" s="12"/>
      <c r="K119930" s="12"/>
      <c r="L119930" s="208"/>
      <c r="M119930" s="209"/>
      <c r="N119930" s="209"/>
      <c r="O119930" s="209"/>
    </row>
    <row r="119931" spans="1:15" s="210" customFormat="1" x14ac:dyDescent="0.3">
      <c r="A119931" s="12"/>
      <c r="B119931" s="15"/>
      <c r="C119931" s="15"/>
      <c r="D119931" s="12"/>
      <c r="E119931" s="12"/>
      <c r="F119931" s="13"/>
      <c r="G119931" s="12"/>
      <c r="H119931" s="12"/>
      <c r="I119931" s="12"/>
      <c r="J119931" s="12"/>
      <c r="K119931" s="12"/>
      <c r="L119931" s="208"/>
      <c r="M119931" s="209"/>
      <c r="N119931" s="209"/>
      <c r="O119931" s="209"/>
    </row>
    <row r="119932" spans="1:15" s="210" customFormat="1" x14ac:dyDescent="0.3">
      <c r="A119932" s="12"/>
      <c r="B119932" s="15"/>
      <c r="C119932" s="15"/>
      <c r="D119932" s="12"/>
      <c r="E119932" s="12"/>
      <c r="F119932" s="13"/>
      <c r="G119932" s="12"/>
      <c r="H119932" s="12"/>
      <c r="I119932" s="12"/>
      <c r="J119932" s="12"/>
      <c r="K119932" s="12"/>
      <c r="L119932" s="208"/>
      <c r="M119932" s="209"/>
      <c r="N119932" s="209"/>
      <c r="O119932" s="209"/>
    </row>
    <row r="119933" spans="1:15" s="210" customFormat="1" x14ac:dyDescent="0.3">
      <c r="A119933" s="12"/>
      <c r="B119933" s="15"/>
      <c r="C119933" s="15"/>
      <c r="D119933" s="12"/>
      <c r="E119933" s="12"/>
      <c r="F119933" s="13"/>
      <c r="G119933" s="12"/>
      <c r="H119933" s="12"/>
      <c r="I119933" s="12"/>
      <c r="J119933" s="12"/>
      <c r="K119933" s="12"/>
      <c r="L119933" s="208"/>
      <c r="M119933" s="209"/>
      <c r="N119933" s="209"/>
      <c r="O119933" s="209"/>
    </row>
    <row r="119934" spans="1:15" s="210" customFormat="1" x14ac:dyDescent="0.3">
      <c r="A119934" s="12"/>
      <c r="B119934" s="15"/>
      <c r="C119934" s="15"/>
      <c r="D119934" s="12"/>
      <c r="E119934" s="12"/>
      <c r="F119934" s="13"/>
      <c r="G119934" s="12"/>
      <c r="H119934" s="12"/>
      <c r="I119934" s="12"/>
      <c r="J119934" s="12"/>
      <c r="K119934" s="12"/>
      <c r="L119934" s="208"/>
      <c r="M119934" s="209"/>
      <c r="N119934" s="209"/>
      <c r="O119934" s="209"/>
    </row>
    <row r="119935" spans="1:15" s="210" customFormat="1" x14ac:dyDescent="0.3">
      <c r="A119935" s="12"/>
      <c r="B119935" s="15"/>
      <c r="C119935" s="15"/>
      <c r="D119935" s="12"/>
      <c r="E119935" s="12"/>
      <c r="F119935" s="13"/>
      <c r="G119935" s="12"/>
      <c r="H119935" s="12"/>
      <c r="I119935" s="12"/>
      <c r="J119935" s="12"/>
      <c r="K119935" s="12"/>
      <c r="L119935" s="208"/>
      <c r="M119935" s="209"/>
      <c r="N119935" s="209"/>
      <c r="O119935" s="209"/>
    </row>
    <row r="119936" spans="1:15" s="210" customFormat="1" x14ac:dyDescent="0.3">
      <c r="A119936" s="12"/>
      <c r="B119936" s="15"/>
      <c r="C119936" s="15"/>
      <c r="D119936" s="12"/>
      <c r="E119936" s="12"/>
      <c r="F119936" s="13"/>
      <c r="G119936" s="12"/>
      <c r="H119936" s="12"/>
      <c r="I119936" s="12"/>
      <c r="J119936" s="12"/>
      <c r="K119936" s="12"/>
      <c r="L119936" s="208"/>
      <c r="M119936" s="209"/>
      <c r="N119936" s="209"/>
      <c r="O119936" s="209"/>
    </row>
    <row r="119937" spans="1:15" s="210" customFormat="1" x14ac:dyDescent="0.3">
      <c r="A119937" s="12"/>
      <c r="B119937" s="15"/>
      <c r="C119937" s="15"/>
      <c r="D119937" s="12"/>
      <c r="E119937" s="12"/>
      <c r="F119937" s="13"/>
      <c r="G119937" s="12"/>
      <c r="H119937" s="12"/>
      <c r="I119937" s="12"/>
      <c r="J119937" s="12"/>
      <c r="K119937" s="12"/>
      <c r="L119937" s="208"/>
      <c r="M119937" s="209"/>
      <c r="N119937" s="209"/>
      <c r="O119937" s="209"/>
    </row>
    <row r="119938" spans="1:15" s="210" customFormat="1" x14ac:dyDescent="0.3">
      <c r="A119938" s="12"/>
      <c r="B119938" s="15"/>
      <c r="C119938" s="15"/>
      <c r="D119938" s="12"/>
      <c r="E119938" s="12"/>
      <c r="F119938" s="13"/>
      <c r="G119938" s="12"/>
      <c r="H119938" s="12"/>
      <c r="I119938" s="12"/>
      <c r="J119938" s="12"/>
      <c r="K119938" s="12"/>
      <c r="L119938" s="208"/>
      <c r="M119938" s="209"/>
      <c r="N119938" s="209"/>
      <c r="O119938" s="209"/>
    </row>
    <row r="119939" spans="1:15" s="210" customFormat="1" x14ac:dyDescent="0.3">
      <c r="A119939" s="12"/>
      <c r="B119939" s="15"/>
      <c r="C119939" s="15"/>
      <c r="D119939" s="12"/>
      <c r="E119939" s="12"/>
      <c r="F119939" s="13"/>
      <c r="G119939" s="12"/>
      <c r="H119939" s="12"/>
      <c r="I119939" s="12"/>
      <c r="J119939" s="12"/>
      <c r="K119939" s="12"/>
      <c r="L119939" s="208"/>
      <c r="M119939" s="209"/>
      <c r="N119939" s="209"/>
      <c r="O119939" s="209"/>
    </row>
    <row r="119940" spans="1:15" s="210" customFormat="1" x14ac:dyDescent="0.3">
      <c r="A119940" s="12"/>
      <c r="B119940" s="15"/>
      <c r="C119940" s="15"/>
      <c r="D119940" s="12"/>
      <c r="E119940" s="12"/>
      <c r="F119940" s="13"/>
      <c r="G119940" s="12"/>
      <c r="H119940" s="12"/>
      <c r="I119940" s="12"/>
      <c r="J119940" s="12"/>
      <c r="K119940" s="12"/>
      <c r="L119940" s="208"/>
      <c r="M119940" s="209"/>
      <c r="N119940" s="209"/>
      <c r="O119940" s="209"/>
    </row>
    <row r="119941" spans="1:15" s="210" customFormat="1" x14ac:dyDescent="0.3">
      <c r="A119941" s="12"/>
      <c r="B119941" s="15"/>
      <c r="C119941" s="15"/>
      <c r="D119941" s="12"/>
      <c r="E119941" s="12"/>
      <c r="F119941" s="13"/>
      <c r="G119941" s="12"/>
      <c r="H119941" s="12"/>
      <c r="I119941" s="12"/>
      <c r="J119941" s="12"/>
      <c r="K119941" s="12"/>
      <c r="L119941" s="208"/>
      <c r="M119941" s="209"/>
      <c r="N119941" s="209"/>
      <c r="O119941" s="209"/>
    </row>
    <row r="119942" spans="1:15" s="210" customFormat="1" x14ac:dyDescent="0.3">
      <c r="A119942" s="12"/>
      <c r="B119942" s="15"/>
      <c r="C119942" s="15"/>
      <c r="D119942" s="12"/>
      <c r="E119942" s="12"/>
      <c r="F119942" s="13"/>
      <c r="G119942" s="12"/>
      <c r="H119942" s="12"/>
      <c r="I119942" s="12"/>
      <c r="J119942" s="12"/>
      <c r="K119942" s="12"/>
      <c r="L119942" s="208"/>
      <c r="M119942" s="209"/>
      <c r="N119942" s="209"/>
      <c r="O119942" s="209"/>
    </row>
    <row r="119943" spans="1:15" s="210" customFormat="1" x14ac:dyDescent="0.3">
      <c r="A119943" s="12"/>
      <c r="B119943" s="15"/>
      <c r="C119943" s="15"/>
      <c r="D119943" s="12"/>
      <c r="E119943" s="12"/>
      <c r="F119943" s="13"/>
      <c r="G119943" s="12"/>
      <c r="H119943" s="12"/>
      <c r="I119943" s="12"/>
      <c r="J119943" s="12"/>
      <c r="K119943" s="12"/>
      <c r="L119943" s="208"/>
      <c r="M119943" s="209"/>
      <c r="N119943" s="209"/>
      <c r="O119943" s="209"/>
    </row>
    <row r="119944" spans="1:15" s="210" customFormat="1" x14ac:dyDescent="0.3">
      <c r="A119944" s="12"/>
      <c r="B119944" s="15"/>
      <c r="C119944" s="15"/>
      <c r="D119944" s="12"/>
      <c r="E119944" s="12"/>
      <c r="F119944" s="13"/>
      <c r="G119944" s="12"/>
      <c r="H119944" s="12"/>
      <c r="I119944" s="12"/>
      <c r="J119944" s="12"/>
      <c r="K119944" s="12"/>
      <c r="L119944" s="208"/>
      <c r="M119944" s="209"/>
      <c r="N119944" s="209"/>
      <c r="O119944" s="209"/>
    </row>
    <row r="119945" spans="1:15" s="210" customFormat="1" x14ac:dyDescent="0.3">
      <c r="A119945" s="12"/>
      <c r="B119945" s="15"/>
      <c r="C119945" s="15"/>
      <c r="D119945" s="12"/>
      <c r="E119945" s="12"/>
      <c r="F119945" s="13"/>
      <c r="G119945" s="12"/>
      <c r="H119945" s="12"/>
      <c r="I119945" s="12"/>
      <c r="J119945" s="12"/>
      <c r="K119945" s="12"/>
      <c r="L119945" s="208"/>
      <c r="M119945" s="209"/>
      <c r="N119945" s="209"/>
      <c r="O119945" s="209"/>
    </row>
    <row r="119946" spans="1:15" s="210" customFormat="1" x14ac:dyDescent="0.3">
      <c r="A119946" s="12"/>
      <c r="B119946" s="15"/>
      <c r="C119946" s="15"/>
      <c r="D119946" s="12"/>
      <c r="E119946" s="12"/>
      <c r="F119946" s="13"/>
      <c r="G119946" s="12"/>
      <c r="H119946" s="12"/>
      <c r="I119946" s="12"/>
      <c r="J119946" s="12"/>
      <c r="K119946" s="12"/>
      <c r="L119946" s="208"/>
      <c r="M119946" s="209"/>
      <c r="N119946" s="209"/>
      <c r="O119946" s="209"/>
    </row>
    <row r="119947" spans="1:15" s="210" customFormat="1" x14ac:dyDescent="0.3">
      <c r="A119947" s="12"/>
      <c r="B119947" s="15"/>
      <c r="C119947" s="15"/>
      <c r="D119947" s="12"/>
      <c r="E119947" s="12"/>
      <c r="F119947" s="13"/>
      <c r="G119947" s="12"/>
      <c r="H119947" s="12"/>
      <c r="I119947" s="12"/>
      <c r="J119947" s="12"/>
      <c r="K119947" s="12"/>
      <c r="L119947" s="208"/>
      <c r="M119947" s="209"/>
      <c r="N119947" s="209"/>
      <c r="O119947" s="209"/>
    </row>
    <row r="119948" spans="1:15" s="210" customFormat="1" x14ac:dyDescent="0.3">
      <c r="A119948" s="12"/>
      <c r="B119948" s="15"/>
      <c r="C119948" s="15"/>
      <c r="D119948" s="12"/>
      <c r="E119948" s="12"/>
      <c r="F119948" s="13"/>
      <c r="G119948" s="12"/>
      <c r="H119948" s="12"/>
      <c r="I119948" s="12"/>
      <c r="J119948" s="12"/>
      <c r="K119948" s="12"/>
      <c r="L119948" s="208"/>
      <c r="M119948" s="209"/>
      <c r="N119948" s="209"/>
      <c r="O119948" s="209"/>
    </row>
    <row r="119949" spans="1:15" s="210" customFormat="1" x14ac:dyDescent="0.3">
      <c r="A119949" s="12"/>
      <c r="B119949" s="15"/>
      <c r="C119949" s="15"/>
      <c r="D119949" s="12"/>
      <c r="E119949" s="12"/>
      <c r="F119949" s="13"/>
      <c r="G119949" s="12"/>
      <c r="H119949" s="12"/>
      <c r="I119949" s="12"/>
      <c r="J119949" s="12"/>
      <c r="K119949" s="12"/>
      <c r="L119949" s="208"/>
      <c r="M119949" s="209"/>
      <c r="N119949" s="209"/>
      <c r="O119949" s="209"/>
    </row>
    <row r="119950" spans="1:15" s="210" customFormat="1" x14ac:dyDescent="0.3">
      <c r="A119950" s="12"/>
      <c r="B119950" s="15"/>
      <c r="C119950" s="15"/>
      <c r="D119950" s="12"/>
      <c r="E119950" s="12"/>
      <c r="F119950" s="13"/>
      <c r="G119950" s="12"/>
      <c r="H119950" s="12"/>
      <c r="I119950" s="12"/>
      <c r="J119950" s="12"/>
      <c r="K119950" s="12"/>
      <c r="L119950" s="208"/>
      <c r="M119950" s="209"/>
      <c r="N119950" s="209"/>
      <c r="O119950" s="209"/>
    </row>
    <row r="119951" spans="1:15" s="210" customFormat="1" x14ac:dyDescent="0.3">
      <c r="A119951" s="12"/>
      <c r="B119951" s="15"/>
      <c r="C119951" s="15"/>
      <c r="D119951" s="12"/>
      <c r="E119951" s="12"/>
      <c r="F119951" s="13"/>
      <c r="G119951" s="12"/>
      <c r="H119951" s="12"/>
      <c r="I119951" s="12"/>
      <c r="J119951" s="12"/>
      <c r="K119951" s="12"/>
      <c r="L119951" s="208"/>
      <c r="M119951" s="209"/>
      <c r="N119951" s="209"/>
      <c r="O119951" s="209"/>
    </row>
    <row r="119952" spans="1:15" s="210" customFormat="1" x14ac:dyDescent="0.3">
      <c r="A119952" s="12"/>
      <c r="B119952" s="15"/>
      <c r="C119952" s="15"/>
      <c r="D119952" s="12"/>
      <c r="E119952" s="12"/>
      <c r="F119952" s="13"/>
      <c r="G119952" s="12"/>
      <c r="H119952" s="12"/>
      <c r="I119952" s="12"/>
      <c r="J119952" s="12"/>
      <c r="K119952" s="12"/>
      <c r="L119952" s="208"/>
      <c r="M119952" s="209"/>
      <c r="N119952" s="209"/>
      <c r="O119952" s="209"/>
    </row>
    <row r="119953" spans="1:15" s="210" customFormat="1" x14ac:dyDescent="0.3">
      <c r="A119953" s="12"/>
      <c r="B119953" s="15"/>
      <c r="C119953" s="15"/>
      <c r="D119953" s="12"/>
      <c r="E119953" s="12"/>
      <c r="F119953" s="13"/>
      <c r="G119953" s="12"/>
      <c r="H119953" s="12"/>
      <c r="I119953" s="12"/>
      <c r="J119953" s="12"/>
      <c r="K119953" s="12"/>
      <c r="L119953" s="208"/>
      <c r="M119953" s="209"/>
      <c r="N119953" s="209"/>
      <c r="O119953" s="209"/>
    </row>
    <row r="119954" spans="1:15" s="210" customFormat="1" x14ac:dyDescent="0.3">
      <c r="A119954" s="12"/>
      <c r="B119954" s="15"/>
      <c r="C119954" s="15"/>
      <c r="D119954" s="12"/>
      <c r="E119954" s="12"/>
      <c r="F119954" s="13"/>
      <c r="G119954" s="12"/>
      <c r="H119954" s="12"/>
      <c r="I119954" s="12"/>
      <c r="J119954" s="12"/>
      <c r="K119954" s="12"/>
      <c r="L119954" s="208"/>
      <c r="M119954" s="209"/>
      <c r="N119954" s="209"/>
      <c r="O119954" s="209"/>
    </row>
    <row r="119955" spans="1:15" s="210" customFormat="1" x14ac:dyDescent="0.3">
      <c r="A119955" s="12"/>
      <c r="B119955" s="15"/>
      <c r="C119955" s="15"/>
      <c r="D119955" s="12"/>
      <c r="E119955" s="12"/>
      <c r="F119955" s="13"/>
      <c r="G119955" s="12"/>
      <c r="H119955" s="12"/>
      <c r="I119955" s="12"/>
      <c r="J119955" s="12"/>
      <c r="K119955" s="12"/>
      <c r="L119955" s="208"/>
      <c r="M119955" s="209"/>
      <c r="N119955" s="209"/>
      <c r="O119955" s="209"/>
    </row>
    <row r="119956" spans="1:15" s="210" customFormat="1" x14ac:dyDescent="0.3">
      <c r="A119956" s="12"/>
      <c r="B119956" s="15"/>
      <c r="C119956" s="15"/>
      <c r="D119956" s="12"/>
      <c r="E119956" s="12"/>
      <c r="F119956" s="13"/>
      <c r="G119956" s="12"/>
      <c r="H119956" s="12"/>
      <c r="I119956" s="12"/>
      <c r="J119956" s="12"/>
      <c r="K119956" s="12"/>
      <c r="L119956" s="208"/>
      <c r="M119956" s="209"/>
      <c r="N119956" s="209"/>
      <c r="O119956" s="209"/>
    </row>
    <row r="119957" spans="1:15" s="210" customFormat="1" x14ac:dyDescent="0.3">
      <c r="A119957" s="12"/>
      <c r="B119957" s="15"/>
      <c r="C119957" s="15"/>
      <c r="D119957" s="12"/>
      <c r="E119957" s="12"/>
      <c r="F119957" s="13"/>
      <c r="G119957" s="12"/>
      <c r="H119957" s="12"/>
      <c r="I119957" s="12"/>
      <c r="J119957" s="12"/>
      <c r="K119957" s="12"/>
      <c r="L119957" s="208"/>
      <c r="M119957" s="209"/>
      <c r="N119957" s="209"/>
      <c r="O119957" s="209"/>
    </row>
    <row r="119958" spans="1:15" s="210" customFormat="1" x14ac:dyDescent="0.3">
      <c r="A119958" s="12"/>
      <c r="B119958" s="15"/>
      <c r="C119958" s="15"/>
      <c r="D119958" s="12"/>
      <c r="E119958" s="12"/>
      <c r="F119958" s="13"/>
      <c r="G119958" s="12"/>
      <c r="H119958" s="12"/>
      <c r="I119958" s="12"/>
      <c r="J119958" s="12"/>
      <c r="K119958" s="12"/>
      <c r="L119958" s="208"/>
      <c r="M119958" s="209"/>
      <c r="N119958" s="209"/>
      <c r="O119958" s="209"/>
    </row>
    <row r="119959" spans="1:15" s="210" customFormat="1" x14ac:dyDescent="0.3">
      <c r="A119959" s="12"/>
      <c r="B119959" s="15"/>
      <c r="C119959" s="15"/>
      <c r="D119959" s="12"/>
      <c r="E119959" s="12"/>
      <c r="F119959" s="13"/>
      <c r="G119959" s="12"/>
      <c r="H119959" s="12"/>
      <c r="I119959" s="12"/>
      <c r="J119959" s="12"/>
      <c r="K119959" s="12"/>
      <c r="L119959" s="208"/>
      <c r="M119959" s="209"/>
      <c r="N119959" s="209"/>
      <c r="O119959" s="209"/>
    </row>
    <row r="119960" spans="1:15" s="210" customFormat="1" x14ac:dyDescent="0.3">
      <c r="A119960" s="12"/>
      <c r="B119960" s="15"/>
      <c r="C119960" s="15"/>
      <c r="D119960" s="12"/>
      <c r="E119960" s="12"/>
      <c r="F119960" s="13"/>
      <c r="G119960" s="12"/>
      <c r="H119960" s="12"/>
      <c r="I119960" s="12"/>
      <c r="J119960" s="12"/>
      <c r="K119960" s="12"/>
      <c r="L119960" s="208"/>
      <c r="M119960" s="209"/>
      <c r="N119960" s="209"/>
      <c r="O119960" s="209"/>
    </row>
    <row r="119961" spans="1:15" s="210" customFormat="1" x14ac:dyDescent="0.3">
      <c r="A119961" s="12"/>
      <c r="B119961" s="15"/>
      <c r="C119961" s="15"/>
      <c r="D119961" s="12"/>
      <c r="E119961" s="12"/>
      <c r="F119961" s="13"/>
      <c r="G119961" s="12"/>
      <c r="H119961" s="12"/>
      <c r="I119961" s="12"/>
      <c r="J119961" s="12"/>
      <c r="K119961" s="12"/>
      <c r="L119961" s="208"/>
      <c r="M119961" s="209"/>
      <c r="N119961" s="209"/>
      <c r="O119961" s="209"/>
    </row>
    <row r="119962" spans="1:15" s="210" customFormat="1" x14ac:dyDescent="0.3">
      <c r="A119962" s="12"/>
      <c r="B119962" s="15"/>
      <c r="C119962" s="15"/>
      <c r="D119962" s="12"/>
      <c r="E119962" s="12"/>
      <c r="F119962" s="13"/>
      <c r="G119962" s="12"/>
      <c r="H119962" s="12"/>
      <c r="I119962" s="12"/>
      <c r="J119962" s="12"/>
      <c r="K119962" s="12"/>
      <c r="L119962" s="208"/>
      <c r="M119962" s="209"/>
      <c r="N119962" s="209"/>
      <c r="O119962" s="209"/>
    </row>
    <row r="119963" spans="1:15" s="210" customFormat="1" x14ac:dyDescent="0.3">
      <c r="A119963" s="12"/>
      <c r="B119963" s="15"/>
      <c r="C119963" s="15"/>
      <c r="D119963" s="12"/>
      <c r="E119963" s="12"/>
      <c r="F119963" s="13"/>
      <c r="G119963" s="12"/>
      <c r="H119963" s="12"/>
      <c r="I119963" s="12"/>
      <c r="J119963" s="12"/>
      <c r="K119963" s="12"/>
      <c r="L119963" s="208"/>
      <c r="M119963" s="209"/>
      <c r="N119963" s="209"/>
      <c r="O119963" s="209"/>
    </row>
    <row r="119964" spans="1:15" s="210" customFormat="1" x14ac:dyDescent="0.3">
      <c r="A119964" s="12"/>
      <c r="B119964" s="15"/>
      <c r="C119964" s="15"/>
      <c r="D119964" s="12"/>
      <c r="E119964" s="12"/>
      <c r="F119964" s="13"/>
      <c r="G119964" s="12"/>
      <c r="H119964" s="12"/>
      <c r="I119964" s="12"/>
      <c r="J119964" s="12"/>
      <c r="K119964" s="12"/>
      <c r="L119964" s="208"/>
      <c r="M119964" s="209"/>
      <c r="N119964" s="209"/>
      <c r="O119964" s="209"/>
    </row>
    <row r="119965" spans="1:15" s="210" customFormat="1" x14ac:dyDescent="0.3">
      <c r="A119965" s="12"/>
      <c r="B119965" s="15"/>
      <c r="C119965" s="15"/>
      <c r="D119965" s="12"/>
      <c r="E119965" s="12"/>
      <c r="F119965" s="13"/>
      <c r="G119965" s="12"/>
      <c r="H119965" s="12"/>
      <c r="I119965" s="12"/>
      <c r="J119965" s="12"/>
      <c r="K119965" s="12"/>
      <c r="L119965" s="208"/>
      <c r="M119965" s="209"/>
      <c r="N119965" s="209"/>
      <c r="O119965" s="209"/>
    </row>
    <row r="119966" spans="1:15" s="210" customFormat="1" x14ac:dyDescent="0.3">
      <c r="A119966" s="12"/>
      <c r="B119966" s="15"/>
      <c r="C119966" s="15"/>
      <c r="D119966" s="12"/>
      <c r="E119966" s="12"/>
      <c r="F119966" s="13"/>
      <c r="G119966" s="12"/>
      <c r="H119966" s="12"/>
      <c r="I119966" s="12"/>
      <c r="J119966" s="12"/>
      <c r="K119966" s="12"/>
      <c r="L119966" s="208"/>
      <c r="M119966" s="209"/>
      <c r="N119966" s="209"/>
      <c r="O119966" s="209"/>
    </row>
    <row r="119967" spans="1:15" s="210" customFormat="1" x14ac:dyDescent="0.3">
      <c r="A119967" s="12"/>
      <c r="B119967" s="15"/>
      <c r="C119967" s="15"/>
      <c r="D119967" s="12"/>
      <c r="E119967" s="12"/>
      <c r="F119967" s="13"/>
      <c r="G119967" s="12"/>
      <c r="H119967" s="12"/>
      <c r="I119967" s="12"/>
      <c r="J119967" s="12"/>
      <c r="K119967" s="12"/>
      <c r="L119967" s="208"/>
      <c r="M119967" s="209"/>
      <c r="N119967" s="209"/>
      <c r="O119967" s="209"/>
    </row>
    <row r="119968" spans="1:15" s="210" customFormat="1" x14ac:dyDescent="0.3">
      <c r="A119968" s="12"/>
      <c r="B119968" s="15"/>
      <c r="C119968" s="15"/>
      <c r="D119968" s="12"/>
      <c r="E119968" s="12"/>
      <c r="F119968" s="13"/>
      <c r="G119968" s="12"/>
      <c r="H119968" s="12"/>
      <c r="I119968" s="12"/>
      <c r="J119968" s="12"/>
      <c r="K119968" s="12"/>
      <c r="L119968" s="208"/>
      <c r="M119968" s="209"/>
      <c r="N119968" s="209"/>
      <c r="O119968" s="209"/>
    </row>
    <row r="119969" spans="1:15" s="210" customFormat="1" x14ac:dyDescent="0.3">
      <c r="A119969" s="12"/>
      <c r="B119969" s="15"/>
      <c r="C119969" s="15"/>
      <c r="D119969" s="12"/>
      <c r="E119969" s="12"/>
      <c r="F119969" s="13"/>
      <c r="G119969" s="12"/>
      <c r="H119969" s="12"/>
      <c r="I119969" s="12"/>
      <c r="J119969" s="12"/>
      <c r="K119969" s="12"/>
      <c r="L119969" s="208"/>
      <c r="M119969" s="209"/>
      <c r="N119969" s="209"/>
      <c r="O119969" s="209"/>
    </row>
    <row r="119970" spans="1:15" s="210" customFormat="1" x14ac:dyDescent="0.3">
      <c r="A119970" s="12"/>
      <c r="B119970" s="15"/>
      <c r="C119970" s="15"/>
      <c r="D119970" s="12"/>
      <c r="E119970" s="12"/>
      <c r="F119970" s="13"/>
      <c r="G119970" s="12"/>
      <c r="H119970" s="12"/>
      <c r="I119970" s="12"/>
      <c r="J119970" s="12"/>
      <c r="K119970" s="12"/>
      <c r="L119970" s="208"/>
      <c r="M119970" s="209"/>
      <c r="N119970" s="209"/>
      <c r="O119970" s="209"/>
    </row>
    <row r="119971" spans="1:15" s="210" customFormat="1" x14ac:dyDescent="0.3">
      <c r="A119971" s="12"/>
      <c r="B119971" s="15"/>
      <c r="C119971" s="15"/>
      <c r="D119971" s="12"/>
      <c r="E119971" s="12"/>
      <c r="F119971" s="13"/>
      <c r="G119971" s="12"/>
      <c r="H119971" s="12"/>
      <c r="I119971" s="12"/>
      <c r="J119971" s="12"/>
      <c r="K119971" s="12"/>
      <c r="L119971" s="208"/>
      <c r="M119971" s="209"/>
      <c r="N119971" s="209"/>
      <c r="O119971" s="209"/>
    </row>
    <row r="119972" spans="1:15" s="210" customFormat="1" x14ac:dyDescent="0.3">
      <c r="A119972" s="12"/>
      <c r="B119972" s="15"/>
      <c r="C119972" s="15"/>
      <c r="D119972" s="12"/>
      <c r="E119972" s="12"/>
      <c r="F119972" s="13"/>
      <c r="G119972" s="12"/>
      <c r="H119972" s="12"/>
      <c r="I119972" s="12"/>
      <c r="J119972" s="12"/>
      <c r="K119972" s="12"/>
      <c r="L119972" s="208"/>
      <c r="M119972" s="209"/>
      <c r="N119972" s="209"/>
      <c r="O119972" s="209"/>
    </row>
    <row r="119973" spans="1:15" s="210" customFormat="1" x14ac:dyDescent="0.3">
      <c r="A119973" s="12"/>
      <c r="B119973" s="15"/>
      <c r="C119973" s="15"/>
      <c r="D119973" s="12"/>
      <c r="E119973" s="12"/>
      <c r="F119973" s="13"/>
      <c r="G119973" s="12"/>
      <c r="H119973" s="12"/>
      <c r="I119973" s="12"/>
      <c r="J119973" s="12"/>
      <c r="K119973" s="12"/>
      <c r="L119973" s="208"/>
      <c r="M119973" s="209"/>
      <c r="N119973" s="209"/>
      <c r="O119973" s="209"/>
    </row>
    <row r="119974" spans="1:15" s="210" customFormat="1" x14ac:dyDescent="0.3">
      <c r="A119974" s="12"/>
      <c r="B119974" s="15"/>
      <c r="C119974" s="15"/>
      <c r="D119974" s="12"/>
      <c r="E119974" s="12"/>
      <c r="F119974" s="13"/>
      <c r="G119974" s="12"/>
      <c r="H119974" s="12"/>
      <c r="I119974" s="12"/>
      <c r="J119974" s="12"/>
      <c r="K119974" s="12"/>
      <c r="L119974" s="208"/>
      <c r="M119974" s="209"/>
      <c r="N119974" s="209"/>
      <c r="O119974" s="209"/>
    </row>
    <row r="119975" spans="1:15" s="210" customFormat="1" x14ac:dyDescent="0.3">
      <c r="A119975" s="12"/>
      <c r="B119975" s="15"/>
      <c r="C119975" s="15"/>
      <c r="D119975" s="12"/>
      <c r="E119975" s="12"/>
      <c r="F119975" s="13"/>
      <c r="G119975" s="12"/>
      <c r="H119975" s="12"/>
      <c r="I119975" s="12"/>
      <c r="J119975" s="12"/>
      <c r="K119975" s="12"/>
      <c r="L119975" s="208"/>
      <c r="M119975" s="209"/>
      <c r="N119975" s="209"/>
      <c r="O119975" s="209"/>
    </row>
    <row r="119976" spans="1:15" s="210" customFormat="1" x14ac:dyDescent="0.3">
      <c r="A119976" s="12"/>
      <c r="B119976" s="15"/>
      <c r="C119976" s="15"/>
      <c r="D119976" s="12"/>
      <c r="E119976" s="12"/>
      <c r="F119976" s="13"/>
      <c r="G119976" s="12"/>
      <c r="H119976" s="12"/>
      <c r="I119976" s="12"/>
      <c r="J119976" s="12"/>
      <c r="K119976" s="12"/>
      <c r="L119976" s="208"/>
      <c r="M119976" s="209"/>
      <c r="N119976" s="209"/>
      <c r="O119976" s="209"/>
    </row>
    <row r="119977" spans="1:15" s="210" customFormat="1" x14ac:dyDescent="0.3">
      <c r="A119977" s="12"/>
      <c r="B119977" s="15"/>
      <c r="C119977" s="15"/>
      <c r="D119977" s="12"/>
      <c r="E119977" s="12"/>
      <c r="F119977" s="13"/>
      <c r="G119977" s="12"/>
      <c r="H119977" s="12"/>
      <c r="I119977" s="12"/>
      <c r="J119977" s="12"/>
      <c r="K119977" s="12"/>
      <c r="L119977" s="208"/>
      <c r="M119977" s="209"/>
      <c r="N119977" s="209"/>
      <c r="O119977" s="209"/>
    </row>
    <row r="119978" spans="1:15" s="210" customFormat="1" x14ac:dyDescent="0.3">
      <c r="A119978" s="12"/>
      <c r="B119978" s="15"/>
      <c r="C119978" s="15"/>
      <c r="D119978" s="12"/>
      <c r="E119978" s="12"/>
      <c r="F119978" s="13"/>
      <c r="G119978" s="12"/>
      <c r="H119978" s="12"/>
      <c r="I119978" s="12"/>
      <c r="J119978" s="12"/>
      <c r="K119978" s="12"/>
      <c r="L119978" s="208"/>
      <c r="M119978" s="209"/>
      <c r="N119978" s="209"/>
      <c r="O119978" s="209"/>
    </row>
    <row r="119979" spans="1:15" s="210" customFormat="1" x14ac:dyDescent="0.3">
      <c r="A119979" s="12"/>
      <c r="B119979" s="15"/>
      <c r="C119979" s="15"/>
      <c r="D119979" s="12"/>
      <c r="E119979" s="12"/>
      <c r="F119979" s="13"/>
      <c r="G119979" s="12"/>
      <c r="H119979" s="12"/>
      <c r="I119979" s="12"/>
      <c r="J119979" s="12"/>
      <c r="K119979" s="12"/>
      <c r="L119979" s="208"/>
      <c r="M119979" s="209"/>
      <c r="N119979" s="209"/>
      <c r="O119979" s="209"/>
    </row>
    <row r="119980" spans="1:15" s="210" customFormat="1" x14ac:dyDescent="0.3">
      <c r="A119980" s="12"/>
      <c r="B119980" s="15"/>
      <c r="C119980" s="15"/>
      <c r="D119980" s="12"/>
      <c r="E119980" s="12"/>
      <c r="F119980" s="13"/>
      <c r="G119980" s="12"/>
      <c r="H119980" s="12"/>
      <c r="I119980" s="12"/>
      <c r="J119980" s="12"/>
      <c r="K119980" s="12"/>
      <c r="L119980" s="208"/>
      <c r="M119980" s="209"/>
      <c r="N119980" s="209"/>
      <c r="O119980" s="209"/>
    </row>
    <row r="119981" spans="1:15" s="210" customFormat="1" x14ac:dyDescent="0.3">
      <c r="A119981" s="12"/>
      <c r="B119981" s="15"/>
      <c r="C119981" s="15"/>
      <c r="D119981" s="12"/>
      <c r="E119981" s="12"/>
      <c r="F119981" s="13"/>
      <c r="G119981" s="12"/>
      <c r="H119981" s="12"/>
      <c r="I119981" s="12"/>
      <c r="J119981" s="12"/>
      <c r="K119981" s="12"/>
      <c r="L119981" s="208"/>
      <c r="M119981" s="209"/>
      <c r="N119981" s="209"/>
      <c r="O119981" s="209"/>
    </row>
    <row r="119982" spans="1:15" s="210" customFormat="1" x14ac:dyDescent="0.3">
      <c r="A119982" s="12"/>
      <c r="B119982" s="15"/>
      <c r="C119982" s="15"/>
      <c r="D119982" s="12"/>
      <c r="E119982" s="12"/>
      <c r="F119982" s="13"/>
      <c r="G119982" s="12"/>
      <c r="H119982" s="12"/>
      <c r="I119982" s="12"/>
      <c r="J119982" s="12"/>
      <c r="K119982" s="12"/>
      <c r="L119982" s="208"/>
      <c r="M119982" s="209"/>
      <c r="N119982" s="209"/>
      <c r="O119982" s="209"/>
    </row>
    <row r="119983" spans="1:15" s="210" customFormat="1" x14ac:dyDescent="0.3">
      <c r="A119983" s="12"/>
      <c r="B119983" s="15"/>
      <c r="C119983" s="15"/>
      <c r="D119983" s="12"/>
      <c r="E119983" s="12"/>
      <c r="F119983" s="13"/>
      <c r="G119983" s="12"/>
      <c r="H119983" s="12"/>
      <c r="I119983" s="12"/>
      <c r="J119983" s="12"/>
      <c r="K119983" s="12"/>
      <c r="L119983" s="208"/>
      <c r="M119983" s="209"/>
      <c r="N119983" s="209"/>
      <c r="O119983" s="209"/>
    </row>
    <row r="119984" spans="1:15" s="210" customFormat="1" x14ac:dyDescent="0.3">
      <c r="A119984" s="12"/>
      <c r="B119984" s="15"/>
      <c r="C119984" s="15"/>
      <c r="D119984" s="12"/>
      <c r="E119984" s="12"/>
      <c r="F119984" s="13"/>
      <c r="G119984" s="12"/>
      <c r="H119984" s="12"/>
      <c r="I119984" s="12"/>
      <c r="J119984" s="12"/>
      <c r="K119984" s="12"/>
      <c r="L119984" s="208"/>
      <c r="M119984" s="209"/>
      <c r="N119984" s="209"/>
      <c r="O119984" s="209"/>
    </row>
    <row r="119985" spans="1:15" s="210" customFormat="1" x14ac:dyDescent="0.3">
      <c r="A119985" s="12"/>
      <c r="B119985" s="15"/>
      <c r="C119985" s="15"/>
      <c r="D119985" s="12"/>
      <c r="E119985" s="12"/>
      <c r="F119985" s="13"/>
      <c r="G119985" s="12"/>
      <c r="H119985" s="12"/>
      <c r="I119985" s="12"/>
      <c r="J119985" s="12"/>
      <c r="K119985" s="12"/>
      <c r="L119985" s="208"/>
      <c r="M119985" s="209"/>
      <c r="N119985" s="209"/>
      <c r="O119985" s="209"/>
    </row>
    <row r="119986" spans="1:15" s="210" customFormat="1" x14ac:dyDescent="0.3">
      <c r="A119986" s="12"/>
      <c r="B119986" s="15"/>
      <c r="C119986" s="15"/>
      <c r="D119986" s="12"/>
      <c r="E119986" s="12"/>
      <c r="F119986" s="13"/>
      <c r="G119986" s="12"/>
      <c r="H119986" s="12"/>
      <c r="I119986" s="12"/>
      <c r="J119986" s="12"/>
      <c r="K119986" s="12"/>
      <c r="L119986" s="208"/>
      <c r="M119986" s="209"/>
      <c r="N119986" s="209"/>
      <c r="O119986" s="209"/>
    </row>
    <row r="119987" spans="1:15" s="210" customFormat="1" x14ac:dyDescent="0.3">
      <c r="A119987" s="12"/>
      <c r="B119987" s="15"/>
      <c r="C119987" s="15"/>
      <c r="D119987" s="12"/>
      <c r="E119987" s="12"/>
      <c r="F119987" s="13"/>
      <c r="G119987" s="12"/>
      <c r="H119987" s="12"/>
      <c r="I119987" s="12"/>
      <c r="J119987" s="12"/>
      <c r="K119987" s="12"/>
      <c r="L119987" s="208"/>
      <c r="M119987" s="209"/>
      <c r="N119987" s="209"/>
      <c r="O119987" s="209"/>
    </row>
    <row r="119988" spans="1:15" s="210" customFormat="1" x14ac:dyDescent="0.3">
      <c r="A119988" s="12"/>
      <c r="B119988" s="15"/>
      <c r="C119988" s="15"/>
      <c r="D119988" s="12"/>
      <c r="E119988" s="12"/>
      <c r="F119988" s="13"/>
      <c r="G119988" s="12"/>
      <c r="H119988" s="12"/>
      <c r="I119988" s="12"/>
      <c r="J119988" s="12"/>
      <c r="K119988" s="12"/>
      <c r="L119988" s="208"/>
      <c r="M119988" s="209"/>
      <c r="N119988" s="209"/>
      <c r="O119988" s="209"/>
    </row>
    <row r="119989" spans="1:15" s="210" customFormat="1" x14ac:dyDescent="0.3">
      <c r="A119989" s="12"/>
      <c r="B119989" s="15"/>
      <c r="C119989" s="15"/>
      <c r="D119989" s="12"/>
      <c r="E119989" s="12"/>
      <c r="F119989" s="13"/>
      <c r="G119989" s="12"/>
      <c r="H119989" s="12"/>
      <c r="I119989" s="12"/>
      <c r="J119989" s="12"/>
      <c r="K119989" s="12"/>
      <c r="L119989" s="208"/>
      <c r="M119989" s="209"/>
      <c r="N119989" s="209"/>
      <c r="O119989" s="209"/>
    </row>
    <row r="119990" spans="1:15" s="210" customFormat="1" x14ac:dyDescent="0.3">
      <c r="A119990" s="12"/>
      <c r="B119990" s="15"/>
      <c r="C119990" s="15"/>
      <c r="D119990" s="12"/>
      <c r="E119990" s="12"/>
      <c r="F119990" s="13"/>
      <c r="G119990" s="12"/>
      <c r="H119990" s="12"/>
      <c r="I119990" s="12"/>
      <c r="J119990" s="12"/>
      <c r="K119990" s="12"/>
      <c r="L119990" s="208"/>
      <c r="M119990" s="209"/>
      <c r="N119990" s="209"/>
      <c r="O119990" s="209"/>
    </row>
    <row r="119991" spans="1:15" s="210" customFormat="1" x14ac:dyDescent="0.3">
      <c r="A119991" s="12"/>
      <c r="B119991" s="15"/>
      <c r="C119991" s="15"/>
      <c r="D119991" s="12"/>
      <c r="E119991" s="12"/>
      <c r="F119991" s="13"/>
      <c r="G119991" s="12"/>
      <c r="H119991" s="12"/>
      <c r="I119991" s="12"/>
      <c r="J119991" s="12"/>
      <c r="K119991" s="12"/>
      <c r="L119991" s="208"/>
      <c r="M119991" s="209"/>
      <c r="N119991" s="209"/>
      <c r="O119991" s="209"/>
    </row>
    <row r="119992" spans="1:15" s="210" customFormat="1" x14ac:dyDescent="0.3">
      <c r="A119992" s="12"/>
      <c r="B119992" s="15"/>
      <c r="C119992" s="15"/>
      <c r="D119992" s="12"/>
      <c r="E119992" s="12"/>
      <c r="F119992" s="13"/>
      <c r="G119992" s="12"/>
      <c r="H119992" s="12"/>
      <c r="I119992" s="12"/>
      <c r="J119992" s="12"/>
      <c r="K119992" s="12"/>
      <c r="L119992" s="208"/>
      <c r="M119992" s="209"/>
      <c r="N119992" s="209"/>
      <c r="O119992" s="209"/>
    </row>
    <row r="119993" spans="1:15" s="210" customFormat="1" x14ac:dyDescent="0.3">
      <c r="A119993" s="12"/>
      <c r="B119993" s="15"/>
      <c r="C119993" s="15"/>
      <c r="D119993" s="12"/>
      <c r="E119993" s="12"/>
      <c r="F119993" s="13"/>
      <c r="G119993" s="12"/>
      <c r="H119993" s="12"/>
      <c r="I119993" s="12"/>
      <c r="J119993" s="12"/>
      <c r="K119993" s="12"/>
      <c r="L119993" s="208"/>
      <c r="M119993" s="209"/>
      <c r="N119993" s="209"/>
      <c r="O119993" s="209"/>
    </row>
    <row r="119994" spans="1:15" s="210" customFormat="1" x14ac:dyDescent="0.3">
      <c r="A119994" s="12"/>
      <c r="B119994" s="15"/>
      <c r="C119994" s="15"/>
      <c r="D119994" s="12"/>
      <c r="E119994" s="12"/>
      <c r="F119994" s="13"/>
      <c r="G119994" s="12"/>
      <c r="H119994" s="12"/>
      <c r="I119994" s="12"/>
      <c r="J119994" s="12"/>
      <c r="K119994" s="12"/>
      <c r="L119994" s="208"/>
      <c r="M119994" s="209"/>
      <c r="N119994" s="209"/>
      <c r="O119994" s="209"/>
    </row>
    <row r="119995" spans="1:15" s="210" customFormat="1" x14ac:dyDescent="0.3">
      <c r="A119995" s="12"/>
      <c r="B119995" s="15"/>
      <c r="C119995" s="15"/>
      <c r="D119995" s="12"/>
      <c r="E119995" s="12"/>
      <c r="F119995" s="13"/>
      <c r="G119995" s="12"/>
      <c r="H119995" s="12"/>
      <c r="I119995" s="12"/>
      <c r="J119995" s="12"/>
      <c r="K119995" s="12"/>
      <c r="L119995" s="208"/>
      <c r="M119995" s="209"/>
      <c r="N119995" s="209"/>
      <c r="O119995" s="209"/>
    </row>
    <row r="119996" spans="1:15" s="210" customFormat="1" x14ac:dyDescent="0.3">
      <c r="A119996" s="12"/>
      <c r="B119996" s="15"/>
      <c r="C119996" s="15"/>
      <c r="D119996" s="12"/>
      <c r="E119996" s="12"/>
      <c r="F119996" s="13"/>
      <c r="G119996" s="12"/>
      <c r="H119996" s="12"/>
      <c r="I119996" s="12"/>
      <c r="J119996" s="12"/>
      <c r="K119996" s="12"/>
      <c r="L119996" s="208"/>
      <c r="M119996" s="209"/>
      <c r="N119996" s="209"/>
      <c r="O119996" s="209"/>
    </row>
    <row r="119997" spans="1:15" s="210" customFormat="1" x14ac:dyDescent="0.3">
      <c r="A119997" s="12"/>
      <c r="B119997" s="15"/>
      <c r="C119997" s="15"/>
      <c r="D119997" s="12"/>
      <c r="E119997" s="12"/>
      <c r="F119997" s="13"/>
      <c r="G119997" s="12"/>
      <c r="H119997" s="12"/>
      <c r="I119997" s="12"/>
      <c r="J119997" s="12"/>
      <c r="K119997" s="12"/>
      <c r="L119997" s="208"/>
      <c r="M119997" s="209"/>
      <c r="N119997" s="209"/>
      <c r="O119997" s="209"/>
    </row>
    <row r="119998" spans="1:15" s="210" customFormat="1" x14ac:dyDescent="0.3">
      <c r="A119998" s="12"/>
      <c r="B119998" s="15"/>
      <c r="C119998" s="15"/>
      <c r="D119998" s="12"/>
      <c r="E119998" s="12"/>
      <c r="F119998" s="13"/>
      <c r="G119998" s="12"/>
      <c r="H119998" s="12"/>
      <c r="I119998" s="12"/>
      <c r="J119998" s="12"/>
      <c r="K119998" s="12"/>
      <c r="L119998" s="208"/>
      <c r="M119998" s="209"/>
      <c r="N119998" s="209"/>
      <c r="O119998" s="209"/>
    </row>
    <row r="119999" spans="1:15" s="210" customFormat="1" x14ac:dyDescent="0.3">
      <c r="A119999" s="12"/>
      <c r="B119999" s="15"/>
      <c r="C119999" s="15"/>
      <c r="D119999" s="12"/>
      <c r="E119999" s="12"/>
      <c r="F119999" s="13"/>
      <c r="G119999" s="12"/>
      <c r="H119999" s="12"/>
      <c r="I119999" s="12"/>
      <c r="J119999" s="12"/>
      <c r="K119999" s="12"/>
      <c r="L119999" s="208"/>
      <c r="M119999" s="209"/>
      <c r="N119999" s="209"/>
      <c r="O119999" s="209"/>
    </row>
    <row r="120000" spans="1:15" s="210" customFormat="1" x14ac:dyDescent="0.3">
      <c r="A120000" s="12"/>
      <c r="B120000" s="15"/>
      <c r="C120000" s="15"/>
      <c r="D120000" s="12"/>
      <c r="E120000" s="12"/>
      <c r="F120000" s="13"/>
      <c r="G120000" s="12"/>
      <c r="H120000" s="12"/>
      <c r="I120000" s="12"/>
      <c r="J120000" s="12"/>
      <c r="K120000" s="12"/>
      <c r="L120000" s="208"/>
      <c r="M120000" s="209"/>
      <c r="N120000" s="209"/>
      <c r="O120000" s="209"/>
    </row>
    <row r="120001" spans="1:15" s="210" customFormat="1" x14ac:dyDescent="0.3">
      <c r="A120001" s="12"/>
      <c r="B120001" s="15"/>
      <c r="C120001" s="15"/>
      <c r="D120001" s="12"/>
      <c r="E120001" s="12"/>
      <c r="F120001" s="13"/>
      <c r="G120001" s="12"/>
      <c r="H120001" s="12"/>
      <c r="I120001" s="12"/>
      <c r="J120001" s="12"/>
      <c r="K120001" s="12"/>
      <c r="L120001" s="208"/>
      <c r="M120001" s="209"/>
      <c r="N120001" s="209"/>
      <c r="O120001" s="209"/>
    </row>
    <row r="120002" spans="1:15" s="210" customFormat="1" x14ac:dyDescent="0.3">
      <c r="A120002" s="12"/>
      <c r="B120002" s="15"/>
      <c r="C120002" s="15"/>
      <c r="D120002" s="12"/>
      <c r="E120002" s="12"/>
      <c r="F120002" s="13"/>
      <c r="G120002" s="12"/>
      <c r="H120002" s="12"/>
      <c r="I120002" s="12"/>
      <c r="J120002" s="12"/>
      <c r="K120002" s="12"/>
      <c r="L120002" s="208"/>
      <c r="M120002" s="209"/>
      <c r="N120002" s="209"/>
      <c r="O120002" s="209"/>
    </row>
    <row r="120003" spans="1:15" s="210" customFormat="1" x14ac:dyDescent="0.3">
      <c r="A120003" s="12"/>
      <c r="B120003" s="15"/>
      <c r="C120003" s="15"/>
      <c r="D120003" s="12"/>
      <c r="E120003" s="12"/>
      <c r="F120003" s="13"/>
      <c r="G120003" s="12"/>
      <c r="H120003" s="12"/>
      <c r="I120003" s="12"/>
      <c r="J120003" s="12"/>
      <c r="K120003" s="12"/>
      <c r="L120003" s="208"/>
      <c r="M120003" s="209"/>
      <c r="N120003" s="209"/>
      <c r="O120003" s="209"/>
    </row>
    <row r="120004" spans="1:15" s="210" customFormat="1" x14ac:dyDescent="0.3">
      <c r="A120004" s="12"/>
      <c r="B120004" s="15"/>
      <c r="C120004" s="15"/>
      <c r="D120004" s="12"/>
      <c r="E120004" s="12"/>
      <c r="F120004" s="13"/>
      <c r="G120004" s="12"/>
      <c r="H120004" s="12"/>
      <c r="I120004" s="12"/>
      <c r="J120004" s="12"/>
      <c r="K120004" s="12"/>
      <c r="L120004" s="208"/>
      <c r="M120004" s="209"/>
      <c r="N120004" s="209"/>
      <c r="O120004" s="209"/>
    </row>
    <row r="120005" spans="1:15" s="210" customFormat="1" x14ac:dyDescent="0.3">
      <c r="A120005" s="12"/>
      <c r="B120005" s="15"/>
      <c r="C120005" s="15"/>
      <c r="D120005" s="12"/>
      <c r="E120005" s="12"/>
      <c r="F120005" s="13"/>
      <c r="G120005" s="12"/>
      <c r="H120005" s="12"/>
      <c r="I120005" s="12"/>
      <c r="J120005" s="12"/>
      <c r="K120005" s="12"/>
      <c r="L120005" s="208"/>
      <c r="M120005" s="209"/>
      <c r="N120005" s="209"/>
      <c r="O120005" s="209"/>
    </row>
    <row r="120006" spans="1:15" s="210" customFormat="1" x14ac:dyDescent="0.3">
      <c r="A120006" s="12"/>
      <c r="B120006" s="15"/>
      <c r="C120006" s="15"/>
      <c r="D120006" s="12"/>
      <c r="E120006" s="12"/>
      <c r="F120006" s="13"/>
      <c r="G120006" s="12"/>
      <c r="H120006" s="12"/>
      <c r="I120006" s="12"/>
      <c r="J120006" s="12"/>
      <c r="K120006" s="12"/>
      <c r="L120006" s="208"/>
      <c r="M120006" s="209"/>
      <c r="N120006" s="209"/>
      <c r="O120006" s="209"/>
    </row>
    <row r="120007" spans="1:15" s="210" customFormat="1" x14ac:dyDescent="0.3">
      <c r="A120007" s="12"/>
      <c r="B120007" s="15"/>
      <c r="C120007" s="15"/>
      <c r="D120007" s="12"/>
      <c r="E120007" s="12"/>
      <c r="F120007" s="13"/>
      <c r="G120007" s="12"/>
      <c r="H120007" s="12"/>
      <c r="I120007" s="12"/>
      <c r="J120007" s="12"/>
      <c r="K120007" s="12"/>
      <c r="L120007" s="208"/>
      <c r="M120007" s="209"/>
      <c r="N120007" s="209"/>
      <c r="O120007" s="209"/>
    </row>
    <row r="120008" spans="1:15" s="210" customFormat="1" x14ac:dyDescent="0.3">
      <c r="A120008" s="12"/>
      <c r="B120008" s="15"/>
      <c r="C120008" s="15"/>
      <c r="D120008" s="12"/>
      <c r="E120008" s="12"/>
      <c r="F120008" s="13"/>
      <c r="G120008" s="12"/>
      <c r="H120008" s="12"/>
      <c r="I120008" s="12"/>
      <c r="J120008" s="12"/>
      <c r="K120008" s="12"/>
      <c r="L120008" s="208"/>
      <c r="M120008" s="209"/>
      <c r="N120008" s="209"/>
      <c r="O120008" s="209"/>
    </row>
    <row r="120009" spans="1:15" s="210" customFormat="1" x14ac:dyDescent="0.3">
      <c r="A120009" s="12"/>
      <c r="B120009" s="15"/>
      <c r="C120009" s="15"/>
      <c r="D120009" s="12"/>
      <c r="E120009" s="12"/>
      <c r="F120009" s="13"/>
      <c r="G120009" s="12"/>
      <c r="H120009" s="12"/>
      <c r="I120009" s="12"/>
      <c r="J120009" s="12"/>
      <c r="K120009" s="12"/>
      <c r="L120009" s="208"/>
      <c r="M120009" s="209"/>
      <c r="N120009" s="209"/>
      <c r="O120009" s="209"/>
    </row>
    <row r="120010" spans="1:15" s="210" customFormat="1" x14ac:dyDescent="0.3">
      <c r="A120010" s="12"/>
      <c r="B120010" s="15"/>
      <c r="C120010" s="15"/>
      <c r="D120010" s="12"/>
      <c r="E120010" s="12"/>
      <c r="F120010" s="13"/>
      <c r="G120010" s="12"/>
      <c r="H120010" s="12"/>
      <c r="I120010" s="12"/>
      <c r="J120010" s="12"/>
      <c r="K120010" s="12"/>
      <c r="L120010" s="208"/>
      <c r="M120010" s="209"/>
      <c r="N120010" s="209"/>
      <c r="O120010" s="209"/>
    </row>
    <row r="120011" spans="1:15" s="210" customFormat="1" x14ac:dyDescent="0.3">
      <c r="A120011" s="12"/>
      <c r="B120011" s="15"/>
      <c r="C120011" s="15"/>
      <c r="D120011" s="12"/>
      <c r="E120011" s="12"/>
      <c r="F120011" s="13"/>
      <c r="G120011" s="12"/>
      <c r="H120011" s="12"/>
      <c r="I120011" s="12"/>
      <c r="J120011" s="12"/>
      <c r="K120011" s="12"/>
      <c r="L120011" s="208"/>
      <c r="M120011" s="209"/>
      <c r="N120011" s="209"/>
      <c r="O120011" s="209"/>
    </row>
    <row r="120012" spans="1:15" s="210" customFormat="1" x14ac:dyDescent="0.3">
      <c r="A120012" s="12"/>
      <c r="B120012" s="15"/>
      <c r="C120012" s="15"/>
      <c r="D120012" s="12"/>
      <c r="E120012" s="12"/>
      <c r="F120012" s="13"/>
      <c r="G120012" s="12"/>
      <c r="H120012" s="12"/>
      <c r="I120012" s="12"/>
      <c r="J120012" s="12"/>
      <c r="K120012" s="12"/>
      <c r="L120012" s="208"/>
      <c r="M120012" s="209"/>
      <c r="N120012" s="209"/>
      <c r="O120012" s="209"/>
    </row>
    <row r="120013" spans="1:15" s="210" customFormat="1" x14ac:dyDescent="0.3">
      <c r="A120013" s="12"/>
      <c r="B120013" s="15"/>
      <c r="C120013" s="15"/>
      <c r="D120013" s="12"/>
      <c r="E120013" s="12"/>
      <c r="F120013" s="13"/>
      <c r="G120013" s="12"/>
      <c r="H120013" s="12"/>
      <c r="I120013" s="12"/>
      <c r="J120013" s="12"/>
      <c r="K120013" s="12"/>
      <c r="L120013" s="208"/>
      <c r="M120013" s="209"/>
      <c r="N120013" s="209"/>
      <c r="O120013" s="209"/>
    </row>
    <row r="120014" spans="1:15" s="210" customFormat="1" x14ac:dyDescent="0.3">
      <c r="A120014" s="12"/>
      <c r="B120014" s="15"/>
      <c r="C120014" s="15"/>
      <c r="D120014" s="12"/>
      <c r="E120014" s="12"/>
      <c r="F120014" s="13"/>
      <c r="G120014" s="12"/>
      <c r="H120014" s="12"/>
      <c r="I120014" s="12"/>
      <c r="J120014" s="12"/>
      <c r="K120014" s="12"/>
      <c r="L120014" s="208"/>
      <c r="M120014" s="209"/>
      <c r="N120014" s="209"/>
      <c r="O120014" s="209"/>
    </row>
    <row r="120015" spans="1:15" s="210" customFormat="1" x14ac:dyDescent="0.3">
      <c r="A120015" s="12"/>
      <c r="B120015" s="15"/>
      <c r="C120015" s="15"/>
      <c r="D120015" s="12"/>
      <c r="E120015" s="12"/>
      <c r="F120015" s="13"/>
      <c r="G120015" s="12"/>
      <c r="H120015" s="12"/>
      <c r="I120015" s="12"/>
      <c r="J120015" s="12"/>
      <c r="K120015" s="12"/>
      <c r="L120015" s="208"/>
      <c r="M120015" s="209"/>
      <c r="N120015" s="209"/>
      <c r="O120015" s="209"/>
    </row>
    <row r="120016" spans="1:15" s="210" customFormat="1" x14ac:dyDescent="0.3">
      <c r="A120016" s="12"/>
      <c r="B120016" s="15"/>
      <c r="C120016" s="15"/>
      <c r="D120016" s="12"/>
      <c r="E120016" s="12"/>
      <c r="F120016" s="13"/>
      <c r="G120016" s="12"/>
      <c r="H120016" s="12"/>
      <c r="I120016" s="12"/>
      <c r="J120016" s="12"/>
      <c r="K120016" s="12"/>
      <c r="L120016" s="208"/>
      <c r="M120016" s="209"/>
      <c r="N120016" s="209"/>
      <c r="O120016" s="209"/>
    </row>
    <row r="120017" spans="1:15" s="210" customFormat="1" x14ac:dyDescent="0.3">
      <c r="A120017" s="12"/>
      <c r="B120017" s="15"/>
      <c r="C120017" s="15"/>
      <c r="D120017" s="12"/>
      <c r="E120017" s="12"/>
      <c r="F120017" s="13"/>
      <c r="G120017" s="12"/>
      <c r="H120017" s="12"/>
      <c r="I120017" s="12"/>
      <c r="J120017" s="12"/>
      <c r="K120017" s="12"/>
      <c r="L120017" s="208"/>
      <c r="M120017" s="209"/>
      <c r="N120017" s="209"/>
      <c r="O120017" s="209"/>
    </row>
    <row r="120018" spans="1:15" s="210" customFormat="1" x14ac:dyDescent="0.3">
      <c r="A120018" s="12"/>
      <c r="B120018" s="15"/>
      <c r="C120018" s="15"/>
      <c r="D120018" s="12"/>
      <c r="E120018" s="12"/>
      <c r="F120018" s="13"/>
      <c r="G120018" s="12"/>
      <c r="H120018" s="12"/>
      <c r="I120018" s="12"/>
      <c r="J120018" s="12"/>
      <c r="K120018" s="12"/>
      <c r="L120018" s="208"/>
      <c r="M120018" s="209"/>
      <c r="N120018" s="209"/>
      <c r="O120018" s="209"/>
    </row>
    <row r="120019" spans="1:15" s="210" customFormat="1" x14ac:dyDescent="0.3">
      <c r="A120019" s="12"/>
      <c r="B120019" s="15"/>
      <c r="C120019" s="15"/>
      <c r="D120019" s="12"/>
      <c r="E120019" s="12"/>
      <c r="F120019" s="13"/>
      <c r="G120019" s="12"/>
      <c r="H120019" s="12"/>
      <c r="I120019" s="12"/>
      <c r="J120019" s="12"/>
      <c r="K120019" s="12"/>
      <c r="L120019" s="208"/>
      <c r="M120019" s="209"/>
      <c r="N120019" s="209"/>
      <c r="O120019" s="209"/>
    </row>
    <row r="120020" spans="1:15" s="210" customFormat="1" x14ac:dyDescent="0.3">
      <c r="A120020" s="12"/>
      <c r="B120020" s="15"/>
      <c r="C120020" s="15"/>
      <c r="D120020" s="12"/>
      <c r="E120020" s="12"/>
      <c r="F120020" s="13"/>
      <c r="G120020" s="12"/>
      <c r="H120020" s="12"/>
      <c r="I120020" s="12"/>
      <c r="J120020" s="12"/>
      <c r="K120020" s="12"/>
      <c r="L120020" s="208"/>
      <c r="M120020" s="209"/>
      <c r="N120020" s="209"/>
      <c r="O120020" s="209"/>
    </row>
    <row r="120021" spans="1:15" s="210" customFormat="1" x14ac:dyDescent="0.3">
      <c r="A120021" s="12"/>
      <c r="B120021" s="15"/>
      <c r="C120021" s="15"/>
      <c r="D120021" s="12"/>
      <c r="E120021" s="12"/>
      <c r="F120021" s="13"/>
      <c r="G120021" s="12"/>
      <c r="H120021" s="12"/>
      <c r="I120021" s="12"/>
      <c r="J120021" s="12"/>
      <c r="K120021" s="12"/>
      <c r="L120021" s="208"/>
      <c r="M120021" s="209"/>
      <c r="N120021" s="209"/>
      <c r="O120021" s="209"/>
    </row>
    <row r="120022" spans="1:15" s="210" customFormat="1" x14ac:dyDescent="0.3">
      <c r="A120022" s="12"/>
      <c r="B120022" s="15"/>
      <c r="C120022" s="15"/>
      <c r="D120022" s="12"/>
      <c r="E120022" s="12"/>
      <c r="F120022" s="13"/>
      <c r="G120022" s="12"/>
      <c r="H120022" s="12"/>
      <c r="I120022" s="12"/>
      <c r="J120022" s="12"/>
      <c r="K120022" s="12"/>
      <c r="L120022" s="208"/>
      <c r="M120022" s="209"/>
      <c r="N120022" s="209"/>
      <c r="O120022" s="209"/>
    </row>
    <row r="120023" spans="1:15" s="210" customFormat="1" x14ac:dyDescent="0.3">
      <c r="A120023" s="12"/>
      <c r="B120023" s="15"/>
      <c r="C120023" s="15"/>
      <c r="D120023" s="12"/>
      <c r="E120023" s="12"/>
      <c r="F120023" s="13"/>
      <c r="G120023" s="12"/>
      <c r="H120023" s="12"/>
      <c r="I120023" s="12"/>
      <c r="J120023" s="12"/>
      <c r="K120023" s="12"/>
      <c r="L120023" s="208"/>
      <c r="M120023" s="209"/>
      <c r="N120023" s="209"/>
      <c r="O120023" s="209"/>
    </row>
    <row r="120024" spans="1:15" s="210" customFormat="1" x14ac:dyDescent="0.3">
      <c r="A120024" s="12"/>
      <c r="B120024" s="15"/>
      <c r="C120024" s="15"/>
      <c r="D120024" s="12"/>
      <c r="E120024" s="12"/>
      <c r="F120024" s="13"/>
      <c r="G120024" s="12"/>
      <c r="H120024" s="12"/>
      <c r="I120024" s="12"/>
      <c r="J120024" s="12"/>
      <c r="K120024" s="12"/>
      <c r="L120024" s="208"/>
      <c r="M120024" s="209"/>
      <c r="N120024" s="209"/>
      <c r="O120024" s="209"/>
    </row>
    <row r="120025" spans="1:15" s="210" customFormat="1" x14ac:dyDescent="0.3">
      <c r="A120025" s="12"/>
      <c r="B120025" s="15"/>
      <c r="C120025" s="15"/>
      <c r="D120025" s="12"/>
      <c r="E120025" s="12"/>
      <c r="F120025" s="13"/>
      <c r="G120025" s="12"/>
      <c r="H120025" s="12"/>
      <c r="I120025" s="12"/>
      <c r="J120025" s="12"/>
      <c r="K120025" s="12"/>
      <c r="L120025" s="208"/>
      <c r="M120025" s="209"/>
      <c r="N120025" s="209"/>
      <c r="O120025" s="209"/>
    </row>
    <row r="120026" spans="1:15" s="210" customFormat="1" x14ac:dyDescent="0.3">
      <c r="A120026" s="12"/>
      <c r="B120026" s="15"/>
      <c r="C120026" s="15"/>
      <c r="D120026" s="12"/>
      <c r="E120026" s="12"/>
      <c r="F120026" s="13"/>
      <c r="G120026" s="12"/>
      <c r="H120026" s="12"/>
      <c r="I120026" s="12"/>
      <c r="J120026" s="12"/>
      <c r="K120026" s="12"/>
      <c r="L120026" s="208"/>
      <c r="M120026" s="209"/>
      <c r="N120026" s="209"/>
      <c r="O120026" s="209"/>
    </row>
    <row r="120027" spans="1:15" s="210" customFormat="1" x14ac:dyDescent="0.3">
      <c r="A120027" s="12"/>
      <c r="B120027" s="15"/>
      <c r="C120027" s="15"/>
      <c r="D120027" s="12"/>
      <c r="E120027" s="12"/>
      <c r="F120027" s="13"/>
      <c r="G120027" s="12"/>
      <c r="H120027" s="12"/>
      <c r="I120027" s="12"/>
      <c r="J120027" s="12"/>
      <c r="K120027" s="12"/>
      <c r="L120027" s="208"/>
      <c r="M120027" s="209"/>
      <c r="N120027" s="209"/>
      <c r="O120027" s="209"/>
    </row>
    <row r="120028" spans="1:15" s="210" customFormat="1" x14ac:dyDescent="0.3">
      <c r="A120028" s="12"/>
      <c r="B120028" s="15"/>
      <c r="C120028" s="15"/>
      <c r="D120028" s="12"/>
      <c r="E120028" s="12"/>
      <c r="F120028" s="13"/>
      <c r="G120028" s="12"/>
      <c r="H120028" s="12"/>
      <c r="I120028" s="12"/>
      <c r="J120028" s="12"/>
      <c r="K120028" s="12"/>
      <c r="L120028" s="208"/>
      <c r="M120028" s="209"/>
      <c r="N120028" s="209"/>
      <c r="O120028" s="209"/>
    </row>
    <row r="120029" spans="1:15" s="210" customFormat="1" x14ac:dyDescent="0.3">
      <c r="A120029" s="12"/>
      <c r="B120029" s="15"/>
      <c r="C120029" s="15"/>
      <c r="D120029" s="12"/>
      <c r="E120029" s="12"/>
      <c r="F120029" s="13"/>
      <c r="G120029" s="12"/>
      <c r="H120029" s="12"/>
      <c r="I120029" s="12"/>
      <c r="J120029" s="12"/>
      <c r="K120029" s="12"/>
      <c r="L120029" s="208"/>
      <c r="M120029" s="209"/>
      <c r="N120029" s="209"/>
      <c r="O120029" s="209"/>
    </row>
    <row r="120030" spans="1:15" s="210" customFormat="1" x14ac:dyDescent="0.3">
      <c r="A120030" s="12"/>
      <c r="B120030" s="15"/>
      <c r="C120030" s="15"/>
      <c r="D120030" s="12"/>
      <c r="E120030" s="12"/>
      <c r="F120030" s="13"/>
      <c r="G120030" s="12"/>
      <c r="H120030" s="12"/>
      <c r="I120030" s="12"/>
      <c r="J120030" s="12"/>
      <c r="K120030" s="12"/>
      <c r="L120030" s="208"/>
      <c r="M120030" s="209"/>
      <c r="N120030" s="209"/>
      <c r="O120030" s="209"/>
    </row>
    <row r="120031" spans="1:15" s="210" customFormat="1" x14ac:dyDescent="0.3">
      <c r="A120031" s="12"/>
      <c r="B120031" s="15"/>
      <c r="C120031" s="15"/>
      <c r="D120031" s="12"/>
      <c r="E120031" s="12"/>
      <c r="F120031" s="13"/>
      <c r="G120031" s="12"/>
      <c r="H120031" s="12"/>
      <c r="I120031" s="12"/>
      <c r="J120031" s="12"/>
      <c r="K120031" s="12"/>
      <c r="L120031" s="208"/>
      <c r="M120031" s="209"/>
      <c r="N120031" s="209"/>
      <c r="O120031" s="209"/>
    </row>
    <row r="120032" spans="1:15" s="210" customFormat="1" x14ac:dyDescent="0.3">
      <c r="A120032" s="12"/>
      <c r="B120032" s="15"/>
      <c r="C120032" s="15"/>
      <c r="D120032" s="12"/>
      <c r="E120032" s="12"/>
      <c r="F120032" s="13"/>
      <c r="G120032" s="12"/>
      <c r="H120032" s="12"/>
      <c r="I120032" s="12"/>
      <c r="J120032" s="12"/>
      <c r="K120032" s="12"/>
      <c r="L120032" s="208"/>
      <c r="M120032" s="209"/>
      <c r="N120032" s="209"/>
      <c r="O120032" s="209"/>
    </row>
    <row r="120033" spans="1:15" s="210" customFormat="1" x14ac:dyDescent="0.3">
      <c r="A120033" s="12"/>
      <c r="B120033" s="15"/>
      <c r="C120033" s="15"/>
      <c r="D120033" s="12"/>
      <c r="E120033" s="12"/>
      <c r="F120033" s="13"/>
      <c r="G120033" s="12"/>
      <c r="H120033" s="12"/>
      <c r="I120033" s="12"/>
      <c r="J120033" s="12"/>
      <c r="K120033" s="12"/>
      <c r="L120033" s="208"/>
      <c r="M120033" s="209"/>
      <c r="N120033" s="209"/>
      <c r="O120033" s="209"/>
    </row>
    <row r="120034" spans="1:15" s="210" customFormat="1" x14ac:dyDescent="0.3">
      <c r="A120034" s="12"/>
      <c r="B120034" s="15"/>
      <c r="C120034" s="15"/>
      <c r="D120034" s="12"/>
      <c r="E120034" s="12"/>
      <c r="F120034" s="13"/>
      <c r="G120034" s="12"/>
      <c r="H120034" s="12"/>
      <c r="I120034" s="12"/>
      <c r="J120034" s="12"/>
      <c r="K120034" s="12"/>
      <c r="L120034" s="208"/>
      <c r="M120034" s="209"/>
      <c r="N120034" s="209"/>
      <c r="O120034" s="209"/>
    </row>
    <row r="120035" spans="1:15" s="210" customFormat="1" x14ac:dyDescent="0.3">
      <c r="A120035" s="12"/>
      <c r="B120035" s="15"/>
      <c r="C120035" s="15"/>
      <c r="D120035" s="12"/>
      <c r="E120035" s="12"/>
      <c r="F120035" s="13"/>
      <c r="G120035" s="12"/>
      <c r="H120035" s="12"/>
      <c r="I120035" s="12"/>
      <c r="J120035" s="12"/>
      <c r="K120035" s="12"/>
      <c r="L120035" s="208"/>
      <c r="M120035" s="209"/>
      <c r="N120035" s="209"/>
      <c r="O120035" s="209"/>
    </row>
    <row r="120036" spans="1:15" s="210" customFormat="1" x14ac:dyDescent="0.3">
      <c r="A120036" s="12"/>
      <c r="B120036" s="15"/>
      <c r="C120036" s="15"/>
      <c r="D120036" s="12"/>
      <c r="E120036" s="12"/>
      <c r="F120036" s="13"/>
      <c r="G120036" s="12"/>
      <c r="H120036" s="12"/>
      <c r="I120036" s="12"/>
      <c r="J120036" s="12"/>
      <c r="K120036" s="12"/>
      <c r="L120036" s="208"/>
      <c r="M120036" s="209"/>
      <c r="N120036" s="209"/>
      <c r="O120036" s="209"/>
    </row>
    <row r="120037" spans="1:15" s="210" customFormat="1" x14ac:dyDescent="0.3">
      <c r="A120037" s="12"/>
      <c r="B120037" s="15"/>
      <c r="C120037" s="15"/>
      <c r="D120037" s="12"/>
      <c r="E120037" s="12"/>
      <c r="F120037" s="13"/>
      <c r="G120037" s="12"/>
      <c r="H120037" s="12"/>
      <c r="I120037" s="12"/>
      <c r="J120037" s="12"/>
      <c r="K120037" s="12"/>
      <c r="L120037" s="208"/>
      <c r="M120037" s="209"/>
      <c r="N120037" s="209"/>
      <c r="O120037" s="209"/>
    </row>
    <row r="120038" spans="1:15" s="210" customFormat="1" x14ac:dyDescent="0.3">
      <c r="A120038" s="12"/>
      <c r="B120038" s="15"/>
      <c r="C120038" s="15"/>
      <c r="D120038" s="12"/>
      <c r="E120038" s="12"/>
      <c r="F120038" s="13"/>
      <c r="G120038" s="12"/>
      <c r="H120038" s="12"/>
      <c r="I120038" s="12"/>
      <c r="J120038" s="12"/>
      <c r="K120038" s="12"/>
      <c r="L120038" s="208"/>
      <c r="M120038" s="209"/>
      <c r="N120038" s="209"/>
      <c r="O120038" s="209"/>
    </row>
    <row r="120039" spans="1:15" s="210" customFormat="1" x14ac:dyDescent="0.3">
      <c r="A120039" s="12"/>
      <c r="B120039" s="15"/>
      <c r="C120039" s="15"/>
      <c r="D120039" s="12"/>
      <c r="E120039" s="12"/>
      <c r="F120039" s="13"/>
      <c r="G120039" s="12"/>
      <c r="H120039" s="12"/>
      <c r="I120039" s="12"/>
      <c r="J120039" s="12"/>
      <c r="K120039" s="12"/>
      <c r="L120039" s="208"/>
      <c r="M120039" s="209"/>
      <c r="N120039" s="209"/>
      <c r="O120039" s="209"/>
    </row>
    <row r="120040" spans="1:15" s="210" customFormat="1" x14ac:dyDescent="0.3">
      <c r="A120040" s="12"/>
      <c r="B120040" s="15"/>
      <c r="C120040" s="15"/>
      <c r="D120040" s="12"/>
      <c r="E120040" s="12"/>
      <c r="F120040" s="13"/>
      <c r="G120040" s="12"/>
      <c r="H120040" s="12"/>
      <c r="I120040" s="12"/>
      <c r="J120040" s="12"/>
      <c r="K120040" s="12"/>
      <c r="L120040" s="208"/>
      <c r="M120040" s="209"/>
      <c r="N120040" s="209"/>
      <c r="O120040" s="209"/>
    </row>
    <row r="120041" spans="1:15" s="210" customFormat="1" x14ac:dyDescent="0.3">
      <c r="A120041" s="12"/>
      <c r="B120041" s="15"/>
      <c r="C120041" s="15"/>
      <c r="D120041" s="12"/>
      <c r="E120041" s="12"/>
      <c r="F120041" s="13"/>
      <c r="G120041" s="12"/>
      <c r="H120041" s="12"/>
      <c r="I120041" s="12"/>
      <c r="J120041" s="12"/>
      <c r="K120041" s="12"/>
      <c r="L120041" s="208"/>
      <c r="M120041" s="209"/>
      <c r="N120041" s="209"/>
      <c r="O120041" s="209"/>
    </row>
    <row r="120042" spans="1:15" s="210" customFormat="1" x14ac:dyDescent="0.3">
      <c r="A120042" s="12"/>
      <c r="B120042" s="15"/>
      <c r="C120042" s="15"/>
      <c r="D120042" s="12"/>
      <c r="E120042" s="12"/>
      <c r="F120042" s="13"/>
      <c r="G120042" s="12"/>
      <c r="H120042" s="12"/>
      <c r="I120042" s="12"/>
      <c r="J120042" s="12"/>
      <c r="K120042" s="12"/>
      <c r="L120042" s="208"/>
      <c r="M120042" s="209"/>
      <c r="N120042" s="209"/>
      <c r="O120042" s="209"/>
    </row>
    <row r="120043" spans="1:15" s="210" customFormat="1" x14ac:dyDescent="0.3">
      <c r="A120043" s="12"/>
      <c r="B120043" s="15"/>
      <c r="C120043" s="15"/>
      <c r="D120043" s="12"/>
      <c r="E120043" s="12"/>
      <c r="F120043" s="13"/>
      <c r="G120043" s="12"/>
      <c r="H120043" s="12"/>
      <c r="I120043" s="12"/>
      <c r="J120043" s="12"/>
      <c r="K120043" s="12"/>
      <c r="L120043" s="208"/>
      <c r="M120043" s="209"/>
      <c r="N120043" s="209"/>
      <c r="O120043" s="209"/>
    </row>
    <row r="120044" spans="1:15" s="210" customFormat="1" x14ac:dyDescent="0.3">
      <c r="A120044" s="12"/>
      <c r="B120044" s="15"/>
      <c r="C120044" s="15"/>
      <c r="D120044" s="12"/>
      <c r="E120044" s="12"/>
      <c r="F120044" s="13"/>
      <c r="G120044" s="12"/>
      <c r="H120044" s="12"/>
      <c r="I120044" s="12"/>
      <c r="J120044" s="12"/>
      <c r="K120044" s="12"/>
      <c r="L120044" s="208"/>
      <c r="M120044" s="209"/>
      <c r="N120044" s="209"/>
      <c r="O120044" s="209"/>
    </row>
    <row r="120045" spans="1:15" s="210" customFormat="1" x14ac:dyDescent="0.3">
      <c r="A120045" s="12"/>
      <c r="B120045" s="15"/>
      <c r="C120045" s="15"/>
      <c r="D120045" s="12"/>
      <c r="E120045" s="12"/>
      <c r="F120045" s="13"/>
      <c r="G120045" s="12"/>
      <c r="H120045" s="12"/>
      <c r="I120045" s="12"/>
      <c r="J120045" s="12"/>
      <c r="K120045" s="12"/>
      <c r="L120045" s="208"/>
      <c r="M120045" s="209"/>
      <c r="N120045" s="209"/>
      <c r="O120045" s="209"/>
    </row>
    <row r="120046" spans="1:15" s="210" customFormat="1" x14ac:dyDescent="0.3">
      <c r="A120046" s="12"/>
      <c r="B120046" s="15"/>
      <c r="C120046" s="15"/>
      <c r="D120046" s="12"/>
      <c r="E120046" s="12"/>
      <c r="F120046" s="13"/>
      <c r="G120046" s="12"/>
      <c r="H120046" s="12"/>
      <c r="I120046" s="12"/>
      <c r="J120046" s="12"/>
      <c r="K120046" s="12"/>
      <c r="L120046" s="208"/>
      <c r="M120046" s="209"/>
      <c r="N120046" s="209"/>
      <c r="O120046" s="209"/>
    </row>
    <row r="120047" spans="1:15" s="210" customFormat="1" x14ac:dyDescent="0.3">
      <c r="A120047" s="12"/>
      <c r="B120047" s="15"/>
      <c r="C120047" s="15"/>
      <c r="D120047" s="12"/>
      <c r="E120047" s="12"/>
      <c r="F120047" s="13"/>
      <c r="G120047" s="12"/>
      <c r="H120047" s="12"/>
      <c r="I120047" s="12"/>
      <c r="J120047" s="12"/>
      <c r="K120047" s="12"/>
      <c r="L120047" s="208"/>
      <c r="M120047" s="209"/>
      <c r="N120047" s="209"/>
      <c r="O120047" s="209"/>
    </row>
    <row r="120048" spans="1:15" s="210" customFormat="1" x14ac:dyDescent="0.3">
      <c r="A120048" s="12"/>
      <c r="B120048" s="15"/>
      <c r="C120048" s="15"/>
      <c r="D120048" s="12"/>
      <c r="E120048" s="12"/>
      <c r="F120048" s="13"/>
      <c r="G120048" s="12"/>
      <c r="H120048" s="12"/>
      <c r="I120048" s="12"/>
      <c r="J120048" s="12"/>
      <c r="K120048" s="12"/>
      <c r="L120048" s="208"/>
      <c r="M120048" s="209"/>
      <c r="N120048" s="209"/>
      <c r="O120048" s="209"/>
    </row>
    <row r="120049" spans="1:15" s="210" customFormat="1" x14ac:dyDescent="0.3">
      <c r="A120049" s="12"/>
      <c r="B120049" s="15"/>
      <c r="C120049" s="15"/>
      <c r="D120049" s="12"/>
      <c r="E120049" s="12"/>
      <c r="F120049" s="13"/>
      <c r="G120049" s="12"/>
      <c r="H120049" s="12"/>
      <c r="I120049" s="12"/>
      <c r="J120049" s="12"/>
      <c r="K120049" s="12"/>
      <c r="L120049" s="208"/>
      <c r="M120049" s="209"/>
      <c r="N120049" s="209"/>
      <c r="O120049" s="209"/>
    </row>
    <row r="120050" spans="1:15" s="210" customFormat="1" x14ac:dyDescent="0.3">
      <c r="A120050" s="12"/>
      <c r="B120050" s="15"/>
      <c r="C120050" s="15"/>
      <c r="D120050" s="12"/>
      <c r="E120050" s="12"/>
      <c r="F120050" s="13"/>
      <c r="G120050" s="12"/>
      <c r="H120050" s="12"/>
      <c r="I120050" s="12"/>
      <c r="J120050" s="12"/>
      <c r="K120050" s="12"/>
      <c r="L120050" s="208"/>
      <c r="M120050" s="209"/>
      <c r="N120050" s="209"/>
      <c r="O120050" s="209"/>
    </row>
    <row r="120051" spans="1:15" s="210" customFormat="1" x14ac:dyDescent="0.3">
      <c r="A120051" s="12"/>
      <c r="B120051" s="15"/>
      <c r="C120051" s="15"/>
      <c r="D120051" s="12"/>
      <c r="E120051" s="12"/>
      <c r="F120051" s="13"/>
      <c r="G120051" s="12"/>
      <c r="H120051" s="12"/>
      <c r="I120051" s="12"/>
      <c r="J120051" s="12"/>
      <c r="K120051" s="12"/>
      <c r="L120051" s="208"/>
      <c r="M120051" s="209"/>
      <c r="N120051" s="209"/>
      <c r="O120051" s="209"/>
    </row>
    <row r="120052" spans="1:15" s="210" customFormat="1" x14ac:dyDescent="0.3">
      <c r="A120052" s="12"/>
      <c r="B120052" s="15"/>
      <c r="C120052" s="15"/>
      <c r="D120052" s="12"/>
      <c r="E120052" s="12"/>
      <c r="F120052" s="13"/>
      <c r="G120052" s="12"/>
      <c r="H120052" s="12"/>
      <c r="I120052" s="12"/>
      <c r="J120052" s="12"/>
      <c r="K120052" s="12"/>
      <c r="L120052" s="208"/>
      <c r="M120052" s="209"/>
      <c r="N120052" s="209"/>
      <c r="O120052" s="209"/>
    </row>
    <row r="120053" spans="1:15" s="210" customFormat="1" x14ac:dyDescent="0.3">
      <c r="A120053" s="12"/>
      <c r="B120053" s="15"/>
      <c r="C120053" s="15"/>
      <c r="D120053" s="12"/>
      <c r="E120053" s="12"/>
      <c r="F120053" s="13"/>
      <c r="G120053" s="12"/>
      <c r="H120053" s="12"/>
      <c r="I120053" s="12"/>
      <c r="J120053" s="12"/>
      <c r="K120053" s="12"/>
      <c r="L120053" s="208"/>
      <c r="M120053" s="209"/>
      <c r="N120053" s="209"/>
      <c r="O120053" s="209"/>
    </row>
    <row r="120054" spans="1:15" s="210" customFormat="1" x14ac:dyDescent="0.3">
      <c r="A120054" s="12"/>
      <c r="B120054" s="15"/>
      <c r="C120054" s="15"/>
      <c r="D120054" s="12"/>
      <c r="E120054" s="12"/>
      <c r="F120054" s="13"/>
      <c r="G120054" s="12"/>
      <c r="H120054" s="12"/>
      <c r="I120054" s="12"/>
      <c r="J120054" s="12"/>
      <c r="K120054" s="12"/>
      <c r="L120054" s="208"/>
      <c r="M120054" s="209"/>
      <c r="N120054" s="209"/>
      <c r="O120054" s="209"/>
    </row>
    <row r="120055" spans="1:15" s="210" customFormat="1" x14ac:dyDescent="0.3">
      <c r="A120055" s="12"/>
      <c r="B120055" s="15"/>
      <c r="C120055" s="15"/>
      <c r="D120055" s="12"/>
      <c r="E120055" s="12"/>
      <c r="F120055" s="13"/>
      <c r="G120055" s="12"/>
      <c r="H120055" s="12"/>
      <c r="I120055" s="12"/>
      <c r="J120055" s="12"/>
      <c r="K120055" s="12"/>
      <c r="L120055" s="208"/>
      <c r="M120055" s="209"/>
      <c r="N120055" s="209"/>
      <c r="O120055" s="209"/>
    </row>
    <row r="120056" spans="1:15" s="210" customFormat="1" x14ac:dyDescent="0.3">
      <c r="A120056" s="12"/>
      <c r="B120056" s="15"/>
      <c r="C120056" s="15"/>
      <c r="D120056" s="12"/>
      <c r="E120056" s="12"/>
      <c r="F120056" s="13"/>
      <c r="G120056" s="12"/>
      <c r="H120056" s="12"/>
      <c r="I120056" s="12"/>
      <c r="J120056" s="12"/>
      <c r="K120056" s="12"/>
      <c r="L120056" s="208"/>
      <c r="M120056" s="209"/>
      <c r="N120056" s="209"/>
      <c r="O120056" s="209"/>
    </row>
    <row r="120057" spans="1:15" s="210" customFormat="1" x14ac:dyDescent="0.3">
      <c r="A120057" s="12"/>
      <c r="B120057" s="15"/>
      <c r="C120057" s="15"/>
      <c r="D120057" s="12"/>
      <c r="E120057" s="12"/>
      <c r="F120057" s="13"/>
      <c r="G120057" s="12"/>
      <c r="H120057" s="12"/>
      <c r="I120057" s="12"/>
      <c r="J120057" s="12"/>
      <c r="K120057" s="12"/>
      <c r="L120057" s="208"/>
      <c r="M120057" s="209"/>
      <c r="N120057" s="209"/>
      <c r="O120057" s="209"/>
    </row>
    <row r="120058" spans="1:15" s="210" customFormat="1" x14ac:dyDescent="0.3">
      <c r="A120058" s="12"/>
      <c r="B120058" s="15"/>
      <c r="C120058" s="15"/>
      <c r="D120058" s="12"/>
      <c r="E120058" s="12"/>
      <c r="F120058" s="13"/>
      <c r="G120058" s="12"/>
      <c r="H120058" s="12"/>
      <c r="I120058" s="12"/>
      <c r="J120058" s="12"/>
      <c r="K120058" s="12"/>
      <c r="L120058" s="208"/>
      <c r="M120058" s="209"/>
      <c r="N120058" s="209"/>
      <c r="O120058" s="209"/>
    </row>
    <row r="120059" spans="1:15" s="210" customFormat="1" x14ac:dyDescent="0.3">
      <c r="A120059" s="12"/>
      <c r="B120059" s="15"/>
      <c r="C120059" s="15"/>
      <c r="D120059" s="12"/>
      <c r="E120059" s="12"/>
      <c r="F120059" s="13"/>
      <c r="G120059" s="12"/>
      <c r="H120059" s="12"/>
      <c r="I120059" s="12"/>
      <c r="J120059" s="12"/>
      <c r="K120059" s="12"/>
      <c r="L120059" s="208"/>
      <c r="M120059" s="209"/>
      <c r="N120059" s="209"/>
      <c r="O120059" s="209"/>
    </row>
    <row r="120060" spans="1:15" s="210" customFormat="1" x14ac:dyDescent="0.3">
      <c r="A120060" s="12"/>
      <c r="B120060" s="15"/>
      <c r="C120060" s="15"/>
      <c r="D120060" s="12"/>
      <c r="E120060" s="12"/>
      <c r="F120060" s="13"/>
      <c r="G120060" s="12"/>
      <c r="H120060" s="12"/>
      <c r="I120060" s="12"/>
      <c r="J120060" s="12"/>
      <c r="K120060" s="12"/>
      <c r="L120060" s="208"/>
      <c r="M120060" s="209"/>
      <c r="N120060" s="209"/>
      <c r="O120060" s="209"/>
    </row>
    <row r="120061" spans="1:15" s="210" customFormat="1" x14ac:dyDescent="0.3">
      <c r="A120061" s="12"/>
      <c r="B120061" s="15"/>
      <c r="C120061" s="15"/>
      <c r="D120061" s="12"/>
      <c r="E120061" s="12"/>
      <c r="F120061" s="13"/>
      <c r="G120061" s="12"/>
      <c r="H120061" s="12"/>
      <c r="I120061" s="12"/>
      <c r="J120061" s="12"/>
      <c r="K120061" s="12"/>
      <c r="L120061" s="208"/>
      <c r="M120061" s="209"/>
      <c r="N120061" s="209"/>
      <c r="O120061" s="209"/>
    </row>
    <row r="120062" spans="1:15" s="210" customFormat="1" x14ac:dyDescent="0.3">
      <c r="A120062" s="12"/>
      <c r="B120062" s="15"/>
      <c r="C120062" s="15"/>
      <c r="D120062" s="12"/>
      <c r="E120062" s="12"/>
      <c r="F120062" s="13"/>
      <c r="G120062" s="12"/>
      <c r="H120062" s="12"/>
      <c r="I120062" s="12"/>
      <c r="J120062" s="12"/>
      <c r="K120062" s="12"/>
      <c r="L120062" s="208"/>
      <c r="M120062" s="209"/>
      <c r="N120062" s="209"/>
      <c r="O120062" s="209"/>
    </row>
    <row r="120063" spans="1:15" s="210" customFormat="1" x14ac:dyDescent="0.3">
      <c r="A120063" s="12"/>
      <c r="B120063" s="15"/>
      <c r="C120063" s="15"/>
      <c r="D120063" s="12"/>
      <c r="E120063" s="12"/>
      <c r="F120063" s="13"/>
      <c r="G120063" s="12"/>
      <c r="H120063" s="12"/>
      <c r="I120063" s="12"/>
      <c r="J120063" s="12"/>
      <c r="K120063" s="12"/>
      <c r="L120063" s="208"/>
      <c r="M120063" s="209"/>
      <c r="N120063" s="209"/>
      <c r="O120063" s="209"/>
    </row>
    <row r="120064" spans="1:15" s="210" customFormat="1" x14ac:dyDescent="0.3">
      <c r="A120064" s="12"/>
      <c r="B120064" s="15"/>
      <c r="C120064" s="15"/>
      <c r="D120064" s="12"/>
      <c r="E120064" s="12"/>
      <c r="F120064" s="13"/>
      <c r="G120064" s="12"/>
      <c r="H120064" s="12"/>
      <c r="I120064" s="12"/>
      <c r="J120064" s="12"/>
      <c r="K120064" s="12"/>
      <c r="L120064" s="208"/>
      <c r="M120064" s="209"/>
      <c r="N120064" s="209"/>
      <c r="O120064" s="209"/>
    </row>
    <row r="120065" spans="1:15" s="210" customFormat="1" x14ac:dyDescent="0.3">
      <c r="A120065" s="12"/>
      <c r="B120065" s="15"/>
      <c r="C120065" s="15"/>
      <c r="D120065" s="12"/>
      <c r="E120065" s="12"/>
      <c r="F120065" s="13"/>
      <c r="G120065" s="12"/>
      <c r="H120065" s="12"/>
      <c r="I120065" s="12"/>
      <c r="J120065" s="12"/>
      <c r="K120065" s="12"/>
      <c r="L120065" s="208"/>
      <c r="M120065" s="209"/>
      <c r="N120065" s="209"/>
      <c r="O120065" s="209"/>
    </row>
    <row r="120066" spans="1:15" s="210" customFormat="1" x14ac:dyDescent="0.3">
      <c r="A120066" s="12"/>
      <c r="B120066" s="15"/>
      <c r="C120066" s="15"/>
      <c r="D120066" s="12"/>
      <c r="E120066" s="12"/>
      <c r="F120066" s="13"/>
      <c r="G120066" s="12"/>
      <c r="H120066" s="12"/>
      <c r="I120066" s="12"/>
      <c r="J120066" s="12"/>
      <c r="K120066" s="12"/>
      <c r="L120066" s="208"/>
      <c r="M120066" s="209"/>
      <c r="N120066" s="209"/>
      <c r="O120066" s="209"/>
    </row>
    <row r="120067" spans="1:15" s="210" customFormat="1" x14ac:dyDescent="0.3">
      <c r="A120067" s="12"/>
      <c r="B120067" s="15"/>
      <c r="C120067" s="15"/>
      <c r="D120067" s="12"/>
      <c r="E120067" s="12"/>
      <c r="F120067" s="13"/>
      <c r="G120067" s="12"/>
      <c r="H120067" s="12"/>
      <c r="I120067" s="12"/>
      <c r="J120067" s="12"/>
      <c r="K120067" s="12"/>
      <c r="L120067" s="208"/>
      <c r="M120067" s="209"/>
      <c r="N120067" s="209"/>
      <c r="O120067" s="209"/>
    </row>
    <row r="120068" spans="1:15" s="210" customFormat="1" x14ac:dyDescent="0.3">
      <c r="A120068" s="12"/>
      <c r="B120068" s="15"/>
      <c r="C120068" s="15"/>
      <c r="D120068" s="12"/>
      <c r="E120068" s="12"/>
      <c r="F120068" s="13"/>
      <c r="G120068" s="12"/>
      <c r="H120068" s="12"/>
      <c r="I120068" s="12"/>
      <c r="J120068" s="12"/>
      <c r="K120068" s="12"/>
      <c r="L120068" s="208"/>
      <c r="M120068" s="209"/>
      <c r="N120068" s="209"/>
      <c r="O120068" s="209"/>
    </row>
    <row r="120069" spans="1:15" s="210" customFormat="1" x14ac:dyDescent="0.3">
      <c r="A120069" s="12"/>
      <c r="B120069" s="15"/>
      <c r="C120069" s="15"/>
      <c r="D120069" s="12"/>
      <c r="E120069" s="12"/>
      <c r="F120069" s="13"/>
      <c r="G120069" s="12"/>
      <c r="H120069" s="12"/>
      <c r="I120069" s="12"/>
      <c r="J120069" s="12"/>
      <c r="K120069" s="12"/>
      <c r="L120069" s="208"/>
      <c r="M120069" s="209"/>
      <c r="N120069" s="209"/>
      <c r="O120069" s="209"/>
    </row>
    <row r="120070" spans="1:15" s="210" customFormat="1" x14ac:dyDescent="0.3">
      <c r="A120070" s="12"/>
      <c r="B120070" s="15"/>
      <c r="C120070" s="15"/>
      <c r="D120070" s="12"/>
      <c r="E120070" s="12"/>
      <c r="F120070" s="13"/>
      <c r="G120070" s="12"/>
      <c r="H120070" s="12"/>
      <c r="I120070" s="12"/>
      <c r="J120070" s="12"/>
      <c r="K120070" s="12"/>
      <c r="L120070" s="208"/>
      <c r="M120070" s="209"/>
      <c r="N120070" s="209"/>
      <c r="O120070" s="209"/>
    </row>
    <row r="120071" spans="1:15" s="210" customFormat="1" x14ac:dyDescent="0.3">
      <c r="A120071" s="12"/>
      <c r="B120071" s="15"/>
      <c r="C120071" s="15"/>
      <c r="D120071" s="12"/>
      <c r="E120071" s="12"/>
      <c r="F120071" s="13"/>
      <c r="G120071" s="12"/>
      <c r="H120071" s="12"/>
      <c r="I120071" s="12"/>
      <c r="J120071" s="12"/>
      <c r="K120071" s="12"/>
      <c r="L120071" s="208"/>
      <c r="M120071" s="209"/>
      <c r="N120071" s="209"/>
      <c r="O120071" s="209"/>
    </row>
    <row r="120072" spans="1:15" s="210" customFormat="1" x14ac:dyDescent="0.3">
      <c r="A120072" s="12"/>
      <c r="B120072" s="15"/>
      <c r="C120072" s="15"/>
      <c r="D120072" s="12"/>
      <c r="E120072" s="12"/>
      <c r="F120072" s="13"/>
      <c r="G120072" s="12"/>
      <c r="H120072" s="12"/>
      <c r="I120072" s="12"/>
      <c r="J120072" s="12"/>
      <c r="K120072" s="12"/>
      <c r="L120072" s="208"/>
      <c r="M120072" s="209"/>
      <c r="N120072" s="209"/>
      <c r="O120072" s="209"/>
    </row>
    <row r="120073" spans="1:15" s="210" customFormat="1" x14ac:dyDescent="0.3">
      <c r="A120073" s="12"/>
      <c r="B120073" s="15"/>
      <c r="C120073" s="15"/>
      <c r="D120073" s="12"/>
      <c r="E120073" s="12"/>
      <c r="F120073" s="13"/>
      <c r="G120073" s="12"/>
      <c r="H120073" s="12"/>
      <c r="I120073" s="12"/>
      <c r="J120073" s="12"/>
      <c r="K120073" s="12"/>
      <c r="L120073" s="208"/>
      <c r="M120073" s="209"/>
      <c r="N120073" s="209"/>
      <c r="O120073" s="209"/>
    </row>
    <row r="120074" spans="1:15" s="210" customFormat="1" x14ac:dyDescent="0.3">
      <c r="A120074" s="12"/>
      <c r="B120074" s="15"/>
      <c r="C120074" s="15"/>
      <c r="D120074" s="12"/>
      <c r="E120074" s="12"/>
      <c r="F120074" s="13"/>
      <c r="G120074" s="12"/>
      <c r="H120074" s="12"/>
      <c r="I120074" s="12"/>
      <c r="J120074" s="12"/>
      <c r="K120074" s="12"/>
      <c r="L120074" s="208"/>
      <c r="M120074" s="209"/>
      <c r="N120074" s="209"/>
      <c r="O120074" s="209"/>
    </row>
    <row r="120075" spans="1:15" s="210" customFormat="1" x14ac:dyDescent="0.3">
      <c r="A120075" s="12"/>
      <c r="B120075" s="15"/>
      <c r="C120075" s="15"/>
      <c r="D120075" s="12"/>
      <c r="E120075" s="12"/>
      <c r="F120075" s="13"/>
      <c r="G120075" s="12"/>
      <c r="H120075" s="12"/>
      <c r="I120075" s="12"/>
      <c r="J120075" s="12"/>
      <c r="K120075" s="12"/>
      <c r="L120075" s="208"/>
      <c r="M120075" s="209"/>
      <c r="N120075" s="209"/>
      <c r="O120075" s="209"/>
    </row>
    <row r="120076" spans="1:15" s="210" customFormat="1" x14ac:dyDescent="0.3">
      <c r="A120076" s="12"/>
      <c r="B120076" s="15"/>
      <c r="C120076" s="15"/>
      <c r="D120076" s="12"/>
      <c r="E120076" s="12"/>
      <c r="F120076" s="13"/>
      <c r="G120076" s="12"/>
      <c r="H120076" s="12"/>
      <c r="I120076" s="12"/>
      <c r="J120076" s="12"/>
      <c r="K120076" s="12"/>
      <c r="L120076" s="208"/>
      <c r="M120076" s="209"/>
      <c r="N120076" s="209"/>
      <c r="O120076" s="209"/>
    </row>
    <row r="120077" spans="1:15" s="210" customFormat="1" x14ac:dyDescent="0.3">
      <c r="A120077" s="12"/>
      <c r="B120077" s="15"/>
      <c r="C120077" s="15"/>
      <c r="D120077" s="12"/>
      <c r="E120077" s="12"/>
      <c r="F120077" s="13"/>
      <c r="G120077" s="12"/>
      <c r="H120077" s="12"/>
      <c r="I120077" s="12"/>
      <c r="J120077" s="12"/>
      <c r="K120077" s="12"/>
      <c r="L120077" s="208"/>
      <c r="M120077" s="209"/>
      <c r="N120077" s="209"/>
      <c r="O120077" s="209"/>
    </row>
    <row r="120078" spans="1:15" s="210" customFormat="1" x14ac:dyDescent="0.3">
      <c r="A120078" s="12"/>
      <c r="B120078" s="15"/>
      <c r="C120078" s="15"/>
      <c r="D120078" s="12"/>
      <c r="E120078" s="12"/>
      <c r="F120078" s="13"/>
      <c r="G120078" s="12"/>
      <c r="H120078" s="12"/>
      <c r="I120078" s="12"/>
      <c r="J120078" s="12"/>
      <c r="K120078" s="12"/>
      <c r="L120078" s="208"/>
      <c r="M120078" s="209"/>
      <c r="N120078" s="209"/>
      <c r="O120078" s="209"/>
    </row>
    <row r="120079" spans="1:15" s="210" customFormat="1" x14ac:dyDescent="0.3">
      <c r="A120079" s="12"/>
      <c r="B120079" s="15"/>
      <c r="C120079" s="15"/>
      <c r="D120079" s="12"/>
      <c r="E120079" s="12"/>
      <c r="F120079" s="13"/>
      <c r="G120079" s="12"/>
      <c r="H120079" s="12"/>
      <c r="I120079" s="12"/>
      <c r="J120079" s="12"/>
      <c r="K120079" s="12"/>
      <c r="L120079" s="208"/>
      <c r="M120079" s="209"/>
      <c r="N120079" s="209"/>
      <c r="O120079" s="209"/>
    </row>
    <row r="120080" spans="1:15" s="210" customFormat="1" x14ac:dyDescent="0.3">
      <c r="A120080" s="12"/>
      <c r="B120080" s="15"/>
      <c r="C120080" s="15"/>
      <c r="D120080" s="12"/>
      <c r="E120080" s="12"/>
      <c r="F120080" s="13"/>
      <c r="G120080" s="12"/>
      <c r="H120080" s="12"/>
      <c r="I120080" s="12"/>
      <c r="J120080" s="12"/>
      <c r="K120080" s="12"/>
      <c r="L120080" s="208"/>
      <c r="M120080" s="209"/>
      <c r="N120080" s="209"/>
      <c r="O120080" s="209"/>
    </row>
    <row r="120081" spans="1:15" s="210" customFormat="1" x14ac:dyDescent="0.3">
      <c r="A120081" s="12"/>
      <c r="B120081" s="15"/>
      <c r="C120081" s="15"/>
      <c r="D120081" s="12"/>
      <c r="E120081" s="12"/>
      <c r="F120081" s="13"/>
      <c r="G120081" s="12"/>
      <c r="H120081" s="12"/>
      <c r="I120081" s="12"/>
      <c r="J120081" s="12"/>
      <c r="K120081" s="12"/>
      <c r="L120081" s="208"/>
      <c r="M120081" s="209"/>
      <c r="N120081" s="209"/>
      <c r="O120081" s="209"/>
    </row>
    <row r="120082" spans="1:15" s="210" customFormat="1" x14ac:dyDescent="0.3">
      <c r="A120082" s="12"/>
      <c r="B120082" s="15"/>
      <c r="C120082" s="15"/>
      <c r="D120082" s="12"/>
      <c r="E120082" s="12"/>
      <c r="F120082" s="13"/>
      <c r="G120082" s="12"/>
      <c r="H120082" s="12"/>
      <c r="I120082" s="12"/>
      <c r="J120082" s="12"/>
      <c r="K120082" s="12"/>
      <c r="L120082" s="208"/>
      <c r="M120082" s="209"/>
      <c r="N120082" s="209"/>
      <c r="O120082" s="209"/>
    </row>
    <row r="120083" spans="1:15" s="210" customFormat="1" x14ac:dyDescent="0.3">
      <c r="A120083" s="12"/>
      <c r="B120083" s="15"/>
      <c r="C120083" s="15"/>
      <c r="D120083" s="12"/>
      <c r="E120083" s="12"/>
      <c r="F120083" s="13"/>
      <c r="G120083" s="12"/>
      <c r="H120083" s="12"/>
      <c r="I120083" s="12"/>
      <c r="J120083" s="12"/>
      <c r="K120083" s="12"/>
      <c r="L120083" s="208"/>
      <c r="M120083" s="209"/>
      <c r="N120083" s="209"/>
      <c r="O120083" s="209"/>
    </row>
    <row r="120084" spans="1:15" s="210" customFormat="1" x14ac:dyDescent="0.3">
      <c r="A120084" s="12"/>
      <c r="B120084" s="15"/>
      <c r="C120084" s="15"/>
      <c r="D120084" s="12"/>
      <c r="E120084" s="12"/>
      <c r="F120084" s="13"/>
      <c r="G120084" s="12"/>
      <c r="H120084" s="12"/>
      <c r="I120084" s="12"/>
      <c r="J120084" s="12"/>
      <c r="K120084" s="12"/>
      <c r="L120084" s="208"/>
      <c r="M120084" s="209"/>
      <c r="N120084" s="209"/>
      <c r="O120084" s="209"/>
    </row>
    <row r="120085" spans="1:15" s="210" customFormat="1" x14ac:dyDescent="0.3">
      <c r="A120085" s="12"/>
      <c r="B120085" s="15"/>
      <c r="C120085" s="15"/>
      <c r="D120085" s="12"/>
      <c r="E120085" s="12"/>
      <c r="F120085" s="13"/>
      <c r="G120085" s="12"/>
      <c r="H120085" s="12"/>
      <c r="I120085" s="12"/>
      <c r="J120085" s="12"/>
      <c r="K120085" s="12"/>
      <c r="L120085" s="208"/>
      <c r="M120085" s="209"/>
      <c r="N120085" s="209"/>
      <c r="O120085" s="209"/>
    </row>
    <row r="120086" spans="1:15" s="210" customFormat="1" x14ac:dyDescent="0.3">
      <c r="A120086" s="12"/>
      <c r="B120086" s="15"/>
      <c r="C120086" s="15"/>
      <c r="D120086" s="12"/>
      <c r="E120086" s="12"/>
      <c r="F120086" s="13"/>
      <c r="G120086" s="12"/>
      <c r="H120086" s="12"/>
      <c r="I120086" s="12"/>
      <c r="J120086" s="12"/>
      <c r="K120086" s="12"/>
      <c r="L120086" s="208"/>
      <c r="M120086" s="209"/>
      <c r="N120086" s="209"/>
      <c r="O120086" s="209"/>
    </row>
    <row r="120087" spans="1:15" s="210" customFormat="1" x14ac:dyDescent="0.3">
      <c r="A120087" s="12"/>
      <c r="B120087" s="15"/>
      <c r="C120087" s="15"/>
      <c r="D120087" s="12"/>
      <c r="E120087" s="12"/>
      <c r="F120087" s="13"/>
      <c r="G120087" s="12"/>
      <c r="H120087" s="12"/>
      <c r="I120087" s="12"/>
      <c r="J120087" s="12"/>
      <c r="K120087" s="12"/>
      <c r="L120087" s="208"/>
      <c r="M120087" s="209"/>
      <c r="N120087" s="209"/>
      <c r="O120087" s="209"/>
    </row>
    <row r="120088" spans="1:15" s="210" customFormat="1" x14ac:dyDescent="0.3">
      <c r="A120088" s="12"/>
      <c r="B120088" s="15"/>
      <c r="C120088" s="15"/>
      <c r="D120088" s="12"/>
      <c r="E120088" s="12"/>
      <c r="F120088" s="13"/>
      <c r="G120088" s="12"/>
      <c r="H120088" s="12"/>
      <c r="I120088" s="12"/>
      <c r="J120088" s="12"/>
      <c r="K120088" s="12"/>
      <c r="L120088" s="208"/>
      <c r="M120088" s="209"/>
      <c r="N120088" s="209"/>
      <c r="O120088" s="209"/>
    </row>
    <row r="120089" spans="1:15" s="210" customFormat="1" x14ac:dyDescent="0.3">
      <c r="A120089" s="12"/>
      <c r="B120089" s="15"/>
      <c r="C120089" s="15"/>
      <c r="D120089" s="12"/>
      <c r="E120089" s="12"/>
      <c r="F120089" s="13"/>
      <c r="G120089" s="12"/>
      <c r="H120089" s="12"/>
      <c r="I120089" s="12"/>
      <c r="J120089" s="12"/>
      <c r="K120089" s="12"/>
      <c r="L120089" s="208"/>
      <c r="M120089" s="209"/>
      <c r="N120089" s="209"/>
      <c r="O120089" s="209"/>
    </row>
    <row r="120090" spans="1:15" s="210" customFormat="1" x14ac:dyDescent="0.3">
      <c r="A120090" s="12"/>
      <c r="B120090" s="15"/>
      <c r="C120090" s="15"/>
      <c r="D120090" s="12"/>
      <c r="E120090" s="12"/>
      <c r="F120090" s="13"/>
      <c r="G120090" s="12"/>
      <c r="H120090" s="12"/>
      <c r="I120090" s="12"/>
      <c r="J120090" s="12"/>
      <c r="K120090" s="12"/>
      <c r="L120090" s="208"/>
      <c r="M120090" s="209"/>
      <c r="N120090" s="209"/>
      <c r="O120090" s="209"/>
    </row>
    <row r="120091" spans="1:15" s="210" customFormat="1" x14ac:dyDescent="0.3">
      <c r="A120091" s="12"/>
      <c r="B120091" s="15"/>
      <c r="C120091" s="15"/>
      <c r="D120091" s="12"/>
      <c r="E120091" s="12"/>
      <c r="F120091" s="13"/>
      <c r="G120091" s="12"/>
      <c r="H120091" s="12"/>
      <c r="I120091" s="12"/>
      <c r="J120091" s="12"/>
      <c r="K120091" s="12"/>
      <c r="L120091" s="208"/>
      <c r="M120091" s="209"/>
      <c r="N120091" s="209"/>
      <c r="O120091" s="209"/>
    </row>
    <row r="120092" spans="1:15" s="210" customFormat="1" x14ac:dyDescent="0.3">
      <c r="A120092" s="12"/>
      <c r="B120092" s="15"/>
      <c r="C120092" s="15"/>
      <c r="D120092" s="12"/>
      <c r="E120092" s="12"/>
      <c r="F120092" s="13"/>
      <c r="G120092" s="12"/>
      <c r="H120092" s="12"/>
      <c r="I120092" s="12"/>
      <c r="J120092" s="12"/>
      <c r="K120092" s="12"/>
      <c r="L120092" s="208"/>
      <c r="M120092" s="209"/>
      <c r="N120092" s="209"/>
      <c r="O120092" s="209"/>
    </row>
    <row r="120093" spans="1:15" s="210" customFormat="1" x14ac:dyDescent="0.3">
      <c r="A120093" s="12"/>
      <c r="B120093" s="15"/>
      <c r="C120093" s="15"/>
      <c r="D120093" s="12"/>
      <c r="E120093" s="12"/>
      <c r="F120093" s="13"/>
      <c r="G120093" s="12"/>
      <c r="H120093" s="12"/>
      <c r="I120093" s="12"/>
      <c r="J120093" s="12"/>
      <c r="K120093" s="12"/>
      <c r="L120093" s="208"/>
      <c r="M120093" s="209"/>
      <c r="N120093" s="209"/>
      <c r="O120093" s="209"/>
    </row>
    <row r="120094" spans="1:15" s="210" customFormat="1" x14ac:dyDescent="0.3">
      <c r="A120094" s="12"/>
      <c r="B120094" s="15"/>
      <c r="C120094" s="15"/>
      <c r="D120094" s="12"/>
      <c r="E120094" s="12"/>
      <c r="F120094" s="13"/>
      <c r="G120094" s="12"/>
      <c r="H120094" s="12"/>
      <c r="I120094" s="12"/>
      <c r="J120094" s="12"/>
      <c r="K120094" s="12"/>
      <c r="L120094" s="208"/>
      <c r="M120094" s="209"/>
      <c r="N120094" s="209"/>
      <c r="O120094" s="209"/>
    </row>
    <row r="120095" spans="1:15" s="210" customFormat="1" x14ac:dyDescent="0.3">
      <c r="A120095" s="12"/>
      <c r="B120095" s="15"/>
      <c r="C120095" s="15"/>
      <c r="D120095" s="12"/>
      <c r="E120095" s="12"/>
      <c r="F120095" s="13"/>
      <c r="G120095" s="12"/>
      <c r="H120095" s="12"/>
      <c r="I120095" s="12"/>
      <c r="J120095" s="12"/>
      <c r="K120095" s="12"/>
      <c r="L120095" s="208"/>
      <c r="M120095" s="209"/>
      <c r="N120095" s="209"/>
      <c r="O120095" s="209"/>
    </row>
    <row r="120096" spans="1:15" s="210" customFormat="1" x14ac:dyDescent="0.3">
      <c r="A120096" s="12"/>
      <c r="B120096" s="15"/>
      <c r="C120096" s="15"/>
      <c r="D120096" s="12"/>
      <c r="E120096" s="12"/>
      <c r="F120096" s="13"/>
      <c r="G120096" s="12"/>
      <c r="H120096" s="12"/>
      <c r="I120096" s="12"/>
      <c r="J120096" s="12"/>
      <c r="K120096" s="12"/>
      <c r="L120096" s="208"/>
      <c r="M120096" s="209"/>
      <c r="N120096" s="209"/>
      <c r="O120096" s="209"/>
    </row>
    <row r="120097" spans="1:15" s="210" customFormat="1" x14ac:dyDescent="0.3">
      <c r="A120097" s="12"/>
      <c r="B120097" s="15"/>
      <c r="C120097" s="15"/>
      <c r="D120097" s="12"/>
      <c r="E120097" s="12"/>
      <c r="F120097" s="13"/>
      <c r="G120097" s="12"/>
      <c r="H120097" s="12"/>
      <c r="I120097" s="12"/>
      <c r="J120097" s="12"/>
      <c r="K120097" s="12"/>
      <c r="L120097" s="208"/>
      <c r="M120097" s="209"/>
      <c r="N120097" s="209"/>
      <c r="O120097" s="209"/>
    </row>
    <row r="120098" spans="1:15" s="210" customFormat="1" x14ac:dyDescent="0.3">
      <c r="A120098" s="12"/>
      <c r="B120098" s="15"/>
      <c r="C120098" s="15"/>
      <c r="D120098" s="12"/>
      <c r="E120098" s="12"/>
      <c r="F120098" s="13"/>
      <c r="G120098" s="12"/>
      <c r="H120098" s="12"/>
      <c r="I120098" s="12"/>
      <c r="J120098" s="12"/>
      <c r="K120098" s="12"/>
      <c r="L120098" s="208"/>
      <c r="M120098" s="209"/>
      <c r="N120098" s="209"/>
      <c r="O120098" s="209"/>
    </row>
    <row r="120099" spans="1:15" s="210" customFormat="1" x14ac:dyDescent="0.3">
      <c r="A120099" s="12"/>
      <c r="B120099" s="15"/>
      <c r="C120099" s="15"/>
      <c r="D120099" s="12"/>
      <c r="E120099" s="12"/>
      <c r="F120099" s="13"/>
      <c r="G120099" s="12"/>
      <c r="H120099" s="12"/>
      <c r="I120099" s="12"/>
      <c r="J120099" s="12"/>
      <c r="K120099" s="12"/>
      <c r="L120099" s="208"/>
      <c r="M120099" s="209"/>
      <c r="N120099" s="209"/>
      <c r="O120099" s="209"/>
    </row>
    <row r="120100" spans="1:15" s="210" customFormat="1" x14ac:dyDescent="0.3">
      <c r="A120100" s="12"/>
      <c r="B120100" s="15"/>
      <c r="C120100" s="15"/>
      <c r="D120100" s="12"/>
      <c r="E120100" s="12"/>
      <c r="F120100" s="13"/>
      <c r="G120100" s="12"/>
      <c r="H120100" s="12"/>
      <c r="I120100" s="12"/>
      <c r="J120100" s="12"/>
      <c r="K120100" s="12"/>
      <c r="L120100" s="208"/>
      <c r="M120100" s="209"/>
      <c r="N120100" s="209"/>
      <c r="O120100" s="209"/>
    </row>
    <row r="120101" spans="1:15" s="210" customFormat="1" x14ac:dyDescent="0.3">
      <c r="A120101" s="12"/>
      <c r="B120101" s="15"/>
      <c r="C120101" s="15"/>
      <c r="D120101" s="12"/>
      <c r="E120101" s="12"/>
      <c r="F120101" s="13"/>
      <c r="G120101" s="12"/>
      <c r="H120101" s="12"/>
      <c r="I120101" s="12"/>
      <c r="J120101" s="12"/>
      <c r="K120101" s="12"/>
      <c r="L120101" s="208"/>
      <c r="M120101" s="209"/>
      <c r="N120101" s="209"/>
      <c r="O120101" s="209"/>
    </row>
    <row r="120102" spans="1:15" s="210" customFormat="1" x14ac:dyDescent="0.3">
      <c r="A120102" s="12"/>
      <c r="B120102" s="15"/>
      <c r="C120102" s="15"/>
      <c r="D120102" s="12"/>
      <c r="E120102" s="12"/>
      <c r="F120102" s="13"/>
      <c r="G120102" s="12"/>
      <c r="H120102" s="12"/>
      <c r="I120102" s="12"/>
      <c r="J120102" s="12"/>
      <c r="K120102" s="12"/>
      <c r="L120102" s="208"/>
      <c r="M120102" s="209"/>
      <c r="N120102" s="209"/>
      <c r="O120102" s="209"/>
    </row>
    <row r="120103" spans="1:15" s="210" customFormat="1" x14ac:dyDescent="0.3">
      <c r="A120103" s="12"/>
      <c r="B120103" s="15"/>
      <c r="C120103" s="15"/>
      <c r="D120103" s="12"/>
      <c r="E120103" s="12"/>
      <c r="F120103" s="13"/>
      <c r="G120103" s="12"/>
      <c r="H120103" s="12"/>
      <c r="I120103" s="12"/>
      <c r="J120103" s="12"/>
      <c r="K120103" s="12"/>
      <c r="L120103" s="208"/>
      <c r="M120103" s="209"/>
      <c r="N120103" s="209"/>
      <c r="O120103" s="209"/>
    </row>
    <row r="120104" spans="1:15" s="210" customFormat="1" x14ac:dyDescent="0.3">
      <c r="A120104" s="12"/>
      <c r="B120104" s="15"/>
      <c r="C120104" s="15"/>
      <c r="D120104" s="12"/>
      <c r="E120104" s="12"/>
      <c r="F120104" s="13"/>
      <c r="G120104" s="12"/>
      <c r="H120104" s="12"/>
      <c r="I120104" s="12"/>
      <c r="J120104" s="12"/>
      <c r="K120104" s="12"/>
      <c r="L120104" s="208"/>
      <c r="M120104" s="209"/>
      <c r="N120104" s="209"/>
      <c r="O120104" s="209"/>
    </row>
    <row r="120105" spans="1:15" s="210" customFormat="1" x14ac:dyDescent="0.3">
      <c r="A120105" s="12"/>
      <c r="B120105" s="15"/>
      <c r="C120105" s="15"/>
      <c r="D120105" s="12"/>
      <c r="E120105" s="12"/>
      <c r="F120105" s="13"/>
      <c r="G120105" s="12"/>
      <c r="H120105" s="12"/>
      <c r="I120105" s="12"/>
      <c r="J120105" s="12"/>
      <c r="K120105" s="12"/>
      <c r="L120105" s="208"/>
      <c r="M120105" s="209"/>
      <c r="N120105" s="209"/>
      <c r="O120105" s="209"/>
    </row>
    <row r="120106" spans="1:15" s="210" customFormat="1" x14ac:dyDescent="0.3">
      <c r="A120106" s="12"/>
      <c r="B120106" s="15"/>
      <c r="C120106" s="15"/>
      <c r="D120106" s="12"/>
      <c r="E120106" s="12"/>
      <c r="F120106" s="13"/>
      <c r="G120106" s="12"/>
      <c r="H120106" s="12"/>
      <c r="I120106" s="12"/>
      <c r="J120106" s="12"/>
      <c r="K120106" s="12"/>
      <c r="L120106" s="208"/>
      <c r="M120106" s="209"/>
      <c r="N120106" s="209"/>
      <c r="O120106" s="209"/>
    </row>
    <row r="120107" spans="1:15" s="210" customFormat="1" x14ac:dyDescent="0.3">
      <c r="A120107" s="12"/>
      <c r="B120107" s="15"/>
      <c r="C120107" s="15"/>
      <c r="D120107" s="12"/>
      <c r="E120107" s="12"/>
      <c r="F120107" s="13"/>
      <c r="G120107" s="12"/>
      <c r="H120107" s="12"/>
      <c r="I120107" s="12"/>
      <c r="J120107" s="12"/>
      <c r="K120107" s="12"/>
      <c r="L120107" s="208"/>
      <c r="M120107" s="209"/>
      <c r="N120107" s="209"/>
      <c r="O120107" s="209"/>
    </row>
    <row r="120108" spans="1:15" s="210" customFormat="1" x14ac:dyDescent="0.3">
      <c r="A120108" s="12"/>
      <c r="B120108" s="15"/>
      <c r="C120108" s="15"/>
      <c r="D120108" s="12"/>
      <c r="E120108" s="12"/>
      <c r="F120108" s="13"/>
      <c r="G120108" s="12"/>
      <c r="H120108" s="12"/>
      <c r="I120108" s="12"/>
      <c r="J120108" s="12"/>
      <c r="K120108" s="12"/>
      <c r="L120108" s="208"/>
      <c r="M120108" s="209"/>
      <c r="N120108" s="209"/>
      <c r="O120108" s="209"/>
    </row>
    <row r="120109" spans="1:15" s="210" customFormat="1" x14ac:dyDescent="0.3">
      <c r="A120109" s="12"/>
      <c r="B120109" s="15"/>
      <c r="C120109" s="15"/>
      <c r="D120109" s="12"/>
      <c r="E120109" s="12"/>
      <c r="F120109" s="13"/>
      <c r="G120109" s="12"/>
      <c r="H120109" s="12"/>
      <c r="I120109" s="12"/>
      <c r="J120109" s="12"/>
      <c r="K120109" s="12"/>
      <c r="L120109" s="208"/>
      <c r="M120109" s="209"/>
      <c r="N120109" s="209"/>
      <c r="O120109" s="209"/>
    </row>
    <row r="120110" spans="1:15" s="210" customFormat="1" x14ac:dyDescent="0.3">
      <c r="A120110" s="12"/>
      <c r="B120110" s="15"/>
      <c r="C120110" s="15"/>
      <c r="D120110" s="12"/>
      <c r="E120110" s="12"/>
      <c r="F120110" s="13"/>
      <c r="G120110" s="12"/>
      <c r="H120110" s="12"/>
      <c r="I120110" s="12"/>
      <c r="J120110" s="12"/>
      <c r="K120110" s="12"/>
      <c r="L120110" s="208"/>
      <c r="M120110" s="209"/>
      <c r="N120110" s="209"/>
      <c r="O120110" s="209"/>
    </row>
    <row r="120111" spans="1:15" s="210" customFormat="1" x14ac:dyDescent="0.3">
      <c r="A120111" s="12"/>
      <c r="B120111" s="15"/>
      <c r="C120111" s="15"/>
      <c r="D120111" s="12"/>
      <c r="E120111" s="12"/>
      <c r="F120111" s="13"/>
      <c r="G120111" s="12"/>
      <c r="H120111" s="12"/>
      <c r="I120111" s="12"/>
      <c r="J120111" s="12"/>
      <c r="K120111" s="12"/>
      <c r="L120111" s="208"/>
      <c r="M120111" s="209"/>
      <c r="N120111" s="209"/>
      <c r="O120111" s="209"/>
    </row>
    <row r="120112" spans="1:15" s="210" customFormat="1" x14ac:dyDescent="0.3">
      <c r="A120112" s="12"/>
      <c r="B120112" s="15"/>
      <c r="C120112" s="15"/>
      <c r="D120112" s="12"/>
      <c r="E120112" s="12"/>
      <c r="F120112" s="13"/>
      <c r="G120112" s="12"/>
      <c r="H120112" s="12"/>
      <c r="I120112" s="12"/>
      <c r="J120112" s="12"/>
      <c r="K120112" s="12"/>
      <c r="L120112" s="208"/>
      <c r="M120112" s="209"/>
      <c r="N120112" s="209"/>
      <c r="O120112" s="209"/>
    </row>
    <row r="120113" spans="1:15" s="210" customFormat="1" x14ac:dyDescent="0.3">
      <c r="A120113" s="12"/>
      <c r="B120113" s="15"/>
      <c r="C120113" s="15"/>
      <c r="D120113" s="12"/>
      <c r="E120113" s="12"/>
      <c r="F120113" s="13"/>
      <c r="G120113" s="12"/>
      <c r="H120113" s="12"/>
      <c r="I120113" s="12"/>
      <c r="J120113" s="12"/>
      <c r="K120113" s="12"/>
      <c r="L120113" s="208"/>
      <c r="M120113" s="209"/>
      <c r="N120113" s="209"/>
      <c r="O120113" s="209"/>
    </row>
    <row r="120114" spans="1:15" s="210" customFormat="1" x14ac:dyDescent="0.3">
      <c r="A120114" s="12"/>
      <c r="B120114" s="15"/>
      <c r="C120114" s="15"/>
      <c r="D120114" s="12"/>
      <c r="E120114" s="12"/>
      <c r="F120114" s="13"/>
      <c r="G120114" s="12"/>
      <c r="H120114" s="12"/>
      <c r="I120114" s="12"/>
      <c r="J120114" s="12"/>
      <c r="K120114" s="12"/>
      <c r="L120114" s="208"/>
      <c r="M120114" s="209"/>
      <c r="N120114" s="209"/>
      <c r="O120114" s="209"/>
    </row>
    <row r="120115" spans="1:15" s="210" customFormat="1" x14ac:dyDescent="0.3">
      <c r="A120115" s="12"/>
      <c r="B120115" s="15"/>
      <c r="C120115" s="15"/>
      <c r="D120115" s="12"/>
      <c r="E120115" s="12"/>
      <c r="F120115" s="13"/>
      <c r="G120115" s="12"/>
      <c r="H120115" s="12"/>
      <c r="I120115" s="12"/>
      <c r="J120115" s="12"/>
      <c r="K120115" s="12"/>
      <c r="L120115" s="208"/>
      <c r="M120115" s="209"/>
      <c r="N120115" s="209"/>
      <c r="O120115" s="209"/>
    </row>
    <row r="120116" spans="1:15" s="210" customFormat="1" x14ac:dyDescent="0.3">
      <c r="A120116" s="12"/>
      <c r="B120116" s="15"/>
      <c r="C120116" s="15"/>
      <c r="D120116" s="12"/>
      <c r="E120116" s="12"/>
      <c r="F120116" s="13"/>
      <c r="G120116" s="12"/>
      <c r="H120116" s="12"/>
      <c r="I120116" s="12"/>
      <c r="J120116" s="12"/>
      <c r="K120116" s="12"/>
      <c r="L120116" s="208"/>
      <c r="M120116" s="209"/>
      <c r="N120116" s="209"/>
      <c r="O120116" s="209"/>
    </row>
    <row r="120117" spans="1:15" s="210" customFormat="1" x14ac:dyDescent="0.3">
      <c r="A120117" s="12"/>
      <c r="B120117" s="15"/>
      <c r="C120117" s="15"/>
      <c r="D120117" s="12"/>
      <c r="E120117" s="12"/>
      <c r="F120117" s="13"/>
      <c r="G120117" s="12"/>
      <c r="H120117" s="12"/>
      <c r="I120117" s="12"/>
      <c r="J120117" s="12"/>
      <c r="K120117" s="12"/>
      <c r="L120117" s="208"/>
      <c r="M120117" s="209"/>
      <c r="N120117" s="209"/>
      <c r="O120117" s="209"/>
    </row>
    <row r="120118" spans="1:15" s="210" customFormat="1" x14ac:dyDescent="0.3">
      <c r="A120118" s="12"/>
      <c r="B120118" s="15"/>
      <c r="C120118" s="15"/>
      <c r="D120118" s="12"/>
      <c r="E120118" s="12"/>
      <c r="F120118" s="13"/>
      <c r="G120118" s="12"/>
      <c r="H120118" s="12"/>
      <c r="I120118" s="12"/>
      <c r="J120118" s="12"/>
      <c r="K120118" s="12"/>
      <c r="L120118" s="208"/>
      <c r="M120118" s="209"/>
      <c r="N120118" s="209"/>
      <c r="O120118" s="209"/>
    </row>
    <row r="120119" spans="1:15" s="210" customFormat="1" x14ac:dyDescent="0.3">
      <c r="A120119" s="12"/>
      <c r="B120119" s="15"/>
      <c r="C120119" s="15"/>
      <c r="D120119" s="12"/>
      <c r="E120119" s="12"/>
      <c r="F120119" s="13"/>
      <c r="G120119" s="12"/>
      <c r="H120119" s="12"/>
      <c r="I120119" s="12"/>
      <c r="J120119" s="12"/>
      <c r="K120119" s="12"/>
      <c r="L120119" s="208"/>
      <c r="M120119" s="209"/>
      <c r="N120119" s="209"/>
      <c r="O120119" s="209"/>
    </row>
    <row r="120120" spans="1:15" s="210" customFormat="1" x14ac:dyDescent="0.3">
      <c r="A120120" s="12"/>
      <c r="B120120" s="15"/>
      <c r="C120120" s="15"/>
      <c r="D120120" s="12"/>
      <c r="E120120" s="12"/>
      <c r="F120120" s="13"/>
      <c r="G120120" s="12"/>
      <c r="H120120" s="12"/>
      <c r="I120120" s="12"/>
      <c r="J120120" s="12"/>
      <c r="K120120" s="12"/>
      <c r="L120120" s="208"/>
      <c r="M120120" s="209"/>
      <c r="N120120" s="209"/>
      <c r="O120120" s="209"/>
    </row>
    <row r="120121" spans="1:15" s="210" customFormat="1" x14ac:dyDescent="0.3">
      <c r="A120121" s="12"/>
      <c r="B120121" s="15"/>
      <c r="C120121" s="15"/>
      <c r="D120121" s="12"/>
      <c r="E120121" s="12"/>
      <c r="F120121" s="13"/>
      <c r="G120121" s="12"/>
      <c r="H120121" s="12"/>
      <c r="I120121" s="12"/>
      <c r="J120121" s="12"/>
      <c r="K120121" s="12"/>
      <c r="L120121" s="208"/>
      <c r="M120121" s="209"/>
      <c r="N120121" s="209"/>
      <c r="O120121" s="209"/>
    </row>
    <row r="120122" spans="1:15" s="210" customFormat="1" x14ac:dyDescent="0.3">
      <c r="A120122" s="12"/>
      <c r="B120122" s="15"/>
      <c r="C120122" s="15"/>
      <c r="D120122" s="12"/>
      <c r="E120122" s="12"/>
      <c r="F120122" s="13"/>
      <c r="G120122" s="12"/>
      <c r="H120122" s="12"/>
      <c r="I120122" s="12"/>
      <c r="J120122" s="12"/>
      <c r="K120122" s="12"/>
      <c r="L120122" s="208"/>
      <c r="M120122" s="209"/>
      <c r="N120122" s="209"/>
      <c r="O120122" s="209"/>
    </row>
    <row r="120123" spans="1:15" s="210" customFormat="1" x14ac:dyDescent="0.3">
      <c r="A120123" s="12"/>
      <c r="B120123" s="15"/>
      <c r="C120123" s="15"/>
      <c r="D120123" s="12"/>
      <c r="E120123" s="12"/>
      <c r="F120123" s="13"/>
      <c r="G120123" s="12"/>
      <c r="H120123" s="12"/>
      <c r="I120123" s="12"/>
      <c r="J120123" s="12"/>
      <c r="K120123" s="12"/>
      <c r="L120123" s="208"/>
      <c r="M120123" s="209"/>
      <c r="N120123" s="209"/>
      <c r="O120123" s="209"/>
    </row>
    <row r="120124" spans="1:15" s="210" customFormat="1" x14ac:dyDescent="0.3">
      <c r="A120124" s="12"/>
      <c r="B120124" s="15"/>
      <c r="C120124" s="15"/>
      <c r="D120124" s="12"/>
      <c r="E120124" s="12"/>
      <c r="F120124" s="13"/>
      <c r="G120124" s="12"/>
      <c r="H120124" s="12"/>
      <c r="I120124" s="12"/>
      <c r="J120124" s="12"/>
      <c r="K120124" s="12"/>
      <c r="L120124" s="208"/>
      <c r="M120124" s="209"/>
      <c r="N120124" s="209"/>
      <c r="O120124" s="209"/>
    </row>
    <row r="120125" spans="1:15" s="210" customFormat="1" x14ac:dyDescent="0.3">
      <c r="A120125" s="12"/>
      <c r="B120125" s="15"/>
      <c r="C120125" s="15"/>
      <c r="D120125" s="12"/>
      <c r="E120125" s="12"/>
      <c r="F120125" s="13"/>
      <c r="G120125" s="12"/>
      <c r="H120125" s="12"/>
      <c r="I120125" s="12"/>
      <c r="J120125" s="12"/>
      <c r="K120125" s="12"/>
      <c r="L120125" s="208"/>
      <c r="M120125" s="209"/>
      <c r="N120125" s="209"/>
      <c r="O120125" s="209"/>
    </row>
    <row r="120126" spans="1:15" s="210" customFormat="1" x14ac:dyDescent="0.3">
      <c r="A120126" s="12"/>
      <c r="B120126" s="15"/>
      <c r="C120126" s="15"/>
      <c r="D120126" s="12"/>
      <c r="E120126" s="12"/>
      <c r="F120126" s="13"/>
      <c r="G120126" s="12"/>
      <c r="H120126" s="12"/>
      <c r="I120126" s="12"/>
      <c r="J120126" s="12"/>
      <c r="K120126" s="12"/>
      <c r="L120126" s="208"/>
      <c r="M120126" s="209"/>
      <c r="N120126" s="209"/>
      <c r="O120126" s="209"/>
    </row>
    <row r="120127" spans="1:15" s="210" customFormat="1" x14ac:dyDescent="0.3">
      <c r="A120127" s="12"/>
      <c r="B120127" s="15"/>
      <c r="C120127" s="15"/>
      <c r="D120127" s="12"/>
      <c r="E120127" s="12"/>
      <c r="F120127" s="13"/>
      <c r="G120127" s="12"/>
      <c r="H120127" s="12"/>
      <c r="I120127" s="12"/>
      <c r="J120127" s="12"/>
      <c r="K120127" s="12"/>
      <c r="L120127" s="208"/>
      <c r="M120127" s="209"/>
      <c r="N120127" s="209"/>
      <c r="O120127" s="209"/>
    </row>
    <row r="120128" spans="1:15" s="210" customFormat="1" x14ac:dyDescent="0.3">
      <c r="A120128" s="12"/>
      <c r="B120128" s="15"/>
      <c r="C120128" s="15"/>
      <c r="D120128" s="12"/>
      <c r="E120128" s="12"/>
      <c r="F120128" s="13"/>
      <c r="G120128" s="12"/>
      <c r="H120128" s="12"/>
      <c r="I120128" s="12"/>
      <c r="J120128" s="12"/>
      <c r="K120128" s="12"/>
      <c r="L120128" s="208"/>
      <c r="M120128" s="209"/>
      <c r="N120128" s="209"/>
      <c r="O120128" s="209"/>
    </row>
    <row r="120129" spans="1:15" s="210" customFormat="1" x14ac:dyDescent="0.3">
      <c r="A120129" s="12"/>
      <c r="B120129" s="15"/>
      <c r="C120129" s="15"/>
      <c r="D120129" s="12"/>
      <c r="E120129" s="12"/>
      <c r="F120129" s="13"/>
      <c r="G120129" s="12"/>
      <c r="H120129" s="12"/>
      <c r="I120129" s="12"/>
      <c r="J120129" s="12"/>
      <c r="K120129" s="12"/>
      <c r="L120129" s="208"/>
      <c r="M120129" s="209"/>
      <c r="N120129" s="209"/>
      <c r="O120129" s="209"/>
    </row>
    <row r="120130" spans="1:15" s="210" customFormat="1" x14ac:dyDescent="0.3">
      <c r="A120130" s="12"/>
      <c r="B120130" s="15"/>
      <c r="C120130" s="15"/>
      <c r="D120130" s="12"/>
      <c r="E120130" s="12"/>
      <c r="F120130" s="13"/>
      <c r="G120130" s="12"/>
      <c r="H120130" s="12"/>
      <c r="I120130" s="12"/>
      <c r="J120130" s="12"/>
      <c r="K120130" s="12"/>
      <c r="L120130" s="208"/>
      <c r="M120130" s="209"/>
      <c r="N120130" s="209"/>
      <c r="O120130" s="209"/>
    </row>
    <row r="120131" spans="1:15" s="210" customFormat="1" x14ac:dyDescent="0.3">
      <c r="A120131" s="12"/>
      <c r="B120131" s="15"/>
      <c r="C120131" s="15"/>
      <c r="D120131" s="12"/>
      <c r="E120131" s="12"/>
      <c r="F120131" s="13"/>
      <c r="G120131" s="12"/>
      <c r="H120131" s="12"/>
      <c r="I120131" s="12"/>
      <c r="J120131" s="12"/>
      <c r="K120131" s="12"/>
      <c r="L120131" s="208"/>
      <c r="M120131" s="209"/>
      <c r="N120131" s="209"/>
      <c r="O120131" s="209"/>
    </row>
    <row r="120132" spans="1:15" s="210" customFormat="1" x14ac:dyDescent="0.3">
      <c r="A120132" s="12"/>
      <c r="B120132" s="15"/>
      <c r="C120132" s="15"/>
      <c r="D120132" s="12"/>
      <c r="E120132" s="12"/>
      <c r="F120132" s="13"/>
      <c r="G120132" s="12"/>
      <c r="H120132" s="12"/>
      <c r="I120132" s="12"/>
      <c r="J120132" s="12"/>
      <c r="K120132" s="12"/>
      <c r="L120132" s="208"/>
      <c r="M120132" s="209"/>
      <c r="N120132" s="209"/>
      <c r="O120132" s="209"/>
    </row>
    <row r="120133" spans="1:15" s="210" customFormat="1" x14ac:dyDescent="0.3">
      <c r="A120133" s="12"/>
      <c r="B120133" s="15"/>
      <c r="C120133" s="15"/>
      <c r="D120133" s="12"/>
      <c r="E120133" s="12"/>
      <c r="F120133" s="13"/>
      <c r="G120133" s="12"/>
      <c r="H120133" s="12"/>
      <c r="I120133" s="12"/>
      <c r="J120133" s="12"/>
      <c r="K120133" s="12"/>
      <c r="L120133" s="208"/>
      <c r="M120133" s="209"/>
      <c r="N120133" s="209"/>
      <c r="O120133" s="209"/>
    </row>
    <row r="120134" spans="1:15" s="210" customFormat="1" x14ac:dyDescent="0.3">
      <c r="A120134" s="12"/>
      <c r="B120134" s="15"/>
      <c r="C120134" s="15"/>
      <c r="D120134" s="12"/>
      <c r="E120134" s="12"/>
      <c r="F120134" s="13"/>
      <c r="G120134" s="12"/>
      <c r="H120134" s="12"/>
      <c r="I120134" s="12"/>
      <c r="J120134" s="12"/>
      <c r="K120134" s="12"/>
      <c r="L120134" s="208"/>
      <c r="M120134" s="209"/>
      <c r="N120134" s="209"/>
      <c r="O120134" s="209"/>
    </row>
    <row r="120135" spans="1:15" s="210" customFormat="1" x14ac:dyDescent="0.3">
      <c r="A120135" s="12"/>
      <c r="B120135" s="15"/>
      <c r="C120135" s="15"/>
      <c r="D120135" s="12"/>
      <c r="E120135" s="12"/>
      <c r="F120135" s="13"/>
      <c r="G120135" s="12"/>
      <c r="H120135" s="12"/>
      <c r="I120135" s="12"/>
      <c r="J120135" s="12"/>
      <c r="K120135" s="12"/>
      <c r="L120135" s="208"/>
      <c r="M120135" s="209"/>
      <c r="N120135" s="209"/>
      <c r="O120135" s="209"/>
    </row>
    <row r="120136" spans="1:15" s="210" customFormat="1" x14ac:dyDescent="0.3">
      <c r="A120136" s="12"/>
      <c r="B120136" s="15"/>
      <c r="C120136" s="15"/>
      <c r="D120136" s="12"/>
      <c r="E120136" s="12"/>
      <c r="F120136" s="13"/>
      <c r="G120136" s="12"/>
      <c r="H120136" s="12"/>
      <c r="I120136" s="12"/>
      <c r="J120136" s="12"/>
      <c r="K120136" s="12"/>
      <c r="L120136" s="208"/>
      <c r="M120136" s="209"/>
      <c r="N120136" s="209"/>
      <c r="O120136" s="209"/>
    </row>
    <row r="120137" spans="1:15" s="210" customFormat="1" x14ac:dyDescent="0.3">
      <c r="A120137" s="12"/>
      <c r="B120137" s="15"/>
      <c r="C120137" s="15"/>
      <c r="D120137" s="12"/>
      <c r="E120137" s="12"/>
      <c r="F120137" s="13"/>
      <c r="G120137" s="12"/>
      <c r="H120137" s="12"/>
      <c r="I120137" s="12"/>
      <c r="J120137" s="12"/>
      <c r="K120137" s="12"/>
      <c r="L120137" s="208"/>
      <c r="M120137" s="209"/>
      <c r="N120137" s="209"/>
      <c r="O120137" s="209"/>
    </row>
    <row r="120138" spans="1:15" s="210" customFormat="1" x14ac:dyDescent="0.3">
      <c r="A120138" s="12"/>
      <c r="B120138" s="15"/>
      <c r="C120138" s="15"/>
      <c r="D120138" s="12"/>
      <c r="E120138" s="12"/>
      <c r="F120138" s="13"/>
      <c r="G120138" s="12"/>
      <c r="H120138" s="12"/>
      <c r="I120138" s="12"/>
      <c r="J120138" s="12"/>
      <c r="K120138" s="12"/>
      <c r="L120138" s="208"/>
      <c r="M120138" s="209"/>
      <c r="N120138" s="209"/>
      <c r="O120138" s="209"/>
    </row>
    <row r="120139" spans="1:15" s="210" customFormat="1" x14ac:dyDescent="0.3">
      <c r="A120139" s="12"/>
      <c r="B120139" s="15"/>
      <c r="C120139" s="15"/>
      <c r="D120139" s="12"/>
      <c r="E120139" s="12"/>
      <c r="F120139" s="13"/>
      <c r="G120139" s="12"/>
      <c r="H120139" s="12"/>
      <c r="I120139" s="12"/>
      <c r="J120139" s="12"/>
      <c r="K120139" s="12"/>
      <c r="L120139" s="208"/>
      <c r="M120139" s="209"/>
      <c r="N120139" s="209"/>
      <c r="O120139" s="209"/>
    </row>
    <row r="120140" spans="1:15" s="210" customFormat="1" x14ac:dyDescent="0.3">
      <c r="A120140" s="12"/>
      <c r="B120140" s="15"/>
      <c r="C120140" s="15"/>
      <c r="D120140" s="12"/>
      <c r="E120140" s="12"/>
      <c r="F120140" s="13"/>
      <c r="G120140" s="12"/>
      <c r="H120140" s="12"/>
      <c r="I120140" s="12"/>
      <c r="J120140" s="12"/>
      <c r="K120140" s="12"/>
      <c r="L120140" s="208"/>
      <c r="M120140" s="209"/>
      <c r="N120140" s="209"/>
      <c r="O120140" s="209"/>
    </row>
    <row r="120141" spans="1:15" s="210" customFormat="1" x14ac:dyDescent="0.3">
      <c r="A120141" s="12"/>
      <c r="B120141" s="15"/>
      <c r="C120141" s="15"/>
      <c r="D120141" s="12"/>
      <c r="E120141" s="12"/>
      <c r="F120141" s="13"/>
      <c r="G120141" s="12"/>
      <c r="H120141" s="12"/>
      <c r="I120141" s="12"/>
      <c r="J120141" s="12"/>
      <c r="K120141" s="12"/>
      <c r="L120141" s="208"/>
      <c r="M120141" s="209"/>
      <c r="N120141" s="209"/>
      <c r="O120141" s="209"/>
    </row>
    <row r="120142" spans="1:15" s="210" customFormat="1" x14ac:dyDescent="0.3">
      <c r="A120142" s="12"/>
      <c r="B120142" s="15"/>
      <c r="C120142" s="15"/>
      <c r="D120142" s="12"/>
      <c r="E120142" s="12"/>
      <c r="F120142" s="13"/>
      <c r="G120142" s="12"/>
      <c r="H120142" s="12"/>
      <c r="I120142" s="12"/>
      <c r="J120142" s="12"/>
      <c r="K120142" s="12"/>
      <c r="L120142" s="208"/>
      <c r="M120142" s="209"/>
      <c r="N120142" s="209"/>
      <c r="O120142" s="209"/>
    </row>
    <row r="120143" spans="1:15" s="210" customFormat="1" x14ac:dyDescent="0.3">
      <c r="A120143" s="12"/>
      <c r="B120143" s="15"/>
      <c r="C120143" s="15"/>
      <c r="D120143" s="12"/>
      <c r="E120143" s="12"/>
      <c r="F120143" s="13"/>
      <c r="G120143" s="12"/>
      <c r="H120143" s="12"/>
      <c r="I120143" s="12"/>
      <c r="J120143" s="12"/>
      <c r="K120143" s="12"/>
      <c r="L120143" s="208"/>
      <c r="M120143" s="209"/>
      <c r="N120143" s="209"/>
      <c r="O120143" s="209"/>
    </row>
    <row r="120144" spans="1:15" s="210" customFormat="1" x14ac:dyDescent="0.3">
      <c r="A120144" s="12"/>
      <c r="B120144" s="15"/>
      <c r="C120144" s="15"/>
      <c r="D120144" s="12"/>
      <c r="E120144" s="12"/>
      <c r="F120144" s="13"/>
      <c r="G120144" s="12"/>
      <c r="H120144" s="12"/>
      <c r="I120144" s="12"/>
      <c r="J120144" s="12"/>
      <c r="K120144" s="12"/>
      <c r="L120144" s="208"/>
      <c r="M120144" s="209"/>
      <c r="N120144" s="209"/>
      <c r="O120144" s="209"/>
    </row>
    <row r="120145" spans="1:15" s="210" customFormat="1" x14ac:dyDescent="0.3">
      <c r="A120145" s="12"/>
      <c r="B120145" s="15"/>
      <c r="C120145" s="15"/>
      <c r="D120145" s="12"/>
      <c r="E120145" s="12"/>
      <c r="F120145" s="13"/>
      <c r="G120145" s="12"/>
      <c r="H120145" s="12"/>
      <c r="I120145" s="12"/>
      <c r="J120145" s="12"/>
      <c r="K120145" s="12"/>
      <c r="L120145" s="208"/>
      <c r="M120145" s="209"/>
      <c r="N120145" s="209"/>
      <c r="O120145" s="209"/>
    </row>
    <row r="120146" spans="1:15" s="210" customFormat="1" x14ac:dyDescent="0.3">
      <c r="A120146" s="12"/>
      <c r="B120146" s="15"/>
      <c r="C120146" s="15"/>
      <c r="D120146" s="12"/>
      <c r="E120146" s="12"/>
      <c r="F120146" s="13"/>
      <c r="G120146" s="12"/>
      <c r="H120146" s="12"/>
      <c r="I120146" s="12"/>
      <c r="J120146" s="12"/>
      <c r="K120146" s="12"/>
      <c r="L120146" s="208"/>
      <c r="M120146" s="209"/>
      <c r="N120146" s="209"/>
      <c r="O120146" s="209"/>
    </row>
    <row r="120147" spans="1:15" s="210" customFormat="1" x14ac:dyDescent="0.3">
      <c r="A120147" s="12"/>
      <c r="B120147" s="15"/>
      <c r="C120147" s="15"/>
      <c r="D120147" s="12"/>
      <c r="E120147" s="12"/>
      <c r="F120147" s="13"/>
      <c r="G120147" s="12"/>
      <c r="H120147" s="12"/>
      <c r="I120147" s="12"/>
      <c r="J120147" s="12"/>
      <c r="K120147" s="12"/>
      <c r="L120147" s="208"/>
      <c r="M120147" s="209"/>
      <c r="N120147" s="209"/>
      <c r="O120147" s="209"/>
    </row>
    <row r="120148" spans="1:15" s="210" customFormat="1" x14ac:dyDescent="0.3">
      <c r="A120148" s="12"/>
      <c r="B120148" s="15"/>
      <c r="C120148" s="15"/>
      <c r="D120148" s="12"/>
      <c r="E120148" s="12"/>
      <c r="F120148" s="13"/>
      <c r="G120148" s="12"/>
      <c r="H120148" s="12"/>
      <c r="I120148" s="12"/>
      <c r="J120148" s="12"/>
      <c r="K120148" s="12"/>
      <c r="L120148" s="208"/>
      <c r="M120148" s="209"/>
      <c r="N120148" s="209"/>
      <c r="O120148" s="209"/>
    </row>
    <row r="120149" spans="1:15" s="210" customFormat="1" x14ac:dyDescent="0.3">
      <c r="A120149" s="12"/>
      <c r="B120149" s="15"/>
      <c r="C120149" s="15"/>
      <c r="D120149" s="12"/>
      <c r="E120149" s="12"/>
      <c r="F120149" s="13"/>
      <c r="G120149" s="12"/>
      <c r="H120149" s="12"/>
      <c r="I120149" s="12"/>
      <c r="J120149" s="12"/>
      <c r="K120149" s="12"/>
      <c r="L120149" s="208"/>
      <c r="M120149" s="209"/>
      <c r="N120149" s="209"/>
      <c r="O120149" s="209"/>
    </row>
    <row r="120150" spans="1:15" s="210" customFormat="1" x14ac:dyDescent="0.3">
      <c r="A120150" s="12"/>
      <c r="B120150" s="15"/>
      <c r="C120150" s="15"/>
      <c r="D120150" s="12"/>
      <c r="E120150" s="12"/>
      <c r="F120150" s="13"/>
      <c r="G120150" s="12"/>
      <c r="H120150" s="12"/>
      <c r="I120150" s="12"/>
      <c r="J120150" s="12"/>
      <c r="K120150" s="12"/>
      <c r="L120150" s="208"/>
      <c r="M120150" s="209"/>
      <c r="N120150" s="209"/>
      <c r="O120150" s="209"/>
    </row>
    <row r="120151" spans="1:15" s="210" customFormat="1" x14ac:dyDescent="0.3">
      <c r="A120151" s="12"/>
      <c r="B120151" s="15"/>
      <c r="C120151" s="15"/>
      <c r="D120151" s="12"/>
      <c r="E120151" s="12"/>
      <c r="F120151" s="13"/>
      <c r="G120151" s="12"/>
      <c r="H120151" s="12"/>
      <c r="I120151" s="12"/>
      <c r="J120151" s="12"/>
      <c r="K120151" s="12"/>
      <c r="L120151" s="208"/>
      <c r="M120151" s="209"/>
      <c r="N120151" s="209"/>
      <c r="O120151" s="209"/>
    </row>
    <row r="120152" spans="1:15" s="210" customFormat="1" x14ac:dyDescent="0.3">
      <c r="A120152" s="12"/>
      <c r="B120152" s="15"/>
      <c r="C120152" s="15"/>
      <c r="D120152" s="12"/>
      <c r="E120152" s="12"/>
      <c r="F120152" s="13"/>
      <c r="G120152" s="12"/>
      <c r="H120152" s="12"/>
      <c r="I120152" s="12"/>
      <c r="J120152" s="12"/>
      <c r="K120152" s="12"/>
      <c r="L120152" s="208"/>
      <c r="M120152" s="209"/>
      <c r="N120152" s="209"/>
      <c r="O120152" s="209"/>
    </row>
    <row r="120153" spans="1:15" s="210" customFormat="1" x14ac:dyDescent="0.3">
      <c r="A120153" s="12"/>
      <c r="B120153" s="15"/>
      <c r="C120153" s="15"/>
      <c r="D120153" s="12"/>
      <c r="E120153" s="12"/>
      <c r="F120153" s="13"/>
      <c r="G120153" s="12"/>
      <c r="H120153" s="12"/>
      <c r="I120153" s="12"/>
      <c r="J120153" s="12"/>
      <c r="K120153" s="12"/>
      <c r="L120153" s="208"/>
      <c r="M120153" s="209"/>
      <c r="N120153" s="209"/>
      <c r="O120153" s="209"/>
    </row>
    <row r="120154" spans="1:15" s="210" customFormat="1" x14ac:dyDescent="0.3">
      <c r="A120154" s="12"/>
      <c r="B120154" s="15"/>
      <c r="C120154" s="15"/>
      <c r="D120154" s="12"/>
      <c r="E120154" s="12"/>
      <c r="F120154" s="13"/>
      <c r="G120154" s="12"/>
      <c r="H120154" s="12"/>
      <c r="I120154" s="12"/>
      <c r="J120154" s="12"/>
      <c r="K120154" s="12"/>
      <c r="L120154" s="208"/>
      <c r="M120154" s="209"/>
      <c r="N120154" s="209"/>
      <c r="O120154" s="209"/>
    </row>
    <row r="120155" spans="1:15" s="210" customFormat="1" x14ac:dyDescent="0.3">
      <c r="A120155" s="12"/>
      <c r="B120155" s="15"/>
      <c r="C120155" s="15"/>
      <c r="D120155" s="12"/>
      <c r="E120155" s="12"/>
      <c r="F120155" s="13"/>
      <c r="G120155" s="12"/>
      <c r="H120155" s="12"/>
      <c r="I120155" s="12"/>
      <c r="J120155" s="12"/>
      <c r="K120155" s="12"/>
      <c r="L120155" s="208"/>
      <c r="M120155" s="209"/>
      <c r="N120155" s="209"/>
      <c r="O120155" s="209"/>
    </row>
    <row r="120156" spans="1:15" s="210" customFormat="1" x14ac:dyDescent="0.3">
      <c r="A120156" s="12"/>
      <c r="B120156" s="15"/>
      <c r="C120156" s="15"/>
      <c r="D120156" s="12"/>
      <c r="E120156" s="12"/>
      <c r="F120156" s="13"/>
      <c r="G120156" s="12"/>
      <c r="H120156" s="12"/>
      <c r="I120156" s="12"/>
      <c r="J120156" s="12"/>
      <c r="K120156" s="12"/>
      <c r="L120156" s="208"/>
      <c r="M120156" s="209"/>
      <c r="N120156" s="209"/>
      <c r="O120156" s="209"/>
    </row>
    <row r="120157" spans="1:15" s="210" customFormat="1" x14ac:dyDescent="0.3">
      <c r="A120157" s="12"/>
      <c r="B120157" s="15"/>
      <c r="C120157" s="15"/>
      <c r="D120157" s="12"/>
      <c r="E120157" s="12"/>
      <c r="F120157" s="13"/>
      <c r="G120157" s="12"/>
      <c r="H120157" s="12"/>
      <c r="I120157" s="12"/>
      <c r="J120157" s="12"/>
      <c r="K120157" s="12"/>
      <c r="L120157" s="208"/>
      <c r="M120157" s="209"/>
      <c r="N120157" s="209"/>
      <c r="O120157" s="209"/>
    </row>
    <row r="120158" spans="1:15" s="210" customFormat="1" x14ac:dyDescent="0.3">
      <c r="A120158" s="12"/>
      <c r="B120158" s="15"/>
      <c r="C120158" s="15"/>
      <c r="D120158" s="12"/>
      <c r="E120158" s="12"/>
      <c r="F120158" s="13"/>
      <c r="G120158" s="12"/>
      <c r="H120158" s="12"/>
      <c r="I120158" s="12"/>
      <c r="J120158" s="12"/>
      <c r="K120158" s="12"/>
      <c r="L120158" s="208"/>
      <c r="M120158" s="209"/>
      <c r="N120158" s="209"/>
      <c r="O120158" s="209"/>
    </row>
    <row r="120159" spans="1:15" s="210" customFormat="1" x14ac:dyDescent="0.3">
      <c r="A120159" s="12"/>
      <c r="B120159" s="15"/>
      <c r="C120159" s="15"/>
      <c r="D120159" s="12"/>
      <c r="E120159" s="12"/>
      <c r="F120159" s="13"/>
      <c r="G120159" s="12"/>
      <c r="H120159" s="12"/>
      <c r="I120159" s="12"/>
      <c r="J120159" s="12"/>
      <c r="K120159" s="12"/>
      <c r="L120159" s="208"/>
      <c r="M120159" s="209"/>
      <c r="N120159" s="209"/>
      <c r="O120159" s="209"/>
    </row>
    <row r="120160" spans="1:15" s="210" customFormat="1" x14ac:dyDescent="0.3">
      <c r="A120160" s="12"/>
      <c r="B120160" s="15"/>
      <c r="C120160" s="15"/>
      <c r="D120160" s="12"/>
      <c r="E120160" s="12"/>
      <c r="F120160" s="13"/>
      <c r="G120160" s="12"/>
      <c r="H120160" s="12"/>
      <c r="I120160" s="12"/>
      <c r="J120160" s="12"/>
      <c r="K120160" s="12"/>
      <c r="L120160" s="208"/>
      <c r="M120160" s="209"/>
      <c r="N120160" s="209"/>
      <c r="O120160" s="209"/>
    </row>
    <row r="120161" spans="1:15" s="210" customFormat="1" x14ac:dyDescent="0.3">
      <c r="A120161" s="12"/>
      <c r="B120161" s="15"/>
      <c r="C120161" s="15"/>
      <c r="D120161" s="12"/>
      <c r="E120161" s="12"/>
      <c r="F120161" s="13"/>
      <c r="G120161" s="12"/>
      <c r="H120161" s="12"/>
      <c r="I120161" s="12"/>
      <c r="J120161" s="12"/>
      <c r="K120161" s="12"/>
      <c r="L120161" s="208"/>
      <c r="M120161" s="209"/>
      <c r="N120161" s="209"/>
      <c r="O120161" s="209"/>
    </row>
    <row r="120162" spans="1:15" s="210" customFormat="1" x14ac:dyDescent="0.3">
      <c r="A120162" s="12"/>
      <c r="B120162" s="15"/>
      <c r="C120162" s="15"/>
      <c r="D120162" s="12"/>
      <c r="E120162" s="12"/>
      <c r="F120162" s="13"/>
      <c r="G120162" s="12"/>
      <c r="H120162" s="12"/>
      <c r="I120162" s="12"/>
      <c r="J120162" s="12"/>
      <c r="K120162" s="12"/>
      <c r="L120162" s="208"/>
      <c r="M120162" s="209"/>
      <c r="N120162" s="209"/>
      <c r="O120162" s="209"/>
    </row>
    <row r="120163" spans="1:15" s="210" customFormat="1" x14ac:dyDescent="0.3">
      <c r="A120163" s="12"/>
      <c r="B120163" s="15"/>
      <c r="C120163" s="15"/>
      <c r="D120163" s="12"/>
      <c r="E120163" s="12"/>
      <c r="F120163" s="13"/>
      <c r="G120163" s="12"/>
      <c r="H120163" s="12"/>
      <c r="I120163" s="12"/>
      <c r="J120163" s="12"/>
      <c r="K120163" s="12"/>
      <c r="L120163" s="208"/>
      <c r="M120163" s="209"/>
      <c r="N120163" s="209"/>
      <c r="O120163" s="209"/>
    </row>
    <row r="120164" spans="1:15" s="210" customFormat="1" x14ac:dyDescent="0.3">
      <c r="A120164" s="12"/>
      <c r="B120164" s="15"/>
      <c r="C120164" s="15"/>
      <c r="D120164" s="12"/>
      <c r="E120164" s="12"/>
      <c r="F120164" s="13"/>
      <c r="G120164" s="12"/>
      <c r="H120164" s="12"/>
      <c r="I120164" s="12"/>
      <c r="J120164" s="12"/>
      <c r="K120164" s="12"/>
      <c r="L120164" s="208"/>
      <c r="M120164" s="209"/>
      <c r="N120164" s="209"/>
      <c r="O120164" s="209"/>
    </row>
    <row r="120165" spans="1:15" s="210" customFormat="1" x14ac:dyDescent="0.3">
      <c r="A120165" s="12"/>
      <c r="B120165" s="15"/>
      <c r="C120165" s="15"/>
      <c r="D120165" s="12"/>
      <c r="E120165" s="12"/>
      <c r="F120165" s="13"/>
      <c r="G120165" s="12"/>
      <c r="H120165" s="12"/>
      <c r="I120165" s="12"/>
      <c r="J120165" s="12"/>
      <c r="K120165" s="12"/>
      <c r="L120165" s="208"/>
      <c r="M120165" s="209"/>
      <c r="N120165" s="209"/>
      <c r="O120165" s="209"/>
    </row>
    <row r="120166" spans="1:15" s="210" customFormat="1" x14ac:dyDescent="0.3">
      <c r="A120166" s="12"/>
      <c r="B120166" s="15"/>
      <c r="C120166" s="15"/>
      <c r="D120166" s="12"/>
      <c r="E120166" s="12"/>
      <c r="F120166" s="13"/>
      <c r="G120166" s="12"/>
      <c r="H120166" s="12"/>
      <c r="I120166" s="12"/>
      <c r="J120166" s="12"/>
      <c r="K120166" s="12"/>
      <c r="L120166" s="208"/>
      <c r="M120166" s="209"/>
      <c r="N120166" s="209"/>
      <c r="O120166" s="209"/>
    </row>
    <row r="120167" spans="1:15" s="210" customFormat="1" x14ac:dyDescent="0.3">
      <c r="A120167" s="12"/>
      <c r="B120167" s="15"/>
      <c r="C120167" s="15"/>
      <c r="D120167" s="12"/>
      <c r="E120167" s="12"/>
      <c r="F120167" s="13"/>
      <c r="G120167" s="12"/>
      <c r="H120167" s="12"/>
      <c r="I120167" s="12"/>
      <c r="J120167" s="12"/>
      <c r="K120167" s="12"/>
      <c r="L120167" s="208"/>
      <c r="M120167" s="209"/>
      <c r="N120167" s="209"/>
      <c r="O120167" s="209"/>
    </row>
    <row r="120168" spans="1:15" s="210" customFormat="1" x14ac:dyDescent="0.3">
      <c r="A120168" s="12"/>
      <c r="B120168" s="15"/>
      <c r="C120168" s="15"/>
      <c r="D120168" s="12"/>
      <c r="E120168" s="12"/>
      <c r="F120168" s="13"/>
      <c r="G120168" s="12"/>
      <c r="H120168" s="12"/>
      <c r="I120168" s="12"/>
      <c r="J120168" s="12"/>
      <c r="K120168" s="12"/>
      <c r="L120168" s="208"/>
      <c r="M120168" s="209"/>
      <c r="N120168" s="209"/>
      <c r="O120168" s="209"/>
    </row>
    <row r="120169" spans="1:15" s="210" customFormat="1" x14ac:dyDescent="0.3">
      <c r="A120169" s="12"/>
      <c r="B120169" s="15"/>
      <c r="C120169" s="15"/>
      <c r="D120169" s="12"/>
      <c r="E120169" s="12"/>
      <c r="F120169" s="13"/>
      <c r="G120169" s="12"/>
      <c r="H120169" s="12"/>
      <c r="I120169" s="12"/>
      <c r="J120169" s="12"/>
      <c r="K120169" s="12"/>
      <c r="L120169" s="208"/>
      <c r="M120169" s="209"/>
      <c r="N120169" s="209"/>
      <c r="O120169" s="209"/>
    </row>
    <row r="120170" spans="1:15" s="210" customFormat="1" x14ac:dyDescent="0.3">
      <c r="A120170" s="12"/>
      <c r="B120170" s="15"/>
      <c r="C120170" s="15"/>
      <c r="D120170" s="12"/>
      <c r="E120170" s="12"/>
      <c r="F120170" s="13"/>
      <c r="G120170" s="12"/>
      <c r="H120170" s="12"/>
      <c r="I120170" s="12"/>
      <c r="J120170" s="12"/>
      <c r="K120170" s="12"/>
      <c r="L120170" s="208"/>
      <c r="M120170" s="209"/>
      <c r="N120170" s="209"/>
      <c r="O120170" s="209"/>
    </row>
    <row r="120171" spans="1:15" s="210" customFormat="1" x14ac:dyDescent="0.3">
      <c r="A120171" s="12"/>
      <c r="B120171" s="15"/>
      <c r="C120171" s="15"/>
      <c r="D120171" s="12"/>
      <c r="E120171" s="12"/>
      <c r="F120171" s="13"/>
      <c r="G120171" s="12"/>
      <c r="H120171" s="12"/>
      <c r="I120171" s="12"/>
      <c r="J120171" s="12"/>
      <c r="K120171" s="12"/>
      <c r="L120171" s="208"/>
      <c r="M120171" s="209"/>
      <c r="N120171" s="209"/>
      <c r="O120171" s="209"/>
    </row>
    <row r="120172" spans="1:15" s="210" customFormat="1" x14ac:dyDescent="0.3">
      <c r="A120172" s="12"/>
      <c r="B120172" s="15"/>
      <c r="C120172" s="15"/>
      <c r="D120172" s="12"/>
      <c r="E120172" s="12"/>
      <c r="F120172" s="13"/>
      <c r="G120172" s="12"/>
      <c r="H120172" s="12"/>
      <c r="I120172" s="12"/>
      <c r="J120172" s="12"/>
      <c r="K120172" s="12"/>
      <c r="L120172" s="208"/>
      <c r="M120172" s="209"/>
      <c r="N120172" s="209"/>
      <c r="O120172" s="209"/>
    </row>
    <row r="120173" spans="1:15" s="210" customFormat="1" x14ac:dyDescent="0.3">
      <c r="A120173" s="12"/>
      <c r="B120173" s="15"/>
      <c r="C120173" s="15"/>
      <c r="D120173" s="12"/>
      <c r="E120173" s="12"/>
      <c r="F120173" s="13"/>
      <c r="G120173" s="12"/>
      <c r="H120173" s="12"/>
      <c r="I120173" s="12"/>
      <c r="J120173" s="12"/>
      <c r="K120173" s="12"/>
      <c r="L120173" s="208"/>
      <c r="M120173" s="209"/>
      <c r="N120173" s="209"/>
      <c r="O120173" s="209"/>
    </row>
    <row r="120174" spans="1:15" s="210" customFormat="1" x14ac:dyDescent="0.3">
      <c r="A120174" s="12"/>
      <c r="B120174" s="15"/>
      <c r="C120174" s="15"/>
      <c r="D120174" s="12"/>
      <c r="E120174" s="12"/>
      <c r="F120174" s="13"/>
      <c r="G120174" s="12"/>
      <c r="H120174" s="12"/>
      <c r="I120174" s="12"/>
      <c r="J120174" s="12"/>
      <c r="K120174" s="12"/>
      <c r="L120174" s="208"/>
      <c r="M120174" s="209"/>
      <c r="N120174" s="209"/>
      <c r="O120174" s="209"/>
    </row>
    <row r="120175" spans="1:15" s="210" customFormat="1" x14ac:dyDescent="0.3">
      <c r="A120175" s="12"/>
      <c r="B120175" s="15"/>
      <c r="C120175" s="15"/>
      <c r="D120175" s="12"/>
      <c r="E120175" s="12"/>
      <c r="F120175" s="13"/>
      <c r="G120175" s="12"/>
      <c r="H120175" s="12"/>
      <c r="I120175" s="12"/>
      <c r="J120175" s="12"/>
      <c r="K120175" s="12"/>
      <c r="L120175" s="208"/>
      <c r="M120175" s="209"/>
      <c r="N120175" s="209"/>
      <c r="O120175" s="209"/>
    </row>
    <row r="120176" spans="1:15" s="210" customFormat="1" x14ac:dyDescent="0.3">
      <c r="A120176" s="12"/>
      <c r="B120176" s="15"/>
      <c r="C120176" s="15"/>
      <c r="D120176" s="12"/>
      <c r="E120176" s="12"/>
      <c r="F120176" s="13"/>
      <c r="G120176" s="12"/>
      <c r="H120176" s="12"/>
      <c r="I120176" s="12"/>
      <c r="J120176" s="12"/>
      <c r="K120176" s="12"/>
      <c r="L120176" s="208"/>
      <c r="M120176" s="209"/>
      <c r="N120176" s="209"/>
      <c r="O120176" s="209"/>
    </row>
    <row r="120177" spans="1:15" s="210" customFormat="1" x14ac:dyDescent="0.3">
      <c r="A120177" s="12"/>
      <c r="B120177" s="15"/>
      <c r="C120177" s="15"/>
      <c r="D120177" s="12"/>
      <c r="E120177" s="12"/>
      <c r="F120177" s="13"/>
      <c r="G120177" s="12"/>
      <c r="H120177" s="12"/>
      <c r="I120177" s="12"/>
      <c r="J120177" s="12"/>
      <c r="K120177" s="12"/>
      <c r="L120177" s="208"/>
      <c r="M120177" s="209"/>
      <c r="N120177" s="209"/>
      <c r="O120177" s="209"/>
    </row>
    <row r="120178" spans="1:15" s="210" customFormat="1" x14ac:dyDescent="0.3">
      <c r="A120178" s="12"/>
      <c r="B120178" s="15"/>
      <c r="C120178" s="15"/>
      <c r="D120178" s="12"/>
      <c r="E120178" s="12"/>
      <c r="F120178" s="13"/>
      <c r="G120178" s="12"/>
      <c r="H120178" s="12"/>
      <c r="I120178" s="12"/>
      <c r="J120178" s="12"/>
      <c r="K120178" s="12"/>
      <c r="L120178" s="208"/>
      <c r="M120178" s="209"/>
      <c r="N120178" s="209"/>
      <c r="O120178" s="209"/>
    </row>
    <row r="120179" spans="1:15" s="210" customFormat="1" x14ac:dyDescent="0.3">
      <c r="A120179" s="12"/>
      <c r="B120179" s="15"/>
      <c r="C120179" s="15"/>
      <c r="D120179" s="12"/>
      <c r="E120179" s="12"/>
      <c r="F120179" s="13"/>
      <c r="G120179" s="12"/>
      <c r="H120179" s="12"/>
      <c r="I120179" s="12"/>
      <c r="J120179" s="12"/>
      <c r="K120179" s="12"/>
      <c r="L120179" s="208"/>
      <c r="M120179" s="209"/>
      <c r="N120179" s="209"/>
      <c r="O120179" s="209"/>
    </row>
    <row r="120180" spans="1:15" s="210" customFormat="1" x14ac:dyDescent="0.3">
      <c r="A120180" s="12"/>
      <c r="B120180" s="15"/>
      <c r="C120180" s="15"/>
      <c r="D120180" s="12"/>
      <c r="E120180" s="12"/>
      <c r="F120180" s="13"/>
      <c r="G120180" s="12"/>
      <c r="H120180" s="12"/>
      <c r="I120180" s="12"/>
      <c r="J120180" s="12"/>
      <c r="K120180" s="12"/>
      <c r="L120180" s="208"/>
      <c r="M120180" s="209"/>
      <c r="N120180" s="209"/>
      <c r="O120180" s="209"/>
    </row>
    <row r="120181" spans="1:15" s="210" customFormat="1" x14ac:dyDescent="0.3">
      <c r="A120181" s="12"/>
      <c r="B120181" s="15"/>
      <c r="C120181" s="15"/>
      <c r="D120181" s="12"/>
      <c r="E120181" s="12"/>
      <c r="F120181" s="13"/>
      <c r="G120181" s="12"/>
      <c r="H120181" s="12"/>
      <c r="I120181" s="12"/>
      <c r="J120181" s="12"/>
      <c r="K120181" s="12"/>
      <c r="L120181" s="208"/>
      <c r="M120181" s="209"/>
      <c r="N120181" s="209"/>
      <c r="O120181" s="209"/>
    </row>
    <row r="120182" spans="1:15" s="210" customFormat="1" x14ac:dyDescent="0.3">
      <c r="A120182" s="12"/>
      <c r="B120182" s="15"/>
      <c r="C120182" s="15"/>
      <c r="D120182" s="12"/>
      <c r="E120182" s="12"/>
      <c r="F120182" s="13"/>
      <c r="G120182" s="12"/>
      <c r="H120182" s="12"/>
      <c r="I120182" s="12"/>
      <c r="J120182" s="12"/>
      <c r="K120182" s="12"/>
      <c r="L120182" s="208"/>
      <c r="M120182" s="209"/>
      <c r="N120182" s="209"/>
      <c r="O120182" s="209"/>
    </row>
    <row r="120183" spans="1:15" s="210" customFormat="1" x14ac:dyDescent="0.3">
      <c r="A120183" s="12"/>
      <c r="B120183" s="15"/>
      <c r="C120183" s="15"/>
      <c r="D120183" s="12"/>
      <c r="E120183" s="12"/>
      <c r="F120183" s="13"/>
      <c r="G120183" s="12"/>
      <c r="H120183" s="12"/>
      <c r="I120183" s="12"/>
      <c r="J120183" s="12"/>
      <c r="K120183" s="12"/>
      <c r="L120183" s="208"/>
      <c r="M120183" s="209"/>
      <c r="N120183" s="209"/>
      <c r="O120183" s="209"/>
    </row>
    <row r="120184" spans="1:15" s="210" customFormat="1" x14ac:dyDescent="0.3">
      <c r="A120184" s="12"/>
      <c r="B120184" s="15"/>
      <c r="C120184" s="15"/>
      <c r="D120184" s="12"/>
      <c r="E120184" s="12"/>
      <c r="F120184" s="13"/>
      <c r="G120184" s="12"/>
      <c r="H120184" s="12"/>
      <c r="I120184" s="12"/>
      <c r="J120184" s="12"/>
      <c r="K120184" s="12"/>
      <c r="L120184" s="208"/>
      <c r="M120184" s="209"/>
      <c r="N120184" s="209"/>
      <c r="O120184" s="209"/>
    </row>
    <row r="120185" spans="1:15" s="210" customFormat="1" x14ac:dyDescent="0.3">
      <c r="A120185" s="12"/>
      <c r="B120185" s="15"/>
      <c r="C120185" s="15"/>
      <c r="D120185" s="12"/>
      <c r="E120185" s="12"/>
      <c r="F120185" s="13"/>
      <c r="G120185" s="12"/>
      <c r="H120185" s="12"/>
      <c r="I120185" s="12"/>
      <c r="J120185" s="12"/>
      <c r="K120185" s="12"/>
      <c r="L120185" s="208"/>
      <c r="M120185" s="209"/>
      <c r="N120185" s="209"/>
      <c r="O120185" s="209"/>
    </row>
    <row r="120186" spans="1:15" s="210" customFormat="1" x14ac:dyDescent="0.3">
      <c r="A120186" s="12"/>
      <c r="B120186" s="15"/>
      <c r="C120186" s="15"/>
      <c r="D120186" s="12"/>
      <c r="E120186" s="12"/>
      <c r="F120186" s="13"/>
      <c r="G120186" s="12"/>
      <c r="H120186" s="12"/>
      <c r="I120186" s="12"/>
      <c r="J120186" s="12"/>
      <c r="K120186" s="12"/>
      <c r="L120186" s="208"/>
      <c r="M120186" s="209"/>
      <c r="N120186" s="209"/>
      <c r="O120186" s="209"/>
    </row>
    <row r="120187" spans="1:15" s="210" customFormat="1" x14ac:dyDescent="0.3">
      <c r="A120187" s="12"/>
      <c r="B120187" s="15"/>
      <c r="C120187" s="15"/>
      <c r="D120187" s="12"/>
      <c r="E120187" s="12"/>
      <c r="F120187" s="13"/>
      <c r="G120187" s="12"/>
      <c r="H120187" s="12"/>
      <c r="I120187" s="12"/>
      <c r="J120187" s="12"/>
      <c r="K120187" s="12"/>
      <c r="L120187" s="208"/>
      <c r="M120187" s="209"/>
      <c r="N120187" s="209"/>
      <c r="O120187" s="209"/>
    </row>
    <row r="120188" spans="1:15" s="210" customFormat="1" x14ac:dyDescent="0.3">
      <c r="A120188" s="12"/>
      <c r="B120188" s="15"/>
      <c r="C120188" s="15"/>
      <c r="D120188" s="12"/>
      <c r="E120188" s="12"/>
      <c r="F120188" s="13"/>
      <c r="G120188" s="12"/>
      <c r="H120188" s="12"/>
      <c r="I120188" s="12"/>
      <c r="J120188" s="12"/>
      <c r="K120188" s="12"/>
      <c r="L120188" s="208"/>
      <c r="M120188" s="209"/>
      <c r="N120188" s="209"/>
      <c r="O120188" s="209"/>
    </row>
    <row r="120189" spans="1:15" s="210" customFormat="1" x14ac:dyDescent="0.3">
      <c r="A120189" s="12"/>
      <c r="B120189" s="15"/>
      <c r="C120189" s="15"/>
      <c r="D120189" s="12"/>
      <c r="E120189" s="12"/>
      <c r="F120189" s="13"/>
      <c r="G120189" s="12"/>
      <c r="H120189" s="12"/>
      <c r="I120189" s="12"/>
      <c r="J120189" s="12"/>
      <c r="K120189" s="12"/>
      <c r="L120189" s="208"/>
      <c r="M120189" s="209"/>
      <c r="N120189" s="209"/>
      <c r="O120189" s="209"/>
    </row>
    <row r="120190" spans="1:15" s="210" customFormat="1" x14ac:dyDescent="0.3">
      <c r="A120190" s="12"/>
      <c r="B120190" s="15"/>
      <c r="C120190" s="15"/>
      <c r="D120190" s="12"/>
      <c r="E120190" s="12"/>
      <c r="F120190" s="13"/>
      <c r="G120190" s="12"/>
      <c r="H120190" s="12"/>
      <c r="I120190" s="12"/>
      <c r="J120190" s="12"/>
      <c r="K120190" s="12"/>
      <c r="L120190" s="208"/>
      <c r="M120190" s="209"/>
      <c r="N120190" s="209"/>
      <c r="O120190" s="209"/>
    </row>
    <row r="120191" spans="1:15" s="210" customFormat="1" x14ac:dyDescent="0.3">
      <c r="A120191" s="12"/>
      <c r="B120191" s="15"/>
      <c r="C120191" s="15"/>
      <c r="D120191" s="12"/>
      <c r="E120191" s="12"/>
      <c r="F120191" s="13"/>
      <c r="G120191" s="12"/>
      <c r="H120191" s="12"/>
      <c r="I120191" s="12"/>
      <c r="J120191" s="12"/>
      <c r="K120191" s="12"/>
      <c r="L120191" s="208"/>
      <c r="M120191" s="209"/>
      <c r="N120191" s="209"/>
      <c r="O120191" s="209"/>
    </row>
    <row r="120192" spans="1:15" s="210" customFormat="1" x14ac:dyDescent="0.3">
      <c r="A120192" s="12"/>
      <c r="B120192" s="15"/>
      <c r="C120192" s="15"/>
      <c r="D120192" s="12"/>
      <c r="E120192" s="12"/>
      <c r="F120192" s="13"/>
      <c r="G120192" s="12"/>
      <c r="H120192" s="12"/>
      <c r="I120192" s="12"/>
      <c r="J120192" s="12"/>
      <c r="K120192" s="12"/>
      <c r="L120192" s="208"/>
      <c r="M120192" s="209"/>
      <c r="N120192" s="209"/>
      <c r="O120192" s="209"/>
    </row>
    <row r="120193" spans="1:15" s="210" customFormat="1" x14ac:dyDescent="0.3">
      <c r="A120193" s="12"/>
      <c r="B120193" s="15"/>
      <c r="C120193" s="15"/>
      <c r="D120193" s="12"/>
      <c r="E120193" s="12"/>
      <c r="F120193" s="13"/>
      <c r="G120193" s="12"/>
      <c r="H120193" s="12"/>
      <c r="I120193" s="12"/>
      <c r="J120193" s="12"/>
      <c r="K120193" s="12"/>
      <c r="L120193" s="208"/>
      <c r="M120193" s="209"/>
      <c r="N120193" s="209"/>
      <c r="O120193" s="209"/>
    </row>
    <row r="120194" spans="1:15" s="210" customFormat="1" x14ac:dyDescent="0.3">
      <c r="A120194" s="12"/>
      <c r="B120194" s="15"/>
      <c r="C120194" s="15"/>
      <c r="D120194" s="12"/>
      <c r="E120194" s="12"/>
      <c r="F120194" s="13"/>
      <c r="G120194" s="12"/>
      <c r="H120194" s="12"/>
      <c r="I120194" s="12"/>
      <c r="J120194" s="12"/>
      <c r="K120194" s="12"/>
      <c r="L120194" s="208"/>
      <c r="M120194" s="209"/>
      <c r="N120194" s="209"/>
      <c r="O120194" s="209"/>
    </row>
    <row r="120195" spans="1:15" s="210" customFormat="1" x14ac:dyDescent="0.3">
      <c r="A120195" s="12"/>
      <c r="B120195" s="15"/>
      <c r="C120195" s="15"/>
      <c r="D120195" s="12"/>
      <c r="E120195" s="12"/>
      <c r="F120195" s="13"/>
      <c r="G120195" s="12"/>
      <c r="H120195" s="12"/>
      <c r="I120195" s="12"/>
      <c r="J120195" s="12"/>
      <c r="K120195" s="12"/>
      <c r="L120195" s="208"/>
      <c r="M120195" s="209"/>
      <c r="N120195" s="209"/>
      <c r="O120195" s="209"/>
    </row>
    <row r="120196" spans="1:15" s="210" customFormat="1" x14ac:dyDescent="0.3">
      <c r="A120196" s="12"/>
      <c r="B120196" s="15"/>
      <c r="C120196" s="15"/>
      <c r="D120196" s="12"/>
      <c r="E120196" s="12"/>
      <c r="F120196" s="13"/>
      <c r="G120196" s="12"/>
      <c r="H120196" s="12"/>
      <c r="I120196" s="12"/>
      <c r="J120196" s="12"/>
      <c r="K120196" s="12"/>
      <c r="L120196" s="208"/>
      <c r="M120196" s="209"/>
      <c r="N120196" s="209"/>
      <c r="O120196" s="209"/>
    </row>
    <row r="120197" spans="1:15" s="210" customFormat="1" x14ac:dyDescent="0.3">
      <c r="A120197" s="12"/>
      <c r="B120197" s="15"/>
      <c r="C120197" s="15"/>
      <c r="D120197" s="12"/>
      <c r="E120197" s="12"/>
      <c r="F120197" s="13"/>
      <c r="G120197" s="12"/>
      <c r="H120197" s="12"/>
      <c r="I120197" s="12"/>
      <c r="J120197" s="12"/>
      <c r="K120197" s="12"/>
      <c r="L120197" s="208"/>
      <c r="M120197" s="209"/>
      <c r="N120197" s="209"/>
      <c r="O120197" s="209"/>
    </row>
    <row r="120198" spans="1:15" s="210" customFormat="1" x14ac:dyDescent="0.3">
      <c r="A120198" s="12"/>
      <c r="B120198" s="15"/>
      <c r="C120198" s="15"/>
      <c r="D120198" s="12"/>
      <c r="E120198" s="12"/>
      <c r="F120198" s="13"/>
      <c r="G120198" s="12"/>
      <c r="H120198" s="12"/>
      <c r="I120198" s="12"/>
      <c r="J120198" s="12"/>
      <c r="K120198" s="12"/>
      <c r="L120198" s="208"/>
      <c r="M120198" s="209"/>
      <c r="N120198" s="209"/>
      <c r="O120198" s="209"/>
    </row>
    <row r="120199" spans="1:15" s="210" customFormat="1" x14ac:dyDescent="0.3">
      <c r="A120199" s="12"/>
      <c r="B120199" s="15"/>
      <c r="C120199" s="15"/>
      <c r="D120199" s="12"/>
      <c r="E120199" s="12"/>
      <c r="F120199" s="13"/>
      <c r="G120199" s="12"/>
      <c r="H120199" s="12"/>
      <c r="I120199" s="12"/>
      <c r="J120199" s="12"/>
      <c r="K120199" s="12"/>
      <c r="L120199" s="208"/>
      <c r="M120199" s="209"/>
      <c r="N120199" s="209"/>
      <c r="O120199" s="209"/>
    </row>
    <row r="120200" spans="1:15" s="210" customFormat="1" x14ac:dyDescent="0.3">
      <c r="A120200" s="12"/>
      <c r="B120200" s="15"/>
      <c r="C120200" s="15"/>
      <c r="D120200" s="12"/>
      <c r="E120200" s="12"/>
      <c r="F120200" s="13"/>
      <c r="G120200" s="12"/>
      <c r="H120200" s="12"/>
      <c r="I120200" s="12"/>
      <c r="J120200" s="12"/>
      <c r="K120200" s="12"/>
      <c r="L120200" s="208"/>
      <c r="M120200" s="209"/>
      <c r="N120200" s="209"/>
      <c r="O120200" s="209"/>
    </row>
    <row r="120201" spans="1:15" s="210" customFormat="1" x14ac:dyDescent="0.3">
      <c r="A120201" s="12"/>
      <c r="B120201" s="15"/>
      <c r="C120201" s="15"/>
      <c r="D120201" s="12"/>
      <c r="E120201" s="12"/>
      <c r="F120201" s="13"/>
      <c r="G120201" s="12"/>
      <c r="H120201" s="12"/>
      <c r="I120201" s="12"/>
      <c r="J120201" s="12"/>
      <c r="K120201" s="12"/>
      <c r="L120201" s="208"/>
      <c r="M120201" s="209"/>
      <c r="N120201" s="209"/>
      <c r="O120201" s="209"/>
    </row>
    <row r="120202" spans="1:15" s="210" customFormat="1" x14ac:dyDescent="0.3">
      <c r="A120202" s="12"/>
      <c r="B120202" s="15"/>
      <c r="C120202" s="15"/>
      <c r="D120202" s="12"/>
      <c r="E120202" s="12"/>
      <c r="F120202" s="13"/>
      <c r="G120202" s="12"/>
      <c r="H120202" s="12"/>
      <c r="I120202" s="12"/>
      <c r="J120202" s="12"/>
      <c r="K120202" s="12"/>
      <c r="L120202" s="208"/>
      <c r="M120202" s="209"/>
      <c r="N120202" s="209"/>
      <c r="O120202" s="209"/>
    </row>
    <row r="120203" spans="1:15" s="210" customFormat="1" x14ac:dyDescent="0.3">
      <c r="A120203" s="12"/>
      <c r="B120203" s="15"/>
      <c r="C120203" s="15"/>
      <c r="D120203" s="12"/>
      <c r="E120203" s="12"/>
      <c r="F120203" s="13"/>
      <c r="G120203" s="12"/>
      <c r="H120203" s="12"/>
      <c r="I120203" s="12"/>
      <c r="J120203" s="12"/>
      <c r="K120203" s="12"/>
      <c r="L120203" s="208"/>
      <c r="M120203" s="209"/>
      <c r="N120203" s="209"/>
      <c r="O120203" s="209"/>
    </row>
    <row r="120204" spans="1:15" s="210" customFormat="1" x14ac:dyDescent="0.3">
      <c r="A120204" s="12"/>
      <c r="B120204" s="15"/>
      <c r="C120204" s="15"/>
      <c r="D120204" s="12"/>
      <c r="E120204" s="12"/>
      <c r="F120204" s="13"/>
      <c r="G120204" s="12"/>
      <c r="H120204" s="12"/>
      <c r="I120204" s="12"/>
      <c r="J120204" s="12"/>
      <c r="K120204" s="12"/>
      <c r="L120204" s="208"/>
      <c r="M120204" s="209"/>
      <c r="N120204" s="209"/>
      <c r="O120204" s="209"/>
    </row>
    <row r="120205" spans="1:15" s="210" customFormat="1" x14ac:dyDescent="0.3">
      <c r="A120205" s="12"/>
      <c r="B120205" s="15"/>
      <c r="C120205" s="15"/>
      <c r="D120205" s="12"/>
      <c r="E120205" s="12"/>
      <c r="F120205" s="13"/>
      <c r="G120205" s="12"/>
      <c r="H120205" s="12"/>
      <c r="I120205" s="12"/>
      <c r="J120205" s="12"/>
      <c r="K120205" s="12"/>
      <c r="L120205" s="208"/>
      <c r="M120205" s="209"/>
      <c r="N120205" s="209"/>
      <c r="O120205" s="209"/>
    </row>
    <row r="120206" spans="1:15" s="210" customFormat="1" x14ac:dyDescent="0.3">
      <c r="A120206" s="12"/>
      <c r="B120206" s="15"/>
      <c r="C120206" s="15"/>
      <c r="D120206" s="12"/>
      <c r="E120206" s="12"/>
      <c r="F120206" s="13"/>
      <c r="G120206" s="12"/>
      <c r="H120206" s="12"/>
      <c r="I120206" s="12"/>
      <c r="J120206" s="12"/>
      <c r="K120206" s="12"/>
      <c r="L120206" s="208"/>
      <c r="M120206" s="209"/>
      <c r="N120206" s="209"/>
      <c r="O120206" s="209"/>
    </row>
    <row r="120207" spans="1:15" s="210" customFormat="1" x14ac:dyDescent="0.3">
      <c r="A120207" s="12"/>
      <c r="B120207" s="15"/>
      <c r="C120207" s="15"/>
      <c r="D120207" s="12"/>
      <c r="E120207" s="12"/>
      <c r="F120207" s="13"/>
      <c r="G120207" s="12"/>
      <c r="H120207" s="12"/>
      <c r="I120207" s="12"/>
      <c r="J120207" s="12"/>
      <c r="K120207" s="12"/>
      <c r="L120207" s="208"/>
      <c r="M120207" s="209"/>
      <c r="N120207" s="209"/>
      <c r="O120207" s="209"/>
    </row>
    <row r="120208" spans="1:15" s="210" customFormat="1" x14ac:dyDescent="0.3">
      <c r="A120208" s="12"/>
      <c r="B120208" s="15"/>
      <c r="C120208" s="15"/>
      <c r="D120208" s="12"/>
      <c r="E120208" s="12"/>
      <c r="F120208" s="13"/>
      <c r="G120208" s="12"/>
      <c r="H120208" s="12"/>
      <c r="I120208" s="12"/>
      <c r="J120208" s="12"/>
      <c r="K120208" s="12"/>
      <c r="L120208" s="208"/>
      <c r="M120208" s="209"/>
      <c r="N120208" s="209"/>
      <c r="O120208" s="209"/>
    </row>
    <row r="120209" spans="1:15" s="210" customFormat="1" x14ac:dyDescent="0.3">
      <c r="A120209" s="12"/>
      <c r="B120209" s="15"/>
      <c r="C120209" s="15"/>
      <c r="D120209" s="12"/>
      <c r="E120209" s="12"/>
      <c r="F120209" s="13"/>
      <c r="G120209" s="12"/>
      <c r="H120209" s="12"/>
      <c r="I120209" s="12"/>
      <c r="J120209" s="12"/>
      <c r="K120209" s="12"/>
      <c r="L120209" s="208"/>
      <c r="M120209" s="209"/>
      <c r="N120209" s="209"/>
      <c r="O120209" s="209"/>
    </row>
    <row r="120210" spans="1:15" s="210" customFormat="1" x14ac:dyDescent="0.3">
      <c r="A120210" s="12"/>
      <c r="B120210" s="15"/>
      <c r="C120210" s="15"/>
      <c r="D120210" s="12"/>
      <c r="E120210" s="12"/>
      <c r="F120210" s="13"/>
      <c r="G120210" s="12"/>
      <c r="H120210" s="12"/>
      <c r="I120210" s="12"/>
      <c r="J120210" s="12"/>
      <c r="K120210" s="12"/>
      <c r="L120210" s="208"/>
      <c r="M120210" s="209"/>
      <c r="N120210" s="209"/>
      <c r="O120210" s="209"/>
    </row>
    <row r="120211" spans="1:15" s="210" customFormat="1" x14ac:dyDescent="0.3">
      <c r="A120211" s="12"/>
      <c r="B120211" s="15"/>
      <c r="C120211" s="15"/>
      <c r="D120211" s="12"/>
      <c r="E120211" s="12"/>
      <c r="F120211" s="13"/>
      <c r="G120211" s="12"/>
      <c r="H120211" s="12"/>
      <c r="I120211" s="12"/>
      <c r="J120211" s="12"/>
      <c r="K120211" s="12"/>
      <c r="L120211" s="208"/>
      <c r="M120211" s="209"/>
      <c r="N120211" s="209"/>
      <c r="O120211" s="209"/>
    </row>
    <row r="120212" spans="1:15" s="210" customFormat="1" x14ac:dyDescent="0.3">
      <c r="A120212" s="12"/>
      <c r="B120212" s="15"/>
      <c r="C120212" s="15"/>
      <c r="D120212" s="12"/>
      <c r="E120212" s="12"/>
      <c r="F120212" s="13"/>
      <c r="G120212" s="12"/>
      <c r="H120212" s="12"/>
      <c r="I120212" s="12"/>
      <c r="J120212" s="12"/>
      <c r="K120212" s="12"/>
      <c r="L120212" s="208"/>
      <c r="M120212" s="209"/>
      <c r="N120212" s="209"/>
      <c r="O120212" s="209"/>
    </row>
    <row r="120213" spans="1:15" s="210" customFormat="1" x14ac:dyDescent="0.3">
      <c r="A120213" s="12"/>
      <c r="B120213" s="15"/>
      <c r="C120213" s="15"/>
      <c r="D120213" s="12"/>
      <c r="E120213" s="12"/>
      <c r="F120213" s="13"/>
      <c r="G120213" s="12"/>
      <c r="H120213" s="12"/>
      <c r="I120213" s="12"/>
      <c r="J120213" s="12"/>
      <c r="K120213" s="12"/>
      <c r="L120213" s="208"/>
      <c r="M120213" s="209"/>
      <c r="N120213" s="209"/>
      <c r="O120213" s="209"/>
    </row>
    <row r="120214" spans="1:15" s="210" customFormat="1" x14ac:dyDescent="0.3">
      <c r="A120214" s="12"/>
      <c r="B120214" s="15"/>
      <c r="C120214" s="15"/>
      <c r="D120214" s="12"/>
      <c r="E120214" s="12"/>
      <c r="F120214" s="13"/>
      <c r="G120214" s="12"/>
      <c r="H120214" s="12"/>
      <c r="I120214" s="12"/>
      <c r="J120214" s="12"/>
      <c r="K120214" s="12"/>
      <c r="L120214" s="208"/>
      <c r="M120214" s="209"/>
      <c r="N120214" s="209"/>
      <c r="O120214" s="209"/>
    </row>
    <row r="120215" spans="1:15" s="210" customFormat="1" x14ac:dyDescent="0.3">
      <c r="A120215" s="12"/>
      <c r="B120215" s="15"/>
      <c r="C120215" s="15"/>
      <c r="D120215" s="12"/>
      <c r="E120215" s="12"/>
      <c r="F120215" s="13"/>
      <c r="G120215" s="12"/>
      <c r="H120215" s="12"/>
      <c r="I120215" s="12"/>
      <c r="J120215" s="12"/>
      <c r="K120215" s="12"/>
      <c r="L120215" s="208"/>
      <c r="M120215" s="209"/>
      <c r="N120215" s="209"/>
      <c r="O120215" s="209"/>
    </row>
    <row r="120216" spans="1:15" s="210" customFormat="1" x14ac:dyDescent="0.3">
      <c r="A120216" s="12"/>
      <c r="B120216" s="15"/>
      <c r="C120216" s="15"/>
      <c r="D120216" s="12"/>
      <c r="E120216" s="12"/>
      <c r="F120216" s="13"/>
      <c r="G120216" s="12"/>
      <c r="H120216" s="12"/>
      <c r="I120216" s="12"/>
      <c r="J120216" s="12"/>
      <c r="K120216" s="12"/>
      <c r="L120216" s="208"/>
      <c r="M120216" s="209"/>
      <c r="N120216" s="209"/>
      <c r="O120216" s="209"/>
    </row>
    <row r="120217" spans="1:15" s="210" customFormat="1" x14ac:dyDescent="0.3">
      <c r="A120217" s="12"/>
      <c r="B120217" s="15"/>
      <c r="C120217" s="15"/>
      <c r="D120217" s="12"/>
      <c r="E120217" s="12"/>
      <c r="F120217" s="13"/>
      <c r="G120217" s="12"/>
      <c r="H120217" s="12"/>
      <c r="I120217" s="12"/>
      <c r="J120217" s="12"/>
      <c r="K120217" s="12"/>
      <c r="L120217" s="208"/>
      <c r="M120217" s="209"/>
      <c r="N120217" s="209"/>
      <c r="O120217" s="209"/>
    </row>
    <row r="120218" spans="1:15" s="210" customFormat="1" x14ac:dyDescent="0.3">
      <c r="A120218" s="12"/>
      <c r="B120218" s="15"/>
      <c r="C120218" s="15"/>
      <c r="D120218" s="12"/>
      <c r="E120218" s="12"/>
      <c r="F120218" s="13"/>
      <c r="G120218" s="12"/>
      <c r="H120218" s="12"/>
      <c r="I120218" s="12"/>
      <c r="J120218" s="12"/>
      <c r="K120218" s="12"/>
      <c r="L120218" s="208"/>
      <c r="M120218" s="209"/>
      <c r="N120218" s="209"/>
      <c r="O120218" s="209"/>
    </row>
    <row r="120219" spans="1:15" s="210" customFormat="1" x14ac:dyDescent="0.3">
      <c r="A120219" s="12"/>
      <c r="B120219" s="15"/>
      <c r="C120219" s="15"/>
      <c r="D120219" s="12"/>
      <c r="E120219" s="12"/>
      <c r="F120219" s="13"/>
      <c r="G120219" s="12"/>
      <c r="H120219" s="12"/>
      <c r="I120219" s="12"/>
      <c r="J120219" s="12"/>
      <c r="K120219" s="12"/>
      <c r="L120219" s="208"/>
      <c r="M120219" s="209"/>
      <c r="N120219" s="209"/>
      <c r="O120219" s="209"/>
    </row>
    <row r="120220" spans="1:15" s="210" customFormat="1" x14ac:dyDescent="0.3">
      <c r="A120220" s="12"/>
      <c r="B120220" s="15"/>
      <c r="C120220" s="15"/>
      <c r="D120220" s="12"/>
      <c r="E120220" s="12"/>
      <c r="F120220" s="13"/>
      <c r="G120220" s="12"/>
      <c r="H120220" s="12"/>
      <c r="I120220" s="12"/>
      <c r="J120220" s="12"/>
      <c r="K120220" s="12"/>
      <c r="L120220" s="208"/>
      <c r="M120220" s="209"/>
      <c r="N120220" s="209"/>
      <c r="O120220" s="209"/>
    </row>
    <row r="120221" spans="1:15" s="210" customFormat="1" x14ac:dyDescent="0.3">
      <c r="A120221" s="12"/>
      <c r="B120221" s="15"/>
      <c r="C120221" s="15"/>
      <c r="D120221" s="12"/>
      <c r="E120221" s="12"/>
      <c r="F120221" s="13"/>
      <c r="G120221" s="12"/>
      <c r="H120221" s="12"/>
      <c r="I120221" s="12"/>
      <c r="J120221" s="12"/>
      <c r="K120221" s="12"/>
      <c r="L120221" s="208"/>
      <c r="M120221" s="209"/>
      <c r="N120221" s="209"/>
      <c r="O120221" s="209"/>
    </row>
    <row r="120222" spans="1:15" s="210" customFormat="1" x14ac:dyDescent="0.3">
      <c r="A120222" s="12"/>
      <c r="B120222" s="15"/>
      <c r="C120222" s="15"/>
      <c r="D120222" s="12"/>
      <c r="E120222" s="12"/>
      <c r="F120222" s="13"/>
      <c r="G120222" s="12"/>
      <c r="H120222" s="12"/>
      <c r="I120222" s="12"/>
      <c r="J120222" s="12"/>
      <c r="K120222" s="12"/>
      <c r="L120222" s="208"/>
      <c r="M120222" s="209"/>
      <c r="N120222" s="209"/>
      <c r="O120222" s="209"/>
    </row>
    <row r="120223" spans="1:15" s="210" customFormat="1" x14ac:dyDescent="0.3">
      <c r="A120223" s="12"/>
      <c r="B120223" s="15"/>
      <c r="C120223" s="15"/>
      <c r="D120223" s="12"/>
      <c r="E120223" s="12"/>
      <c r="F120223" s="13"/>
      <c r="G120223" s="12"/>
      <c r="H120223" s="12"/>
      <c r="I120223" s="12"/>
      <c r="J120223" s="12"/>
      <c r="K120223" s="12"/>
      <c r="L120223" s="208"/>
      <c r="M120223" s="209"/>
      <c r="N120223" s="209"/>
      <c r="O120223" s="209"/>
    </row>
    <row r="120224" spans="1:15" s="210" customFormat="1" x14ac:dyDescent="0.3">
      <c r="A120224" s="12"/>
      <c r="B120224" s="15"/>
      <c r="C120224" s="15"/>
      <c r="D120224" s="12"/>
      <c r="E120224" s="12"/>
      <c r="F120224" s="13"/>
      <c r="G120224" s="12"/>
      <c r="H120224" s="12"/>
      <c r="I120224" s="12"/>
      <c r="J120224" s="12"/>
      <c r="K120224" s="12"/>
      <c r="L120224" s="208"/>
      <c r="M120224" s="209"/>
      <c r="N120224" s="209"/>
      <c r="O120224" s="209"/>
    </row>
    <row r="120225" spans="1:15" s="210" customFormat="1" x14ac:dyDescent="0.3">
      <c r="A120225" s="12"/>
      <c r="B120225" s="15"/>
      <c r="C120225" s="15"/>
      <c r="D120225" s="12"/>
      <c r="E120225" s="12"/>
      <c r="F120225" s="13"/>
      <c r="G120225" s="12"/>
      <c r="H120225" s="12"/>
      <c r="I120225" s="12"/>
      <c r="J120225" s="12"/>
      <c r="K120225" s="12"/>
      <c r="L120225" s="208"/>
      <c r="M120225" s="209"/>
      <c r="N120225" s="209"/>
      <c r="O120225" s="209"/>
    </row>
    <row r="120226" spans="1:15" s="210" customFormat="1" x14ac:dyDescent="0.3">
      <c r="A120226" s="12"/>
      <c r="B120226" s="15"/>
      <c r="C120226" s="15"/>
      <c r="D120226" s="12"/>
      <c r="E120226" s="12"/>
      <c r="F120226" s="13"/>
      <c r="G120226" s="12"/>
      <c r="H120226" s="12"/>
      <c r="I120226" s="12"/>
      <c r="J120226" s="12"/>
      <c r="K120226" s="12"/>
      <c r="L120226" s="208"/>
      <c r="M120226" s="209"/>
      <c r="N120226" s="209"/>
      <c r="O120226" s="209"/>
    </row>
    <row r="120227" spans="1:15" s="210" customFormat="1" x14ac:dyDescent="0.3">
      <c r="A120227" s="12"/>
      <c r="B120227" s="15"/>
      <c r="C120227" s="15"/>
      <c r="D120227" s="12"/>
      <c r="E120227" s="12"/>
      <c r="F120227" s="13"/>
      <c r="G120227" s="12"/>
      <c r="H120227" s="12"/>
      <c r="I120227" s="12"/>
      <c r="J120227" s="12"/>
      <c r="K120227" s="12"/>
      <c r="L120227" s="208"/>
      <c r="M120227" s="209"/>
      <c r="N120227" s="209"/>
      <c r="O120227" s="209"/>
    </row>
    <row r="120228" spans="1:15" s="210" customFormat="1" x14ac:dyDescent="0.3">
      <c r="A120228" s="12"/>
      <c r="B120228" s="15"/>
      <c r="C120228" s="15"/>
      <c r="D120228" s="12"/>
      <c r="E120228" s="12"/>
      <c r="F120228" s="13"/>
      <c r="G120228" s="12"/>
      <c r="H120228" s="12"/>
      <c r="I120228" s="12"/>
      <c r="J120228" s="12"/>
      <c r="K120228" s="12"/>
      <c r="L120228" s="208"/>
      <c r="M120228" s="209"/>
      <c r="N120228" s="209"/>
      <c r="O120228" s="209"/>
    </row>
    <row r="120229" spans="1:15" s="210" customFormat="1" x14ac:dyDescent="0.3">
      <c r="A120229" s="12"/>
      <c r="B120229" s="15"/>
      <c r="C120229" s="15"/>
      <c r="D120229" s="12"/>
      <c r="E120229" s="12"/>
      <c r="F120229" s="13"/>
      <c r="G120229" s="12"/>
      <c r="H120229" s="12"/>
      <c r="I120229" s="12"/>
      <c r="J120229" s="12"/>
      <c r="K120229" s="12"/>
      <c r="L120229" s="208"/>
      <c r="M120229" s="209"/>
      <c r="N120229" s="209"/>
      <c r="O120229" s="209"/>
    </row>
    <row r="120230" spans="1:15" s="210" customFormat="1" x14ac:dyDescent="0.3">
      <c r="A120230" s="12"/>
      <c r="B120230" s="15"/>
      <c r="C120230" s="15"/>
      <c r="D120230" s="12"/>
      <c r="E120230" s="12"/>
      <c r="F120230" s="13"/>
      <c r="G120230" s="12"/>
      <c r="H120230" s="12"/>
      <c r="I120230" s="12"/>
      <c r="J120230" s="12"/>
      <c r="K120230" s="12"/>
      <c r="L120230" s="208"/>
      <c r="M120230" s="209"/>
      <c r="N120230" s="209"/>
      <c r="O120230" s="209"/>
    </row>
    <row r="120231" spans="1:15" s="210" customFormat="1" x14ac:dyDescent="0.3">
      <c r="A120231" s="12"/>
      <c r="B120231" s="15"/>
      <c r="C120231" s="15"/>
      <c r="D120231" s="12"/>
      <c r="E120231" s="12"/>
      <c r="F120231" s="13"/>
      <c r="G120231" s="12"/>
      <c r="H120231" s="12"/>
      <c r="I120231" s="12"/>
      <c r="J120231" s="12"/>
      <c r="K120231" s="12"/>
      <c r="L120231" s="208"/>
      <c r="M120231" s="209"/>
      <c r="N120231" s="209"/>
      <c r="O120231" s="209"/>
    </row>
    <row r="120232" spans="1:15" s="210" customFormat="1" x14ac:dyDescent="0.3">
      <c r="A120232" s="12"/>
      <c r="B120232" s="15"/>
      <c r="C120232" s="15"/>
      <c r="D120232" s="12"/>
      <c r="E120232" s="12"/>
      <c r="F120232" s="13"/>
      <c r="G120232" s="12"/>
      <c r="H120232" s="12"/>
      <c r="I120232" s="12"/>
      <c r="J120232" s="12"/>
      <c r="K120232" s="12"/>
      <c r="L120232" s="208"/>
      <c r="M120232" s="209"/>
      <c r="N120232" s="209"/>
      <c r="O120232" s="209"/>
    </row>
  </sheetData>
  <sheetProtection algorithmName="SHA-512" hashValue="G0mjLv4B7FUOwDDC+uayiQByX8BHBONWbG45qT/nE9wCru7t+6zvjkf/zr3LAxWYyexEJiRqjWkE/Bee3yjDhg==" saltValue="rzA3YxJtQGYLy/EGwEJQpg==" spinCount="100000" sheet="1" objects="1" scenarios="1" autoFilter="0"/>
  <autoFilter ref="A3:L11172"/>
  <customSheetViews>
    <customSheetView guid="{2DCD716E-1533-446D-B259-42ED725E95A4}" filter="1" showAutoFilter="1">
      <selection activeCell="F41" sqref="F41"/>
      <pageMargins left="0.39370078740157483" right="0.39370078740157483" top="0.39370078740157483" bottom="0.39370078740157483" header="0" footer="0"/>
      <pageSetup paperSize="9" orientation="landscape" r:id="rId1"/>
      <autoFilter ref="A3:L11039">
        <filterColumn colId="9">
          <filters>
            <filter val="Администрация городского округа Серебряные Пруды МО (казна)"/>
            <filter val="Администрация городского округа Серебряные Пруды Московской области"/>
            <filter val="Администрация городского округа Серебряные Пруды Московской области (казна)"/>
            <filter val="Городской округ Серебряные Пруды Московской области (казна)"/>
          </filters>
        </filterColumn>
        <filterColumn colId="10">
          <filters blank="1"/>
        </filterColumn>
      </autoFilter>
    </customSheetView>
  </customSheetViews>
  <mergeCells count="2">
    <mergeCell ref="A2:K2"/>
    <mergeCell ref="A1:L1"/>
  </mergeCells>
  <pageMargins left="0.59055118110236215" right="0.19685039370078741" top="0.19685039370078741" bottom="0.19685039370078741" header="0" footer="0"/>
  <pageSetup paperSize="9" scale="52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workbookViewId="0">
      <selection activeCell="C5" sqref="C5"/>
    </sheetView>
  </sheetViews>
  <sheetFormatPr defaultColWidth="9.109375" defaultRowHeight="12" x14ac:dyDescent="0.3"/>
  <cols>
    <col min="1" max="1" width="6.5546875" style="4" customWidth="1"/>
    <col min="2" max="2" width="21.109375" style="4" customWidth="1"/>
    <col min="3" max="3" width="18.109375" style="4" customWidth="1"/>
    <col min="4" max="4" width="15.33203125" style="4" customWidth="1"/>
    <col min="5" max="5" width="19.5546875" style="4" customWidth="1"/>
    <col min="6" max="6" width="13.88671875" style="4" customWidth="1"/>
    <col min="7" max="7" width="13.33203125" style="4" customWidth="1"/>
    <col min="8" max="8" width="14.6640625" style="4" customWidth="1"/>
    <col min="9" max="9" width="11.6640625" style="4" customWidth="1"/>
    <col min="10" max="16384" width="9.109375" style="4"/>
  </cols>
  <sheetData>
    <row r="1" spans="1:9" ht="51.75" customHeight="1" x14ac:dyDescent="0.3">
      <c r="A1" s="323" t="s">
        <v>20263</v>
      </c>
      <c r="B1" s="323"/>
      <c r="C1" s="323"/>
      <c r="D1" s="323"/>
      <c r="E1" s="323"/>
      <c r="F1" s="323"/>
      <c r="G1" s="323"/>
      <c r="H1" s="323"/>
      <c r="I1" s="323"/>
    </row>
    <row r="2" spans="1:9" ht="9.6" customHeight="1" thickBot="1" x14ac:dyDescent="0.3">
      <c r="A2" s="324"/>
      <c r="B2" s="325"/>
      <c r="C2" s="325"/>
      <c r="D2" s="325"/>
      <c r="E2" s="325"/>
      <c r="F2" s="325"/>
      <c r="G2" s="325"/>
      <c r="H2" s="325"/>
      <c r="I2" s="325"/>
    </row>
    <row r="3" spans="1:9" ht="137.4" thickBot="1" x14ac:dyDescent="0.35">
      <c r="A3" s="128" t="s">
        <v>75</v>
      </c>
      <c r="B3" s="125" t="s">
        <v>11939</v>
      </c>
      <c r="C3" s="125" t="s">
        <v>11940</v>
      </c>
      <c r="D3" s="125" t="s">
        <v>11941</v>
      </c>
      <c r="E3" s="125" t="s">
        <v>11942</v>
      </c>
      <c r="F3" s="125" t="s">
        <v>11943</v>
      </c>
      <c r="G3" s="125" t="s">
        <v>11944</v>
      </c>
      <c r="H3" s="125" t="s">
        <v>11945</v>
      </c>
      <c r="I3" s="125" t="s">
        <v>20264</v>
      </c>
    </row>
    <row r="4" spans="1:9" x14ac:dyDescent="0.25">
      <c r="A4" s="126">
        <v>1</v>
      </c>
      <c r="B4" s="127">
        <v>2</v>
      </c>
      <c r="C4" s="127">
        <v>3</v>
      </c>
      <c r="D4" s="127">
        <v>4</v>
      </c>
      <c r="E4" s="127">
        <v>5</v>
      </c>
      <c r="F4" s="127">
        <v>6</v>
      </c>
      <c r="G4" s="127">
        <v>7</v>
      </c>
      <c r="H4" s="127">
        <v>8</v>
      </c>
      <c r="I4" s="127">
        <v>9</v>
      </c>
    </row>
    <row r="5" spans="1:9" ht="156" x14ac:dyDescent="0.3">
      <c r="A5" s="2">
        <v>1</v>
      </c>
      <c r="B5" s="2" t="s">
        <v>17532</v>
      </c>
      <c r="C5" s="2" t="s">
        <v>11946</v>
      </c>
      <c r="D5" s="2" t="s">
        <v>17581</v>
      </c>
      <c r="E5" s="2" t="s">
        <v>17533</v>
      </c>
      <c r="F5" s="2" t="s">
        <v>14</v>
      </c>
      <c r="G5" s="2" t="s">
        <v>14</v>
      </c>
      <c r="H5" s="2" t="s">
        <v>22176</v>
      </c>
      <c r="I5" s="130" t="s">
        <v>19927</v>
      </c>
    </row>
    <row r="6" spans="1:9" ht="216" x14ac:dyDescent="0.3">
      <c r="A6" s="2">
        <v>2</v>
      </c>
      <c r="B6" s="29" t="s">
        <v>17530</v>
      </c>
      <c r="C6" s="29" t="s">
        <v>11947</v>
      </c>
      <c r="D6" s="131" t="s">
        <v>17582</v>
      </c>
      <c r="E6" s="131" t="s">
        <v>17531</v>
      </c>
      <c r="F6" s="2" t="s">
        <v>14</v>
      </c>
      <c r="G6" s="2" t="s">
        <v>14</v>
      </c>
      <c r="H6" s="132" t="s">
        <v>22145</v>
      </c>
      <c r="I6" s="133" t="s">
        <v>19910</v>
      </c>
    </row>
    <row r="7" spans="1:9" ht="108" x14ac:dyDescent="0.3">
      <c r="A7" s="2">
        <v>3</v>
      </c>
      <c r="B7" s="29" t="s">
        <v>19903</v>
      </c>
      <c r="C7" s="29" t="s">
        <v>11947</v>
      </c>
      <c r="D7" s="131" t="s">
        <v>19443</v>
      </c>
      <c r="E7" s="131" t="s">
        <v>19442</v>
      </c>
      <c r="F7" s="2" t="s">
        <v>14</v>
      </c>
      <c r="G7" s="2" t="s">
        <v>14</v>
      </c>
      <c r="H7" s="132" t="s">
        <v>22173</v>
      </c>
      <c r="I7" s="133" t="s">
        <v>22174</v>
      </c>
    </row>
    <row r="8" spans="1:9" ht="144" x14ac:dyDescent="0.3">
      <c r="A8" s="2">
        <v>4</v>
      </c>
      <c r="B8" s="29" t="s">
        <v>17571</v>
      </c>
      <c r="C8" s="29" t="s">
        <v>11947</v>
      </c>
      <c r="D8" s="131" t="s">
        <v>17583</v>
      </c>
      <c r="E8" s="131" t="s">
        <v>17572</v>
      </c>
      <c r="F8" s="2" t="s">
        <v>14</v>
      </c>
      <c r="G8" s="2" t="s">
        <v>14</v>
      </c>
      <c r="H8" s="132" t="s">
        <v>22146</v>
      </c>
      <c r="I8" s="133" t="s">
        <v>19931</v>
      </c>
    </row>
    <row r="9" spans="1:9" ht="180" x14ac:dyDescent="0.3">
      <c r="A9" s="2">
        <v>5</v>
      </c>
      <c r="B9" s="29" t="s">
        <v>11948</v>
      </c>
      <c r="C9" s="29" t="s">
        <v>11949</v>
      </c>
      <c r="D9" s="131" t="s">
        <v>17584</v>
      </c>
      <c r="E9" s="131" t="s">
        <v>17545</v>
      </c>
      <c r="F9" s="2" t="s">
        <v>14</v>
      </c>
      <c r="G9" s="2" t="s">
        <v>14</v>
      </c>
      <c r="H9" s="132" t="s">
        <v>22114</v>
      </c>
      <c r="I9" s="133" t="s">
        <v>19912</v>
      </c>
    </row>
    <row r="10" spans="1:9" ht="180" x14ac:dyDescent="0.3">
      <c r="A10" s="2">
        <v>6</v>
      </c>
      <c r="B10" s="29" t="s">
        <v>11950</v>
      </c>
      <c r="C10" s="29" t="s">
        <v>11951</v>
      </c>
      <c r="D10" s="131" t="s">
        <v>17585</v>
      </c>
      <c r="E10" s="131" t="s">
        <v>17543</v>
      </c>
      <c r="F10" s="2" t="s">
        <v>14</v>
      </c>
      <c r="G10" s="2" t="s">
        <v>14</v>
      </c>
      <c r="H10" s="132" t="s">
        <v>22115</v>
      </c>
      <c r="I10" s="133" t="s">
        <v>19928</v>
      </c>
    </row>
    <row r="11" spans="1:9" ht="180" x14ac:dyDescent="0.3">
      <c r="A11" s="2">
        <v>7</v>
      </c>
      <c r="B11" s="29" t="s">
        <v>11952</v>
      </c>
      <c r="C11" s="29" t="s">
        <v>11953</v>
      </c>
      <c r="D11" s="131" t="s">
        <v>17586</v>
      </c>
      <c r="E11" s="131" t="s">
        <v>17549</v>
      </c>
      <c r="F11" s="2" t="s">
        <v>14</v>
      </c>
      <c r="G11" s="2" t="s">
        <v>14</v>
      </c>
      <c r="H11" s="132" t="s">
        <v>22116</v>
      </c>
      <c r="I11" s="133" t="s">
        <v>19906</v>
      </c>
    </row>
    <row r="12" spans="1:9" ht="180" x14ac:dyDescent="0.3">
      <c r="A12" s="2">
        <v>8</v>
      </c>
      <c r="B12" s="29" t="s">
        <v>11954</v>
      </c>
      <c r="C12" s="29" t="s">
        <v>11955</v>
      </c>
      <c r="D12" s="131" t="s">
        <v>17587</v>
      </c>
      <c r="E12" s="131" t="s">
        <v>17547</v>
      </c>
      <c r="F12" s="2" t="s">
        <v>14</v>
      </c>
      <c r="G12" s="2" t="s">
        <v>14</v>
      </c>
      <c r="H12" s="132" t="s">
        <v>22117</v>
      </c>
      <c r="I12" s="133" t="s">
        <v>22113</v>
      </c>
    </row>
    <row r="13" spans="1:9" ht="168" x14ac:dyDescent="0.3">
      <c r="A13" s="2">
        <v>9</v>
      </c>
      <c r="B13" s="29" t="s">
        <v>11956</v>
      </c>
      <c r="C13" s="29" t="s">
        <v>11957</v>
      </c>
      <c r="D13" s="131" t="s">
        <v>17588</v>
      </c>
      <c r="E13" s="131" t="s">
        <v>17541</v>
      </c>
      <c r="F13" s="2" t="s">
        <v>14</v>
      </c>
      <c r="G13" s="2" t="s">
        <v>14</v>
      </c>
      <c r="H13" s="132" t="s">
        <v>22119</v>
      </c>
      <c r="I13" s="133" t="s">
        <v>19920</v>
      </c>
    </row>
    <row r="14" spans="1:9" ht="180" x14ac:dyDescent="0.3">
      <c r="A14" s="2">
        <v>10</v>
      </c>
      <c r="B14" s="29" t="s">
        <v>11958</v>
      </c>
      <c r="C14" s="29" t="s">
        <v>11959</v>
      </c>
      <c r="D14" s="131" t="s">
        <v>17589</v>
      </c>
      <c r="E14" s="131" t="s">
        <v>17542</v>
      </c>
      <c r="F14" s="2" t="s">
        <v>14</v>
      </c>
      <c r="G14" s="2" t="s">
        <v>14</v>
      </c>
      <c r="H14" s="132" t="s">
        <v>22121</v>
      </c>
      <c r="I14" s="133" t="s">
        <v>19913</v>
      </c>
    </row>
    <row r="15" spans="1:9" ht="180" x14ac:dyDescent="0.3">
      <c r="A15" s="2">
        <v>11</v>
      </c>
      <c r="B15" s="29" t="s">
        <v>11960</v>
      </c>
      <c r="C15" s="29" t="s">
        <v>11961</v>
      </c>
      <c r="D15" s="131" t="s">
        <v>17590</v>
      </c>
      <c r="E15" s="131" t="s">
        <v>17548</v>
      </c>
      <c r="F15" s="2" t="s">
        <v>14</v>
      </c>
      <c r="G15" s="2" t="s">
        <v>14</v>
      </c>
      <c r="H15" s="132" t="s">
        <v>22123</v>
      </c>
      <c r="I15" s="133" t="s">
        <v>19914</v>
      </c>
    </row>
    <row r="16" spans="1:9" ht="180" x14ac:dyDescent="0.3">
      <c r="A16" s="2">
        <v>12</v>
      </c>
      <c r="B16" s="29" t="s">
        <v>11962</v>
      </c>
      <c r="C16" s="29" t="s">
        <v>11963</v>
      </c>
      <c r="D16" s="131" t="s">
        <v>17591</v>
      </c>
      <c r="E16" s="131" t="s">
        <v>17550</v>
      </c>
      <c r="F16" s="2" t="s">
        <v>14</v>
      </c>
      <c r="G16" s="2" t="s">
        <v>14</v>
      </c>
      <c r="H16" s="132" t="s">
        <v>22122</v>
      </c>
      <c r="I16" s="133" t="s">
        <v>19915</v>
      </c>
    </row>
    <row r="17" spans="1:9" ht="180" x14ac:dyDescent="0.3">
      <c r="A17" s="2">
        <v>13</v>
      </c>
      <c r="B17" s="29" t="s">
        <v>11964</v>
      </c>
      <c r="C17" s="29" t="s">
        <v>11965</v>
      </c>
      <c r="D17" s="131" t="s">
        <v>17592</v>
      </c>
      <c r="E17" s="131" t="s">
        <v>17546</v>
      </c>
      <c r="F17" s="2" t="s">
        <v>14</v>
      </c>
      <c r="G17" s="2" t="s">
        <v>14</v>
      </c>
      <c r="H17" s="132" t="s">
        <v>22118</v>
      </c>
      <c r="I17" s="133" t="s">
        <v>19920</v>
      </c>
    </row>
    <row r="18" spans="1:9" ht="180" x14ac:dyDescent="0.3">
      <c r="A18" s="2">
        <v>14</v>
      </c>
      <c r="B18" s="29" t="s">
        <v>11966</v>
      </c>
      <c r="C18" s="29" t="s">
        <v>11967</v>
      </c>
      <c r="D18" s="131" t="s">
        <v>17593</v>
      </c>
      <c r="E18" s="131" t="s">
        <v>17544</v>
      </c>
      <c r="F18" s="2" t="s">
        <v>14</v>
      </c>
      <c r="G18" s="2" t="s">
        <v>14</v>
      </c>
      <c r="H18" s="132" t="s">
        <v>22120</v>
      </c>
      <c r="I18" s="133" t="s">
        <v>19916</v>
      </c>
    </row>
    <row r="19" spans="1:9" ht="180" x14ac:dyDescent="0.3">
      <c r="A19" s="2">
        <v>15</v>
      </c>
      <c r="B19" s="29" t="s">
        <v>11968</v>
      </c>
      <c r="C19" s="29" t="s">
        <v>11969</v>
      </c>
      <c r="D19" s="131" t="s">
        <v>17594</v>
      </c>
      <c r="E19" s="131" t="s">
        <v>17553</v>
      </c>
      <c r="F19" s="2" t="s">
        <v>14</v>
      </c>
      <c r="G19" s="2" t="s">
        <v>14</v>
      </c>
      <c r="H19" s="132" t="s">
        <v>22124</v>
      </c>
      <c r="I19" s="133" t="s">
        <v>19917</v>
      </c>
    </row>
    <row r="20" spans="1:9" ht="144" x14ac:dyDescent="0.3">
      <c r="A20" s="2">
        <v>16</v>
      </c>
      <c r="B20" s="29" t="s">
        <v>17569</v>
      </c>
      <c r="C20" s="29" t="s">
        <v>11970</v>
      </c>
      <c r="D20" s="131" t="s">
        <v>17595</v>
      </c>
      <c r="E20" s="131" t="s">
        <v>17570</v>
      </c>
      <c r="F20" s="2" t="s">
        <v>14</v>
      </c>
      <c r="G20" s="2" t="s">
        <v>14</v>
      </c>
      <c r="H20" s="132" t="s">
        <v>22125</v>
      </c>
      <c r="I20" s="133" t="s">
        <v>19905</v>
      </c>
    </row>
    <row r="21" spans="1:9" ht="144" x14ac:dyDescent="0.3">
      <c r="A21" s="2">
        <v>17</v>
      </c>
      <c r="B21" s="29" t="s">
        <v>19263</v>
      </c>
      <c r="C21" s="29" t="s">
        <v>11947</v>
      </c>
      <c r="D21" s="131" t="s">
        <v>17596</v>
      </c>
      <c r="E21" s="131" t="s">
        <v>17520</v>
      </c>
      <c r="F21" s="2" t="s">
        <v>14</v>
      </c>
      <c r="G21" s="2" t="s">
        <v>14</v>
      </c>
      <c r="H21" s="132" t="s">
        <v>22154</v>
      </c>
      <c r="I21" s="133" t="s">
        <v>19911</v>
      </c>
    </row>
    <row r="22" spans="1:9" ht="144" x14ac:dyDescent="0.3">
      <c r="A22" s="2">
        <v>18</v>
      </c>
      <c r="B22" s="134" t="s">
        <v>11971</v>
      </c>
      <c r="C22" s="134" t="s">
        <v>11972</v>
      </c>
      <c r="D22" s="135" t="s">
        <v>17597</v>
      </c>
      <c r="E22" s="131" t="s">
        <v>17556</v>
      </c>
      <c r="F22" s="2" t="s">
        <v>14</v>
      </c>
      <c r="G22" s="2" t="s">
        <v>14</v>
      </c>
      <c r="H22" s="132" t="s">
        <v>22126</v>
      </c>
      <c r="I22" s="133" t="s">
        <v>19924</v>
      </c>
    </row>
    <row r="23" spans="1:9" ht="144" x14ac:dyDescent="0.3">
      <c r="A23" s="2">
        <v>19</v>
      </c>
      <c r="B23" s="134" t="s">
        <v>11973</v>
      </c>
      <c r="C23" s="134" t="s">
        <v>11974</v>
      </c>
      <c r="D23" s="135" t="s">
        <v>17598</v>
      </c>
      <c r="E23" s="131" t="s">
        <v>17562</v>
      </c>
      <c r="F23" s="2" t="s">
        <v>14</v>
      </c>
      <c r="G23" s="2" t="s">
        <v>14</v>
      </c>
      <c r="H23" s="132" t="s">
        <v>22128</v>
      </c>
      <c r="I23" s="133" t="s">
        <v>19921</v>
      </c>
    </row>
    <row r="24" spans="1:9" ht="144" x14ac:dyDescent="0.3">
      <c r="A24" s="2">
        <v>20</v>
      </c>
      <c r="B24" s="134" t="s">
        <v>11975</v>
      </c>
      <c r="C24" s="134" t="s">
        <v>11976</v>
      </c>
      <c r="D24" s="135" t="s">
        <v>17599</v>
      </c>
      <c r="E24" s="131" t="s">
        <v>17573</v>
      </c>
      <c r="F24" s="2" t="s">
        <v>14</v>
      </c>
      <c r="G24" s="2" t="s">
        <v>14</v>
      </c>
      <c r="H24" s="132" t="s">
        <v>22127</v>
      </c>
      <c r="I24" s="133" t="s">
        <v>19916</v>
      </c>
    </row>
    <row r="25" spans="1:9" ht="180" x14ac:dyDescent="0.3">
      <c r="A25" s="2">
        <v>21</v>
      </c>
      <c r="B25" s="134" t="s">
        <v>11977</v>
      </c>
      <c r="C25" s="29" t="s">
        <v>11978</v>
      </c>
      <c r="D25" s="135" t="s">
        <v>17600</v>
      </c>
      <c r="E25" s="131" t="s">
        <v>17561</v>
      </c>
      <c r="F25" s="2" t="s">
        <v>14</v>
      </c>
      <c r="G25" s="2" t="s">
        <v>14</v>
      </c>
      <c r="H25" s="132" t="s">
        <v>22131</v>
      </c>
      <c r="I25" s="133" t="s">
        <v>19922</v>
      </c>
    </row>
    <row r="26" spans="1:9" ht="144" x14ac:dyDescent="0.3">
      <c r="A26" s="2">
        <v>22</v>
      </c>
      <c r="B26" s="134" t="s">
        <v>11979</v>
      </c>
      <c r="C26" s="29" t="s">
        <v>11980</v>
      </c>
      <c r="D26" s="135" t="s">
        <v>17601</v>
      </c>
      <c r="E26" s="131" t="s">
        <v>17564</v>
      </c>
      <c r="F26" s="2" t="s">
        <v>14</v>
      </c>
      <c r="G26" s="2" t="s">
        <v>14</v>
      </c>
      <c r="H26" s="132" t="s">
        <v>22129</v>
      </c>
      <c r="I26" s="133" t="s">
        <v>22130</v>
      </c>
    </row>
    <row r="27" spans="1:9" ht="180" x14ac:dyDescent="0.3">
      <c r="A27" s="2">
        <v>23</v>
      </c>
      <c r="B27" s="134" t="s">
        <v>11981</v>
      </c>
      <c r="C27" s="29" t="s">
        <v>11982</v>
      </c>
      <c r="D27" s="135" t="s">
        <v>17602</v>
      </c>
      <c r="E27" s="131" t="s">
        <v>17554</v>
      </c>
      <c r="F27" s="2" t="s">
        <v>14</v>
      </c>
      <c r="G27" s="2" t="s">
        <v>14</v>
      </c>
      <c r="H27" s="132" t="s">
        <v>22133</v>
      </c>
      <c r="I27" s="133" t="s">
        <v>22132</v>
      </c>
    </row>
    <row r="28" spans="1:9" ht="180" x14ac:dyDescent="0.3">
      <c r="A28" s="2">
        <v>24</v>
      </c>
      <c r="B28" s="134" t="s">
        <v>11983</v>
      </c>
      <c r="C28" s="29" t="s">
        <v>11984</v>
      </c>
      <c r="D28" s="135" t="s">
        <v>17603</v>
      </c>
      <c r="E28" s="131" t="s">
        <v>17557</v>
      </c>
      <c r="F28" s="2" t="s">
        <v>14</v>
      </c>
      <c r="G28" s="2" t="s">
        <v>14</v>
      </c>
      <c r="H28" s="132" t="s">
        <v>22134</v>
      </c>
      <c r="I28" s="133" t="s">
        <v>19910</v>
      </c>
    </row>
    <row r="29" spans="1:9" ht="180" x14ac:dyDescent="0.3">
      <c r="A29" s="2">
        <v>25</v>
      </c>
      <c r="B29" s="134" t="s">
        <v>11985</v>
      </c>
      <c r="C29" s="29" t="s">
        <v>11986</v>
      </c>
      <c r="D29" s="135" t="s">
        <v>17604</v>
      </c>
      <c r="E29" s="131" t="s">
        <v>17558</v>
      </c>
      <c r="F29" s="2" t="s">
        <v>14</v>
      </c>
      <c r="G29" s="2" t="s">
        <v>14</v>
      </c>
      <c r="H29" s="132" t="s">
        <v>22135</v>
      </c>
      <c r="I29" s="133" t="s">
        <v>19931</v>
      </c>
    </row>
    <row r="30" spans="1:9" ht="180" x14ac:dyDescent="0.3">
      <c r="A30" s="2">
        <v>26</v>
      </c>
      <c r="B30" s="134" t="s">
        <v>11987</v>
      </c>
      <c r="C30" s="29" t="s">
        <v>11988</v>
      </c>
      <c r="D30" s="135" t="s">
        <v>17605</v>
      </c>
      <c r="E30" s="131" t="s">
        <v>17563</v>
      </c>
      <c r="F30" s="2" t="s">
        <v>14</v>
      </c>
      <c r="G30" s="2" t="s">
        <v>14</v>
      </c>
      <c r="H30" s="132" t="s">
        <v>22136</v>
      </c>
      <c r="I30" s="133" t="s">
        <v>19924</v>
      </c>
    </row>
    <row r="31" spans="1:9" ht="180" x14ac:dyDescent="0.3">
      <c r="A31" s="2">
        <v>27</v>
      </c>
      <c r="B31" s="134" t="s">
        <v>11989</v>
      </c>
      <c r="C31" s="29" t="s">
        <v>11990</v>
      </c>
      <c r="D31" s="135" t="s">
        <v>17606</v>
      </c>
      <c r="E31" s="131" t="s">
        <v>17566</v>
      </c>
      <c r="F31" s="2" t="s">
        <v>14</v>
      </c>
      <c r="G31" s="2" t="s">
        <v>14</v>
      </c>
      <c r="H31" s="132" t="s">
        <v>22137</v>
      </c>
      <c r="I31" s="133" t="s">
        <v>19930</v>
      </c>
    </row>
    <row r="32" spans="1:9" ht="180" x14ac:dyDescent="0.3">
      <c r="A32" s="2">
        <v>28</v>
      </c>
      <c r="B32" s="134" t="s">
        <v>11991</v>
      </c>
      <c r="C32" s="29" t="s">
        <v>11992</v>
      </c>
      <c r="D32" s="135" t="s">
        <v>17607</v>
      </c>
      <c r="E32" s="131" t="s">
        <v>17567</v>
      </c>
      <c r="F32" s="2" t="s">
        <v>14</v>
      </c>
      <c r="G32" s="2" t="s">
        <v>14</v>
      </c>
      <c r="H32" s="132" t="s">
        <v>22138</v>
      </c>
      <c r="I32" s="133" t="s">
        <v>19923</v>
      </c>
    </row>
    <row r="33" spans="1:9" ht="180" x14ac:dyDescent="0.3">
      <c r="A33" s="2">
        <v>29</v>
      </c>
      <c r="B33" s="134" t="s">
        <v>11993</v>
      </c>
      <c r="C33" s="29" t="s">
        <v>11994</v>
      </c>
      <c r="D33" s="135" t="s">
        <v>17608</v>
      </c>
      <c r="E33" s="131" t="s">
        <v>17555</v>
      </c>
      <c r="F33" s="2" t="s">
        <v>14</v>
      </c>
      <c r="G33" s="2" t="s">
        <v>14</v>
      </c>
      <c r="H33" s="132" t="s">
        <v>22139</v>
      </c>
      <c r="I33" s="133" t="s">
        <v>19931</v>
      </c>
    </row>
    <row r="34" spans="1:9" ht="180" x14ac:dyDescent="0.3">
      <c r="A34" s="2">
        <v>30</v>
      </c>
      <c r="B34" s="134" t="s">
        <v>11995</v>
      </c>
      <c r="C34" s="29" t="s">
        <v>11996</v>
      </c>
      <c r="D34" s="135" t="s">
        <v>17609</v>
      </c>
      <c r="E34" s="131" t="s">
        <v>17568</v>
      </c>
      <c r="F34" s="2" t="s">
        <v>14</v>
      </c>
      <c r="G34" s="2" t="s">
        <v>14</v>
      </c>
      <c r="H34" s="132" t="s">
        <v>22140</v>
      </c>
      <c r="I34" s="133" t="s">
        <v>19919</v>
      </c>
    </row>
    <row r="35" spans="1:9" ht="180" x14ac:dyDescent="0.3">
      <c r="A35" s="2">
        <v>31</v>
      </c>
      <c r="B35" s="134" t="s">
        <v>11997</v>
      </c>
      <c r="C35" s="29" t="s">
        <v>11963</v>
      </c>
      <c r="D35" s="135" t="s">
        <v>17610</v>
      </c>
      <c r="E35" s="131" t="s">
        <v>17565</v>
      </c>
      <c r="F35" s="2" t="s">
        <v>14</v>
      </c>
      <c r="G35" s="2" t="s">
        <v>14</v>
      </c>
      <c r="H35" s="132" t="s">
        <v>22142</v>
      </c>
      <c r="I35" s="133" t="s">
        <v>19919</v>
      </c>
    </row>
    <row r="36" spans="1:9" ht="180" x14ac:dyDescent="0.3">
      <c r="A36" s="2">
        <v>32</v>
      </c>
      <c r="B36" s="134" t="s">
        <v>11998</v>
      </c>
      <c r="C36" s="29" t="s">
        <v>11999</v>
      </c>
      <c r="D36" s="135" t="s">
        <v>17611</v>
      </c>
      <c r="E36" s="131" t="s">
        <v>17560</v>
      </c>
      <c r="F36" s="2" t="s">
        <v>14</v>
      </c>
      <c r="G36" s="2" t="s">
        <v>14</v>
      </c>
      <c r="H36" s="132" t="s">
        <v>22141</v>
      </c>
      <c r="I36" s="133" t="s">
        <v>19926</v>
      </c>
    </row>
    <row r="37" spans="1:9" ht="180" x14ac:dyDescent="0.3">
      <c r="A37" s="2">
        <v>33</v>
      </c>
      <c r="B37" s="134" t="s">
        <v>12000</v>
      </c>
      <c r="C37" s="29" t="s">
        <v>11965</v>
      </c>
      <c r="D37" s="135" t="s">
        <v>17612</v>
      </c>
      <c r="E37" s="131" t="s">
        <v>17559</v>
      </c>
      <c r="F37" s="2" t="s">
        <v>14</v>
      </c>
      <c r="G37" s="2" t="s">
        <v>14</v>
      </c>
      <c r="H37" s="132" t="s">
        <v>22143</v>
      </c>
      <c r="I37" s="133" t="s">
        <v>22144</v>
      </c>
    </row>
    <row r="38" spans="1:9" ht="84" x14ac:dyDescent="0.3">
      <c r="A38" s="2">
        <v>34</v>
      </c>
      <c r="B38" s="2" t="s">
        <v>19693</v>
      </c>
      <c r="C38" s="2" t="s">
        <v>12001</v>
      </c>
      <c r="D38" s="79" t="s">
        <v>17613</v>
      </c>
      <c r="E38" s="2" t="s">
        <v>12002</v>
      </c>
      <c r="F38" s="2" t="s">
        <v>14</v>
      </c>
      <c r="G38" s="2" t="s">
        <v>14</v>
      </c>
      <c r="H38" s="2" t="s">
        <v>22163</v>
      </c>
      <c r="I38" s="79" t="s">
        <v>19927</v>
      </c>
    </row>
    <row r="39" spans="1:9" ht="144" x14ac:dyDescent="0.3">
      <c r="A39" s="2">
        <v>35</v>
      </c>
      <c r="B39" s="2" t="s">
        <v>17527</v>
      </c>
      <c r="C39" s="2" t="s">
        <v>12001</v>
      </c>
      <c r="D39" s="79" t="s">
        <v>17614</v>
      </c>
      <c r="E39" s="2" t="s">
        <v>17528</v>
      </c>
      <c r="F39" s="2" t="s">
        <v>14</v>
      </c>
      <c r="G39" s="2" t="s">
        <v>14</v>
      </c>
      <c r="H39" s="2" t="s">
        <v>22168</v>
      </c>
      <c r="I39" s="79" t="s">
        <v>19928</v>
      </c>
    </row>
    <row r="40" spans="1:9" ht="156" x14ac:dyDescent="0.3">
      <c r="A40" s="2">
        <v>36</v>
      </c>
      <c r="B40" s="2" t="s">
        <v>17521</v>
      </c>
      <c r="C40" s="2" t="s">
        <v>12001</v>
      </c>
      <c r="D40" s="2" t="s">
        <v>17615</v>
      </c>
      <c r="E40" s="2" t="s">
        <v>17522</v>
      </c>
      <c r="F40" s="2" t="s">
        <v>14</v>
      </c>
      <c r="G40" s="2" t="s">
        <v>14</v>
      </c>
      <c r="H40" s="2" t="s">
        <v>22166</v>
      </c>
      <c r="I40" s="79" t="s">
        <v>19931</v>
      </c>
    </row>
    <row r="41" spans="1:9" ht="156" x14ac:dyDescent="0.3">
      <c r="A41" s="2">
        <v>37</v>
      </c>
      <c r="B41" s="2" t="s">
        <v>17525</v>
      </c>
      <c r="C41" s="2" t="s">
        <v>12003</v>
      </c>
      <c r="D41" s="2" t="s">
        <v>17616</v>
      </c>
      <c r="E41" s="2" t="s">
        <v>17526</v>
      </c>
      <c r="F41" s="2" t="s">
        <v>14</v>
      </c>
      <c r="G41" s="2" t="s">
        <v>14</v>
      </c>
      <c r="H41" s="2" t="s">
        <v>22155</v>
      </c>
      <c r="I41" s="79" t="s">
        <v>19923</v>
      </c>
    </row>
    <row r="42" spans="1:9" ht="144" x14ac:dyDescent="0.3">
      <c r="A42" s="2">
        <v>38</v>
      </c>
      <c r="B42" s="2" t="s">
        <v>17529</v>
      </c>
      <c r="C42" s="2" t="s">
        <v>12004</v>
      </c>
      <c r="D42" s="2" t="s">
        <v>17617</v>
      </c>
      <c r="E42" s="2" t="s">
        <v>17944</v>
      </c>
      <c r="F42" s="2" t="s">
        <v>14</v>
      </c>
      <c r="G42" s="2" t="s">
        <v>14</v>
      </c>
      <c r="H42" s="2" t="s">
        <v>22167</v>
      </c>
      <c r="I42" s="79" t="s">
        <v>22144</v>
      </c>
    </row>
    <row r="43" spans="1:9" ht="84" x14ac:dyDescent="0.3">
      <c r="A43" s="2">
        <v>39</v>
      </c>
      <c r="B43" s="2" t="s">
        <v>19694</v>
      </c>
      <c r="C43" s="2" t="s">
        <v>12005</v>
      </c>
      <c r="D43" s="2" t="s">
        <v>17618</v>
      </c>
      <c r="E43" s="2" t="s">
        <v>12006</v>
      </c>
      <c r="F43" s="2" t="s">
        <v>14</v>
      </c>
      <c r="G43" s="2" t="s">
        <v>14</v>
      </c>
      <c r="H43" s="2" t="s">
        <v>22162</v>
      </c>
      <c r="I43" s="79" t="s">
        <v>19929</v>
      </c>
    </row>
    <row r="44" spans="1:9" ht="144" x14ac:dyDescent="0.3">
      <c r="A44" s="2">
        <v>40</v>
      </c>
      <c r="B44" s="2" t="s">
        <v>17508</v>
      </c>
      <c r="C44" s="2" t="s">
        <v>12005</v>
      </c>
      <c r="D44" s="2" t="s">
        <v>17619</v>
      </c>
      <c r="E44" s="2" t="s">
        <v>17509</v>
      </c>
      <c r="F44" s="2" t="s">
        <v>14</v>
      </c>
      <c r="G44" s="2" t="s">
        <v>14</v>
      </c>
      <c r="H44" s="2" t="s">
        <v>22164</v>
      </c>
      <c r="I44" s="79" t="s">
        <v>19905</v>
      </c>
    </row>
    <row r="45" spans="1:9" ht="144" x14ac:dyDescent="0.3">
      <c r="A45" s="2">
        <v>41</v>
      </c>
      <c r="B45" s="2" t="s">
        <v>17510</v>
      </c>
      <c r="C45" s="2" t="s">
        <v>12007</v>
      </c>
      <c r="D45" s="2" t="s">
        <v>17620</v>
      </c>
      <c r="E45" s="2" t="s">
        <v>17511</v>
      </c>
      <c r="F45" s="2" t="s">
        <v>14</v>
      </c>
      <c r="G45" s="2" t="s">
        <v>14</v>
      </c>
      <c r="H45" s="2" t="s">
        <v>22148</v>
      </c>
      <c r="I45" s="79" t="s">
        <v>19927</v>
      </c>
    </row>
    <row r="46" spans="1:9" ht="144" x14ac:dyDescent="0.3">
      <c r="A46" s="2">
        <v>42</v>
      </c>
      <c r="B46" s="2" t="s">
        <v>17512</v>
      </c>
      <c r="C46" s="2" t="s">
        <v>12008</v>
      </c>
      <c r="D46" s="2" t="s">
        <v>17621</v>
      </c>
      <c r="E46" s="2" t="s">
        <v>17513</v>
      </c>
      <c r="F46" s="2" t="s">
        <v>14</v>
      </c>
      <c r="G46" s="2" t="s">
        <v>14</v>
      </c>
      <c r="H46" s="2" t="s">
        <v>22165</v>
      </c>
      <c r="I46" s="79" t="s">
        <v>19930</v>
      </c>
    </row>
    <row r="47" spans="1:9" ht="144" x14ac:dyDescent="0.3">
      <c r="A47" s="2">
        <v>43</v>
      </c>
      <c r="B47" s="2" t="s">
        <v>12336</v>
      </c>
      <c r="C47" s="2" t="s">
        <v>12005</v>
      </c>
      <c r="D47" s="2" t="s">
        <v>17622</v>
      </c>
      <c r="E47" s="2" t="s">
        <v>17507</v>
      </c>
      <c r="F47" s="2" t="s">
        <v>14</v>
      </c>
      <c r="G47" s="2" t="s">
        <v>14</v>
      </c>
      <c r="H47" s="2" t="s">
        <v>22149</v>
      </c>
      <c r="I47" s="79" t="s">
        <v>19929</v>
      </c>
    </row>
    <row r="48" spans="1:9" ht="132" x14ac:dyDescent="0.3">
      <c r="A48" s="2">
        <v>44</v>
      </c>
      <c r="B48" s="2" t="s">
        <v>17514</v>
      </c>
      <c r="C48" s="2" t="s">
        <v>12009</v>
      </c>
      <c r="D48" s="2" t="s">
        <v>17623</v>
      </c>
      <c r="E48" s="2" t="s">
        <v>17515</v>
      </c>
      <c r="F48" s="2" t="s">
        <v>14</v>
      </c>
      <c r="G48" s="2" t="s">
        <v>14</v>
      </c>
      <c r="H48" s="2" t="s">
        <v>22161</v>
      </c>
      <c r="I48" s="79" t="s">
        <v>19918</v>
      </c>
    </row>
    <row r="49" spans="1:9" ht="144" x14ac:dyDescent="0.3">
      <c r="A49" s="2">
        <v>45</v>
      </c>
      <c r="B49" s="2" t="s">
        <v>17516</v>
      </c>
      <c r="C49" s="2" t="s">
        <v>12008</v>
      </c>
      <c r="D49" s="2" t="s">
        <v>17624</v>
      </c>
      <c r="E49" s="2" t="s">
        <v>17517</v>
      </c>
      <c r="F49" s="2" t="s">
        <v>14</v>
      </c>
      <c r="G49" s="2" t="s">
        <v>14</v>
      </c>
      <c r="H49" s="2" t="s">
        <v>22157</v>
      </c>
      <c r="I49" s="79" t="s">
        <v>19931</v>
      </c>
    </row>
    <row r="50" spans="1:9" ht="144" x14ac:dyDescent="0.3">
      <c r="A50" s="2">
        <v>46</v>
      </c>
      <c r="B50" s="2" t="s">
        <v>17518</v>
      </c>
      <c r="C50" s="2" t="s">
        <v>12010</v>
      </c>
      <c r="D50" s="2" t="s">
        <v>17625</v>
      </c>
      <c r="E50" s="2" t="s">
        <v>17519</v>
      </c>
      <c r="F50" s="2" t="s">
        <v>14</v>
      </c>
      <c r="G50" s="2" t="s">
        <v>14</v>
      </c>
      <c r="H50" s="2" t="s">
        <v>22160</v>
      </c>
      <c r="I50" s="79" t="s">
        <v>22132</v>
      </c>
    </row>
    <row r="51" spans="1:9" ht="84" x14ac:dyDescent="0.3">
      <c r="A51" s="2">
        <v>47</v>
      </c>
      <c r="B51" s="2" t="s">
        <v>19640</v>
      </c>
      <c r="C51" s="2" t="s">
        <v>12167</v>
      </c>
      <c r="D51" s="79" t="s">
        <v>19641</v>
      </c>
      <c r="E51" s="2" t="s">
        <v>19642</v>
      </c>
      <c r="F51" s="2" t="s">
        <v>12168</v>
      </c>
      <c r="G51" s="2">
        <v>100</v>
      </c>
      <c r="H51" s="109" t="s">
        <v>22177</v>
      </c>
      <c r="I51" s="130">
        <v>4</v>
      </c>
    </row>
    <row r="52" spans="1:9" ht="108" x14ac:dyDescent="0.3">
      <c r="A52" s="2">
        <v>48</v>
      </c>
      <c r="B52" s="2" t="s">
        <v>18033</v>
      </c>
      <c r="C52" s="2" t="s">
        <v>12169</v>
      </c>
      <c r="D52" s="79" t="s">
        <v>22705</v>
      </c>
      <c r="E52" s="2" t="s">
        <v>12170</v>
      </c>
      <c r="F52" s="2" t="s">
        <v>12171</v>
      </c>
      <c r="G52" s="2"/>
      <c r="H52" s="2" t="s">
        <v>19909</v>
      </c>
      <c r="I52" s="130" t="s">
        <v>19932</v>
      </c>
    </row>
    <row r="53" spans="1:9" ht="144" x14ac:dyDescent="0.3">
      <c r="A53" s="2">
        <v>49</v>
      </c>
      <c r="B53" s="66" t="s">
        <v>19695</v>
      </c>
      <c r="C53" s="155" t="s">
        <v>12236</v>
      </c>
      <c r="D53" s="214" t="s">
        <v>17626</v>
      </c>
      <c r="E53" s="2" t="s">
        <v>17534</v>
      </c>
      <c r="F53" s="2"/>
      <c r="G53" s="2"/>
      <c r="H53" s="2" t="s">
        <v>22171</v>
      </c>
      <c r="I53" s="130" t="s">
        <v>19924</v>
      </c>
    </row>
    <row r="54" spans="1:9" ht="72" x14ac:dyDescent="0.3">
      <c r="A54" s="2">
        <v>50</v>
      </c>
      <c r="B54" s="66" t="s">
        <v>14354</v>
      </c>
      <c r="C54" s="66" t="s">
        <v>14355</v>
      </c>
      <c r="D54" s="66" t="s">
        <v>17627</v>
      </c>
      <c r="E54" s="66" t="s">
        <v>14356</v>
      </c>
      <c r="F54" s="207" t="s">
        <v>14357</v>
      </c>
      <c r="G54" s="207"/>
      <c r="H54" s="66" t="s">
        <v>22111</v>
      </c>
      <c r="I54" s="207" t="s">
        <v>22112</v>
      </c>
    </row>
    <row r="55" spans="1:9" ht="72.75" customHeight="1" x14ac:dyDescent="0.3">
      <c r="A55" s="2">
        <v>51</v>
      </c>
      <c r="B55" s="213" t="s">
        <v>17492</v>
      </c>
      <c r="C55" s="155" t="s">
        <v>12236</v>
      </c>
      <c r="D55" s="214" t="s">
        <v>17628</v>
      </c>
      <c r="E55" s="66" t="s">
        <v>17493</v>
      </c>
      <c r="F55" s="66"/>
      <c r="G55" s="66"/>
      <c r="H55" s="66" t="s">
        <v>22147</v>
      </c>
      <c r="I55" s="66" t="s">
        <v>19934</v>
      </c>
    </row>
    <row r="56" spans="1:9" ht="216" x14ac:dyDescent="0.3">
      <c r="A56" s="2">
        <v>52</v>
      </c>
      <c r="B56" s="2" t="s">
        <v>20033</v>
      </c>
      <c r="C56" s="2" t="s">
        <v>17494</v>
      </c>
      <c r="D56" s="2" t="s">
        <v>17579</v>
      </c>
      <c r="E56" s="2" t="s">
        <v>20034</v>
      </c>
      <c r="F56" s="2"/>
      <c r="G56" s="2"/>
      <c r="H56" s="2" t="s">
        <v>22156</v>
      </c>
      <c r="I56" s="2" t="s">
        <v>19929</v>
      </c>
    </row>
    <row r="57" spans="1:9" ht="228" x14ac:dyDescent="0.3">
      <c r="A57" s="2">
        <v>53</v>
      </c>
      <c r="B57" s="2" t="s">
        <v>17498</v>
      </c>
      <c r="C57" s="2" t="s">
        <v>20035</v>
      </c>
      <c r="D57" s="79" t="s">
        <v>17629</v>
      </c>
      <c r="E57" s="2" t="s">
        <v>20036</v>
      </c>
      <c r="F57" s="2"/>
      <c r="G57" s="2"/>
      <c r="H57" s="11" t="s">
        <v>22153</v>
      </c>
      <c r="I57" s="2" t="s">
        <v>19920</v>
      </c>
    </row>
    <row r="58" spans="1:9" ht="144" x14ac:dyDescent="0.3">
      <c r="A58" s="2">
        <v>54</v>
      </c>
      <c r="B58" s="2" t="s">
        <v>17523</v>
      </c>
      <c r="C58" s="2" t="s">
        <v>17495</v>
      </c>
      <c r="D58" s="79" t="s">
        <v>17630</v>
      </c>
      <c r="E58" s="2" t="s">
        <v>17524</v>
      </c>
      <c r="F58" s="2"/>
      <c r="G58" s="2"/>
      <c r="H58" s="11" t="s">
        <v>22159</v>
      </c>
      <c r="I58" s="2" t="s">
        <v>22158</v>
      </c>
    </row>
    <row r="59" spans="1:9" ht="156" x14ac:dyDescent="0.3">
      <c r="A59" s="2">
        <v>55</v>
      </c>
      <c r="B59" s="2" t="s">
        <v>17575</v>
      </c>
      <c r="C59" s="2" t="s">
        <v>17496</v>
      </c>
      <c r="D59" s="2" t="s">
        <v>17631</v>
      </c>
      <c r="E59" s="2" t="s">
        <v>17576</v>
      </c>
      <c r="F59" s="2"/>
      <c r="G59" s="2" t="s">
        <v>17497</v>
      </c>
      <c r="H59" s="11"/>
      <c r="I59" s="2"/>
    </row>
    <row r="60" spans="1:9" ht="324" x14ac:dyDescent="0.3">
      <c r="A60" s="2">
        <v>56</v>
      </c>
      <c r="B60" s="2" t="s">
        <v>18198</v>
      </c>
      <c r="C60" s="2" t="s">
        <v>17499</v>
      </c>
      <c r="D60" s="2" t="s">
        <v>17580</v>
      </c>
      <c r="E60" s="2" t="s">
        <v>18199</v>
      </c>
      <c r="F60" s="2">
        <v>50000</v>
      </c>
      <c r="G60" s="2"/>
      <c r="H60" s="2" t="s">
        <v>22169</v>
      </c>
      <c r="I60" s="2" t="s">
        <v>19933</v>
      </c>
    </row>
    <row r="61" spans="1:9" ht="84" x14ac:dyDescent="0.3">
      <c r="A61" s="2">
        <v>57</v>
      </c>
      <c r="B61" s="2" t="s">
        <v>17500</v>
      </c>
      <c r="C61" s="2" t="s">
        <v>17501</v>
      </c>
      <c r="D61" s="2" t="s">
        <v>22706</v>
      </c>
      <c r="E61" s="2" t="s">
        <v>17502</v>
      </c>
      <c r="F61" s="2">
        <v>10000</v>
      </c>
      <c r="G61" s="2"/>
      <c r="H61" s="2" t="s">
        <v>17503</v>
      </c>
      <c r="I61" s="2" t="s">
        <v>19932</v>
      </c>
    </row>
    <row r="62" spans="1:9" ht="216" x14ac:dyDescent="0.3">
      <c r="A62" s="2">
        <v>58</v>
      </c>
      <c r="B62" s="2" t="s">
        <v>20031</v>
      </c>
      <c r="C62" s="2" t="s">
        <v>17504</v>
      </c>
      <c r="D62" s="79" t="s">
        <v>17632</v>
      </c>
      <c r="E62" s="2" t="s">
        <v>20032</v>
      </c>
      <c r="F62" s="207"/>
      <c r="G62" s="207"/>
      <c r="H62" s="2" t="s">
        <v>22150</v>
      </c>
      <c r="I62" s="2" t="s">
        <v>19925</v>
      </c>
    </row>
    <row r="63" spans="1:9" ht="240" x14ac:dyDescent="0.3">
      <c r="A63" s="2">
        <v>59</v>
      </c>
      <c r="B63" s="2" t="s">
        <v>22152</v>
      </c>
      <c r="C63" s="2" t="s">
        <v>17505</v>
      </c>
      <c r="D63" s="2" t="s">
        <v>17506</v>
      </c>
      <c r="E63" s="2" t="s">
        <v>20030</v>
      </c>
      <c r="F63" s="2"/>
      <c r="G63" s="2"/>
      <c r="H63" s="2" t="s">
        <v>22151</v>
      </c>
      <c r="I63" s="2" t="s">
        <v>19910</v>
      </c>
    </row>
    <row r="64" spans="1:9" ht="144" x14ac:dyDescent="0.3">
      <c r="A64" s="2">
        <v>60</v>
      </c>
      <c r="B64" s="66" t="s">
        <v>17535</v>
      </c>
      <c r="C64" s="155" t="s">
        <v>17538</v>
      </c>
      <c r="D64" s="66" t="s">
        <v>17578</v>
      </c>
      <c r="E64" s="66" t="s">
        <v>17536</v>
      </c>
      <c r="F64" s="207"/>
      <c r="G64" s="207"/>
      <c r="H64" s="66" t="s">
        <v>22175</v>
      </c>
      <c r="I64" s="207" t="s">
        <v>19930</v>
      </c>
    </row>
    <row r="65" spans="1:9" s="129" customFormat="1" ht="108" x14ac:dyDescent="0.3">
      <c r="A65" s="2">
        <v>61</v>
      </c>
      <c r="B65" s="66" t="s">
        <v>17540</v>
      </c>
      <c r="C65" s="155" t="s">
        <v>17537</v>
      </c>
      <c r="D65" s="66" t="s">
        <v>17577</v>
      </c>
      <c r="E65" s="66" t="s">
        <v>17539</v>
      </c>
      <c r="F65" s="207"/>
      <c r="G65" s="207"/>
      <c r="H65" s="66" t="s">
        <v>22178</v>
      </c>
      <c r="I65" s="207" t="s">
        <v>22179</v>
      </c>
    </row>
    <row r="66" spans="1:9" ht="72" x14ac:dyDescent="0.3">
      <c r="A66" s="2">
        <v>62</v>
      </c>
      <c r="B66" s="38" t="s">
        <v>19439</v>
      </c>
      <c r="C66" s="155" t="s">
        <v>17538</v>
      </c>
      <c r="D66" s="38" t="s">
        <v>19440</v>
      </c>
      <c r="E66" s="38" t="s">
        <v>19441</v>
      </c>
      <c r="F66" s="38"/>
      <c r="G66" s="38"/>
      <c r="H66" s="38" t="s">
        <v>22170</v>
      </c>
      <c r="I66" s="38" t="s">
        <v>19930</v>
      </c>
    </row>
    <row r="67" spans="1:9" ht="72" x14ac:dyDescent="0.3">
      <c r="A67" s="2">
        <v>63</v>
      </c>
      <c r="B67" s="206" t="s">
        <v>19477</v>
      </c>
      <c r="C67" s="155" t="s">
        <v>17538</v>
      </c>
      <c r="D67" s="38" t="s">
        <v>19478</v>
      </c>
      <c r="E67" s="38" t="s">
        <v>19479</v>
      </c>
      <c r="F67" s="38"/>
      <c r="G67" s="38"/>
      <c r="H67" s="38" t="s">
        <v>22172</v>
      </c>
      <c r="I67" s="38" t="s">
        <v>19918</v>
      </c>
    </row>
    <row r="68" spans="1:9" s="110" customFormat="1" x14ac:dyDescent="0.3">
      <c r="A68" s="4"/>
      <c r="B68" s="4"/>
      <c r="C68" s="4"/>
      <c r="D68" s="4"/>
      <c r="E68" s="4"/>
      <c r="F68" s="4"/>
      <c r="G68" s="4"/>
      <c r="H68" s="4"/>
      <c r="I68" s="4"/>
    </row>
    <row r="69" spans="1:9" s="110" customFormat="1" x14ac:dyDescent="0.3">
      <c r="A69" s="4"/>
      <c r="B69" s="4"/>
      <c r="C69" s="4"/>
      <c r="D69" s="4"/>
      <c r="E69" s="4"/>
      <c r="F69" s="4"/>
      <c r="G69" s="4"/>
      <c r="H69" s="4"/>
      <c r="I69" s="4"/>
    </row>
  </sheetData>
  <sheetProtection password="DE32" sheet="1" objects="1" scenarios="1" sort="0" autoFilter="0"/>
  <autoFilter ref="A3:I67"/>
  <customSheetViews>
    <customSheetView guid="{2DCD716E-1533-446D-B259-42ED725E95A4}" showAutoFilter="1">
      <selection sqref="A1:I1"/>
      <pageMargins left="0.39370078740157483" right="0.39370078740157483" top="0.39370078740157483" bottom="0.39370078740157483" header="0" footer="0"/>
      <pageSetup paperSize="9" orientation="landscape" r:id="rId1"/>
      <autoFilter ref="A3:I72"/>
    </customSheetView>
  </customSheetViews>
  <mergeCells count="2">
    <mergeCell ref="A1:I1"/>
    <mergeCell ref="A2:I2"/>
  </mergeCells>
  <pageMargins left="0.39370078740157483" right="0.39370078740157483" top="0.39370078740157483" bottom="0.39370078740157483" header="0" footer="0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2" sqref="C12"/>
    </sheetView>
  </sheetViews>
  <sheetFormatPr defaultColWidth="24.109375" defaultRowHeight="14.4" x14ac:dyDescent="0.3"/>
  <cols>
    <col min="1" max="1" width="17.6640625" customWidth="1"/>
    <col min="2" max="2" width="14.33203125" customWidth="1"/>
    <col min="3" max="3" width="12.5546875" customWidth="1"/>
    <col min="4" max="4" width="14.109375" customWidth="1"/>
    <col min="5" max="5" width="18.33203125" customWidth="1"/>
  </cols>
  <sheetData/>
  <customSheetViews>
    <customSheetView guid="{2DCD716E-1533-446D-B259-42ED725E95A4}">
      <selection activeCell="C4" sqref="C4"/>
      <pageMargins left="0.7" right="0.7" top="0.75" bottom="0.75" header="0.3" footer="0.3"/>
      <pageSetup paperSize="9" orientation="landscape" verticalDpi="0" r:id="rId1"/>
    </customSheetView>
  </customSheetViews>
  <pageMargins left="0.59055118110236215" right="0.19685039370078741" top="0.19685039370078741" bottom="0.19685039370078741" header="0" footer="0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zoomScaleNormal="100" workbookViewId="0">
      <selection activeCell="B8" sqref="B8:L8"/>
    </sheetView>
  </sheetViews>
  <sheetFormatPr defaultRowHeight="14.4" x14ac:dyDescent="0.3"/>
  <cols>
    <col min="1" max="1" width="7" style="179" customWidth="1"/>
    <col min="2" max="2" width="13.6640625" style="179" customWidth="1"/>
    <col min="3" max="3" width="12" style="179" customWidth="1"/>
    <col min="4" max="4" width="15" style="179" customWidth="1"/>
    <col min="5" max="5" width="9.109375" style="179"/>
    <col min="6" max="6" width="11" style="179" customWidth="1"/>
    <col min="7" max="7" width="10.33203125" style="179" customWidth="1"/>
    <col min="8" max="8" width="10.109375" style="179" customWidth="1"/>
    <col min="9" max="9" width="14.6640625" style="179" customWidth="1"/>
    <col min="10" max="11" width="9.109375" style="179"/>
  </cols>
  <sheetData>
    <row r="1" spans="1:11" ht="15" x14ac:dyDescent="0.25">
      <c r="A1" s="175"/>
      <c r="B1" s="175"/>
      <c r="C1" s="175"/>
      <c r="D1" s="175"/>
      <c r="E1" s="175"/>
      <c r="F1" s="176"/>
      <c r="G1" s="175"/>
      <c r="H1" s="175"/>
      <c r="I1" s="175"/>
    </row>
    <row r="2" spans="1:11" s="4" customFormat="1" ht="12" x14ac:dyDescent="0.25">
      <c r="A2" s="12"/>
      <c r="B2" s="12"/>
      <c r="C2" s="12"/>
      <c r="D2" s="114"/>
      <c r="E2" s="180"/>
      <c r="F2" s="177"/>
      <c r="G2" s="177"/>
      <c r="H2" s="13"/>
      <c r="I2" s="12"/>
      <c r="J2" s="114"/>
      <c r="K2" s="114"/>
    </row>
    <row r="3" spans="1:11" s="1" customFormat="1" ht="12.75" x14ac:dyDescent="0.2">
      <c r="A3" s="114"/>
      <c r="B3" s="181"/>
      <c r="C3" s="181"/>
      <c r="D3" s="114"/>
      <c r="E3" s="182"/>
      <c r="F3" s="178"/>
      <c r="G3" s="114"/>
      <c r="H3" s="114"/>
      <c r="I3" s="15"/>
      <c r="J3" s="183"/>
      <c r="K3" s="183"/>
    </row>
    <row r="4" spans="1:11" s="1" customFormat="1" ht="12.75" x14ac:dyDescent="0.2">
      <c r="A4" s="114"/>
      <c r="B4" s="184"/>
      <c r="C4" s="181"/>
      <c r="D4" s="114"/>
      <c r="E4" s="184"/>
      <c r="F4" s="178"/>
      <c r="G4" s="114"/>
      <c r="H4" s="114"/>
      <c r="I4" s="15"/>
      <c r="J4" s="183"/>
      <c r="K4" s="183"/>
    </row>
    <row r="5" spans="1:11" s="1" customFormat="1" ht="12.75" x14ac:dyDescent="0.2">
      <c r="A5" s="114"/>
      <c r="B5" s="181"/>
      <c r="C5" s="181"/>
      <c r="D5" s="114"/>
      <c r="E5" s="184"/>
      <c r="F5" s="178"/>
      <c r="G5" s="114"/>
      <c r="H5" s="114"/>
      <c r="I5" s="15"/>
      <c r="J5" s="183"/>
      <c r="K5" s="183"/>
    </row>
    <row r="6" spans="1:11" s="1" customFormat="1" ht="12.75" x14ac:dyDescent="0.2">
      <c r="A6" s="114"/>
      <c r="B6" s="181"/>
      <c r="C6" s="181"/>
      <c r="D6" s="114"/>
      <c r="E6" s="184"/>
      <c r="F6" s="178"/>
      <c r="G6" s="114"/>
      <c r="H6" s="114"/>
      <c r="I6" s="15"/>
      <c r="J6" s="183"/>
      <c r="K6" s="183"/>
    </row>
    <row r="7" spans="1:11" s="1" customFormat="1" ht="12.75" x14ac:dyDescent="0.2">
      <c r="A7" s="114"/>
      <c r="B7" s="181"/>
      <c r="C7" s="181"/>
      <c r="D7" s="114"/>
      <c r="E7" s="184"/>
      <c r="F7" s="178"/>
      <c r="G7" s="178"/>
      <c r="H7" s="114"/>
      <c r="I7" s="15"/>
      <c r="J7" s="183"/>
      <c r="K7" s="183"/>
    </row>
    <row r="8" spans="1:11" s="1" customFormat="1" ht="12.75" x14ac:dyDescent="0.2">
      <c r="A8" s="114"/>
      <c r="B8" s="184"/>
      <c r="C8" s="181"/>
      <c r="D8" s="114"/>
      <c r="E8" s="184"/>
      <c r="F8" s="178"/>
      <c r="G8" s="114"/>
      <c r="H8" s="114"/>
      <c r="I8" s="15"/>
      <c r="J8" s="183"/>
      <c r="K8" s="183"/>
    </row>
    <row r="9" spans="1:11" s="1" customFormat="1" ht="12.75" x14ac:dyDescent="0.2">
      <c r="A9" s="114"/>
      <c r="B9" s="181"/>
      <c r="C9" s="181"/>
      <c r="D9" s="114"/>
      <c r="E9" s="182"/>
      <c r="F9" s="178"/>
      <c r="G9" s="114"/>
      <c r="H9" s="114"/>
      <c r="I9" s="15"/>
      <c r="J9" s="183"/>
      <c r="K9" s="183"/>
    </row>
    <row r="10" spans="1:11" s="1" customFormat="1" ht="12.75" x14ac:dyDescent="0.2">
      <c r="A10" s="114"/>
      <c r="B10" s="185"/>
      <c r="C10" s="185"/>
      <c r="D10" s="114"/>
      <c r="E10" s="114"/>
      <c r="F10" s="186"/>
      <c r="G10" s="187"/>
      <c r="H10" s="114"/>
      <c r="I10" s="15"/>
      <c r="J10" s="183"/>
      <c r="K10" s="183"/>
    </row>
    <row r="11" spans="1:11" s="1" customFormat="1" ht="12.75" x14ac:dyDescent="0.2">
      <c r="A11" s="114"/>
      <c r="B11" s="185"/>
      <c r="C11" s="185"/>
      <c r="D11" s="114"/>
      <c r="E11" s="114"/>
      <c r="F11" s="186"/>
      <c r="G11" s="187"/>
      <c r="H11" s="114"/>
      <c r="I11" s="15"/>
      <c r="J11" s="183"/>
      <c r="K11" s="183"/>
    </row>
    <row r="12" spans="1:11" s="1" customFormat="1" ht="12.75" x14ac:dyDescent="0.2">
      <c r="A12" s="114"/>
      <c r="B12" s="182"/>
      <c r="C12" s="182"/>
      <c r="D12" s="114"/>
      <c r="E12" s="114"/>
      <c r="F12" s="188"/>
      <c r="G12" s="188"/>
      <c r="H12" s="114"/>
      <c r="I12" s="15"/>
      <c r="J12" s="183"/>
      <c r="K12" s="183"/>
    </row>
    <row r="13" spans="1:11" s="1" customFormat="1" ht="12.75" x14ac:dyDescent="0.2">
      <c r="A13" s="182"/>
      <c r="B13" s="181"/>
      <c r="C13" s="181"/>
      <c r="D13" s="114"/>
      <c r="E13" s="114"/>
      <c r="F13" s="189"/>
      <c r="G13" s="190"/>
      <c r="H13" s="114"/>
      <c r="I13" s="15"/>
      <c r="J13" s="183"/>
      <c r="K13" s="183"/>
    </row>
    <row r="14" spans="1:11" s="1" customFormat="1" ht="12.75" x14ac:dyDescent="0.2">
      <c r="A14" s="182"/>
      <c r="B14" s="182"/>
      <c r="C14" s="182"/>
      <c r="D14" s="114"/>
      <c r="E14" s="114"/>
      <c r="F14" s="191"/>
      <c r="G14" s="191"/>
      <c r="H14" s="114"/>
      <c r="I14" s="15"/>
      <c r="J14" s="183"/>
      <c r="K14" s="183"/>
    </row>
  </sheetData>
  <customSheetViews>
    <customSheetView guid="{2DCD716E-1533-446D-B259-42ED725E95A4}">
      <selection activeCell="F19" sqref="F19"/>
      <pageMargins left="0.19685039370078741" right="0.19685039370078741" top="0.39370078740157483" bottom="0.39370078740157483" header="0" footer="0"/>
      <pageSetup paperSize="9" scale="97" orientation="portrait" verticalDpi="0" r:id="rId1"/>
    </customSheetView>
  </customSheetViews>
  <pageMargins left="0.19685039370078741" right="0.19685039370078741" top="0.39370078740157483" bottom="0.39370078740157483" header="0" footer="0"/>
  <pageSetup paperSize="9" scale="97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Раздел 1 недвижимое</vt:lpstr>
      <vt:lpstr>Раздел 2 движимое </vt:lpstr>
      <vt:lpstr>Раздел 3 МУП МУК</vt:lpstr>
      <vt:lpstr>Лист1</vt:lpstr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</dc:creator>
  <cp:lastModifiedBy>Гольцева</cp:lastModifiedBy>
  <cp:lastPrinted>2020-01-10T15:17:15Z</cp:lastPrinted>
  <dcterms:created xsi:type="dcterms:W3CDTF">2015-09-08T12:28:26Z</dcterms:created>
  <dcterms:modified xsi:type="dcterms:W3CDTF">2020-02-05T10:20:12Z</dcterms:modified>
</cp:coreProperties>
</file>